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y_IMDB" sheetId="1" r:id="rId4"/>
    <sheet state="visible" name="Movie duration analysis" sheetId="2" r:id="rId5"/>
    <sheet state="visible" name="genre Analysis" sheetId="3" r:id="rId6"/>
    <sheet state="visible" name="Director analysis" sheetId="4" r:id="rId7"/>
    <sheet state="visible" name="language analysis" sheetId="5" r:id="rId8"/>
    <sheet state="visible" name="Budget Analysis" sheetId="6" r:id="rId9"/>
  </sheets>
  <definedNames/>
  <calcPr/>
  <extLst>
    <ext uri="GoogleSheetsCustomDataVersion2">
      <go:sheetsCustomData xmlns:go="http://customooxmlschemas.google.com/" r:id="rId10" roundtripDataChecksum="91myewe8TC3RDx6IfS9r6VYra8B6JdzTtQDcrIJtnpc="/>
    </ext>
  </extLst>
</workbook>
</file>

<file path=xl/sharedStrings.xml><?xml version="1.0" encoding="utf-8"?>
<sst xmlns="http://schemas.openxmlformats.org/spreadsheetml/2006/main" count="78916" uniqueCount="17800">
  <si>
    <t>color</t>
  </si>
  <si>
    <t>director_name</t>
  </si>
  <si>
    <t>movie_title</t>
  </si>
  <si>
    <t>gross</t>
  </si>
  <si>
    <t>genres</t>
  </si>
  <si>
    <t>actor_1_name</t>
  </si>
  <si>
    <t>actor_2_name</t>
  </si>
  <si>
    <t>actor_3_name</t>
  </si>
  <si>
    <t>num_voted_users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</si>
  <si>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</si>
  <si>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</si>
  <si>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</si>
  <si>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</si>
  <si>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</si>
  <si>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</si>
  <si>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</si>
  <si>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</si>
  <si>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actor_1_facebook_likes</t>
  </si>
  <si>
    <t>actor_2_facebook_likes</t>
  </si>
  <si>
    <t>actor_3_facebook_likes</t>
  </si>
  <si>
    <t>cast_total_facebook_likes</t>
  </si>
  <si>
    <t>director_facebook_likes</t>
  </si>
  <si>
    <t>movie_facebook_likes</t>
  </si>
  <si>
    <t>facenumber_in_poster</t>
  </si>
  <si>
    <t>aspect_ratio</t>
  </si>
  <si>
    <t>imdb score</t>
  </si>
  <si>
    <t>Color</t>
  </si>
  <si>
    <t>James Cameron</t>
  </si>
  <si>
    <t>Avatar</t>
  </si>
  <si>
    <t>Action|Adventure|Fantasy|Sci-Fi</t>
  </si>
  <si>
    <t>CCH Pounder</t>
  </si>
  <si>
    <t>Joel David Moore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</si>
  <si>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</si>
  <si>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</si>
  <si>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</si>
  <si>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</si>
  <si>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</si>
  <si>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</si>
  <si>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</si>
  <si>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Pirates of the Caribbean: At World's End</t>
  </si>
  <si>
    <t>Action|Adventure|Fantasy</t>
  </si>
  <si>
    <t>Johnny Depp</t>
  </si>
  <si>
    <t>Orlando Bloom</t>
  </si>
  <si>
    <t>Jack Davenport</t>
  </si>
  <si>
    <t>goddess|marriage ceremony|marriage proposal|pirate|singapore</t>
  </si>
  <si>
    <t>http://www.imdb.com/title/tt0449088/?ref_=fn_tt_tt_1</t>
  </si>
  <si>
    <t>Sam Mendes</t>
  </si>
  <si>
    <t>Spectre</t>
  </si>
  <si>
    <t>Action|Adventure|Thriller</t>
  </si>
  <si>
    <t>Christoph Waltz</t>
  </si>
  <si>
    <t>Rory Kinnear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</si>
  <si>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</si>
  <si>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</si>
  <si>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</si>
  <si>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</si>
  <si>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</si>
  <si>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The Dark Knight Rises</t>
  </si>
  <si>
    <t>Action|Thriller</t>
  </si>
  <si>
    <t>Tom Hardy</t>
  </si>
  <si>
    <t>Christian Bale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</si>
  <si>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</si>
  <si>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</si>
  <si>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</si>
  <si>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</si>
  <si>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John Carter</t>
  </si>
  <si>
    <t>Action|Adventure|Sci-Fi</t>
  </si>
  <si>
    <t>Daryl Sabara</t>
  </si>
  <si>
    <t>Samantha Morton</t>
  </si>
  <si>
    <t>Polly Walker</t>
  </si>
  <si>
    <t>alien|american civil war|male nipple|mars|princess</t>
  </si>
  <si>
    <t>http://www.imdb.com/title/tt0401729/?ref_=fn_tt_tt_1</t>
  </si>
  <si>
    <t>Sam Raimi</t>
  </si>
  <si>
    <t>Spider-Man 3</t>
  </si>
  <si>
    <t>Action|Adventure|Romance</t>
  </si>
  <si>
    <t>J.K. Simmons</t>
  </si>
  <si>
    <t>James Franco</t>
  </si>
  <si>
    <t>Kirsten Dunst</t>
  </si>
  <si>
    <t>sandman|spider man|symbiote|venom|villain</t>
  </si>
  <si>
    <t>http://www.imdb.com/title/tt0413300/?ref_=fn_tt_tt_1</t>
  </si>
  <si>
    <t>Nathan Greno</t>
  </si>
  <si>
    <t>Tangled</t>
  </si>
  <si>
    <t>Adventure|Animation|Comedy|Family|Fantasy|Musical|Romance</t>
  </si>
  <si>
    <t>Brad Garrett</t>
  </si>
  <si>
    <t>Donna Murphy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</si>
  <si>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</si>
  <si>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</si>
  <si>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</si>
  <si>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</si>
  <si>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</si>
  <si>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Avengers: Age of Ultron</t>
  </si>
  <si>
    <t>Chris Hemsworth</t>
  </si>
  <si>
    <t>Robert Downey Jr.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</si>
  <si>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</si>
  <si>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</si>
  <si>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</si>
  <si>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</si>
  <si>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Harry Potter and the Half-Blood Prince</t>
  </si>
  <si>
    <t>Adventure|Family|Fantasy|Mystery</t>
  </si>
  <si>
    <t>Alan Rickman</t>
  </si>
  <si>
    <t>Daniel Radcliffe</t>
  </si>
  <si>
    <t>Rupert Grint</t>
  </si>
  <si>
    <t>blood|book|love|potion|professor</t>
  </si>
  <si>
    <t>http://www.imdb.com/title/tt0417741/?ref_=fn_tt_tt_1</t>
  </si>
  <si>
    <t>Zack Snyder</t>
  </si>
  <si>
    <t>Batman v Superman: Dawn of Justice</t>
  </si>
  <si>
    <t>Henry Cavill</t>
  </si>
  <si>
    <t>Lauren Cohan</t>
  </si>
  <si>
    <t>Alan D. Purwin</t>
  </si>
  <si>
    <t>based on comic book|batman|sequel to a reboot|superhero|superman</t>
  </si>
  <si>
    <t>http://www.imdb.com/title/tt2975590/?ref_=fn_tt_tt_1</t>
  </si>
  <si>
    <t>Bryan Singer</t>
  </si>
  <si>
    <t>Superman Returns</t>
  </si>
  <si>
    <t>Kevin Spacey</t>
  </si>
  <si>
    <t>Marlon Brando</t>
  </si>
  <si>
    <t>Frank Langella</t>
  </si>
  <si>
    <t>crystal|epic|lex luthor|lois lane|return to earth</t>
  </si>
  <si>
    <t>http://www.imdb.com/title/tt0348150/?ref_=fn_tt_tt_1</t>
  </si>
  <si>
    <t>Marc Forster</t>
  </si>
  <si>
    <t>Quantum of Solace</t>
  </si>
  <si>
    <t>Action|Adventure</t>
  </si>
  <si>
    <t>Giancarlo Giannini</t>
  </si>
  <si>
    <t>Mathieu Amalric</t>
  </si>
  <si>
    <t>action hero|attempted rape|bond girl|official james bond series|revenge</t>
  </si>
  <si>
    <t>http://www.imdb.com/title/tt0830515/?ref_=fn_tt_tt_1</t>
  </si>
  <si>
    <t>Pirates of the Caribbean: Dead Man's Chest</t>
  </si>
  <si>
    <t>box office hit|giant squid|heart|liar's dice|monster</t>
  </si>
  <si>
    <t>http://www.imdb.com/title/tt0383574/?ref_=fn_tt_tt_1</t>
  </si>
  <si>
    <t>The Lone Ranger</t>
  </si>
  <si>
    <t>Action|Adventure|Western</t>
  </si>
  <si>
    <t>Ruth Wilson</t>
  </si>
  <si>
    <t>Tom Wilkinson</t>
  </si>
  <si>
    <t>horse|outlaw|texas|texas ranger|train</t>
  </si>
  <si>
    <t>http://www.imdb.com/title/tt1210819/?ref_=fn_tt_tt_1</t>
  </si>
  <si>
    <t>Man of Steel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</si>
  <si>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</si>
  <si>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</si>
  <si>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</si>
  <si>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</si>
  <si>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</si>
  <si>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The Chronicles of Narnia: Prince Caspian</t>
  </si>
  <si>
    <t>Action|Adventure|Family|Fantasy</t>
  </si>
  <si>
    <t>Peter Dinklage</t>
  </si>
  <si>
    <t>Pierfrancesco Favino</t>
  </si>
  <si>
    <t>DamiÃ¡n AlcÃ¡zar</t>
  </si>
  <si>
    <t>brother brother relationship|brother sister relationship|good versus evil|king|narnia</t>
  </si>
  <si>
    <t>http://www.imdb.com/title/tt0499448/?ref_=fn_tt_tt_1</t>
  </si>
  <si>
    <t>The Avengers</t>
  </si>
  <si>
    <t>alien invasion|assassin|battle|iron man|soldier</t>
  </si>
  <si>
    <t>http://www.imdb.com/title/tt0848228/?ref_=fn_tt_tt_1</t>
  </si>
  <si>
    <t>Rob Marshall</t>
  </si>
  <si>
    <t>Pirates of the Caribbean: On Stranger Tides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</si>
  <si>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</si>
  <si>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</si>
  <si>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</si>
  <si>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</si>
  <si>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</si>
  <si>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Men in Black 3</t>
  </si>
  <si>
    <t>Action|Adventure|Comedy|Family|Fantasy|Sci-Fi</t>
  </si>
  <si>
    <t>Will Smith</t>
  </si>
  <si>
    <t>Michael Stuhlbarg</t>
  </si>
  <si>
    <t>Nicole Scherzinger</t>
  </si>
  <si>
    <t>alien|criminal|m.i.b.|maximum security prison|prison</t>
  </si>
  <si>
    <t>http://www.imdb.com/title/tt1409024/?ref_=fn_tt_tt_1</t>
  </si>
  <si>
    <t>Peter Jackson</t>
  </si>
  <si>
    <t>The Hobbit: The Battle of the Five Armies</t>
  </si>
  <si>
    <t>Adventure|Fantasy</t>
  </si>
  <si>
    <t>Aidan Turner</t>
  </si>
  <si>
    <t>Adam Brown</t>
  </si>
  <si>
    <t>James Nesbitt</t>
  </si>
  <si>
    <t>army|elf|hobbit|middle earth|orc</t>
  </si>
  <si>
    <t>http://www.imdb.com/title/tt2310332/?ref_=fn_tt_tt_1</t>
  </si>
  <si>
    <t>New Zealand</t>
  </si>
  <si>
    <t>Marc Webb</t>
  </si>
  <si>
    <t>The Amazing Spider-Man</t>
  </si>
  <si>
    <t>Emma Stone</t>
  </si>
  <si>
    <t>Andrew Garfield</t>
  </si>
  <si>
    <t>Chris Zylka</t>
  </si>
  <si>
    <t>lizard|outcast|spider|spider man|teenager</t>
  </si>
  <si>
    <t>http://www.imdb.com/title/tt0948470/?ref_=fn_tt_tt_1</t>
  </si>
  <si>
    <t>Ridley Scott</t>
  </si>
  <si>
    <t>Robin Hood</t>
  </si>
  <si>
    <t>Action|Adventure|Drama|History</t>
  </si>
  <si>
    <t>Mark Addy</t>
  </si>
  <si>
    <t>William Hurt</t>
  </si>
  <si>
    <t>Scott Grimes</t>
  </si>
  <si>
    <t>1190s|archer|england|king of england|robin hood</t>
  </si>
  <si>
    <t>http://www.imdb.com/title/tt0955308/?ref_=fn_tt_tt_1</t>
  </si>
  <si>
    <t>The Hobbit: The Desolation of Smaug</t>
  </si>
  <si>
    <t>dwarf|elf|lake town|mountain|sword and sorcery</t>
  </si>
  <si>
    <t>http://www.imdb.com/title/tt1170358/?ref_=fn_tt_tt_1</t>
  </si>
  <si>
    <t>Chris Weitz</t>
  </si>
  <si>
    <t>The Golden Compass</t>
  </si>
  <si>
    <t>Adventure|Family|Fantasy</t>
  </si>
  <si>
    <t>Christopher Lee</t>
  </si>
  <si>
    <t>Eva Green</t>
  </si>
  <si>
    <t>Kristin Scott Thomas</t>
  </si>
  <si>
    <t>children|epic|friend|girl|quest</t>
  </si>
  <si>
    <t>http://www.imdb.com/title/tt0385752/?ref_=fn_tt_tt_1</t>
  </si>
  <si>
    <t>King Kong</t>
  </si>
  <si>
    <t>Action|Adventure|Drama|Romance</t>
  </si>
  <si>
    <t>Naomi Watts</t>
  </si>
  <si>
    <t>Thomas Kretschmann</t>
  </si>
  <si>
    <t>Evan Parke</t>
  </si>
  <si>
    <t>animal name in title|ape abducts a woman|gorilla|island|king kong</t>
  </si>
  <si>
    <t>http://www.imdb.com/title/tt0360717/?ref_=fn_tt_tt_1</t>
  </si>
  <si>
    <t>Titanic</t>
  </si>
  <si>
    <t>Drama|Romance</t>
  </si>
  <si>
    <t>Leonardo DiCaprio</t>
  </si>
  <si>
    <t>Kate Winslet</t>
  </si>
  <si>
    <t>Gloria Stuart</t>
  </si>
  <si>
    <t>artist|love|ship|titanic|wet</t>
  </si>
  <si>
    <t>http://www.imdb.com/title/tt0120338/?ref_=fn_tt_tt_1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</si>
  <si>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</si>
  <si>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</si>
  <si>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</si>
  <si>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</si>
  <si>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</si>
  <si>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</si>
  <si>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Battleship</t>
  </si>
  <si>
    <t>Action|Adventure|Sci-Fi|Thriller</t>
  </si>
  <si>
    <t>Liam Neeson</t>
  </si>
  <si>
    <t>Alexander SkarsgÃ¥rd</t>
  </si>
  <si>
    <t>Tadanobu Asano</t>
  </si>
  <si>
    <t>box office flop|hawaii|naval|oahu hawaii|ship</t>
  </si>
  <si>
    <t>http://www.imdb.com/title/tt1440129/?ref_=fn_tt_tt_1</t>
  </si>
  <si>
    <t>Colin Trevorrow</t>
  </si>
  <si>
    <t>Jurassic World</t>
  </si>
  <si>
    <t>Bryce Dallas Howard</t>
  </si>
  <si>
    <t>Judy Greer</t>
  </si>
  <si>
    <t>Omar Sy</t>
  </si>
  <si>
    <t>dinosaur|disaster film|experiment gone wrong|jurassic park|velociraptor</t>
  </si>
  <si>
    <t>http://www.imdb.com/title/tt0369610/?ref_=fn_tt_tt_1</t>
  </si>
  <si>
    <t>Skyfall</t>
  </si>
  <si>
    <t>Albert Finney</t>
  </si>
  <si>
    <t>Helen McCrory</t>
  </si>
  <si>
    <t>brawl|childhood home|computer cracker|intelligence agency|terrorist cell</t>
  </si>
  <si>
    <t>http://www.imdb.com/title/tt1074638/?ref_=fn_tt_tt_1</t>
  </si>
  <si>
    <t>Spider-Man 2</t>
  </si>
  <si>
    <t>Action|Adventure|Fantasy|Romance</t>
  </si>
  <si>
    <t>death|doctor|scientist|super villain|tentacle</t>
  </si>
  <si>
    <t>http://www.imdb.com/title/tt0316654/?ref_=fn_tt_tt_1</t>
  </si>
  <si>
    <t>Shane Black</t>
  </si>
  <si>
    <t>Iron Man 3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</si>
  <si>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</si>
  <si>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</si>
  <si>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</si>
  <si>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</si>
  <si>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</si>
  <si>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</si>
  <si>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</si>
  <si>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</si>
  <si>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</si>
  <si>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</si>
  <si>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X-Men: The Last Stand</t>
  </si>
  <si>
    <t>Action|Adventure|Fantasy|Sci-Fi|Thriller</t>
  </si>
  <si>
    <t>Hugh Jackman</t>
  </si>
  <si>
    <t>Kelsey Grammer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</si>
  <si>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</si>
  <si>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</si>
  <si>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</si>
  <si>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</si>
  <si>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</si>
  <si>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Monsters University</t>
  </si>
  <si>
    <t>Adventure|Animation|Comedy|Family|Fantasy</t>
  </si>
  <si>
    <t>Steve Buscemi</t>
  </si>
  <si>
    <t>Tyler Labine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</si>
  <si>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</si>
  <si>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</si>
  <si>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</si>
  <si>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</si>
  <si>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</si>
  <si>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Transformers: Revenge of the Fallen</t>
  </si>
  <si>
    <t>Glenn Morshower</t>
  </si>
  <si>
    <t>Kevin Dunn</t>
  </si>
  <si>
    <t>Ramon Rodriguez</t>
  </si>
  <si>
    <t>autobot|decepticon|machine|sun|symbol</t>
  </si>
  <si>
    <t>http://www.imdb.com/title/tt1055369/?ref_=fn_tt_tt_1</t>
  </si>
  <si>
    <t>Transformers: Age of Extinction</t>
  </si>
  <si>
    <t>Bingbing Li</t>
  </si>
  <si>
    <t>Sophia Myles</t>
  </si>
  <si>
    <t>blockbuster|bumblebee the character|semi truck and trailer|texas|truck</t>
  </si>
  <si>
    <t>http://www.imdb.com/title/tt2109248/?ref_=fn_tt_tt_1</t>
  </si>
  <si>
    <t>Oz the Great and Powerful</t>
  </si>
  <si>
    <t>Tim Holmes</t>
  </si>
  <si>
    <t>Mila Kunis</t>
  </si>
  <si>
    <t>circus|magic|magician|oz|witch</t>
  </si>
  <si>
    <t>http://www.imdb.com/title/tt1623205/?ref_=fn_tt_tt_1</t>
  </si>
  <si>
    <t>The Amazing Spider-Man 2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</si>
  <si>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</si>
  <si>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</si>
  <si>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</si>
  <si>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</si>
  <si>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TRON: Legacy</t>
  </si>
  <si>
    <t>Jeff Bridges</t>
  </si>
  <si>
    <t>Olivia Wilde</t>
  </si>
  <si>
    <t>James Frain</t>
  </si>
  <si>
    <t>arcade|bridge|disappearance|escape|warrior</t>
  </si>
  <si>
    <t>http://www.imdb.com/title/tt1104001/?ref_=fn_tt_tt_1</t>
  </si>
  <si>
    <t>John Lasseter</t>
  </si>
  <si>
    <t>Cars 2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</si>
  <si>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</si>
  <si>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</si>
  <si>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</si>
  <si>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</si>
  <si>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</si>
  <si>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</si>
  <si>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Green Lantern</t>
  </si>
  <si>
    <t>Ryan Reynolds</t>
  </si>
  <si>
    <t>Temuera Morrison</t>
  </si>
  <si>
    <t>Taika Waititi</t>
  </si>
  <si>
    <t>autopsy|lantern|planet|ring|test pilot</t>
  </si>
  <si>
    <t>http://www.imdb.com/title/tt1133985/?ref_=fn_tt_tt_1</t>
  </si>
  <si>
    <t>Lee Unkrich</t>
  </si>
  <si>
    <t>Toy Story 3</t>
  </si>
  <si>
    <t>Tom Hanks</t>
  </si>
  <si>
    <t>John Ratzenberger</t>
  </si>
  <si>
    <t>Don Rickles</t>
  </si>
  <si>
    <t>college|day care|escape|teddy bear|toy</t>
  </si>
  <si>
    <t>http://www.imdb.com/title/tt0435761/?ref_=fn_tt_tt_1</t>
  </si>
  <si>
    <t>McG</t>
  </si>
  <si>
    <t>Terminator Salvation</t>
  </si>
  <si>
    <t>Common</t>
  </si>
  <si>
    <t>death row|future|machine|rescue|skynet</t>
  </si>
  <si>
    <t>http://www.imdb.com/title/tt0438488/?ref_=fn_tt_tt_1</t>
  </si>
  <si>
    <t>James Wan</t>
  </si>
  <si>
    <t>Furious 7</t>
  </si>
  <si>
    <t>Action|Crime|Thriller</t>
  </si>
  <si>
    <t>Jason Statham</t>
  </si>
  <si>
    <t>Paul Walker</t>
  </si>
  <si>
    <t>Vin Diesel</t>
  </si>
  <si>
    <t>car falling off a cliff|hospital|revenge|star died before release|terrorist</t>
  </si>
  <si>
    <t>http://www.imdb.com/title/tt2820852/?ref_=fn_tt_tt_1</t>
  </si>
  <si>
    <t>World War Z</t>
  </si>
  <si>
    <t>Action|Adventure|Horror|Sci-Fi|Thriller</t>
  </si>
  <si>
    <t>Peter Capaldi</t>
  </si>
  <si>
    <t>Brad Pitt</t>
  </si>
  <si>
    <t>Mireille Enos</t>
  </si>
  <si>
    <t>chaos|disease|infection|pandemic|zombie</t>
  </si>
  <si>
    <t>http://www.imdb.com/title/tt0816711/?ref_=fn_tt_tt_1</t>
  </si>
  <si>
    <t>X-Men: Days of Future Past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</si>
  <si>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</si>
  <si>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</si>
  <si>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</si>
  <si>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</si>
  <si>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Star Trek Into Darkness</t>
  </si>
  <si>
    <t>Benedict Cumberbatch</t>
  </si>
  <si>
    <t>Bruce Greenwood</t>
  </si>
  <si>
    <t>Noel Clarke</t>
  </si>
  <si>
    <t>admiral|captain|manhunt|mission|space</t>
  </si>
  <si>
    <t>http://www.imdb.com/title/tt1408101/?ref_=fn_tt_tt_1</t>
  </si>
  <si>
    <t>Jack the Giant Slayer</t>
  </si>
  <si>
    <t>Eddie Marsan</t>
  </si>
  <si>
    <t>Ewen Bremner</t>
  </si>
  <si>
    <t>Ralph Brown</t>
  </si>
  <si>
    <t>bean|giant|king|no opening credits|princess</t>
  </si>
  <si>
    <t>http://www.imdb.com/title/tt1351685/?ref_=fn_tt_tt_1</t>
  </si>
  <si>
    <t>Baz Luhrmann</t>
  </si>
  <si>
    <t>The Great Gatsby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</si>
  <si>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</si>
  <si>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</si>
  <si>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</si>
  <si>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</si>
  <si>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</si>
  <si>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</si>
  <si>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Prince of Persia: The Sands of Time</t>
  </si>
  <si>
    <t>Jake Gyllenhaal</t>
  </si>
  <si>
    <t>Richard Coyle</t>
  </si>
  <si>
    <t>Reece Ritchie</t>
  </si>
  <si>
    <t>alamut|dagger|king|persia|princess</t>
  </si>
  <si>
    <t>http://www.imdb.com/title/tt0473075/?ref_=fn_tt_tt_1</t>
  </si>
  <si>
    <t>Guillermo del Toro</t>
  </si>
  <si>
    <t>Pacific Rim</t>
  </si>
  <si>
    <t>Charlie Hunnam</t>
  </si>
  <si>
    <t>Clifton Collins Jr.</t>
  </si>
  <si>
    <t>Larry Joe Campbell</t>
  </si>
  <si>
    <t>giant monster|kaiju|pilot|portal|robot</t>
  </si>
  <si>
    <t>http://www.imdb.com/title/tt1663662/?ref_=fn_tt_tt_1</t>
  </si>
  <si>
    <t>Transformers: Dark of the Moon</t>
  </si>
  <si>
    <t>Lester Speight</t>
  </si>
  <si>
    <t>autobot|decepticon|job interview|moon|spacecraft</t>
  </si>
  <si>
    <t>http://www.imdb.com/title/tt1399103/?ref_=fn_tt_tt_1</t>
  </si>
  <si>
    <t>Steven Spielberg</t>
  </si>
  <si>
    <t>Indiana Jones and the Kingdom of the Crystal Skull</t>
  </si>
  <si>
    <t>Harrison Ford</t>
  </si>
  <si>
    <t>Ray Winstone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</si>
  <si>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</si>
  <si>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</si>
  <si>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</si>
  <si>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</si>
  <si>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Brave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</si>
  <si>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</si>
  <si>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</si>
  <si>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</si>
  <si>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</si>
  <si>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</si>
  <si>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Star Trek Beyond</t>
  </si>
  <si>
    <t>Sofia Boutella</t>
  </si>
  <si>
    <t>Melissa Roxburgh</t>
  </si>
  <si>
    <t>Lydia Wilson</t>
  </si>
  <si>
    <t>hatred|sequel|space opera|star trek|third part</t>
  </si>
  <si>
    <t>http://www.imdb.com/title/tt2660888/?ref_=fn_tt_tt_1</t>
  </si>
  <si>
    <t>WALL</t>
  </si>
  <si>
    <t>Adventure|Animation|Family|Sci-Fi</t>
  </si>
  <si>
    <t>Fred Willard</t>
  </si>
  <si>
    <t>Jeff Garlin</t>
  </si>
  <si>
    <t>earth|obesity|plant|robot|soil</t>
  </si>
  <si>
    <t>http://www.imdb.com/title/tt0910970/?ref_=fn_tt_tt_1</t>
  </si>
  <si>
    <t>Rush Hour 3</t>
  </si>
  <si>
    <t>Action|Comedy|Crime|Thriller</t>
  </si>
  <si>
    <t>Tzi Ma</t>
  </si>
  <si>
    <t>Dana Ivey</t>
  </si>
  <si>
    <t>NoÃ©mie Lenoir</t>
  </si>
  <si>
    <t>ambassador|assassination|chinese|french|triad</t>
  </si>
  <si>
    <t>http://www.imdb.com/title/tt0293564/?ref_=fn_tt_tt_1</t>
  </si>
  <si>
    <t>Roland Emmerich</t>
  </si>
  <si>
    <t>Oliver Platt</t>
  </si>
  <si>
    <t>Liam James</t>
  </si>
  <si>
    <t>Tom McCarthy</t>
  </si>
  <si>
    <t>ark|catastrophe|geologist|president|writer</t>
  </si>
  <si>
    <t>http://www.imdb.com/title/tt1190080/?ref_=fn_tt_tt_1</t>
  </si>
  <si>
    <t>Robert Zemeckis</t>
  </si>
  <si>
    <t>A Christmas Carol</t>
  </si>
  <si>
    <t>Animation|Drama|Family|Fantasy</t>
  </si>
  <si>
    <t>Robin Wright</t>
  </si>
  <si>
    <t>Colin Firth</t>
  </si>
  <si>
    <t>Gary Oldman</t>
  </si>
  <si>
    <t>charles dickens|christmas|christmas eve|ghost|scrooge</t>
  </si>
  <si>
    <t>http://www.imdb.com/title/tt1067106/?ref_=fn_tt_tt_1</t>
  </si>
  <si>
    <t>Lana Wachowski</t>
  </si>
  <si>
    <t>Jupiter Ascending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</si>
  <si>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</si>
  <si>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</si>
  <si>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</si>
  <si>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</si>
  <si>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</si>
  <si>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</si>
  <si>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</si>
  <si>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</si>
  <si>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The Chronicles of Narnia: The Lion, the Witch and the Wardrobe</t>
  </si>
  <si>
    <t>Kiran Shah</t>
  </si>
  <si>
    <t>Shane Rangi</t>
  </si>
  <si>
    <t>hide and seek|lion|magic|professor|snow</t>
  </si>
  <si>
    <t>http://www.imdb.com/title/tt0363771/?ref_=fn_tt_tt_1</t>
  </si>
  <si>
    <t>X-Men: Apocalypse</t>
  </si>
  <si>
    <t>Michael Fassbender</t>
  </si>
  <si>
    <t>Tye Sheridan</t>
  </si>
  <si>
    <t>mutant|superhero|superhero team|x men|year 1983</t>
  </si>
  <si>
    <t>http://www.imdb.com/title/tt3385516/?ref_=fn_tt_tt_1</t>
  </si>
  <si>
    <t>The Dark Knight</t>
  </si>
  <si>
    <t>Action|Crime|Drama|Thriller</t>
  </si>
  <si>
    <t>Heath Ledger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</si>
  <si>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</si>
  <si>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</si>
  <si>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</si>
  <si>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</si>
  <si>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Up</t>
  </si>
  <si>
    <t>Adventure|Animation|Comedy|Family</t>
  </si>
  <si>
    <t>Delroy Lindo</t>
  </si>
  <si>
    <t>Jess Harnell</t>
  </si>
  <si>
    <t>balloon|house|promise|retirement|skeleton</t>
  </si>
  <si>
    <t>http://www.imdb.com/title/tt1049413/?ref_=fn_tt_tt_1</t>
  </si>
  <si>
    <t>Rob Letterman</t>
  </si>
  <si>
    <t>Monsters vs. Aliens</t>
  </si>
  <si>
    <t>Action|Adventure|Animation|Comedy|Family|Sci-Fi</t>
  </si>
  <si>
    <t>Amy Poehler</t>
  </si>
  <si>
    <t>Rainn Wilson</t>
  </si>
  <si>
    <t>Stephen Colbert</t>
  </si>
  <si>
    <t>alien|alien invasion|alien space craft|giant|giantess</t>
  </si>
  <si>
    <t>http://www.imdb.com/title/tt0892782/?ref_=fn_tt_tt_1</t>
  </si>
  <si>
    <t>Iron Man</t>
  </si>
  <si>
    <t>afghanistan|billionaire|inventor|playboy|u.s. air force</t>
  </si>
  <si>
    <t>http://www.imdb.com/title/tt0371746/?ref_=fn_tt_tt_1</t>
  </si>
  <si>
    <t>Martin Scorsese</t>
  </si>
  <si>
    <t>Hugo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</si>
  <si>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</si>
  <si>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</si>
  <si>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</si>
  <si>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</si>
  <si>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Wild Wild West</t>
  </si>
  <si>
    <t>Action|Comedy|Sci-Fi|Western</t>
  </si>
  <si>
    <t>Salma Hayek</t>
  </si>
  <si>
    <t>Bai Ling</t>
  </si>
  <si>
    <t>buddy movie|general|inventor|steampunk|utah</t>
  </si>
  <si>
    <t>http://www.imdb.com/title/tt0120891/?ref_=fn_tt_tt_1</t>
  </si>
  <si>
    <t>Rob Cohen</t>
  </si>
  <si>
    <t>The Mummy: Tomb of the Dragon Emperor</t>
  </si>
  <si>
    <t>Action|Adventure|Fantasy|Horror|Thriller</t>
  </si>
  <si>
    <t>Jet Li</t>
  </si>
  <si>
    <t>Brendan Fraser</t>
  </si>
  <si>
    <t>Russell Wong</t>
  </si>
  <si>
    <t>army|china|emperor|mummy|shangri la</t>
  </si>
  <si>
    <t>http://www.imdb.com/title/tt0859163/?ref_=fn_tt_tt_1</t>
  </si>
  <si>
    <t>David Ayer</t>
  </si>
  <si>
    <t>Suicide Squad</t>
  </si>
  <si>
    <t>Action|Adventure|Comedy|Sci-Fi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</si>
  <si>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</si>
  <si>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</si>
  <si>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</si>
  <si>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</si>
  <si>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</si>
  <si>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Evan Almighty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</si>
  <si>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</si>
  <si>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</si>
  <si>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</si>
  <si>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</si>
  <si>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</si>
  <si>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</si>
  <si>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Edge of Tomorrow</t>
  </si>
  <si>
    <t>Tom Cruise</t>
  </si>
  <si>
    <t>Lara Pulver</t>
  </si>
  <si>
    <t>Noah Taylor</t>
  </si>
  <si>
    <t>alien|combat|dying repeatedly|end of the world|time loop</t>
  </si>
  <si>
    <t>http://www.imdb.com/title/tt1631867/?ref_=fn_tt_tt_1</t>
  </si>
  <si>
    <t>Kevin Reynolds</t>
  </si>
  <si>
    <t>Waterworld</t>
  </si>
  <si>
    <t>Jeanne Tripplehorn</t>
  </si>
  <si>
    <t>Rick Aviles</t>
  </si>
  <si>
    <t>Zakes Mokae</t>
  </si>
  <si>
    <t>future|sail|sea|smoker|water</t>
  </si>
  <si>
    <t>http://www.imdb.com/title/tt0114898/?ref_=fn_tt_tt_1</t>
  </si>
  <si>
    <t>Stephen Sommers</t>
  </si>
  <si>
    <t>G.I. Joe: The Rise of Cobra</t>
  </si>
  <si>
    <t>Dennis Quaid</t>
  </si>
  <si>
    <t>Leo Howard</t>
  </si>
  <si>
    <t>cobra|gi joe|snake|train|warhead</t>
  </si>
  <si>
    <t>http://www.imdb.com/title/tt1046173/?ref_=fn_tt_tt_1</t>
  </si>
  <si>
    <t>Inside Out</t>
  </si>
  <si>
    <t>Adventure|Animation|Comedy|Drama|Family|Fantasy</t>
  </si>
  <si>
    <t>Mindy Kaling</t>
  </si>
  <si>
    <t>Phyllis Smith</t>
  </si>
  <si>
    <t>anger|joy|memory|running away|sadness</t>
  </si>
  <si>
    <t>http://www.imdb.com/title/tt2096673/?ref_=fn_tt_tt_1</t>
  </si>
  <si>
    <t>The Jungle Book</t>
  </si>
  <si>
    <t>Adventure|Drama|Family|Fantasy</t>
  </si>
  <si>
    <t>Bill Murray</t>
  </si>
  <si>
    <t>Garry Shandling</t>
  </si>
  <si>
    <t>fire|jungle|remake|tiger|wolf</t>
  </si>
  <si>
    <t>http://www.imdb.com/title/tt3040964/?ref_=fn_tt_tt_1</t>
  </si>
  <si>
    <t>Iron Man 2</t>
  </si>
  <si>
    <t>hammer|military|monaco|revenge|tony stark</t>
  </si>
  <si>
    <t>http://www.imdb.com/title/tt1228705/?ref_=fn_tt_tt_1</t>
  </si>
  <si>
    <t>Rupert Sanders</t>
  </si>
  <si>
    <t>Snow White and the Huntsman</t>
  </si>
  <si>
    <t>Action|Adventure|Drama|Fantasy</t>
  </si>
  <si>
    <t>Kristen Stewart</t>
  </si>
  <si>
    <t>evil queen|fairy tale|magic|queen|snow white</t>
  </si>
  <si>
    <t>http://www.imdb.com/title/tt1735898/?ref_=fn_tt_tt_1</t>
  </si>
  <si>
    <t>Robert Stromberg</t>
  </si>
  <si>
    <t>Maleficent</t>
  </si>
  <si>
    <t>Action|Adventure|Family|Fantasy|Romance</t>
  </si>
  <si>
    <t>Angelina Jolie Pitt</t>
  </si>
  <si>
    <t>Sharlto Copley</t>
  </si>
  <si>
    <t>Sam Riley</t>
  </si>
  <si>
    <t>curse|dark fantasy|fairy|king|kingdom</t>
  </si>
  <si>
    <t>http://www.imdb.com/title/tt1587310/?ref_=fn_tt_tt_1</t>
  </si>
  <si>
    <t>Matt Reeves</t>
  </si>
  <si>
    <t>Dawn of the Planet of the Apes</t>
  </si>
  <si>
    <t>Action|Adventure|Drama|Sci-Fi</t>
  </si>
  <si>
    <t>Kodi Smit-McPhee</t>
  </si>
  <si>
    <t>ape|dam|leader|post apocalypse|sequel</t>
  </si>
  <si>
    <t>http://www.imdb.com/title/tt2103281/?ref_=fn_tt_tt_1</t>
  </si>
  <si>
    <t>Carl Rinsch</t>
  </si>
  <si>
    <t>47 Ronin</t>
  </si>
  <si>
    <t>Keanu Reeves</t>
  </si>
  <si>
    <t>Cary-Hiroyuki Tagawa</t>
  </si>
  <si>
    <t>Jin Akanishi</t>
  </si>
  <si>
    <t>box office flop|ronin|samurai|shogun|tournament</t>
  </si>
  <si>
    <t>http://www.imdb.com/title/tt1335975/?ref_=fn_tt_tt_1</t>
  </si>
  <si>
    <t>Captain America: The Winter Soldier</t>
  </si>
  <si>
    <t>Hayley Atwell</t>
  </si>
  <si>
    <t>conspiracy|heroism|megalomaniac|super soldier|world domination</t>
  </si>
  <si>
    <t>http://www.imdb.com/title/tt1843866/?ref_=fn_tt_tt_1</t>
  </si>
  <si>
    <t>Mike Mitchell</t>
  </si>
  <si>
    <t>Shrek Forever After</t>
  </si>
  <si>
    <t>Jon Hamm</t>
  </si>
  <si>
    <t>Kathy Griffin</t>
  </si>
  <si>
    <t>Mary Kay Place</t>
  </si>
  <si>
    <t>alternate world|fairy tale parody|female warrior|ogre|true love</t>
  </si>
  <si>
    <t>http://www.imdb.com/title/tt0892791/?ref_=fn_tt_tt_1</t>
  </si>
  <si>
    <t>Brad Bird</t>
  </si>
  <si>
    <t>Tomorrowland</t>
  </si>
  <si>
    <t>Action|Adventure|Family|Mystery|Sci-Fi</t>
  </si>
  <si>
    <t>Chris Bauer</t>
  </si>
  <si>
    <t>Thomas Robinson</t>
  </si>
  <si>
    <t>boy genius|futuristic city|inventor|teenage girl|time travel</t>
  </si>
  <si>
    <t>http://www.imdb.com/title/tt1964418/?ref_=fn_tt_tt_1</t>
  </si>
  <si>
    <t>Don Hall</t>
  </si>
  <si>
    <t>Big Hero 6</t>
  </si>
  <si>
    <t>Action|Adventure|Animation|Comedy|Drama|Family|Sci-Fi</t>
  </si>
  <si>
    <t>Damon Wayans Jr.</t>
  </si>
  <si>
    <t>Daniel Henney</t>
  </si>
  <si>
    <t>Abraham Benrubi</t>
  </si>
  <si>
    <t>high tech|martial arts|masked man|robot|superhero</t>
  </si>
  <si>
    <t>http://www.imdb.com/title/tt2245084/?ref_=fn_tt_tt_1</t>
  </si>
  <si>
    <t>Rich Moore</t>
  </si>
  <si>
    <t>Wreck-It Ralph</t>
  </si>
  <si>
    <t>Adventure|Animation|Comedy|Family|Sci-Fi</t>
  </si>
  <si>
    <t>Jack McBrayer</t>
  </si>
  <si>
    <t>Sarah Silverman</t>
  </si>
  <si>
    <t>Joe Lo Truglio</t>
  </si>
  <si>
    <t>arcade|candy|glitch|king|medal</t>
  </si>
  <si>
    <t>http://www.imdb.com/title/tt1772341/?ref_=fn_tt_tt_1</t>
  </si>
  <si>
    <t>The Polar Express</t>
  </si>
  <si>
    <t>Adventure|Animation|Family|Fantasy</t>
  </si>
  <si>
    <t>Eddie Deezen</t>
  </si>
  <si>
    <t>Peter Scolari</t>
  </si>
  <si>
    <t>boy|christmas|christmas eve|north pole|train</t>
  </si>
  <si>
    <t>http://www.imdb.com/title/tt0338348/?ref_=fn_tt_tt_1</t>
  </si>
  <si>
    <t>Independence Day: Resurgence</t>
  </si>
  <si>
    <t>Vivica A. Fox</t>
  </si>
  <si>
    <t>Sela Ward</t>
  </si>
  <si>
    <t>Judd Hirsch</t>
  </si>
  <si>
    <t>alien|battle|defense|independence day|mothership</t>
  </si>
  <si>
    <t>http://www.imdb.com/title/tt1628841/?ref_=fn_tt_tt_1</t>
  </si>
  <si>
    <t>Dean DeBlois</t>
  </si>
  <si>
    <t>How to Train Your Dragon</t>
  </si>
  <si>
    <t>Gerard Butler</t>
  </si>
  <si>
    <t>America Ferrera</t>
  </si>
  <si>
    <t>Craig Ferguson</t>
  </si>
  <si>
    <t>dragon|island|training|viking|village</t>
  </si>
  <si>
    <t>http://www.imdb.com/title/tt0892769/?ref_=fn_tt_tt_1</t>
  </si>
  <si>
    <t>Jonathan Mostow</t>
  </si>
  <si>
    <t>Terminator 3: Rise of the Machines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</si>
  <si>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</si>
  <si>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</si>
  <si>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</si>
  <si>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</si>
  <si>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</si>
  <si>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</si>
  <si>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</si>
  <si>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Guardians of the Galaxy</t>
  </si>
  <si>
    <t>Bradley Cooper</t>
  </si>
  <si>
    <t>Djimon Hounsou</t>
  </si>
  <si>
    <t>bounty hunter|outer space|raccoon|talking animal|tree</t>
  </si>
  <si>
    <t>http://www.imdb.com/title/tt2015381/?ref_=fn_tt_tt_1</t>
  </si>
  <si>
    <t>Interstellar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</si>
  <si>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</si>
  <si>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</si>
  <si>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</si>
  <si>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</si>
  <si>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</si>
  <si>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Inception</t>
  </si>
  <si>
    <t>ambiguous ending|corporate espionage|dream|subconscious|thief</t>
  </si>
  <si>
    <t>http://www.imdb.com/title/tt1375666/?ref_=fn_tt_tt_1</t>
  </si>
  <si>
    <t>The Fast and the Furious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</si>
  <si>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</si>
  <si>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</si>
  <si>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</si>
  <si>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</si>
  <si>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The Curious Case of Benjamin Button</t>
  </si>
  <si>
    <t>Drama|Fantasy|Romance</t>
  </si>
  <si>
    <t>Jason Flemyng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</si>
  <si>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</si>
  <si>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</si>
  <si>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</si>
  <si>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</si>
  <si>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</t>
  </si>
  <si>
    <t>cia|cia agent|mutant|nuclear war|professor</t>
  </si>
  <si>
    <t>http://www.imdb.com/title/tt1270798/?ref_=fn_tt_tt_1</t>
  </si>
  <si>
    <t>Francis Lawrence</t>
  </si>
  <si>
    <t>The Hunger Games: Mockingjay - Part 2</t>
  </si>
  <si>
    <t>Adventure|Sci-Fi</t>
  </si>
  <si>
    <t>Philip Seymour Hoffman</t>
  </si>
  <si>
    <t>Josh Hutcherson</t>
  </si>
  <si>
    <t>death of sister|dystopia|execution|rebellion|revolution</t>
  </si>
  <si>
    <t>http://www.imdb.com/title/tt1951266/?ref_=fn_tt_tt_1</t>
  </si>
  <si>
    <t>Jon Turteltaub</t>
  </si>
  <si>
    <t>The Sorcerer's Apprentice</t>
  </si>
  <si>
    <t>Nicolas Cage</t>
  </si>
  <si>
    <t>Omar Benson Miller</t>
  </si>
  <si>
    <t>Robert Capron</t>
  </si>
  <si>
    <t>chosen one|enchanted object|love|spell|training</t>
  </si>
  <si>
    <t>http://www.imdb.com/title/tt0963966/?ref_=fn_tt_tt_1</t>
  </si>
  <si>
    <t>Wolfgang Petersen</t>
  </si>
  <si>
    <t>Poseidon</t>
  </si>
  <si>
    <t>Action|Adventure|Drama|Thriller</t>
  </si>
  <si>
    <t>Mike Vogel</t>
  </si>
  <si>
    <t>Andre Braugher</t>
  </si>
  <si>
    <t>cruise|escape|ocean|passenger|water</t>
  </si>
  <si>
    <t>http://www.imdb.com/title/tt0409182/?ref_=fn_tt_tt_1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</si>
  <si>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</si>
  <si>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</si>
  <si>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</si>
  <si>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</si>
  <si>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Chris Miller</t>
  </si>
  <si>
    <t>Shrek the Third</t>
  </si>
  <si>
    <t>Justin Timberlake</t>
  </si>
  <si>
    <t>Eric Idle</t>
  </si>
  <si>
    <t>Rupert Everett</t>
  </si>
  <si>
    <t>disney spoof|fairy tale|prince|princess|tough guy</t>
  </si>
  <si>
    <t>http://www.imdb.com/title/tt0413267/?ref_=fn_tt_tt_1</t>
  </si>
  <si>
    <t>Duncan Jones</t>
  </si>
  <si>
    <t>Warcraft</t>
  </si>
  <si>
    <t>Dominic Cooper</t>
  </si>
  <si>
    <t>Callum Rennie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</si>
  <si>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</si>
  <si>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</si>
  <si>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</si>
  <si>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</si>
  <si>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Terminator Genisys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</si>
  <si>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</si>
  <si>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</si>
  <si>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</si>
  <si>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</si>
  <si>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</si>
  <si>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The Chronicles of Narnia: The Voyage of the Dawn Treader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</si>
  <si>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</si>
  <si>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</si>
  <si>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</si>
  <si>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</si>
  <si>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</si>
  <si>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Pearl Harbor</t>
  </si>
  <si>
    <t>Action|Drama|History|Romance|War</t>
  </si>
  <si>
    <t>Jennifer Garner</t>
  </si>
  <si>
    <t>Jaime King</t>
  </si>
  <si>
    <t>Mako</t>
  </si>
  <si>
    <t>air raid|black smoke|japanese military|japanese navy|sunday</t>
  </si>
  <si>
    <t>http://www.imdb.com/title/tt0213149/?ref_=fn_tt_tt_1</t>
  </si>
  <si>
    <t>Transformers</t>
  </si>
  <si>
    <t>Zack Ward</t>
  </si>
  <si>
    <t>Michael O'Neill</t>
  </si>
  <si>
    <t>alien contact|autobot|decepticon|robot vs. robot|teenage hero</t>
  </si>
  <si>
    <t>http://www.imdb.com/title/tt0418279/?ref_=fn_tt_tt_1</t>
  </si>
  <si>
    <t>Oliver Stone</t>
  </si>
  <si>
    <t>Alexander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</si>
  <si>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</si>
  <si>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</si>
  <si>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</si>
  <si>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</si>
  <si>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</si>
  <si>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</si>
  <si>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Harry Potter and the Order of the Phoenix</t>
  </si>
  <si>
    <t>Robert Pattinson</t>
  </si>
  <si>
    <t>Fiona Shaw</t>
  </si>
  <si>
    <t>battle|magic|school|teacher|wizard</t>
  </si>
  <si>
    <t>http://www.imdb.com/title/tt0373889/?ref_=fn_tt_tt_1</t>
  </si>
  <si>
    <t>Harry Potter and the Goblet of Fire</t>
  </si>
  <si>
    <t>fire|goblet|magic|tournament|wizard</t>
  </si>
  <si>
    <t>http://www.imdb.com/title/tt0330373/?ref_=fn_tt_tt_1</t>
  </si>
  <si>
    <t>Hancock</t>
  </si>
  <si>
    <t>Action|Drama</t>
  </si>
  <si>
    <t>Charlize Theron</t>
  </si>
  <si>
    <t>bully comeuppance|destruction|prison|superhero|tough girl</t>
  </si>
  <si>
    <t>http://www.imdb.com/title/tt0448157/?ref_=fn_tt_tt_1</t>
  </si>
  <si>
    <t>I Am Legend</t>
  </si>
  <si>
    <t>Drama|Horror|Sci-Fi</t>
  </si>
  <si>
    <t>Alice Braga</t>
  </si>
  <si>
    <t>Willow Smith</t>
  </si>
  <si>
    <t>new york city|pandemic|post apocalypse|survivalist|virus</t>
  </si>
  <si>
    <t>http://www.imdb.com/title/tt0480249/?ref_=fn_tt_tt_1</t>
  </si>
  <si>
    <t>Charlie and the Chocolate Factory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</si>
  <si>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</si>
  <si>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</si>
  <si>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</si>
  <si>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</si>
  <si>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Ratatouille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</si>
  <si>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</si>
  <si>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</si>
  <si>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</si>
  <si>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</si>
  <si>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</si>
  <si>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Batman Begins</t>
  </si>
  <si>
    <t>armored car|gangster|gotham|mixed martial arts|social decay</t>
  </si>
  <si>
    <t>http://www.imdb.com/title/tt0372784/?ref_=fn_tt_tt_1</t>
  </si>
  <si>
    <t>Eric Darnell</t>
  </si>
  <si>
    <t>Madagascar: Escape 2 Africa</t>
  </si>
  <si>
    <t>Action|Adventure|Animation|Comedy|Family</t>
  </si>
  <si>
    <t>Bernie Mac</t>
  </si>
  <si>
    <t>Jada Pinkett Smith</t>
  </si>
  <si>
    <t>Cedric the Entertainer</t>
  </si>
  <si>
    <t>africa|madagascar|new york city|sequel|zoo</t>
  </si>
  <si>
    <t>http://www.imdb.com/title/tt0479952/?ref_=fn_tt_tt_1</t>
  </si>
  <si>
    <t>Shawn Levy</t>
  </si>
  <si>
    <t>Night at the Museum: Battle of the Smithsonian</t>
  </si>
  <si>
    <t>Robin Williams</t>
  </si>
  <si>
    <t>Rami Malek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</si>
  <si>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</si>
  <si>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</si>
  <si>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</si>
  <si>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</si>
  <si>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</si>
  <si>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</si>
  <si>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</si>
  <si>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</si>
  <si>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The Matrix Revolutions</t>
  </si>
  <si>
    <t>Essie Davis</t>
  </si>
  <si>
    <t>Collin Chou</t>
  </si>
  <si>
    <t>Nona Gaye</t>
  </si>
  <si>
    <t>battle|epic|fight|future|machine</t>
  </si>
  <si>
    <t>http://www.imdb.com/title/tt0242653/?ref_=fn_tt_tt_1</t>
  </si>
  <si>
    <t>Chris Buck</t>
  </si>
  <si>
    <t>Frozen</t>
  </si>
  <si>
    <t>Adventure|Animation|Comedy|Family|Fantasy|Musical</t>
  </si>
  <si>
    <t>Josh Gad</t>
  </si>
  <si>
    <t>Maurice LaMarche</t>
  </si>
  <si>
    <t>Livvy Stubenrauch</t>
  </si>
  <si>
    <t>magic|sister love|sister sister relationship|snow|snowman</t>
  </si>
  <si>
    <t>http://www.imdb.com/title/tt2294629/?ref_=fn_tt_tt_1</t>
  </si>
  <si>
    <t>The Matrix Reloaded</t>
  </si>
  <si>
    <t>Steve Bastoni</t>
  </si>
  <si>
    <t>Daniel Bernhardt</t>
  </si>
  <si>
    <t>Helmut Bakaitis</t>
  </si>
  <si>
    <t>car motorcycle chase|one against many|oracle|prophecy|stylized violence</t>
  </si>
  <si>
    <t>http://www.imdb.com/title/tt0234215/?ref_=fn_tt_tt_1</t>
  </si>
  <si>
    <t>Thor: The Dark World</t>
  </si>
  <si>
    <t>Natalie Portman</t>
  </si>
  <si>
    <t>arrest|portal|thor|warrior|weapon</t>
  </si>
  <si>
    <t>http://www.imdb.com/title/tt1981115/?ref_=fn_tt_tt_1</t>
  </si>
  <si>
    <t>George Miller</t>
  </si>
  <si>
    <t>Mad Max: Fury Road</t>
  </si>
  <si>
    <t>ZoÃ« Kravitz</t>
  </si>
  <si>
    <t>australia|desert|escape|on the run|post apocalypse</t>
  </si>
  <si>
    <t>http://www.imdb.com/title/tt1392190/?ref_=fn_tt_tt_1</t>
  </si>
  <si>
    <t>Ron Howard</t>
  </si>
  <si>
    <t>Angels &amp; Demons</t>
  </si>
  <si>
    <t>Mystery|Thriller</t>
  </si>
  <si>
    <t>Ayelet Zurer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</si>
  <si>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</si>
  <si>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</si>
  <si>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</si>
  <si>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</si>
  <si>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</t>
  </si>
  <si>
    <t>battle|marvel cinematic universe|scientist|thor|throne</t>
  </si>
  <si>
    <t>http://www.imdb.com/title/tt0800369/?ref_=fn_tt_tt_1</t>
  </si>
  <si>
    <t>Byron Howard</t>
  </si>
  <si>
    <t>Bolt</t>
  </si>
  <si>
    <t>Adventure|Animation|Comedy|Drama|Family</t>
  </si>
  <si>
    <t>Diedrich Bader</t>
  </si>
  <si>
    <t>James Lipton</t>
  </si>
  <si>
    <t>cat|dog|hamster|new york city|superpower</t>
  </si>
  <si>
    <t>http://www.imdb.com/title/tt0397892/?ref_=fn_tt_tt_1</t>
  </si>
  <si>
    <t>Hoyt Yeatman</t>
  </si>
  <si>
    <t>G-Force</t>
  </si>
  <si>
    <t>Action|Adventure|Animation|Comedy|Family|Fantasy|Sci-Fi</t>
  </si>
  <si>
    <t>Kelli Garner</t>
  </si>
  <si>
    <t>Piper Mackenzie Harris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</si>
  <si>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</si>
  <si>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</si>
  <si>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</si>
  <si>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</si>
  <si>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Wrath of the Titans</t>
  </si>
  <si>
    <t>Edgar RamÃ­rez</t>
  </si>
  <si>
    <t>Lily James</t>
  </si>
  <si>
    <t>ares|hades|titan|underworld|zeus</t>
  </si>
  <si>
    <t>http://www.imdb.com/title/tt1646987/?ref_=fn_tt_tt_1</t>
  </si>
  <si>
    <t>Dark Shadows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</si>
  <si>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</si>
  <si>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</si>
  <si>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</si>
  <si>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</si>
  <si>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Mission: Impossible - Rogue Nation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</si>
  <si>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</si>
  <si>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</si>
  <si>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</si>
  <si>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</si>
  <si>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</si>
  <si>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</si>
  <si>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The Wolfman</t>
  </si>
  <si>
    <t>Drama|Fantasy|Horror|Thriller</t>
  </si>
  <si>
    <t>Simon Merrells</t>
  </si>
  <si>
    <t>Art Malik</t>
  </si>
  <si>
    <t>asylum|death|full moon|transformation|werewolf</t>
  </si>
  <si>
    <t>http://www.imdb.com/title/tt0780653/?ref_=fn_tt_tt_1</t>
  </si>
  <si>
    <t>Steve Hickner</t>
  </si>
  <si>
    <t>Bee Movie</t>
  </si>
  <si>
    <t>Matthew Broderick</t>
  </si>
  <si>
    <t>Oprah Winfrey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</si>
  <si>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</si>
  <si>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</si>
  <si>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</si>
  <si>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</si>
  <si>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</si>
  <si>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</si>
  <si>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</si>
  <si>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</si>
  <si>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M. Night Shyamalan</t>
  </si>
  <si>
    <t>The Last Airbender</t>
  </si>
  <si>
    <t>Seychelle Gabriel</t>
  </si>
  <si>
    <t>Noah Ringer</t>
  </si>
  <si>
    <t>Aasif Mandvi</t>
  </si>
  <si>
    <t>avatar|fire|kingdom|tribe|water</t>
  </si>
  <si>
    <t>http://www.imdb.com/title/tt0938283/?ref_=fn_tt_tt_1</t>
  </si>
  <si>
    <t>Mission: Impossible III</t>
  </si>
  <si>
    <t>arms dealer|fictional government agency|mission|rescue|vatican</t>
  </si>
  <si>
    <t>http://www.imdb.com/title/tt0317919/?ref_=fn_tt_tt_1</t>
  </si>
  <si>
    <t>White House Down</t>
  </si>
  <si>
    <t>Action|Drama|Thriller</t>
  </si>
  <si>
    <t>Jake Weber</t>
  </si>
  <si>
    <t>Matt Craven</t>
  </si>
  <si>
    <t>black u.s. president|president|secret service|tour|white house</t>
  </si>
  <si>
    <t>http://www.imdb.com/title/tt2334879/?ref_=fn_tt_tt_1</t>
  </si>
  <si>
    <t>Simon Wells</t>
  </si>
  <si>
    <t>Mars Needs Moms</t>
  </si>
  <si>
    <t>Elisabeth Harnois</t>
  </si>
  <si>
    <t>Dan Fogler</t>
  </si>
  <si>
    <t>Tom Everett Scott</t>
  </si>
  <si>
    <t>boy|martian|rescue|robot|sexism</t>
  </si>
  <si>
    <t>http://www.imdb.com/title/tt1305591/?ref_=fn_tt_tt_1</t>
  </si>
  <si>
    <t>David Bowers</t>
  </si>
  <si>
    <t>Flushed Away</t>
  </si>
  <si>
    <t>David Suchet</t>
  </si>
  <si>
    <t>boat|frog|rat|sewer|toad</t>
  </si>
  <si>
    <t>http://www.imdb.com/title/tt0424095/?ref_=fn_tt_tt_1</t>
  </si>
  <si>
    <t>Joe Wright</t>
  </si>
  <si>
    <t>Pan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</si>
  <si>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</si>
  <si>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</si>
  <si>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</si>
  <si>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</si>
  <si>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</si>
  <si>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Mr. Peabody &amp; Sherman</t>
  </si>
  <si>
    <t>Ty Burrell</t>
  </si>
  <si>
    <t>Zach Callison</t>
  </si>
  <si>
    <t>Karan Brar</t>
  </si>
  <si>
    <t>dog|father son relationship|inventor|talking dog|time travel</t>
  </si>
  <si>
    <t>http://www.imdb.com/title/tt0864835/?ref_=fn_tt_tt_1</t>
  </si>
  <si>
    <t>Troy</t>
  </si>
  <si>
    <t>Adventure</t>
  </si>
  <si>
    <t>Julian Glover</t>
  </si>
  <si>
    <t>greek|mythology|prince|trojan|troy</t>
  </si>
  <si>
    <t>http://www.imdb.com/title/tt0332452/?ref_=fn_tt_tt_1</t>
  </si>
  <si>
    <t>Madagascar 3: Europe's Most Wanted</t>
  </si>
  <si>
    <t>Martin Short</t>
  </si>
  <si>
    <t>animal|circus|island name in title|lemur|penguin</t>
  </si>
  <si>
    <t>http://www.imdb.com/title/tt1277953/?ref_=fn_tt_tt_1</t>
  </si>
  <si>
    <t>Lee Tamahori</t>
  </si>
  <si>
    <t>Die Another Day</t>
  </si>
  <si>
    <t>Toby Stephens</t>
  </si>
  <si>
    <t>Colin Salmon</t>
  </si>
  <si>
    <t>Rick Yune</t>
  </si>
  <si>
    <t>catfight|clinic|colonel|diamond|patricide</t>
  </si>
  <si>
    <t>http://www.imdb.com/title/tt0246460/?ref_=fn_tt_tt_1</t>
  </si>
  <si>
    <t>Paul Feig</t>
  </si>
  <si>
    <t>Ghostbusters</t>
  </si>
  <si>
    <t>Action|Comedy|Fantasy|Sci-Fi</t>
  </si>
  <si>
    <t>Ed Begley Jr.</t>
  </si>
  <si>
    <t>Kate McKinnon</t>
  </si>
  <si>
    <t>Zach Woods</t>
  </si>
  <si>
    <t>ghost|ghostbuster|ghostbusters|male objectification|reboot</t>
  </si>
  <si>
    <t>http://www.imdb.com/title/tt1289401/?ref_=fn_tt_tt_1</t>
  </si>
  <si>
    <t>Armageddon</t>
  </si>
  <si>
    <t>Bruce Willis</t>
  </si>
  <si>
    <t>Will Patton</t>
  </si>
  <si>
    <t>asteroid|astronaut|bomb|meteorite|outer space</t>
  </si>
  <si>
    <t>http://www.imdb.com/title/tt0120591/?ref_=fn_tt_tt_1</t>
  </si>
  <si>
    <t>Men in Black II</t>
  </si>
  <si>
    <t>Action|Adventure|Comedy|Family|Fantasy|Mystery|Sci-Fi</t>
  </si>
  <si>
    <t>Rosario Dawson</t>
  </si>
  <si>
    <t>alien|lingerie|lingerie model|m.i.b.|pug</t>
  </si>
  <si>
    <t>http://www.imdb.com/title/tt0120912/?ref_=fn_tt_tt_1</t>
  </si>
  <si>
    <t>Beowulf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</si>
  <si>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</si>
  <si>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</si>
  <si>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</si>
  <si>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</si>
  <si>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</si>
  <si>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Kung Fu Panda 3</t>
  </si>
  <si>
    <t>Wayne Knight</t>
  </si>
  <si>
    <t>china|kung fu|panda|pig|village</t>
  </si>
  <si>
    <t>http://www.imdb.com/title/tt2267968/?ref_=fn_tt_tt_1</t>
  </si>
  <si>
    <t>Mission: Impossible - Ghost Protocol</t>
  </si>
  <si>
    <t>Michael Nyqvist</t>
  </si>
  <si>
    <t>dubai|kremlin|race against time|russian|terrorist</t>
  </si>
  <si>
    <t>http://www.imdb.com/title/tt1229238/?ref_=fn_tt_tt_1</t>
  </si>
  <si>
    <t>Peter Ramsey</t>
  </si>
  <si>
    <t>Rise of the Guardians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</si>
  <si>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</si>
  <si>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</si>
  <si>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</si>
  <si>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</si>
  <si>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</si>
  <si>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Fun with Dick and Jane</t>
  </si>
  <si>
    <t>Comedy|Crime</t>
  </si>
  <si>
    <t>John Michael Higgins</t>
  </si>
  <si>
    <t>Richard Burgi</t>
  </si>
  <si>
    <t>David Herman</t>
  </si>
  <si>
    <t>animal abuse|ceo|heist|suburb|unemployment</t>
  </si>
  <si>
    <t>http://www.imdb.com/title/tt0369441/?ref_=fn_tt_tt_1</t>
  </si>
  <si>
    <t>Edward Zwick</t>
  </si>
  <si>
    <t>The Last Samurai</t>
  </si>
  <si>
    <t>Action|Drama|History|War</t>
  </si>
  <si>
    <t>Tony Goldwyn</t>
  </si>
  <si>
    <t>Chad Lindberg</t>
  </si>
  <si>
    <t>captain|emperor|honor|japan|samurai</t>
  </si>
  <si>
    <t>http://www.imdb.com/title/tt0325710/?ref_=fn_tt_tt_1</t>
  </si>
  <si>
    <t>Exodus: Gods and Kings</t>
  </si>
  <si>
    <t>Action|Adventure|Drama</t>
  </si>
  <si>
    <t>MarÃ­a Valverde</t>
  </si>
  <si>
    <t>Ben Mendelsohn</t>
  </si>
  <si>
    <t>egypt|exodus|moses|pharaoh|plague</t>
  </si>
  <si>
    <t>http://www.imdb.com/title/tt1528100/?ref_=fn_tt_tt_1</t>
  </si>
  <si>
    <t>Star Trek</t>
  </si>
  <si>
    <t>Leonard Nimoy</t>
  </si>
  <si>
    <t>box office hit|future|lifted by the throat|star trek|vulcan</t>
  </si>
  <si>
    <t>http://www.imdb.com/title/tt0796366/?ref_=fn_tt_tt_1</t>
  </si>
  <si>
    <t>Spider-Man</t>
  </si>
  <si>
    <t>evil|goblin|spider|spider man|superhero</t>
  </si>
  <si>
    <t>http://www.imdb.com/title/tt0145487/?ref_=fn_tt_tt_1</t>
  </si>
  <si>
    <t>How to Train Your Dragon 2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</si>
  <si>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</si>
  <si>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</si>
  <si>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</si>
  <si>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</si>
  <si>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Gods of Egypt</t>
  </si>
  <si>
    <t>Elodie Yung</t>
  </si>
  <si>
    <t>Bryan Brown</t>
  </si>
  <si>
    <t>ancient egypt|egypt|egyptian|egyptian god|egyptian goddess</t>
  </si>
  <si>
    <t>http://www.imdb.com/title/tt2404233/?ref_=fn_tt_tt_1</t>
  </si>
  <si>
    <t>Stealth</t>
  </si>
  <si>
    <t>Sam Shepard</t>
  </si>
  <si>
    <t>Joe Morton</t>
  </si>
  <si>
    <t>Richard Roxburgh</t>
  </si>
  <si>
    <t>artificial intelligence|box office flop|fighter jet|navy|pilot</t>
  </si>
  <si>
    <t>http://www.imdb.com/title/tt0382992/?ref_=fn_tt_tt_1</t>
  </si>
  <si>
    <t>Watchmen</t>
  </si>
  <si>
    <t>Action|Drama|Mystery|Sci-Fi</t>
  </si>
  <si>
    <t>Matt Frewer</t>
  </si>
  <si>
    <t>Billy Crudup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</si>
  <si>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</si>
  <si>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</si>
  <si>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</si>
  <si>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</si>
  <si>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Lethal Weapon 4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</si>
  <si>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</si>
  <si>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</si>
  <si>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</si>
  <si>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</si>
  <si>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</si>
  <si>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Hulk</t>
  </si>
  <si>
    <t>Kevin Rankin</t>
  </si>
  <si>
    <t>Regi Davis</t>
  </si>
  <si>
    <t>Celia Weston</t>
  </si>
  <si>
    <t>1980s|c 130 hercules|monster|panzer|san francisco california</t>
  </si>
  <si>
    <t>http://www.imdb.com/title/tt0286716/?ref_=fn_tt_tt_1</t>
  </si>
  <si>
    <t>Jon M. Chu</t>
  </si>
  <si>
    <t>G.I. Joe: Retaliation</t>
  </si>
  <si>
    <t>Dwayne Johnson</t>
  </si>
  <si>
    <t>general|gi joe|martial arts|ninja|president</t>
  </si>
  <si>
    <t>http://www.imdb.com/title/tt1583421/?ref_=fn_tt_tt_1</t>
  </si>
  <si>
    <t>Breck Eisner</t>
  </si>
  <si>
    <t>Sahara</t>
  </si>
  <si>
    <t>Action|Adventure|Comedy|Thriller</t>
  </si>
  <si>
    <t>beach|civil war|desert|dictator|ship</t>
  </si>
  <si>
    <t>http://www.imdb.com/title/tt0318649/?ref_=fn_tt_tt_1</t>
  </si>
  <si>
    <t>Hironobu Sakaguchi</t>
  </si>
  <si>
    <t>Final Fantasy: The Spirits Within</t>
  </si>
  <si>
    <t>Action|Adventure|Animation|Fantasy|Romance|Sci-Fi</t>
  </si>
  <si>
    <t>Ming-Na Wen</t>
  </si>
  <si>
    <t>Jean Simmons</t>
  </si>
  <si>
    <t>general|military|scientist|soldier|year 2065</t>
  </si>
  <si>
    <t>http://www.imdb.com/title/tt0173840/?ref_=fn_tt_tt_1</t>
  </si>
  <si>
    <t>Captain America: The First Avenger</t>
  </si>
  <si>
    <t>arctic|captain america|scientist|tesseract|war bond</t>
  </si>
  <si>
    <t>http://www.imdb.com/title/tt0458339/?ref_=fn_tt_tt_1</t>
  </si>
  <si>
    <t>The World Is Not Enough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</si>
  <si>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</si>
  <si>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</si>
  <si>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</si>
  <si>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</si>
  <si>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</si>
  <si>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Master and Commander: The Far Side of the World</t>
  </si>
  <si>
    <t>Action|Adventure|Drama|History|War</t>
  </si>
  <si>
    <t>James D'Arcy</t>
  </si>
  <si>
    <t>Lee Ingleby</t>
  </si>
  <si>
    <t>David Threlfall</t>
  </si>
  <si>
    <t>1800s|napoleonic wars|pursuit|royal navy|ship</t>
  </si>
  <si>
    <t>http://www.imdb.com/title/tt0311113/?ref_=fn_tt_tt_1</t>
  </si>
  <si>
    <t>Bill Condon</t>
  </si>
  <si>
    <t>The Twilight Saga: Breaking Dawn - Part 2</t>
  </si>
  <si>
    <t>Adventure|Drama|Fantasy|Romance</t>
  </si>
  <si>
    <t>Taylor Lautner</t>
  </si>
  <si>
    <t>battle|friend|super strength|vampire|vision</t>
  </si>
  <si>
    <t>http://www.imdb.com/title/tt1673434/?ref_=fn_tt_tt_1</t>
  </si>
  <si>
    <t>Happy Feet 2</t>
  </si>
  <si>
    <t>Animation|Comedy|Family|Musical</t>
  </si>
  <si>
    <t>3d|antarctica|krill|penguin|sequel</t>
  </si>
  <si>
    <t>http://www.imdb.com/title/tt1402488/?ref_=fn_tt_tt_1</t>
  </si>
  <si>
    <t>Louis Leterrier</t>
  </si>
  <si>
    <t>The Incredible Hulk</t>
  </si>
  <si>
    <t>Peter Mensah</t>
  </si>
  <si>
    <t>antidote|cure|hulk|marvel cinematic universe|opening action scene</t>
  </si>
  <si>
    <t>http://www.imdb.com/title/tt0800080/?ref_=fn_tt_tt_1</t>
  </si>
  <si>
    <t>The BFG</t>
  </si>
  <si>
    <t>Mark Rylance</t>
  </si>
  <si>
    <t>Penelope Wilton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</si>
  <si>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</si>
  <si>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</si>
  <si>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</si>
  <si>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</si>
  <si>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</si>
  <si>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</si>
  <si>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</si>
  <si>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</si>
  <si>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</si>
  <si>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</si>
  <si>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Turbo</t>
  </si>
  <si>
    <t>Snoop Dogg</t>
  </si>
  <si>
    <t>Ben Schwartz</t>
  </si>
  <si>
    <t>accident|freak accident|race|snail|underdog</t>
  </si>
  <si>
    <t>http://www.imdb.com/title/tt1860353/?ref_=fn_tt_tt_1</t>
  </si>
  <si>
    <t>Rango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</si>
  <si>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</si>
  <si>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</si>
  <si>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</si>
  <si>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</si>
  <si>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Penguins of Madagascar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</si>
  <si>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</si>
  <si>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</si>
  <si>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</si>
  <si>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</si>
  <si>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</si>
  <si>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The Bourne Ultimatum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</si>
  <si>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</si>
  <si>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</si>
  <si>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</si>
  <si>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</si>
  <si>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</si>
  <si>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 Panda</t>
  </si>
  <si>
    <t>kung fu|kung fu master|master|panda|snow leopard</t>
  </si>
  <si>
    <t>http://www.imdb.com/title/tt0441773/?ref_=fn_tt_tt_1</t>
  </si>
  <si>
    <t>Peyton Reed</t>
  </si>
  <si>
    <t>Ant-Man</t>
  </si>
  <si>
    <t>T.I.</t>
  </si>
  <si>
    <t>ant|chinatown san francisco|heist|sabotage|vault</t>
  </si>
  <si>
    <t>http://www.imdb.com/title/tt0478970/?ref_=fn_tt_tt_1</t>
  </si>
  <si>
    <t>The Hunger Games: Catching Fire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</si>
  <si>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</si>
  <si>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</si>
  <si>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</si>
  <si>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</si>
  <si>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</si>
  <si>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Home</t>
  </si>
  <si>
    <t>Adventure|Animation|Comedy|Family|Fantasy|Sci-Fi</t>
  </si>
  <si>
    <t>Jim Parsons</t>
  </si>
  <si>
    <t>Matt Jones</t>
  </si>
  <si>
    <t>April Winchell</t>
  </si>
  <si>
    <t>alien friendship|alien invasion|australia|flying car|mother daughter relationship</t>
  </si>
  <si>
    <t>http://www.imdb.com/title/tt2224026/?ref_=fn_tt_tt_1</t>
  </si>
  <si>
    <t>War of the Worlds</t>
  </si>
  <si>
    <t>Lisa Ann Walter</t>
  </si>
  <si>
    <t>Rick Gonzalez</t>
  </si>
  <si>
    <t>alien|fight|storm|survival|tripod</t>
  </si>
  <si>
    <t>http://www.imdb.com/title/tt0407304/?ref_=fn_tt_tt_1</t>
  </si>
  <si>
    <t>Bad Boys II</t>
  </si>
  <si>
    <t>Henry Rollins</t>
  </si>
  <si>
    <t>Jordi MollÃ </t>
  </si>
  <si>
    <t>cuba|dea|drugs|money|undercover</t>
  </si>
  <si>
    <t>http://www.imdb.com/title/tt0172156/?ref_=fn_tt_tt_1</t>
  </si>
  <si>
    <t>Puss in Boots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</si>
  <si>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</si>
  <si>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</si>
  <si>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</si>
  <si>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</si>
  <si>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</si>
  <si>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Salt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</si>
  <si>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</si>
  <si>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</si>
  <si>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</si>
  <si>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</si>
  <si>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</si>
  <si>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Noah</t>
  </si>
  <si>
    <t>Emma Watson</t>
  </si>
  <si>
    <t>Logan Lerman</t>
  </si>
  <si>
    <t>ark|flood|noah's ark|water|wrath of god</t>
  </si>
  <si>
    <t>http://www.imdb.com/title/tt1959490/?ref_=fn_tt_tt_1</t>
  </si>
  <si>
    <t>The Adventures of Tintin</t>
  </si>
  <si>
    <t>Action|Adventure|Family|Mystery</t>
  </si>
  <si>
    <t>Toby Jones</t>
  </si>
  <si>
    <t>Mackenzie Crook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</si>
  <si>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</si>
  <si>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</si>
  <si>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</si>
  <si>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</si>
  <si>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</si>
  <si>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</si>
  <si>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</si>
  <si>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</si>
  <si>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</si>
  <si>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</si>
  <si>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</si>
  <si>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After Earth</t>
  </si>
  <si>
    <t>box office flop|father son team|fear|race against time|real life father and son playing father and son</t>
  </si>
  <si>
    <t>http://www.imdb.com/title/tt1815862/?ref_=fn_tt_tt_1</t>
  </si>
  <si>
    <t>Eric Leighton</t>
  </si>
  <si>
    <t>Dinosaur</t>
  </si>
  <si>
    <t>Adventure|Animation|Family|Thriller</t>
  </si>
  <si>
    <t>Alfre Woodard</t>
  </si>
  <si>
    <t>D.B. Sweeney</t>
  </si>
  <si>
    <t>Della Reese</t>
  </si>
  <si>
    <t>egg|iguanodon|lemur|meteor|nesting grounds</t>
  </si>
  <si>
    <t>http://www.imdb.com/title/tt0130623/?ref_=fn_tt_tt_1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</si>
  <si>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</si>
  <si>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</si>
  <si>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</si>
  <si>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</si>
  <si>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</si>
  <si>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</si>
  <si>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</si>
  <si>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</si>
  <si>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</si>
  <si>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</si>
  <si>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</t>
  </si>
  <si>
    <t>Verne Troyer</t>
  </si>
  <si>
    <t>based on novel|birthday|evil wizard|quidditch|wizard</t>
  </si>
  <si>
    <t>http://www.imdb.com/title/tt0241527/?ref_=fn_tt_tt_1</t>
  </si>
  <si>
    <t>Robert Schwentke</t>
  </si>
  <si>
    <t>R.I.P.D.</t>
  </si>
  <si>
    <t>Action|Comedy|Fantasy</t>
  </si>
  <si>
    <t>Stephanie Szostak</t>
  </si>
  <si>
    <t>drug dealer|gold|partner|police|undead</t>
  </si>
  <si>
    <t>http://www.imdb.com/title/tt0790736/?ref_=fn_tt_tt_1</t>
  </si>
  <si>
    <t>Pirates of the Caribbean: The Curse of the Black Pearl</t>
  </si>
  <si>
    <t>caribbean|curse|governor|pirate|undead</t>
  </si>
  <si>
    <t>http://www.imdb.com/title/tt0325980/?ref_=fn_tt_tt_1</t>
  </si>
  <si>
    <t>The Hunger Games: Mockingjay - Part 1</t>
  </si>
  <si>
    <t>based on young adult novel|manipulation|rebellion|symbol|uprising</t>
  </si>
  <si>
    <t>http://www.imdb.com/title/tt1951265/?ref_=fn_tt_tt_1</t>
  </si>
  <si>
    <t>The Da Vinci Code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</si>
  <si>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</si>
  <si>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</si>
  <si>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</si>
  <si>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</si>
  <si>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</si>
  <si>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Rio 2</t>
  </si>
  <si>
    <t>Adventure|Animation|Comedy|Family|Musical</t>
  </si>
  <si>
    <t>Miguel Ferrer</t>
  </si>
  <si>
    <t>Rachel Crow</t>
  </si>
  <si>
    <t>Jeffrey Garcia</t>
  </si>
  <si>
    <t>amazon|bird|father in law|jungle|no opening credits</t>
  </si>
  <si>
    <t>http://www.imdb.com/title/tt2357291/?ref_=fn_tt_tt_1</t>
  </si>
  <si>
    <t>X-Men 2</t>
  </si>
  <si>
    <t>Bruce Davison</t>
  </si>
  <si>
    <t>Aaron Stanford</t>
  </si>
  <si>
    <t>mutant|prison|professor|school|x men</t>
  </si>
  <si>
    <t>http://www.imdb.com/title/tt0290334/?ref_=fn_tt_tt_1</t>
  </si>
  <si>
    <t>Fast Five</t>
  </si>
  <si>
    <t>drug lord|drugs|federal agent|heist|police</t>
  </si>
  <si>
    <t>http://www.imdb.com/title/tt1596343/?ref_=fn_tt_tt_1</t>
  </si>
  <si>
    <t>Guy Ritchie</t>
  </si>
  <si>
    <t>Sherlock Holmes: A Game of Shadows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</si>
  <si>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</si>
  <si>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</si>
  <si>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</si>
  <si>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</si>
  <si>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Clash of the Titans</t>
  </si>
  <si>
    <t>Alexa Davalos</t>
  </si>
  <si>
    <t>famous line|hand to hand combat|kraken|rape|zeus</t>
  </si>
  <si>
    <t>http://www.imdb.com/title/tt0800320/?ref_=fn_tt_tt_1</t>
  </si>
  <si>
    <t>Paul Verhoeven</t>
  </si>
  <si>
    <t>Total Recall</t>
  </si>
  <si>
    <t>Ronny Cox</t>
  </si>
  <si>
    <t>Rachel Ticotin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</si>
  <si>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</si>
  <si>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</si>
  <si>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</si>
  <si>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</si>
  <si>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The 13th Warrior</t>
  </si>
  <si>
    <t>Action|Adventure|History</t>
  </si>
  <si>
    <t>Vladimir Kulich</t>
  </si>
  <si>
    <t>Clive Russell</t>
  </si>
  <si>
    <t>arab|battle|combat|viking|warrior</t>
  </si>
  <si>
    <t>http://www.imdb.com/title/tt0120657/?ref_=fn_tt_tt_1</t>
  </si>
  <si>
    <t>Tony Gilroy</t>
  </si>
  <si>
    <t>The Bourne Legacy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</si>
  <si>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</si>
  <si>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</si>
  <si>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</si>
  <si>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</si>
  <si>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</si>
  <si>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Batman &amp; Robin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</si>
  <si>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</si>
  <si>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</si>
  <si>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</si>
  <si>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</si>
  <si>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</si>
  <si>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How the Grinch Stole Christmas</t>
  </si>
  <si>
    <t>Clint Howard</t>
  </si>
  <si>
    <t>T.J. Thyne</t>
  </si>
  <si>
    <t>Molly Shannon</t>
  </si>
  <si>
    <t>box office hit|christmas|materialism|public humiliation|snowflake</t>
  </si>
  <si>
    <t>http://www.imdb.com/title/tt0170016/?ref_=fn_tt_tt_1</t>
  </si>
  <si>
    <t>The Day After Tomorrow</t>
  </si>
  <si>
    <t>climate|end of the world|global warming|natural disaster|weather</t>
  </si>
  <si>
    <t>http://www.imdb.com/title/tt0319262/?ref_=fn_tt_tt_1</t>
  </si>
  <si>
    <t>John Woo</t>
  </si>
  <si>
    <t>Mission: Impossible II</t>
  </si>
  <si>
    <t>Dougray Scott</t>
  </si>
  <si>
    <t>cure|mission|terrorist|thief|virus</t>
  </si>
  <si>
    <t>http://www.imdb.com/title/tt0120755/?ref_=fn_tt_tt_1</t>
  </si>
  <si>
    <t>The Perfect Storm</t>
  </si>
  <si>
    <t>Karen Allen</t>
  </si>
  <si>
    <t>Mary Elizabeth Mastrantonio</t>
  </si>
  <si>
    <t>Bob Gunton</t>
  </si>
  <si>
    <t>death|fish|fishing|sea|storm</t>
  </si>
  <si>
    <t>http://www.imdb.com/title/tt0177971/?ref_=fn_tt_tt_1</t>
  </si>
  <si>
    <t>Tim Story</t>
  </si>
  <si>
    <t>Fantastic 4: Rise of the Silver Surfer</t>
  </si>
  <si>
    <t>Ioan Gruffudd</t>
  </si>
  <si>
    <t>fantastic four|space|strong female character|strong female lead|superheroine</t>
  </si>
  <si>
    <t>http://www.imdb.com/title/tt0486576/?ref_=fn_tt_tt_1</t>
  </si>
  <si>
    <t>Life of Pi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</si>
  <si>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</si>
  <si>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</si>
  <si>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</si>
  <si>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</si>
  <si>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</si>
  <si>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</si>
  <si>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Ghost Rider</t>
  </si>
  <si>
    <t>Action|Fantasy|Thriller</t>
  </si>
  <si>
    <t>Matt Long</t>
  </si>
  <si>
    <t>Peter Fonda</t>
  </si>
  <si>
    <t>blackheart|devil|father|ghost|mephistopheles</t>
  </si>
  <si>
    <t>http://www.imdb.com/title/tt0259324/?ref_=fn_tt_tt_1</t>
  </si>
  <si>
    <t>Jason Bourne</t>
  </si>
  <si>
    <t>Riz Ahmed</t>
  </si>
  <si>
    <t>Ato Essandoh</t>
  </si>
  <si>
    <t>black ops|chase|cia|cia agent|repeated scene</t>
  </si>
  <si>
    <t>http://www.imdb.com/title/tt4196776/?ref_=fn_tt_tt_1</t>
  </si>
  <si>
    <t>Charlie's Angels: Full Throttle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</si>
  <si>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</si>
  <si>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</si>
  <si>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</si>
  <si>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</si>
  <si>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</si>
  <si>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Prometheus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</si>
  <si>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</si>
  <si>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</si>
  <si>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</si>
  <si>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</si>
  <si>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</si>
  <si>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</si>
  <si>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</si>
  <si>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</si>
  <si>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</si>
  <si>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Elysium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</si>
  <si>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</si>
  <si>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</si>
  <si>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</si>
  <si>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</si>
  <si>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The Chronicles of Riddick</t>
  </si>
  <si>
    <t>Christina Cox</t>
  </si>
  <si>
    <t>bounty hunter|escape|necromonger|planet|warrior</t>
  </si>
  <si>
    <t>http://www.imdb.com/title/tt0296572/?ref_=fn_tt_tt_1</t>
  </si>
  <si>
    <t>JosÃ© Padilha</t>
  </si>
  <si>
    <t>RoboCop</t>
  </si>
  <si>
    <t>Action|Crime|Sci-Fi|Thriller</t>
  </si>
  <si>
    <t>Abbie Cornish</t>
  </si>
  <si>
    <t>Jennifer Ehle</t>
  </si>
  <si>
    <t>law enforcement|police|robocop|robot|technology</t>
  </si>
  <si>
    <t>http://www.imdb.com/title/tt1234721/?ref_=fn_tt_tt_1</t>
  </si>
  <si>
    <t>Speed Racer</t>
  </si>
  <si>
    <t>Action|Family|Sport</t>
  </si>
  <si>
    <t>Scott Porter</t>
  </si>
  <si>
    <t>Kick Gurry</t>
  </si>
  <si>
    <t>Nicholas Elia</t>
  </si>
  <si>
    <t>based on anime|based on cartoon|gadget car|racer|speed</t>
  </si>
  <si>
    <t>http://www.imdb.com/title/tt0811080/?ref_=fn_tt_tt_1</t>
  </si>
  <si>
    <t>James L. Brooks</t>
  </si>
  <si>
    <t>How Do You Know</t>
  </si>
  <si>
    <t>Comedy|Drama|Romance</t>
  </si>
  <si>
    <t>Shelley Conn</t>
  </si>
  <si>
    <t>Domenick Lombardozzi</t>
  </si>
  <si>
    <t>Teyonah Parris</t>
  </si>
  <si>
    <t>embarrassment|falling in love|love|love triangle|revelation</t>
  </si>
  <si>
    <t>http://www.imdb.com/title/tt1341188/?ref_=fn_tt_tt_1</t>
  </si>
  <si>
    <t>James Mangold</t>
  </si>
  <si>
    <t>Knight and Day</t>
  </si>
  <si>
    <t>Action|Comedy|Romance</t>
  </si>
  <si>
    <t>Marc Blucas</t>
  </si>
  <si>
    <t>chase|fbi|garage|spy|surveillance</t>
  </si>
  <si>
    <t>http://www.imdb.com/title/tt1013743/?ref_=fn_tt_tt_1</t>
  </si>
  <si>
    <t>Oblivion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</si>
  <si>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</si>
  <si>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</si>
  <si>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</si>
  <si>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</si>
  <si>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</si>
  <si>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</si>
  <si>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</si>
  <si>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</si>
  <si>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</si>
  <si>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</si>
  <si>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</si>
  <si>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</si>
  <si>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Monsters, Inc.</t>
  </si>
  <si>
    <t>James Coburn</t>
  </si>
  <si>
    <t>friend|little girl|monster|rival|scream</t>
  </si>
  <si>
    <t>http://www.imdb.com/title/tt0198781/?ref_=fn_tt_tt_1</t>
  </si>
  <si>
    <t>The Wolverine</t>
  </si>
  <si>
    <t>Tao Okamoto</t>
  </si>
  <si>
    <t>Rila Fukushima</t>
  </si>
  <si>
    <t>healing power|marvel comics|mecha|regeneration|self healing</t>
  </si>
  <si>
    <t>http://www.imdb.com/title/tt1430132/?ref_=fn_tt_tt_1</t>
  </si>
  <si>
    <t>Star Wars: Episode I - The Phantom Menace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</si>
  <si>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</si>
  <si>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</si>
  <si>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</si>
  <si>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</si>
  <si>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</t>
  </si>
  <si>
    <t>cave|caveman|journey|strict father|survival</t>
  </si>
  <si>
    <t>http://www.imdb.com/title/tt0481499/?ref_=fn_tt_tt_1</t>
  </si>
  <si>
    <t>Windtalkers</t>
  </si>
  <si>
    <t>Action|Drama|War</t>
  </si>
  <si>
    <t>Roger Willie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</si>
  <si>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</si>
  <si>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</si>
  <si>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</si>
  <si>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</si>
  <si>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</si>
  <si>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</si>
  <si>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</si>
  <si>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Teenage Mutant Ninja Turtles</t>
  </si>
  <si>
    <t>Noel Fisher</t>
  </si>
  <si>
    <t>Danny Woodburn</t>
  </si>
  <si>
    <t>Jeremy Howard</t>
  </si>
  <si>
    <t>18 wheeler|mutant|ninja|sewer|turtle</t>
  </si>
  <si>
    <t>http://www.imdb.com/title/tt1291150/?ref_=fn_tt_tt_1</t>
  </si>
  <si>
    <t>Gravity</t>
  </si>
  <si>
    <t>Adventure|Drama|Sci-Fi|Thriller</t>
  </si>
  <si>
    <t>Phaldut Sharma</t>
  </si>
  <si>
    <t>Basher Savage</t>
  </si>
  <si>
    <t>Amy Warren</t>
  </si>
  <si>
    <t>box office hit|long take|sole survivor|space|space station</t>
  </si>
  <si>
    <t>http://www.imdb.com/title/tt1454468/?ref_=fn_tt_tt_1</t>
  </si>
  <si>
    <t>Roger Donaldson</t>
  </si>
  <si>
    <t>Dante's Peak</t>
  </si>
  <si>
    <t>Jamie RenÃ©e Smith</t>
  </si>
  <si>
    <t>Grant Heslov</t>
  </si>
  <si>
    <t>ash|escape|lava|mayor|volcano</t>
  </si>
  <si>
    <t>http://www.imdb.com/title/tt0118928/?ref_=fn_tt_tt_1</t>
  </si>
  <si>
    <t>Josh Trank</t>
  </si>
  <si>
    <t>Fantastic Four</t>
  </si>
  <si>
    <t>Tim Blake Nelson</t>
  </si>
  <si>
    <t>Reg E. Cathey</t>
  </si>
  <si>
    <t>Tim Heidecker</t>
  </si>
  <si>
    <t>box office flop|critically bashed|portal|teleportation|troubled production</t>
  </si>
  <si>
    <t>http://www.imdb.com/title/tt1502712/?ref_=fn_tt_tt_1</t>
  </si>
  <si>
    <t>Night at the Museum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</si>
  <si>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</si>
  <si>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</si>
  <si>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</si>
  <si>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</si>
  <si>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San Andreas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</si>
  <si>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</si>
  <si>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</si>
  <si>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</si>
  <si>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</si>
  <si>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Tomorrow Never Dies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</si>
  <si>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</si>
  <si>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</si>
  <si>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</si>
  <si>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</si>
  <si>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The Patriot</t>
  </si>
  <si>
    <t>Adam Baldwin</t>
  </si>
  <si>
    <t>american revolution|british|french|hero|standoff</t>
  </si>
  <si>
    <t>http://www.imdb.com/title/tt0187393/?ref_=fn_tt_tt_1</t>
  </si>
  <si>
    <t>Steven Soderbergh</t>
  </si>
  <si>
    <t>Ocean's Twelve</t>
  </si>
  <si>
    <t>Crime|Thriller</t>
  </si>
  <si>
    <t>Julia Roberts</t>
  </si>
  <si>
    <t>Mini Anden</t>
  </si>
  <si>
    <t>father daughter relationship|heist|pretending to be pregnant|sequel|thief</t>
  </si>
  <si>
    <t>http://www.imdb.com/title/tt0349903/?ref_=fn_tt_tt_1</t>
  </si>
  <si>
    <t>Mr. &amp; Mrs. Smith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</si>
  <si>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</si>
  <si>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</si>
  <si>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</si>
  <si>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</si>
  <si>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Insurgent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</si>
  <si>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</si>
  <si>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</si>
  <si>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</si>
  <si>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</si>
  <si>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The Aviator</t>
  </si>
  <si>
    <t>Biography|Drama</t>
  </si>
  <si>
    <t>Adam Scott</t>
  </si>
  <si>
    <t>Frances Conroy</t>
  </si>
  <si>
    <t>1920s|aviation|fight|spruce goose|test flight</t>
  </si>
  <si>
    <t>http://www.imdb.com/title/tt0338751/?ref_=fn_tt_tt_1</t>
  </si>
  <si>
    <t>Gulliver's Travels</t>
  </si>
  <si>
    <t>James Corden</t>
  </si>
  <si>
    <t>Catherine Tate</t>
  </si>
  <si>
    <t>Olly Alexander</t>
  </si>
  <si>
    <t>bermuda triangle|box office hit|shipwrecked|travel|travel writer</t>
  </si>
  <si>
    <t>http://www.imdb.com/title/tt1320261/?ref_=fn_tt_tt_1</t>
  </si>
  <si>
    <t>Michel Gondry</t>
  </si>
  <si>
    <t>The Green Hornet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</si>
  <si>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</si>
  <si>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</si>
  <si>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</si>
  <si>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</si>
  <si>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</si>
  <si>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300: Rise of an Empire</t>
  </si>
  <si>
    <t>Action|Drama|Fantasy|War</t>
  </si>
  <si>
    <t>Sullivan Stapleton</t>
  </si>
  <si>
    <t>army|commander|female rear nudity|greek|navy</t>
  </si>
  <si>
    <t>http://www.imdb.com/title/tt1253863/?ref_=fn_tt_tt_1</t>
  </si>
  <si>
    <t>Raja Gosnell</t>
  </si>
  <si>
    <t>The Smurfs</t>
  </si>
  <si>
    <t>Mahadeo Shivraj</t>
  </si>
  <si>
    <t>Tim Gunn</t>
  </si>
  <si>
    <t>Madison McKinley</t>
  </si>
  <si>
    <t>blue|new york|new york city|no opening credits|smurf</t>
  </si>
  <si>
    <t>http://www.imdb.com/title/tt0472181/?ref_=fn_tt_tt_1</t>
  </si>
  <si>
    <t>Will Finn</t>
  </si>
  <si>
    <t>Home on the Range</t>
  </si>
  <si>
    <t>Animation|Comedy|Family|Music|Western</t>
  </si>
  <si>
    <t>Roseanne Barr</t>
  </si>
  <si>
    <t>G.W. Bailey</t>
  </si>
  <si>
    <t>cattle|cow|dairy farm|farm|rustler</t>
  </si>
  <si>
    <t>http://www.imdb.com/title/tt0299172/?ref_=fn_tt_tt_1</t>
  </si>
  <si>
    <t>Allegiant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</si>
  <si>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</si>
  <si>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</si>
  <si>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</si>
  <si>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</t>
  </si>
  <si>
    <t>Action|Drama|Sci-Fi|Sport</t>
  </si>
  <si>
    <t>Torey Michael Adkins</t>
  </si>
  <si>
    <t>Olga Fonda</t>
  </si>
  <si>
    <t>arena|boxing|boxing movie|robot|robot battle</t>
  </si>
  <si>
    <t>http://www.imdb.com/title/tt0433035/?ref_=fn_tt_tt_1</t>
  </si>
  <si>
    <t>The Smurfs 2</t>
  </si>
  <si>
    <t>Jacob Tremblay</t>
  </si>
  <si>
    <t>Nancy O'Dell</t>
  </si>
  <si>
    <t>Vanessa Matsui</t>
  </si>
  <si>
    <t>based on cartoon|box office hit|no opening credits|sequel|smurf</t>
  </si>
  <si>
    <t>http://www.imdb.com/title/tt2017020/?ref_=fn_tt_tt_1</t>
  </si>
  <si>
    <t>Jan de Bont</t>
  </si>
  <si>
    <t>Speed 2: Cruise Control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</si>
  <si>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</si>
  <si>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</si>
  <si>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</si>
  <si>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</si>
  <si>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</si>
  <si>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Ender's Game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</si>
  <si>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</si>
  <si>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</si>
  <si>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</si>
  <si>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</si>
  <si>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</si>
  <si>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Live Free or Die Hard</t>
  </si>
  <si>
    <t>Jonathan Sadowski</t>
  </si>
  <si>
    <t>Cyril Raffaelli</t>
  </si>
  <si>
    <t>fbi|hacker|independence day|police|terrorist</t>
  </si>
  <si>
    <t>http://www.imdb.com/title/tt0337978/?ref_=fn_tt_tt_1</t>
  </si>
  <si>
    <t>The Lord of the Rings: The Fellowship of the Ring</t>
  </si>
  <si>
    <t>Billy Boyd</t>
  </si>
  <si>
    <t>elf|hobbit|middle earth|quest|ring</t>
  </si>
  <si>
    <t>http://www.imdb.com/title/tt0120737/?ref_=fn_tt_tt_1</t>
  </si>
  <si>
    <t>Frank Coraci</t>
  </si>
  <si>
    <t>Around the World in 80 Days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</si>
  <si>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</si>
  <si>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</si>
  <si>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</si>
  <si>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</si>
  <si>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</si>
  <si>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Ali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</si>
  <si>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</si>
  <si>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</si>
  <si>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</si>
  <si>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</si>
  <si>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The Cat in the Hat</t>
  </si>
  <si>
    <t>Kelly Preston</t>
  </si>
  <si>
    <t>Spencer Breslin</t>
  </si>
  <si>
    <t>based on cult comic book|cat|home alone|imagination|talking cat</t>
  </si>
  <si>
    <t>http://www.imdb.com/title/tt0312528/?ref_=fn_tt_tt_1</t>
  </si>
  <si>
    <t>I, Robot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</si>
  <si>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</si>
  <si>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</si>
  <si>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</si>
  <si>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</si>
  <si>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</si>
  <si>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</si>
  <si>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</si>
  <si>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</si>
  <si>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Stuart Little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</si>
  <si>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</si>
  <si>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</si>
  <si>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</si>
  <si>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</si>
  <si>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</si>
  <si>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The Princess and the Frog</t>
  </si>
  <si>
    <t>Animation|Family|Fantasy|Musical|Romance</t>
  </si>
  <si>
    <t>Jenifer Lewis</t>
  </si>
  <si>
    <t>Anika Noni Rose</t>
  </si>
  <si>
    <t>amphibian|dream|frog|frog prince|waitress</t>
  </si>
  <si>
    <t>http://www.imdb.com/title/tt0780521/?ref_=fn_tt_tt_1</t>
  </si>
  <si>
    <t>The Martian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</si>
  <si>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</si>
  <si>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</si>
  <si>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</si>
  <si>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</si>
  <si>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The Island</t>
  </si>
  <si>
    <t>Action|Adventure|Romance|Sci-Fi|Thriller</t>
  </si>
  <si>
    <t>clone|environment|escape|island|lottery</t>
  </si>
  <si>
    <t>http://www.imdb.com/title/tt0399201/?ref_=fn_tt_tt_1</t>
  </si>
  <si>
    <t>Peter Chelsom</t>
  </si>
  <si>
    <t>Town &amp; Country</t>
  </si>
  <si>
    <t>Comedy|Romance</t>
  </si>
  <si>
    <t>Del Zamora</t>
  </si>
  <si>
    <t>Warren Beatty</t>
  </si>
  <si>
    <t>anniversary|architect|cellist|friend|hardware store</t>
  </si>
  <si>
    <t>http://www.imdb.com/title/tt0141907/?ref_=fn_tt_tt_1</t>
  </si>
  <si>
    <t>New Line</t>
  </si>
  <si>
    <t>Dominic Sena</t>
  </si>
  <si>
    <t>Gone in Sixty Seconds</t>
  </si>
  <si>
    <t>Robert Duvall</t>
  </si>
  <si>
    <t>auto theft|brother|car|theft|thief</t>
  </si>
  <si>
    <t>http://www.imdb.com/title/tt0187078/?ref_=fn_tt_tt_1</t>
  </si>
  <si>
    <t>Gladiator</t>
  </si>
  <si>
    <t>Action|Drama|Romance</t>
  </si>
  <si>
    <t>Connie Nielsen</t>
  </si>
  <si>
    <t>Oliver Reed</t>
  </si>
  <si>
    <t>battlefield|blood|combat|gladiator|roman empire</t>
  </si>
  <si>
    <t>http://www.imdb.com/title/tt0172495/?ref_=fn_tt_tt_1</t>
  </si>
  <si>
    <t>Minority Report</t>
  </si>
  <si>
    <t>Frank Grillo</t>
  </si>
  <si>
    <t>Jessica Capshaw</t>
  </si>
  <si>
    <t>future|murder|neo noir|washington d.c.|year 2054</t>
  </si>
  <si>
    <t>http://www.imdb.com/title/tt0181689/?ref_=fn_tt_tt_1</t>
  </si>
  <si>
    <t>Harry Potter and the Chamber of Secrets</t>
  </si>
  <si>
    <t>bildungsroman|flying broom|invisibility cloak|monster|wizardry</t>
  </si>
  <si>
    <t>http://www.imdb.com/title/tt0295297/?ref_=fn_tt_tt_1</t>
  </si>
  <si>
    <t>Casino Royale</t>
  </si>
  <si>
    <t>Tobias Menzies</t>
  </si>
  <si>
    <t>Ivana Milicevic</t>
  </si>
  <si>
    <t>casino|espionage|free running|james bond|terrorist</t>
  </si>
  <si>
    <t>http://www.imdb.com/title/tt0381061/?ref_=fn_tt_tt_1</t>
  </si>
  <si>
    <t>Planet of the Apes</t>
  </si>
  <si>
    <t>Estella Warren</t>
  </si>
  <si>
    <t>Erick Avari</t>
  </si>
  <si>
    <t>astronaut|cage|planet|wilhelm scream|year 2029</t>
  </si>
  <si>
    <t>http://www.imdb.com/title/tt0133152/?ref_=fn_tt_tt_1</t>
  </si>
  <si>
    <t>Terminator 2: Judgment Day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</si>
  <si>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</si>
  <si>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</si>
  <si>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</si>
  <si>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</si>
  <si>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Public Enemies</t>
  </si>
  <si>
    <t>Biography|Crime|Drama|History|Romance</t>
  </si>
  <si>
    <t>1930s|bank|celebrity criminal|fbi|public enemy number one</t>
  </si>
  <si>
    <t>http://www.imdb.com/title/tt1152836/?ref_=fn_tt_tt_1</t>
  </si>
  <si>
    <t>American Gangster</t>
  </si>
  <si>
    <t>Biography|Crime|Drama</t>
  </si>
  <si>
    <t>Denzel Washington</t>
  </si>
  <si>
    <t>Ruby Dee</t>
  </si>
  <si>
    <t>RZA</t>
  </si>
  <si>
    <t>death|heroin|popcorn|smuggling|vietnam</t>
  </si>
  <si>
    <t>http://www.imdb.com/title/tt0765429/?ref_=fn_tt_tt_1</t>
  </si>
  <si>
    <t>True Lies</t>
  </si>
  <si>
    <t>Action|Comedy|Thriller</t>
  </si>
  <si>
    <t>Jamie Lee Curtis</t>
  </si>
  <si>
    <t>Tia Carrere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</si>
  <si>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</si>
  <si>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</si>
  <si>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</si>
  <si>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</si>
  <si>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</t>
  </si>
  <si>
    <t>Michael Rispoli</t>
  </si>
  <si>
    <t>hijack|hostage|ransom|subway|train</t>
  </si>
  <si>
    <t>http://www.imdb.com/title/tt1111422/?ref_=fn_tt_tt_1</t>
  </si>
  <si>
    <t>Paul Weitz</t>
  </si>
  <si>
    <t>Little Fockers</t>
  </si>
  <si>
    <t>Robert De Niro</t>
  </si>
  <si>
    <t>Blythe Danner</t>
  </si>
  <si>
    <t>Teri Polo</t>
  </si>
  <si>
    <t>birthday|critically bashed|male nurse|nurse|suspicion</t>
  </si>
  <si>
    <t>http://www.imdb.com/title/tt0970866/?ref_=fn_tt_tt_1</t>
  </si>
  <si>
    <t>Adam McKay</t>
  </si>
  <si>
    <t>The Other Guys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</si>
  <si>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</si>
  <si>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</si>
  <si>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</si>
  <si>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</si>
  <si>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</si>
  <si>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Eraser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</si>
  <si>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</si>
  <si>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</si>
  <si>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</si>
  <si>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</si>
  <si>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</si>
  <si>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</si>
  <si>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Django Unchained</t>
  </si>
  <si>
    <t>Drama|Western</t>
  </si>
  <si>
    <t>dynamite|historically inaccurate|ku klux klan|n word|slavery</t>
  </si>
  <si>
    <t>http://www.imdb.com/title/tt1853728/?ref_=fn_tt_tt_1</t>
  </si>
  <si>
    <t>Gary Trousdale</t>
  </si>
  <si>
    <t>The Hunchback of Notre Dame</t>
  </si>
  <si>
    <t>Animation|Drama|Family|Musical|Romance</t>
  </si>
  <si>
    <t>Jason Alexander</t>
  </si>
  <si>
    <t>Bill Fagerbakke</t>
  </si>
  <si>
    <t>15th century|cathedral|gypsy|paris|victor hugo</t>
  </si>
  <si>
    <t>http://www.imdb.com/title/tt0116583/?ref_=fn_tt_tt_1</t>
  </si>
  <si>
    <t>Mark Dindal</t>
  </si>
  <si>
    <t>The Emperor's New Groove</t>
  </si>
  <si>
    <t>Eartha Kitt</t>
  </si>
  <si>
    <t>Wendie Malick</t>
  </si>
  <si>
    <t>John Fiedler</t>
  </si>
  <si>
    <t>antidote|disney|emperor|first part|llama</t>
  </si>
  <si>
    <t>http://www.imdb.com/title/tt0120917/?ref_=fn_tt_tt_1</t>
  </si>
  <si>
    <t>Simon West</t>
  </si>
  <si>
    <t>The Expendables 2</t>
  </si>
  <si>
    <t>Sylvester Stallone</t>
  </si>
  <si>
    <t>church|hostage|mine|plutonium|revenge</t>
  </si>
  <si>
    <t>http://www.imdb.com/title/tt1764651/?ref_=fn_tt_tt_1</t>
  </si>
  <si>
    <t>National Treasure</t>
  </si>
  <si>
    <t>Action|Adventure|Comedy|Family|Mystery</t>
  </si>
  <si>
    <t>Armando Riesco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</si>
  <si>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</si>
  <si>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</si>
  <si>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</si>
  <si>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</si>
  <si>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Eragon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</si>
  <si>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</si>
  <si>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</si>
  <si>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</si>
  <si>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</si>
  <si>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</si>
  <si>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Where the Wild Things Are</t>
  </si>
  <si>
    <t>Catherine O'Hara</t>
  </si>
  <si>
    <t>Ryan Corr</t>
  </si>
  <si>
    <t>Max Records</t>
  </si>
  <si>
    <t>based on children's book|creature|igloo|imagination|king</t>
  </si>
  <si>
    <t>http://www.imdb.com/title/tt0386117/?ref_=fn_tt_tt_1</t>
  </si>
  <si>
    <t>Chris Wedge</t>
  </si>
  <si>
    <t>Epic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</si>
  <si>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</si>
  <si>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</si>
  <si>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</si>
  <si>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</si>
  <si>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</si>
  <si>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The Tourist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</si>
  <si>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</si>
  <si>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</si>
  <si>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</si>
  <si>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</si>
  <si>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</si>
  <si>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End of Days</t>
  </si>
  <si>
    <t>Action|Fantasy|Horror|Mystery</t>
  </si>
  <si>
    <t>Mark Margolis</t>
  </si>
  <si>
    <t>Udo Kier</t>
  </si>
  <si>
    <t>atheist|ex cop|female masturbation|female nudity|lucifer</t>
  </si>
  <si>
    <t>http://www.imdb.com/title/tt0146675/?ref_=fn_tt_tt_1</t>
  </si>
  <si>
    <t>Blood Diamond</t>
  </si>
  <si>
    <t>Adventure|Drama|Thriller</t>
  </si>
  <si>
    <t>Stephen Collins</t>
  </si>
  <si>
    <t>diamond|elephant|fisherman|rebel|sierra leone</t>
  </si>
  <si>
    <t>http://www.imdb.com/title/tt0450259/?ref_=fn_tt_tt_1</t>
  </si>
  <si>
    <t>The Wolf of Wall Street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</si>
  <si>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</si>
  <si>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</si>
  <si>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</si>
  <si>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</t>
  </si>
  <si>
    <t>Rene Auberjonois</t>
  </si>
  <si>
    <t>Debi Mazar</t>
  </si>
  <si>
    <t>love|necktie|partner|rock music|tuxedo</t>
  </si>
  <si>
    <t>http://www.imdb.com/title/tt0112462/?ref_=fn_tt_tt_1</t>
  </si>
  <si>
    <t>Starship Troopers</t>
  </si>
  <si>
    <t>Action|Sci-Fi|War</t>
  </si>
  <si>
    <t>Jake Busey</t>
  </si>
  <si>
    <t>Patrick Muldoon</t>
  </si>
  <si>
    <t>Seth Gilliam</t>
  </si>
  <si>
    <t>alien|federation|future|military|planet</t>
  </si>
  <si>
    <t>http://www.imdb.com/title/tt0120201/?ref_=fn_tt_tt_1</t>
  </si>
  <si>
    <t>Tom Tykwer</t>
  </si>
  <si>
    <t>Cloud Atlas</t>
  </si>
  <si>
    <t>Drama|Sci-Fi</t>
  </si>
  <si>
    <t>Jim Sturgess</t>
  </si>
  <si>
    <t>composer|future|letter|nonlinear timeline|nursing home</t>
  </si>
  <si>
    <t>http://www.imdb.com/title/tt1371111/?ref_=fn_tt_tt_1</t>
  </si>
  <si>
    <t>Legend of the Guardians: The Owls of Ga'Hoole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</si>
  <si>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</si>
  <si>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</si>
  <si>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</si>
  <si>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</si>
  <si>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</si>
  <si>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Catwoman</t>
  </si>
  <si>
    <t>Action|Crime|Fantasy|Romance|Thriller</t>
  </si>
  <si>
    <t>Christopher Heyerdahl</t>
  </si>
  <si>
    <t>Alex Borstein</t>
  </si>
  <si>
    <t>based on cult comic book|bechdel test passed|cat|detective|radical transformation</t>
  </si>
  <si>
    <t>http://www.imdb.com/title/tt0327554/?ref_=fn_tt_tt_1</t>
  </si>
  <si>
    <t>Hercules</t>
  </si>
  <si>
    <t>Ingrid BolsÃ¸ Berdal</t>
  </si>
  <si>
    <t>army|greek mythology|hercules|king|mercenary</t>
  </si>
  <si>
    <t>http://www.imdb.com/title/tt1267297/?ref_=fn_tt_tt_1</t>
  </si>
  <si>
    <t>Treasure Planet</t>
  </si>
  <si>
    <t>Michael Wincott</t>
  </si>
  <si>
    <t>alien|cyborg|pirate|planet|treasure</t>
  </si>
  <si>
    <t>http://www.imdb.com/title/tt0133240/?ref_=fn_tt_tt_1</t>
  </si>
  <si>
    <t>Brad Silberling</t>
  </si>
  <si>
    <t>Land of the Lost</t>
  </si>
  <si>
    <t>Adventure|Comedy|Sci-Fi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</si>
  <si>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</si>
  <si>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</si>
  <si>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</si>
  <si>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</si>
  <si>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</si>
  <si>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</si>
  <si>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</si>
  <si>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</si>
  <si>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Ericson Core</t>
  </si>
  <si>
    <t>Point Break</t>
  </si>
  <si>
    <t>Action|Crime|Sport|Thriller</t>
  </si>
  <si>
    <t>athlete|extreme sports|fbi|fbi agent|heist</t>
  </si>
  <si>
    <t>http://www.imdb.com/title/tt2058673/?ref_=fn_tt_tt_1</t>
  </si>
  <si>
    <t>Lawrence Guterman</t>
  </si>
  <si>
    <t>Son of the Mask</t>
  </si>
  <si>
    <t>Jamie Kennedy</t>
  </si>
  <si>
    <t>Traylor Howard</t>
  </si>
  <si>
    <t>Ben Stein</t>
  </si>
  <si>
    <t>baby|cartoon on tv|cartoonist|dog|mask</t>
  </si>
  <si>
    <t>http://www.imdb.com/title/tt0362165/?ref_=fn_tt_tt_1</t>
  </si>
  <si>
    <t>In the Heart of the Sea</t>
  </si>
  <si>
    <t>Action|Adventure|Biography|Drama|History|Thriller</t>
  </si>
  <si>
    <t>Benjamin Walker</t>
  </si>
  <si>
    <t>Frank Dillane</t>
  </si>
  <si>
    <t>emaciation|ship|starvation|vomiting|whale</t>
  </si>
  <si>
    <t>http://www.imdb.com/title/tt1390411/?ref_=fn_tt_tt_1</t>
  </si>
  <si>
    <t>Ron Underwood</t>
  </si>
  <si>
    <t>The Adventures of Pluto Nash</t>
  </si>
  <si>
    <t>Action|Comedy|Sci-Fi</t>
  </si>
  <si>
    <t>Randy Quaid</t>
  </si>
  <si>
    <t>Burt Young</t>
  </si>
  <si>
    <t>casino|future|laser gun|moon|nightclub</t>
  </si>
  <si>
    <t>http://www.imdb.com/title/tt0180052/?ref_=fn_tt_tt_1</t>
  </si>
  <si>
    <t>Green Zone</t>
  </si>
  <si>
    <t>Action|Drama|Thriller|War</t>
  </si>
  <si>
    <t>Sean Huze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</si>
  <si>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</si>
  <si>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</si>
  <si>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</si>
  <si>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</si>
  <si>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</si>
  <si>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The Peanuts Movie</t>
  </si>
  <si>
    <t>Francesca Capaldi</t>
  </si>
  <si>
    <t>Venus Schultheis</t>
  </si>
  <si>
    <t>Bill Melendez</t>
  </si>
  <si>
    <t>dog|girl|imagination|peanuts|red hair</t>
  </si>
  <si>
    <t>http://www.imdb.com/title/tt2452042/?ref_=fn_tt_tt_1</t>
  </si>
  <si>
    <t>David Mamet</t>
  </si>
  <si>
    <t>The Spanish Prisoner</t>
  </si>
  <si>
    <t>Drama|Mystery|Thriller</t>
  </si>
  <si>
    <t>Ben Gazzara</t>
  </si>
  <si>
    <t>Felicity Huffman</t>
  </si>
  <si>
    <t>Campbell Scott</t>
  </si>
  <si>
    <t>brother sister relationship|extradition|fbi|japanese tourist|secret</t>
  </si>
  <si>
    <t>http://www.imdb.com/title/tt0120176/?ref_=fn_tt_tt_1</t>
  </si>
  <si>
    <t>The Mummy Returns</t>
  </si>
  <si>
    <t>Action|Adventure|Fantasy|Thriller</t>
  </si>
  <si>
    <t>Patricia Velasquez</t>
  </si>
  <si>
    <t>ancient egypt|bracelet|king|scorpion|son</t>
  </si>
  <si>
    <t>http://www.imdb.com/title/tt0209163/?ref_=fn_tt_tt_1</t>
  </si>
  <si>
    <t>Gangs of New York</t>
  </si>
  <si>
    <t>Crime|Drama</t>
  </si>
  <si>
    <t>butcher|civil war|gangster|new york city|revenge</t>
  </si>
  <si>
    <t>http://www.imdb.com/title/tt0217505/?ref_=fn_tt_tt_1</t>
  </si>
  <si>
    <t>Yimou Zhang</t>
  </si>
  <si>
    <t>The Flowers of War</t>
  </si>
  <si>
    <t>Drama|History|Romance|War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</si>
  <si>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</si>
  <si>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</si>
  <si>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</si>
  <si>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</si>
  <si>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</si>
  <si>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</si>
  <si>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Surf's Up</t>
  </si>
  <si>
    <t>Animation|Comedy|Family|Sport</t>
  </si>
  <si>
    <t>Zooey Deschanel</t>
  </si>
  <si>
    <t>Jon Heder</t>
  </si>
  <si>
    <t>chicken|competition|island|penguin|surfing</t>
  </si>
  <si>
    <t>http://www.imdb.com/title/tt0423294/?ref_=fn_tt_tt_1</t>
  </si>
  <si>
    <t>Frank Oz</t>
  </si>
  <si>
    <t>The Stepford Wives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</si>
  <si>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</si>
  <si>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</si>
  <si>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</si>
  <si>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</si>
  <si>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</si>
  <si>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Black Hawk Down</t>
  </si>
  <si>
    <t>Drama|History|War</t>
  </si>
  <si>
    <t>army|helicopter|somali|somalia|warlord</t>
  </si>
  <si>
    <t>http://www.imdb.com/title/tt0265086/?ref_=fn_tt_tt_1</t>
  </si>
  <si>
    <t>Jay Roach</t>
  </si>
  <si>
    <t>The Campaign</t>
  </si>
  <si>
    <t>Comedy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</si>
  <si>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</si>
  <si>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</si>
  <si>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</si>
  <si>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</si>
  <si>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</si>
  <si>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The Fifth Element</t>
  </si>
  <si>
    <t>Milla Jovovich</t>
  </si>
  <si>
    <t>1910s|alien|artificially created woman|love|taxi driver</t>
  </si>
  <si>
    <t>http://www.imdb.com/title/tt0119116/?ref_=fn_tt_tt_1</t>
  </si>
  <si>
    <t>Michael Patrick King</t>
  </si>
  <si>
    <t>Sex and the City 2</t>
  </si>
  <si>
    <t>Chris Noth</t>
  </si>
  <si>
    <t>Liza Minnelli</t>
  </si>
  <si>
    <t>Kristin Davis</t>
  </si>
  <si>
    <t>abu dhabi|box office hit|muslim|nanny|united arab emirates</t>
  </si>
  <si>
    <t>http://www.imdb.com/title/tt1261945/?ref_=fn_tt_tt_1</t>
  </si>
  <si>
    <t>Bibo Bergeron</t>
  </si>
  <si>
    <t>The Road to El Dorado</t>
  </si>
  <si>
    <t>Adventure|Animation|Comedy|Family|Romance</t>
  </si>
  <si>
    <t>Frank Welker</t>
  </si>
  <si>
    <t>Rosie Perez</t>
  </si>
  <si>
    <t>Elton John</t>
  </si>
  <si>
    <t>adventurer|el dorado|gold|high priest|implied sex</t>
  </si>
  <si>
    <t>http://www.imdb.com/title/tt0138749/?ref_=fn_tt_tt_1</t>
  </si>
  <si>
    <t>Ice Age: Continental Drift</t>
  </si>
  <si>
    <t>Drake</t>
  </si>
  <si>
    <t>acorn|herd|iceberg|ocean|pirate</t>
  </si>
  <si>
    <t>http://www.imdb.com/title/tt1667889/?ref_=fn_tt_tt_1</t>
  </si>
  <si>
    <t>Cinderella</t>
  </si>
  <si>
    <t>Drama|Family|Fantasy|Romance</t>
  </si>
  <si>
    <t>Derek Jacobi</t>
  </si>
  <si>
    <t>dress|duke|fairy godmother|fairy tale|pumpkin</t>
  </si>
  <si>
    <t>http://www.imdb.com/title/tt1661199/?ref_=fn_tt_tt_1</t>
  </si>
  <si>
    <t>The Lovely Bones</t>
  </si>
  <si>
    <t>Drama|Fantasy|Thriller</t>
  </si>
  <si>
    <t>Michael Imperioli</t>
  </si>
  <si>
    <t>AJ Michalka</t>
  </si>
  <si>
    <t>1970s|afterlife|heaven|pedophile|rape</t>
  </si>
  <si>
    <t>http://www.imdb.com/title/tt0380510/?ref_=fn_tt_tt_1</t>
  </si>
  <si>
    <t>Finding Nemo</t>
  </si>
  <si>
    <t>Alexander Gould</t>
  </si>
  <si>
    <t>great barrier reef|protective father|separation from family|shark|short term memory loss</t>
  </si>
  <si>
    <t>http://www.imdb.com/title/tt0266543/?ref_=fn_tt_tt_1</t>
  </si>
  <si>
    <t>The Lord of the Rings: The Return of the King</t>
  </si>
  <si>
    <t>Bernard Hill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</si>
  <si>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</si>
  <si>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</si>
  <si>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</si>
  <si>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</si>
  <si>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</si>
  <si>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Sergey Bodrov</t>
  </si>
  <si>
    <t>Seventh Son</t>
  </si>
  <si>
    <t>Olivia Williams</t>
  </si>
  <si>
    <t>apprentice|demon|exorcism|master apprentice relationship|witch</t>
  </si>
  <si>
    <t>http://www.imdb.com/title/tt1121096/?ref_=fn_tt_tt_1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</si>
  <si>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</si>
  <si>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</si>
  <si>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</si>
  <si>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</si>
  <si>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Wally Pfister</t>
  </si>
  <si>
    <t>Transcendence</t>
  </si>
  <si>
    <t>Drama|Mystery|Romance|Sci-Fi|Thriller</t>
  </si>
  <si>
    <t>artificial intelligence|consciousness|power outage|scientist|technology</t>
  </si>
  <si>
    <t>http://www.imdb.com/title/tt2209764/?ref_=fn_tt_tt_1</t>
  </si>
  <si>
    <t>Jurassic Park III</t>
  </si>
  <si>
    <t>Michael Jeter</t>
  </si>
  <si>
    <t>Trevor Morgan</t>
  </si>
  <si>
    <t>Alessandro Nivola</t>
  </si>
  <si>
    <t>dinosaur|island|jurassic park|paleontologist|search</t>
  </si>
  <si>
    <t>http://www.imdb.com/title/tt0163025/?ref_=fn_tt_tt_1</t>
  </si>
  <si>
    <t>Rupert Wyatt</t>
  </si>
  <si>
    <t>Rise of the Planet of the Apes</t>
  </si>
  <si>
    <t>David Oyelowo</t>
  </si>
  <si>
    <t>alzheimer's disease|ape|chimpanzee|fire|when animals attack</t>
  </si>
  <si>
    <t>http://www.imdb.com/title/tt1318514/?ref_=fn_tt_tt_1</t>
  </si>
  <si>
    <t>Mark Waters</t>
  </si>
  <si>
    <t>The Spiderwick Chronicles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</si>
  <si>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</si>
  <si>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</si>
  <si>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</si>
  <si>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</si>
  <si>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</si>
  <si>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A Good Day to Die Hard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</si>
  <si>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</si>
  <si>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</si>
  <si>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</si>
  <si>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</si>
  <si>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</si>
  <si>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The Alamo</t>
  </si>
  <si>
    <t>Drama|History|War|Western</t>
  </si>
  <si>
    <t>army|dictator|general|texan|texas</t>
  </si>
  <si>
    <t>http://www.imdb.com/title/tt0318974/?ref_=fn_tt_tt_1</t>
  </si>
  <si>
    <t>The Incredibles</t>
  </si>
  <si>
    <t>Action|Adventure|Animation|Family</t>
  </si>
  <si>
    <t>Holly Hunter</t>
  </si>
  <si>
    <t>Craig T. Nelson</t>
  </si>
  <si>
    <t>Lou Romano</t>
  </si>
  <si>
    <t>hero|island|lawsuit|secret|superhero</t>
  </si>
  <si>
    <t>http://www.imdb.com/title/tt0317705/?ref_=fn_tt_tt_1</t>
  </si>
  <si>
    <t>Renny Harlin</t>
  </si>
  <si>
    <t>Cutthroat Island</t>
  </si>
  <si>
    <t>Christopher Masterson</t>
  </si>
  <si>
    <t>Matthew Modine</t>
  </si>
  <si>
    <t>latin|pirate|pirate ship|treasure|treasure map</t>
  </si>
  <si>
    <t>http://www.imdb.com/title/tt0112760/?ref_=fn_tt_tt_1</t>
  </si>
  <si>
    <t>Percy Jackson &amp; the Olympians: The Lightning Thief</t>
  </si>
  <si>
    <t>greek|lightning|lightning bolt|poseidon|teenager</t>
  </si>
  <si>
    <t>http://www.imdb.com/title/tt0814255/?ref_=fn_tt_tt_1</t>
  </si>
  <si>
    <t>Men in Black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</si>
  <si>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</si>
  <si>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</si>
  <si>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</si>
  <si>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</si>
  <si>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Toy Story 2</t>
  </si>
  <si>
    <t>collector|dog|friend|rescue|toy</t>
  </si>
  <si>
    <t>http://www.imdb.com/title/tt0120363/?ref_=fn_tt_tt_1</t>
  </si>
  <si>
    <t>Unstoppable</t>
  </si>
  <si>
    <t>Ethan Suplee</t>
  </si>
  <si>
    <t>freight train|race against time|runaway train|train|train engineer</t>
  </si>
  <si>
    <t>http://www.imdb.com/title/tt0477080/?ref_=fn_tt_tt_1</t>
  </si>
  <si>
    <t>Rush Hour 2</t>
  </si>
  <si>
    <t>Mei MelanÃ§on</t>
  </si>
  <si>
    <t>John Lone</t>
  </si>
  <si>
    <t>Harris Yulin</t>
  </si>
  <si>
    <t>boat|gang|hong kong|triad|vacation</t>
  </si>
  <si>
    <t>http://www.imdb.com/title/tt0266915/?ref_=fn_tt_tt_1</t>
  </si>
  <si>
    <t>What Lies Beneath</t>
  </si>
  <si>
    <t>Drama|Fantasy|Horror|Mystery|Thriller</t>
  </si>
  <si>
    <t>Amber Valletta</t>
  </si>
  <si>
    <t>Miranda Otto</t>
  </si>
  <si>
    <t>ghost|haunted house|research|secret|vermont</t>
  </si>
  <si>
    <t>http://www.imdb.com/title/tt0161081/?ref_=fn_tt_tt_1</t>
  </si>
  <si>
    <t>Phil Lord</t>
  </si>
  <si>
    <t>Cloudy with a Chance of Meatballs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</si>
  <si>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</si>
  <si>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</si>
  <si>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</si>
  <si>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</si>
  <si>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</si>
  <si>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Ice Age: Dawn of the Dinosaurs</t>
  </si>
  <si>
    <t>Denis Leary</t>
  </si>
  <si>
    <t>Maile Flanagan</t>
  </si>
  <si>
    <t>Kelly Keaton</t>
  </si>
  <si>
    <t>egg|lost world|rescue|squirrel|weasel</t>
  </si>
  <si>
    <t>http://www.imdb.com/title/tt1080016/?ref_=fn_tt_tt_1</t>
  </si>
  <si>
    <t>Ben Stiller</t>
  </si>
  <si>
    <t>The Secret Life of Walter Mitty</t>
  </si>
  <si>
    <t>Adventure|Comedy|Drama|Fantasy|Romance</t>
  </si>
  <si>
    <t>Adrian Martinez</t>
  </si>
  <si>
    <t>Joey Slotnick</t>
  </si>
  <si>
    <t>daydream|life magazine|magazine|photographer|snow leopard</t>
  </si>
  <si>
    <t>http://www.imdb.com/title/tt0359950/?ref_=fn_tt_tt_1</t>
  </si>
  <si>
    <t>Charlie's Angels</t>
  </si>
  <si>
    <t>Action|Adventure|Comedy|Crime|Thriller</t>
  </si>
  <si>
    <t>LL Cool J</t>
  </si>
  <si>
    <t>Kelly Lynch</t>
  </si>
  <si>
    <t>booty shake|box office hit|duct tape over mouth|first part|martial arts</t>
  </si>
  <si>
    <t>http://www.imdb.com/title/tt0160127/?ref_=fn_tt_tt_1</t>
  </si>
  <si>
    <t>The Departed</t>
  </si>
  <si>
    <t>Crime|Drama|Thriller</t>
  </si>
  <si>
    <t>boston|mole|police|undercover|undercover cop</t>
  </si>
  <si>
    <t>http://www.imdb.com/title/tt0407887/?ref_=fn_tt_tt_1</t>
  </si>
  <si>
    <t>Tony Bancroft</t>
  </si>
  <si>
    <t>Mulan</t>
  </si>
  <si>
    <t>Adventure|Animation|Family|Fantasy|Musical|War</t>
  </si>
  <si>
    <t>Harvey Fierstein</t>
  </si>
  <si>
    <t>June Foray</t>
  </si>
  <si>
    <t>based on poem|based on true story|china|one word title|the huns</t>
  </si>
  <si>
    <t>http://www.imdb.com/title/tt0120762/?ref_=fn_tt_tt_1</t>
  </si>
  <si>
    <t>Tropic Thunder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</si>
  <si>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</si>
  <si>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</si>
  <si>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</si>
  <si>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</si>
  <si>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The Girl with the Dragon Tattoo</t>
  </si>
  <si>
    <t>Crime|Drama|Mystery|Thriller</t>
  </si>
  <si>
    <t>Goran Visnjic</t>
  </si>
  <si>
    <t>Joely Richardson</t>
  </si>
  <si>
    <t>computer hacker|hacker|investigation|journalist|punk</t>
  </si>
  <si>
    <t>http://www.imdb.com/title/tt1568346/?ref_=fn_tt_tt_1</t>
  </si>
  <si>
    <t>Die Hard with a Vengeance</t>
  </si>
  <si>
    <t>Aldis Hodge</t>
  </si>
  <si>
    <t>Kevin Chamberlin</t>
  </si>
  <si>
    <t>bomb|detective|new york city|police|terrorist</t>
  </si>
  <si>
    <t>http://www.imdb.com/title/tt0112864/?ref_=fn_tt_tt_1</t>
  </si>
  <si>
    <t>Sherlock Holmes</t>
  </si>
  <si>
    <t>Robert Maillet</t>
  </si>
  <si>
    <t>black magic|bridge construction|professor moriarty|scotland yard inspector|sherlock holmes</t>
  </si>
  <si>
    <t>http://www.imdb.com/title/tt0988045/?ref_=fn_tt_tt_1</t>
  </si>
  <si>
    <t>Atlantis: The Lost Empire</t>
  </si>
  <si>
    <t>Action|Adventure|Animation|Family|Fantasy|Sci-Fi</t>
  </si>
  <si>
    <t>Jim Varney</t>
  </si>
  <si>
    <t>Cree Summer</t>
  </si>
  <si>
    <t>atlantis|crew|expedition|journal|museum</t>
  </si>
  <si>
    <t>http://www.imdb.com/title/tt0230011/?ref_=fn_tt_tt_1</t>
  </si>
  <si>
    <t>Walt Becker</t>
  </si>
  <si>
    <t>Alvin and the Chipmunks: The Road Chip</t>
  </si>
  <si>
    <t>Adventure|Animation|Comedy|Family|Fantasy|Music</t>
  </si>
  <si>
    <t>Bella Thorne</t>
  </si>
  <si>
    <t>Joshua Mikel</t>
  </si>
  <si>
    <t>Jesse McCartney</t>
  </si>
  <si>
    <t>chipmunk|highway travel|on the road|plane|road movie</t>
  </si>
  <si>
    <t>http://www.imdb.com/title/tt2974918/?ref_=fn_tt_tt_1</t>
  </si>
  <si>
    <t>Valkyrie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</si>
  <si>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</si>
  <si>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</si>
  <si>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</si>
  <si>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</si>
  <si>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You Don't Mess with the Zohan</t>
  </si>
  <si>
    <t>Adam Sandler</t>
  </si>
  <si>
    <t>Sayed Badreya</t>
  </si>
  <si>
    <t>Kevin Nealon</t>
  </si>
  <si>
    <t>hair stylist|jew|landlord|muslim|palestinian</t>
  </si>
  <si>
    <t>http://www.imdb.com/title/tt0960144/?ref_=fn_tt_tt_1</t>
  </si>
  <si>
    <t>Pixels</t>
  </si>
  <si>
    <t>Action|Animation|Comedy|Sci-Fi</t>
  </si>
  <si>
    <t>alien|arcade game|chase|driving in reverse|video gamer</t>
  </si>
  <si>
    <t>http://www.imdb.com/title/tt2120120/?ref_=fn_tt_tt_1</t>
  </si>
  <si>
    <t>A.I. Artificial Intelligence</t>
  </si>
  <si>
    <t>Haley Joel Osment</t>
  </si>
  <si>
    <t>Kevin Sussman</t>
  </si>
  <si>
    <t>affection|boy|fairy|future|robot</t>
  </si>
  <si>
    <t>http://www.imdb.com/title/tt0212720/?ref_=fn_tt_tt_1</t>
  </si>
  <si>
    <t>The Haunted Mansion</t>
  </si>
  <si>
    <t>Comedy|Family|Fantasy|Horror|Mystery</t>
  </si>
  <si>
    <t>Marsha Thomason</t>
  </si>
  <si>
    <t>Rachael Harris</t>
  </si>
  <si>
    <t>Marc John Jefferies</t>
  </si>
  <si>
    <t>arachnophobia|crystal ball|ghost|haunted house|thunderstorm</t>
  </si>
  <si>
    <t>http://www.imdb.com/title/tt0338094/?ref_=fn_tt_tt_1</t>
  </si>
  <si>
    <t>Contact</t>
  </si>
  <si>
    <t>Drama|Mystery|Sci-Fi|Thriller</t>
  </si>
  <si>
    <t>Tom Skerritt</t>
  </si>
  <si>
    <t>Larry King</t>
  </si>
  <si>
    <t>message from outer space|religion|religion versus science|scientist|universe</t>
  </si>
  <si>
    <t>http://www.imdb.com/title/tt0118884/?ref_=fn_tt_tt_1</t>
  </si>
  <si>
    <t>Hollow Man</t>
  </si>
  <si>
    <t>Action|Horror|Sci-Fi|Thriller</t>
  </si>
  <si>
    <t>Greg Grunberg</t>
  </si>
  <si>
    <t>Kim Dickens</t>
  </si>
  <si>
    <t>experiment|research|scientist|suburb|surrealism</t>
  </si>
  <si>
    <t>http://www.imdb.com/title/tt0164052/?ref_=fn_tt_tt_1</t>
  </si>
  <si>
    <t>Sydney Pollack</t>
  </si>
  <si>
    <t>The Interpreter</t>
  </si>
  <si>
    <t>Crime|Mystery|Thriller</t>
  </si>
  <si>
    <t>Curtiss Cook</t>
  </si>
  <si>
    <t>George Harris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</si>
  <si>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</si>
  <si>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</si>
  <si>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</si>
  <si>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</si>
  <si>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</si>
  <si>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Percy Jackson: Sea of Monsters</t>
  </si>
  <si>
    <t>Leven Rambin</t>
  </si>
  <si>
    <t>golden fleece|half brother|magical tree|sea|tree</t>
  </si>
  <si>
    <t>http://www.imdb.com/title/tt1854564/?ref_=fn_tt_tt_1</t>
  </si>
  <si>
    <t>Lara Croft Tomb Raider: The Cradle of Life</t>
  </si>
  <si>
    <t>duology|female hero|female lead|orb|pandora's box</t>
  </si>
  <si>
    <t>http://www.imdb.com/title/tt0325703/?ref_=fn_tt_tt_1</t>
  </si>
  <si>
    <t>Now You See Me 2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</si>
  <si>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</si>
  <si>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</si>
  <si>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</si>
  <si>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</si>
  <si>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The Saint</t>
  </si>
  <si>
    <t>Alun Armstrong</t>
  </si>
  <si>
    <t>Michael Byrne</t>
  </si>
  <si>
    <t>Velibor Topic</t>
  </si>
  <si>
    <t>cold fusion|disguise|energy|fusion|the saint</t>
  </si>
  <si>
    <t>http://www.imdb.com/title/tt0120053/?ref_=fn_tt_tt_1</t>
  </si>
  <si>
    <t>Spy Game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</si>
  <si>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</si>
  <si>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</si>
  <si>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</si>
  <si>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</si>
  <si>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</si>
  <si>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Mission to Mars</t>
  </si>
  <si>
    <t>Kim Delaney</t>
  </si>
  <si>
    <t>astronaut|mars|mars the planet|outer space|zero gravity</t>
  </si>
  <si>
    <t>http://www.imdb.com/title/tt0183523/?ref_=fn_tt_tt_1</t>
  </si>
  <si>
    <t>Rio</t>
  </si>
  <si>
    <t>Wanda Sykes</t>
  </si>
  <si>
    <t>Will.i.am</t>
  </si>
  <si>
    <t>bird|brazilian|cockatoo|macaw|minnesota</t>
  </si>
  <si>
    <t>http://www.imdb.com/title/tt1436562/?ref_=fn_tt_tt_1</t>
  </si>
  <si>
    <t>Bicentennial Man</t>
  </si>
  <si>
    <t>Comedy|Drama|Sci-Fi</t>
  </si>
  <si>
    <t>23rd century|android|artificial intelligence|dual role|robot</t>
  </si>
  <si>
    <t>http://www.imdb.com/title/tt0182789/?ref_=fn_tt_tt_1</t>
  </si>
  <si>
    <t>Mick Jackson</t>
  </si>
  <si>
    <t>Volcano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</si>
  <si>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</si>
  <si>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</si>
  <si>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</si>
  <si>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</si>
  <si>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</si>
  <si>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The Devil's Own</t>
  </si>
  <si>
    <t>Natascha McElhone</t>
  </si>
  <si>
    <t>friendship|murder|northern ireland|police officer|terrorist</t>
  </si>
  <si>
    <t>http://www.imdb.com/title/tt0118972/?ref_=fn_tt_tt_1</t>
  </si>
  <si>
    <t>Kathryn Bigelow</t>
  </si>
  <si>
    <t>K-19: The Widowmaker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</si>
  <si>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</si>
  <si>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</si>
  <si>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</si>
  <si>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</si>
  <si>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</si>
  <si>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Conan the Barbarian</t>
  </si>
  <si>
    <t>William Smith</t>
  </si>
  <si>
    <t>Sandahl Bergman</t>
  </si>
  <si>
    <t>actual animal killed|cult|evil sorcerer|gladiator|warlord</t>
  </si>
  <si>
    <t>http://www.imdb.com/title/tt0082198/?ref_=fn_tt_tt_1</t>
  </si>
  <si>
    <t>Cinderella Man</t>
  </si>
  <si>
    <t>Paddy Considine</t>
  </si>
  <si>
    <t>Bruce McGill</t>
  </si>
  <si>
    <t>Rosemarie DeWitt</t>
  </si>
  <si>
    <t>boxer|boxing|dream|great depression|love</t>
  </si>
  <si>
    <t>http://www.imdb.com/title/tt0352248/?ref_=fn_tt_tt_1</t>
  </si>
  <si>
    <t>Andrey Konchalovskiy</t>
  </si>
  <si>
    <t>The Nutcracker in 3D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</si>
  <si>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</si>
  <si>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</si>
  <si>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</si>
  <si>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</si>
  <si>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</si>
  <si>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</si>
  <si>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Seabiscuit</t>
  </si>
  <si>
    <t>Drama|History|Sport</t>
  </si>
  <si>
    <t>Michael Angarano</t>
  </si>
  <si>
    <t>horse|horse racing|jockey|limp|seabiscuit</t>
  </si>
  <si>
    <t>http://www.imdb.com/title/tt0329575/?ref_=fn_tt_tt_1</t>
  </si>
  <si>
    <t>Twister</t>
  </si>
  <si>
    <t>Alan Ruck</t>
  </si>
  <si>
    <t>Jami Gertz</t>
  </si>
  <si>
    <t>device|disaster|divorce|storm|tornado</t>
  </si>
  <si>
    <t>http://www.imdb.com/title/tt0117998/?ref_=fn_tt_tt_1</t>
  </si>
  <si>
    <t>Cast Away</t>
  </si>
  <si>
    <t>Adventure|Drama|Romance</t>
  </si>
  <si>
    <t>Paul Sanchez</t>
  </si>
  <si>
    <t>Nick Searcy</t>
  </si>
  <si>
    <t>christmas|island|love|survival|talking to inanimate object</t>
  </si>
  <si>
    <t>http://www.imdb.com/title/tt0162222/?ref_=fn_tt_tt_1</t>
  </si>
  <si>
    <t>Happy Feet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</si>
  <si>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</si>
  <si>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</si>
  <si>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</si>
  <si>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</si>
  <si>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The Bourne Supremacy</t>
  </si>
  <si>
    <t>Joan Allen</t>
  </si>
  <si>
    <t>Oksana Akinshina</t>
  </si>
  <si>
    <t>assassin|car chase|cia|hidden truth|one against many</t>
  </si>
  <si>
    <t>http://www.imdb.com/title/tt0372183/?ref_=fn_tt_tt_1</t>
  </si>
  <si>
    <t>Air Force One</t>
  </si>
  <si>
    <t>Dean Stockwell</t>
  </si>
  <si>
    <t>ex soldier|hijacker|hostage|president|terrorist</t>
  </si>
  <si>
    <t>http://www.imdb.com/title/tt0118571/?ref_=fn_tt_tt_1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</si>
  <si>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</si>
  <si>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</si>
  <si>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</si>
  <si>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</si>
  <si>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</si>
  <si>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</t>
  </si>
  <si>
    <t>box office flop|cardinal richelieu|critically bashed|duel|musketeer</t>
  </si>
  <si>
    <t>http://www.imdb.com/title/tt1509767/?ref_=fn_tt_tt_1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</si>
  <si>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</si>
  <si>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</si>
  <si>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</si>
  <si>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</si>
  <si>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Kevin Lima</t>
  </si>
  <si>
    <t>Enchanted</t>
  </si>
  <si>
    <t>Animation|Comedy|Family|Fantasy|Musical|Romance</t>
  </si>
  <si>
    <t>Jeff Bennett</t>
  </si>
  <si>
    <t>Teala Dunn</t>
  </si>
  <si>
    <t>Fred Tatasciore</t>
  </si>
  <si>
    <t>fairy tale|lawyer|love|new york|prince</t>
  </si>
  <si>
    <t>http://www.imdb.com/title/tt0461770/?ref_=fn_tt_tt_1</t>
  </si>
  <si>
    <t>Daniel Espinosa</t>
  </si>
  <si>
    <t>Safe House</t>
  </si>
  <si>
    <t>cia|cia agent|consulate|on the run|safe house</t>
  </si>
  <si>
    <t>http://www.imdb.com/title/tt1599348/?ref_=fn_tt_tt_1</t>
  </si>
  <si>
    <t>102 Dalmatians</t>
  </si>
  <si>
    <t>Adventure|Comedy|Family</t>
  </si>
  <si>
    <t>Jim Carter</t>
  </si>
  <si>
    <t>dog|parole|parole officer|prison|puppy</t>
  </si>
  <si>
    <t>http://www.imdb.com/title/tt0211181/?ref_=fn_tt_tt_1</t>
  </si>
  <si>
    <t>Tower Heist</t>
  </si>
  <si>
    <t>Gabourey Sidibe</t>
  </si>
  <si>
    <t>apartment|fbi|fraud|heist|manager</t>
  </si>
  <si>
    <t>http://www.imdb.com/title/tt0471042/?ref_=fn_tt_tt_1</t>
  </si>
  <si>
    <t>Nancy Meyers</t>
  </si>
  <si>
    <t>The Holiday</t>
  </si>
  <si>
    <t>Sarah Parish</t>
  </si>
  <si>
    <t>book|composer|house|love|self esteem</t>
  </si>
  <si>
    <t>http://www.imdb.com/title/tt0457939/?ref_=fn_tt_tt_1</t>
  </si>
  <si>
    <t>Enemy of the State</t>
  </si>
  <si>
    <t>Action|Crime|Drama|Mystery|Thriller</t>
  </si>
  <si>
    <t>Lisa Bonet</t>
  </si>
  <si>
    <t>congressman|lawyer|nsa|on the run|surveillance</t>
  </si>
  <si>
    <t>http://www.imdb.com/title/tt0120660/?ref_=fn_tt_tt_1</t>
  </si>
  <si>
    <t>It's Complicated</t>
  </si>
  <si>
    <t>Meryl Streep</t>
  </si>
  <si>
    <t>Hunter Parrish</t>
  </si>
  <si>
    <t>Zoe Kazan</t>
  </si>
  <si>
    <t>affair|divorce|graduation|vomiting|watching television</t>
  </si>
  <si>
    <t>http://www.imdb.com/title/tt1230414/?ref_=fn_tt_tt_1</t>
  </si>
  <si>
    <t>Ocean's Thirteen</t>
  </si>
  <si>
    <t>Al Pacino</t>
  </si>
  <si>
    <t>casino|heist|manmade earthquake|revenge|tunnel boring machine</t>
  </si>
  <si>
    <t>http://www.imdb.com/title/tt0496806/?ref_=fn_tt_tt_1</t>
  </si>
  <si>
    <t>Roger Allers</t>
  </si>
  <si>
    <t>Open Season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</si>
  <si>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</si>
  <si>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</si>
  <si>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</si>
  <si>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</si>
  <si>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</si>
  <si>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</si>
  <si>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</si>
  <si>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</si>
  <si>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Jean-Jacques Annaud</t>
  </si>
  <si>
    <t>Enemy at the Gates</t>
  </si>
  <si>
    <t>Bob Hoskins</t>
  </si>
  <si>
    <t>Gabriel Thomson</t>
  </si>
  <si>
    <t>Clemens Schick</t>
  </si>
  <si>
    <t>battle|german|russian|sniper|stalingrad</t>
  </si>
  <si>
    <t>http://www.imdb.com/title/tt0215750/?ref_=fn_tt_tt_1</t>
  </si>
  <si>
    <t>The Rundown</t>
  </si>
  <si>
    <t>amazon|bounty hunter|fight|hunter|jungle</t>
  </si>
  <si>
    <t>http://www.imdb.com/title/tt0327850/?ref_=fn_tt_tt_1</t>
  </si>
  <si>
    <t>Last Action Hero</t>
  </si>
  <si>
    <t>Action|Adventure|Comedy|Fantasy</t>
  </si>
  <si>
    <t>F. Murray Abraham</t>
  </si>
  <si>
    <t>Tom Noonan</t>
  </si>
  <si>
    <t>action hero|hero|magic|ticket|video store</t>
  </si>
  <si>
    <t>http://www.imdb.com/title/tt0107362/?ref_=fn_tt_tt_1</t>
  </si>
  <si>
    <t>Memoirs of a Geisha</t>
  </si>
  <si>
    <t>Li Gong</t>
  </si>
  <si>
    <t>Karl Yune</t>
  </si>
  <si>
    <t>coming of age|geisha|japan|jealousy|love</t>
  </si>
  <si>
    <t>http://www.imdb.com/title/tt0397535/?ref_=fn_tt_tt_1</t>
  </si>
  <si>
    <t>The Fast and the Furious: Tokyo Drift</t>
  </si>
  <si>
    <t>Amber Stevens West</t>
  </si>
  <si>
    <t>Zachery Ty Bryan</t>
  </si>
  <si>
    <t>Nikki Griffin</t>
  </si>
  <si>
    <t>car|challenge|drift racing|drifting|tokyo japan</t>
  </si>
  <si>
    <t>http://www.imdb.com/title/tt0463985/?ref_=fn_tt_tt_1</t>
  </si>
  <si>
    <t>Sarah Smith</t>
  </si>
  <si>
    <t>Arthur Christmas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</si>
  <si>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</si>
  <si>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</si>
  <si>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</si>
  <si>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</si>
  <si>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</si>
  <si>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Meet Joe Black</t>
  </si>
  <si>
    <t>birthday|death|death personified|fear of death|wealth</t>
  </si>
  <si>
    <t>http://www.imdb.com/title/tt0119643/?ref_=fn_tt_tt_1</t>
  </si>
  <si>
    <t>Andrew Davis</t>
  </si>
  <si>
    <t>Collateral Damage</t>
  </si>
  <si>
    <t>Raymond Cruz</t>
  </si>
  <si>
    <t>Rick Worthy</t>
  </si>
  <si>
    <t>Jsu Garcia</t>
  </si>
  <si>
    <t>bare chested boy|car explosion|colombia|explosion|terrorism</t>
  </si>
  <si>
    <t>http://www.imdb.com/title/tt0233469/?ref_=fn_tt_tt_1</t>
  </si>
  <si>
    <t>Tarsem Singh</t>
  </si>
  <si>
    <t>Mirror Mirror</t>
  </si>
  <si>
    <t>Adventure|Comedy|Drama|Family|Fantasy</t>
  </si>
  <si>
    <t>kingdom|prince|princess|queen|snow</t>
  </si>
  <si>
    <t>http://www.imdb.com/title/tt1667353/?ref_=fn_tt_tt_1</t>
  </si>
  <si>
    <t>Edgar Wright</t>
  </si>
  <si>
    <t>Scott Pilgrim vs. the World</t>
  </si>
  <si>
    <t>Action|Comedy|Fantasy|Romance</t>
  </si>
  <si>
    <t>Anna Kendrick</t>
  </si>
  <si>
    <t>Kieran Culkin</t>
  </si>
  <si>
    <t>Ellen Wong</t>
  </si>
  <si>
    <t>band|dating|high school|hipster|rock band</t>
  </si>
  <si>
    <t>http://www.imdb.com/title/tt0446029/?ref_=fn_tt_tt_1</t>
  </si>
  <si>
    <t>Jon Amiel</t>
  </si>
  <si>
    <t>The Core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</si>
  <si>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</si>
  <si>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</si>
  <si>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</si>
  <si>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</si>
  <si>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</si>
  <si>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Nutty Professor II: The Klumps</t>
  </si>
  <si>
    <t>Comedy|Romance|Sci-Fi</t>
  </si>
  <si>
    <t>Larry Miller</t>
  </si>
  <si>
    <t>Janet Jackson</t>
  </si>
  <si>
    <t>Chris Elliott</t>
  </si>
  <si>
    <t>alter ego|marriage|professor|scientist|serum</t>
  </si>
  <si>
    <t>http://www.imdb.com/title/tt0144528/?ref_=fn_tt_tt_1</t>
  </si>
  <si>
    <t>Scooby-Doo</t>
  </si>
  <si>
    <t>Adventure|Comedy|Mystery</t>
  </si>
  <si>
    <t>Sarah Michelle Gellar</t>
  </si>
  <si>
    <t>Linda Cardellini</t>
  </si>
  <si>
    <t>Miguel A. NÃºÃ±ez Jr.</t>
  </si>
  <si>
    <t>amusement park|island|motorcycle|scooby doo|tough girl</t>
  </si>
  <si>
    <t>http://www.imdb.com/title/tt0267913/?ref_=fn_tt_tt_1</t>
  </si>
  <si>
    <t>Pete Travis</t>
  </si>
  <si>
    <t>Dredd</t>
  </si>
  <si>
    <t>Wood Harris</t>
  </si>
  <si>
    <t>Jason Cope</t>
  </si>
  <si>
    <t>Rakie Ayola</t>
  </si>
  <si>
    <t>brutality|dark humor|female antagonist|female warrior|post apocalypse</t>
  </si>
  <si>
    <t>http://www.imdb.com/title/tt1343727/?ref_=fn_tt_tt_1</t>
  </si>
  <si>
    <t>Click</t>
  </si>
  <si>
    <t>Comedy|Drama|Fantasy|Romance</t>
  </si>
  <si>
    <t>Cameron Monaghan</t>
  </si>
  <si>
    <t>Julie Kavner</t>
  </si>
  <si>
    <t>architect|frozen time|obese man|remote control|stopped time</t>
  </si>
  <si>
    <t>http://www.imdb.com/title/tt0389860/?ref_=fn_tt_tt_1</t>
  </si>
  <si>
    <t>Cats &amp; Dogs: The Revenge of Kitty Galore</t>
  </si>
  <si>
    <t>Action|Comedy|Family|Fantasy</t>
  </si>
  <si>
    <t>Katt Williams</t>
  </si>
  <si>
    <t>cartoon on tv|cat|dog|kitty|special agent</t>
  </si>
  <si>
    <t>http://www.imdb.com/title/tt1287468/?ref_=fn_tt_tt_1</t>
  </si>
  <si>
    <t>Jumper</t>
  </si>
  <si>
    <t>Tom Hulce</t>
  </si>
  <si>
    <t>bank|based on novel|ice|teleportation|vault</t>
  </si>
  <si>
    <t>http://www.imdb.com/title/tt0489099/?ref_=fn_tt_tt_1</t>
  </si>
  <si>
    <t>Hellboy II: The Golden Army</t>
  </si>
  <si>
    <t>Action|Adventure|Fantasy|Horror|Sci-Fi</t>
  </si>
  <si>
    <t>Seth MacFarlane</t>
  </si>
  <si>
    <t>IvÃ¡n KamarÃ¡s</t>
  </si>
  <si>
    <t>Brian Steele</t>
  </si>
  <si>
    <t>creature|elf|prince|rebellion|superhero</t>
  </si>
  <si>
    <t>http://www.imdb.com/title/tt0411477/?ref_=fn_tt_tt_1</t>
  </si>
  <si>
    <t>Zodiac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</si>
  <si>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</si>
  <si>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</si>
  <si>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</si>
  <si>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</si>
  <si>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The 6th Day</t>
  </si>
  <si>
    <t>Michael Rapaport</t>
  </si>
  <si>
    <t>clone|cloning|future|laser gun|murder</t>
  </si>
  <si>
    <t>http://www.imdb.com/title/tt0216216/?ref_=fn_tt_tt_1</t>
  </si>
  <si>
    <t>Bruce Almighty</t>
  </si>
  <si>
    <t>Comedy|Drama</t>
  </si>
  <si>
    <t>answer to prayer|breast expansion|pleading with god|supernatural power|walking on water</t>
  </si>
  <si>
    <t>http://www.imdb.com/title/tt0315327/?ref_=fn_tt_tt_1</t>
  </si>
  <si>
    <t>The Expendables</t>
  </si>
  <si>
    <t>action hero|assassination attempt|explosion|machine gun|rescue mission</t>
  </si>
  <si>
    <t>http://www.imdb.com/title/tt1320253/?ref_=fn_tt_tt_1</t>
  </si>
  <si>
    <t>Mission: Impossible</t>
  </si>
  <si>
    <t>Vanessa Redgrave</t>
  </si>
  <si>
    <t>disguise|mission|spy|stealing|traitor</t>
  </si>
  <si>
    <t>http://www.imdb.com/title/tt0117060/?ref_=fn_tt_tt_1</t>
  </si>
  <si>
    <t>The Hunger Games</t>
  </si>
  <si>
    <t>Anthony Reynolds</t>
  </si>
  <si>
    <t>fight to the death|game|massacre|self survival|suicide attempt</t>
  </si>
  <si>
    <t>http://www.imdb.com/title/tt1392170/?ref_=fn_tt_tt_1</t>
  </si>
  <si>
    <t>Todd Phillips</t>
  </si>
  <si>
    <t>The Hangover Part II</t>
  </si>
  <si>
    <t>Mason Lee</t>
  </si>
  <si>
    <t>Mike Tyson</t>
  </si>
  <si>
    <t>hotel|male frontal nudity|pubic hair|thailand|wedding</t>
  </si>
  <si>
    <t>http://www.imdb.com/title/tt1411697/?ref_=fn_tt_tt_1</t>
  </si>
  <si>
    <t>Batman Returns</t>
  </si>
  <si>
    <t>Andrew Bryniarski</t>
  </si>
  <si>
    <t>box office hit|dc comics|gotham|mayor|penguin</t>
  </si>
  <si>
    <t>http://www.imdb.com/title/tt0103776/?ref_=fn_tt_tt_1</t>
  </si>
  <si>
    <t>Over the Hedge</t>
  </si>
  <si>
    <t>bear|food|forest|raccoon|turtle</t>
  </si>
  <si>
    <t>http://www.imdb.com/title/tt0327084/?ref_=fn_tt_tt_1</t>
  </si>
  <si>
    <t>Lilo &amp; Stitch</t>
  </si>
  <si>
    <t>Adventure|Animation|Comedy|Drama|Family|Fantasy|Sci-Fi</t>
  </si>
  <si>
    <t>Jason Scott Lee</t>
  </si>
  <si>
    <t>David Ogden Stiers</t>
  </si>
  <si>
    <t>alien|escape|fugitive|hawaii|social worker</t>
  </si>
  <si>
    <t>http://www.imdb.com/title/tt0275847/?ref_=fn_tt_tt_1</t>
  </si>
  <si>
    <t>Mimi Leder</t>
  </si>
  <si>
    <t>Deep Impact</t>
  </si>
  <si>
    <t>Action|Drama|Romance|Sci-Fi|Thriller</t>
  </si>
  <si>
    <t>astronomer|comet|mission|president|secretary</t>
  </si>
  <si>
    <t>http://www.imdb.com/title/tt0120647/?ref_=fn_tt_tt_1</t>
  </si>
  <si>
    <t>RED 2</t>
  </si>
  <si>
    <t>Garrick Hagon</t>
  </si>
  <si>
    <t>cia|cia agent|rescue|russian|team</t>
  </si>
  <si>
    <t>http://www.imdb.com/title/tt1821694/?ref_=fn_tt_tt_1</t>
  </si>
  <si>
    <t>The Longest Yard</t>
  </si>
  <si>
    <t>Comedy|Crime|Sport</t>
  </si>
  <si>
    <t>Steve Reevis</t>
  </si>
  <si>
    <t>Dalip Singh</t>
  </si>
  <si>
    <t>coach|convict|football|prison|warden</t>
  </si>
  <si>
    <t>http://www.imdb.com/title/tt0398165/?ref_=fn_tt_tt_1</t>
  </si>
  <si>
    <t>Alvin and the Chipmunks: Chipwrecked</t>
  </si>
  <si>
    <t>Lauren Gottlieb</t>
  </si>
  <si>
    <t>chipmunk|cruise ship|football ball|overboard|tennis ball</t>
  </si>
  <si>
    <t>http://www.imdb.com/title/tt1615918/?ref_=fn_tt_tt_1</t>
  </si>
  <si>
    <t>Grown Ups 2</t>
  </si>
  <si>
    <t>belching|number in title|party|reference to nicki minaj|sneezing</t>
  </si>
  <si>
    <t>http://www.imdb.com/title/tt2191701/?ref_=fn_tt_tt_1</t>
  </si>
  <si>
    <t>Get Smart</t>
  </si>
  <si>
    <t>airplane|misunderstanding|obese woman|overweight woman|spy</t>
  </si>
  <si>
    <t>http://www.imdb.com/title/tt0425061/?ref_=fn_tt_tt_1</t>
  </si>
  <si>
    <t>Something's Gotta Give</t>
  </si>
  <si>
    <t>Paul Michael Glaser</t>
  </si>
  <si>
    <t>beach|dating|doctor|heart attack|weekend</t>
  </si>
  <si>
    <t>http://www.imdb.com/title/tt0337741/?ref_=fn_tt_tt_1</t>
  </si>
  <si>
    <t>Shutter Island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</si>
  <si>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</si>
  <si>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</si>
  <si>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</si>
  <si>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</si>
  <si>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</si>
  <si>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</t>
  </si>
  <si>
    <t>Katy Mixon</t>
  </si>
  <si>
    <t>airport|christmas|news broadcast|tv broadcast|tv news</t>
  </si>
  <si>
    <t>http://www.imdb.com/title/tt0369436/?ref_=fn_tt_tt_1</t>
  </si>
  <si>
    <t>Robots</t>
  </si>
  <si>
    <t>Drew Carey</t>
  </si>
  <si>
    <t>Paula Abdul</t>
  </si>
  <si>
    <t>actor voicing multiple characters|box office hit|coffee|plate|robot</t>
  </si>
  <si>
    <t>http://www.imdb.com/title/tt0358082/?ref_=fn_tt_tt_1</t>
  </si>
  <si>
    <t>Face/Off</t>
  </si>
  <si>
    <t>death of child|face|face transplant|prison|terrorist</t>
  </si>
  <si>
    <t>http://www.imdb.com/title/tt0119094/?ref_=fn_tt_tt_1</t>
  </si>
  <si>
    <t>Adam Shankman</t>
  </si>
  <si>
    <t>Bedtime Stories</t>
  </si>
  <si>
    <t>Comedy|Family|Fantasy|Romance</t>
  </si>
  <si>
    <t>Carmen Electra</t>
  </si>
  <si>
    <t>Kathryn Joosten</t>
  </si>
  <si>
    <t>2000s|bedtime story|elephant|handyman|tween girl</t>
  </si>
  <si>
    <t>http://www.imdb.com/title/tt0960731/?ref_=fn_tt_tt_1</t>
  </si>
  <si>
    <t>Road to Perdition</t>
  </si>
  <si>
    <t>Jennifer Jason Leigh</t>
  </si>
  <si>
    <t>Liam Aiken</t>
  </si>
  <si>
    <t>1930s|blood|gun|on the run|revenge</t>
  </si>
  <si>
    <t>http://www.imdb.com/title/tt0257044/?ref_=fn_tt_tt_1</t>
  </si>
  <si>
    <t>Just Go with It</t>
  </si>
  <si>
    <t>Bailee Madison</t>
  </si>
  <si>
    <t>chick flick|hawaii|love|plastic surgeon|woman wearing a string bikini</t>
  </si>
  <si>
    <t>http://www.imdb.com/title/tt1564367/?ref_=fn_tt_tt_1</t>
  </si>
  <si>
    <t>Con Air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</si>
  <si>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</si>
  <si>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</si>
  <si>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</si>
  <si>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</si>
  <si>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</si>
  <si>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Eagle Eye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</si>
  <si>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</si>
  <si>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</si>
  <si>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</si>
  <si>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</si>
  <si>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</si>
  <si>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Cold Mountain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</si>
  <si>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</si>
  <si>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</si>
  <si>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</si>
  <si>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</si>
  <si>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The Book of Eli</t>
  </si>
  <si>
    <t>blind|book|long take|post apocalypse|water</t>
  </si>
  <si>
    <t>http://www.imdb.com/title/tt1037705/?ref_=fn_tt_tt_1</t>
  </si>
  <si>
    <t>Les Mayfield</t>
  </si>
  <si>
    <t>Flubber</t>
  </si>
  <si>
    <t>Comedy|Family|Sci-Fi</t>
  </si>
  <si>
    <t>Jodi Benson</t>
  </si>
  <si>
    <t>Sam Lloyd</t>
  </si>
  <si>
    <t>college|flubber|flying rubber|professor|wedding</t>
  </si>
  <si>
    <t>http://www.imdb.com/title/tt0119137/?ref_=fn_tt_tt_1</t>
  </si>
  <si>
    <t>The Haunting</t>
  </si>
  <si>
    <t>Fantasy|Horror|Mystery|Thriller</t>
  </si>
  <si>
    <t>Lili Taylor</t>
  </si>
  <si>
    <t>Virginia Madsen</t>
  </si>
  <si>
    <t>greenhouse|haunted house|horror movie remake|mansion|old house</t>
  </si>
  <si>
    <t>http://www.imdb.com/title/tt0171363/?ref_=fn_tt_tt_1</t>
  </si>
  <si>
    <t>Joe Pytka</t>
  </si>
  <si>
    <t>Space Jam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</si>
  <si>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</si>
  <si>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</si>
  <si>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</si>
  <si>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</si>
  <si>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The Pink Panther</t>
  </si>
  <si>
    <t>Adventure|Comedy|Crime|Family|Mystery</t>
  </si>
  <si>
    <t>Roger Rees</t>
  </si>
  <si>
    <t>Henry Czerny</t>
  </si>
  <si>
    <t>William Abadie</t>
  </si>
  <si>
    <t>diamond|france|investigation|pink panther|soccer</t>
  </si>
  <si>
    <t>http://www.imdb.com/title/tt0383216/?ref_=fn_tt_tt_1</t>
  </si>
  <si>
    <t>Scott Derrickson</t>
  </si>
  <si>
    <t>The Day the Earth Stood Still</t>
  </si>
  <si>
    <t>Drama|Sci-Fi|Thriller</t>
  </si>
  <si>
    <t>Juan Riedinger</t>
  </si>
  <si>
    <t>alien|earth|giant robot|military|scientist</t>
  </si>
  <si>
    <t>http://www.imdb.com/title/tt0970416/?ref_=fn_tt_tt_1</t>
  </si>
  <si>
    <t>Conspiracy Theory</t>
  </si>
  <si>
    <t>Action|Crime|Mystery|Romance|Thriller</t>
  </si>
  <si>
    <t>Alex McArthur</t>
  </si>
  <si>
    <t>Michael Potts</t>
  </si>
  <si>
    <t>conspiracy|fbi|mk ultra|newsletter|taxi</t>
  </si>
  <si>
    <t>http://www.imdb.com/title/tt0118883/?ref_=fn_tt_tt_1</t>
  </si>
  <si>
    <t>Fury</t>
  </si>
  <si>
    <t>Jim Parrack</t>
  </si>
  <si>
    <t>battle|battlefield|brutality|combat|tank</t>
  </si>
  <si>
    <t>http://www.imdb.com/title/tt2713180/?ref_=fn_tt_tt_1</t>
  </si>
  <si>
    <t>Ivan Reitman</t>
  </si>
  <si>
    <t>Six Days Seven Nights</t>
  </si>
  <si>
    <t>Action|Adventure|Comedy|Romance</t>
  </si>
  <si>
    <t>airplane|island|pilot|storm|thunderstorm</t>
  </si>
  <si>
    <t>http://www.imdb.com/title/tt0120828/?ref_=fn_tt_tt_1</t>
  </si>
  <si>
    <t>Eric Brevig</t>
  </si>
  <si>
    <t>Yogi Bear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</si>
  <si>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</si>
  <si>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</si>
  <si>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</si>
  <si>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</si>
  <si>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</si>
  <si>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Spirit: Stallion of the Cimarron</t>
  </si>
  <si>
    <t>Adventure|Animation|Family|Western</t>
  </si>
  <si>
    <t>Charles Napier</t>
  </si>
  <si>
    <t>Zahn McClarnon</t>
  </si>
  <si>
    <t>cavalry|escape|herd|stallion|wild stallion</t>
  </si>
  <si>
    <t>http://www.imdb.com/title/tt0166813/?ref_=fn_tt_tt_1</t>
  </si>
  <si>
    <t>Zookeeper</t>
  </si>
  <si>
    <t>Comedy|Family|Romance</t>
  </si>
  <si>
    <t>Leslie Bibb</t>
  </si>
  <si>
    <t>Nicholas Turturro</t>
  </si>
  <si>
    <t>champagne bottle|coca cola|jewelry box|red bull|zoo</t>
  </si>
  <si>
    <t>http://www.imdb.com/title/tt1222817/?ref_=fn_tt_tt_1</t>
  </si>
  <si>
    <t>Stephen Hopkins</t>
  </si>
  <si>
    <t>Lost in Space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</si>
  <si>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</si>
  <si>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</si>
  <si>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</si>
  <si>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</si>
  <si>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</si>
  <si>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The Manchurian Candidate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</si>
  <si>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</si>
  <si>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</si>
  <si>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</si>
  <si>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</si>
  <si>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</si>
  <si>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</si>
  <si>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</si>
  <si>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</si>
  <si>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James Algar</t>
  </si>
  <si>
    <t>Fantasia 2000</t>
  </si>
  <si>
    <t>Animation|Family|Fantasy|Music</t>
  </si>
  <si>
    <t>Quincy Jones</t>
  </si>
  <si>
    <t>Penn Jillette</t>
  </si>
  <si>
    <t>Russi Taylor</t>
  </si>
  <si>
    <t>abstract|ark|disney|fairy tale|piano</t>
  </si>
  <si>
    <t>http://www.imdb.com/title/tt0120910/?ref_=fn_tt_tt_1</t>
  </si>
  <si>
    <t>The Time Machine</t>
  </si>
  <si>
    <t>Alan Young</t>
  </si>
  <si>
    <t>Josh Stamberg</t>
  </si>
  <si>
    <t>hunter|scientist|time machine|time travel|time travel romance</t>
  </si>
  <si>
    <t>http://www.imdb.com/title/tt0268695/?ref_=fn_tt_tt_1</t>
  </si>
  <si>
    <t>Mighty Joe Young</t>
  </si>
  <si>
    <t>Action|Adventure|Family|Fantasy|Thriller</t>
  </si>
  <si>
    <t>Mika Boorem</t>
  </si>
  <si>
    <t>David Paymer</t>
  </si>
  <si>
    <t>animal|california|gorilla|hunter|poacher</t>
  </si>
  <si>
    <t>http://www.imdb.com/title/tt0120751/?ref_=fn_tt_tt_1</t>
  </si>
  <si>
    <t>Swordfish</t>
  </si>
  <si>
    <t>computer|secret agent|terrorism|told in flashback|wearing a sound wire</t>
  </si>
  <si>
    <t>http://www.imdb.com/title/tt0244244/?ref_=fn_tt_tt_1</t>
  </si>
  <si>
    <t>The Legend of Zorro</t>
  </si>
  <si>
    <t>Michael Emerson</t>
  </si>
  <si>
    <t>Nick Chinlund</t>
  </si>
  <si>
    <t>Adrian Alonso</t>
  </si>
  <si>
    <t>california|fight|hero|mask|zorro</t>
  </si>
  <si>
    <t>http://www.imdb.com/title/tt0386140/?ref_=fn_tt_tt_1</t>
  </si>
  <si>
    <t>Spanish</t>
  </si>
  <si>
    <t>Vincent Ward</t>
  </si>
  <si>
    <t>What Dreams May Come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</si>
  <si>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</si>
  <si>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</si>
  <si>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</si>
  <si>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</si>
  <si>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</si>
  <si>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Little Nicky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</si>
  <si>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</si>
  <si>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</si>
  <si>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</si>
  <si>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</si>
  <si>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</si>
  <si>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The Brothers Grimm</t>
  </si>
  <si>
    <t>Action|Adventure|Comedy|Fantasy|Thriller</t>
  </si>
  <si>
    <t>creature|curse|exorcism|girl|village</t>
  </si>
  <si>
    <t>http://www.imdb.com/title/tt0355295/?ref_=fn_tt_tt_1</t>
  </si>
  <si>
    <t>Mars Attacks!</t>
  </si>
  <si>
    <t>alien|general|martian|president|weapon</t>
  </si>
  <si>
    <t>http://www.imdb.com/title/tt0116996/?ref_=fn_tt_tt_1</t>
  </si>
  <si>
    <t>Surrogates</t>
  </si>
  <si>
    <t>Action|Sci-Fi|Thriller</t>
  </si>
  <si>
    <t>Devin Ratray</t>
  </si>
  <si>
    <t>Boris Kodjoe</t>
  </si>
  <si>
    <t>android|fbi agent|future|murder|robot</t>
  </si>
  <si>
    <t>http://www.imdb.com/title/tt0986263/?ref_=fn_tt_tt_1</t>
  </si>
  <si>
    <t>Thirteen Days</t>
  </si>
  <si>
    <t>Drama|History|Thriller</t>
  </si>
  <si>
    <t>Jon Foster</t>
  </si>
  <si>
    <t>Bruce Thomas</t>
  </si>
  <si>
    <t>blockade|crisis|cuba|missile|president</t>
  </si>
  <si>
    <t>http://www.imdb.com/title/tt0146309/?ref_=fn_tt_tt_1</t>
  </si>
  <si>
    <t>Daylight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</si>
  <si>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</si>
  <si>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</si>
  <si>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</si>
  <si>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</si>
  <si>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</si>
  <si>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Walking with Dinosaurs 3D</t>
  </si>
  <si>
    <t>Adventure|Animation|Family</t>
  </si>
  <si>
    <t>Charlie Rowe</t>
  </si>
  <si>
    <t>Tiya Sircar</t>
  </si>
  <si>
    <t>Madison Rothschild</t>
  </si>
  <si>
    <t>brother|dinosaur|head butt|hero|orphan</t>
  </si>
  <si>
    <t>http://www.imdb.com/title/tt1762399/?ref_=fn_tt_tt_1</t>
  </si>
  <si>
    <t>Roger Christian</t>
  </si>
  <si>
    <t>Battlefield Earth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</si>
  <si>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</si>
  <si>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</si>
  <si>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</si>
  <si>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</si>
  <si>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</si>
  <si>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Looney Tunes: Back in Action</t>
  </si>
  <si>
    <t>Jenna Elfman</t>
  </si>
  <si>
    <t>Heather Locklear</t>
  </si>
  <si>
    <t>diamond|duck|monkey|spy|stuntman</t>
  </si>
  <si>
    <t>http://www.imdb.com/title/tt0318155/?ref_=fn_tt_tt_1</t>
  </si>
  <si>
    <t>Nine</t>
  </si>
  <si>
    <t>Drama|Musical|Romance</t>
  </si>
  <si>
    <t>Fergie</t>
  </si>
  <si>
    <t>Elio Germano</t>
  </si>
  <si>
    <t>Andrea Di Stefano</t>
  </si>
  <si>
    <t>based on stage musical based on film|child abuse|film director|italian|mistress</t>
  </si>
  <si>
    <t>http://www.imdb.com/title/tt0875034/?ref_=fn_tt_tt_1</t>
  </si>
  <si>
    <t>Timeline</t>
  </si>
  <si>
    <t>castle|france|professor|student|time machine</t>
  </si>
  <si>
    <t>http://www.imdb.com/title/tt0300556/?ref_=fn_tt_tt_1</t>
  </si>
  <si>
    <t>Kevin Costner</t>
  </si>
  <si>
    <t>The Postman</t>
  </si>
  <si>
    <t>Brian Anthony Wilson</t>
  </si>
  <si>
    <t>Larenz Tate</t>
  </si>
  <si>
    <t>drifter|escape|hope|postman|usa</t>
  </si>
  <si>
    <t>http://www.imdb.com/title/tt0119925/?ref_=fn_tt_tt_1</t>
  </si>
  <si>
    <t>Babe: Pig in the City</t>
  </si>
  <si>
    <t>Adam Goldberg</t>
  </si>
  <si>
    <t>Glenne Headly</t>
  </si>
  <si>
    <t>animal|farm|farmer|hotel|pig</t>
  </si>
  <si>
    <t>http://www.imdb.com/title/tt0120595/?ref_=fn_tt_tt_1</t>
  </si>
  <si>
    <t>The Last Witch Hunter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</si>
  <si>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</si>
  <si>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</si>
  <si>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</si>
  <si>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</si>
  <si>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</si>
  <si>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Red Planet</t>
  </si>
  <si>
    <t>Bob Neill</t>
  </si>
  <si>
    <t>Val Kilmer</t>
  </si>
  <si>
    <t>Tom Sizemore</t>
  </si>
  <si>
    <t>astronaut|mars|robot|robot as menace|survival</t>
  </si>
  <si>
    <t>http://www.imdb.com/title/tt0199753/?ref_=fn_tt_tt_1</t>
  </si>
  <si>
    <t>Arthur and the Invisibles</t>
  </si>
  <si>
    <t>Mia Farrow</t>
  </si>
  <si>
    <t>Adam LeFevre</t>
  </si>
  <si>
    <t>Penny Balfour</t>
  </si>
  <si>
    <t>boy|debt|garden|princess|treasure</t>
  </si>
  <si>
    <t>http://www.imdb.com/title/tt0344854/?ref_=fn_tt_tt_1</t>
  </si>
  <si>
    <t>Jacques Perrin</t>
  </si>
  <si>
    <t>Oceans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</si>
  <si>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</si>
  <si>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</si>
  <si>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</si>
  <si>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</si>
  <si>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</si>
  <si>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</si>
  <si>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</t>
  </si>
  <si>
    <t>Jemima Rooper</t>
  </si>
  <si>
    <t>butterfly|hunter|time|time travel|wave</t>
  </si>
  <si>
    <t>http://www.imdb.com/title/tt0318081/?ref_=fn_tt_tt_1</t>
  </si>
  <si>
    <t>Pompeii</t>
  </si>
  <si>
    <t>Action|Adventure|Drama|History|Romance</t>
  </si>
  <si>
    <t>Sasha Roiz</t>
  </si>
  <si>
    <t>Currie Graham</t>
  </si>
  <si>
    <t>Dylan Schombing</t>
  </si>
  <si>
    <t>arena|lava bomb|mount vesuvius|pompeii|slave</t>
  </si>
  <si>
    <t>http://www.imdb.com/title/tt1921064/?ref_=fn_tt_tt_1</t>
  </si>
  <si>
    <t>A Beautiful Mind</t>
  </si>
  <si>
    <t>Austin Pendleton</t>
  </si>
  <si>
    <t>conspiracy|cryptography|mathematician|mental illness|nobel prize</t>
  </si>
  <si>
    <t>http://www.imdb.com/title/tt0268978/?ref_=fn_tt_tt_1</t>
  </si>
  <si>
    <t>The Lion King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</si>
  <si>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</si>
  <si>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</si>
  <si>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</si>
  <si>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</si>
  <si>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</t>
  </si>
  <si>
    <t>gold|hurricane|island|mountain|mysterious island</t>
  </si>
  <si>
    <t>http://www.imdb.com/title/tt1397514/?ref_=fn_tt_tt_1</t>
  </si>
  <si>
    <t>Cody Cameron</t>
  </si>
  <si>
    <t>Cloudy with a Chance of Meatballs 2</t>
  </si>
  <si>
    <t>Animation|Comedy|Family|Fantasy|Sci-Fi</t>
  </si>
  <si>
    <t>Melissa Sturm</t>
  </si>
  <si>
    <t>food|inventor|island|orangutan|scientist</t>
  </si>
  <si>
    <t>http://www.imdb.com/title/tt1985966/?ref_=fn_tt_tt_1</t>
  </si>
  <si>
    <t>Red Dragon</t>
  </si>
  <si>
    <t>Emily Watson</t>
  </si>
  <si>
    <t>criminal profile|fbi agent|madman|tabloid reporter|tragic villain</t>
  </si>
  <si>
    <t>http://www.imdb.com/title/tt0289765/?ref_=fn_tt_tt_1</t>
  </si>
  <si>
    <t>Hidalgo</t>
  </si>
  <si>
    <t>arab|cowboy|horse|race|sheik</t>
  </si>
  <si>
    <t>http://www.imdb.com/title/tt0317648/?ref_=fn_tt_tt_1</t>
  </si>
  <si>
    <t>Jack and Jill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</si>
  <si>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</si>
  <si>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</si>
  <si>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</si>
  <si>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</si>
  <si>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</t>
  </si>
  <si>
    <t>Mo Gallini</t>
  </si>
  <si>
    <t>bust|racing|shotgun|street racing|undercover agent</t>
  </si>
  <si>
    <t>http://www.imdb.com/title/tt0322259/?ref_=fn_tt_tt_1</t>
  </si>
  <si>
    <t>The Little Prince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</si>
  <si>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</si>
  <si>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</si>
  <si>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</si>
  <si>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</si>
  <si>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The Invasion</t>
  </si>
  <si>
    <t>Sci-Fi|Thriller</t>
  </si>
  <si>
    <t>Veronica Cartwright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</si>
  <si>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</si>
  <si>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</si>
  <si>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</si>
  <si>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</si>
  <si>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</t>
  </si>
  <si>
    <t>Jonathan Winters</t>
  </si>
  <si>
    <t>deforestation|fbi|lighthouse|moose|squirrel</t>
  </si>
  <si>
    <t>http://www.imdb.com/title/tt0131704/?ref_=fn_tt_tt_1</t>
  </si>
  <si>
    <t>Yarrow Cheney</t>
  </si>
  <si>
    <t>The Secret Life of Pets</t>
  </si>
  <si>
    <t>Animation|Comedy|Family</t>
  </si>
  <si>
    <t>Eric Stonestreet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</si>
  <si>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</si>
  <si>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</si>
  <si>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</si>
  <si>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</si>
  <si>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</si>
  <si>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The League of Extraordinary Gentlemen</t>
  </si>
  <si>
    <t>Max Ryan</t>
  </si>
  <si>
    <t>box office flop|captain nemo|dorian gray|invisible man|steampunk</t>
  </si>
  <si>
    <t>http://www.imdb.com/title/tt0311429/?ref_=fn_tt_tt_1</t>
  </si>
  <si>
    <t>Pierre Coffin</t>
  </si>
  <si>
    <t>Despicable Me 2</t>
  </si>
  <si>
    <t>Miranda Cosgrove</t>
  </si>
  <si>
    <t>dating|minion|overprotective father|undercover spy|woman agent</t>
  </si>
  <si>
    <t>http://www.imdb.com/title/tt1690953/?ref_=fn_tt_tt_1</t>
  </si>
  <si>
    <t>Independence Day</t>
  </si>
  <si>
    <t>Mary McDonnell</t>
  </si>
  <si>
    <t>alien|area 51|military|spacecraft|spaceship</t>
  </si>
  <si>
    <t>http://www.imdb.com/title/tt0116629/?ref_=fn_tt_tt_1</t>
  </si>
  <si>
    <t>The Lost World: Jurassic Park</t>
  </si>
  <si>
    <t>Ariana Richards</t>
  </si>
  <si>
    <t>Richard Schiff</t>
  </si>
  <si>
    <t>Vanessa Lee Chester</t>
  </si>
  <si>
    <t>capture|dinosaur|island|jurassic|jurassic park</t>
  </si>
  <si>
    <t>http://www.imdb.com/title/tt0119567/?ref_=fn_tt_tt_1</t>
  </si>
  <si>
    <t>Madagascar</t>
  </si>
  <si>
    <t>escape|jungle|lemur|madagascar|zoo</t>
  </si>
  <si>
    <t>http://www.imdb.com/title/tt0351283/?ref_=fn_tt_tt_1</t>
  </si>
  <si>
    <t>Children of Men</t>
  </si>
  <si>
    <t>Danny Huston</t>
  </si>
  <si>
    <t>Rita Davies</t>
  </si>
  <si>
    <t>chaos|england|long take|survival|violence</t>
  </si>
  <si>
    <t>http://www.imdb.com/title/tt0206634/?ref_=fn_tt_tt_1</t>
  </si>
  <si>
    <t>X-Men</t>
  </si>
  <si>
    <t>Tyler Mane</t>
  </si>
  <si>
    <t>first part|mutant|professor|superhero|superhero team</t>
  </si>
  <si>
    <t>http://www.imdb.com/title/tt0120903/?ref_=fn_tt_tt_1</t>
  </si>
  <si>
    <t>Timur Bekmambetov</t>
  </si>
  <si>
    <t>Wanted</t>
  </si>
  <si>
    <t>Action|Crime|Fantasy|Thriller</t>
  </si>
  <si>
    <t>assassin|bobble head doll|femme fatale|rejuvenation|strong female lead</t>
  </si>
  <si>
    <t>http://www.imdb.com/title/tt0493464/?ref_=fn_tt_tt_1</t>
  </si>
  <si>
    <t>The Rock</t>
  </si>
  <si>
    <t>Michael Biehn</t>
  </si>
  <si>
    <t>Bokeem Woodbine</t>
  </si>
  <si>
    <t>alcatraz|fbi|general|hostage|rocket</t>
  </si>
  <si>
    <t>http://www.imdb.com/title/tt0117500/?ref_=fn_tt_tt_1</t>
  </si>
  <si>
    <t>Ice Age: The Meltdown</t>
  </si>
  <si>
    <t>Ray Romano</t>
  </si>
  <si>
    <t>Jay Leno</t>
  </si>
  <si>
    <t>flood|mammoth|no opening credits|squirrel|valley</t>
  </si>
  <si>
    <t>http://www.imdb.com/title/tt0438097/?ref_=fn_tt_tt_1</t>
  </si>
  <si>
    <t>50 First Dates</t>
  </si>
  <si>
    <t>Peter Dante</t>
  </si>
  <si>
    <t>Allen Covert</t>
  </si>
  <si>
    <t>dream|hawaii|hawaiian shirt|short term memory loss|veterinarian</t>
  </si>
  <si>
    <t>http://www.imdb.com/title/tt0343660/?ref_=fn_tt_tt_1</t>
  </si>
  <si>
    <t>Hairspray</t>
  </si>
  <si>
    <t>Comedy|Drama|Family|Music|Musical|Romance</t>
  </si>
  <si>
    <t>Jerry Stiller</t>
  </si>
  <si>
    <t>Elijah Kelley</t>
  </si>
  <si>
    <t>Paul Dooley</t>
  </si>
  <si>
    <t>audition|best friend|dance|friend|tv dance show</t>
  </si>
  <si>
    <t>http://www.imdb.com/title/tt0427327/?ref_=fn_tt_tt_1</t>
  </si>
  <si>
    <t>Exorcist: The Beginning</t>
  </si>
  <si>
    <t>Horror|Mystery|Thriller</t>
  </si>
  <si>
    <t>Alan Ford</t>
  </si>
  <si>
    <t>Izabella Scorupco</t>
  </si>
  <si>
    <t>archeologist|church|excavation|faith|relic</t>
  </si>
  <si>
    <t>http://www.imdb.com/title/tt0204313/?ref_=fn_tt_tt_1</t>
  </si>
  <si>
    <t>David Kellogg</t>
  </si>
  <si>
    <t>Inspector Gadget</t>
  </si>
  <si>
    <t>Action|Adventure|Comedy|Family|Sci-Fi</t>
  </si>
  <si>
    <t>actor playing multiple roles|claw|gadget|inspector|police</t>
  </si>
  <si>
    <t>http://www.imdb.com/title/tt0141369/?ref_=fn_tt_tt_1</t>
  </si>
  <si>
    <t>Now You See Me</t>
  </si>
  <si>
    <t>Michael Kelly</t>
  </si>
  <si>
    <t>bank|fbi|heist|interpol|magician</t>
  </si>
  <si>
    <t>http://www.imdb.com/title/tt1670345/?ref_=fn_tt_tt_1</t>
  </si>
  <si>
    <t>Grown Ups</t>
  </si>
  <si>
    <t>basketball|coach|daughter|high school|high school basketball</t>
  </si>
  <si>
    <t>http://www.imdb.com/title/tt1375670/?ref_=fn_tt_tt_1</t>
  </si>
  <si>
    <t>The Terminal</t>
  </si>
  <si>
    <t>Barry Shabaka Henley</t>
  </si>
  <si>
    <t>airport|construction site|fish out of water|flight attendant|man without a country</t>
  </si>
  <si>
    <t>http://www.imdb.com/title/tt0362227/?ref_=fn_tt_tt_1</t>
  </si>
  <si>
    <t>Hotel for Dogs</t>
  </si>
  <si>
    <t>Comedy|Family</t>
  </si>
  <si>
    <t>Kevin Dillon</t>
  </si>
  <si>
    <t>Yvette Nicole Brown</t>
  </si>
  <si>
    <t>abandoned hotel|dog|foster home|overalls|playing with a dog</t>
  </si>
  <si>
    <t>http://www.imdb.com/title/tt0785006/?ref_=fn_tt_tt_1</t>
  </si>
  <si>
    <t>Vertical Limit</t>
  </si>
  <si>
    <t>Nicholas Lea</t>
  </si>
  <si>
    <t>death|die hard scenario|k2|rescue|urination</t>
  </si>
  <si>
    <t>http://www.imdb.com/title/tt0190865/?ref_=fn_tt_tt_1</t>
  </si>
  <si>
    <t>Mike Nichols</t>
  </si>
  <si>
    <t>Charlie Wilson's War</t>
  </si>
  <si>
    <t>Biography|Comedy|Drama|History</t>
  </si>
  <si>
    <t>Jud Tylor</t>
  </si>
  <si>
    <t>afghanistan|arms dealer|based on true story|cia|texas</t>
  </si>
  <si>
    <t>http://www.imdb.com/title/tt0472062/?ref_=fn_tt_tt_1</t>
  </si>
  <si>
    <t>Shark Tale</t>
  </si>
  <si>
    <t>anchor|fish|mobster|shark|vegetarian</t>
  </si>
  <si>
    <t>http://www.imdb.com/title/tt0307453/?ref_=fn_tt_tt_1</t>
  </si>
  <si>
    <t>Dreamgirls</t>
  </si>
  <si>
    <t>Drama|Music|Musical</t>
  </si>
  <si>
    <t>Loretta Devine</t>
  </si>
  <si>
    <t>Jennifer Hudson</t>
  </si>
  <si>
    <t>1960s|fire|pop chart|singer|trio</t>
  </si>
  <si>
    <t>http://www.imdb.com/title/tt0443489/?ref_=fn_tt_tt_1</t>
  </si>
  <si>
    <t>F. Gary Gray</t>
  </si>
  <si>
    <t>Be Cool</t>
  </si>
  <si>
    <t>Comedy|Crime|Music</t>
  </si>
  <si>
    <t>Christina Milian</t>
  </si>
  <si>
    <t>concert|mobster|russian|sequel|widow</t>
  </si>
  <si>
    <t>http://www.imdb.com/title/tt0377471/?ref_=fn_tt_tt_1</t>
  </si>
  <si>
    <t>Munich</t>
  </si>
  <si>
    <t>Moritz Bleibtreu</t>
  </si>
  <si>
    <t>arab|black september|israel|jew|munich olympics</t>
  </si>
  <si>
    <t>http://www.imdb.com/title/tt0408306/?ref_=fn_tt_tt_1</t>
  </si>
  <si>
    <t>Antoine Fuqua</t>
  </si>
  <si>
    <t>Tears of the Sun</t>
  </si>
  <si>
    <t>dictator|doctor|jungle|rebel|refugee</t>
  </si>
  <si>
    <t>http://www.imdb.com/title/tt0314353/?ref_=fn_tt_tt_1</t>
  </si>
  <si>
    <t>Robert Luketic</t>
  </si>
  <si>
    <t>Killers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</si>
  <si>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</si>
  <si>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</si>
  <si>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</si>
  <si>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</si>
  <si>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The Man from U.N.C.L.E.</t>
  </si>
  <si>
    <t>Christian Berkel</t>
  </si>
  <si>
    <t>box office flop|cia agent|criminal organization|kgb agent|nuclear bomb</t>
  </si>
  <si>
    <t>http://www.imdb.com/title/tt1638355/?ref_=fn_tt_tt_1</t>
  </si>
  <si>
    <t>Spanglish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</si>
  <si>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</si>
  <si>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</si>
  <si>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</si>
  <si>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</si>
  <si>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</si>
  <si>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Monster House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</si>
  <si>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</si>
  <si>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</si>
  <si>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</si>
  <si>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</si>
  <si>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Bandits</t>
  </si>
  <si>
    <t>Comedy|Crime|Drama|Romance</t>
  </si>
  <si>
    <t>BrÃ­an F. O'Byrne</t>
  </si>
  <si>
    <t>Azura Skye</t>
  </si>
  <si>
    <t>bank manager|hypochondriac|love triangle|prison|television</t>
  </si>
  <si>
    <t>http://www.imdb.com/title/tt0219965/?ref_=fn_tt_tt_1</t>
  </si>
  <si>
    <t>Jerry Zucker</t>
  </si>
  <si>
    <t>First Knight</t>
  </si>
  <si>
    <t>Action|Adventure|Romance|Thriller</t>
  </si>
  <si>
    <t>Ben Cross</t>
  </si>
  <si>
    <t>John Gielgud</t>
  </si>
  <si>
    <t>battle|king|king arthur|knight|marriage</t>
  </si>
  <si>
    <t>http://www.imdb.com/title/tt0113071/?ref_=fn_tt_tt_1</t>
  </si>
  <si>
    <t>Andy Tennant</t>
  </si>
  <si>
    <t>Anna and the King</t>
  </si>
  <si>
    <t>Drama|History|Romance</t>
  </si>
  <si>
    <t>Geoffrey Palmer</t>
  </si>
  <si>
    <t>Randall Duk Kim</t>
  </si>
  <si>
    <t>1860s|children|king|schoolteacher|siam</t>
  </si>
  <si>
    <t>http://www.imdb.com/title/tt0166485/?ref_=fn_tt_tt_1</t>
  </si>
  <si>
    <t>Immortals</t>
  </si>
  <si>
    <t>Action|Drama|Fantasy|Romance</t>
  </si>
  <si>
    <t>Daniel Sharman</t>
  </si>
  <si>
    <t>Steve Byers</t>
  </si>
  <si>
    <t>burned alive|castration|olympus|torture|torture device</t>
  </si>
  <si>
    <t>http://www.imdb.com/title/tt1253864/?ref_=fn_tt_tt_1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</si>
  <si>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</si>
  <si>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</si>
  <si>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</si>
  <si>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</si>
  <si>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</si>
  <si>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Don Bluth</t>
  </si>
  <si>
    <t>Titan A.E.</t>
  </si>
  <si>
    <t>Action|Adventure|Animation|Family|Sci-Fi</t>
  </si>
  <si>
    <t>alien|captain|escape|pilot|scientist</t>
  </si>
  <si>
    <t>http://www.imdb.com/title/tt0120913/?ref_=fn_tt_tt_1</t>
  </si>
  <si>
    <t>Ron Shelton</t>
  </si>
  <si>
    <t>Hollywood Homicide</t>
  </si>
  <si>
    <t>Lena Olin</t>
  </si>
  <si>
    <t>audition|kissing while having sex|machismo|murder|sex</t>
  </si>
  <si>
    <t>http://www.imdb.com/title/tt0329717/?ref_=fn_tt_tt_1</t>
  </si>
  <si>
    <t>Soldier</t>
  </si>
  <si>
    <t>Action|Drama|Sci-Fi</t>
  </si>
  <si>
    <t>Sean Pertwee</t>
  </si>
  <si>
    <t>crash survivor|planet|sergeant|soldier|survivor</t>
  </si>
  <si>
    <t>http://www.imdb.com/title/tt0120157/?ref_=fn_tt_tt_1</t>
  </si>
  <si>
    <t>Henry Selick</t>
  </si>
  <si>
    <t>Monkeybone</t>
  </si>
  <si>
    <t>Animation|Comedy|Fantasy</t>
  </si>
  <si>
    <t>Bridget Fonda</t>
  </si>
  <si>
    <t>Megan Mullally</t>
  </si>
  <si>
    <t>carnival|coma|death|monkey|nightmare</t>
  </si>
  <si>
    <t>http://www.imdb.com/title/tt0166276/?ref_=fn_tt_tt_1</t>
  </si>
  <si>
    <t>Flight of the Phoenix</t>
  </si>
  <si>
    <t>captain|desert|rescue|stranded|survivor</t>
  </si>
  <si>
    <t>http://www.imdb.com/title/tt0377062/?ref_=fn_tt_tt_1</t>
  </si>
  <si>
    <t>Unbreakable</t>
  </si>
  <si>
    <t>child with gun|comic book|invulnerability|superhero|train crash</t>
  </si>
  <si>
    <t>http://www.imdb.com/title/tt0217869/?ref_=fn_tt_tt_1</t>
  </si>
  <si>
    <t>Kyle Balda</t>
  </si>
  <si>
    <t>Minions</t>
  </si>
  <si>
    <t>antarctica|minion|queen|super villain|villain</t>
  </si>
  <si>
    <t>http://www.imdb.com/title/tt2293640/?ref_=fn_tt_tt_1</t>
  </si>
  <si>
    <t>Sucker Punch</t>
  </si>
  <si>
    <t>Action|Fantasy</t>
  </si>
  <si>
    <t>alternate reality|escape|girl gang|prostitution|samurai</t>
  </si>
  <si>
    <t>http://www.imdb.com/title/tt0978764/?ref_=fn_tt_tt_1</t>
  </si>
  <si>
    <t>Snake Eyes</t>
  </si>
  <si>
    <t>Mike Starr</t>
  </si>
  <si>
    <t>John Heard</t>
  </si>
  <si>
    <t>assassination|boxing|casino|conspiracy|long take</t>
  </si>
  <si>
    <t>http://www.imdb.com/title/tt0120832/?ref_=fn_tt_tt_1</t>
  </si>
  <si>
    <t>Sphere</t>
  </si>
  <si>
    <t>Peter Coyote</t>
  </si>
  <si>
    <t>James Pickens Jr.</t>
  </si>
  <si>
    <t>Huey Lewis</t>
  </si>
  <si>
    <t>manifestation|ocean|spacecraft|spaceship|sphere</t>
  </si>
  <si>
    <t>http://www.imdb.com/title/tt0120184/?ref_=fn_tt_tt_1</t>
  </si>
  <si>
    <t>Clay Kaytis</t>
  </si>
  <si>
    <t>The Angry Birds Movie</t>
  </si>
  <si>
    <t>Action|Animation|Comedy|Family</t>
  </si>
  <si>
    <t>Keegan-Michael Key</t>
  </si>
  <si>
    <t>butt|downward duck|fish|kingfisher|pig</t>
  </si>
  <si>
    <t>http://www.imdb.com/title/tt1985949/?ref_=fn_tt_tt_1</t>
  </si>
  <si>
    <t>Fool's Gold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</si>
  <si>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</si>
  <si>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</si>
  <si>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</si>
  <si>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</si>
  <si>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</si>
  <si>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</si>
  <si>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</si>
  <si>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</si>
  <si>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</si>
  <si>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The Kingdom</t>
  </si>
  <si>
    <t>Frances Fisher</t>
  </si>
  <si>
    <t>Tim McGraw</t>
  </si>
  <si>
    <t>al qaeda|bomb making|fbi|saudi arabia|stabbed in the crotch</t>
  </si>
  <si>
    <t>http://www.imdb.com/title/tt0431197/?ref_=fn_tt_tt_1</t>
  </si>
  <si>
    <t>Talladega Nights: The Ballad of Ricky Bobby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</si>
  <si>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</si>
  <si>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</si>
  <si>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</si>
  <si>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</si>
  <si>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</si>
  <si>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Dr. Dolittle 2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</si>
  <si>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</si>
  <si>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</si>
  <si>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</si>
  <si>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</si>
  <si>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</si>
  <si>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Braveheart</t>
  </si>
  <si>
    <t>Biography|Drama|History|War</t>
  </si>
  <si>
    <t>Mhairi Calvey</t>
  </si>
  <si>
    <t>Patrick McGoohan</t>
  </si>
  <si>
    <t>James Robinson</t>
  </si>
  <si>
    <t>14th century|legend|revolt|scotland|tyranny</t>
  </si>
  <si>
    <t>http://www.imdb.com/title/tt0112573/?ref_=fn_tt_tt_1</t>
  </si>
  <si>
    <t>Jarhead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</si>
  <si>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</si>
  <si>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</si>
  <si>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</si>
  <si>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</si>
  <si>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</si>
  <si>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The Simpsons Movie</t>
  </si>
  <si>
    <t>Adventure|Animation|Comedy</t>
  </si>
  <si>
    <t>Yeardley Smith</t>
  </si>
  <si>
    <t>Marcia Wallace</t>
  </si>
  <si>
    <t>alaska|dome|lake|pig|the simpsons</t>
  </si>
  <si>
    <t>http://www.imdb.com/title/tt0462538/?ref_=fn_tt_tt_1</t>
  </si>
  <si>
    <t>Frank Darabont</t>
  </si>
  <si>
    <t>The Majestic</t>
  </si>
  <si>
    <t>Martin Landau</t>
  </si>
  <si>
    <t>Hal Holbrook</t>
  </si>
  <si>
    <t>Jeffrey DeMunn</t>
  </si>
  <si>
    <t>amnesia|california|communist|small town|writer</t>
  </si>
  <si>
    <t>http://www.imdb.com/title/tt0268995/?ref_=fn_tt_tt_1</t>
  </si>
  <si>
    <t>Driven</t>
  </si>
  <si>
    <t>Action|Drama|Sport</t>
  </si>
  <si>
    <t>CristiÃ¡n de la Fuente</t>
  </si>
  <si>
    <t>car race|german|race car|race car driver|rookie</t>
  </si>
  <si>
    <t>http://www.imdb.com/title/tt0132245/?ref_=fn_tt_tt_1</t>
  </si>
  <si>
    <t>Two Brothers</t>
  </si>
  <si>
    <t>Adventure|Drama|Family</t>
  </si>
  <si>
    <t>David Gant</t>
  </si>
  <si>
    <t>Jean-Claude Dreyfus</t>
  </si>
  <si>
    <t>Oanh Nguyen</t>
  </si>
  <si>
    <t>circus|death of protagonist|jungle|killing an animal|tiger</t>
  </si>
  <si>
    <t>http://www.imdb.com/title/tt0338512/?ref_=fn_tt_tt_1</t>
  </si>
  <si>
    <t>The Village</t>
  </si>
  <si>
    <t>Drama|Mystery|Romance|Thriller</t>
  </si>
  <si>
    <t>creature|pact|plot twist|village|woods</t>
  </si>
  <si>
    <t>http://www.imdb.com/title/tt0368447/?ref_=fn_tt_tt_1</t>
  </si>
  <si>
    <t>Betty Thomas</t>
  </si>
  <si>
    <t>Doctor Dolittle</t>
  </si>
  <si>
    <t>Peter Boyle</t>
  </si>
  <si>
    <t>box office hit|doctor|dog|first part|tiger</t>
  </si>
  <si>
    <t>http://www.imdb.com/title/tt0118998/?ref_=fn_tt_tt_1</t>
  </si>
  <si>
    <t>Signs</t>
  </si>
  <si>
    <t>Rory Culkin</t>
  </si>
  <si>
    <t>Merritt Wever</t>
  </si>
  <si>
    <t>Cherry Jones</t>
  </si>
  <si>
    <t>crop circle|faith|farm|glass of water|loss of faith</t>
  </si>
  <si>
    <t>http://www.imdb.com/title/tt0286106/?ref_=fn_tt_tt_1</t>
  </si>
  <si>
    <t>Shrek 2</t>
  </si>
  <si>
    <t>Adventure|Animation|Comedy|Family|Fantasy|Romance</t>
  </si>
  <si>
    <t>Jennifer Saunders</t>
  </si>
  <si>
    <t>Conrad Vernon</t>
  </si>
  <si>
    <t>drag queen|physical appearance|princess|queen|sequel</t>
  </si>
  <si>
    <t>http://www.imdb.com/title/tt0298148/?ref_=fn_tt_tt_1</t>
  </si>
  <si>
    <t>Cars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</si>
  <si>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</si>
  <si>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</si>
  <si>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</si>
  <si>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</si>
  <si>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</si>
  <si>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Runaway Bride</t>
  </si>
  <si>
    <t>Hector Elizondo</t>
  </si>
  <si>
    <t>bride|columnist|journalist|maryland|wedding</t>
  </si>
  <si>
    <t>http://www.imdb.com/title/tt0163187/?ref_=fn_tt_tt_1</t>
  </si>
  <si>
    <t>xXx</t>
  </si>
  <si>
    <t>Eve</t>
  </si>
  <si>
    <t>Leila Arcieri</t>
  </si>
  <si>
    <t>agent|nsa|nsa agent|prague|russian</t>
  </si>
  <si>
    <t>http://www.imdb.com/title/tt0295701/?ref_=fn_tt_tt_1</t>
  </si>
  <si>
    <t>Paul Tibbitt</t>
  </si>
  <si>
    <t>The SpongeBob Movie: Sponge Out of Water</t>
  </si>
  <si>
    <t>Tim Conway</t>
  </si>
  <si>
    <t>Billy West</t>
  </si>
  <si>
    <t>book|magic|pirate|plankton|time machine</t>
  </si>
  <si>
    <t>http://www.imdb.com/title/tt2279373/?ref_=fn_tt_tt_1</t>
  </si>
  <si>
    <t>Ransom</t>
  </si>
  <si>
    <t>bounty|fbi|millionaire|money|ransom</t>
  </si>
  <si>
    <t>http://www.imdb.com/title/tt0117438/?ref_=fn_tt_tt_1</t>
  </si>
  <si>
    <t>Inglourious Basterds</t>
  </si>
  <si>
    <t>Adventure|Drama|War</t>
  </si>
  <si>
    <t>france|german|nazis|revenge|scalping</t>
  </si>
  <si>
    <t>http://www.imdb.com/title/tt0361748/?ref_=fn_tt_tt_1</t>
  </si>
  <si>
    <t>Hook</t>
  </si>
  <si>
    <t>1990s|caught in a net|children|duel|hero</t>
  </si>
  <si>
    <t>http://www.imdb.com/title/tt0102057/?ref_=fn_tt_tt_1</t>
  </si>
  <si>
    <t>Die Hard 2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</si>
  <si>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</si>
  <si>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</si>
  <si>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</si>
  <si>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</si>
  <si>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</si>
  <si>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S.W.A.T.</t>
  </si>
  <si>
    <t>Action|Adventure|Crime|Thriller</t>
  </si>
  <si>
    <t>Josh Charles</t>
  </si>
  <si>
    <t>hostage|police|prison|swat team|training</t>
  </si>
  <si>
    <t>http://www.imdb.com/title/tt0257076/?ref_=fn_tt_tt_1</t>
  </si>
  <si>
    <t>Cameron Crowe</t>
  </si>
  <si>
    <t>Vanilla Sky</t>
  </si>
  <si>
    <t>Fantasy|Mystery|Romance|Sci-Fi|Thriller</t>
  </si>
  <si>
    <t>death|dream|love|lynchian|reality</t>
  </si>
  <si>
    <t>http://www.imdb.com/title/tt0259711/?ref_=fn_tt_tt_1</t>
  </si>
  <si>
    <t>Lady in the Water</t>
  </si>
  <si>
    <t>Drama|Fantasy|Mystery|Thriller</t>
  </si>
  <si>
    <t>Freddy RodrÃ­guez</t>
  </si>
  <si>
    <t>Bob Balaban</t>
  </si>
  <si>
    <t>apartment|bedtime story|eagle|stuttering|swimming pool</t>
  </si>
  <si>
    <t>http://www.imdb.com/title/tt0452637/?ref_=fn_tt_tt_1</t>
  </si>
  <si>
    <t>AVP: Alien vs. Predator</t>
  </si>
  <si>
    <t>Raoul Bova</t>
  </si>
  <si>
    <t>alien|antarctica|predator|pyramid|satellite</t>
  </si>
  <si>
    <t>http://www.imdb.com/title/tt0370263/?ref_=fn_tt_tt_1</t>
  </si>
  <si>
    <t>Alvin and the Chipmunks: The Squeakquel</t>
  </si>
  <si>
    <t>Animation|Comedy|Family|Fantasy|Music</t>
  </si>
  <si>
    <t>Bridgit Mendler</t>
  </si>
  <si>
    <t>adidas|chipmunk|hospital|school|waste container</t>
  </si>
  <si>
    <t>http://www.imdb.com/title/tt1231580/?ref_=fn_tt_tt_1</t>
  </si>
  <si>
    <t>Randall Wallace</t>
  </si>
  <si>
    <t>We Were Soldiers</t>
  </si>
  <si>
    <t>Chris Klein</t>
  </si>
  <si>
    <t>air cavalry|battle|major|soldier|vietnamese</t>
  </si>
  <si>
    <t>http://www.imdb.com/title/tt0277434/?ref_=fn_tt_tt_1</t>
  </si>
  <si>
    <t>Olympus Has Fallen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</si>
  <si>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</si>
  <si>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</si>
  <si>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</si>
  <si>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</si>
  <si>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Star Trek: Insurrection</t>
  </si>
  <si>
    <t>LeVar Burton</t>
  </si>
  <si>
    <t>Michael Dorn</t>
  </si>
  <si>
    <t>alien|captain|commander|conspiracy|planet</t>
  </si>
  <si>
    <t>http://www.imdb.com/title/tt0120844/?ref_=fn_tt_tt_1</t>
  </si>
  <si>
    <t>Battle Los Angeles</t>
  </si>
  <si>
    <t>alien|extraterrestrial|invasion|marine|mission</t>
  </si>
  <si>
    <t>http://www.imdb.com/title/tt1217613/?ref_=fn_tt_tt_1</t>
  </si>
  <si>
    <t>Big Fish</t>
  </si>
  <si>
    <t>Alison Lohman</t>
  </si>
  <si>
    <t>dog saved from a fire|flashback|growing up|multiple narrators|traveling salesman</t>
  </si>
  <si>
    <t>http://www.imdb.com/title/tt0319061/?ref_=fn_tt_tt_1</t>
  </si>
  <si>
    <t>Wolf</t>
  </si>
  <si>
    <t>Drama|Horror|Romance|Thriller</t>
  </si>
  <si>
    <t>David Hyde Pierce</t>
  </si>
  <si>
    <t>Peter Gerety</t>
  </si>
  <si>
    <t>Ron Rifkin</t>
  </si>
  <si>
    <t>blood|publisher|publishing house|werewolf|wolf</t>
  </si>
  <si>
    <t>http://www.imdb.com/title/tt0111742/?ref_=fn_tt_tt_1</t>
  </si>
  <si>
    <t>War Horse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</si>
  <si>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</si>
  <si>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</si>
  <si>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</si>
  <si>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</si>
  <si>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</si>
  <si>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The Monuments Men</t>
  </si>
  <si>
    <t>art|art expert|nazi stolen art|soldier|world war two</t>
  </si>
  <si>
    <t>http://www.imdb.com/title/tt2177771/?ref_=fn_tt_tt_1</t>
  </si>
  <si>
    <t>The Abyss</t>
  </si>
  <si>
    <t>Todd Graff</t>
  </si>
  <si>
    <t>alien|estranged couple|ocean|submarine|underwater</t>
  </si>
  <si>
    <t>http://www.imdb.com/title/tt0096754/?ref_=fn_tt_tt_1</t>
  </si>
  <si>
    <t>Wall Street: Money Never Sleeps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</si>
  <si>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</si>
  <si>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</si>
  <si>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</si>
  <si>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</si>
  <si>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</si>
  <si>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Dracula Untold</t>
  </si>
  <si>
    <t>Action|Drama|Fantasy|Horror|War</t>
  </si>
  <si>
    <t>Sarah Gadon</t>
  </si>
  <si>
    <t>Zach McGowan</t>
  </si>
  <si>
    <t>death of wife|dracula|tarantula|turk|vampire</t>
  </si>
  <si>
    <t>http://www.imdb.com/title/tt0829150/?ref_=fn_tt_tt_1</t>
  </si>
  <si>
    <t>The Siege</t>
  </si>
  <si>
    <t>Mark Valley</t>
  </si>
  <si>
    <t>abduction|martial law|military|new york city|terrorist</t>
  </si>
  <si>
    <t>http://www.imdb.com/title/tt0133952/?ref_=fn_tt_tt_1</t>
  </si>
  <si>
    <t>Stardust</t>
  </si>
  <si>
    <t>Adventure|Family|Fantasy|Romance</t>
  </si>
  <si>
    <t>Nathaniel Parker</t>
  </si>
  <si>
    <t>king|magic|one word title|pirate|village</t>
  </si>
  <si>
    <t>http://www.imdb.com/title/tt0486655/?ref_=fn_tt_tt_1</t>
  </si>
  <si>
    <t>Seven Years in Tibet</t>
  </si>
  <si>
    <t>Adventure|Biography|Drama|History|War</t>
  </si>
  <si>
    <t>Victor Wong</t>
  </si>
  <si>
    <t>austria|dalai lama|himalaya|mountain|tibet</t>
  </si>
  <si>
    <t>http://www.imdb.com/title/tt0120102/?ref_=fn_tt_tt_1</t>
  </si>
  <si>
    <t>The Dilemma</t>
  </si>
  <si>
    <t>Chelcie Ross</t>
  </si>
  <si>
    <t>best friend|friend|investigation|secret|two word title</t>
  </si>
  <si>
    <t>http://www.imdb.com/title/tt1578275/?ref_=fn_tt_tt_1</t>
  </si>
  <si>
    <t>Bad Company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</si>
  <si>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</si>
  <si>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</si>
  <si>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</si>
  <si>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</si>
  <si>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</si>
  <si>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Doom</t>
  </si>
  <si>
    <t>Action|Adventure|Horror|Sci-Fi</t>
  </si>
  <si>
    <t>Ben Daniels</t>
  </si>
  <si>
    <t>Dexter Fletcher</t>
  </si>
  <si>
    <t>commando unit|extra chromosome|first person shooter|special forces|teleportation</t>
  </si>
  <si>
    <t>http://www.imdb.com/title/tt0419706/?ref_=fn_tt_tt_1</t>
  </si>
  <si>
    <t>I Spy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</si>
  <si>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</si>
  <si>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</si>
  <si>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</si>
  <si>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</si>
  <si>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</si>
  <si>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Underworld: Awakening</t>
  </si>
  <si>
    <t>Action|Fantasy|Horror</t>
  </si>
  <si>
    <t>Stephen Rea</t>
  </si>
  <si>
    <t>Sandrine Holt</t>
  </si>
  <si>
    <t>battle|cryogenics|detective|scientist|vampire</t>
  </si>
  <si>
    <t>http://www.imdb.com/title/tt1496025/?ref_=fn_tt_tt_1</t>
  </si>
  <si>
    <t>Rock of Ages</t>
  </si>
  <si>
    <t>Comedy|Drama|Musical|Romance</t>
  </si>
  <si>
    <t>James Martin Kelly</t>
  </si>
  <si>
    <t>Shane Hartline</t>
  </si>
  <si>
    <t>Celina Beach</t>
  </si>
  <si>
    <t>concert|love|music industry|panties|pole dancer</t>
  </si>
  <si>
    <t>http://www.imdb.com/title/tt1336608/?ref_=fn_tt_tt_1</t>
  </si>
  <si>
    <t>Gregory Hoblit</t>
  </si>
  <si>
    <t>Hart's War</t>
  </si>
  <si>
    <t>Rory Cochrane</t>
  </si>
  <si>
    <t>colonel|honor|lieutenant|pilot|racism</t>
  </si>
  <si>
    <t>http://www.imdb.com/title/tt0251114/?ref_=fn_tt_tt_1</t>
  </si>
  <si>
    <t>Gary McKendry</t>
  </si>
  <si>
    <t>Killer Elite</t>
  </si>
  <si>
    <t>australia|death|mentor|revenge|secret society</t>
  </si>
  <si>
    <t>http://www.imdb.com/title/tt1448755/?ref_=fn_tt_tt_1</t>
  </si>
  <si>
    <t>Rollerball</t>
  </si>
  <si>
    <t>Action|Sci-Fi|Sport</t>
  </si>
  <si>
    <t>ball|blood|skating|song|year 2005</t>
  </si>
  <si>
    <t>http://www.imdb.com/title/tt0246894/?ref_=fn_tt_tt_1</t>
  </si>
  <si>
    <t>Wych Kaosayananda</t>
  </si>
  <si>
    <t>Ballistic: Ecks vs. Sever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</si>
  <si>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</si>
  <si>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</si>
  <si>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</si>
  <si>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</si>
  <si>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</si>
  <si>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Hard Rain</t>
  </si>
  <si>
    <t>Minnie Driver</t>
  </si>
  <si>
    <t>dam|flood|money|police|sheriff</t>
  </si>
  <si>
    <t>http://www.imdb.com/title/tt0120696/?ref_=fn_tt_tt_1</t>
  </si>
  <si>
    <t>Bobby Farrelly</t>
  </si>
  <si>
    <t>Osmosis Jones</t>
  </si>
  <si>
    <t>Action|Adventure|Animation|Comedy|Crime|Family|Fantasy</t>
  </si>
  <si>
    <t>Brandy Norwood</t>
  </si>
  <si>
    <t>blood|body|egg|virus|white blood cell</t>
  </si>
  <si>
    <t>http://www.imdb.com/title/tt0181739/?ref_=fn_tt_tt_1</t>
  </si>
  <si>
    <t>Blackhat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</si>
  <si>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</si>
  <si>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</si>
  <si>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</si>
  <si>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</si>
  <si>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</si>
  <si>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Sky Captain and the World of Tomorrow</t>
  </si>
  <si>
    <t>Laurence Olivier</t>
  </si>
  <si>
    <t>captain|pilot|reporter|robot|scientist</t>
  </si>
  <si>
    <t>http://www.imdb.com/title/tt0346156/?ref_=fn_tt_tt_1</t>
  </si>
  <si>
    <t>Michael Caton-Jones</t>
  </si>
  <si>
    <t>Basic Instinct 2</t>
  </si>
  <si>
    <t>Charlotte Rampling</t>
  </si>
  <si>
    <t>Indira Varma</t>
  </si>
  <si>
    <t>Neil Maskell</t>
  </si>
  <si>
    <t>drugs|murder|psychiatrist|scotland yard|sex</t>
  </si>
  <si>
    <t>http://www.imdb.com/title/tt0430912/?ref_=fn_tt_tt_1</t>
  </si>
  <si>
    <t>Mikael HÃ¥fstrÃ¶m</t>
  </si>
  <si>
    <t>Escape Plan</t>
  </si>
  <si>
    <t>Action|Crime|Mystery|Sci-Fi|Thriller</t>
  </si>
  <si>
    <t>50 Cent</t>
  </si>
  <si>
    <t>Matt Gerald</t>
  </si>
  <si>
    <t>cia agent|escape|muslim|prison|ship</t>
  </si>
  <si>
    <t>http://www.imdb.com/title/tt1211956/?ref_=fn_tt_tt_1</t>
  </si>
  <si>
    <t>The Legend of Hercules</t>
  </si>
  <si>
    <t>Roxanne McKee</t>
  </si>
  <si>
    <t>Luke Newberry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</si>
  <si>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</si>
  <si>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</si>
  <si>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</si>
  <si>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</si>
  <si>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</si>
  <si>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</si>
  <si>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</si>
  <si>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</si>
  <si>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</si>
  <si>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</t>
  </si>
  <si>
    <t>friendship|graduation|revenge|vampire|werewolf</t>
  </si>
  <si>
    <t>http://www.imdb.com/title/tt1325004/?ref_=fn_tt_tt_1</t>
  </si>
  <si>
    <t>The Score</t>
  </si>
  <si>
    <t>Gary Farmer</t>
  </si>
  <si>
    <t>partner|running|scepter|surveillance|thief</t>
  </si>
  <si>
    <t>http://www.imdb.com/title/tt0227445/?ref_=fn_tt_tt_1</t>
  </si>
  <si>
    <t>Despicable Me</t>
  </si>
  <si>
    <t>girl|minion|moon|pyramid|white picket fence</t>
  </si>
  <si>
    <t>http://www.imdb.com/title/tt1323594/?ref_=fn_tt_tt_1</t>
  </si>
  <si>
    <t>Joseph Ruben</t>
  </si>
  <si>
    <t>Money Train</t>
  </si>
  <si>
    <t>Action|Comedy|Crime|Drama|Thriller</t>
  </si>
  <si>
    <t>Vincent Pastore</t>
  </si>
  <si>
    <t>Robert Blake</t>
  </si>
  <si>
    <t>Aida Turturro</t>
  </si>
  <si>
    <t>bare breasts|breast|loan shark|subway|train</t>
  </si>
  <si>
    <t>http://www.imdb.com/title/tt0113845/?ref_=fn_tt_tt_1</t>
  </si>
  <si>
    <t>Ted 2</t>
  </si>
  <si>
    <t>baby|f word|fight|lawyer|marriage</t>
  </si>
  <si>
    <t>http://www.imdb.com/title/tt2637276/?ref_=fn_tt_tt_1</t>
  </si>
  <si>
    <t>Alejandro AmenÃ¡bar</t>
  </si>
  <si>
    <t>Agora</t>
  </si>
  <si>
    <t>Adventure|Drama|History|Romance</t>
  </si>
  <si>
    <t>Max Minghella</t>
  </si>
  <si>
    <t>Ashraf Barhom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</si>
  <si>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</si>
  <si>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</si>
  <si>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</si>
  <si>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</si>
  <si>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</si>
  <si>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</t>
  </si>
  <si>
    <t>bowling|rajah|sphinx|spleen|superhero</t>
  </si>
  <si>
    <t>http://www.imdb.com/title/tt0132347/?ref_=fn_tt_tt_1</t>
  </si>
  <si>
    <t>Hall Pass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</si>
  <si>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</si>
  <si>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</si>
  <si>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</si>
  <si>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</si>
  <si>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The Insider</t>
  </si>
  <si>
    <t>Biography|Drama|Thriller</t>
  </si>
  <si>
    <t>cbs|cbs news|research|tobacco|whistleblower</t>
  </si>
  <si>
    <t>http://www.imdb.com/title/tt0140352/?ref_=fn_tt_tt_1</t>
  </si>
  <si>
    <t>Body of Lies</t>
  </si>
  <si>
    <t>Simon McBurney</t>
  </si>
  <si>
    <t>Michael Gaston</t>
  </si>
  <si>
    <t>cia|jordan|middle east|spy|terrorist</t>
  </si>
  <si>
    <t>http://www.imdb.com/title/tt0758774/?ref_=fn_tt_tt_1</t>
  </si>
  <si>
    <t>Abraham Lincoln: Vampire Hunter</t>
  </si>
  <si>
    <t>chopping down a tree|hanging upside down|shopkeeper|vampire|vampire hunter</t>
  </si>
  <si>
    <t>http://www.imdb.com/title/tt1611224/?ref_=fn_tt_tt_1</t>
  </si>
  <si>
    <t>Entrapment</t>
  </si>
  <si>
    <t>Kevin McNally</t>
  </si>
  <si>
    <t>Maury Chaykin</t>
  </si>
  <si>
    <t>art thief|insurance|mask|master thief|reference to iron maiden</t>
  </si>
  <si>
    <t>http://www.imdb.com/title/tt0137494/?ref_=fn_tt_tt_1</t>
  </si>
  <si>
    <t>Rob Bowman</t>
  </si>
  <si>
    <t>The X Files</t>
  </si>
  <si>
    <t>Mitch Pileggi</t>
  </si>
  <si>
    <t>agent|alien|bomb|fbi|government</t>
  </si>
  <si>
    <t>http://www.imdb.com/title/tt0120902/?ref_=fn_tt_tt_1</t>
  </si>
  <si>
    <t>Doug Lefler</t>
  </si>
  <si>
    <t>The Last Legion</t>
  </si>
  <si>
    <t>Action|Adventure|Fantasy|War</t>
  </si>
  <si>
    <t>Owen Teale</t>
  </si>
  <si>
    <t>5th century|boy|capri|roman legion|soldier</t>
  </si>
  <si>
    <t>http://www.imdb.com/title/tt0462396/?ref_=fn_tt_tt_1</t>
  </si>
  <si>
    <t>Saving Private Ryan</t>
  </si>
  <si>
    <t>army|invasion|killed in action|normandy|soldier</t>
  </si>
  <si>
    <t>http://www.imdb.com/title/tt0120815/?ref_=fn_tt_tt_1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</si>
  <si>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</si>
  <si>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</si>
  <si>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</si>
  <si>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</si>
  <si>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What Women Want</t>
  </si>
  <si>
    <t>Comedy|Fantasy|Romance</t>
  </si>
  <si>
    <t>Lisa Edelstein</t>
  </si>
  <si>
    <t>advertising|battle of the sexes|ex husband ex wife relationship|pantyhose|telepathy</t>
  </si>
  <si>
    <t>http://www.imdb.com/title/tt0207201/?ref_=fn_tt_tt_1</t>
  </si>
  <si>
    <t>Ice Age</t>
  </si>
  <si>
    <t>baby|ice|ice age|sleeping|sloth</t>
  </si>
  <si>
    <t>http://www.imdb.com/title/tt0268380/?ref_=fn_tt_tt_1</t>
  </si>
  <si>
    <t>Lawrence Kasdan</t>
  </si>
  <si>
    <t>Dreamcatcher</t>
  </si>
  <si>
    <t>Drama|Horror|Sci-Fi|Thriller</t>
  </si>
  <si>
    <t>Reece Thompson</t>
  </si>
  <si>
    <t>alien|friend|maine|military|woods</t>
  </si>
  <si>
    <t>http://www.imdb.com/title/tt0285531/?ref_=fn_tt_tt_1</t>
  </si>
  <si>
    <t>Lincoln</t>
  </si>
  <si>
    <t>cultural conflict|politics|president|slavery|u.s. president</t>
  </si>
  <si>
    <t>http://www.imdb.com/title/tt0443272/?ref_=fn_tt_tt_1</t>
  </si>
  <si>
    <t>The Matrix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</si>
  <si>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</si>
  <si>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</si>
  <si>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</si>
  <si>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</si>
  <si>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Apollo 13</t>
  </si>
  <si>
    <t>Adventure|Drama|History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</si>
  <si>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</si>
  <si>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</si>
  <si>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</si>
  <si>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</si>
  <si>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</si>
  <si>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The Santa Clause 2</t>
  </si>
  <si>
    <t>Judge Reinhold</t>
  </si>
  <si>
    <t>Aisha Tyler</t>
  </si>
  <si>
    <t>Eric Lloyd</t>
  </si>
  <si>
    <t>christmas|magic|santa claus|son|toy</t>
  </si>
  <si>
    <t>http://www.imdb.com/title/tt0304669/?ref_=fn_tt_tt_1</t>
  </si>
  <si>
    <t>Tom Hooper</t>
  </si>
  <si>
    <t>Les MisÃ©rables</t>
  </si>
  <si>
    <t>barricade|innkeeper|parole|rebellion|student</t>
  </si>
  <si>
    <t>http://www.imdb.com/title/tt1707386/?ref_=fn_tt_tt_1</t>
  </si>
  <si>
    <t>Nora Ephron</t>
  </si>
  <si>
    <t>You've Got Mail</t>
  </si>
  <si>
    <t>Jean Stapleton</t>
  </si>
  <si>
    <t>bookstore|competing businesses|instant messaging|new york city|shop owner</t>
  </si>
  <si>
    <t>http://www.imdb.com/title/tt0128853/?ref_=fn_tt_tt_1</t>
  </si>
  <si>
    <t>Step Brothers</t>
  </si>
  <si>
    <t>Andrea Savage</t>
  </si>
  <si>
    <t>dream|friendship|karaoke|love|slacker</t>
  </si>
  <si>
    <t>http://www.imdb.com/title/tt0838283/?ref_=fn_tt_tt_1</t>
  </si>
  <si>
    <t>The Mask of Zorro</t>
  </si>
  <si>
    <t>Action|Adventure|Comedy|Romance|Thriller|Western</t>
  </si>
  <si>
    <t>Tony Amendola</t>
  </si>
  <si>
    <t>Stuart Wilson</t>
  </si>
  <si>
    <t>19th century|california|revenge|training|zorro</t>
  </si>
  <si>
    <t>http://www.imdb.com/title/tt0120746/?ref_=fn_tt_tt_1</t>
  </si>
  <si>
    <t>Due Date</t>
  </si>
  <si>
    <t>Matt Walsh</t>
  </si>
  <si>
    <t>actor|aspiring actor|birth|misadventure|suitcase</t>
  </si>
  <si>
    <t>http://www.imdb.com/title/tt1231583/?ref_=fn_tt_tt_1</t>
  </si>
  <si>
    <t>Unbroken</t>
  </si>
  <si>
    <t>Biography|Drama|Sport|War</t>
  </si>
  <si>
    <t>Finn Wittrock</t>
  </si>
  <si>
    <t>Jack O'Connell</t>
  </si>
  <si>
    <t>Alex Russell</t>
  </si>
  <si>
    <t>emaciation|male nudity|plane crash|prisoner of war|torture</t>
  </si>
  <si>
    <t>http://www.imdb.com/title/tt1809398/?ref_=fn_tt_tt_1</t>
  </si>
  <si>
    <t>Clint Eastwood</t>
  </si>
  <si>
    <t>Space Cowboys</t>
  </si>
  <si>
    <t>Courtney B. Vance</t>
  </si>
  <si>
    <t>William Devane</t>
  </si>
  <si>
    <t>nasa|old age|satellite|space|space shuttle</t>
  </si>
  <si>
    <t>http://www.imdb.com/title/tt0186566/?ref_=fn_tt_tt_1</t>
  </si>
  <si>
    <t>Cliffhanger</t>
  </si>
  <si>
    <t>Leon</t>
  </si>
  <si>
    <t>Janine Turner</t>
  </si>
  <si>
    <t>money|mountain|rocky mountains|snow|suitcase</t>
  </si>
  <si>
    <t>http://www.imdb.com/title/tt0106582/?ref_=fn_tt_tt_1</t>
  </si>
  <si>
    <t>Broken Arrow</t>
  </si>
  <si>
    <t>Samantha Mathis</t>
  </si>
  <si>
    <t>captain|desert|major|park ranger|utah</t>
  </si>
  <si>
    <t>http://www.imdb.com/title/tt0115759/?ref_=fn_tt_tt_1</t>
  </si>
  <si>
    <t>The Kid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</si>
  <si>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</si>
  <si>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</si>
  <si>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</si>
  <si>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</si>
  <si>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World Trade Center</t>
  </si>
  <si>
    <t>Jay Hernandez</t>
  </si>
  <si>
    <t>based on true story|police|rescue|rubble|trapped</t>
  </si>
  <si>
    <t>http://www.imdb.com/title/tt0469641/?ref_=fn_tt_tt_1</t>
  </si>
  <si>
    <t>Mona Lisa Smile</t>
  </si>
  <si>
    <t>Marian Seldes</t>
  </si>
  <si>
    <t>art|college|school|student|wellesley college</t>
  </si>
  <si>
    <t>http://www.imdb.com/title/tt0304415/?ref_=fn_tt_tt_1</t>
  </si>
  <si>
    <t>Larry Charles</t>
  </si>
  <si>
    <t>The Dictator</t>
  </si>
  <si>
    <t>Horatio Sanz</t>
  </si>
  <si>
    <t>dictator|hotel|oil|overalls|sunglasses</t>
  </si>
  <si>
    <t>http://www.imdb.com/title/tt1645170/?ref_=fn_tt_tt_1</t>
  </si>
  <si>
    <t>Stanley Kubrick</t>
  </si>
  <si>
    <t>Eyes Wide Shut</t>
  </si>
  <si>
    <t>Vinessa Shaw</t>
  </si>
  <si>
    <t>doctor|orgy|party|pianist|sexual fantasy</t>
  </si>
  <si>
    <t>http://www.imdb.com/title/tt0120663/?ref_=fn_tt_tt_1</t>
  </si>
  <si>
    <t>Will Gluck</t>
  </si>
  <si>
    <t>Annie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</si>
  <si>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</si>
  <si>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</si>
  <si>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</si>
  <si>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</si>
  <si>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</si>
  <si>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</si>
  <si>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</t>
  </si>
  <si>
    <t>Gerald McRaney</t>
  </si>
  <si>
    <t>con artist|con man|deception|rivalry|seduction</t>
  </si>
  <si>
    <t>http://www.imdb.com/title/tt2381941/?ref_=fn_tt_tt_1</t>
  </si>
  <si>
    <t>This Means War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</si>
  <si>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</si>
  <si>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</si>
  <si>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</si>
  <si>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</si>
  <si>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</si>
  <si>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Blade: Trinity</t>
  </si>
  <si>
    <t>Action|Adventure|Fantasy|Horror|Sci-Fi|Thriller</t>
  </si>
  <si>
    <t>Natasha Lyonne</t>
  </si>
  <si>
    <t>blade|blood|dracula|vampire hunter|vampire slayer</t>
  </si>
  <si>
    <t>http://www.imdb.com/title/tt0359013/?ref_=fn_tt_tt_1</t>
  </si>
  <si>
    <t>Primary Colors</t>
  </si>
  <si>
    <t>Maura Tierney</t>
  </si>
  <si>
    <t>Adrian Lester</t>
  </si>
  <si>
    <t>Paul Guilfoyle</t>
  </si>
  <si>
    <t>campaigning|candidate|election|governor|president</t>
  </si>
  <si>
    <t>http://www.imdb.com/title/tt0119942/?ref_=fn_tt_tt_1</t>
  </si>
  <si>
    <t>Resident Evil: Retribution</t>
  </si>
  <si>
    <t>corporation|fight|rescue|umbrella|zombie</t>
  </si>
  <si>
    <t>http://www.imdb.com/title/tt1855325/?ref_=fn_tt_tt_1</t>
  </si>
  <si>
    <t>Death Race</t>
  </si>
  <si>
    <t>armored car|car|murder|prison|warden</t>
  </si>
  <si>
    <t>http://www.imdb.com/title/tt0452608/?ref_=fn_tt_tt_1</t>
  </si>
  <si>
    <t>The Long Kiss Goodnight</t>
  </si>
  <si>
    <t>Melina Kanakaredes</t>
  </si>
  <si>
    <t>Craig Bierko</t>
  </si>
  <si>
    <t>Yvonne Zima</t>
  </si>
  <si>
    <t>amnesia|chase|foot chase|strong female character|vomiting</t>
  </si>
  <si>
    <t>http://www.imdb.com/title/tt0116908/?ref_=fn_tt_tt_1</t>
  </si>
  <si>
    <t>Taylor Hackford</t>
  </si>
  <si>
    <t>Proof of Life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</si>
  <si>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</si>
  <si>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</si>
  <si>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</si>
  <si>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</si>
  <si>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</t>
  </si>
  <si>
    <t>Jonah Bobo</t>
  </si>
  <si>
    <t>2000s|coke|meeting future self|reference to spongebob squarepants|sony</t>
  </si>
  <si>
    <t>http://www.imdb.com/title/tt0406375/?ref_=fn_tt_tt_1</t>
  </si>
  <si>
    <t>Fight Club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</si>
  <si>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</si>
  <si>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</si>
  <si>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</si>
  <si>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</si>
  <si>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We Are Marshall</t>
  </si>
  <si>
    <t>Drama|Sport</t>
  </si>
  <si>
    <t>Kimberly Williams-Paisley</t>
  </si>
  <si>
    <t>coach|football|football team|marshall university|university</t>
  </si>
  <si>
    <t>http://www.imdb.com/title/tt0758794/?ref_=fn_tt_tt_1</t>
  </si>
  <si>
    <t>Michael Lehmann</t>
  </si>
  <si>
    <t>Hudson Hawk</t>
  </si>
  <si>
    <t>blackmail|burglar|critically bashed|leonardo da vinci|prison</t>
  </si>
  <si>
    <t>http://www.imdb.com/title/tt0102070/?ref_=fn_tt_tt_1</t>
  </si>
  <si>
    <t>Lucky Numbers</t>
  </si>
  <si>
    <t>Michael Moore</t>
  </si>
  <si>
    <t>celebrity|lottery|murder|snowmobile|weatherman</t>
  </si>
  <si>
    <t>http://www.imdb.com/title/tt0219952/?ref_=fn_tt_tt_1</t>
  </si>
  <si>
    <t>Stuart Beattie</t>
  </si>
  <si>
    <t>I, Frankenstein</t>
  </si>
  <si>
    <t>Action|Fantasy|Sci-Fi|Thriller</t>
  </si>
  <si>
    <t>Caitlin Stasey</t>
  </si>
  <si>
    <t>Kevin Grevioux</t>
  </si>
  <si>
    <t>army|creature|demon|frankenstein|gargoyle</t>
  </si>
  <si>
    <t>http://www.imdb.com/title/tt1418377/?ref_=fn_tt_tt_1</t>
  </si>
  <si>
    <t>Roman Polanski</t>
  </si>
  <si>
    <t>Oliver Twist</t>
  </si>
  <si>
    <t>Ian McNeice</t>
  </si>
  <si>
    <t>Barney Clark</t>
  </si>
  <si>
    <t>Tony Noble</t>
  </si>
  <si>
    <t>boy|character name in title|orphan|pickpocket|workhouse</t>
  </si>
  <si>
    <t>http://www.imdb.com/title/tt0380599/?ref_=fn_tt_tt_1</t>
  </si>
  <si>
    <t>Elektra</t>
  </si>
  <si>
    <t>assassin|battle|heroine|martial arts|spin off</t>
  </si>
  <si>
    <t>http://www.imdb.com/title/tt0357277/?ref_=fn_tt_tt_1</t>
  </si>
  <si>
    <t>Frank Miller</t>
  </si>
  <si>
    <t>Sin City: A Dame to Kill For</t>
  </si>
  <si>
    <t>box office flop|female frontal nudity|female rear nudity|jackpot|rescue</t>
  </si>
  <si>
    <t>http://www.imdb.com/title/tt0458481/?ref_=fn_tt_tt_1</t>
  </si>
  <si>
    <t>Random Hearts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</si>
  <si>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</si>
  <si>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</si>
  <si>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</si>
  <si>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</si>
  <si>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</si>
  <si>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Everest</t>
  </si>
  <si>
    <t>Adventure|Biography|Drama|History|Sport|Thriller</t>
  </si>
  <si>
    <t>Martin Henderson</t>
  </si>
  <si>
    <t>Tom Goodman-Hill</t>
  </si>
  <si>
    <t>blizzard|mount everest|mountain|mountain climbing|snow</t>
  </si>
  <si>
    <t>http://www.imdb.com/title/tt2719848/?ref_=fn_tt_tt_1</t>
  </si>
  <si>
    <t>Perfume: The Story of a Murderer</t>
  </si>
  <si>
    <t>Crime|Drama|Fantasy</t>
  </si>
  <si>
    <t>Michael Smiley</t>
  </si>
  <si>
    <t>David Calder</t>
  </si>
  <si>
    <t>Simon Chandler</t>
  </si>
  <si>
    <t>18th century|perfume|scent|sense of smell|smell</t>
  </si>
  <si>
    <t>http://www.imdb.com/title/tt0396171/?ref_=fn_tt_tt_1</t>
  </si>
  <si>
    <t>Austin Powers in Goldmember</t>
  </si>
  <si>
    <t>Josh Zuckerman</t>
  </si>
  <si>
    <t>Robert Wagner</t>
  </si>
  <si>
    <t>fem bot|prison|seductive fembot|spy|time travel</t>
  </si>
  <si>
    <t>http://www.imdb.com/title/tt0295178/?ref_=fn_tt_tt_1</t>
  </si>
  <si>
    <t>Astro Boy</t>
  </si>
  <si>
    <t>Dee Bradley Baker</t>
  </si>
  <si>
    <t>betrayal|futuristic|gladiator|robot|scientist</t>
  </si>
  <si>
    <t>http://www.imdb.com/title/tt0375568/?ref_=fn_tt_tt_1</t>
  </si>
  <si>
    <t>Hong Kong</t>
  </si>
  <si>
    <t>Jurassic Park</t>
  </si>
  <si>
    <t>Bob Peck</t>
  </si>
  <si>
    <t>dinosaur|jurassic park|survival|theme park|tyrannosaurus rex</t>
  </si>
  <si>
    <t>http://www.imdb.com/title/tt0107290/?ref_=fn_tt_tt_1</t>
  </si>
  <si>
    <t>Wyatt Earp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</si>
  <si>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</si>
  <si>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</si>
  <si>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</si>
  <si>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</si>
  <si>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Clear and Present Danger</t>
  </si>
  <si>
    <t>Dean Jones</t>
  </si>
  <si>
    <t>cia|colombia|colombian drug cartel|drugs|president</t>
  </si>
  <si>
    <t>http://www.imdb.com/title/tt0109444/?ref_=fn_tt_tt_1</t>
  </si>
  <si>
    <t>Daniel Lee</t>
  </si>
  <si>
    <t>Dragon Blade</t>
  </si>
  <si>
    <t>Si Won Choi</t>
  </si>
  <si>
    <t>Peng Lin</t>
  </si>
  <si>
    <t>Sung-jun Yoo</t>
  </si>
  <si>
    <t>child fugitive|final battle|martial art|silk road|sword</t>
  </si>
  <si>
    <t>http://www.imdb.com/title/tt3672840/?ref_=fn_tt_tt_1</t>
  </si>
  <si>
    <t>Keenen Ivory Wayans</t>
  </si>
  <si>
    <t>Littleman</t>
  </si>
  <si>
    <t>Brittany Daniel</t>
  </si>
  <si>
    <t>John Witherspoon</t>
  </si>
  <si>
    <t>diamond|infant|parody|spoof|sports violence</t>
  </si>
  <si>
    <t>http://www.imdb.com/title/tt0430304/?ref_=fn_tt_tt_1</t>
  </si>
  <si>
    <t>U-571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</si>
  <si>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</si>
  <si>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</si>
  <si>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</si>
  <si>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</si>
  <si>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</si>
  <si>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The American President</t>
  </si>
  <si>
    <t>Shawna Waldron</t>
  </si>
  <si>
    <t>lobbyist|president|senator|state dinner|widower</t>
  </si>
  <si>
    <t>http://www.imdb.com/title/tt0112346/?ref_=fn_tt_tt_1</t>
  </si>
  <si>
    <t>Marco Schnabel</t>
  </si>
  <si>
    <t>The Love Guru</t>
  </si>
  <si>
    <t>Comedy|Romance|Sport</t>
  </si>
  <si>
    <t>Romany Malco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</si>
  <si>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</si>
  <si>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</si>
  <si>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</si>
  <si>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</t>
  </si>
  <si>
    <t>Ice-T</t>
  </si>
  <si>
    <t>casino|elvis impersonator|gun|heist|rascal</t>
  </si>
  <si>
    <t>http://www.imdb.com/title/tt0233142/?ref_=fn_tt_tt_1</t>
  </si>
  <si>
    <t>The Hateful Eight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</si>
  <si>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</si>
  <si>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</si>
  <si>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</si>
  <si>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</si>
  <si>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</si>
  <si>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Blades of Glory</t>
  </si>
  <si>
    <t>Comedy|Sport</t>
  </si>
  <si>
    <t>competition|fight|ice|jock strap|nintendo game boy advance</t>
  </si>
  <si>
    <t>http://www.imdb.com/title/tt0445934/?ref_=fn_tt_tt_1</t>
  </si>
  <si>
    <t>Tim Hill</t>
  </si>
  <si>
    <t>Hop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</si>
  <si>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</si>
  <si>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</si>
  <si>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</si>
  <si>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</si>
  <si>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</si>
  <si>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</si>
  <si>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</si>
  <si>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</si>
  <si>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</si>
  <si>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</si>
  <si>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David Frankel</t>
  </si>
  <si>
    <t>Marley &amp; Me</t>
  </si>
  <si>
    <t>Comedy|Drama|Family</t>
  </si>
  <si>
    <t>Eric Dane</t>
  </si>
  <si>
    <t>Kathleen Turner</t>
  </si>
  <si>
    <t>Haley Bennett</t>
  </si>
  <si>
    <t>box office hit|dog|dog movie|florida|pet name in title</t>
  </si>
  <si>
    <t>http://www.imdb.com/title/tt0822832/?ref_=fn_tt_tt_1</t>
  </si>
  <si>
    <t>The Green Mile</t>
  </si>
  <si>
    <t>Crime|Drama|Fantasy|Mystery</t>
  </si>
  <si>
    <t>1930s|death row inmate|healing|prison guard|southern u.s.</t>
  </si>
  <si>
    <t>http://www.imdb.com/title/tt0120689/?ref_=fn_tt_tt_1</t>
  </si>
  <si>
    <t>Chicken Little</t>
  </si>
  <si>
    <t>alien invasion|chicken|fish|friend|panic</t>
  </si>
  <si>
    <t>http://www.imdb.com/title/tt0371606/?ref_=fn_tt_tt_1</t>
  </si>
  <si>
    <t>Gone Girl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</si>
  <si>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</si>
  <si>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</si>
  <si>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</si>
  <si>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</si>
  <si>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The Bourne Identity</t>
  </si>
  <si>
    <t>Josh Hamilton</t>
  </si>
  <si>
    <t>Nicky NaudÃ©</t>
  </si>
  <si>
    <t>amnesia|assassin|money|political thriller|three word title</t>
  </si>
  <si>
    <t>http://www.imdb.com/title/tt0258463/?ref_=fn_tt_tt_1</t>
  </si>
  <si>
    <t>GoldenEye</t>
  </si>
  <si>
    <t>agent|cossack|official james bond series|russia|russian</t>
  </si>
  <si>
    <t>http://www.imdb.com/title/tt0113189/?ref_=fn_tt_tt_1</t>
  </si>
  <si>
    <t>The General's Daughter</t>
  </si>
  <si>
    <t>Timothy Hutton</t>
  </si>
  <si>
    <t>Clarence Williams III</t>
  </si>
  <si>
    <t>army cid|cover up|military|murder|woman in military</t>
  </si>
  <si>
    <t>http://www.imdb.com/title/tt0144214/?ref_=fn_tt_tt_1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</si>
  <si>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</si>
  <si>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</si>
  <si>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</si>
  <si>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</si>
  <si>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</si>
  <si>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The Prince of Egypt</t>
  </si>
  <si>
    <t>Adventure|Animation|Biography|Drama|Family|Fantasy|Musical</t>
  </si>
  <si>
    <t>Aria Noelle Curzon</t>
  </si>
  <si>
    <t>Eden Riegel</t>
  </si>
  <si>
    <t>ancient egypt|hebrew|nudity|pharaoh|title directed by female</t>
  </si>
  <si>
    <t>http://www.imdb.com/title/tt0120794/?ref_=fn_tt_tt_1</t>
  </si>
  <si>
    <t>Daddy Day Care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</si>
  <si>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</si>
  <si>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</si>
  <si>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</si>
  <si>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2 Guns</t>
  </si>
  <si>
    <t>Patrick Fischler</t>
  </si>
  <si>
    <t>Fred Ward</t>
  </si>
  <si>
    <t>close up of breasts|female nudity|fugitive|money|undercover</t>
  </si>
  <si>
    <t>http://www.imdb.com/title/tt1272878/?ref_=fn_tt_tt_1</t>
  </si>
  <si>
    <t>Cats &amp; Dogs</t>
  </si>
  <si>
    <t>Carol Ann Susi</t>
  </si>
  <si>
    <t>Miriam Margolyes</t>
  </si>
  <si>
    <t>cartoon on tv|cat|dog|scientist|secret agent</t>
  </si>
  <si>
    <t>http://www.imdb.com/title/tt0239395/?ref_=fn_tt_tt_1</t>
  </si>
  <si>
    <t>The Italian Job</t>
  </si>
  <si>
    <t>Jimmy Shubert</t>
  </si>
  <si>
    <t>gold|heist|revenge|traffic jam|venice italy</t>
  </si>
  <si>
    <t>http://www.imdb.com/title/tt0317740/?ref_=fn_tt_tt_1</t>
  </si>
  <si>
    <t>Marc Lawrence</t>
  </si>
  <si>
    <t>Two Weeks Notice</t>
  </si>
  <si>
    <t>Alicia Witt</t>
  </si>
  <si>
    <t>developer|divorce|lawyer|love|new york city</t>
  </si>
  <si>
    <t>http://www.imdb.com/title/tt0313737/?ref_=fn_tt_tt_1</t>
  </si>
  <si>
    <t>Antz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</si>
  <si>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</si>
  <si>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</si>
  <si>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</si>
  <si>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</si>
  <si>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</si>
  <si>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Couples Retreat</t>
  </si>
  <si>
    <t>Tasha Smith</t>
  </si>
  <si>
    <t>couple|island|marriage|tropical|voyeurism</t>
  </si>
  <si>
    <t>http://www.imdb.com/title/tt1078940/?ref_=fn_tt_tt_1</t>
  </si>
  <si>
    <t>Days of Thunder</t>
  </si>
  <si>
    <t>driver|hot shot|racing|stock car driver|team</t>
  </si>
  <si>
    <t>http://www.imdb.com/title/tt0099371/?ref_=fn_tt_tt_1</t>
  </si>
  <si>
    <t>Cheaper by the Dozen 2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</si>
  <si>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</si>
  <si>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</si>
  <si>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</si>
  <si>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</si>
  <si>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</si>
  <si>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The Scorch Trials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</si>
  <si>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</si>
  <si>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</si>
  <si>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</si>
  <si>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</si>
  <si>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</si>
  <si>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</si>
  <si>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</si>
  <si>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</si>
  <si>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The Family Man</t>
  </si>
  <si>
    <t>bowling|christmas|parallel universe|salesman|unfaithfulness</t>
  </si>
  <si>
    <t>http://www.imdb.com/title/tt0218967/?ref_=fn_tt_tt_1</t>
  </si>
  <si>
    <t>RED</t>
  </si>
  <si>
    <t>Jaqueline Fleming</t>
  </si>
  <si>
    <t>cia|female assassin|interrogation|office cubicle|spy</t>
  </si>
  <si>
    <t>http://www.imdb.com/title/tt1245526/?ref_=fn_tt_tt_1</t>
  </si>
  <si>
    <t>Any Given Sunday</t>
  </si>
  <si>
    <t>breasts|coach|football|in medias res|vomiting</t>
  </si>
  <si>
    <t>http://www.imdb.com/title/tt0146838/?ref_=fn_tt_tt_1</t>
  </si>
  <si>
    <t>Robert Redford</t>
  </si>
  <si>
    <t>The Horse Whisperer</t>
  </si>
  <si>
    <t>Drama|Romance|Western</t>
  </si>
  <si>
    <t>Jessalyn Gilsig</t>
  </si>
  <si>
    <t>grace|groom|horse|montana|western u.s.</t>
  </si>
  <si>
    <t>http://www.imdb.com/title/tt0119314/?ref_=fn_tt_tt_1</t>
  </si>
  <si>
    <t>Collateral</t>
  </si>
  <si>
    <t>city by night|contract killer|driving at night|los angeles california|taxi</t>
  </si>
  <si>
    <t>http://www.imdb.com/title/tt0369339/?ref_=fn_tt_tt_1</t>
  </si>
  <si>
    <t>The Scorpion King</t>
  </si>
  <si>
    <t>desert|king|showdown|sorceress|warrior</t>
  </si>
  <si>
    <t>http://www.imdb.com/title/tt0277296/?ref_=fn_tt_tt_1</t>
  </si>
  <si>
    <t>Jay Russell</t>
  </si>
  <si>
    <t>Ladder 49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</si>
  <si>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</si>
  <si>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</si>
  <si>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</si>
  <si>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</si>
  <si>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</t>
  </si>
  <si>
    <t>coma|mysterious villain|police chase|shooting range|sniper</t>
  </si>
  <si>
    <t>http://www.imdb.com/title/tt0790724/?ref_=fn_tt_tt_1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</si>
  <si>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</si>
  <si>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</si>
  <si>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</si>
  <si>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</si>
  <si>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</si>
  <si>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This Is It</t>
  </si>
  <si>
    <t>Documentary|Music</t>
  </si>
  <si>
    <t>Misha Gabriel Hamilton</t>
  </si>
  <si>
    <t>Mekia Cox</t>
  </si>
  <si>
    <t>Judith Hill</t>
  </si>
  <si>
    <t>2000s|box office hit|comeback|rehearsal|year 2009</t>
  </si>
  <si>
    <t>http://www.imdb.com/title/tt1477715/?ref_=fn_tt_tt_1</t>
  </si>
  <si>
    <t>Contagion</t>
  </si>
  <si>
    <t>Drama|Thriller</t>
  </si>
  <si>
    <t>Monique Gabriela Curnen</t>
  </si>
  <si>
    <t>Griffin Kane</t>
  </si>
  <si>
    <t>contagion|cure|infection|panic|virus</t>
  </si>
  <si>
    <t>http://www.imdb.com/title/tt1598778/?ref_=fn_tt_tt_1</t>
  </si>
  <si>
    <t>David McNally</t>
  </si>
  <si>
    <t>Kangaroo Jack</t>
  </si>
  <si>
    <t>Dyan Cannon</t>
  </si>
  <si>
    <t>Bill Hunter</t>
  </si>
  <si>
    <t>australia|body paint|kangaroo|mob|money</t>
  </si>
  <si>
    <t>http://www.imdb.com/title/tt0257568/?ref_=fn_tt_tt_1</t>
  </si>
  <si>
    <t>Coraline</t>
  </si>
  <si>
    <t>Animation|Family|Fantasy</t>
  </si>
  <si>
    <t>Dawn French</t>
  </si>
  <si>
    <t>John Hodgman</t>
  </si>
  <si>
    <t>dream|new home|parallel worlds|scissors|secret door</t>
  </si>
  <si>
    <t>http://www.imdb.com/title/tt0327597/?ref_=fn_tt_tt_1</t>
  </si>
  <si>
    <t>The Happening</t>
  </si>
  <si>
    <t>Kristen Connolly</t>
  </si>
  <si>
    <t>bee|nature|park|school|teacher</t>
  </si>
  <si>
    <t>http://www.imdb.com/title/tt0949731/?ref_=fn_tt_tt_1</t>
  </si>
  <si>
    <t>Man on Fire</t>
  </si>
  <si>
    <t>bodyguard|journalist|kidnapping|mexico|police corruption</t>
  </si>
  <si>
    <t>http://www.imdb.com/title/tt0328107/?ref_=fn_tt_tt_1</t>
  </si>
  <si>
    <t>Brian Robbins</t>
  </si>
  <si>
    <t>The Shaggy Dog</t>
  </si>
  <si>
    <t>animal as human|dog movie|elevator|human becoming an animal|sheepdog</t>
  </si>
  <si>
    <t>http://www.imdb.com/title/tt0393735/?ref_=fn_tt_tt_1</t>
  </si>
  <si>
    <t>Starsky &amp; Hutch</t>
  </si>
  <si>
    <t>Fred Williamson</t>
  </si>
  <si>
    <t>cocaine|cop|criminal|partner|police</t>
  </si>
  <si>
    <t>http://www.imdb.com/title/tt0335438/?ref_=fn_tt_tt_1</t>
  </si>
  <si>
    <t>Brian Levant</t>
  </si>
  <si>
    <t>Jingle All the Way</t>
  </si>
  <si>
    <t>Jim Belushi</t>
  </si>
  <si>
    <t>Harvey Korman</t>
  </si>
  <si>
    <t>Jake Lloyd</t>
  </si>
  <si>
    <t>action figure|christmas|hero|karate|toy</t>
  </si>
  <si>
    <t>http://www.imdb.com/title/tt0116705/?ref_=fn_tt_tt_1</t>
  </si>
  <si>
    <t>Hellboy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</si>
  <si>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</si>
  <si>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</si>
  <si>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</si>
  <si>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</si>
  <si>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</si>
  <si>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A Civil Action</t>
  </si>
  <si>
    <t>1980s|law firm|lawsuit|lawyer|toxic waste</t>
  </si>
  <si>
    <t>http://www.imdb.com/title/tt0120633/?ref_=fn_tt_tt_1</t>
  </si>
  <si>
    <t>Chris Butler</t>
  </si>
  <si>
    <t>ParaNorman</t>
  </si>
  <si>
    <t>Elaine Stritch</t>
  </si>
  <si>
    <t>curse|ghost|outcast|witch|zombie</t>
  </si>
  <si>
    <t>http://www.imdb.com/title/tt1623288/?ref_=fn_tt_tt_1</t>
  </si>
  <si>
    <t>The Jackal</t>
  </si>
  <si>
    <t>Sophie Okonedo</t>
  </si>
  <si>
    <t>assassin|fbi|ira|jackal|russian</t>
  </si>
  <si>
    <t>http://www.imdb.com/title/tt0119395/?ref_=fn_tt_tt_1</t>
  </si>
  <si>
    <t>Paycheck</t>
  </si>
  <si>
    <t>anti hero|babe scientist|engineer|memory|money</t>
  </si>
  <si>
    <t>http://www.imdb.com/title/tt0338337/?ref_=fn_tt_tt_1</t>
  </si>
  <si>
    <t>Jon Avnet</t>
  </si>
  <si>
    <t>Up Close &amp; Personal</t>
  </si>
  <si>
    <t>Stockard Channing</t>
  </si>
  <si>
    <t>journalism|news anchor|newscast|newscaster|tv journalism</t>
  </si>
  <si>
    <t>http://www.imdb.com/title/tt0118055/?ref_=fn_tt_tt_1</t>
  </si>
  <si>
    <t>Sam Fell</t>
  </si>
  <si>
    <t>The Tale of Despereaux</t>
  </si>
  <si>
    <t>book|darkness|dungeon|princess|rat</t>
  </si>
  <si>
    <t>http://www.imdb.com/title/tt0420238/?ref_=fn_tt_tt_1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</si>
  <si>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</si>
  <si>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</si>
  <si>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</si>
  <si>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</si>
  <si>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</si>
  <si>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Geoff Murphy</t>
  </si>
  <si>
    <t>Under Siege 2: Dark Territory</t>
  </si>
  <si>
    <t>Peter Greene</t>
  </si>
  <si>
    <t>Brenda Bakke</t>
  </si>
  <si>
    <t>Patrick Kilpatrick</t>
  </si>
  <si>
    <t>colorado|niece|satellite|terrorist|train</t>
  </si>
  <si>
    <t>http://www.imdb.com/title/tt0114781/?ref_=fn_tt_tt_1</t>
  </si>
  <si>
    <t>Jack Ryan: Shadow Recruit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</si>
  <si>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</si>
  <si>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</si>
  <si>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</si>
  <si>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</si>
  <si>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</si>
  <si>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Joy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</si>
  <si>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</si>
  <si>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</si>
  <si>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</si>
  <si>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</si>
  <si>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</si>
  <si>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</si>
  <si>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</si>
  <si>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</si>
  <si>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Jean-Pierre Jeunet</t>
  </si>
  <si>
    <t>Alien: Resurrection</t>
  </si>
  <si>
    <t>Action|Horror|Sci-Fi</t>
  </si>
  <si>
    <t>Gary Dourdan</t>
  </si>
  <si>
    <t>alien|blood|breeding|clone|scientist</t>
  </si>
  <si>
    <t>http://www.imdb.com/title/tt0118583/?ref_=fn_tt_tt_1</t>
  </si>
  <si>
    <t>Shooter</t>
  </si>
  <si>
    <t>Tate Donovan</t>
  </si>
  <si>
    <t>Ned Beatty</t>
  </si>
  <si>
    <t>Louis Ferreira</t>
  </si>
  <si>
    <t>colonel|ethiopia|marksman|on the run|rangefinder</t>
  </si>
  <si>
    <t>http://www.imdb.com/title/tt0822854/?ref_=fn_tt_tt_1</t>
  </si>
  <si>
    <t>Graham Annable</t>
  </si>
  <si>
    <t>The Boxtrolls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</si>
  <si>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</si>
  <si>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</si>
  <si>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</si>
  <si>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</si>
  <si>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</si>
  <si>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Practical Magic</t>
  </si>
  <si>
    <t>Dianne Wiest</t>
  </si>
  <si>
    <t>curse|death|island|love|magic</t>
  </si>
  <si>
    <t>http://www.imdb.com/title/tt0120791/?ref_=fn_tt_tt_1</t>
  </si>
  <si>
    <t>The Lego Movie</t>
  </si>
  <si>
    <t>Alison Brie</t>
  </si>
  <si>
    <t>based on toy|dual personality|evil businessman|good cop bad cop|lego</t>
  </si>
  <si>
    <t>http://www.imdb.com/title/tt1490017/?ref_=fn_tt_tt_1</t>
  </si>
  <si>
    <t>John Pasquin</t>
  </si>
  <si>
    <t>Miss Congeniality 2: Armed and Fabulous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</si>
  <si>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</si>
  <si>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</si>
  <si>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</si>
  <si>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</si>
  <si>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</t>
  </si>
  <si>
    <t>castle|dragon|fire breathing dragon|militia|survival</t>
  </si>
  <si>
    <t>http://www.imdb.com/title/tt0253556/?ref_=fn_tt_tt_1</t>
  </si>
  <si>
    <t>Ruben Fleischer</t>
  </si>
  <si>
    <t>Gangster Squad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</si>
  <si>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</si>
  <si>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</si>
  <si>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</si>
  <si>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</si>
  <si>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</si>
  <si>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Year One</t>
  </si>
  <si>
    <t>Adventure|Comedy</t>
  </si>
  <si>
    <t>Xander Berkeley</t>
  </si>
  <si>
    <t>abraham|hunter|princess|sodom|tribe</t>
  </si>
  <si>
    <t>http://www.imdb.com/title/tt1045778/?ref_=fn_tt_tt_1</t>
  </si>
  <si>
    <t>Invictus</t>
  </si>
  <si>
    <t>Biography|Drama|History|Sport</t>
  </si>
  <si>
    <t>Leleti Khumalo</t>
  </si>
  <si>
    <t>apartheid|nation|nelson mandela|president|rugby</t>
  </si>
  <si>
    <t>http://www.imdb.com/title/tt1057500/?ref_=fn_tt_tt_1</t>
  </si>
  <si>
    <t>Duplicity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</si>
  <si>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</si>
  <si>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</si>
  <si>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</si>
  <si>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</si>
  <si>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</si>
  <si>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My Favorite Martian</t>
  </si>
  <si>
    <t>Steven Anthony Lawrence</t>
  </si>
  <si>
    <t>Ray Walston</t>
  </si>
  <si>
    <t>Michael Lerner</t>
  </si>
  <si>
    <t>alien|hidden camera|martian|reporter|spaceship</t>
  </si>
  <si>
    <t>http://www.imdb.com/title/tt0120764/?ref_=fn_tt_tt_1</t>
  </si>
  <si>
    <t>The Sentinel</t>
  </si>
  <si>
    <t>Blair Brown</t>
  </si>
  <si>
    <t>David Rasche</t>
  </si>
  <si>
    <t>Martin Donovan</t>
  </si>
  <si>
    <t>first lady|framed|investigation|president|secret service</t>
  </si>
  <si>
    <t>http://www.imdb.com/title/tt0443632/?ref_=fn_tt_tt_1</t>
  </si>
  <si>
    <t>Jorge Blanco</t>
  </si>
  <si>
    <t>Planet 51</t>
  </si>
  <si>
    <t>alien|alien planet|astronaut|planet|teenager</t>
  </si>
  <si>
    <t>http://www.imdb.com/title/tt0762125/?ref_=fn_tt_tt_1</t>
  </si>
  <si>
    <t>Stuart Baird</t>
  </si>
  <si>
    <t>Star Trek: Nemesis</t>
  </si>
  <si>
    <t>earth|federation|romulan|slave|space</t>
  </si>
  <si>
    <t>http://www.imdb.com/title/tt0253754/?ref_=fn_tt_tt_1</t>
  </si>
  <si>
    <t>Joel Coen</t>
  </si>
  <si>
    <t>Intolerable Cruelty</t>
  </si>
  <si>
    <t>Comedy|Crime|Romance</t>
  </si>
  <si>
    <t>Paul Adelstein</t>
  </si>
  <si>
    <t>Julia Duffy</t>
  </si>
  <si>
    <t>attorney|divorce|marriage|real estate|screwball comedy</t>
  </si>
  <si>
    <t>http://www.imdb.com/title/tt0138524/?ref_=fn_tt_tt_1</t>
  </si>
  <si>
    <t>Edge of Darkness</t>
  </si>
  <si>
    <t>Bojana Novakovic</t>
  </si>
  <si>
    <t>activist|detective|father daughter relationship|investigation|vigilantism</t>
  </si>
  <si>
    <t>http://www.imdb.com/title/tt1226273/?ref_=fn_tt_tt_1</t>
  </si>
  <si>
    <t>The Relic</t>
  </si>
  <si>
    <t>Horror|Mystery|Sci-Fi|Thriller</t>
  </si>
  <si>
    <t>John Kapelos</t>
  </si>
  <si>
    <t>Penelope Ann Miller</t>
  </si>
  <si>
    <t>Chi Muoi Lo</t>
  </si>
  <si>
    <t>fire|helicopter|museum|police sergeant|relic</t>
  </si>
  <si>
    <t>http://www.imdb.com/title/tt0120004/?ref_=fn_tt_tt_1</t>
  </si>
  <si>
    <t>Analyze That</t>
  </si>
  <si>
    <t>Cathy Moriarty</t>
  </si>
  <si>
    <t>Joe Viterelli</t>
  </si>
  <si>
    <t>blonde|mafia|mental illness|prison|second part</t>
  </si>
  <si>
    <t>http://www.imdb.com/title/tt0289848/?ref_=fn_tt_tt_1</t>
  </si>
  <si>
    <t>Righteous Kill</t>
  </si>
  <si>
    <t>blood splatter|execution|new york city|nypd|serial killer</t>
  </si>
  <si>
    <t>http://www.imdb.com/title/tt1034331/?ref_=fn_tt_tt_1</t>
  </si>
  <si>
    <t>Harold Becker</t>
  </si>
  <si>
    <t>Mercury Rising</t>
  </si>
  <si>
    <t>Carrie Preston</t>
  </si>
  <si>
    <t>autistic child|boy|child in danger|fbi|nsa</t>
  </si>
  <si>
    <t>http://www.imdb.com/title/tt0120749/?ref_=fn_tt_tt_1</t>
  </si>
  <si>
    <t>The Soloist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</si>
  <si>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</si>
  <si>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</si>
  <si>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</si>
  <si>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</t>
  </si>
  <si>
    <t>Drama|Fantasy|Sport</t>
  </si>
  <si>
    <t>caddy|game|golf|golf course|golfer</t>
  </si>
  <si>
    <t>http://www.imdb.com/title/tt0146984/?ref_=fn_tt_tt_1</t>
  </si>
  <si>
    <t>Almost Famous</t>
  </si>
  <si>
    <t>Adventure|Comedy|Drama|Music</t>
  </si>
  <si>
    <t>band|magazine|rolling stone magazine|smoking marijuana|tour</t>
  </si>
  <si>
    <t>http://www.imdb.com/title/tt0181875/?ref_=fn_tt_tt_1</t>
  </si>
  <si>
    <t>xXx: State of the Union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</si>
  <si>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</si>
  <si>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</si>
  <si>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</si>
  <si>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</si>
  <si>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</si>
  <si>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Priest</t>
  </si>
  <si>
    <t>Action|Fantasy|Horror|Sci-Fi|Thriller</t>
  </si>
  <si>
    <t>Josh Wingate</t>
  </si>
  <si>
    <t>Alan Dale</t>
  </si>
  <si>
    <t>Jacob Hopkins</t>
  </si>
  <si>
    <t>church|priest|sheriff|vampire|warrior</t>
  </si>
  <si>
    <t>http://www.imdb.com/title/tt0822847/?ref_=fn_tt_tt_1</t>
  </si>
  <si>
    <t>Patrick Gilmore</t>
  </si>
  <si>
    <t>Sinbad: Legend of the Seven Seas</t>
  </si>
  <si>
    <t>Adventure|Animation|Comedy|Drama|Family|Fantasy|Romance</t>
  </si>
  <si>
    <t>Adriano Giannini</t>
  </si>
  <si>
    <t>Timothy West</t>
  </si>
  <si>
    <t>book|framed|goddess|prince|sinbad</t>
  </si>
  <si>
    <t>http://www.imdb.com/title/tt0165982/?ref_=fn_tt_tt_1</t>
  </si>
  <si>
    <t>Event Horizon</t>
  </si>
  <si>
    <t>Horror|Sci-Fi|Thriller</t>
  </si>
  <si>
    <t>solar system|space|spaceship|starship|year 2047</t>
  </si>
  <si>
    <t>http://www.imdb.com/title/tt0119081/?ref_=fn_tt_tt_1</t>
  </si>
  <si>
    <t>Dragonfly</t>
  </si>
  <si>
    <t>Drama|Fantasy|Mystery|Romance|Thriller</t>
  </si>
  <si>
    <t>Susanna Thompson</t>
  </si>
  <si>
    <t>death|doctor|grave|patient|venezuela</t>
  </si>
  <si>
    <t>http://www.imdb.com/title/tt0259288/?ref_=fn_tt_tt_1</t>
  </si>
  <si>
    <t>The Black Dahlia</t>
  </si>
  <si>
    <t>Mia Kirshner</t>
  </si>
  <si>
    <t>black dahlia|boxer|corpse|death|partner</t>
  </si>
  <si>
    <t>http://www.imdb.com/title/tt0387877/?ref_=fn_tt_tt_1</t>
  </si>
  <si>
    <t>Tony Bill</t>
  </si>
  <si>
    <t>Flyboys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</si>
  <si>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</si>
  <si>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</si>
  <si>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</si>
  <si>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</si>
  <si>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</si>
  <si>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The Last Castle</t>
  </si>
  <si>
    <t>Michael Irby</t>
  </si>
  <si>
    <t>colonel|general|military|prison|three star general</t>
  </si>
  <si>
    <t>http://www.imdb.com/title/tt0272020/?ref_=fn_tt_tt_1</t>
  </si>
  <si>
    <t>Walter Hill</t>
  </si>
  <si>
    <t>Supernova</t>
  </si>
  <si>
    <t>Robert Forster</t>
  </si>
  <si>
    <t>Wilson Cruz</t>
  </si>
  <si>
    <t>Vanessa Marshall</t>
  </si>
  <si>
    <t>deep space|distress signal|explosion|mining|rescue</t>
  </si>
  <si>
    <t>http://www.imdb.com/title/tt0134983/?ref_=fn_tt_tt_1</t>
  </si>
  <si>
    <t>Akiva Goldsman</t>
  </si>
  <si>
    <t>Winter's Tale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</si>
  <si>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</si>
  <si>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</si>
  <si>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</si>
  <si>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</si>
  <si>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</si>
  <si>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</si>
  <si>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The Mortal Instruments: City of Bones</t>
  </si>
  <si>
    <t>Fantasy|Horror|Mystery|Romance</t>
  </si>
  <si>
    <t>Kevin Zegers</t>
  </si>
  <si>
    <t>battle|demon|magic|secret|warrior</t>
  </si>
  <si>
    <t>http://www.imdb.com/title/tt1538403/?ref_=fn_tt_tt_1</t>
  </si>
  <si>
    <t>Meet Dave</t>
  </si>
  <si>
    <t>Adventure|Comedy|Family|Romance|Sci-Fi</t>
  </si>
  <si>
    <t>Mike O'Malley</t>
  </si>
  <si>
    <t>Shawn Christian</t>
  </si>
  <si>
    <t>alien|mutiny|orb|planet|spaceship</t>
  </si>
  <si>
    <t>http://www.imdb.com/title/tt0765476/?ref_=fn_tt_tt_1</t>
  </si>
  <si>
    <t>Walter Salles</t>
  </si>
  <si>
    <t>Dark Water</t>
  </si>
  <si>
    <t>Drama|Horror|Thriller</t>
  </si>
  <si>
    <t>Camryn Manheim</t>
  </si>
  <si>
    <t>Ariel Gade</t>
  </si>
  <si>
    <t>apartment|hello kitty|school|teacher|water</t>
  </si>
  <si>
    <t>http://www.imdb.com/title/tt0382628/?ref_=fn_tt_tt_1</t>
  </si>
  <si>
    <t>Edtv</t>
  </si>
  <si>
    <t>female removes her clothes|one word title|producer|television|video store</t>
  </si>
  <si>
    <t>http://www.imdb.com/title/tt0131369/?ref_=fn_tt_tt_1</t>
  </si>
  <si>
    <t>Iain Softley</t>
  </si>
  <si>
    <t>Inkheart</t>
  </si>
  <si>
    <t>Jamie Foreman</t>
  </si>
  <si>
    <t>book|escape|girl|overalls|villain</t>
  </si>
  <si>
    <t>http://www.imdb.com/title/tt0494238/?ref_=fn_tt_tt_1</t>
  </si>
  <si>
    <t>The Spirit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</si>
  <si>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</si>
  <si>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</si>
  <si>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</si>
  <si>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</si>
  <si>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Mortdecai</t>
  </si>
  <si>
    <t>Action|Comedy|Mystery|Romance</t>
  </si>
  <si>
    <t>Olivia Munn</t>
  </si>
  <si>
    <t>Ulrich Thomsen</t>
  </si>
  <si>
    <t>art dealer|fake painting|macguffin|moustache|stolen painting</t>
  </si>
  <si>
    <t>http://www.imdb.com/title/tt3045616/?ref_=fn_tt_tt_1</t>
  </si>
  <si>
    <t>Uwe Boll</t>
  </si>
  <si>
    <t>In the Name of the King: A Dungeon Siege Tale</t>
  </si>
  <si>
    <t>Mike Dopud</t>
  </si>
  <si>
    <t>Tania Saulnier</t>
  </si>
  <si>
    <t>farmer|king|krug|rescue|wizard</t>
  </si>
  <si>
    <t>http://www.imdb.com/title/tt0460780/?ref_=fn_tt_tt_1</t>
  </si>
  <si>
    <t>Beyond Borders</t>
  </si>
  <si>
    <t>africa|american|border|doctor|well</t>
  </si>
  <si>
    <t>http://www.imdb.com/title/tt0294357/?ref_=fn_tt_tt_1</t>
  </si>
  <si>
    <t>John Dahl</t>
  </si>
  <si>
    <t>The Great Raid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</si>
  <si>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</si>
  <si>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</si>
  <si>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</si>
  <si>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</si>
  <si>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</si>
  <si>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</si>
  <si>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Deadpool</t>
  </si>
  <si>
    <t>Action|Adventure|Comedy|Romance|Sci-Fi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</si>
  <si>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</si>
  <si>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</si>
  <si>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</si>
  <si>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</si>
  <si>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</si>
  <si>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Holy Man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</si>
  <si>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</si>
  <si>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</si>
  <si>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</si>
  <si>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</si>
  <si>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American Sniper</t>
  </si>
  <si>
    <t>Action|Biography|Drama|History|Thriller|War</t>
  </si>
  <si>
    <t>Leonard Roberts</t>
  </si>
  <si>
    <t>Keir O'Donnell</t>
  </si>
  <si>
    <t>assassin|death of child|iraq|sniper|sniper rifle</t>
  </si>
  <si>
    <t>http://www.imdb.com/title/tt2179136/?ref_=fn_tt_tt_1</t>
  </si>
  <si>
    <t>Goosebumps</t>
  </si>
  <si>
    <t>Adventure|Comedy|Family|Fantasy|Horror</t>
  </si>
  <si>
    <t>Odeya Rush</t>
  </si>
  <si>
    <t>Dylan Minnette</t>
  </si>
  <si>
    <t>Ken Marino</t>
  </si>
  <si>
    <t>based on book|blob|ferris wheel|manuscript|monster</t>
  </si>
  <si>
    <t>http://www.imdb.com/title/tt1051904/?ref_=fn_tt_tt_1</t>
  </si>
  <si>
    <t>Just Like Heaven</t>
  </si>
  <si>
    <t>Willie Garson</t>
  </si>
  <si>
    <t>apartment|architect|coma|doctor|spirit</t>
  </si>
  <si>
    <t>http://www.imdb.com/title/tt0425123/?ref_=fn_tt_tt_1</t>
  </si>
  <si>
    <t>The Flintstones in Viva Rock Vegas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</si>
  <si>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</si>
  <si>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</si>
  <si>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</si>
  <si>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</si>
  <si>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</si>
  <si>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Rambo III</t>
  </si>
  <si>
    <t>Action|Adventure|Thriller|War</t>
  </si>
  <si>
    <t>Kurtwood Smith</t>
  </si>
  <si>
    <t>Richard Crenna</t>
  </si>
  <si>
    <t>afghanistan|colonel|rambo|rescue|soviet</t>
  </si>
  <si>
    <t>http://www.imdb.com/title/tt0095956/?ref_=fn_tt_tt_1</t>
  </si>
  <si>
    <t>Leatherheads</t>
  </si>
  <si>
    <t>Comedy|Drama|Romance|Sport</t>
  </si>
  <si>
    <t>Robert Baker</t>
  </si>
  <si>
    <t>Malcolm Goodwin</t>
  </si>
  <si>
    <t>Matt Bushell</t>
  </si>
  <si>
    <t>college football|fight|football|hero|surrender</t>
  </si>
  <si>
    <t>http://www.imdb.com/title/tt0379865/?ref_=fn_tt_tt_1</t>
  </si>
  <si>
    <t>Did You Hear About the Morgans?</t>
  </si>
  <si>
    <t>Kim Shaw</t>
  </si>
  <si>
    <t>Kevin Brown</t>
  </si>
  <si>
    <t>fbi|murder|witness|witness protection|wyoming</t>
  </si>
  <si>
    <t>http://www.imdb.com/title/tt1314228/?ref_=fn_tt_tt_1</t>
  </si>
  <si>
    <t>The Internship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</si>
  <si>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</si>
  <si>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</si>
  <si>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</si>
  <si>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</si>
  <si>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</t>
  </si>
  <si>
    <t>Shawn Roberts</t>
  </si>
  <si>
    <t>alaska|female gunfighter|mutation|ship|siege</t>
  </si>
  <si>
    <t>http://www.imdb.com/title/tt1220634/?ref_=fn_tt_tt_1</t>
  </si>
  <si>
    <t>Anthony Hemingway</t>
  </si>
  <si>
    <t>Red Tails</t>
  </si>
  <si>
    <t>Nate Parker</t>
  </si>
  <si>
    <t>Tristan Mack Wilds</t>
  </si>
  <si>
    <t>african american|battle|italy|tuskegee airmen|world war two</t>
  </si>
  <si>
    <t>http://www.imdb.com/title/tt0485985/?ref_=fn_tt_tt_1</t>
  </si>
  <si>
    <t>The Devil's Advocate</t>
  </si>
  <si>
    <t>deal with the devil|lawyer|money|reality|supernatural power</t>
  </si>
  <si>
    <t>http://www.imdb.com/title/tt0118971/?ref_=fn_tt_tt_1</t>
  </si>
  <si>
    <t>Sean Anders</t>
  </si>
  <si>
    <t>That's My Boy</t>
  </si>
  <si>
    <t>Leighton Meester</t>
  </si>
  <si>
    <t>argument|reference to vanilla ice|statutory rape|teacher student relationship|teacher student sex</t>
  </si>
  <si>
    <t>http://www.imdb.com/title/tt1232200/?ref_=fn_tt_tt_1</t>
  </si>
  <si>
    <t>DragonHeart</t>
  </si>
  <si>
    <t>Brian Thompson</t>
  </si>
  <si>
    <t>Terry O'Neill</t>
  </si>
  <si>
    <t>dragon|england|human dragon relationship|king|knight</t>
  </si>
  <si>
    <t>http://www.imdb.com/title/tt0116136/?ref_=fn_tt_tt_1</t>
  </si>
  <si>
    <t>After the Sunset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</si>
  <si>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</si>
  <si>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</si>
  <si>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</si>
  <si>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</si>
  <si>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</si>
  <si>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Ghost Rider: Spirit of Vengeance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</si>
  <si>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</si>
  <si>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</si>
  <si>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</si>
  <si>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</si>
  <si>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</si>
  <si>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Captain Corelli's Mandolin</t>
  </si>
  <si>
    <t>Drama|Music|Romance|War</t>
  </si>
  <si>
    <t>Irene Papas</t>
  </si>
  <si>
    <t>Mihalis Giannatos</t>
  </si>
  <si>
    <t>captain|greek|island|italian|love</t>
  </si>
  <si>
    <t>http://www.imdb.com/title/tt0238112/?ref_=fn_tt_tt_1</t>
  </si>
  <si>
    <t>The Pacifier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</si>
  <si>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</si>
  <si>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</si>
  <si>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</si>
  <si>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</si>
  <si>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Walking Tall</t>
  </si>
  <si>
    <t>Action|Crime</t>
  </si>
  <si>
    <t>Ashley Scott</t>
  </si>
  <si>
    <t>Michael Bowen</t>
  </si>
  <si>
    <t>casino|football|sheriff|special forces|violence</t>
  </si>
  <si>
    <t>http://www.imdb.com/title/tt0351977/?ref_=fn_tt_tt_1</t>
  </si>
  <si>
    <t>Forrest Gump</t>
  </si>
  <si>
    <t>Siobhan Fallon Hogan</t>
  </si>
  <si>
    <t>Sam Anderson</t>
  </si>
  <si>
    <t>amputee|love|vietnam|vietnam war|war hero</t>
  </si>
  <si>
    <t>http://www.imdb.com/title/tt0109830/?ref_=fn_tt_tt_1</t>
  </si>
  <si>
    <t>Alvin and the Chipmunks</t>
  </si>
  <si>
    <t>Beth Riesgraf</t>
  </si>
  <si>
    <t>Matthew Gray Gubler</t>
  </si>
  <si>
    <t>based on cartoon|chipmunk|concert|fart joke|talking animal</t>
  </si>
  <si>
    <t>http://www.imdb.com/title/tt0952640/?ref_=fn_tt_tt_1</t>
  </si>
  <si>
    <t>Meet the Parents</t>
  </si>
  <si>
    <t>cat|cia|jewish|male nurse|nurse</t>
  </si>
  <si>
    <t>http://www.imdb.com/title/tt0212338/?ref_=fn_tt_tt_1</t>
  </si>
  <si>
    <t>Mike Gabriel</t>
  </si>
  <si>
    <t>Pocahontas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</si>
  <si>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</si>
  <si>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</si>
  <si>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</si>
  <si>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</si>
  <si>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Superman</t>
  </si>
  <si>
    <t>Action|Adventure|Drama|Romance|Sci-Fi</t>
  </si>
  <si>
    <t>Margot Kidder</t>
  </si>
  <si>
    <t>1970s|clark kent|planet|superhero|year 1978</t>
  </si>
  <si>
    <t>http://www.imdb.com/title/tt0078346/?ref_=fn_tt_tt_1</t>
  </si>
  <si>
    <t>The Nutty Professor</t>
  </si>
  <si>
    <t>face slap|formula|overweight|professor|teacher</t>
  </si>
  <si>
    <t>http://www.imdb.com/title/tt0117218/?ref_=fn_tt_tt_1</t>
  </si>
  <si>
    <t>Hitch</t>
  </si>
  <si>
    <t>advice|friendship|gossip|newspaper|quitting a job</t>
  </si>
  <si>
    <t>http://www.imdb.com/title/tt0386588/?ref_=fn_tt_tt_1</t>
  </si>
  <si>
    <t>Sam Weisman</t>
  </si>
  <si>
    <t>George of the Jungle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</si>
  <si>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</si>
  <si>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</si>
  <si>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</si>
  <si>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</si>
  <si>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</si>
  <si>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American Wedding</t>
  </si>
  <si>
    <t>Alyson Hannigan</t>
  </si>
  <si>
    <t>Thomas Ian Nicholas</t>
  </si>
  <si>
    <t>bachelor party|blow job|breasts|friend|wedding</t>
  </si>
  <si>
    <t>http://www.imdb.com/title/tt0328828/?ref_=fn_tt_tt_1</t>
  </si>
  <si>
    <t>Captain Phillips</t>
  </si>
  <si>
    <t>Chris Mulkey</t>
  </si>
  <si>
    <t>Michael Chernus</t>
  </si>
  <si>
    <t>hijacking|hostage|leader|ship|somalia</t>
  </si>
  <si>
    <t>http://www.imdb.com/title/tt1535109/?ref_=fn_tt_tt_1</t>
  </si>
  <si>
    <t>Date Night</t>
  </si>
  <si>
    <t>city|new york city|night|reservation|restaurant</t>
  </si>
  <si>
    <t>http://www.imdb.com/title/tt1279935/?ref_=fn_tt_tt_1</t>
  </si>
  <si>
    <t>Casper</t>
  </si>
  <si>
    <t>Fred Rogers</t>
  </si>
  <si>
    <t>casper|friendly ghost|ghost|maine|mansion</t>
  </si>
  <si>
    <t>http://www.imdb.com/title/tt0112642/?ref_=fn_tt_tt_1</t>
  </si>
  <si>
    <t>The Equalizer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</si>
  <si>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</si>
  <si>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</si>
  <si>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</si>
  <si>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</si>
  <si>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</t>
  </si>
  <si>
    <t>Natasha Richardson</t>
  </si>
  <si>
    <t>hotel|maid|new york city|place name in title|the bronx</t>
  </si>
  <si>
    <t>http://www.imdb.com/title/tt0252076/?ref_=fn_tt_tt_1</t>
  </si>
  <si>
    <t>Crimson Tide</t>
  </si>
  <si>
    <t>Ricky Schroder</t>
  </si>
  <si>
    <t>alabama|mutiny|order|radio|submarine</t>
  </si>
  <si>
    <t>http://www.imdb.com/title/tt0112740/?ref_=fn_tt_tt_1</t>
  </si>
  <si>
    <t>Gabriele Muccino</t>
  </si>
  <si>
    <t>The Pursuit of Happyness</t>
  </si>
  <si>
    <t>Kurt Fuller</t>
  </si>
  <si>
    <t>James Karen</t>
  </si>
  <si>
    <t>bus|intern|internship|salesman|stockbroker</t>
  </si>
  <si>
    <t>http://www.imdb.com/title/tt0454921/?ref_=fn_tt_tt_1</t>
  </si>
  <si>
    <t>Flightplan</t>
  </si>
  <si>
    <t>Erika Christensen</t>
  </si>
  <si>
    <t>Haley Ramm</t>
  </si>
  <si>
    <t>captain|flight|flight attendant|plane|search</t>
  </si>
  <si>
    <t>http://www.imdb.com/title/tt0408790/?ref_=fn_tt_tt_1</t>
  </si>
  <si>
    <t>Disclosure</t>
  </si>
  <si>
    <t>Dylan Baker</t>
  </si>
  <si>
    <t>computer|marriage|non statutory female on male rape|promotion|sexual harassment</t>
  </si>
  <si>
    <t>http://www.imdb.com/title/tt0109635/?ref_=fn_tt_tt_1</t>
  </si>
  <si>
    <t>City of Angels</t>
  </si>
  <si>
    <t>angel|doctor|fall|heart surgeon|hospital</t>
  </si>
  <si>
    <t>http://www.imdb.com/title/tt0120632/?ref_=fn_tt_tt_1</t>
  </si>
  <si>
    <t>Kill Bill: Vol. 1</t>
  </si>
  <si>
    <t>David Carradine</t>
  </si>
  <si>
    <t>Chiaki Kuriyama</t>
  </si>
  <si>
    <t>bride|coma|japan|revenge|sword</t>
  </si>
  <si>
    <t>http://www.imdb.com/title/tt0266697/?ref_=fn_tt_tt_1</t>
  </si>
  <si>
    <t>Bowfinger</t>
  </si>
  <si>
    <t>Adam Alexi-Malle</t>
  </si>
  <si>
    <t>film within a film|filmmaking|guerrilla filmmaking|making of a movie|scientology parody</t>
  </si>
  <si>
    <t>http://www.imdb.com/title/tt0131325/?ref_=fn_tt_tt_1</t>
  </si>
  <si>
    <t>Kill Bill: Vol. 2</t>
  </si>
  <si>
    <t>Michael Parks</t>
  </si>
  <si>
    <t>assassin|assassination|bride|death|vengeance</t>
  </si>
  <si>
    <t>http://www.imdb.com/title/tt0378194/?ref_=fn_tt_tt_1</t>
  </si>
  <si>
    <t>Tango &amp; Cash</t>
  </si>
  <si>
    <t>Jack Palance</t>
  </si>
  <si>
    <t>Brion James</t>
  </si>
  <si>
    <t>1980s|80s action|escape|plea bargain|prison</t>
  </si>
  <si>
    <t>http://www.imdb.com/title/tt0098439/?ref_=fn_tt_tt_1</t>
  </si>
  <si>
    <t>Death Becomes Her</t>
  </si>
  <si>
    <t>plastic surgeon|rejuvenation|revenge|rival|rivalry</t>
  </si>
  <si>
    <t>http://www.imdb.com/title/tt0104070/?ref_=fn_tt_tt_1</t>
  </si>
  <si>
    <t>Tom Dey</t>
  </si>
  <si>
    <t>Shanghai Noon</t>
  </si>
  <si>
    <t>Action|Adventure|Comedy|Western</t>
  </si>
  <si>
    <t>Jason Connery</t>
  </si>
  <si>
    <t>Kate Luyben</t>
  </si>
  <si>
    <t>19th century|chinese|princess|rescue|travel</t>
  </si>
  <si>
    <t>http://www.imdb.com/title/tt0184894/?ref_=fn_tt_tt_1</t>
  </si>
  <si>
    <t>Executive Decision</t>
  </si>
  <si>
    <t>J.T. Walsh</t>
  </si>
  <si>
    <t>bomb|hostage|military|plane|terrorist</t>
  </si>
  <si>
    <t>http://www.imdb.com/title/tt0116253/?ref_=fn_tt_tt_1</t>
  </si>
  <si>
    <t>Mr. Popper's Penguins</t>
  </si>
  <si>
    <t>Madeline Carroll</t>
  </si>
  <si>
    <t>Ophelia Lovibond</t>
  </si>
  <si>
    <t>father|penguin|snowglobe|son|winter</t>
  </si>
  <si>
    <t>http://www.imdb.com/title/tt1396218/?ref_=fn_tt_tt_1</t>
  </si>
  <si>
    <t>The Forbidden Kingdom</t>
  </si>
  <si>
    <t>Thomas McDonell</t>
  </si>
  <si>
    <t>monkey king|staff|teenager|urination|warrior</t>
  </si>
  <si>
    <t>http://www.imdb.com/title/tt0865556/?ref_=fn_tt_tt_1</t>
  </si>
  <si>
    <t>Jimmy Hayward</t>
  </si>
  <si>
    <t>Free Birds</t>
  </si>
  <si>
    <t>Carlos Ponce</t>
  </si>
  <si>
    <t>chipmunk|hunting dog|sabotage|thanksgiving|turkey the bird</t>
  </si>
  <si>
    <t>http://www.imdb.com/title/tt1621039/?ref_=fn_tt_tt_1</t>
  </si>
  <si>
    <t>Alien 3</t>
  </si>
  <si>
    <t>Charles S. Dutton</t>
  </si>
  <si>
    <t>Holt McCallany</t>
  </si>
  <si>
    <t>Paul McGann</t>
  </si>
  <si>
    <t>alien|crash|planet|prison|survivor</t>
  </si>
  <si>
    <t>http://www.imdb.com/title/tt0103644/?ref_=fn_tt_tt_1</t>
  </si>
  <si>
    <t>Alan Parker</t>
  </si>
  <si>
    <t>Evita</t>
  </si>
  <si>
    <t>Biography|Drama|History|Musical</t>
  </si>
  <si>
    <t>Andrea Corr</t>
  </si>
  <si>
    <t>Jimmy Nail</t>
  </si>
  <si>
    <t>Peter Polycarpou</t>
  </si>
  <si>
    <t>actress|argentina|military|politics|singer</t>
  </si>
  <si>
    <t>http://www.imdb.com/title/tt0116250/?ref_=fn_tt_tt_1</t>
  </si>
  <si>
    <t>John Frankenheimer</t>
  </si>
  <si>
    <t>Ronin</t>
  </si>
  <si>
    <t>Michael Lonsdale</t>
  </si>
  <si>
    <t>case|ex kgb|ronin|russian|suitcase</t>
  </si>
  <si>
    <t>http://www.imdb.com/title/tt0122690/?ref_=fn_tt_tt_1</t>
  </si>
  <si>
    <t>The Ghost and the Darkness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</si>
  <si>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</si>
  <si>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</si>
  <si>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</si>
  <si>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</si>
  <si>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</si>
  <si>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Paddington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</si>
  <si>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</si>
  <si>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</si>
  <si>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</si>
  <si>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</si>
  <si>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</si>
  <si>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The Watch</t>
  </si>
  <si>
    <t>Nicholas Braun</t>
  </si>
  <si>
    <t>alien|escape|manager|neighborhood watch|ohio</t>
  </si>
  <si>
    <t>http://www.imdb.com/title/tt1298649/?ref_=fn_tt_tt_1</t>
  </si>
  <si>
    <t>William Friedkin</t>
  </si>
  <si>
    <t>The Hunted</t>
  </si>
  <si>
    <t>Jenna Boyd</t>
  </si>
  <si>
    <t>Rex Linn</t>
  </si>
  <si>
    <t>capture|combat|fbi|hunter|special forces</t>
  </si>
  <si>
    <t>http://www.imdb.com/title/tt0269347/?ref_=fn_tt_tt_1</t>
  </si>
  <si>
    <t>Instinct</t>
  </si>
  <si>
    <t>John Ashton</t>
  </si>
  <si>
    <t>africa|anthropologist|murder|poacher|psychiatrist</t>
  </si>
  <si>
    <t>http://www.imdb.com/title/tt0128278/?ref_=fn_tt_tt_1</t>
  </si>
  <si>
    <t>Stuck on You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</si>
  <si>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</si>
  <si>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</si>
  <si>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</si>
  <si>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</si>
  <si>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</si>
  <si>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Semi-Pro</t>
  </si>
  <si>
    <t>flint michigan|merger|michigan|nba|team</t>
  </si>
  <si>
    <t>http://www.imdb.com/title/tt0839980/?ref_=fn_tt_tt_1</t>
  </si>
  <si>
    <t>Peter Lord</t>
  </si>
  <si>
    <t>The Pirates! Band of Misfits</t>
  </si>
  <si>
    <t>Russell Tovey</t>
  </si>
  <si>
    <t>charles darwin|cutlass|pirate|queen victoria|scientist</t>
  </si>
  <si>
    <t>http://www.imdb.com/title/tt1430626/?ref_=fn_tt_tt_1</t>
  </si>
  <si>
    <t>Changeling</t>
  </si>
  <si>
    <t>execution by hanging|los angeles police department|miscarriage of justice|missing child|wrongful conviction</t>
  </si>
  <si>
    <t>http://www.imdb.com/title/tt0824747/?ref_=fn_tt_tt_1</t>
  </si>
  <si>
    <t>Chain Reaction</t>
  </si>
  <si>
    <t>cold fusion|die hard scenario|man with glasses|on the run|outrunning explosion</t>
  </si>
  <si>
    <t>http://www.imdb.com/title/tt0115857/?ref_=fn_tt_tt_1</t>
  </si>
  <si>
    <t>The Fan</t>
  </si>
  <si>
    <t>Action|Drama|Sport|Thriller</t>
  </si>
  <si>
    <t>Ellen Barkin</t>
  </si>
  <si>
    <t>baseball|fan|obsession|salesman|san francisco giants</t>
  </si>
  <si>
    <t>http://www.imdb.com/title/tt0116277/?ref_=fn_tt_tt_1</t>
  </si>
  <si>
    <t>The Phantom of the Opera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</si>
  <si>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</si>
  <si>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</si>
  <si>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</si>
  <si>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</si>
  <si>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</si>
  <si>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</t>
  </si>
  <si>
    <t>court|intrigue|queen|spain|virgin</t>
  </si>
  <si>
    <t>http://www.imdb.com/title/tt0414055/?ref_=fn_tt_tt_1</t>
  </si>
  <si>
    <t>Karyn Kusama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</si>
  <si>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</si>
  <si>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</si>
  <si>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</si>
  <si>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</si>
  <si>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</si>
  <si>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Gods and Generals</t>
  </si>
  <si>
    <t>Billy Campbell</t>
  </si>
  <si>
    <t>Bruce Boxleitner</t>
  </si>
  <si>
    <t>John Castle</t>
  </si>
  <si>
    <t>confederacy|hero|prequel|stonewall jackson|war hero</t>
  </si>
  <si>
    <t>http://www.imdb.com/title/tt0279111/?ref_=fn_tt_tt_1</t>
  </si>
  <si>
    <t>Robert Butler</t>
  </si>
  <si>
    <t>Turbulence</t>
  </si>
  <si>
    <t>Lauren Holly</t>
  </si>
  <si>
    <t>airplane|christmas|marshal|pilot|u.s. marshal</t>
  </si>
  <si>
    <t>http://www.imdb.com/title/tt0120390/?ref_=fn_tt_tt_1</t>
  </si>
  <si>
    <t>Karey Kirkpatrick</t>
  </si>
  <si>
    <t>Imagine That</t>
  </si>
  <si>
    <t>Comedy|Drama|Family|Fantasy</t>
  </si>
  <si>
    <t>blanket|competition|family relationships|feather|sleepover</t>
  </si>
  <si>
    <t>http://www.imdb.com/title/tt0780567/?ref_=fn_tt_tt_1</t>
  </si>
  <si>
    <t>Muppets Most Wanted</t>
  </si>
  <si>
    <t>Adventure|Comedy|Crime|Family|Musical</t>
  </si>
  <si>
    <t>Tina Fey</t>
  </si>
  <si>
    <t>Hugh Bonneville</t>
  </si>
  <si>
    <t>europe|frog|gulag|prison break|puppet</t>
  </si>
  <si>
    <t>http://www.imdb.com/title/tt2281587/?ref_=fn_tt_tt_1</t>
  </si>
  <si>
    <t>Thunderbirds</t>
  </si>
  <si>
    <t>Brady Corbet</t>
  </si>
  <si>
    <t>astronaut|island|lady penelope|rescue|the hood</t>
  </si>
  <si>
    <t>http://www.imdb.com/title/tt0167456/?ref_=fn_tt_tt_1</t>
  </si>
  <si>
    <t>Steve Antin</t>
  </si>
  <si>
    <t>Burlesque</t>
  </si>
  <si>
    <t>Drama|Music|Musical|Romance</t>
  </si>
  <si>
    <t>Peter Gallagher</t>
  </si>
  <si>
    <t>David Walton</t>
  </si>
  <si>
    <t>burlesque|dancer|iowa|small town girl|stage</t>
  </si>
  <si>
    <t>http://www.imdb.com/title/tt1126591/?ref_=fn_tt_tt_1</t>
  </si>
  <si>
    <t>A Very Long Engagement</t>
  </si>
  <si>
    <t>Drama|Mystery|Romance|War</t>
  </si>
  <si>
    <t>Denis Lavant</t>
  </si>
  <si>
    <t>AndrÃ© Dussollier</t>
  </si>
  <si>
    <t>Albert Dupontel</t>
  </si>
  <si>
    <t>court martial|death|girl|no man's land|soldier</t>
  </si>
  <si>
    <t>http://www.imdb.com/title/tt0344510/?ref_=fn_tt_tt_1</t>
  </si>
  <si>
    <t>Blade II</t>
  </si>
  <si>
    <t>Norman Reedus</t>
  </si>
  <si>
    <t>blade the character|cult film|mutation|vampire|warrior</t>
  </si>
  <si>
    <t>http://www.imdb.com/title/tt0187738/?ref_=fn_tt_tt_1</t>
  </si>
  <si>
    <t>Seven Pounds</t>
  </si>
  <si>
    <t>Madison Pettis</t>
  </si>
  <si>
    <t>boyfriend girlfriend relationship|heart|main character dies|organ donor|redemption</t>
  </si>
  <si>
    <t>http://www.imdb.com/title/tt0814314/?ref_=fn_tt_tt_1</t>
  </si>
  <si>
    <t>Bullet to the Head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</si>
  <si>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</si>
  <si>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</si>
  <si>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</si>
  <si>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</si>
  <si>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</si>
  <si>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The Godfather: Part III</t>
  </si>
  <si>
    <t>1970s|family relationships|mob hit|opera|repeating history</t>
  </si>
  <si>
    <t>http://www.imdb.com/title/tt0099674/?ref_=fn_tt_tt_1</t>
  </si>
  <si>
    <t>Elizabethtown</t>
  </si>
  <si>
    <t>flight|flight attendant|kentucky|shoes|travel</t>
  </si>
  <si>
    <t>http://www.imdb.com/title/tt0368709/?ref_=fn_tt_tt_1</t>
  </si>
  <si>
    <t>You, Me and Dupree</t>
  </si>
  <si>
    <t>Todd Stashwick</t>
  </si>
  <si>
    <t>Billy Gardell</t>
  </si>
  <si>
    <t>Amanda Detmer</t>
  </si>
  <si>
    <t>best friend|foot fetish|houseguest|newlywed|wedding</t>
  </si>
  <si>
    <t>http://www.imdb.com/title/tt0463034/?ref_=fn_tt_tt_1</t>
  </si>
  <si>
    <t>Richard Lester</t>
  </si>
  <si>
    <t>Superman II</t>
  </si>
  <si>
    <t>Action|Adventure|Romance|Sci-Fi</t>
  </si>
  <si>
    <t>Jackie Cooper</t>
  </si>
  <si>
    <t>alien invasion|based on comic book|flying superhero|phantom zone|revenge</t>
  </si>
  <si>
    <t>http://www.imdb.com/title/tt0081573/?ref_=fn_tt_tt_1</t>
  </si>
  <si>
    <t>Gigli</t>
  </si>
  <si>
    <t>Todd Giebenhain</t>
  </si>
  <si>
    <t>Lenny Venito</t>
  </si>
  <si>
    <t>David Backus</t>
  </si>
  <si>
    <t>gangster|hospital|lesbian|mob|thug</t>
  </si>
  <si>
    <t>http://www.imdb.com/title/tt0299930/?ref_=fn_tt_tt_1</t>
  </si>
  <si>
    <t>All the King's Men</t>
  </si>
  <si>
    <t>governor|journalist|louisiana|mistress|politician</t>
  </si>
  <si>
    <t>http://www.imdb.com/title/tt0405676/?ref_=fn_tt_tt_1</t>
  </si>
  <si>
    <t>Shaft</t>
  </si>
  <si>
    <t>blaxploitation|detective|drugs|shaft|trial</t>
  </si>
  <si>
    <t>http://www.imdb.com/title/tt0162650/?ref_=fn_tt_tt_1</t>
  </si>
  <si>
    <t>Anastasia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</si>
  <si>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</si>
  <si>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</si>
  <si>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</si>
  <si>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</si>
  <si>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Moulin Rouge!</t>
  </si>
  <si>
    <t>Kylie Minogue</t>
  </si>
  <si>
    <t>death of main character|eiffel tower paris|jealousy|tragedy|two suitors</t>
  </si>
  <si>
    <t>http://www.imdb.com/title/tt0203009/?ref_=fn_tt_tt_1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</si>
  <si>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</si>
  <si>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</si>
  <si>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</si>
  <si>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</si>
  <si>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</si>
  <si>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</si>
  <si>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</si>
  <si>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</si>
  <si>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Flags of Our Fathers</t>
  </si>
  <si>
    <t>imperial japan|japan|japanese army|japanese soldier|world war two</t>
  </si>
  <si>
    <t>http://www.imdb.com/title/tt0418689/?ref_=fn_tt_tt_1</t>
  </si>
  <si>
    <t>Law Abiding Citizen</t>
  </si>
  <si>
    <t>attorney|deal|district attorney|investigation|justice</t>
  </si>
  <si>
    <t>http://www.imdb.com/title/tt1197624/?ref_=fn_tt_tt_1</t>
  </si>
  <si>
    <t>Robert Rodriguez</t>
  </si>
  <si>
    <t>Grindhouse</t>
  </si>
  <si>
    <t>Action|Horror|Thriller</t>
  </si>
  <si>
    <t>anthropophagus|blood and gore|double feature|real twins playing twins|zombie</t>
  </si>
  <si>
    <t>http://www.imdb.com/title/tt0462322/?ref_=fn_tt_tt_1</t>
  </si>
  <si>
    <t>Beloved</t>
  </si>
  <si>
    <t>Drama|History|Horror</t>
  </si>
  <si>
    <t>Kimberly Elise</t>
  </si>
  <si>
    <t>Hill Harper</t>
  </si>
  <si>
    <t>farm|freedom|ohio|slavery|spirit</t>
  </si>
  <si>
    <t>http://www.imdb.com/title/tt0120603/?ref_=fn_tt_tt_1</t>
  </si>
  <si>
    <t>Curtis Hanson</t>
  </si>
  <si>
    <t>Lucky You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</si>
  <si>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</si>
  <si>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</si>
  <si>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</si>
  <si>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</si>
  <si>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Catch Me If You Can</t>
  </si>
  <si>
    <t>attorney|cat and mouse|fbi|pan am|pilot</t>
  </si>
  <si>
    <t>http://www.imdb.com/title/tt0264464/?ref_=fn_tt_tt_1</t>
  </si>
  <si>
    <t>Zero Dark Thirty</t>
  </si>
  <si>
    <t>Harold Perrineau</t>
  </si>
  <si>
    <t>Parker Sawyers</t>
  </si>
  <si>
    <t>al qaeda|cia|interrogation|lie|navy seal</t>
  </si>
  <si>
    <t>http://www.imdb.com/title/tt1790885/?ref_=fn_tt_tt_1</t>
  </si>
  <si>
    <t>The Break-Up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</si>
  <si>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</si>
  <si>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</si>
  <si>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</si>
  <si>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</si>
  <si>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Mamma Mia!</t>
  </si>
  <si>
    <t>Comedy|Family|Musical|Romance</t>
  </si>
  <si>
    <t>bride|greece|island|mediterranean|wedding</t>
  </si>
  <si>
    <t>http://www.imdb.com/title/tt0795421/?ref_=fn_tt_tt_1</t>
  </si>
  <si>
    <t>Valentine's Day</t>
  </si>
  <si>
    <t>flower|indian restaurant|tv station|valentine|valentine's day</t>
  </si>
  <si>
    <t>http://www.imdb.com/title/tt0817230/?ref_=fn_tt_tt_1</t>
  </si>
  <si>
    <t>Jay Chandrasekhar</t>
  </si>
  <si>
    <t>The Dukes of Hazzard</t>
  </si>
  <si>
    <t>Alice Greczyn</t>
  </si>
  <si>
    <t>Jessica Simpson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</si>
  <si>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</si>
  <si>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</si>
  <si>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</si>
  <si>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</si>
  <si>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</t>
  </si>
  <si>
    <t>Dash Mihok</t>
  </si>
  <si>
    <t>battle|hill|jungle|multiple perspectives|tropical island</t>
  </si>
  <si>
    <t>http://www.imdb.com/title/tt0120863/?ref_=fn_tt_tt_1</t>
  </si>
  <si>
    <t>David Dobkin</t>
  </si>
  <si>
    <t>The Change-Up</t>
  </si>
  <si>
    <t>Mircea Monroe</t>
  </si>
  <si>
    <t>best friend|fountain|law firm|lawyer|sex</t>
  </si>
  <si>
    <t>http://www.imdb.com/title/tt1488555/?ref_=fn_tt_tt_1</t>
  </si>
  <si>
    <t>Milos Forman</t>
  </si>
  <si>
    <t>Man on the Moon</t>
  </si>
  <si>
    <t>Matt Price</t>
  </si>
  <si>
    <t>Gerry Becker</t>
  </si>
  <si>
    <t>Tom Dreesen</t>
  </si>
  <si>
    <t>andy kaufman|comedian|eccentric|wrestler|wrestling</t>
  </si>
  <si>
    <t>http://www.imdb.com/title/tt0125664/?ref_=fn_tt_tt_1</t>
  </si>
  <si>
    <t>Casino</t>
  </si>
  <si>
    <t>car bomb|card cheat|cash|casino|gambling syndicate</t>
  </si>
  <si>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</si>
  <si>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</si>
  <si>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</si>
  <si>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</si>
  <si>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</si>
  <si>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Dayan</t>
  </si>
  <si>
    <t>ambassador|cia|dinner|spy|terrorist</t>
  </si>
  <si>
    <t>http://www.imdb.com/title/tt1179034/?ref_=fn_tt_tt_1</t>
  </si>
  <si>
    <t>Paul Hunter</t>
  </si>
  <si>
    <t>Bulletproof Monk</t>
  </si>
  <si>
    <t>Victoria Smurfit</t>
  </si>
  <si>
    <t>monastery|monk|scroll|tibetan|tibetan monk</t>
  </si>
  <si>
    <t>http://www.imdb.com/title/tt0245803/?ref_=fn_tt_tt_1</t>
  </si>
  <si>
    <t>Me, Myself &amp; Irene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</si>
  <si>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</si>
  <si>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</si>
  <si>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</si>
  <si>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</si>
  <si>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</si>
  <si>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Barnyard</t>
  </si>
  <si>
    <t>Rob Paulsen</t>
  </si>
  <si>
    <t>cow|farmer|howl|howling at the moon|vegetarian</t>
  </si>
  <si>
    <t>http://www.imdb.com/title/tt0414853/?ref_=fn_tt_tt_1</t>
  </si>
  <si>
    <t>The Twilight Saga: New Moon</t>
  </si>
  <si>
    <t>forks washington|protecting a woman|title same as book|vampire|werewolf</t>
  </si>
  <si>
    <t>http://www.imdb.com/title/tt1259571/?ref_=fn_tt_tt_1</t>
  </si>
  <si>
    <t>Shrek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</si>
  <si>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</si>
  <si>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</si>
  <si>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</si>
  <si>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</si>
  <si>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</si>
  <si>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The Adjustment Bureau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</si>
  <si>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</si>
  <si>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</si>
  <si>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</si>
  <si>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</si>
  <si>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Robin Hood: Prince of Thieves</t>
  </si>
  <si>
    <t>balladeer|crusades|england|king|modern minstrel</t>
  </si>
  <si>
    <t>http://www.imdb.com/title/tt0102798/?ref_=fn_tt_tt_1</t>
  </si>
  <si>
    <t>Jerry Maguire</t>
  </si>
  <si>
    <t>Bonnie Hunt</t>
  </si>
  <si>
    <t>agent|career|client|fiance|sports agent</t>
  </si>
  <si>
    <t>http://www.imdb.com/title/tt0116695/?ref_=fn_tt_tt_1</t>
  </si>
  <si>
    <t>Ted</t>
  </si>
  <si>
    <t>2010s|car accident|sex scene|teddy bear|testicle</t>
  </si>
  <si>
    <t>http://www.imdb.com/title/tt1637725/?ref_=fn_tt_tt_1</t>
  </si>
  <si>
    <t>As Good as It Gets</t>
  </si>
  <si>
    <t>Lupe Ontiveros</t>
  </si>
  <si>
    <t>Shirley Knight</t>
  </si>
  <si>
    <t>dog|friendship|neighbor|unlikely friendship|writer</t>
  </si>
  <si>
    <t>http://www.imdb.com/title/tt0119822/?ref_=fn_tt_tt_1</t>
  </si>
  <si>
    <t>Patch Adams</t>
  </si>
  <si>
    <t>Biography|Comedy|Drama|Romance</t>
  </si>
  <si>
    <t>doctor|hospital|mental institution|nurse|student</t>
  </si>
  <si>
    <t>http://www.imdb.com/title/tt0129290/?ref_=fn_tt_tt_1</t>
  </si>
  <si>
    <t>Anchorman 2: The Legend Continues</t>
  </si>
  <si>
    <t>fame|father son relationship|interracial kiss|interracial relationship|interracial sex</t>
  </si>
  <si>
    <t>http://www.imdb.com/title/tt1229340/?ref_=fn_tt_tt_1</t>
  </si>
  <si>
    <t>Mr. Deeds</t>
  </si>
  <si>
    <t>abbreviation in title|reporter|small town|sudden wealth|unknowing heir</t>
  </si>
  <si>
    <t>http://www.imdb.com/title/tt0280590/?ref_=fn_tt_tt_1</t>
  </si>
  <si>
    <t>Super 8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</si>
  <si>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</si>
  <si>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</si>
  <si>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</si>
  <si>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</si>
  <si>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</si>
  <si>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</si>
  <si>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</si>
  <si>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</si>
  <si>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</si>
  <si>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</t>
  </si>
  <si>
    <t>Thomas Lennon</t>
  </si>
  <si>
    <t>advertising executive|diamond|magazine|party|wager</t>
  </si>
  <si>
    <t>http://www.imdb.com/title/tt0251127/?ref_=fn_tt_tt_1</t>
  </si>
  <si>
    <t>22 Jump Street</t>
  </si>
  <si>
    <t>Craig Roberts</t>
  </si>
  <si>
    <t>college|drugs|hidden camera|tattoo|undercover</t>
  </si>
  <si>
    <t>http://www.imdb.com/title/tt2294449/?ref_=fn_tt_tt_1</t>
  </si>
  <si>
    <t>Neil Jordan</t>
  </si>
  <si>
    <t>Interview with the Vampire: The Vampire Chronicles</t>
  </si>
  <si>
    <t>Drama|Fantasy|Horror</t>
  </si>
  <si>
    <t>betrayal|dangerous friend|gothic|monster as victim|vampire</t>
  </si>
  <si>
    <t>http://www.imdb.com/title/tt0110148/?ref_=fn_tt_tt_1</t>
  </si>
  <si>
    <t>Yes Man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</si>
  <si>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</si>
  <si>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</si>
  <si>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</si>
  <si>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</si>
  <si>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</si>
  <si>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</si>
  <si>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</si>
  <si>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</si>
  <si>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Stepmom</t>
  </si>
  <si>
    <t>Herbert Russell</t>
  </si>
  <si>
    <t>attorney|cancer|custody|fashion photographer|photographer</t>
  </si>
  <si>
    <t>http://www.imdb.com/title/tt0120686/?ref_=fn_tt_tt_1</t>
  </si>
  <si>
    <t>Daddy's Home</t>
  </si>
  <si>
    <t>Mark L. Young</t>
  </si>
  <si>
    <t>biological father|dad|drinking|product placement|wilhelm scream</t>
  </si>
  <si>
    <t>http://www.imdb.com/title/tt1528854/?ref_=fn_tt_tt_1</t>
  </si>
  <si>
    <t>Into the Woods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</si>
  <si>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</si>
  <si>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</si>
  <si>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</si>
  <si>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</si>
  <si>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Inside Man</t>
  </si>
  <si>
    <t>James Ransone</t>
  </si>
  <si>
    <t>bank|detective|negotiation|police|robber</t>
  </si>
  <si>
    <t>http://www.imdb.com/title/tt0454848/?ref_=fn_tt_tt_1</t>
  </si>
  <si>
    <t>Brian Helgeland</t>
  </si>
  <si>
    <t>Payback</t>
  </si>
  <si>
    <t>Bill Duke</t>
  </si>
  <si>
    <t>Deborah Kara Unger</t>
  </si>
  <si>
    <t>anti hero|criminal|greed|prostitute|tough guy</t>
  </si>
  <si>
    <t>http://www.imdb.com/title/tt0120784/?ref_=fn_tt_tt_1</t>
  </si>
  <si>
    <t>Frank Marshall</t>
  </si>
  <si>
    <t>Congo</t>
  </si>
  <si>
    <t>Dylan Walsh</t>
  </si>
  <si>
    <t>captain|congo|expedition|laser|lost city</t>
  </si>
  <si>
    <t>http://www.imdb.com/title/tt0112715/?ref_=fn_tt_tt_1</t>
  </si>
  <si>
    <t>Knowing</t>
  </si>
  <si>
    <t>Chandler Canterbury</t>
  </si>
  <si>
    <t>disaster|end of the world|number|student|time capsule</t>
  </si>
  <si>
    <t>http://www.imdb.com/title/tt0448011/?ref_=fn_tt_tt_1</t>
  </si>
  <si>
    <t>Failure to Launch</t>
  </si>
  <si>
    <t>friend|intervention|moving|secret|slacker</t>
  </si>
  <si>
    <t>http://www.imdb.com/title/tt0427229/?ref_=fn_tt_tt_1</t>
  </si>
  <si>
    <t>Crazy, Stupid, Love.</t>
  </si>
  <si>
    <t>bar|divorce|friend|girl|male objectification</t>
  </si>
  <si>
    <t>http://www.imdb.com/title/tt1570728/?ref_=fn_tt_tt_1</t>
  </si>
  <si>
    <t>Peter Hewitt</t>
  </si>
  <si>
    <t>Garfield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</si>
  <si>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</si>
  <si>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</si>
  <si>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</si>
  <si>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</si>
  <si>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</si>
  <si>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Christmas with the Kranks</t>
  </si>
  <si>
    <t>act of kindness|christmas|christmas eve|neighbor|vacation</t>
  </si>
  <si>
    <t>http://www.imdb.com/title/tt0388419/?ref_=fn_tt_tt_1</t>
  </si>
  <si>
    <t>Bennett Miller</t>
  </si>
  <si>
    <t>Moneyball</t>
  </si>
  <si>
    <t>baseball|meeting|statistics|strategy|voice over</t>
  </si>
  <si>
    <t>http://www.imdb.com/title/tt1210166/?ref_=fn_tt_tt_1</t>
  </si>
  <si>
    <t>Outbreak</t>
  </si>
  <si>
    <t>disease|epidemic|monkey|quarantine|virus</t>
  </si>
  <si>
    <t>http://www.imdb.com/title/tt0114069/?ref_=fn_tt_tt_1</t>
  </si>
  <si>
    <t>Jaume Collet-Serra</t>
  </si>
  <si>
    <t>Non-Stop</t>
  </si>
  <si>
    <t>Scoot McNairy</t>
  </si>
  <si>
    <t>air marshal|death|passenger|terrorist|transatlantic flight</t>
  </si>
  <si>
    <t>http://www.imdb.com/title/tt2024469/?ref_=fn_tt_tt_1</t>
  </si>
  <si>
    <t>Andy Fickman</t>
  </si>
  <si>
    <t>Race to Witch Mountain</t>
  </si>
  <si>
    <t>Action|Adventure|Family|Fantasy|Sci-Fi|Thriller</t>
  </si>
  <si>
    <t>Billy Brown</t>
  </si>
  <si>
    <t>alien|military|mountain|spacecraft|ufo</t>
  </si>
  <si>
    <t>http://www.imdb.com/title/tt1075417/?ref_=fn_tt_tt_1</t>
  </si>
  <si>
    <t>James McTeigue</t>
  </si>
  <si>
    <t>V for Vendetta</t>
  </si>
  <si>
    <t>Rupert Graves</t>
  </si>
  <si>
    <t>dystopia|freedom|government|revolution|terrorist</t>
  </si>
  <si>
    <t>http://www.imdb.com/title/tt0434409/?ref_=fn_tt_tt_1</t>
  </si>
  <si>
    <t>Shanghai Knights</t>
  </si>
  <si>
    <t>Fann Wong</t>
  </si>
  <si>
    <t>Anna-Louise Plowman</t>
  </si>
  <si>
    <t>Georgina Chapman</t>
  </si>
  <si>
    <t>1880s|arrow|imperial seal|murder|revenge</t>
  </si>
  <si>
    <t>http://www.imdb.com/title/tt0300471/?ref_=fn_tt_tt_1</t>
  </si>
  <si>
    <t>Matthew O'Callaghan</t>
  </si>
  <si>
    <t>Curious George</t>
  </si>
  <si>
    <t>hat|monkey|museum|shrine|yellow</t>
  </si>
  <si>
    <t>http://www.imdb.com/title/tt0381971/?ref_=fn_tt_tt_1</t>
  </si>
  <si>
    <t>Angela Robinson</t>
  </si>
  <si>
    <t>Herbie Fully Loaded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</si>
  <si>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</si>
  <si>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</si>
  <si>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</si>
  <si>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</si>
  <si>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</si>
  <si>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Don't Say a Word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</si>
  <si>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</si>
  <si>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</si>
  <si>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</si>
  <si>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</si>
  <si>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</si>
  <si>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Hansel &amp; Gretel: Witch Hunters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</si>
  <si>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</si>
  <si>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</si>
  <si>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</si>
  <si>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</si>
  <si>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Unfaithful</t>
  </si>
  <si>
    <t>Olivier Martinez</t>
  </si>
  <si>
    <t>Erik Per Sullivan</t>
  </si>
  <si>
    <t>Chad Lowe</t>
  </si>
  <si>
    <t>erotic thriller|infidelity|marital infidelity|unfaithfulness|wife's lover murdered by husband</t>
  </si>
  <si>
    <t>http://www.imdb.com/title/tt0250797/?ref_=fn_tt_tt_1</t>
  </si>
  <si>
    <t>I Am Number Four</t>
  </si>
  <si>
    <t>Alex Pettyfer</t>
  </si>
  <si>
    <t>Emily Wickersham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</si>
  <si>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</si>
  <si>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</si>
  <si>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</si>
  <si>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</si>
  <si>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Syriana</t>
  </si>
  <si>
    <t>Amr Waked</t>
  </si>
  <si>
    <t>Kayvan Novak</t>
  </si>
  <si>
    <t>cia|hezbollah|lebanon|oil|prince</t>
  </si>
  <si>
    <t>http://www.imdb.com/title/tt0365737/?ref_=fn_tt_tt_1</t>
  </si>
  <si>
    <t>13 Hours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</si>
  <si>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</si>
  <si>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</si>
  <si>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</si>
  <si>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</si>
  <si>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</si>
  <si>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</si>
  <si>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</si>
  <si>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</si>
  <si>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</si>
  <si>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</si>
  <si>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</t>
  </si>
  <si>
    <t>Mary Lynn Rajskub</t>
  </si>
  <si>
    <t>architect|bank|cayman islands|meeting|murder</t>
  </si>
  <si>
    <t>http://www.imdb.com/title/tt0408345/?ref_=fn_tt_tt_1</t>
  </si>
  <si>
    <t>Absolute Power</t>
  </si>
  <si>
    <t>death|death of wife|murder|thief|violence</t>
  </si>
  <si>
    <t>http://www.imdb.com/title/tt0118548/?ref_=fn_tt_tt_1</t>
  </si>
  <si>
    <t>G.I. Jane</t>
  </si>
  <si>
    <t>feminism|hit in the crotch|kicked in the crotch|kicked in the testicles|navy</t>
  </si>
  <si>
    <t>http://www.imdb.com/title/tt0119173/?ref_=fn_tt_tt_1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</si>
  <si>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</si>
  <si>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</si>
  <si>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</si>
  <si>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</si>
  <si>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</si>
  <si>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Silent Hill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</si>
  <si>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</si>
  <si>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</si>
  <si>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</si>
  <si>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</si>
  <si>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</si>
  <si>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</t>
  </si>
  <si>
    <t>Faizon Love</t>
  </si>
  <si>
    <t>coach|football player|misfits|strike|sumo wrestler</t>
  </si>
  <si>
    <t>http://www.imdb.com/title/tt0191397/?ref_=fn_tt_tt_1</t>
  </si>
  <si>
    <t>Jon Hurwitz</t>
  </si>
  <si>
    <t>American Reunion</t>
  </si>
  <si>
    <t>Dania Ramirez</t>
  </si>
  <si>
    <t>bikini|female female kiss|high school reunion|outdoor sex|upskirt</t>
  </si>
  <si>
    <t>http://www.imdb.com/title/tt1605630/?ref_=fn_tt_tt_1</t>
  </si>
  <si>
    <t>The Negotiator</t>
  </si>
  <si>
    <t>Michael Cudlitz</t>
  </si>
  <si>
    <t>hostage|innocence|murder|negotiator|police</t>
  </si>
  <si>
    <t>http://www.imdb.com/title/tt0120768/?ref_=fn_tt_tt_1</t>
  </si>
  <si>
    <t>Steven Quale</t>
  </si>
  <si>
    <t>Into the Storm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</si>
  <si>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</si>
  <si>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</si>
  <si>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</si>
  <si>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</si>
  <si>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</si>
  <si>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Beverly Hills Cop III</t>
  </si>
  <si>
    <t>Jon Tenney</t>
  </si>
  <si>
    <t>Gilbert R. Hill</t>
  </si>
  <si>
    <t>california|counterfeit|counterfeit money|money|theme park</t>
  </si>
  <si>
    <t>http://www.imdb.com/title/tt0109254/?ref_=fn_tt_tt_1</t>
  </si>
  <si>
    <t>Gremlins 2: The New Batch</t>
  </si>
  <si>
    <t>Robert Picardo</t>
  </si>
  <si>
    <t>Phoebe Cates</t>
  </si>
  <si>
    <t>gremlin|horror host|hulk hogan|monster|skyscraper</t>
  </si>
  <si>
    <t>http://www.imdb.com/title/tt0099700/?ref_=fn_tt_tt_1</t>
  </si>
  <si>
    <t>The Judge</t>
  </si>
  <si>
    <t>courtroom|dysfunctional family|indiana|lawyer|trial</t>
  </si>
  <si>
    <t>http://www.imdb.com/title/tt1872194/?ref_=fn_tt_tt_1</t>
  </si>
  <si>
    <t>The Peacemaker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</si>
  <si>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</si>
  <si>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</si>
  <si>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</si>
  <si>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</si>
  <si>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</si>
  <si>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</si>
  <si>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</si>
  <si>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</si>
  <si>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</si>
  <si>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</si>
  <si>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</si>
  <si>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</si>
  <si>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</si>
  <si>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</si>
  <si>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Out of Time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</si>
  <si>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</si>
  <si>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</si>
  <si>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</si>
  <si>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</si>
  <si>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</si>
  <si>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On Deadly Ground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</si>
  <si>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</si>
  <si>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</si>
  <si>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</si>
  <si>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</si>
  <si>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</si>
  <si>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</si>
  <si>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</si>
  <si>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</si>
  <si>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Danny Boyle</t>
  </si>
  <si>
    <t>The Beach</t>
  </si>
  <si>
    <t>Virginie Ledoyen</t>
  </si>
  <si>
    <t>Peter Youngblood Hills</t>
  </si>
  <si>
    <t>love|map|paradise|thailand|travel</t>
  </si>
  <si>
    <t>http://www.imdb.com/title/tt0163978/?ref_=fn_tt_tt_1</t>
  </si>
  <si>
    <t>Raising Helen</t>
  </si>
  <si>
    <t>fashion show|female protagonist|love|pastor|queens new york city</t>
  </si>
  <si>
    <t>http://www.imdb.com/title/tt0350028/?ref_=fn_tt_tt_1</t>
  </si>
  <si>
    <t>Ninja Assassin</t>
  </si>
  <si>
    <t>ShÃ´ Kosugi</t>
  </si>
  <si>
    <t>Ben Miles</t>
  </si>
  <si>
    <t>Rain</t>
  </si>
  <si>
    <t>critically bashed|kung fu|martial artist|martial arts|ninja</t>
  </si>
  <si>
    <t>http://www.imdb.com/title/tt1186367/?ref_=fn_tt_tt_1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</si>
  <si>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</si>
  <si>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</si>
  <si>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</si>
  <si>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</si>
  <si>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Andrew Bergman</t>
  </si>
  <si>
    <t>Striptease</t>
  </si>
  <si>
    <t>Comedy|Crime|Drama|Thriller</t>
  </si>
  <si>
    <t>Rumer Willis</t>
  </si>
  <si>
    <t>bouncer|breasts|congressman|private dancer|stripper</t>
  </si>
  <si>
    <t>http://www.imdb.com/title/tt0117765/?ref_=fn_tt_tt_1</t>
  </si>
  <si>
    <t>Marmaduke</t>
  </si>
  <si>
    <t>dog|great dane|rivalry|talking animal|talking cat</t>
  </si>
  <si>
    <t>http://www.imdb.com/title/tt1392197/?ref_=fn_tt_tt_1</t>
  </si>
  <si>
    <t>Hereafter</t>
  </si>
  <si>
    <t>Drama|Fantasy</t>
  </si>
  <si>
    <t>Jay Mohr</t>
  </si>
  <si>
    <t>death|france|near death experience|tsunami|twin brother</t>
  </si>
  <si>
    <t>http://www.imdb.com/title/tt1212419/?ref_=fn_tt_tt_1</t>
  </si>
  <si>
    <t>Barbet Schroeder</t>
  </si>
  <si>
    <t>Murder by Numbers</t>
  </si>
  <si>
    <t>Agnes Bruckner</t>
  </si>
  <si>
    <t>disposing of a dead body|high school student|murder|sociopath|teenage boy</t>
  </si>
  <si>
    <t>http://www.imdb.com/title/tt0264935/?ref_=fn_tt_tt_1</t>
  </si>
  <si>
    <t>Assassins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</si>
  <si>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</si>
  <si>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</si>
  <si>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</si>
  <si>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</si>
  <si>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</si>
  <si>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Hannibal Rising</t>
  </si>
  <si>
    <t>Stephen Walters</t>
  </si>
  <si>
    <t>Richard Brake</t>
  </si>
  <si>
    <t>aunt|cannibalism|faked death|medical student|revenge</t>
  </si>
  <si>
    <t>http://www.imdb.com/title/tt0367959/?ref_=fn_tt_tt_1</t>
  </si>
  <si>
    <t>The Story of Us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</si>
  <si>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</si>
  <si>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</si>
  <si>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</si>
  <si>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</si>
  <si>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</si>
  <si>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The Host</t>
  </si>
  <si>
    <t>J.D. Evermore</t>
  </si>
  <si>
    <t>Rachel Roberts</t>
  </si>
  <si>
    <t>alien|alien creature|body snatching|desert|parasite</t>
  </si>
  <si>
    <t>http://www.imdb.com/title/tt1517260/?ref_=fn_tt_tt_1</t>
  </si>
  <si>
    <t>Basic</t>
  </si>
  <si>
    <t>Harry Connick Jr.</t>
  </si>
  <si>
    <t>Tim Daly</t>
  </si>
  <si>
    <t>2000s|army|military crime|necklace yanked off|panama</t>
  </si>
  <si>
    <t>http://www.imdb.com/title/tt0264395/?ref_=fn_tt_tt_1</t>
  </si>
  <si>
    <t>Blood Work</t>
  </si>
  <si>
    <t>Rick Hoffman</t>
  </si>
  <si>
    <t>boat|heart transplant|murder|serial killer|sister</t>
  </si>
  <si>
    <t>http://www.imdb.com/title/tt0309377/?ref_=fn_tt_tt_1</t>
  </si>
  <si>
    <t>The International</t>
  </si>
  <si>
    <t>bank|chase|district attorney|interpol|murder</t>
  </si>
  <si>
    <t>http://www.imdb.com/title/tt0963178/?ref_=fn_tt_tt_1</t>
  </si>
  <si>
    <t>John Carpenter</t>
  </si>
  <si>
    <t>Escape from L.A.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</si>
  <si>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</si>
  <si>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</si>
  <si>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</si>
  <si>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</si>
  <si>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The Iron Giant</t>
  </si>
  <si>
    <t>M. Emmet Walsh</t>
  </si>
  <si>
    <t>boy|friend|government agent|maine|robot</t>
  </si>
  <si>
    <t>http://www.imdb.com/title/tt0129167/?ref_=fn_tt_tt_1</t>
  </si>
  <si>
    <t>Wes Anderson</t>
  </si>
  <si>
    <t>The Life Aquatic with Steve Zissou</t>
  </si>
  <si>
    <t>Adventure|Comedy|Drama</t>
  </si>
  <si>
    <t>expedition|oceanographer|sea|shark|team</t>
  </si>
  <si>
    <t>http://www.imdb.com/title/tt0362270/?ref_=fn_tt_tt_1</t>
  </si>
  <si>
    <t>Free State of Jones</t>
  </si>
  <si>
    <t>Action|Biography|Drama|History|War</t>
  </si>
  <si>
    <t>Donald Watkins</t>
  </si>
  <si>
    <t>Jessica Collins</t>
  </si>
  <si>
    <t>american civil war|civil war|u.s. civil war</t>
  </si>
  <si>
    <t>http://www.imdb.com/title/tt1124037/?ref_=fn_tt_tt_1</t>
  </si>
  <si>
    <t>The Life of David Gale</t>
  </si>
  <si>
    <t>activist|death|death row|murder|texas</t>
  </si>
  <si>
    <t>http://www.imdb.com/title/tt0289992/?ref_=fn_tt_tt_1</t>
  </si>
  <si>
    <t>Man of the House</t>
  </si>
  <si>
    <t>Vanessa Ferlito</t>
  </si>
  <si>
    <t>cheerleader|cheerleading movie|neo noir|neo western|texas ranger</t>
  </si>
  <si>
    <t>http://www.imdb.com/title/tt0331933/?ref_=fn_tt_tt_1</t>
  </si>
  <si>
    <t>Run All Night</t>
  </si>
  <si>
    <t>death|drug dealer|limousine|limousine driver|one night</t>
  </si>
  <si>
    <t>http://www.imdb.com/title/tt2199571/?ref_=fn_tt_tt_1</t>
  </si>
  <si>
    <t>David Cronenberg</t>
  </si>
  <si>
    <t>Eastern Promises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</si>
  <si>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</si>
  <si>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</si>
  <si>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</si>
  <si>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</si>
  <si>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</t>
  </si>
  <si>
    <t>bahamas|blood splatter|cocaine|hairy chest|shark</t>
  </si>
  <si>
    <t>http://www.imdb.com/title/tt0378109/?ref_=fn_tt_tt_1</t>
  </si>
  <si>
    <t>The Messenger: The Story of Joan of Arc</t>
  </si>
  <si>
    <t>Paul Brooke</t>
  </si>
  <si>
    <t>David Bailie</t>
  </si>
  <si>
    <t>Rab Affleck</t>
  </si>
  <si>
    <t>cathedral|dauphin|france|trial|wartime rape</t>
  </si>
  <si>
    <t>http://www.imdb.com/title/tt0151137/?ref_=fn_tt_tt_1</t>
  </si>
  <si>
    <t>David Gordon Green</t>
  </si>
  <si>
    <t>Your Highness</t>
  </si>
  <si>
    <t>Adventure|Comedy|Fantasy</t>
  </si>
  <si>
    <t>knight|prince|quest|rescue|thong bikini</t>
  </si>
  <si>
    <t>http://www.imdb.com/title/tt1240982/?ref_=fn_tt_tt_1</t>
  </si>
  <si>
    <t>Jim Sheridan</t>
  </si>
  <si>
    <t>Dream House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</si>
  <si>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</si>
  <si>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</si>
  <si>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</si>
  <si>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</si>
  <si>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Mad City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</si>
  <si>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</si>
  <si>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</si>
  <si>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</si>
  <si>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</si>
  <si>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Baby's Day Out</t>
  </si>
  <si>
    <t>Adventure|Comedy|Crime|Drama|Family</t>
  </si>
  <si>
    <t>Lara Flynn Boyle</t>
  </si>
  <si>
    <t>Cynthia Nixon</t>
  </si>
  <si>
    <t>baby|baby boy|kidnapping|kidnapping a child|taxi</t>
  </si>
  <si>
    <t>http://www.imdb.com/title/tt0109190/?ref_=fn_tt_tt_1</t>
  </si>
  <si>
    <t>Roland JoffÃ©</t>
  </si>
  <si>
    <t>The Scarlet Letter</t>
  </si>
  <si>
    <t>17th century|adultery|letter|pubic hair|swimming</t>
  </si>
  <si>
    <t>http://www.imdb.com/title/tt0114345/?ref_=fn_tt_tt_1</t>
  </si>
  <si>
    <t>Fair Game</t>
  </si>
  <si>
    <t>bush administration|cia|interview|iraq|new york times</t>
  </si>
  <si>
    <t>http://www.imdb.com/title/tt0977855/?ref_=fn_tt_tt_1</t>
  </si>
  <si>
    <t>Domino</t>
  </si>
  <si>
    <t>Action|Biography|Crime|Drama|Thriller</t>
  </si>
  <si>
    <t>Ian Ziering</t>
  </si>
  <si>
    <t>Mo'Nique</t>
  </si>
  <si>
    <t>bounty hunter|fbi|female bounty hunter|female nudity|reality show</t>
  </si>
  <si>
    <t>http://www.imdb.com/title/tt0421054/?ref_=fn_tt_tt_1</t>
  </si>
  <si>
    <t>Jade</t>
  </si>
  <si>
    <t>blackmail|investigation|murder|panties pulled down|prostitution</t>
  </si>
  <si>
    <t>http://www.imdb.com/title/tt0113451/?ref_=fn_tt_tt_1</t>
  </si>
  <si>
    <t>Gamer</t>
  </si>
  <si>
    <t>battle|convict|death|mind control|role playing</t>
  </si>
  <si>
    <t>http://www.imdb.com/title/tt1034032/?ref_=fn_tt_tt_1</t>
  </si>
  <si>
    <t>Richard LaGravenese</t>
  </si>
  <si>
    <t>Beautiful Creatures</t>
  </si>
  <si>
    <t>Alden Ehrenreich</t>
  </si>
  <si>
    <t>Zoey Deutch</t>
  </si>
  <si>
    <t>Pruitt Taylor Vince</t>
  </si>
  <si>
    <t>dream|escape|magic|magic spell|small town</t>
  </si>
  <si>
    <t>http://www.imdb.com/title/tt1559547/?ref_=fn_tt_tt_1</t>
  </si>
  <si>
    <t>Danny DeVito</t>
  </si>
  <si>
    <t>Death to Smoochy</t>
  </si>
  <si>
    <t>children|children's tv show|money|revenge|scandal</t>
  </si>
  <si>
    <t>http://www.imdb.com/title/tt0266452/?ref_=fn_tt_tt_1</t>
  </si>
  <si>
    <t>Zoolander 2</t>
  </si>
  <si>
    <t>chosen one|fashion|fashion model|model|retired</t>
  </si>
  <si>
    <t>http://www.imdb.com/title/tt1608290/?ref_=fn_tt_tt_1</t>
  </si>
  <si>
    <t>George Armitage</t>
  </si>
  <si>
    <t>The Big Bounce</t>
  </si>
  <si>
    <t>Andrew Wilson</t>
  </si>
  <si>
    <t>Willie Nelson</t>
  </si>
  <si>
    <t>breasts|consensual sex|female nudity|judge|surfer</t>
  </si>
  <si>
    <t>http://www.imdb.com/title/tt0315824/?ref_=fn_tt_tt_1</t>
  </si>
  <si>
    <t>What Planet Are You From?</t>
  </si>
  <si>
    <t>Comedy|Sci-Fi</t>
  </si>
  <si>
    <t>alien|baby|banker|pregnancy|question in title</t>
  </si>
  <si>
    <t>http://www.imdb.com/title/tt0181151/?ref_=fn_tt_tt_1</t>
  </si>
  <si>
    <t>Patrick Lussier</t>
  </si>
  <si>
    <t>Drive Angry</t>
  </si>
  <si>
    <t>baby|cult|oklahoma|sex scene|waitress</t>
  </si>
  <si>
    <t>http://www.imdb.com/title/tt1502404/?ref_=fn_tt_tt_1</t>
  </si>
  <si>
    <t>Street Fighter: The Legend of Chun-Li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</si>
  <si>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</si>
  <si>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</si>
  <si>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</si>
  <si>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</si>
  <si>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</si>
  <si>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The One</t>
  </si>
  <si>
    <t>fight|multiverse|police|police officer|prison</t>
  </si>
  <si>
    <t>http://www.imdb.com/title/tt0267804/?ref_=fn_tt_tt_1</t>
  </si>
  <si>
    <t>The Adventures of Ford Fairlane</t>
  </si>
  <si>
    <t>Action|Adventure|Comedy|Crime|Music|Mystery</t>
  </si>
  <si>
    <t>Gilbert Gottfried</t>
  </si>
  <si>
    <t>David Patrick Kelly</t>
  </si>
  <si>
    <t>detective|groupie|murder|music industry|rock n roll</t>
  </si>
  <si>
    <t>http://www.imdb.com/title/tt0098987/?ref_=fn_tt_tt_1</t>
  </si>
  <si>
    <t>Traffic</t>
  </si>
  <si>
    <t>Jacob Vargas</t>
  </si>
  <si>
    <t>James Lew</t>
  </si>
  <si>
    <t>cocaine|drug smuggling|interlinked stories|judge|mexico</t>
  </si>
  <si>
    <t>http://www.imdb.com/title/tt0181865/?ref_=fn_tt_tt_1</t>
  </si>
  <si>
    <t>Indiana Jones and the Last Crusade</t>
  </si>
  <si>
    <t>Alison Doody</t>
  </si>
  <si>
    <t>castle|diary|holy grail|map|nazi</t>
  </si>
  <si>
    <t>http://www.imdb.com/title/tt0097576/?ref_=fn_tt_tt_1</t>
  </si>
  <si>
    <t>Chappie</t>
  </si>
  <si>
    <t>Action|Crime|Drama|Sci-Fi|Thriller</t>
  </si>
  <si>
    <t>artificial intelligence|consciousness|future|mind uploading|robot</t>
  </si>
  <si>
    <t>http://www.imdb.com/title/tt1823672/?ref_=fn_tt_tt_1</t>
  </si>
  <si>
    <t>The Bone Collector</t>
  </si>
  <si>
    <t>Leland Orser</t>
  </si>
  <si>
    <t>new york city|police|quadriplegic|serial killer|suicide</t>
  </si>
  <si>
    <t>http://www.imdb.com/title/tt0145681/?ref_=fn_tt_tt_1</t>
  </si>
  <si>
    <t>Panic Room</t>
  </si>
  <si>
    <t>Dwight Yoakam</t>
  </si>
  <si>
    <t>Mel Rodriguez</t>
  </si>
  <si>
    <t>brownstone|burglar|money|panic|panic room</t>
  </si>
  <si>
    <t>http://www.imdb.com/title/tt0258000/?ref_=fn_tt_tt_1</t>
  </si>
  <si>
    <t>Three Kings</t>
  </si>
  <si>
    <t>Action|Adventure|Comedy|Drama|War</t>
  </si>
  <si>
    <t>Mykelti Williamson</t>
  </si>
  <si>
    <t>gold|gulf war|iraq|kuwait|map</t>
  </si>
  <si>
    <t>http://www.imdb.com/title/tt0120188/?ref_=fn_tt_tt_1</t>
  </si>
  <si>
    <t>Child 44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</si>
  <si>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</si>
  <si>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</si>
  <si>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</si>
  <si>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</si>
  <si>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</si>
  <si>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Rat Race</t>
  </si>
  <si>
    <t>Corinna Harney</t>
  </si>
  <si>
    <t>Douglas Haase</t>
  </si>
  <si>
    <t>Vince Vieluf</t>
  </si>
  <si>
    <t>casino|locker|money|museum|race</t>
  </si>
  <si>
    <t>http://www.imdb.com/title/tt0250687/?ref_=fn_tt_tt_1</t>
  </si>
  <si>
    <t>K-PAX</t>
  </si>
  <si>
    <t>Drama|Mystery|Sci-Fi</t>
  </si>
  <si>
    <t>extraterrestrial|hospital|patient|planet|science</t>
  </si>
  <si>
    <t>http://www.imdb.com/title/tt0272152/?ref_=fn_tt_tt_1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</si>
  <si>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</si>
  <si>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</si>
  <si>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</si>
  <si>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</si>
  <si>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Bedazzled</t>
  </si>
  <si>
    <t>Frances O'Connor</t>
  </si>
  <si>
    <t>Brian Doyle-Murray</t>
  </si>
  <si>
    <t>contract|devil|dream|soul|wish</t>
  </si>
  <si>
    <t>http://www.imdb.com/title/tt0230030/?ref_=fn_tt_tt_1</t>
  </si>
  <si>
    <t>The Cotton Club</t>
  </si>
  <si>
    <t>Crime|Drama|Music</t>
  </si>
  <si>
    <t>Fred Gwynne</t>
  </si>
  <si>
    <t>brothers hugging|jazz|jealousy|nudity|parole violation</t>
  </si>
  <si>
    <t>http://www.imdb.com/title/tt0087089/?ref_=fn_tt_tt_1</t>
  </si>
  <si>
    <t>3:10 to Yuma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</si>
  <si>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</si>
  <si>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</si>
  <si>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</si>
  <si>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</si>
  <si>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</si>
  <si>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Taken 3</t>
  </si>
  <si>
    <t>Jon Gries</t>
  </si>
  <si>
    <t>betrayal|death|final showdown|murder|on the run</t>
  </si>
  <si>
    <t>http://www.imdb.com/title/tt2446042/?ref_=fn_tt_tt_1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</si>
  <si>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</si>
  <si>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</si>
  <si>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</si>
  <si>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</si>
  <si>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The Cable Guy</t>
  </si>
  <si>
    <t>Comedy|Drama|Thriller</t>
  </si>
  <si>
    <t>Andy Dick</t>
  </si>
  <si>
    <t>cable guy|foreplay|friend|kissing|television</t>
  </si>
  <si>
    <t>http://www.imdb.com/title/tt0115798/?ref_=fn_tt_tt_1</t>
  </si>
  <si>
    <t>Dick Tracy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</si>
  <si>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</si>
  <si>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</si>
  <si>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</si>
  <si>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</si>
  <si>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The Thomas Crown Affair</t>
  </si>
  <si>
    <t>Crime|Romance|Thriller</t>
  </si>
  <si>
    <t>Faye Dunaway</t>
  </si>
  <si>
    <t>art|insurance investigator|martinique|painting|trust</t>
  </si>
  <si>
    <t>http://www.imdb.com/title/tt0155267/?ref_=fn_tt_tt_1</t>
  </si>
  <si>
    <t>Penny Marshall</t>
  </si>
  <si>
    <t>Riding in Cars with Boys</t>
  </si>
  <si>
    <t>Adam Garcia</t>
  </si>
  <si>
    <t>Alissa Dean</t>
  </si>
  <si>
    <t>boy|college|heroin|working class|writer</t>
  </si>
  <si>
    <t>http://www.imdb.com/title/tt0200027/?ref_=fn_tt_tt_1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</si>
  <si>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</si>
  <si>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</si>
  <si>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</si>
  <si>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</si>
  <si>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Stephen Frears</t>
  </si>
  <si>
    <t>Mary Reilly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</si>
  <si>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</si>
  <si>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</si>
  <si>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</si>
  <si>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</si>
  <si>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</si>
  <si>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</si>
  <si>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</si>
  <si>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</si>
  <si>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America's Sweethearts</t>
  </si>
  <si>
    <t>actor|love|movie star|press|publicist</t>
  </si>
  <si>
    <t>http://www.imdb.com/title/tt0265029/?ref_=fn_tt_tt_1</t>
  </si>
  <si>
    <t>Insomnia</t>
  </si>
  <si>
    <t>Crystal Lowe</t>
  </si>
  <si>
    <t>detective|insomnia|murder|partner|police</t>
  </si>
  <si>
    <t>http://www.imdb.com/title/tt0278504/?ref_=fn_tt_tt_1</t>
  </si>
  <si>
    <t>Star Trek: First Contact</t>
  </si>
  <si>
    <t>Action|Adventure|Drama|Sci-Fi|Thriller</t>
  </si>
  <si>
    <t>21st century|borg|borg sphere|captain|sphere</t>
  </si>
  <si>
    <t>http://www.imdb.com/title/tt0117731/?ref_=fn_tt_tt_1</t>
  </si>
  <si>
    <t>Jonah Hex</t>
  </si>
  <si>
    <t>Action|Drama|Fantasy|Thriller|Western</t>
  </si>
  <si>
    <t>Billy Blair</t>
  </si>
  <si>
    <t>Julia Jones</t>
  </si>
  <si>
    <t>confederate|death|independence day|military|terrorist</t>
  </si>
  <si>
    <t>http://www.imdb.com/title/tt1075747/?ref_=fn_tt_tt_1</t>
  </si>
  <si>
    <t>Courage Under Fire</t>
  </si>
  <si>
    <t>Action|Drama|Mystery|Thriller|War</t>
  </si>
  <si>
    <t>bravery|honor|medal of honor|military life|unreliable flashback</t>
  </si>
  <si>
    <t>http://www.imdb.com/title/tt0115956/?ref_=fn_tt_tt_1</t>
  </si>
  <si>
    <t>Liar Liar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</si>
  <si>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</si>
  <si>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</si>
  <si>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</si>
  <si>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</si>
  <si>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The Flintstones</t>
  </si>
  <si>
    <t>1000000 b.c.|box office hit|lawn mowing|product placement|stone age</t>
  </si>
  <si>
    <t>http://www.imdb.com/title/tt0109813/?ref_=fn_tt_tt_1</t>
  </si>
  <si>
    <t>Taken 2</t>
  </si>
  <si>
    <t>Luke Grimes</t>
  </si>
  <si>
    <t>albanian|revenge|revenge motive|teenage daughter|vacation</t>
  </si>
  <si>
    <t>http://www.imdb.com/title/tt1397280/?ref_=fn_tt_tt_1</t>
  </si>
  <si>
    <t>David Zucker</t>
  </si>
  <si>
    <t>Scary Movie 3</t>
  </si>
  <si>
    <t>Regina Hall</t>
  </si>
  <si>
    <t>Pamela Anderson</t>
  </si>
  <si>
    <t>Jenny McCarthy</t>
  </si>
  <si>
    <t>crop circle|farm|orchestral music score|reference to michael jackson|videotape</t>
  </si>
  <si>
    <t>http://www.imdb.com/title/tt0306047/?ref_=fn_tt_tt_1</t>
  </si>
  <si>
    <t>Miss Congeniality</t>
  </si>
  <si>
    <t>Action|Comedy|Crime|Romance</t>
  </si>
  <si>
    <t>Candice Bergen</t>
  </si>
  <si>
    <t>Wendy Raquel Robinson</t>
  </si>
  <si>
    <t>Heather Burns</t>
  </si>
  <si>
    <t>beauty pageant|fbi|female agent|pageant|undercover</t>
  </si>
  <si>
    <t>http://www.imdb.com/title/tt0212346/?ref_=fn_tt_tt_1</t>
  </si>
  <si>
    <t>Journey to the Center of the Earth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</si>
  <si>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</si>
  <si>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</si>
  <si>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</si>
  <si>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</si>
  <si>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The Princess Diaries 2: Royal Engagement</t>
  </si>
  <si>
    <t>coronation|horse|princess|queen|side saddle</t>
  </si>
  <si>
    <t>http://www.imdb.com/title/tt0368933/?ref_=fn_tt_tt_1</t>
  </si>
  <si>
    <t>The Pelican Brief</t>
  </si>
  <si>
    <t>college professor|fbi|president|professor|supreme court</t>
  </si>
  <si>
    <t>http://www.imdb.com/title/tt0107798/?ref_=fn_tt_tt_1</t>
  </si>
  <si>
    <t>The Client</t>
  </si>
  <si>
    <t>Brad Renfro</t>
  </si>
  <si>
    <t>boy|brother|lawyer|mafia|senator</t>
  </si>
  <si>
    <t>http://www.imdb.com/title/tt0109446/?ref_=fn_tt_tt_1</t>
  </si>
  <si>
    <t>The Bucket List</t>
  </si>
  <si>
    <t>Noel Gugliemi</t>
  </si>
  <si>
    <t>billionaire|friend|hospital|list|mechanic</t>
  </si>
  <si>
    <t>http://www.imdb.com/title/tt0825232/?ref_=fn_tt_tt_1</t>
  </si>
  <si>
    <t>Patriot Games</t>
  </si>
  <si>
    <t>Patrick Bergin</t>
  </si>
  <si>
    <t>analyst|cia|ira|terrorist|terrorist attack</t>
  </si>
  <si>
    <t>http://www.imdb.com/title/tt0105112/?ref_=fn_tt_tt_1</t>
  </si>
  <si>
    <t>Monster-in-Law</t>
  </si>
  <si>
    <t>Jane Fonda</t>
  </si>
  <si>
    <t>breakdown|fight|mother in law|scheme|wedding</t>
  </si>
  <si>
    <t>http://www.imdb.com/title/tt0369735/?ref_=fn_tt_tt_1</t>
  </si>
  <si>
    <t>Denis Villeneuve</t>
  </si>
  <si>
    <t>Prisoners</t>
  </si>
  <si>
    <t>child abduction|detective|investigation|police|sex offender</t>
  </si>
  <si>
    <t>http://www.imdb.com/title/tt1392214/?ref_=fn_tt_tt_1</t>
  </si>
  <si>
    <t>Training Day</t>
  </si>
  <si>
    <t>Tom Berenger</t>
  </si>
  <si>
    <t>lapd|narc|narcotics|title spoken by character|training</t>
  </si>
  <si>
    <t>http://www.imdb.com/title/tt0139654/?ref_=fn_tt_tt_1</t>
  </si>
  <si>
    <t>Galaxy Quest</t>
  </si>
  <si>
    <t>Enrico Colantoni</t>
  </si>
  <si>
    <t>Robin Sachs</t>
  </si>
  <si>
    <t>alien|alien race|convention|fan|general</t>
  </si>
  <si>
    <t>http://www.imdb.com/title/tt0177789/?ref_=fn_tt_tt_1</t>
  </si>
  <si>
    <t>Scary Movie 2</t>
  </si>
  <si>
    <t>blow job|demon|exorcism|priest|professor</t>
  </si>
  <si>
    <t>http://www.imdb.com/title/tt0257106/?ref_=fn_tt_tt_1</t>
  </si>
  <si>
    <t>The Muppets</t>
  </si>
  <si>
    <t>Adventure|Comedy|Family|Musical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</si>
  <si>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</si>
  <si>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</si>
  <si>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</si>
  <si>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</si>
  <si>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Blade</t>
  </si>
  <si>
    <t>Action|Horror</t>
  </si>
  <si>
    <t>Traci Lords</t>
  </si>
  <si>
    <t>1990s|blade|blood|vampire|vampire hunter</t>
  </si>
  <si>
    <t>http://www.imdb.com/title/tt0120611/?ref_=fn_tt_tt_1</t>
  </si>
  <si>
    <t>Thomas Carter</t>
  </si>
  <si>
    <t>Coach Carter</t>
  </si>
  <si>
    <t>Robert Ri'chard</t>
  </si>
  <si>
    <t>basketball|basketball coach|coach|contract|high school</t>
  </si>
  <si>
    <t>http://www.imdb.com/title/tt0393162/?ref_=fn_tt_tt_1</t>
  </si>
  <si>
    <t>Roger Michell</t>
  </si>
  <si>
    <t>Changing Lanes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</si>
  <si>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</si>
  <si>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</si>
  <si>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</si>
  <si>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</si>
  <si>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</si>
  <si>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Anaconda</t>
  </si>
  <si>
    <t>Action|Adventure|Horror|Thriller</t>
  </si>
  <si>
    <t>Eric Stoltz</t>
  </si>
  <si>
    <t>Kari Wuhrer</t>
  </si>
  <si>
    <t>amazon|anaconda|boat|jungle|snake</t>
  </si>
  <si>
    <t>http://www.imdb.com/title/tt0118615/?ref_=fn_tt_tt_1</t>
  </si>
  <si>
    <t>Coyote Ugly</t>
  </si>
  <si>
    <t>Comedy|Drama|Music|Romance</t>
  </si>
  <si>
    <t>Tyra Banks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</si>
  <si>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</si>
  <si>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</si>
  <si>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</si>
  <si>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</si>
  <si>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</t>
  </si>
  <si>
    <t>Kris Marshall</t>
  </si>
  <si>
    <t>aging rocker|christmas|love at first sight|minister|prime minister</t>
  </si>
  <si>
    <t>http://www.imdb.com/title/tt0314331/?ref_=fn_tt_tt_1</t>
  </si>
  <si>
    <t>A Bug's Life</t>
  </si>
  <si>
    <t>Madeline Kahn</t>
  </si>
  <si>
    <t>ant|circus|grasshopper|misunderstanding|overhearing</t>
  </si>
  <si>
    <t>http://www.imdb.com/title/tt0120623/?ref_=fn_tt_tt_1</t>
  </si>
  <si>
    <t>From Hell</t>
  </si>
  <si>
    <t>Ian Richardson</t>
  </si>
  <si>
    <t>freemason|jack the ripper|opium|prostitute|victorian era</t>
  </si>
  <si>
    <t>http://www.imdb.com/title/tt0120681/?ref_=fn_tt_tt_1</t>
  </si>
  <si>
    <t>The Specialist</t>
  </si>
  <si>
    <t>Action|Crime|Drama|Romance|Thriller</t>
  </si>
  <si>
    <t>Rod Steiger</t>
  </si>
  <si>
    <t>Emilio Estefan Jr.</t>
  </si>
  <si>
    <t>bomb|cia|explosive|explosives expert|miami florida</t>
  </si>
  <si>
    <t>http://www.imdb.com/title/tt0111255/?ref_=fn_tt_tt_1</t>
  </si>
  <si>
    <t>Peru</t>
  </si>
  <si>
    <t>Tin Cup</t>
  </si>
  <si>
    <t>Don Johnson</t>
  </si>
  <si>
    <t>driving range|golf|golfer|tournament|winnebago</t>
  </si>
  <si>
    <t>http://www.imdb.com/title/tt0117918/?ref_=fn_tt_tt_1</t>
  </si>
  <si>
    <t>Kicking &amp; Screaming</t>
  </si>
  <si>
    <t>Comedy|Family|Romance|Sport</t>
  </si>
  <si>
    <t>book|child|slapstick comedy|soccer|suburb</t>
  </si>
  <si>
    <t>http://www.imdb.com/title/tt0384642/?ref_=fn_tt_tt_1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</si>
  <si>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</si>
  <si>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</si>
  <si>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</si>
  <si>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</si>
  <si>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Joel Zwick</t>
  </si>
  <si>
    <t>Fat Albert</t>
  </si>
  <si>
    <t>Nick Zano</t>
  </si>
  <si>
    <t>animated sequence|junkyard|love|party|television</t>
  </si>
  <si>
    <t>http://www.imdb.com/title/tt0396592/?ref_=fn_tt_tt_1</t>
  </si>
  <si>
    <t>Russell Mulcahy</t>
  </si>
  <si>
    <t>Resident Evil: Extinction</t>
  </si>
  <si>
    <t>James Tumminia</t>
  </si>
  <si>
    <t>clone|convoy|crow|desert|satellite</t>
  </si>
  <si>
    <t>http://www.imdb.com/title/tt0432021/?ref_=fn_tt_tt_1</t>
  </si>
  <si>
    <t>Blended</t>
  </si>
  <si>
    <t>Joel McHale</t>
  </si>
  <si>
    <t>blind date|children|date|daughter|son</t>
  </si>
  <si>
    <t>http://www.imdb.com/title/tt1086772/?ref_=fn_tt_tt_1</t>
  </si>
  <si>
    <t>Last Holiday</t>
  </si>
  <si>
    <t>chef|congressman|cook|hotel|senator</t>
  </si>
  <si>
    <t>http://www.imdb.com/title/tt0408985/?ref_=fn_tt_tt_1</t>
  </si>
  <si>
    <t>The River Wild</t>
  </si>
  <si>
    <t>William Lucking</t>
  </si>
  <si>
    <t>criminal|rafting|river|robber|white water rafting</t>
  </si>
  <si>
    <t>http://www.imdb.com/title/tt0110997/?ref_=fn_tt_tt_1</t>
  </si>
  <si>
    <t>The Indian in the Cupboard</t>
  </si>
  <si>
    <t>Drama|Family|Fantasy</t>
  </si>
  <si>
    <t>Vincent Kartheiser</t>
  </si>
  <si>
    <t>best friend|birthday|boy|friend|magic</t>
  </si>
  <si>
    <t>http://www.imdb.com/title/tt0113419/?ref_=fn_tt_tt_1</t>
  </si>
  <si>
    <t>Savages</t>
  </si>
  <si>
    <t>DemiÃ¡n Bichir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</si>
  <si>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</si>
  <si>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</si>
  <si>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</si>
  <si>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</si>
  <si>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</si>
  <si>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Cellular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</si>
  <si>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</si>
  <si>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</si>
  <si>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</si>
  <si>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</si>
  <si>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</si>
  <si>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Johnny English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</si>
  <si>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</si>
  <si>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</si>
  <si>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</si>
  <si>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</si>
  <si>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</si>
  <si>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The Ant Bully</t>
  </si>
  <si>
    <t>ant|miniaturization|punishment|shrinking|sudden change in size</t>
  </si>
  <si>
    <t>http://www.imdb.com/title/tt0429589/?ref_=fn_tt_tt_1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</si>
  <si>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</si>
  <si>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</si>
  <si>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</si>
  <si>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</si>
  <si>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</si>
  <si>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Julie Taymor</t>
  </si>
  <si>
    <t>Across the Universe</t>
  </si>
  <si>
    <t>Drama|Fantasy|Musical|Romance</t>
  </si>
  <si>
    <t>T.V. Carpio</t>
  </si>
  <si>
    <t>Robert Clohessy</t>
  </si>
  <si>
    <t>anti war|liverpool|love|protest|song</t>
  </si>
  <si>
    <t>http://www.imdb.com/title/tt0445922/?ref_=fn_tt_tt_1</t>
  </si>
  <si>
    <t>Revolutionary Road</t>
  </si>
  <si>
    <t>Joe Komara</t>
  </si>
  <si>
    <t>based on novel|children|connecticut|suburb|work</t>
  </si>
  <si>
    <t>http://www.imdb.com/title/tt0959337/?ref_=fn_tt_tt_1</t>
  </si>
  <si>
    <t>16 Blocks</t>
  </si>
  <si>
    <t>alcoholic|courthouse|detective|jail|witness</t>
  </si>
  <si>
    <t>http://www.imdb.com/title/tt0450232/?ref_=fn_tt_tt_1</t>
  </si>
  <si>
    <t>Mathieu Kassovitz</t>
  </si>
  <si>
    <t>Babylon A.D.</t>
  </si>
  <si>
    <t>David Belle</t>
  </si>
  <si>
    <t>box office flop|convent|mercenary|new york|pregnant</t>
  </si>
  <si>
    <t>http://www.imdb.com/title/tt0364970/?ref_=fn_tt_tt_1</t>
  </si>
  <si>
    <t>John Gray</t>
  </si>
  <si>
    <t>The Glimmer Man</t>
  </si>
  <si>
    <t>Alexa PenaVega</t>
  </si>
  <si>
    <t>detective|heavy rain|murder|partner|serial killer</t>
  </si>
  <si>
    <t>http://www.imdb.com/title/tt0116421/?ref_=fn_tt_tt_1</t>
  </si>
  <si>
    <t>Multiplicity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</si>
  <si>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</si>
  <si>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</si>
  <si>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</si>
  <si>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</si>
  <si>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</si>
  <si>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Aliens in the Attic</t>
  </si>
  <si>
    <t>Adventure|Comedy|Family|Fantasy|Sci-Fi</t>
  </si>
  <si>
    <t>Malese Jow</t>
  </si>
  <si>
    <t>Carter Jenkins</t>
  </si>
  <si>
    <t>alien|attic|boyfriend|mind control|nintendo ds</t>
  </si>
  <si>
    <t>http://www.imdb.com/title/tt0775552/?ref_=fn_tt_tt_1</t>
  </si>
  <si>
    <t>Sean Penn</t>
  </si>
  <si>
    <t>The Pledge</t>
  </si>
  <si>
    <t>Costas Mandylor</t>
  </si>
  <si>
    <t>Adrien Dorval</t>
  </si>
  <si>
    <t>Nels Lennarson</t>
  </si>
  <si>
    <t>nevada|pledge|police|porcupine|search</t>
  </si>
  <si>
    <t>http://www.imdb.com/title/tt0237572/?ref_=fn_tt_tt_1</t>
  </si>
  <si>
    <t>Susan Stroman</t>
  </si>
  <si>
    <t>The Producers</t>
  </si>
  <si>
    <t>Comedy|Musical</t>
  </si>
  <si>
    <t>accountant|money|opening night|scheme|swedish</t>
  </si>
  <si>
    <t>http://www.imdb.com/title/tt0395251/?ref_=fn_tt_tt_1</t>
  </si>
  <si>
    <t>Simon Wincer</t>
  </si>
  <si>
    <t>The Phantom</t>
  </si>
  <si>
    <t>Kristy Swanson</t>
  </si>
  <si>
    <t>ghost|new york city|phantom|skull|superhero</t>
  </si>
  <si>
    <t>http://www.imdb.com/title/tt0117331/?ref_=fn_tt_tt_1</t>
  </si>
  <si>
    <t>Billy Bob Thornton</t>
  </si>
  <si>
    <t>All the Pretty Horses</t>
  </si>
  <si>
    <t>Henry Thomas</t>
  </si>
  <si>
    <t>1940s|cowboy|mexico|railway station|texas</t>
  </si>
  <si>
    <t>http://www.imdb.com/title/tt0149624/?ref_=fn_tt_tt_1</t>
  </si>
  <si>
    <t>Nixon</t>
  </si>
  <si>
    <t>Biography|Drama|History</t>
  </si>
  <si>
    <t>courtship|election|paranoia|president|quaker</t>
  </si>
  <si>
    <t>http://www.imdb.com/title/tt0113987/?ref_=fn_tt_tt_1</t>
  </si>
  <si>
    <t>The Ghost Writer</t>
  </si>
  <si>
    <t>british prime minister|death|island|memoir|writer</t>
  </si>
  <si>
    <t>http://www.imdb.com/title/tt1139328/?ref_=fn_tt_tt_1</t>
  </si>
  <si>
    <t>Deep Rising</t>
  </si>
  <si>
    <t>creature feature|hijacker|ocean|ship|shot in the leg</t>
  </si>
  <si>
    <t>http://www.imdb.com/title/tt0118956/?ref_=fn_tt_tt_1</t>
  </si>
  <si>
    <t>Miracle at St. Anna</t>
  </si>
  <si>
    <t>Action|Crime|Drama|Thriller|War</t>
  </si>
  <si>
    <t>Omari Hardwick</t>
  </si>
  <si>
    <t>Laz Alonso</t>
  </si>
  <si>
    <t>boy|german soldier|partisan|trapped|village</t>
  </si>
  <si>
    <t>http://www.imdb.com/title/tt1046997/?ref_=fn_tt_tt_1</t>
  </si>
  <si>
    <t>Curse of the Golden Flower</t>
  </si>
  <si>
    <t>Ye Liu</t>
  </si>
  <si>
    <t>Man Li</t>
  </si>
  <si>
    <t>china|chrysanthemum|emperor|empress|prince</t>
  </si>
  <si>
    <t>http://www.imdb.com/title/tt0473444/?ref_=fn_tt_tt_1</t>
  </si>
  <si>
    <t>Danny Pang</t>
  </si>
  <si>
    <t>Bangkok Dangerous</t>
  </si>
  <si>
    <t>Charlie Yeung</t>
  </si>
  <si>
    <t>James With</t>
  </si>
  <si>
    <t>deaf|hitman|nightclub|pickpocket|rules of profession</t>
  </si>
  <si>
    <t>http://www.imdb.com/title/tt0814022/?ref_=fn_tt_tt_1</t>
  </si>
  <si>
    <t>Big Trouble</t>
  </si>
  <si>
    <t>Comedy|Crime|Thriller</t>
  </si>
  <si>
    <t>Omar Epps</t>
  </si>
  <si>
    <t>airport|fbi agent|person in a car trunk|suitcase|suitcase bomb</t>
  </si>
  <si>
    <t>http://www.imdb.com/title/tt0246464/?ref_=fn_tt_tt_1</t>
  </si>
  <si>
    <t>Love in the Time of Cholera</t>
  </si>
  <si>
    <t>Marcela Mar</t>
  </si>
  <si>
    <t>Giovanna Mezzogiorno</t>
  </si>
  <si>
    <t>Unax Ugalde</t>
  </si>
  <si>
    <t>19th century|colombia|love|marriage|widow</t>
  </si>
  <si>
    <t>http://www.imdb.com/title/tt0484740/?ref_=fn_tt_tt_1</t>
  </si>
  <si>
    <t>George P. Cosmatos</t>
  </si>
  <si>
    <t>Shadow Conspiracy</t>
  </si>
  <si>
    <t>Sam Waterston</t>
  </si>
  <si>
    <t>american president|assassin|conspiracy|president|white house</t>
  </si>
  <si>
    <t>http://www.imdb.com/title/tt0120107/?ref_=fn_tt_tt_1</t>
  </si>
  <si>
    <t>Oliver Parker</t>
  </si>
  <si>
    <t>Johnny English Reborn</t>
  </si>
  <si>
    <t>Daniel Kaluuya</t>
  </si>
  <si>
    <t>Tim McInnerny</t>
  </si>
  <si>
    <t>Togo Igawa</t>
  </si>
  <si>
    <t>assassin|chinese|conspiracy|gadget|premier</t>
  </si>
  <si>
    <t>http://www.imdb.com/title/tt1634122/?ref_=fn_tt_tt_1</t>
  </si>
  <si>
    <t>Ben Affleck</t>
  </si>
  <si>
    <t>Argo</t>
  </si>
  <si>
    <t>Biography|Drama|History|Thriller</t>
  </si>
  <si>
    <t>Clea DuVall</t>
  </si>
  <si>
    <t>1970s|cia|f word|u.s. embassy|year 1979</t>
  </si>
  <si>
    <t>http://www.imdb.com/title/tt1024648/?ref_=fn_tt_tt_1</t>
  </si>
  <si>
    <t>The Fugitive</t>
  </si>
  <si>
    <t>Action|Adventure|Crime|Drama|Mystery|Thriller</t>
  </si>
  <si>
    <t>Daniel Roebuck</t>
  </si>
  <si>
    <t>hospital|on the run|one armed man|surgeon|u.s. marshal</t>
  </si>
  <si>
    <t>http://www.imdb.com/title/tt0106977/?ref_=fn_tt_tt_1</t>
  </si>
  <si>
    <t>The Bounty Hunter</t>
  </si>
  <si>
    <t>bounty hunter|death|murder|police officer|reporter</t>
  </si>
  <si>
    <t>http://www.imdb.com/title/tt1038919/?ref_=fn_tt_tt_1</t>
  </si>
  <si>
    <t>Sleepers</t>
  </si>
  <si>
    <t>boy|guard|kicked in the crotch|prank|sexual abuse</t>
  </si>
  <si>
    <t>http://www.imdb.com/title/tt0117665/?ref_=fn_tt_tt_1</t>
  </si>
  <si>
    <t>Rambo: First Blood Part II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</si>
  <si>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</si>
  <si>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</si>
  <si>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</si>
  <si>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</si>
  <si>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</si>
  <si>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The Juror</t>
  </si>
  <si>
    <t>breasts|mafia|sex scene|temple|woods</t>
  </si>
  <si>
    <t>http://www.imdb.com/title/tt0116731/?ref_=fn_tt_tt_1</t>
  </si>
  <si>
    <t>Norman Ferguson</t>
  </si>
  <si>
    <t>Pinocchio</t>
  </si>
  <si>
    <t>Animation|Family|Fantasy|Musical</t>
  </si>
  <si>
    <t>Mel Blanc</t>
  </si>
  <si>
    <t>Dickie Jones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</si>
  <si>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</si>
  <si>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</si>
  <si>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</si>
  <si>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</si>
  <si>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</si>
  <si>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Heaven's Gate</t>
  </si>
  <si>
    <t>Adventure|Drama|Western</t>
  </si>
  <si>
    <t>Isabelle Huppert</t>
  </si>
  <si>
    <t>1890s|hired gun|immigrant|johnson county war|sheriff</t>
  </si>
  <si>
    <t>http://www.imdb.com/title/tt0080855/?ref_=fn_tt_tt_1</t>
  </si>
  <si>
    <t>Underworld: Evolution</t>
  </si>
  <si>
    <t>death|feud|forbidden love|vampire|werewolf</t>
  </si>
  <si>
    <t>http://www.imdb.com/title/tt0401855/?ref_=fn_tt_tt_1</t>
  </si>
  <si>
    <t>Paul McGuigan</t>
  </si>
  <si>
    <t>Victor Frankenstein</t>
  </si>
  <si>
    <t>Daniel Mays</t>
  </si>
  <si>
    <t>assistant|experiment|frankenstein|medical student|scientist</t>
  </si>
  <si>
    <t>http://www.imdb.com/title/tt1976009/?ref_=fn_tt_tt_1</t>
  </si>
  <si>
    <t>Gus Van Sant</t>
  </si>
  <si>
    <t>Finding Forrester</t>
  </si>
  <si>
    <t>Rob Brown</t>
  </si>
  <si>
    <t>Michael Nouri</t>
  </si>
  <si>
    <t>basketball|mentor|new york|school|writing</t>
  </si>
  <si>
    <t>http://www.imdb.com/title/tt0181536/?ref_=fn_tt_tt_1</t>
  </si>
  <si>
    <t>28 Days</t>
  </si>
  <si>
    <t>12 step program|box office hit|car accident|vomiting|wedding</t>
  </si>
  <si>
    <t>http://www.imdb.com/title/tt0191754/?ref_=fn_tt_tt_1</t>
  </si>
  <si>
    <t>Unleashed</t>
  </si>
  <si>
    <t>collar|dog|fight|fighting|piano</t>
  </si>
  <si>
    <t>http://www.imdb.com/title/tt0342258/?ref_=fn_tt_tt_1</t>
  </si>
  <si>
    <t>Roger Kumble</t>
  </si>
  <si>
    <t>The Sweetest Thing</t>
  </si>
  <si>
    <t>Judith Chapman</t>
  </si>
  <si>
    <t>Lillian Adams</t>
  </si>
  <si>
    <t>Chelsea Bond</t>
  </si>
  <si>
    <t>female removes her clothes|roommate|voyeur|voyeurism|wedding</t>
  </si>
  <si>
    <t>http://www.imdb.com/title/tt0253867/?ref_=fn_tt_tt_1</t>
  </si>
  <si>
    <t>The Firm</t>
  </si>
  <si>
    <t>Wilford Brimley</t>
  </si>
  <si>
    <t>bar|fbi|law|law firm|lawyer</t>
  </si>
  <si>
    <t>http://www.imdb.com/title/tt0106918/?ref_=fn_tt_tt_1</t>
  </si>
  <si>
    <t>Burr Steers</t>
  </si>
  <si>
    <t>Charlie St. Cloud</t>
  </si>
  <si>
    <t>Augustus Prew</t>
  </si>
  <si>
    <t>Charlie Tahan</t>
  </si>
  <si>
    <t>Valerie Tian</t>
  </si>
  <si>
    <t>brother brother relationship|death of brother|ghost|seeing dead people|talking with the dead</t>
  </si>
  <si>
    <t>http://www.imdb.com/title/tt1438254/?ref_=fn_tt_tt_1</t>
  </si>
  <si>
    <t>The Mechanic</t>
  </si>
  <si>
    <t>apprentice|disobeying orders|gas station|hitman|nightclub</t>
  </si>
  <si>
    <t>http://www.imdb.com/title/tt0472399/?ref_=fn_tt_tt_1</t>
  </si>
  <si>
    <t>21 Jump Street</t>
  </si>
  <si>
    <t>Dax Flame</t>
  </si>
  <si>
    <t>narcotics|parody|police|remake|undercover cop</t>
  </si>
  <si>
    <t>http://www.imdb.com/title/tt1232829/?ref_=fn_tt_tt_1</t>
  </si>
  <si>
    <t>Notting Hill</t>
  </si>
  <si>
    <t>Clarke Peters</t>
  </si>
  <si>
    <t>Dylan Moran</t>
  </si>
  <si>
    <t>actress|bookstore|friend|kiss|love</t>
  </si>
  <si>
    <t>http://www.imdb.com/title/tt0125439/?ref_=fn_tt_tt_1</t>
  </si>
  <si>
    <t>Chicken Run</t>
  </si>
  <si>
    <t>Julia Sawalha</t>
  </si>
  <si>
    <t>chicken|escape|farm|freedom|rooster</t>
  </si>
  <si>
    <t>http://www.imdb.com/title/tt0120630/?ref_=fn_tt_tt_1</t>
  </si>
  <si>
    <t>John Hamburg</t>
  </si>
  <si>
    <t>Along Came Polly</t>
  </si>
  <si>
    <t>Masi Oka</t>
  </si>
  <si>
    <t>bride|friend|honeymoon|insurance|insurance company</t>
  </si>
  <si>
    <t>http://www.imdb.com/title/tt0343135/?ref_=fn_tt_tt_1</t>
  </si>
  <si>
    <t>Reginald Hudlin</t>
  </si>
  <si>
    <t>Boomerang</t>
  </si>
  <si>
    <t>Geoffrey Holder</t>
  </si>
  <si>
    <t>advertising|battle of the sexes|dating|one word title|womanizer</t>
  </si>
  <si>
    <t>http://www.imdb.com/title/tt0103859/?ref_=fn_tt_tt_1</t>
  </si>
  <si>
    <t>The Heat</t>
  </si>
  <si>
    <t>William Xifaras</t>
  </si>
  <si>
    <t>drug lord|fbi|fbi agent|hospital|shot in the crotch</t>
  </si>
  <si>
    <t>http://www.imdb.com/title/tt2404463/?ref_=fn_tt_tt_1</t>
  </si>
  <si>
    <t>Joseph L. Mankiewicz</t>
  </si>
  <si>
    <t>Cleopatra</t>
  </si>
  <si>
    <t>Biography|Drama|History|Romance</t>
  </si>
  <si>
    <t>Richard Burton</t>
  </si>
  <si>
    <t>Roddy McDowall</t>
  </si>
  <si>
    <t>cleopatra|egypt|epic|queen|roman empire</t>
  </si>
  <si>
    <t>http://www.imdb.com/title/tt0056937/?ref_=fn_tt_tt_1</t>
  </si>
  <si>
    <t>Here Comes the Boom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</si>
  <si>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</si>
  <si>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</si>
  <si>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</si>
  <si>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</si>
  <si>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High Crimes</t>
  </si>
  <si>
    <t>defense lawyer|lawyer|marine|murder|villager</t>
  </si>
  <si>
    <t>http://www.imdb.com/title/tt0257756/?ref_=fn_tt_tt_1</t>
  </si>
  <si>
    <t>Barbra Streisand</t>
  </si>
  <si>
    <t>The Mirror Has Two Faces</t>
  </si>
  <si>
    <t>Mimi Rogers</t>
  </si>
  <si>
    <t>columbia university|lecture|marriage|professor|sex</t>
  </si>
  <si>
    <t>http://www.imdb.com/title/tt0117057/?ref_=fn_tt_tt_1</t>
  </si>
  <si>
    <t>Mark Pellington</t>
  </si>
  <si>
    <t>The Mothman Prophecies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</si>
  <si>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</si>
  <si>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</si>
  <si>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</si>
  <si>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</si>
  <si>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BrÃ¼no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</si>
  <si>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</si>
  <si>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</si>
  <si>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</si>
  <si>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</si>
  <si>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</si>
  <si>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Licence to Kill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</si>
  <si>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</si>
  <si>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</si>
  <si>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</si>
  <si>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</si>
  <si>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</si>
  <si>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</t>
  </si>
  <si>
    <t>death|forest|love|werewolf|werewolf bite</t>
  </si>
  <si>
    <t>http://www.imdb.com/title/tt1486185/?ref_=fn_tt_tt_1</t>
  </si>
  <si>
    <t>John Herzfeld</t>
  </si>
  <si>
    <t>15 Minutes</t>
  </si>
  <si>
    <t>criminal|detective|fire|homicide|media</t>
  </si>
  <si>
    <t>http://www.imdb.com/title/tt0179626/?ref_=fn_tt_tt_1</t>
  </si>
  <si>
    <t>Annabel Jankel</t>
  </si>
  <si>
    <t>Super Mario Bros.</t>
  </si>
  <si>
    <t>Fisher Stevens</t>
  </si>
  <si>
    <t>based on video game|dinosaur|king|mario|plumber</t>
  </si>
  <si>
    <t>http://www.imdb.com/title/tt0108255/?ref_=fn_tt_tt_1</t>
  </si>
  <si>
    <t>Lord of War</t>
  </si>
  <si>
    <t>Jeremy Crutchley</t>
  </si>
  <si>
    <t>Jared Burke</t>
  </si>
  <si>
    <t>1980s|arms dealer|immorality|ukrainian|warlord</t>
  </si>
  <si>
    <t>http://www.imdb.com/title/tt0399295/?ref_=fn_tt_tt_1</t>
  </si>
  <si>
    <t>Hero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</si>
  <si>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</si>
  <si>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</si>
  <si>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</si>
  <si>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</si>
  <si>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</si>
  <si>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One for the Money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</si>
  <si>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</si>
  <si>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</si>
  <si>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</si>
  <si>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</si>
  <si>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The Interview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</si>
  <si>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</si>
  <si>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</si>
  <si>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</si>
  <si>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</si>
  <si>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</si>
  <si>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The Warrior's Way</t>
  </si>
  <si>
    <t>Action|Fantasy|Western</t>
  </si>
  <si>
    <t>Dong-gun Jang</t>
  </si>
  <si>
    <t>Jed Brophy</t>
  </si>
  <si>
    <t>bullet time|explosion|knife throwing|throwing a knife|violence</t>
  </si>
  <si>
    <t>http://www.imdb.com/title/tt1032751/?ref_=fn_tt_tt_1</t>
  </si>
  <si>
    <t>Micmacs</t>
  </si>
  <si>
    <t>Dany Boon</t>
  </si>
  <si>
    <t>bullet|contortionist|gag humor|human cannonball|revenge</t>
  </si>
  <si>
    <t>http://www.imdb.com/title/tt1149361/?ref_=fn_tt_tt_1</t>
  </si>
  <si>
    <t>8 Mile</t>
  </si>
  <si>
    <t>Drama|Music</t>
  </si>
  <si>
    <t>Evan Jones</t>
  </si>
  <si>
    <t>competition|contest|friend|self expression|white rapper</t>
  </si>
  <si>
    <t>http://www.imdb.com/title/tt0298203/?ref_=fn_tt_tt_1</t>
  </si>
  <si>
    <t>A Knight's Tale</t>
  </si>
  <si>
    <t>BÃ©rÃ©nice Bejo</t>
  </si>
  <si>
    <t>chaucer|jousting|knight|medieval times|tournament</t>
  </si>
  <si>
    <t>http://www.imdb.com/title/tt0183790/?ref_=fn_tt_tt_1</t>
  </si>
  <si>
    <t>Gordon Chan</t>
  </si>
  <si>
    <t>The Medallion</t>
  </si>
  <si>
    <t>Julian Sands</t>
  </si>
  <si>
    <t>Lee Evans</t>
  </si>
  <si>
    <t>Anthony Chau-Sang Wong</t>
  </si>
  <si>
    <t>hong kong|interpol|medallion|ship|tough cop</t>
  </si>
  <si>
    <t>http://www.imdb.com/title/tt0288045/?ref_=fn_tt_tt_1</t>
  </si>
  <si>
    <t>The Sixth Sense</t>
  </si>
  <si>
    <t>able to see the dead|ghost|plot twist|psychic|surprise ending</t>
  </si>
  <si>
    <t>http://www.imdb.com/title/tt0167404/?ref_=fn_tt_tt_1</t>
  </si>
  <si>
    <t>Asger Leth</t>
  </si>
  <si>
    <t>Man on a Ledge</t>
  </si>
  <si>
    <t>Mandy Gonzalez</t>
  </si>
  <si>
    <t>J. Smith-Cameron</t>
  </si>
  <si>
    <t>detective|diamond|hotel|police|rooftop</t>
  </si>
  <si>
    <t>http://www.imdb.com/title/tt1568338/?ref_=fn_tt_tt_1</t>
  </si>
  <si>
    <t>The Big Year</t>
  </si>
  <si>
    <t>JoBeth Williams</t>
  </si>
  <si>
    <t>alaska|birding|competition|migration|storm</t>
  </si>
  <si>
    <t>http://www.imdb.com/title/tt1053810/?ref_=fn_tt_tt_1</t>
  </si>
  <si>
    <t>John G. Avildsen</t>
  </si>
  <si>
    <t>The Karate Kid</t>
  </si>
  <si>
    <t>Action|Drama|Family|Sport</t>
  </si>
  <si>
    <t>William Zabka</t>
  </si>
  <si>
    <t>William Bassett</t>
  </si>
  <si>
    <t>apartment|bully|fight|karate|master</t>
  </si>
  <si>
    <t>http://www.imdb.com/title/tt0087538/?ref_=fn_tt_tt_1</t>
  </si>
  <si>
    <t>American Hustle</t>
  </si>
  <si>
    <t>based on true story|con artist|drunk wife|fbi investigation|scam</t>
  </si>
  <si>
    <t>http://www.imdb.com/title/tt1800241/?ref_=fn_tt_tt_1</t>
  </si>
  <si>
    <t>Anne Fletcher</t>
  </si>
  <si>
    <t>The Proposal</t>
  </si>
  <si>
    <t>alaska|deportation|father son relationship|male objectification|sitka alaska</t>
  </si>
  <si>
    <t>http://www.imdb.com/title/tt1041829/?ref_=fn_tt_tt_1</t>
  </si>
  <si>
    <t>Bruce Beresford</t>
  </si>
  <si>
    <t>Double Jeopardy</t>
  </si>
  <si>
    <t>Annabeth Gish</t>
  </si>
  <si>
    <t>Bruce Campbell</t>
  </si>
  <si>
    <t>blood|murder|sex scene|wrongful arrest|wrongful conviction</t>
  </si>
  <si>
    <t>http://www.imdb.com/title/tt0150377/?ref_=fn_tt_tt_1</t>
  </si>
  <si>
    <t>Back to the Future Part II</t>
  </si>
  <si>
    <t>Lea Thompson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</si>
  <si>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</si>
  <si>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</si>
  <si>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</si>
  <si>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</si>
  <si>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</t>
  </si>
  <si>
    <t>brain capacity|drugs|fictional drug|one woman army|tough girl</t>
  </si>
  <si>
    <t>http://www.imdb.com/title/tt2872732/?ref_=fn_tt_tt_1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</si>
  <si>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</si>
  <si>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</si>
  <si>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</si>
  <si>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</si>
  <si>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Spy Kids 3-D: Game Over</t>
  </si>
  <si>
    <t>mission|spy|surfing|trapped|virtual reality</t>
  </si>
  <si>
    <t>http://www.imdb.com/title/tt0338459/?ref_=fn_tt_tt_1</t>
  </si>
  <si>
    <t>A Time to Kill</t>
  </si>
  <si>
    <t>african american|court|law|mississippi|trial</t>
  </si>
  <si>
    <t>http://www.imdb.com/title/tt0117913/?ref_=fn_tt_tt_1</t>
  </si>
  <si>
    <t>Cheaper by the Dozen</t>
  </si>
  <si>
    <t>9 year old|house|illinois|new job|vomiting</t>
  </si>
  <si>
    <t>http://www.imdb.com/title/tt0349205/?ref_=fn_tt_tt_1</t>
  </si>
  <si>
    <t>Lone Survivor</t>
  </si>
  <si>
    <t>Action|Biography|Drama|Thriller|War</t>
  </si>
  <si>
    <t>Jerry Ferrara</t>
  </si>
  <si>
    <t>Scott Elrod</t>
  </si>
  <si>
    <t>Dan Bilzerian</t>
  </si>
  <si>
    <t>courage|navy seal|outnumbered|shot multiple times|survival</t>
  </si>
  <si>
    <t>http://www.imdb.com/title/tt1091191/?ref_=fn_tt_tt_1</t>
  </si>
  <si>
    <t>A League of Their Own</t>
  </si>
  <si>
    <t>Comedy|Drama|Sport</t>
  </si>
  <si>
    <t>Lori Petty</t>
  </si>
  <si>
    <t>Rosie O'Donnell</t>
  </si>
  <si>
    <t>baseball|friend|oregon|rivalry|softball</t>
  </si>
  <si>
    <t>http://www.imdb.com/title/tt0104694/?ref_=fn_tt_tt_1</t>
  </si>
  <si>
    <t>The Conjuring 2</t>
  </si>
  <si>
    <t>Javier Botet</t>
  </si>
  <si>
    <t>based on supposedly true story|house|paranormal investigating|psychic|second part</t>
  </si>
  <si>
    <t>http://www.imdb.com/title/tt3065204/?ref_=fn_tt_tt_1</t>
  </si>
  <si>
    <t>The Social Network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</si>
  <si>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</si>
  <si>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</si>
  <si>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</si>
  <si>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</si>
  <si>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</si>
  <si>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He's Just Not That Into You</t>
  </si>
  <si>
    <t>Carmen Perez</t>
  </si>
  <si>
    <t>Sabrina Revelle</t>
  </si>
  <si>
    <t>Sachiko Ishida</t>
  </si>
  <si>
    <t>advertising|bar|dating|lingerie slip|six word title</t>
  </si>
  <si>
    <t>http://www.imdb.com/title/tt1001508/?ref_=fn_tt_tt_1</t>
  </si>
  <si>
    <t>Scary Movie 4</t>
  </si>
  <si>
    <t>Beau Mirchoff</t>
  </si>
  <si>
    <t>female nudity|male nudity|parody|reference to myspace|sequel</t>
  </si>
  <si>
    <t>http://www.imdb.com/title/tt0362120/?ref_=fn_tt_tt_1</t>
  </si>
  <si>
    <t>Wes Craven</t>
  </si>
  <si>
    <t>Scream 3</t>
  </si>
  <si>
    <t>Horror|Mystery</t>
  </si>
  <si>
    <t>Kelly Rutherford</t>
  </si>
  <si>
    <t>Roger Jackson</t>
  </si>
  <si>
    <t>death|ghostface|murder|scream|survivor</t>
  </si>
  <si>
    <t>http://www.imdb.com/title/tt0134084/?ref_=fn_tt_tt_1</t>
  </si>
  <si>
    <t>Back to the Future Part III</t>
  </si>
  <si>
    <t>Adventure|Comedy|Sci-Fi|Western</t>
  </si>
  <si>
    <t>band|dog|letter|time machine|tombstone</t>
  </si>
  <si>
    <t>http://www.imdb.com/title/tt0099088/?ref_=fn_tt_tt_1</t>
  </si>
  <si>
    <t>Etan Cohen</t>
  </si>
  <si>
    <t>Get Hard</t>
  </si>
  <si>
    <t>camera focus on female butt|gay bar|millionaire|singing in a car|two word title</t>
  </si>
  <si>
    <t>http://www.imdb.com/title/tt2561572/?ref_=fn_tt_tt_1</t>
  </si>
  <si>
    <t>Bram Stoker's Dracula</t>
  </si>
  <si>
    <t>Fantasy|Horror|Romance</t>
  </si>
  <si>
    <t>dracula|horror movie remake|maze|monster sex|vampire</t>
  </si>
  <si>
    <t>http://www.imdb.com/title/tt0103874/?ref_=fn_tt_tt_1</t>
  </si>
  <si>
    <t>Julie &amp; Julia</t>
  </si>
  <si>
    <t>Biography|Drama|Romance</t>
  </si>
  <si>
    <t>american|blog|book|cook|cooking</t>
  </si>
  <si>
    <t>http://www.imdb.com/title/tt1135503/?ref_=fn_tt_tt_1</t>
  </si>
  <si>
    <t>Nicole Beharie</t>
  </si>
  <si>
    <t>baseball|baseball player|brooklyn dodgers|major league baseball|racism</t>
  </si>
  <si>
    <t>http://www.imdb.com/title/tt0453562/?ref_=fn_tt_tt_1</t>
  </si>
  <si>
    <t>The Talented Mr. Ripley</t>
  </si>
  <si>
    <t>1950s|italy|mistaken identity|nudity|sociopath</t>
  </si>
  <si>
    <t>http://www.imdb.com/title/tt0134119/?ref_=fn_tt_tt_1</t>
  </si>
  <si>
    <t>Dumb and Dumber To</t>
  </si>
  <si>
    <t>adoption|highway travel|road trip|sequel|stupidity</t>
  </si>
  <si>
    <t>http://www.imdb.com/title/tt2096672/?ref_=fn_tt_tt_1</t>
  </si>
  <si>
    <t>Eight Below</t>
  </si>
  <si>
    <t>Wendy Crewson</t>
  </si>
  <si>
    <t>antarctica|dog|siberian husky|sled dog|survival</t>
  </si>
  <si>
    <t>http://www.imdb.com/title/tt0397313/?ref_=fn_tt_tt_1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</si>
  <si>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</si>
  <si>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</si>
  <si>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</si>
  <si>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Ride Along 2</t>
  </si>
  <si>
    <t>Nadine Velazquez</t>
  </si>
  <si>
    <t>computer hacker|crime boss|detective|drugs|wedding</t>
  </si>
  <si>
    <t>http://www.imdb.com/title/tt2869728/?ref_=fn_tt_tt_1</t>
  </si>
  <si>
    <t>The Last of the Mohicans</t>
  </si>
  <si>
    <t>Action|Adventure|Drama|Romance|War</t>
  </si>
  <si>
    <t>Terry Kinney</t>
  </si>
  <si>
    <t>Eric Schweig</t>
  </si>
  <si>
    <t>18th century|based on novel|colonel|french and indian war|revenge</t>
  </si>
  <si>
    <t>http://www.imdb.com/title/tt0104691/?ref_=fn_tt_tt_1</t>
  </si>
  <si>
    <t>Ray</t>
  </si>
  <si>
    <t>Curtis Armstrong</t>
  </si>
  <si>
    <t>1950s|1960s|racism|rhythm and blues|singer</t>
  </si>
  <si>
    <t>http://www.imdb.com/title/tt0350258/?ref_=fn_tt_tt_1</t>
  </si>
  <si>
    <t>Sin City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</si>
  <si>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</si>
  <si>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</si>
  <si>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</si>
  <si>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</si>
  <si>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</t>
  </si>
  <si>
    <t>explosion|multiple perspectives|president|secret service|shooting</t>
  </si>
  <si>
    <t>http://www.imdb.com/title/tt0443274/?ref_=fn_tt_tt_1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</si>
  <si>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</si>
  <si>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</si>
  <si>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</si>
  <si>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</si>
  <si>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Shallow Hal</t>
  </si>
  <si>
    <t>Susan Ward</t>
  </si>
  <si>
    <t>dying|friend|inner beauty|love|self help guru</t>
  </si>
  <si>
    <t>http://www.imdb.com/title/tt0256380/?ref_=fn_tt_tt_1</t>
  </si>
  <si>
    <t>JFK</t>
  </si>
  <si>
    <t>Sally Kirkland</t>
  </si>
  <si>
    <t>Jay O. Sanders</t>
  </si>
  <si>
    <t>Cheryl Penland</t>
  </si>
  <si>
    <t>death|gay slur|homosexuality|investigation|president</t>
  </si>
  <si>
    <t>http://www.imdb.com/title/tt0102138/?ref_=fn_tt_tt_1</t>
  </si>
  <si>
    <t>John Whitesell</t>
  </si>
  <si>
    <t>Big Momma's House 2</t>
  </si>
  <si>
    <t>Nia Long</t>
  </si>
  <si>
    <t>Marisol Nichols</t>
  </si>
  <si>
    <t>cheerleading|fbi|fbi agent|nanny|undercover</t>
  </si>
  <si>
    <t>http://www.imdb.com/title/tt0421729/?ref_=fn_tt_tt_1</t>
  </si>
  <si>
    <t>The Mexican</t>
  </si>
  <si>
    <t>Adventure|Comedy|Crime|Romance</t>
  </si>
  <si>
    <t>curse|hostage|mexico|pistol|vomiting</t>
  </si>
  <si>
    <t>http://www.imdb.com/title/tt0236493/?ref_=fn_tt_tt_1</t>
  </si>
  <si>
    <t>17 Again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</si>
  <si>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</si>
  <si>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</si>
  <si>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</si>
  <si>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</si>
  <si>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</si>
  <si>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The Other Woman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</si>
  <si>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</si>
  <si>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</si>
  <si>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</si>
  <si>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</si>
  <si>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The Final Destination</t>
  </si>
  <si>
    <t>Horror</t>
  </si>
  <si>
    <t>Krista Allen</t>
  </si>
  <si>
    <t>Andrew Fiscella</t>
  </si>
  <si>
    <t>Shantel VanSanten</t>
  </si>
  <si>
    <t>attempted suicide|car crash|collapsing scaffold|overflowing bathtub|tooth knocked out</t>
  </si>
  <si>
    <t>http://www.imdb.com/title/tt1144884/?ref_=fn_tt_tt_1</t>
  </si>
  <si>
    <t>Bridge of Spies</t>
  </si>
  <si>
    <t>Amy Ryan</t>
  </si>
  <si>
    <t>cia|cold war|lawyer|negotiation|spy</t>
  </si>
  <si>
    <t>http://www.imdb.com/title/tt3682448/?ref_=fn_tt_tt_1</t>
  </si>
  <si>
    <t>Behind Enemy Lines</t>
  </si>
  <si>
    <t>Joaquim de Almeida</t>
  </si>
  <si>
    <t>Sam Jaeger</t>
  </si>
  <si>
    <t>battle|massacre|navigator|navy|rescue</t>
  </si>
  <si>
    <t>http://www.imdb.com/title/tt0159273/?ref_=fn_tt_tt_1</t>
  </si>
  <si>
    <t>Shall We Dance</t>
  </si>
  <si>
    <t>Nick Cannon</t>
  </si>
  <si>
    <t>dance|dance competition|dance lesson|love|teacher</t>
  </si>
  <si>
    <t>http://www.imdb.com/title/tt0358135/?ref_=fn_tt_tt_1</t>
  </si>
  <si>
    <t>Small Soldiers</t>
  </si>
  <si>
    <t>action figure|battle|computer|military|toy</t>
  </si>
  <si>
    <t>http://www.imdb.com/title/tt0122718/?ref_=fn_tt_tt_1</t>
  </si>
  <si>
    <t>Mark A.Z. DippÃ©</t>
  </si>
  <si>
    <t>Spawn</t>
  </si>
  <si>
    <t>Michael Jai White</t>
  </si>
  <si>
    <t>based on comic|based on comic book|dark hero|image comics|superhero</t>
  </si>
  <si>
    <t>http://www.imdb.com/title/tt0120177/?ref_=fn_tt_tt_1</t>
  </si>
  <si>
    <t>The Count of Monte Cristo</t>
  </si>
  <si>
    <t>Action|Adventure|Drama|Romance|Thriller</t>
  </si>
  <si>
    <t>count|escape|island|revenge|sailor</t>
  </si>
  <si>
    <t>http://www.imdb.com/title/tt0245844/?ref_=fn_tt_tt_1</t>
  </si>
  <si>
    <t>Brad Furman</t>
  </si>
  <si>
    <t>The Lincoln Lawyer</t>
  </si>
  <si>
    <t>Margarita Levieva</t>
  </si>
  <si>
    <t>defense attorney|defense lawyer|lawyer|plot twist|prostitute</t>
  </si>
  <si>
    <t>http://www.imdb.com/title/tt1189340/?ref_=fn_tt_tt_1</t>
  </si>
  <si>
    <t>Unknown</t>
  </si>
  <si>
    <t>Aidan Quinn</t>
  </si>
  <si>
    <t>agriculture|airport|amnesia|nurse|scientist</t>
  </si>
  <si>
    <t>http://www.imdb.com/title/tt1401152/?ref_=fn_tt_tt_1</t>
  </si>
  <si>
    <t>The Prestige</t>
  </si>
  <si>
    <t>illusion|magician|obsession|rivalry|secret</t>
  </si>
  <si>
    <t>http://www.imdb.com/title/tt0482571/?ref_=fn_tt_tt_1</t>
  </si>
  <si>
    <t>Horrible Bosses 2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</si>
  <si>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</si>
  <si>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</si>
  <si>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</si>
  <si>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</si>
  <si>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Escape from Planet Earth</t>
  </si>
  <si>
    <t>Paul Scheer</t>
  </si>
  <si>
    <t>Jonathan Morgan Heit</t>
  </si>
  <si>
    <t>alien|cult film|mission control|product placement|rescue</t>
  </si>
  <si>
    <t>http://www.imdb.com/title/tt0765446/?ref_=fn_tt_tt_1</t>
  </si>
  <si>
    <t>Apocalypto</t>
  </si>
  <si>
    <t>Rudy Youngblood</t>
  </si>
  <si>
    <t>Dalia HernÃ¡ndez</t>
  </si>
  <si>
    <t>Jonathan Brewer</t>
  </si>
  <si>
    <t>jaguar|mayan|solar eclipse|tribe|village</t>
  </si>
  <si>
    <t>http://www.imdb.com/title/tt0472043/?ref_=fn_tt_tt_1</t>
  </si>
  <si>
    <t>Maya</t>
  </si>
  <si>
    <t>The Living Daylights</t>
  </si>
  <si>
    <t>british agent|defection|escape|kgb|soviet general</t>
  </si>
  <si>
    <t>http://www.imdb.com/title/tt0093428/?ref_=fn_tt_tt_1</t>
  </si>
  <si>
    <t>NimrÃ³d Antal</t>
  </si>
  <si>
    <t>Predators</t>
  </si>
  <si>
    <t>Topher Grace</t>
  </si>
  <si>
    <t>kicked in the face|martial arts|punched in the face|strong female character|woman punching a man</t>
  </si>
  <si>
    <t>http://www.imdb.com/title/tt1424381/?ref_=fn_tt_tt_1</t>
  </si>
  <si>
    <t>Legal Eagles</t>
  </si>
  <si>
    <t>Debra Winger</t>
  </si>
  <si>
    <t>Roscoe Lee Browne</t>
  </si>
  <si>
    <t>judicial|judiciary|lawyer|murder|painting</t>
  </si>
  <si>
    <t>http://www.imdb.com/title/tt0091396/?ref_=fn_tt_tt_1</t>
  </si>
  <si>
    <t>Secret Window</t>
  </si>
  <si>
    <t>adultery|extramarital affair|infidelity|unfaithfulness|writer</t>
  </si>
  <si>
    <t>http://www.imdb.com/title/tt0363988/?ref_=fn_tt_tt_1</t>
  </si>
  <si>
    <t>Alejandro Agresti</t>
  </si>
  <si>
    <t>The Lake House</t>
  </si>
  <si>
    <t>Ebon Moss-Bachrach</t>
  </si>
  <si>
    <t>house|lake|letter|love across time|parallel time</t>
  </si>
  <si>
    <t>http://www.imdb.com/title/tt0410297/?ref_=fn_tt_tt_1</t>
  </si>
  <si>
    <t>The Skeleton Key</t>
  </si>
  <si>
    <t>Gena Rowlands</t>
  </si>
  <si>
    <t>Deneen Tyler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</si>
  <si>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</si>
  <si>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</si>
  <si>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</si>
  <si>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</si>
  <si>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</t>
  </si>
  <si>
    <t>dodgeball|portrait|soccer|soccer game|young love</t>
  </si>
  <si>
    <t>http://www.imdb.com/title/tt1462769/?ref_=fn_tt_tt_1</t>
  </si>
  <si>
    <t>Paul Weiland</t>
  </si>
  <si>
    <t>Made of Honor</t>
  </si>
  <si>
    <t>Busy Philipps</t>
  </si>
  <si>
    <t>Beau Garrett</t>
  </si>
  <si>
    <t>friend|love|maid|maid of honor|marriage</t>
  </si>
  <si>
    <t>http://www.imdb.com/title/tt0866439/?ref_=fn_tt_tt_1</t>
  </si>
  <si>
    <t>Jersey Boys</t>
  </si>
  <si>
    <t>Biography|Drama|Music|Musical</t>
  </si>
  <si>
    <t>Johnny Cannizzaro</t>
  </si>
  <si>
    <t>Steve Schirripa</t>
  </si>
  <si>
    <t>Scott Vance</t>
  </si>
  <si>
    <t>band|music group|musical quartet|singer|song</t>
  </si>
  <si>
    <t>http://www.imdb.com/title/tt1742044/?ref_=fn_tt_tt_1</t>
  </si>
  <si>
    <t>The Rainmaker</t>
  </si>
  <si>
    <t>courtroom|domestic violence|insurance company|lawyer|underdog</t>
  </si>
  <si>
    <t>http://www.imdb.com/title/tt0119978/?ref_=fn_tt_tt_1</t>
  </si>
  <si>
    <t>Gothika</t>
  </si>
  <si>
    <t>memory|murder|patient|psychiatrist|the devil</t>
  </si>
  <si>
    <t>http://www.imdb.com/title/tt0348836/?ref_=fn_tt_tt_1</t>
  </si>
  <si>
    <t>Amistad</t>
  </si>
  <si>
    <t>Drama|History</t>
  </si>
  <si>
    <t>courtroom|mutiny|ship|slave ship|slave trade</t>
  </si>
  <si>
    <t>http://www.imdb.com/title/tt0118607/?ref_=fn_tt_tt_1</t>
  </si>
  <si>
    <t>Medicine Man</t>
  </si>
  <si>
    <t>Lorraine Bracco</t>
  </si>
  <si>
    <t>JosÃ© Wilker</t>
  </si>
  <si>
    <t>Sean Connery</t>
  </si>
  <si>
    <t>cancer|environment|gas chromatograph|jungle|nature</t>
  </si>
  <si>
    <t>http://www.imdb.com/title/tt0104839/?ref_=fn_tt_tt_1</t>
  </si>
  <si>
    <t>Colin Strause</t>
  </si>
  <si>
    <t>Aliens vs. Predator: Requiem</t>
  </si>
  <si>
    <t>Sam Trammell</t>
  </si>
  <si>
    <t>Johnny Lewis</t>
  </si>
  <si>
    <t>Ian Whyte</t>
  </si>
  <si>
    <t>alien|escape|hunting|hybrid|predator</t>
  </si>
  <si>
    <t>http://www.imdb.com/title/tt0758730/?ref_=fn_tt_tt_1</t>
  </si>
  <si>
    <t>Ri</t>
  </si>
  <si>
    <t>Macaulay Culkin</t>
  </si>
  <si>
    <t>John Larroquette</t>
  </si>
  <si>
    <t>Jonathan Hyde</t>
  </si>
  <si>
    <t>attempted murder|based on comic book|escape from prison|lost at sea|wealth</t>
  </si>
  <si>
    <t>http://www.imdb.com/title/tt0110989/?ref_=fn_tt_tt_1</t>
  </si>
  <si>
    <t>Autumn in New York</t>
  </si>
  <si>
    <t>may december romance|new york|new york city|rockefeller center|title directed by female</t>
  </si>
  <si>
    <t>http://www.imdb.com/title/tt0174480/?ref_=fn_tt_tt_1</t>
  </si>
  <si>
    <t>Greg Mottola</t>
  </si>
  <si>
    <t>Paul</t>
  </si>
  <si>
    <t>Bobby Lee</t>
  </si>
  <si>
    <t>Nelson Ascencio</t>
  </si>
  <si>
    <t>Jeremy Owen</t>
  </si>
  <si>
    <t>alien|geek|nerd|road trip|ufo</t>
  </si>
  <si>
    <t>http://www.imdb.com/title/tt1092026/?ref_=fn_tt_tt_1</t>
  </si>
  <si>
    <t>The Guilt Trip</t>
  </si>
  <si>
    <t>Tom Virtue</t>
  </si>
  <si>
    <t>Julene Renee</t>
  </si>
  <si>
    <t>cross country|love|mother son relationship|on the road|trip</t>
  </si>
  <si>
    <t>http://www.imdb.com/title/tt1694020/?ref_=fn_tt_tt_1</t>
  </si>
  <si>
    <t>Scream 4</t>
  </si>
  <si>
    <t>Aimee Teegarden</t>
  </si>
  <si>
    <t>Shenae Grimes-Beech</t>
  </si>
  <si>
    <t>author|book|deputy|murder|sheriff</t>
  </si>
  <si>
    <t>http://www.imdb.com/title/tt1262416/?ref_=fn_tt_tt_1</t>
  </si>
  <si>
    <t>8MM</t>
  </si>
  <si>
    <t>Anthony Heald</t>
  </si>
  <si>
    <t>investigation|obsession|private eye|private investigator|snuff film</t>
  </si>
  <si>
    <t>http://www.imdb.com/title/tt0134273/?ref_=fn_tt_tt_1</t>
  </si>
  <si>
    <t>The Doors</t>
  </si>
  <si>
    <t>death|paris france|rock band|singer|the doors</t>
  </si>
  <si>
    <t>http://www.imdb.com/title/tt0101761/?ref_=fn_tt_tt_1</t>
  </si>
  <si>
    <t>Jake Kasdan</t>
  </si>
  <si>
    <t>Sex Tape</t>
  </si>
  <si>
    <t>Nat Faxon</t>
  </si>
  <si>
    <t>sex in a car|sex video|sexual desire|sexuality|undressing</t>
  </si>
  <si>
    <t>http://www.imdb.com/title/tt1956620/?ref_=fn_tt_tt_1</t>
  </si>
  <si>
    <t>Diane Keaton</t>
  </si>
  <si>
    <t>Hanging Up</t>
  </si>
  <si>
    <t>Adam Arkin</t>
  </si>
  <si>
    <t>Jesse James</t>
  </si>
  <si>
    <t>actress|clown costume|magazine|party planner|soap opera actress</t>
  </si>
  <si>
    <t>http://www.imdb.com/title/tt0162983/?ref_=fn_tt_tt_1</t>
  </si>
  <si>
    <t>Final Destination 5</t>
  </si>
  <si>
    <t>Emma Bell</t>
  </si>
  <si>
    <t>Jacqueline MacInnes Wood</t>
  </si>
  <si>
    <t>blood splatter|death|eyeball run over by car|latex gloves|suspension bridge</t>
  </si>
  <si>
    <t>http://www.imdb.com/title/tt1622979/?ref_=fn_tt_tt_1</t>
  </si>
  <si>
    <t>Kelly Makin</t>
  </si>
  <si>
    <t>Mickey Blue Eyes</t>
  </si>
  <si>
    <t>auctioneer|fbi|mafia|mobster|painting</t>
  </si>
  <si>
    <t>http://www.imdb.com/title/tt0130121/?ref_=fn_tt_tt_1</t>
  </si>
  <si>
    <t>Pay It Forward</t>
  </si>
  <si>
    <t>Angie Dickinson</t>
  </si>
  <si>
    <t>alcoholism|boy|good deed|protective male|teacher</t>
  </si>
  <si>
    <t>http://www.imdb.com/title/tt0223897/?ref_=fn_tt_tt_1</t>
  </si>
  <si>
    <t>Fever Pitch</t>
  </si>
  <si>
    <t>Jimmy Fallon</t>
  </si>
  <si>
    <t>KaDee Strickland</t>
  </si>
  <si>
    <t>Ione Skye</t>
  </si>
  <si>
    <t>baltimore orioles|boston red sox|promotion|ups|world series</t>
  </si>
  <si>
    <t>http://www.imdb.com/title/tt0332047/?ref_=fn_tt_tt_1</t>
  </si>
  <si>
    <t>Drillbit Taylor</t>
  </si>
  <si>
    <t>Shaun Weiss</t>
  </si>
  <si>
    <t>bodyguard|bully|generation y|high school|nerd</t>
  </si>
  <si>
    <t>http://www.imdb.com/title/tt0817538/?ref_=fn_tt_tt_1</t>
  </si>
  <si>
    <t>A Million Ways to Die in the West</t>
  </si>
  <si>
    <t>Comedy|Western</t>
  </si>
  <si>
    <t>dancing sheep|fetish|musical scene|racial humor|snake poison</t>
  </si>
  <si>
    <t>http://www.imdb.com/title/tt2557490/?ref_=fn_tt_tt_1</t>
  </si>
  <si>
    <t>The Shadow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</si>
  <si>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</si>
  <si>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</si>
  <si>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</si>
  <si>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</si>
  <si>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Extremely Loud &amp; Incredibly Close</t>
  </si>
  <si>
    <t>Adventure|Drama|Mystery</t>
  </si>
  <si>
    <t>Thomas Horn</t>
  </si>
  <si>
    <t>Stephen Henderson</t>
  </si>
  <si>
    <t>fear|mourning|mute|quest|revelation</t>
  </si>
  <si>
    <t>http://www.imdb.com/title/tt0477302/?ref_=fn_tt_tt_1</t>
  </si>
  <si>
    <t>Morning Glory</t>
  </si>
  <si>
    <t>Noah Bean</t>
  </si>
  <si>
    <t>Patti D'Arbanville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</si>
  <si>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</si>
  <si>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</si>
  <si>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</si>
  <si>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</si>
  <si>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</si>
  <si>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</si>
  <si>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</si>
  <si>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</si>
  <si>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The Art of War</t>
  </si>
  <si>
    <t>Anne Archer</t>
  </si>
  <si>
    <t>blood splatter|fbi|murder|secretary general|united nations</t>
  </si>
  <si>
    <t>http://www.imdb.com/title/tt0160009/?ref_=fn_tt_tt_1</t>
  </si>
  <si>
    <t>Rent</t>
  </si>
  <si>
    <t>David Fine</t>
  </si>
  <si>
    <t>Jesse L. Martin</t>
  </si>
  <si>
    <t>aids|hiv positive|lawyer|new york city|roommate</t>
  </si>
  <si>
    <t>http://www.imdb.com/title/tt0294870/?ref_=fn_tt_tt_1</t>
  </si>
  <si>
    <t>Bless the Child</t>
  </si>
  <si>
    <t>Crime|Drama|Horror|Thriller</t>
  </si>
  <si>
    <t>Jimmy Smits</t>
  </si>
  <si>
    <t>Angela Bettis</t>
  </si>
  <si>
    <t>easter|fbi|luminol|nurse|omen</t>
  </si>
  <si>
    <t>http://www.imdb.com/title/tt0163983/?ref_=fn_tt_tt_1</t>
  </si>
  <si>
    <t>The Out-of-Towners</t>
  </si>
  <si>
    <t>Oliver Hudson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</si>
  <si>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</si>
  <si>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</si>
  <si>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</si>
  <si>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</si>
  <si>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</si>
  <si>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</si>
  <si>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</si>
  <si>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</si>
  <si>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The Musketeer</t>
  </si>
  <si>
    <t>Catherine Deneuve</t>
  </si>
  <si>
    <t>Justin Chambers</t>
  </si>
  <si>
    <t>guard|king|murder|musketeer|swordsman</t>
  </si>
  <si>
    <t>http://www.imdb.com/title/tt0246544/?ref_=fn_tt_tt_1</t>
  </si>
  <si>
    <t>Justin Chadwick</t>
  </si>
  <si>
    <t>The Other Boleyn Girl</t>
  </si>
  <si>
    <t>children|court|king|king henry viii|love</t>
  </si>
  <si>
    <t>http://www.imdb.com/title/tt0467200/?ref_=fn_tt_tt_1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</si>
  <si>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</si>
  <si>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</si>
  <si>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</si>
  <si>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</si>
  <si>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The Reaping</t>
  </si>
  <si>
    <t>Horror|Thriller</t>
  </si>
  <si>
    <t>Andrea Frankle</t>
  </si>
  <si>
    <t>William Ragsdale</t>
  </si>
  <si>
    <t>biblical plague|louisiana|missionary|plague|small town</t>
  </si>
  <si>
    <t>http://www.imdb.com/title/tt0444682/?ref_=fn_tt_tt_1</t>
  </si>
  <si>
    <t>Mean Streets</t>
  </si>
  <si>
    <t>David Proval</t>
  </si>
  <si>
    <t>bar|catholic guilt|epilepsy|italian american|money</t>
  </si>
  <si>
    <t>http://www.imdb.com/title/tt0070379/?ref_=fn_tt_tt_1</t>
  </si>
  <si>
    <t>Renaissance Man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</si>
  <si>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</si>
  <si>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</si>
  <si>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</si>
  <si>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</si>
  <si>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Colombiana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</si>
  <si>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</si>
  <si>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</si>
  <si>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</si>
  <si>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</si>
  <si>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</si>
  <si>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The Magic Sword: Quest for Camelot</t>
  </si>
  <si>
    <t>Adventure|Animation|Comedy|Drama|Family|Fantasy|Musical</t>
  </si>
  <si>
    <t>Jaleel White</t>
  </si>
  <si>
    <t>camelot|dragon|excalibur|knight|sword</t>
  </si>
  <si>
    <t>http://www.imdb.com/title/tt0120800/?ref_=fn_tt_tt_1</t>
  </si>
  <si>
    <t>City by the Sea</t>
  </si>
  <si>
    <t>John Doman</t>
  </si>
  <si>
    <t>beach|grandson|murder|new york city|police</t>
  </si>
  <si>
    <t>http://www.imdb.com/title/tt0269095/?ref_=fn_tt_tt_1</t>
  </si>
  <si>
    <t>Irwin Winkler</t>
  </si>
  <si>
    <t>At First Sight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</si>
  <si>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</si>
  <si>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</si>
  <si>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</si>
  <si>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</si>
  <si>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</si>
  <si>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Torque</t>
  </si>
  <si>
    <t>Dane Cook</t>
  </si>
  <si>
    <t>murder|on the run|security camera|surveillance footage|timebomb</t>
  </si>
  <si>
    <t>http://www.imdb.com/title/tt0329691/?ref_=fn_tt_tt_1</t>
  </si>
  <si>
    <t>City Hall</t>
  </si>
  <si>
    <t>drug dealer|mayor|new york city|probation|scandal</t>
  </si>
  <si>
    <t>http://www.imdb.com/title/tt0115907/?ref_=fn_tt_tt_1</t>
  </si>
  <si>
    <t>Showgirls</t>
  </si>
  <si>
    <t>Bobbie Phillips</t>
  </si>
  <si>
    <t>Elizabeth Berkley</t>
  </si>
  <si>
    <t>cult film|lap dance|lap dancing|stripper|striptease</t>
  </si>
  <si>
    <t>http://www.imdb.com/title/tt0114436/?ref_=fn_tt_tt_1</t>
  </si>
  <si>
    <t>NC-17</t>
  </si>
  <si>
    <t>Sofia Coppola</t>
  </si>
  <si>
    <t>Marie Antoinette</t>
  </si>
  <si>
    <t>austria|cake|france|queen|versailles</t>
  </si>
  <si>
    <t>http://www.imdb.com/title/tt0422720/?ref_=fn_tt_tt_1</t>
  </si>
  <si>
    <t>Kiss of Death</t>
  </si>
  <si>
    <t>beard|female nudity|police brutality|stripper|woman in lingerie</t>
  </si>
  <si>
    <t>http://www.imdb.com/title/tt0113552/?ref_=fn_tt_tt_1</t>
  </si>
  <si>
    <t>Stephen Kay</t>
  </si>
  <si>
    <t>Get Carter</t>
  </si>
  <si>
    <t>Lauren Lee Smith</t>
  </si>
  <si>
    <t>affair|car crash|enforcer|funeral|murder</t>
  </si>
  <si>
    <t>http://www.imdb.com/title/tt0208988/?ref_=fn_tt_tt_1</t>
  </si>
  <si>
    <t>J.A. Bayona</t>
  </si>
  <si>
    <t>The Impossible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</si>
  <si>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</si>
  <si>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</si>
  <si>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</si>
  <si>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</si>
  <si>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</si>
  <si>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Ishtar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</si>
  <si>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</si>
  <si>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</si>
  <si>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</si>
  <si>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</si>
  <si>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</si>
  <si>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Fantastic Mr. Fox</t>
  </si>
  <si>
    <t>Adventure|Animation|Comedy|Crime|Family</t>
  </si>
  <si>
    <t>cider|farm|farmer|fox|tale</t>
  </si>
  <si>
    <t>http://www.imdb.com/title/tt0432283/?ref_=fn_tt_tt_1</t>
  </si>
  <si>
    <t>Life or Something Like It</t>
  </si>
  <si>
    <t>James Gammon</t>
  </si>
  <si>
    <t>football|homeless man|interview|psychic|reporter</t>
  </si>
  <si>
    <t>http://www.imdb.com/title/tt0282687/?ref_=fn_tt_tt_1</t>
  </si>
  <si>
    <t>Memoirs of an Invisible Man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</si>
  <si>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</si>
  <si>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</si>
  <si>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</si>
  <si>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</si>
  <si>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</si>
  <si>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AmÃ©lie</t>
  </si>
  <si>
    <t>Jamel Debbouze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</si>
  <si>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</si>
  <si>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</si>
  <si>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</si>
  <si>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</si>
  <si>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New York Minute</t>
  </si>
  <si>
    <t>Comedy|Crime|Family|Romance</t>
  </si>
  <si>
    <t>Mary-Kate Olsen</t>
  </si>
  <si>
    <t>Bob Saget</t>
  </si>
  <si>
    <t>Riley Smith</t>
  </si>
  <si>
    <t>dog|new york city|scholarship|senator|twin</t>
  </si>
  <si>
    <t>http://www.imdb.com/title/tt0363282/?ref_=fn_tt_tt_1</t>
  </si>
  <si>
    <t>Charles Shyer</t>
  </si>
  <si>
    <t>Alfie</t>
  </si>
  <si>
    <t>best friend|commitment|friend|limousine driver|one night stand</t>
  </si>
  <si>
    <t>http://www.imdb.com/title/tt0375173/?ref_=fn_tt_tt_1</t>
  </si>
  <si>
    <t>Big Miracle</t>
  </si>
  <si>
    <t>Ted Danson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</si>
  <si>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</si>
  <si>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</si>
  <si>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</si>
  <si>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</si>
  <si>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</si>
  <si>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</si>
  <si>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</si>
  <si>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</si>
  <si>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William Malone</t>
  </si>
  <si>
    <t>Feardotcom</t>
  </si>
  <si>
    <t>Crime|Horror|Thriller</t>
  </si>
  <si>
    <t>Jeffrey Combs</t>
  </si>
  <si>
    <t>bondage gear|bound and gagged|hung by one's wrists|tied to a chair|tied to a table</t>
  </si>
  <si>
    <t>http://www.imdb.com/title/tt0295254/?ref_=fn_tt_tt_1</t>
  </si>
  <si>
    <t>Cirque du Freak: The Vampire's Assistant</t>
  </si>
  <si>
    <t>antidote|based on young adult novel|flyer|spider|vampire</t>
  </si>
  <si>
    <t>http://www.imdb.com/title/tt0450405/?ref_=fn_tt_tt_1</t>
  </si>
  <si>
    <t>Duplex</t>
  </si>
  <si>
    <t>christmas|duplex|television|tenant|writer</t>
  </si>
  <si>
    <t>http://www.imdb.com/title/tt0266489/?ref_=fn_tt_tt_1</t>
  </si>
  <si>
    <t>Jerry Jameson</t>
  </si>
  <si>
    <t>Raise the Titanic</t>
  </si>
  <si>
    <t>Jason Robards</t>
  </si>
  <si>
    <t>military|mineral|ocean|ship|titanic</t>
  </si>
  <si>
    <t>http://www.imdb.com/title/tt0081400/?ref_=fn_tt_tt_1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</si>
  <si>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</si>
  <si>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</si>
  <si>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</si>
  <si>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</si>
  <si>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Christian Alvart</t>
  </si>
  <si>
    <t>Pandorum</t>
  </si>
  <si>
    <t>Action|Horror|Mystery|Sci-Fi|Thriller</t>
  </si>
  <si>
    <t>Eddie Rouse</t>
  </si>
  <si>
    <t>future|mission|space|spaceship|survival</t>
  </si>
  <si>
    <t>http://www.imdb.com/title/tt1188729/?ref_=fn_tt_tt_1</t>
  </si>
  <si>
    <t>Impostor</t>
  </si>
  <si>
    <t>Tim Guinee</t>
  </si>
  <si>
    <t>alien|android|bomb|future|weapon</t>
  </si>
  <si>
    <t>http://www.imdb.com/title/tt0160399/?ref_=fn_tt_tt_1</t>
  </si>
  <si>
    <t>Extreme Ops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</si>
  <si>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</si>
  <si>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</si>
  <si>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</si>
  <si>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</si>
  <si>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Just Visiting</t>
  </si>
  <si>
    <t>Comedy|Fantasy|Sci-Fi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</si>
  <si>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</si>
  <si>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</si>
  <si>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</si>
  <si>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</si>
  <si>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Sunshine</t>
  </si>
  <si>
    <t>Troy Garity</t>
  </si>
  <si>
    <t>astronaut|earth|future|icarus|sun</t>
  </si>
  <si>
    <t>http://www.imdb.com/title/tt0448134/?ref_=fn_tt_tt_1</t>
  </si>
  <si>
    <t>A Thousand Words</t>
  </si>
  <si>
    <t>John Gatins</t>
  </si>
  <si>
    <t>Lou Saliba</t>
  </si>
  <si>
    <t>Greg Collins</t>
  </si>
  <si>
    <t>box office flop|buddhist|liar|literary agent|magical tree</t>
  </si>
  <si>
    <t>http://www.imdb.com/title/tt0763831/?ref_=fn_tt_tt_1</t>
  </si>
  <si>
    <t>Marc F. Adler</t>
  </si>
  <si>
    <t>Delgo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</si>
  <si>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</si>
  <si>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</si>
  <si>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</si>
  <si>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</si>
  <si>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</si>
  <si>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</si>
  <si>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</si>
  <si>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</si>
  <si>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Geoffrey Sax</t>
  </si>
  <si>
    <t>Alex Rider: Operation Stormbreaker</t>
  </si>
  <si>
    <t>Action|Adventure|Family|Thriller</t>
  </si>
  <si>
    <t>Ashley Walters</t>
  </si>
  <si>
    <t>14 year old|british|gadget|spy|training</t>
  </si>
  <si>
    <t>http://www.imdb.com/title/tt0457495/?ref_=fn_tt_tt_1</t>
  </si>
  <si>
    <t>Disturbia</t>
  </si>
  <si>
    <t>Sarah Roemer</t>
  </si>
  <si>
    <t>Aaron Yoo</t>
  </si>
  <si>
    <t>binoculars|electronic tag|house arrest|neighbor|watching someone</t>
  </si>
  <si>
    <t>http://www.imdb.com/title/tt0486822/?ref_=fn_tt_tt_1</t>
  </si>
  <si>
    <t>Hackers</t>
  </si>
  <si>
    <t>computer|computer virus|cyberpunk|fight the system|sexual fantasy</t>
  </si>
  <si>
    <t>http://www.imdb.com/title/tt0113243/?ref_=fn_tt_tt_1</t>
  </si>
  <si>
    <t>Richard Shepard</t>
  </si>
  <si>
    <t>The Hunting Party</t>
  </si>
  <si>
    <t>Adventure|Comedy|Drama|Romance|Thriller|War</t>
  </si>
  <si>
    <t>James Brolin</t>
  </si>
  <si>
    <t>Zan Marolt</t>
  </si>
  <si>
    <t>Ljubomir Kerekes</t>
  </si>
  <si>
    <t>bosnia|cia|fox|hunt|war criminal</t>
  </si>
  <si>
    <t>http://www.imdb.com/title/tt0455782/?ref_=fn_tt_tt_1</t>
  </si>
  <si>
    <t>The Hudsucker Proxy</t>
  </si>
  <si>
    <t>John Mahoney</t>
  </si>
  <si>
    <t>art deco|board of directors|industry|mail|stock</t>
  </si>
  <si>
    <t>http://www.imdb.com/title/tt0110074/?ref_=fn_tt_tt_1</t>
  </si>
  <si>
    <t>Peter Ho-Sun Chan</t>
  </si>
  <si>
    <t>The Warlords</t>
  </si>
  <si>
    <t>Takeshi Kaneshiro</t>
  </si>
  <si>
    <t>Andy Lau</t>
  </si>
  <si>
    <t>assassination|blood brother|dynasty|general|stabbing a woman</t>
  </si>
  <si>
    <t>http://www.imdb.com/title/tt0913968/?ref_=fn_tt_tt_1</t>
  </si>
  <si>
    <t>Nomad: The Warrior</t>
  </si>
  <si>
    <t>Kuno Becker</t>
  </si>
  <si>
    <t>1800s|kazakhstan|nomad</t>
  </si>
  <si>
    <t>http://www.imdb.com/title/tt0374089/?ref_=fn_tt_tt_1</t>
  </si>
  <si>
    <t>Kazakh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</si>
  <si>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</si>
  <si>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</si>
  <si>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</si>
  <si>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</si>
  <si>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</si>
  <si>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</si>
  <si>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The Crow</t>
  </si>
  <si>
    <t>Action|Drama|Fantasy</t>
  </si>
  <si>
    <t>back from the dead|crime boss|crow|gothic|vigilante</t>
  </si>
  <si>
    <t>http://www.imdb.com/title/tt0109506/?ref_=fn_tt_tt_1</t>
  </si>
  <si>
    <t>The Time Traveler's Wife</t>
  </si>
  <si>
    <t>Drama|Fantasy|Romance|Sci-Fi</t>
  </si>
  <si>
    <t>Arliss Howard</t>
  </si>
  <si>
    <t>Brooklynn Proulx</t>
  </si>
  <si>
    <t>Michelle Nolden</t>
  </si>
  <si>
    <t>jumping on a bed|kissing while having sex|librarian|male objectification|pregnant woman in bathtub</t>
  </si>
  <si>
    <t>http://www.imdb.com/title/tt0452694/?ref_=fn_tt_tt_1</t>
  </si>
  <si>
    <t>Frankenweenie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</si>
  <si>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</si>
  <si>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</si>
  <si>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</si>
  <si>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</si>
  <si>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Serenity</t>
  </si>
  <si>
    <t>Sean Maher</t>
  </si>
  <si>
    <t>Michael Hitchcock</t>
  </si>
  <si>
    <t>alliance|cannibalism|future|operative|planet</t>
  </si>
  <si>
    <t>http://www.imdb.com/title/tt0379786/?ref_=fn_tt_tt_1</t>
  </si>
  <si>
    <t>Against the Ropes</t>
  </si>
  <si>
    <t>Biography|Drama|Romance|Sport</t>
  </si>
  <si>
    <t>boxer|boxing|boxing arena|boxing manager|directed by co star</t>
  </si>
  <si>
    <t>http://www.imdb.com/title/tt0312329/?ref_=fn_tt_tt_1</t>
  </si>
  <si>
    <t>Superman III</t>
  </si>
  <si>
    <t>Robert Vaughn</t>
  </si>
  <si>
    <t>computer|high school|kryptonite|smallville|villain</t>
  </si>
  <si>
    <t>http://www.imdb.com/title/tt0086393/?ref_=fn_tt_tt_1</t>
  </si>
  <si>
    <t>Grudge Match</t>
  </si>
  <si>
    <t>Oscar Gale</t>
  </si>
  <si>
    <t>broke|promoter|retirement|trainer|training</t>
  </si>
  <si>
    <t>http://www.imdb.com/title/tt1661382/?ref_=fn_tt_tt_1</t>
  </si>
  <si>
    <t>Red Cliff</t>
  </si>
  <si>
    <t>Wei Zhao</t>
  </si>
  <si>
    <t>alliance|battle|china|chinese|strategy</t>
  </si>
  <si>
    <t>http://www.imdb.com/title/tt0425637/?ref_=fn_tt_tt_1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</si>
  <si>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</si>
  <si>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</si>
  <si>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</si>
  <si>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</si>
  <si>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The Ugly Truth</t>
  </si>
  <si>
    <t>Eric Winter</t>
  </si>
  <si>
    <t>call in|chick flick|date|hot air balloon|show producer</t>
  </si>
  <si>
    <t>http://www.imdb.com/title/tt1142988/?ref_=fn_tt_tt_1</t>
  </si>
  <si>
    <t>Jonathan Lynn</t>
  </si>
  <si>
    <t>Sgt. Bilko</t>
  </si>
  <si>
    <t>Phil Hartman</t>
  </si>
  <si>
    <t>Max Casella</t>
  </si>
  <si>
    <t>greenland|military|revenge|soldier|u.s. soldier</t>
  </si>
  <si>
    <t>http://www.imdb.com/title/tt0117608/?ref_=fn_tt_tt_1</t>
  </si>
  <si>
    <t>Spy Kids 2: Island of Lost Dreams</t>
  </si>
  <si>
    <t>Emily Osment</t>
  </si>
  <si>
    <t>island|mad scientist|scientist|sequel|spy</t>
  </si>
  <si>
    <t>http://www.imdb.com/title/tt0287717/?ref_=fn_tt_tt_1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</si>
  <si>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</si>
  <si>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</si>
  <si>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</si>
  <si>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</si>
  <si>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Kar-Wai Wong</t>
  </si>
  <si>
    <t>The Grandmaster</t>
  </si>
  <si>
    <t>Action|Biography|Drama</t>
  </si>
  <si>
    <t>Hye-kyo Song</t>
  </si>
  <si>
    <t>Elvis Tsui</t>
  </si>
  <si>
    <t>challenge|china|hong kong|martial arts|martial arts master</t>
  </si>
  <si>
    <t>http://www.imdb.com/title/tt1462900/?ref_=fn_tt_tt_1</t>
  </si>
  <si>
    <t>Water for Elephants</t>
  </si>
  <si>
    <t>circus|circus vargas|elephant|fear|train</t>
  </si>
  <si>
    <t>http://www.imdb.com/title/tt1067583/?ref_=fn_tt_tt_1</t>
  </si>
  <si>
    <t>Norman Jewison</t>
  </si>
  <si>
    <t>The Hurricane</t>
  </si>
  <si>
    <t>african american|book|boxer|boxing|murder</t>
  </si>
  <si>
    <t>http://www.imdb.com/title/tt0174856/?ref_=fn_tt_tt_1</t>
  </si>
  <si>
    <t>Enough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</si>
  <si>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</si>
  <si>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</si>
  <si>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</si>
  <si>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</si>
  <si>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Heartbreakers</t>
  </si>
  <si>
    <t>bank|infidelity|millionaire|money|scam</t>
  </si>
  <si>
    <t>http://www.imdb.com/title/tt0125022/?ref_=fn_tt_tt_1</t>
  </si>
  <si>
    <t>Paul Blart: Mall Cop 2</t>
  </si>
  <si>
    <t>D.B. Woodside</t>
  </si>
  <si>
    <t>Daniella Alonso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</si>
  <si>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</si>
  <si>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</si>
  <si>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</si>
  <si>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</si>
  <si>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Angel Eyes</t>
  </si>
  <si>
    <t>Sonia Braga</t>
  </si>
  <si>
    <t>Kari Matchett</t>
  </si>
  <si>
    <t>apartment|fate|gun|love|mysterious man</t>
  </si>
  <si>
    <t>http://www.imdb.com/title/tt0225071/?ref_=fn_tt_tt_1</t>
  </si>
  <si>
    <t>Joe Somebody</t>
  </si>
  <si>
    <t>bully|co worker|divorce|fight|karate</t>
  </si>
  <si>
    <t>http://www.imdb.com/title/tt0279889/?ref_=fn_tt_tt_1</t>
  </si>
  <si>
    <t>The Ninth Gate</t>
  </si>
  <si>
    <t>bare butt|gnosticism|lucifer|rare book|sex</t>
  </si>
  <si>
    <t>http://www.imdb.com/title/tt0142688/?ref_=fn_tt_tt_1</t>
  </si>
  <si>
    <t>Extreme Measures</t>
  </si>
  <si>
    <t>Bill Nunn</t>
  </si>
  <si>
    <t>cartoon on tv|doctor|emergency room|hospital|nudity</t>
  </si>
  <si>
    <t>http://www.imdb.com/title/tt0116259/?ref_=fn_tt_tt_1</t>
  </si>
  <si>
    <t>Rock Star</t>
  </si>
  <si>
    <t>Beth Grant</t>
  </si>
  <si>
    <t>Dagmara Dominczyk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</si>
  <si>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</si>
  <si>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</si>
  <si>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</si>
  <si>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</si>
  <si>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</t>
  </si>
  <si>
    <t>Mariah Carey</t>
  </si>
  <si>
    <t>abuse|african american lesbian|lesbian|lesbian couple|school</t>
  </si>
  <si>
    <t>http://www.imdb.com/title/tt0929632/?ref_=fn_tt_tt_1</t>
  </si>
  <si>
    <t>White Squall</t>
  </si>
  <si>
    <t>Adventure|Drama</t>
  </si>
  <si>
    <t>Jason Marsden</t>
  </si>
  <si>
    <t>acrophobia|jamaica|male bonding|prostitute|tragedy</t>
  </si>
  <si>
    <t>http://www.imdb.com/title/tt0118158/?ref_=fn_tt_tt_1</t>
  </si>
  <si>
    <t>The Thing</t>
  </si>
  <si>
    <t>Horror|Mystery|Sci-Fi</t>
  </si>
  <si>
    <t>Richard Masur</t>
  </si>
  <si>
    <t>David Clennon</t>
  </si>
  <si>
    <t>alien creature|alien life form|antarctica|isolation|paranoia</t>
  </si>
  <si>
    <t>http://www.imdb.com/title/tt0084787/?ref_=fn_tt_tt_1</t>
  </si>
  <si>
    <t>Riddick</t>
  </si>
  <si>
    <t>Nolan Gerard Funk</t>
  </si>
  <si>
    <t>alien|left for dead|mercenary|survival|vomiting</t>
  </si>
  <si>
    <t>http://www.imdb.com/title/tt1411250/?ref_=fn_tt_tt_1</t>
  </si>
  <si>
    <t>Jeb Stuart</t>
  </si>
  <si>
    <t>Switchback</t>
  </si>
  <si>
    <t>Gregory Scott Cummins</t>
  </si>
  <si>
    <t>Claudia Stedelin</t>
  </si>
  <si>
    <t>Ted Markland</t>
  </si>
  <si>
    <t>deputy|fbi agent|knife held to throat|serial killer|sheriff</t>
  </si>
  <si>
    <t>http://www.imdb.com/title/tt0119210/?ref_=fn_tt_tt_1</t>
  </si>
  <si>
    <t>Steve Miner</t>
  </si>
  <si>
    <t>Texas Rangers</t>
  </si>
  <si>
    <t>Action|Adventure|Drama|Thriller|Western</t>
  </si>
  <si>
    <t>Usher Raymond</t>
  </si>
  <si>
    <t>Leonor Varela</t>
  </si>
  <si>
    <t>army|mexican|orphan|texas|texas ranger</t>
  </si>
  <si>
    <t>http://www.imdb.com/title/tt0193560/?ref_=fn_tt_tt_1</t>
  </si>
  <si>
    <t>City of Ember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</si>
  <si>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</si>
  <si>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</si>
  <si>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</si>
  <si>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</si>
  <si>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</si>
  <si>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The Master</t>
  </si>
  <si>
    <t>Mike Howard</t>
  </si>
  <si>
    <t>Jeffrey W. Jenkins</t>
  </si>
  <si>
    <t>Bruce Goodchild</t>
  </si>
  <si>
    <t>drifter|past life regression|psychological testing|right hand man|scientology</t>
  </si>
  <si>
    <t>http://www.imdb.com/title/tt1560747/?ref_=fn_tt_tt_1</t>
  </si>
  <si>
    <t>The Express</t>
  </si>
  <si>
    <t>african american|coach|football movie|nonlinear timeline|syracuse university</t>
  </si>
  <si>
    <t>http://www.imdb.com/title/tt0469903/?ref_=fn_tt_tt_1</t>
  </si>
  <si>
    <t>J Blakeson</t>
  </si>
  <si>
    <t>The 5th Wave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</si>
  <si>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</si>
  <si>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</si>
  <si>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</si>
  <si>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</si>
  <si>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</si>
  <si>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Creed</t>
  </si>
  <si>
    <t>Phylicia Rashad</t>
  </si>
  <si>
    <t>Graham McTavish</t>
  </si>
  <si>
    <t>boxing|boxing match|fight|montage|philadelphia</t>
  </si>
  <si>
    <t>http://www.imdb.com/title/tt3076658/?ref_=fn_tt_tt_1</t>
  </si>
  <si>
    <t>The Town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</si>
  <si>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</si>
  <si>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</si>
  <si>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</si>
  <si>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</si>
  <si>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</t>
  </si>
  <si>
    <t>baby|expecting twins|hawaiian shirt|photographer|pregnancy</t>
  </si>
  <si>
    <t>http://www.imdb.com/title/tt1586265/?ref_=fn_tt_tt_1</t>
  </si>
  <si>
    <t>Ethan Coen</t>
  </si>
  <si>
    <t>Burn After Reading</t>
  </si>
  <si>
    <t>cia|divorce|embassy|gym|memoir</t>
  </si>
  <si>
    <t>http://www.imdb.com/title/tt0887883/?ref_=fn_tt_tt_1</t>
  </si>
  <si>
    <t>Jennifer Flackett</t>
  </si>
  <si>
    <t>Nim's Island</t>
  </si>
  <si>
    <t>Anthony Simcoe</t>
  </si>
  <si>
    <t>Christopher James Baker</t>
  </si>
  <si>
    <t>author|girl|island|reading|scientist</t>
  </si>
  <si>
    <t>http://www.imdb.com/title/tt0410377/?ref_=fn_tt_tt_1</t>
  </si>
  <si>
    <t>Rush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</si>
  <si>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</si>
  <si>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</si>
  <si>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</si>
  <si>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</si>
  <si>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Magnolia</t>
  </si>
  <si>
    <t>Patton Oswalt</t>
  </si>
  <si>
    <t>Neil Flynn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</si>
  <si>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</si>
  <si>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</si>
  <si>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</si>
  <si>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</si>
  <si>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</t>
  </si>
  <si>
    <t>baseball card|detective|partner|thief|wedding</t>
  </si>
  <si>
    <t>http://www.imdb.com/title/tt1385867/?ref_=fn_tt_tt_1</t>
  </si>
  <si>
    <t>Christian Ditter</t>
  </si>
  <si>
    <t>How to Be Single</t>
  </si>
  <si>
    <t>motor scooter|new york city|newborn baby|scooter|single</t>
  </si>
  <si>
    <t>http://www.imdb.com/title/tt1292566/?ref_=fn_tt_tt_1</t>
  </si>
  <si>
    <t>Charles Martin Smith</t>
  </si>
  <si>
    <t>Dolphin Tale</t>
  </si>
  <si>
    <t>Drama|Family</t>
  </si>
  <si>
    <t>Michael Roark</t>
  </si>
  <si>
    <t>boy|dolphin|prosthetics|tail|trap</t>
  </si>
  <si>
    <t>http://www.imdb.com/title/tt1564349/?ref_=fn_tt_tt_1</t>
  </si>
  <si>
    <t>Twilight</t>
  </si>
  <si>
    <t>blood|high school|love|school|vampire</t>
  </si>
  <si>
    <t>http://www.imdb.com/title/tt1099212/?ref_=fn_tt_tt_1</t>
  </si>
  <si>
    <t>John Q</t>
  </si>
  <si>
    <t>Laura Harring</t>
  </si>
  <si>
    <t>health care|heart transplant|hospital|hostage|insurance</t>
  </si>
  <si>
    <t>http://www.imdb.com/title/tt0251160/?ref_=fn_tt_tt_1</t>
  </si>
  <si>
    <t>Blue Streak</t>
  </si>
  <si>
    <t>Tamala Jones</t>
  </si>
  <si>
    <t>detective|diamond|jewel|police|thief</t>
  </si>
  <si>
    <t>http://www.imdb.com/title/tt0181316/?ref_=fn_tt_tt_1</t>
  </si>
  <si>
    <t>We're the Millers</t>
  </si>
  <si>
    <t>Laura-Leigh</t>
  </si>
  <si>
    <t>Molly C. Quinn</t>
  </si>
  <si>
    <t>fake family|male frontal nudity|marijuana|mexico|stripper</t>
  </si>
  <si>
    <t>http://www.imdb.com/title/tt1723121/?ref_=fn_tt_tt_1</t>
  </si>
  <si>
    <t>Breakdown</t>
  </si>
  <si>
    <t>car breakdown|diner|jeep|paranoia|violence</t>
  </si>
  <si>
    <t>http://www.imdb.com/title/tt0118771/?ref_=fn_tt_tt_1</t>
  </si>
  <si>
    <t>Irvin Kershner</t>
  </si>
  <si>
    <t>Never Say Never Again</t>
  </si>
  <si>
    <t>Bernie Casey</t>
  </si>
  <si>
    <t>Klaus Maria Brandauer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</si>
  <si>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</si>
  <si>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</si>
  <si>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</si>
  <si>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</si>
  <si>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Hot Tub Time Machine</t>
  </si>
  <si>
    <t>Charlie McDermott</t>
  </si>
  <si>
    <t>Collette Wolfe</t>
  </si>
  <si>
    <t>cheating wife|drug reference|maintenance man|male vomiting|promiscuous woman</t>
  </si>
  <si>
    <t>http://www.imdb.com/title/tt1231587/?ref_=fn_tt_tt_1</t>
  </si>
  <si>
    <t>Dolphin Tale 2</t>
  </si>
  <si>
    <t>Taylor Blackwell</t>
  </si>
  <si>
    <t>dolphin|latex gloves|medical scrubs|purple gloves|turtle</t>
  </si>
  <si>
    <t>http://www.imdb.com/title/tt2978462/?ref_=fn_tt_tt_1</t>
  </si>
  <si>
    <t>Reindeer Games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</si>
  <si>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</si>
  <si>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</si>
  <si>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</si>
  <si>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</t>
  </si>
  <si>
    <t>bust|dea|drug cartel|justice|tragic hero</t>
  </si>
  <si>
    <t>http://www.imdb.com/title/tt0266465/?ref_=fn_tt_tt_1</t>
  </si>
  <si>
    <t>Aloha</t>
  </si>
  <si>
    <t>box office flop|critically bashed|hawaii|one word title|written by director</t>
  </si>
  <si>
    <t>http://www.imdb.com/title/tt1243974/?ref_=fn_tt_tt_1</t>
  </si>
  <si>
    <t>Ghosts of Mississippi</t>
  </si>
  <si>
    <t>activist|assassin|civil rights|trial|widow</t>
  </si>
  <si>
    <t>http://www.imdb.com/title/tt0116410/?ref_=fn_tt_tt_1</t>
  </si>
  <si>
    <t>Scott Hicks</t>
  </si>
  <si>
    <t>Snow Falling on Cedars</t>
  </si>
  <si>
    <t>Reeve Carney</t>
  </si>
  <si>
    <t>fisherman|japanese|love|trial|washington state</t>
  </si>
  <si>
    <t>http://www.imdb.com/title/tt0120834/?ref_=fn_tt_tt_1</t>
  </si>
  <si>
    <t>The Rite</t>
  </si>
  <si>
    <t>Colin O'Donoghue</t>
  </si>
  <si>
    <t>demon|exorcism|exorcist|faith|seminary</t>
  </si>
  <si>
    <t>http://www.imdb.com/title/tt1161864/?ref_=fn_tt_tt_1</t>
  </si>
  <si>
    <t>Gattaca</t>
  </si>
  <si>
    <t>Blair Underwood</t>
  </si>
  <si>
    <t>Mason Gamble</t>
  </si>
  <si>
    <t>accident|future|genetics|mission|police</t>
  </si>
  <si>
    <t>http://www.imdb.com/title/tt0119177/?ref_=fn_tt_tt_1</t>
  </si>
  <si>
    <t>Isn't She Great</t>
  </si>
  <si>
    <t>Biography|Comedy|Romance</t>
  </si>
  <si>
    <t>autistic son|cancer|female protagonist|new york city|son</t>
  </si>
  <si>
    <t>http://www.imdb.com/title/tt0141399/?ref_=fn_tt_tt_1</t>
  </si>
  <si>
    <t>Space Chimps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</si>
  <si>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</si>
  <si>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</si>
  <si>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</si>
  <si>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</si>
  <si>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</si>
  <si>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</si>
  <si>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</si>
  <si>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</si>
  <si>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The Hangover</t>
  </si>
  <si>
    <t>drunkenness|female nudity|hangover|hedonism|morning after</t>
  </si>
  <si>
    <t>http://www.imdb.com/title/tt1119646/?ref_=fn_tt_tt_1</t>
  </si>
  <si>
    <t>Wilson Yip</t>
  </si>
  <si>
    <t>Ip Man 3</t>
  </si>
  <si>
    <t>Action|Biography|Drama|History</t>
  </si>
  <si>
    <t>Lynn Hung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</si>
  <si>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</si>
  <si>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</si>
  <si>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</si>
  <si>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</si>
  <si>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</t>
  </si>
  <si>
    <t>penis joke|phallic image|sexy agent|spy|volcano hideout</t>
  </si>
  <si>
    <t>http://www.imdb.com/title/tt0145660/?ref_=fn_tt_tt_1</t>
  </si>
  <si>
    <t>Batman</t>
  </si>
  <si>
    <t>William Hootkins</t>
  </si>
  <si>
    <t>city|dc comics|gotham|pantyhose|police</t>
  </si>
  <si>
    <t>http://www.imdb.com/title/tt0096895/?ref_=fn_tt_tt_1</t>
  </si>
  <si>
    <t>There Be Dragons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</si>
  <si>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</si>
  <si>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</si>
  <si>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</si>
  <si>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</si>
  <si>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</t>
  </si>
  <si>
    <t>gangster|gun|internal affairs|police|police officer</t>
  </si>
  <si>
    <t>http://www.imdb.com/title/tt0104714/?ref_=fn_tt_tt_1</t>
  </si>
  <si>
    <t>The Blind Side</t>
  </si>
  <si>
    <t>Catherine Dyer</t>
  </si>
  <si>
    <t>Quinton Aaron</t>
  </si>
  <si>
    <t>american football|based on true story|football star|high school football|left tackle</t>
  </si>
  <si>
    <t>http://www.imdb.com/title/tt0878804/?ref_=fn_tt_tt_1</t>
  </si>
  <si>
    <t>Spy Kids</t>
  </si>
  <si>
    <t>brother sister relationship|espionage|rescue|secret agent|spy</t>
  </si>
  <si>
    <t>http://www.imdb.com/title/tt0227538/?ref_=fn_tt_tt_1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</si>
  <si>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</si>
  <si>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</si>
  <si>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</si>
  <si>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</si>
  <si>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True Grit</t>
  </si>
  <si>
    <t>Bruce Green</t>
  </si>
  <si>
    <t>arkansas|murder|sheriff|texas ranger|u.s. marshal</t>
  </si>
  <si>
    <t>http://www.imdb.com/title/tt1403865/?ref_=fn_tt_tt_1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</si>
  <si>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</si>
  <si>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</si>
  <si>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</si>
  <si>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</si>
  <si>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Robert Wise</t>
  </si>
  <si>
    <t>Star Trek: The Motion Picture</t>
  </si>
  <si>
    <t>Nichelle Nichols</t>
  </si>
  <si>
    <t>Walter Koenig</t>
  </si>
  <si>
    <t>alien|space|space station|spacecraft|warp speed</t>
  </si>
  <si>
    <t>http://www.imdb.com/title/tt0079945/?ref_=fn_tt_tt_1</t>
  </si>
  <si>
    <t>Identity Thief</t>
  </si>
  <si>
    <t>bounty hunter|credit card|cross country|identity|police</t>
  </si>
  <si>
    <t>http://www.imdb.com/title/tt2024432/?ref_=fn_tt_tt_1</t>
  </si>
  <si>
    <t>Cape Fear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</si>
  <si>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</si>
  <si>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</si>
  <si>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</si>
  <si>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</si>
  <si>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</si>
  <si>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Trainwreck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</si>
  <si>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</si>
  <si>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</si>
  <si>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</si>
  <si>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</si>
  <si>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</si>
  <si>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Guess Who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</si>
  <si>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</si>
  <si>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</si>
  <si>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</si>
  <si>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</si>
  <si>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</t>
  </si>
  <si>
    <t>Drama|Romance|War</t>
  </si>
  <si>
    <t>church|english|flashback|nurse|patient</t>
  </si>
  <si>
    <t>http://www.imdb.com/title/tt0116209/?ref_=fn_tt_tt_1</t>
  </si>
  <si>
    <t>L.A. Confidential</t>
  </si>
  <si>
    <t>Matt McCoy</t>
  </si>
  <si>
    <t>1950s|call girl|corruption|murder|police detective</t>
  </si>
  <si>
    <t>http://www.imdb.com/title/tt0119488/?ref_=fn_tt_tt_1</t>
  </si>
  <si>
    <t>Sky High</t>
  </si>
  <si>
    <t>Adventure|Comedy|Family|Sci-Fi</t>
  </si>
  <si>
    <t>coming of age|friend|high school|sidekick|superpower</t>
  </si>
  <si>
    <t>http://www.imdb.com/title/tt0405325/?ref_=fn_tt_tt_1</t>
  </si>
  <si>
    <t>In &amp; Out</t>
  </si>
  <si>
    <t>Lauren Ambrose</t>
  </si>
  <si>
    <t>academy award|gay|high school|reporter|teacher</t>
  </si>
  <si>
    <t>http://www.imdb.com/title/tt0119360/?ref_=fn_tt_tt_1</t>
  </si>
  <si>
    <t>Species</t>
  </si>
  <si>
    <t>Natasha Henstridge</t>
  </si>
  <si>
    <t>Marg Helgenberger</t>
  </si>
  <si>
    <t>Jordan Lund</t>
  </si>
  <si>
    <t>alien|interspecies sex|scientist|sexual attraction|train</t>
  </si>
  <si>
    <t>http://www.imdb.com/title/tt0114508/?ref_=fn_tt_tt_1</t>
  </si>
  <si>
    <t>A Nightmare on Elm Street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</si>
  <si>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</si>
  <si>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</si>
  <si>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</si>
  <si>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</si>
  <si>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</si>
  <si>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</t>
  </si>
  <si>
    <t>coma|fbi|race against time|serial killer|strong female lead</t>
  </si>
  <si>
    <t>http://www.imdb.com/title/tt0209958/?ref_=fn_tt_tt_1</t>
  </si>
  <si>
    <t>The Man in the Iron Mask</t>
  </si>
  <si>
    <t>Anne Parillaud</t>
  </si>
  <si>
    <t>Judith GodrÃ¨che</t>
  </si>
  <si>
    <t>france|musketeer|three musketeers|twin|twin brother</t>
  </si>
  <si>
    <t>http://www.imdb.com/title/tt0120744/?ref_=fn_tt_tt_1</t>
  </si>
  <si>
    <t>Secretariat</t>
  </si>
  <si>
    <t>Biography|Drama|Family|History|Sport</t>
  </si>
  <si>
    <t>Kevin Connolly</t>
  </si>
  <si>
    <t>eccentric|horse racing|newspaper clipping|stallion|triple crown</t>
  </si>
  <si>
    <t>http://www.imdb.com/title/tt1028576/?ref_=fn_tt_tt_1</t>
  </si>
  <si>
    <t>Kevin Munroe</t>
  </si>
  <si>
    <t>TMNT</t>
  </si>
  <si>
    <t>martial arts master|monster|new york city|turtle|warrior</t>
  </si>
  <si>
    <t>http://www.imdb.com/title/tt0453556/?ref_=fn_tt_tt_1</t>
  </si>
  <si>
    <t>Michael Tollin</t>
  </si>
  <si>
    <t>Radio</t>
  </si>
  <si>
    <t>coach|football|football coach|high school|radio</t>
  </si>
  <si>
    <t>http://www.imdb.com/title/tt0316465/?ref_=fn_tt_tt_1</t>
  </si>
  <si>
    <t>Friends with Benefits</t>
  </si>
  <si>
    <t>blow job|female rear nudity|girl in panties|male objectification|no panties</t>
  </si>
  <si>
    <t>http://www.imdb.com/title/tt1632708/?ref_=fn_tt_tt_1</t>
  </si>
  <si>
    <t>Nicholas Stoller</t>
  </si>
  <si>
    <t>Neighbors 2: Sorority Rising</t>
  </si>
  <si>
    <t>Kiersey Clemons</t>
  </si>
  <si>
    <t>bare chested male|gay|gay best friend|gay man|gay marriage proposal</t>
  </si>
  <si>
    <t>http://www.imdb.com/title/tt4438848/?ref_=fn_tt_tt_1</t>
  </si>
  <si>
    <t>Saving Mr. Banks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</si>
  <si>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</si>
  <si>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</si>
  <si>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</si>
  <si>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</si>
  <si>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</si>
  <si>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</si>
  <si>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</si>
  <si>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This Is 40</t>
  </si>
  <si>
    <t>Charlyne Yi</t>
  </si>
  <si>
    <t>Mackenzie Aladjem</t>
  </si>
  <si>
    <t>40th birthday|aging|birthday|sex|viagra</t>
  </si>
  <si>
    <t>http://www.imdb.com/title/tt1758830/?ref_=fn_tt_tt_1</t>
  </si>
  <si>
    <t>Old Dogs</t>
  </si>
  <si>
    <t>best friend|business deal|impulse|public relations|twin</t>
  </si>
  <si>
    <t>http://www.imdb.com/title/tt0976238/?ref_=fn_tt_tt_1</t>
  </si>
  <si>
    <t>Patrick Tatopoulos</t>
  </si>
  <si>
    <t>Underworld: Rise of the Lycans</t>
  </si>
  <si>
    <t>Craig Parker</t>
  </si>
  <si>
    <t>Steven Mackintosh</t>
  </si>
  <si>
    <t>battle|slave|vampire|warrior|werewolf</t>
  </si>
  <si>
    <t>http://www.imdb.com/title/tt0834001/?ref_=fn_tt_tt_1</t>
  </si>
  <si>
    <t>License to Wed</t>
  </si>
  <si>
    <t>Christine Taylor</t>
  </si>
  <si>
    <t>box office flop|church|kissing|usa|wedding</t>
  </si>
  <si>
    <t>http://www.imdb.com/title/tt0762114/?ref_=fn_tt_tt_1</t>
  </si>
  <si>
    <t>The Benchwarmers</t>
  </si>
  <si>
    <t>baseball|baseball team|bully|millionaire|team</t>
  </si>
  <si>
    <t>http://www.imdb.com/title/tt0437863/?ref_=fn_tt_tt_1</t>
  </si>
  <si>
    <t>Gary David Goldberg</t>
  </si>
  <si>
    <t>Must Love Dogs</t>
  </si>
  <si>
    <t>Victor Webster</t>
  </si>
  <si>
    <t>date|dating|dog|love|teacher</t>
  </si>
  <si>
    <t>http://www.imdb.com/title/tt0417001/?ref_=fn_tt_tt_1</t>
  </si>
  <si>
    <t>Donnie Brasco</t>
  </si>
  <si>
    <t>fbi|mafia|money|racial slur|singer</t>
  </si>
  <si>
    <t>http://www.imdb.com/title/tt0119008/?ref_=fn_tt_tt_1</t>
  </si>
  <si>
    <t>Resident Evil</t>
  </si>
  <si>
    <t>Jaymes Butler</t>
  </si>
  <si>
    <t>amnesia|quarantine|special forces|virus|zombie</t>
  </si>
  <si>
    <t>http://www.imdb.com/title/tt0120804/?ref_=fn_tt_tt_1</t>
  </si>
  <si>
    <t>Tobe Hooper</t>
  </si>
  <si>
    <t>Poltergeist</t>
  </si>
  <si>
    <t>Fantasy|Horror</t>
  </si>
  <si>
    <t>Heather O'Rourke</t>
  </si>
  <si>
    <t>Zelda Rubinstein</t>
  </si>
  <si>
    <t>ghost|haunted|haunting|house|paranormal investigator</t>
  </si>
  <si>
    <t>http://www.imdb.com/title/tt0084516/?ref_=fn_tt_tt_1</t>
  </si>
  <si>
    <t>The Ladykillers</t>
  </si>
  <si>
    <t>casino|irony of fate|landlady|professor|remake</t>
  </si>
  <si>
    <t>http://www.imdb.com/title/tt0335245/?ref_=fn_tt_tt_1</t>
  </si>
  <si>
    <t>Max Payne</t>
  </si>
  <si>
    <t>Beau Bridges</t>
  </si>
  <si>
    <t>Jamie Hector</t>
  </si>
  <si>
    <t>corporation|death|ex partner|hallucination|police detective</t>
  </si>
  <si>
    <t>http://www.imdb.com/title/tt0467197/?ref_=fn_tt_tt_1</t>
  </si>
  <si>
    <t>In Time</t>
  </si>
  <si>
    <t>currency|future|murder|on the run|time</t>
  </si>
  <si>
    <t>http://www.imdb.com/title/tt1637688/?ref_=fn_tt_tt_1</t>
  </si>
  <si>
    <t>Alan Poul</t>
  </si>
  <si>
    <t>The Back-up Plan</t>
  </si>
  <si>
    <t>Danneel Ackles</t>
  </si>
  <si>
    <t>Noureen DeWulf</t>
  </si>
  <si>
    <t>Tom Bosley</t>
  </si>
  <si>
    <t>artificial insemination|baby|cheese|chick flick|pet shop</t>
  </si>
  <si>
    <t>http://www.imdb.com/title/tt1212436/?ref_=fn_tt_tt_1</t>
  </si>
  <si>
    <t>Luke Greenfield</t>
  </si>
  <si>
    <t>Something Borrowed</t>
  </si>
  <si>
    <t>Ashley Williams</t>
  </si>
  <si>
    <t>Steve Howey</t>
  </si>
  <si>
    <t>Kirsten Day</t>
  </si>
  <si>
    <t>best friend|crush|law school|lawyer|loud sex</t>
  </si>
  <si>
    <t>http://www.imdb.com/title/tt0491152/?ref_=fn_tt_tt_1</t>
  </si>
  <si>
    <t>Gil Junger</t>
  </si>
  <si>
    <t>Black Knight</t>
  </si>
  <si>
    <t>14th century|king|knight|sword duel|time travel</t>
  </si>
  <si>
    <t>http://www.imdb.com/title/tt0265087/?ref_=fn_tt_tt_1</t>
  </si>
  <si>
    <t>Steven E. de Souza</t>
  </si>
  <si>
    <t>Street Fighter</t>
  </si>
  <si>
    <t>Raul Julia</t>
  </si>
  <si>
    <t>guile|hostage|ransom|soldier|united nations</t>
  </si>
  <si>
    <t>http://www.imdb.com/title/tt0111301/?ref_=fn_tt_tt_1</t>
  </si>
  <si>
    <t>The Pianist</t>
  </si>
  <si>
    <t>Emilia Fox</t>
  </si>
  <si>
    <t>Frank Finlay</t>
  </si>
  <si>
    <t>Ed Stoppard</t>
  </si>
  <si>
    <t>ghetto|holocaust|jewish|piano|warsaw ghetto</t>
  </si>
  <si>
    <t>http://www.imdb.com/title/tt0253474/?ref_=fn_tt_tt_1</t>
  </si>
  <si>
    <t>The Nativity Story</t>
  </si>
  <si>
    <t>Keisha Castle-Hughes</t>
  </si>
  <si>
    <t>Hiam Abbass</t>
  </si>
  <si>
    <t>Shaun Toub</t>
  </si>
  <si>
    <t>angel|bethlehem|journey|nazareth|virgin</t>
  </si>
  <si>
    <t>http://www.imdb.com/title/tt0762121/?ref_=fn_tt_tt_1</t>
  </si>
  <si>
    <t>House of Wax</t>
  </si>
  <si>
    <t>Paris Hilton</t>
  </si>
  <si>
    <t>Brian Van Holt</t>
  </si>
  <si>
    <t>brother sister relationship|group of friends|male nudity|twin|wax</t>
  </si>
  <si>
    <t>http://www.imdb.com/title/tt0397065/?ref_=fn_tt_tt_1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</si>
  <si>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</si>
  <si>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</si>
  <si>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</si>
  <si>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</si>
  <si>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J. Edgar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</si>
  <si>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</si>
  <si>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</si>
  <si>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</si>
  <si>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</si>
  <si>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</t>
  </si>
  <si>
    <t>estranged wife|evil|fire|medication|mirror</t>
  </si>
  <si>
    <t>http://www.imdb.com/title/tt0790686/?ref_=fn_tt_tt_1</t>
  </si>
  <si>
    <t>Michael Rymer</t>
  </si>
  <si>
    <t>Queen of the Damned</t>
  </si>
  <si>
    <t>Aaliyah</t>
  </si>
  <si>
    <t>fatal attraction|interspecies romance|queen|supernatural power|vampire</t>
  </si>
  <si>
    <t>http://www.imdb.com/title/tt0238546/?ref_=fn_tt_tt_1</t>
  </si>
  <si>
    <t>Predator 2</t>
  </si>
  <si>
    <t>Kevin Peter Hall</t>
  </si>
  <si>
    <t>alien|drug lord|gang|hunter|predator</t>
  </si>
  <si>
    <t>http://www.imdb.com/title/tt0100403/?ref_=fn_tt_tt_1</t>
  </si>
  <si>
    <t>Untraceable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</si>
  <si>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</si>
  <si>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</si>
  <si>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</si>
  <si>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</si>
  <si>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</si>
  <si>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Blast from the Past</t>
  </si>
  <si>
    <t>Comedy|Drama|Romance|Sci-Fi</t>
  </si>
  <si>
    <t>Sissy Spacek</t>
  </si>
  <si>
    <t>Douglas Smith</t>
  </si>
  <si>
    <t>1960s|bomb shelter|cuban missile crisis|food|naive man</t>
  </si>
  <si>
    <t>http://www.imdb.com/title/tt0124298/?ref_=fn_tt_tt_1</t>
  </si>
  <si>
    <t>Jersey Girl</t>
  </si>
  <si>
    <t>baby|childbirth|death|karma|publicist</t>
  </si>
  <si>
    <t>http://www.imdb.com/title/tt0300051/?ref_=fn_tt_tt_1</t>
  </si>
  <si>
    <t>Alex Cross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</si>
  <si>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</si>
  <si>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</si>
  <si>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</si>
  <si>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</si>
  <si>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</si>
  <si>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</si>
  <si>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</si>
  <si>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</si>
  <si>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Susanna White</t>
  </si>
  <si>
    <t>Nanny McPhee Returns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</si>
  <si>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</si>
  <si>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</si>
  <si>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</si>
  <si>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</si>
  <si>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Hoffa</t>
  </si>
  <si>
    <t>Frank Whaley</t>
  </si>
  <si>
    <t>labor|labor union|leader|mafia|union</t>
  </si>
  <si>
    <t>http://www.imdb.com/title/tt0104427/?ref_=fn_tt_tt_1</t>
  </si>
  <si>
    <t>Chris Carter</t>
  </si>
  <si>
    <t>The X Files: I Want to Believe</t>
  </si>
  <si>
    <t>Nicki Aycox</t>
  </si>
  <si>
    <t>fbi|priest|psychic|psychic vision|staff physician</t>
  </si>
  <si>
    <t>http://www.imdb.com/title/tt0443701/?ref_=fn_tt_tt_1</t>
  </si>
  <si>
    <t>Tommy O'Haver</t>
  </si>
  <si>
    <t>Ella Enchanted</t>
  </si>
  <si>
    <t>Joanna Lumley</t>
  </si>
  <si>
    <t>curse|fairy|obedience|prince|strong female character</t>
  </si>
  <si>
    <t>http://www.imdb.com/title/tt0327679/?ref_=fn_tt_tt_1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</si>
  <si>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</si>
  <si>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</si>
  <si>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</si>
  <si>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</si>
  <si>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Abduction</t>
  </si>
  <si>
    <t>Ken Arnold</t>
  </si>
  <si>
    <t>Benjamin J. Cain Jr.</t>
  </si>
  <si>
    <t>Richard Cetrone</t>
  </si>
  <si>
    <t>assassin|high school|on the run|teenager|website</t>
  </si>
  <si>
    <t>http://www.imdb.com/title/tt1600195/?ref_=fn_tt_tt_1</t>
  </si>
  <si>
    <t>Gary Chapman</t>
  </si>
  <si>
    <t>Valiant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</si>
  <si>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</si>
  <si>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</si>
  <si>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</si>
  <si>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</si>
  <si>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</si>
  <si>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</si>
  <si>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</si>
  <si>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</si>
  <si>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</si>
  <si>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Superhero Movie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</si>
  <si>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</si>
  <si>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</si>
  <si>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</si>
  <si>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</si>
  <si>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</si>
  <si>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</si>
  <si>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Broken City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</si>
  <si>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</si>
  <si>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</si>
  <si>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</si>
  <si>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</si>
  <si>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Cursed</t>
  </si>
  <si>
    <t>Comedy|Horror</t>
  </si>
  <si>
    <t>Shannon Elizabeth</t>
  </si>
  <si>
    <t>Portia de Rossi</t>
  </si>
  <si>
    <t>creature|death|party|rescue|werewolf</t>
  </si>
  <si>
    <t>http://www.imdb.com/title/tt0257516/?ref_=fn_tt_tt_1</t>
  </si>
  <si>
    <t>Premium Rush</t>
  </si>
  <si>
    <t>chase|courier|delivery|envelope|police</t>
  </si>
  <si>
    <t>http://www.imdb.com/title/tt1547234/?ref_=fn_tt_tt_1</t>
  </si>
  <si>
    <t>Hot Pursuit</t>
  </si>
  <si>
    <t>Jim Gaffigan</t>
  </si>
  <si>
    <t>Richard T. Jones</t>
  </si>
  <si>
    <t>Michael Mosley</t>
  </si>
  <si>
    <t>danger|drug cartel|female cop|female police officer|fugitive</t>
  </si>
  <si>
    <t>http://www.imdb.com/title/tt2967224/?ref_=fn_tt_tt_1</t>
  </si>
  <si>
    <t>The Four Feathers</t>
  </si>
  <si>
    <t>Lucy Gordon</t>
  </si>
  <si>
    <t>Alex Jennings</t>
  </si>
  <si>
    <t>male nudity|naked dead man|nudity|sex|whipping</t>
  </si>
  <si>
    <t>http://www.imdb.com/title/tt0240510/?ref_=fn_tt_tt_1</t>
  </si>
  <si>
    <t>Parker</t>
  </si>
  <si>
    <t>Wendell Pierce</t>
  </si>
  <si>
    <t>action hero|disguise|hospital|real estate agent|thief</t>
  </si>
  <si>
    <t>http://www.imdb.com/title/tt1904996/?ref_=fn_tt_tt_1</t>
  </si>
  <si>
    <t>Wimbledon</t>
  </si>
  <si>
    <t>Austin Nichols</t>
  </si>
  <si>
    <t>career|player|tennis|tennis player|wimbledon</t>
  </si>
  <si>
    <t>http://www.imdb.com/title/tt0360201/?ref_=fn_tt_tt_1</t>
  </si>
  <si>
    <t>Furry Vengeance</t>
  </si>
  <si>
    <t>Brooke Shields</t>
  </si>
  <si>
    <t>Matt Prokop</t>
  </si>
  <si>
    <t>animal|bear|land developer|real estate|real estate developer</t>
  </si>
  <si>
    <t>http://www.imdb.com/title/tt0492389/?ref_=fn_tt_tt_1</t>
  </si>
  <si>
    <t>Lions for Lambs</t>
  </si>
  <si>
    <t>Drama|Thriller|War</t>
  </si>
  <si>
    <t>afghanistan|professor|reporter|student|university</t>
  </si>
  <si>
    <t>http://www.imdb.com/title/tt0891527/?ref_=fn_tt_tt_1</t>
  </si>
  <si>
    <t>Flight of the Intruder</t>
  </si>
  <si>
    <t>Rosanna Arquette</t>
  </si>
  <si>
    <t>Dann Florek</t>
  </si>
  <si>
    <t>Christopher Rich</t>
  </si>
  <si>
    <t>bombardier|pilot|u.s. navy|vietnam|vietnam war</t>
  </si>
  <si>
    <t>http://www.imdb.com/title/tt0099587/?ref_=fn_tt_tt_1</t>
  </si>
  <si>
    <t>Walk Hard: The Dewey Cox Story</t>
  </si>
  <si>
    <t>Comedy|Music</t>
  </si>
  <si>
    <t>drugs|elvis|musician|singer|the beatles</t>
  </si>
  <si>
    <t>http://www.imdb.com/title/tt0841046/?ref_=fn_tt_tt_1</t>
  </si>
  <si>
    <t>Lasse HallstrÃ¶m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</si>
  <si>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</si>
  <si>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</si>
  <si>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</si>
  <si>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</si>
  <si>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American Outlaws</t>
  </si>
  <si>
    <t>Action|Western</t>
  </si>
  <si>
    <t>legend|old west|outlaw|railroad|stealing from the rich</t>
  </si>
  <si>
    <t>http://www.imdb.com/title/tt0244000/?ref_=fn_tt_tt_1</t>
  </si>
  <si>
    <t>Jean-Marc VallÃ©e</t>
  </si>
  <si>
    <t>The Young Victoria</t>
  </si>
  <si>
    <t>Michiel Huisman</t>
  </si>
  <si>
    <t>19th century|courtship|female protagonist|princess|queen of england</t>
  </si>
  <si>
    <t>http://www.imdb.com/title/tt0962736/?ref_=fn_tt_tt_1</t>
  </si>
  <si>
    <t>Whiteout</t>
  </si>
  <si>
    <t>Bashar Rahal</t>
  </si>
  <si>
    <t>Shawn Doyle</t>
  </si>
  <si>
    <t>antarctica|geologist|investigation|u.s. marshal|winter</t>
  </si>
  <si>
    <t>http://www.imdb.com/title/tt0365929/?ref_=fn_tt_tt_1</t>
  </si>
  <si>
    <t>The Tree of Life</t>
  </si>
  <si>
    <t>1950s|children|ice cube|texas|waco texas</t>
  </si>
  <si>
    <t>http://www.imdb.com/title/tt0478304/?ref_=fn_tt_tt_1</t>
  </si>
  <si>
    <t>Hark Tsui</t>
  </si>
  <si>
    <t>Knock Off</t>
  </si>
  <si>
    <t>Paul Sorvino</t>
  </si>
  <si>
    <t>Lela Rochon</t>
  </si>
  <si>
    <t>Ray Nicholas</t>
  </si>
  <si>
    <t>cia|hong kong|market|undercover|van</t>
  </si>
  <si>
    <t>http://www.imdb.com/title/tt0120724/?ref_=fn_tt_tt_1</t>
  </si>
  <si>
    <t>Aruba</t>
  </si>
  <si>
    <t>Sabotage</t>
  </si>
  <si>
    <t>Maurice Compte</t>
  </si>
  <si>
    <t>dea|drug cartel|kicked in the crotch|strip club|tough girl</t>
  </si>
  <si>
    <t>http://www.imdb.com/title/tt1742334/?ref_=fn_tt_tt_1</t>
  </si>
  <si>
    <t>The Order</t>
  </si>
  <si>
    <t>Benno FÃ¼rmann</t>
  </si>
  <si>
    <t>death|exorcism|heaven|priest|sin eater</t>
  </si>
  <si>
    <t>http://www.imdb.com/title/tt0304711/?ref_=fn_tt_tt_1</t>
  </si>
  <si>
    <t>Lexi Alexander</t>
  </si>
  <si>
    <t>Punisher: War Zone</t>
  </si>
  <si>
    <t>Julie Benz</t>
  </si>
  <si>
    <t>gun fu|plastic surgery|psychopath|undercover|vigilante</t>
  </si>
  <si>
    <t>http://www.imdb.com/title/tt0450314/?ref_=fn_tt_tt_1</t>
  </si>
  <si>
    <t>Zoom</t>
  </si>
  <si>
    <t>Action|Adventure|Family|Sci-Fi</t>
  </si>
  <si>
    <t>bruise|female hero|super strength|superhero|teenage superhero</t>
  </si>
  <si>
    <t>http://www.imdb.com/title/tt0383060/?ref_=fn_tt_tt_1</t>
  </si>
  <si>
    <t>The Walk</t>
  </si>
  <si>
    <t>Adventure|Biography|Drama|Thriller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</si>
  <si>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</si>
  <si>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</si>
  <si>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</si>
  <si>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</si>
  <si>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</si>
  <si>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Warriors of Virtue</t>
  </si>
  <si>
    <t>Marley Shelton</t>
  </si>
  <si>
    <t>Lee Arenberg</t>
  </si>
  <si>
    <t>Angus Macfadyen</t>
  </si>
  <si>
    <t>anthropomorphic animal|football|kangaroo|sword and sorcery|water boy</t>
  </si>
  <si>
    <t>http://www.imdb.com/title/tt0120479/?ref_=fn_tt_tt_1</t>
  </si>
  <si>
    <t>A Good Year</t>
  </si>
  <si>
    <t>based on novel|inheritance|provence|uncle|wine</t>
  </si>
  <si>
    <t>http://www.imdb.com/title/tt0401445/?ref_=fn_tt_tt_1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</si>
  <si>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</si>
  <si>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</si>
  <si>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</si>
  <si>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Blood In, Blood Out</t>
  </si>
  <si>
    <t>1970s|1980s|barrio|gang war|mexican</t>
  </si>
  <si>
    <t>http://www.imdb.com/title/tt0106469/?ref_=fn_tt_tt_1</t>
  </si>
  <si>
    <t>Bille August</t>
  </si>
  <si>
    <t>Smilla's Sense of Snow</t>
  </si>
  <si>
    <t>boy|greenland|neighbor|roof|snow</t>
  </si>
  <si>
    <t>http://www.imdb.com/title/tt0120152/?ref_=fn_tt_tt_1</t>
  </si>
  <si>
    <t>Denmark</t>
  </si>
  <si>
    <t>Femme Fatale</t>
  </si>
  <si>
    <t>Rie Rasmussen</t>
  </si>
  <si>
    <t>ambassador|cannes|identity|suicide|thief</t>
  </si>
  <si>
    <t>http://www.imdb.com/title/tt0280665/?ref_=fn_tt_tt_1</t>
  </si>
  <si>
    <t>Ride with the Devil</t>
  </si>
  <si>
    <t>Drama|Romance|War|Western</t>
  </si>
  <si>
    <t>Jeremy W. Auman</t>
  </si>
  <si>
    <t>Jeffrey Dover</t>
  </si>
  <si>
    <t>Tobey Maguire</t>
  </si>
  <si>
    <t>bushwhacker|friend|honor|kansas|raid</t>
  </si>
  <si>
    <t>http://www.imdb.com/title/tt0134154/?ref_=fn_tt_tt_1</t>
  </si>
  <si>
    <t>The Maze Runner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</si>
  <si>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</si>
  <si>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</si>
  <si>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</si>
  <si>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</si>
  <si>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</si>
  <si>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Unfinished Business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</si>
  <si>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</si>
  <si>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</si>
  <si>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</si>
  <si>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</si>
  <si>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The Age of Innocence</t>
  </si>
  <si>
    <t>19th century|countess|lawyer|love|new york</t>
  </si>
  <si>
    <t>http://www.imdb.com/title/tt0106226/?ref_=fn_tt_tt_1</t>
  </si>
  <si>
    <t>The Fountain</t>
  </si>
  <si>
    <t>Ellen Burstyn</t>
  </si>
  <si>
    <t>eternity|love|mayan|tree|tree of life</t>
  </si>
  <si>
    <t>http://www.imdb.com/title/tt0414993/?ref_=fn_tt_tt_1</t>
  </si>
  <si>
    <t>Hugh Johnson</t>
  </si>
  <si>
    <t>Chill Factor</t>
  </si>
  <si>
    <t>Action|Adventure|Comedy|Drama|Thriller</t>
  </si>
  <si>
    <t>Kevin J. O'Connor</t>
  </si>
  <si>
    <t>Hudson Leick</t>
  </si>
  <si>
    <t>colonel|ice|ice cream truck|military|u.s. army</t>
  </si>
  <si>
    <t>http://www.imdb.com/title/tt0163579/?ref_=fn_tt_tt_1</t>
  </si>
  <si>
    <t>Stolen</t>
  </si>
  <si>
    <t>Sami Gayle</t>
  </si>
  <si>
    <t>bank|money|presumed dead|rescue|thief</t>
  </si>
  <si>
    <t>http://www.imdb.com/title/tt1656186/?ref_=fn_tt_tt_1</t>
  </si>
  <si>
    <t>Hayao Miyazaki</t>
  </si>
  <si>
    <t>Ponyo</t>
  </si>
  <si>
    <t>Rumi Hiiragi</t>
  </si>
  <si>
    <t>YÃ»ki Amami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</si>
  <si>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</si>
  <si>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</si>
  <si>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</si>
  <si>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</si>
  <si>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</si>
  <si>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The Longest Ride</t>
  </si>
  <si>
    <t>Tiago Riani</t>
  </si>
  <si>
    <t>Melissa Benoist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</si>
  <si>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</si>
  <si>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</si>
  <si>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</si>
  <si>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</si>
  <si>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</si>
  <si>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</si>
  <si>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</si>
  <si>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Hugh Hudson</t>
  </si>
  <si>
    <t>I Dreamed of Africa</t>
  </si>
  <si>
    <t>Eva Marie Saint</t>
  </si>
  <si>
    <t>Vincent Perez</t>
  </si>
  <si>
    <t>dream|italian|kenya|ranch|snake</t>
  </si>
  <si>
    <t>http://www.imdb.com/title/tt0167203/?ref_=fn_tt_tt_1</t>
  </si>
  <si>
    <t>Playing for Keeps</t>
  </si>
  <si>
    <t>coach|soccer|soccer coach|soccer mom|soccer team</t>
  </si>
  <si>
    <t>http://www.imdb.com/title/tt1540128/?ref_=fn_tt_tt_1</t>
  </si>
  <si>
    <t>Mandela: Long Walk to Freedom</t>
  </si>
  <si>
    <t>Terry Pheto</t>
  </si>
  <si>
    <t>Fana Mokoena</t>
  </si>
  <si>
    <t>Tony Kgoroge</t>
  </si>
  <si>
    <t>africa|apartheid|nelson mandela|president|resistance</t>
  </si>
  <si>
    <t>http://www.imdb.com/title/tt2304771/?ref_=fn_tt_tt_1</t>
  </si>
  <si>
    <t>A Few Good Men</t>
  </si>
  <si>
    <t>cuba|guantanamo|lance corporal|lawyer|murder</t>
  </si>
  <si>
    <t>http://www.imdb.com/title/tt0104257/?ref_=fn_tt_tt_1</t>
  </si>
  <si>
    <t>Exit Wounds</t>
  </si>
  <si>
    <t>corrupt cop|drug dealer|drugs|heroin|vice president</t>
  </si>
  <si>
    <t>http://www.imdb.com/title/tt0242445/?ref_=fn_tt_tt_1</t>
  </si>
  <si>
    <t>Big Momma's House</t>
  </si>
  <si>
    <t>Tichina Arnold</t>
  </si>
  <si>
    <t>disguise|fbi|female impersonation|gender disguise|obesity</t>
  </si>
  <si>
    <t>http://www.imdb.com/title/tt0208003/?ref_=fn_tt_tt_1</t>
  </si>
  <si>
    <t>Chris Gorak</t>
  </si>
  <si>
    <t>The Darkest Hour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</si>
  <si>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</si>
  <si>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</si>
  <si>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</si>
  <si>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</si>
  <si>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</si>
  <si>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 Up Revolution</t>
  </si>
  <si>
    <t>Drama|Music|Romance</t>
  </si>
  <si>
    <t>Ryan Guzman</t>
  </si>
  <si>
    <t>Stephen Boss</t>
  </si>
  <si>
    <t>3 dimensional|dance|dancer|dancing|flash mob</t>
  </si>
  <si>
    <t>http://www.imdb.com/title/tt1800741/?ref_=fn_tt_tt_1</t>
  </si>
  <si>
    <t>Snakes on a Plane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</si>
  <si>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</si>
  <si>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</si>
  <si>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</si>
  <si>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</si>
  <si>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</si>
  <si>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The Watcher</t>
  </si>
  <si>
    <t>Crime|Horror|Mystery|Thriller</t>
  </si>
  <si>
    <t>Chris Ellis</t>
  </si>
  <si>
    <t>fbi|murder|scene of the crime|serial killer|therapy</t>
  </si>
  <si>
    <t>http://www.imdb.com/title/tt0204626/?ref_=fn_tt_tt_1</t>
  </si>
  <si>
    <t>Jonathan Hensleigh</t>
  </si>
  <si>
    <t>The Punisher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</si>
  <si>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</si>
  <si>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</si>
  <si>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</si>
  <si>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</si>
  <si>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</si>
  <si>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Goal! The Dream Begins</t>
  </si>
  <si>
    <t>barrio|border|newcastle united|party|soccer</t>
  </si>
  <si>
    <t>http://www.imdb.com/title/tt0380389/?ref_=fn_tt_tt_1</t>
  </si>
  <si>
    <t>Boaz Yakin</t>
  </si>
  <si>
    <t>Safe</t>
  </si>
  <si>
    <t>Robert John Burke</t>
  </si>
  <si>
    <t>bodyguard|gang war|russian|russian mafia|triad</t>
  </si>
  <si>
    <t>http://www.imdb.com/title/tt1656190/?ref_=fn_tt_tt_1</t>
  </si>
  <si>
    <t>Pushing Tin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</si>
  <si>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</si>
  <si>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</si>
  <si>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</si>
  <si>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</t>
  </si>
  <si>
    <t>Kenny Baker</t>
  </si>
  <si>
    <t>death star|emperor|empire|princess|rebel</t>
  </si>
  <si>
    <t>http://www.imdb.com/title/tt0086190/?ref_=fn_tt_tt_1</t>
  </si>
  <si>
    <t>Neil Marshall</t>
  </si>
  <si>
    <t>Doomsday</t>
  </si>
  <si>
    <t>Ryan Kruger</t>
  </si>
  <si>
    <t>cure|quarantine|scotland|virus|wall</t>
  </si>
  <si>
    <t>http://www.imdb.com/title/tt0483607/?ref_=fn_tt_tt_1</t>
  </si>
  <si>
    <t>The Reader</t>
  </si>
  <si>
    <t>David Kross</t>
  </si>
  <si>
    <t>Susanne Lothar</t>
  </si>
  <si>
    <t>love|reading|teaching oneself to read|trial|war crime</t>
  </si>
  <si>
    <t>http://www.imdb.com/title/tt0976051/?ref_=fn_tt_tt_1</t>
  </si>
  <si>
    <t>Elf</t>
  </si>
  <si>
    <t>baby|christmas spirit|elf|new york city|north pole</t>
  </si>
  <si>
    <t>http://www.imdb.com/title/tt0319343/?ref_=fn_tt_tt_1</t>
  </si>
  <si>
    <t>Phenomenon</t>
  </si>
  <si>
    <t>Kyra Sedgwick</t>
  </si>
  <si>
    <t>David Gallagher</t>
  </si>
  <si>
    <t>brain tumor|genius|psionic power|telekinesis|terminal illness</t>
  </si>
  <si>
    <t>http://www.imdb.com/title/tt0117333/?ref_=fn_tt_tt_1</t>
  </si>
  <si>
    <t>Snow Dogs</t>
  </si>
  <si>
    <t>Adventure|Comedy|Family|Sport</t>
  </si>
  <si>
    <t>dentist|dog|inheritance|race|sled dog</t>
  </si>
  <si>
    <t>http://www.imdb.com/title/tt0281373/?ref_=fn_tt_tt_1</t>
  </si>
  <si>
    <t>Scrooged</t>
  </si>
  <si>
    <t>Comedy|Drama|Fantasy</t>
  </si>
  <si>
    <t>christmas|compassion|executive|ghost|redemption</t>
  </si>
  <si>
    <t>http://www.imdb.com/title/tt0096061/?ref_=fn_tt_tt_1</t>
  </si>
  <si>
    <t>Jared Hess</t>
  </si>
  <si>
    <t>Nacho Libre</t>
  </si>
  <si>
    <t>Comedy|Family|Sport</t>
  </si>
  <si>
    <t>HÃ©ctor JimÃ©nez</t>
  </si>
  <si>
    <t>lucha libre|monastery|nun|orphan|wrestling</t>
  </si>
  <si>
    <t>http://www.imdb.com/title/tt0457510/?ref_=fn_tt_tt_1</t>
  </si>
  <si>
    <t>Bridesmaids</t>
  </si>
  <si>
    <t>Wendi McLendon-Covey</t>
  </si>
  <si>
    <t>Steve Bannos</t>
  </si>
  <si>
    <t>best friend|failure|food|job|partial female nudity</t>
  </si>
  <si>
    <t>http://www.imdb.com/title/tt1478338/?ref_=fn_tt_tt_1</t>
  </si>
  <si>
    <t>This Is the End</t>
  </si>
  <si>
    <t>apocalypse|celebrity|ensemble cast|party|rapture</t>
  </si>
  <si>
    <t>http://www.imdb.com/title/tt1245492/?ref_=fn_tt_tt_1</t>
  </si>
  <si>
    <t>Rupert Wainwright</t>
  </si>
  <si>
    <t>Stigmata</t>
  </si>
  <si>
    <t>catholic|priest|stigmata|vatican|wound</t>
  </si>
  <si>
    <t>http://www.imdb.com/title/tt0145531/?ref_=fn_tt_tt_1</t>
  </si>
  <si>
    <t>Men of Honor</t>
  </si>
  <si>
    <t>african american|amputee|navy|racial discrimination|racism</t>
  </si>
  <si>
    <t>http://www.imdb.com/title/tt0203019/?ref_=fn_tt_tt_1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</si>
  <si>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</si>
  <si>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</si>
  <si>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</si>
  <si>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</si>
  <si>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</si>
  <si>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</si>
  <si>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</si>
  <si>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</si>
  <si>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</si>
  <si>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</si>
  <si>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</si>
  <si>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</si>
  <si>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Source Code</t>
  </si>
  <si>
    <t>Cas Anvar</t>
  </si>
  <si>
    <t>Russell Peters</t>
  </si>
  <si>
    <t>bomber|time|time loop|train|trapped in a time loop</t>
  </si>
  <si>
    <t>http://www.imdb.com/title/tt0945513/?ref_=fn_tt_tt_1</t>
  </si>
  <si>
    <t>Alive</t>
  </si>
  <si>
    <t>Illeana Douglas</t>
  </si>
  <si>
    <t>Danny Nucci</t>
  </si>
  <si>
    <t>Michael DeLorenzo</t>
  </si>
  <si>
    <t>andes mountains|crash|death|starvation|stranded</t>
  </si>
  <si>
    <t>http://www.imdb.com/title/tt0106246/?ref_=fn_tt_tt_1</t>
  </si>
  <si>
    <t>The Number 23</t>
  </si>
  <si>
    <t>Ed Lauter</t>
  </si>
  <si>
    <t>destiny|detective|imagination|murder|sex scene</t>
  </si>
  <si>
    <t>http://www.imdb.com/title/tt0481369/?ref_=fn_tt_tt_1</t>
  </si>
  <si>
    <t>The Young and Prodigious T.S. Spivet</t>
  </si>
  <si>
    <t>Action|Adventure|Drama|Family</t>
  </si>
  <si>
    <t>Julian Richings</t>
  </si>
  <si>
    <t>Judy Davis</t>
  </si>
  <si>
    <t>3 dimensional|cartographer|punctuation in title|smithsonian|train</t>
  </si>
  <si>
    <t>http://www.imdb.com/title/tt1981107/?ref_=fn_tt_tt_1</t>
  </si>
  <si>
    <t>Dreamer: Inspired by a True Story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</si>
  <si>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</si>
  <si>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</si>
  <si>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</si>
  <si>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</si>
  <si>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</si>
  <si>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A History of Violence</t>
  </si>
  <si>
    <t>Kyle Schmid</t>
  </si>
  <si>
    <t>bar|crotch shot|female full frontal nudity|female pubic hair|robbery</t>
  </si>
  <si>
    <t>http://www.imdb.com/title/tt0399146/?ref_=fn_tt_tt_1</t>
  </si>
  <si>
    <t>Transporter 2</t>
  </si>
  <si>
    <t>driver|french|kidnapping|police|sequel</t>
  </si>
  <si>
    <t>http://www.imdb.com/title/tt0388482/?ref_=fn_tt_tt_1</t>
  </si>
  <si>
    <t>The Quick and the Dead</t>
  </si>
  <si>
    <t>Action|Thriller|Western</t>
  </si>
  <si>
    <t>Pat Hingle</t>
  </si>
  <si>
    <t>Roberts Blossom</t>
  </si>
  <si>
    <t>authority figure as villian|gun duel|saved from hanging|showdown|street shootout</t>
  </si>
  <si>
    <t>http://www.imdb.com/title/tt0114214/?ref_=fn_tt_tt_1</t>
  </si>
  <si>
    <t>Laws of Attraction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</si>
  <si>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</si>
  <si>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</si>
  <si>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</si>
  <si>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</si>
  <si>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</si>
  <si>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Bringing Out the Dead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</si>
  <si>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</si>
  <si>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</si>
  <si>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</si>
  <si>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</si>
  <si>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</si>
  <si>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</si>
  <si>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</si>
  <si>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</si>
  <si>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Hyung-rae Shim</t>
  </si>
  <si>
    <t>Dragon Wars: D-War</t>
  </si>
  <si>
    <t>Action|Drama|Fantasy|Horror|Thriller</t>
  </si>
  <si>
    <t>Aimee Garcia</t>
  </si>
  <si>
    <t>antique shop|asian dragon|dragon|korean|reporter</t>
  </si>
  <si>
    <t>http://www.imdb.com/title/tt0372873/?ref_=fn_tt_tt_1</t>
  </si>
  <si>
    <t>Bogus</t>
  </si>
  <si>
    <t>Nancy Travis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</si>
  <si>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</si>
  <si>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</si>
  <si>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</si>
  <si>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</si>
  <si>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</si>
  <si>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</si>
  <si>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</si>
  <si>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Cats Don't Dance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</si>
  <si>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</si>
  <si>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</si>
  <si>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</si>
  <si>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</si>
  <si>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</si>
  <si>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Cradle Will Rock</t>
  </si>
  <si>
    <t>1930s|depression|play|theatre|union</t>
  </si>
  <si>
    <t>http://www.imdb.com/title/tt0150216/?ref_=fn_tt_tt_1</t>
  </si>
  <si>
    <t>The Good German</t>
  </si>
  <si>
    <t>american|driver|journalist|russian|secret</t>
  </si>
  <si>
    <t>http://www.imdb.com/title/tt0452624/?ref_=fn_tt_tt_1</t>
  </si>
  <si>
    <t>Apocalypse Now</t>
  </si>
  <si>
    <t>army|green beret|insanity|jungle|vietnam</t>
  </si>
  <si>
    <t>http://www.imdb.com/title/tt0078788/?ref_=fn_tt_tt_1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</si>
  <si>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</si>
  <si>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</si>
  <si>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</si>
  <si>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</si>
  <si>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Mr. Holland's Opus</t>
  </si>
  <si>
    <t>Olympia Dukakis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</si>
  <si>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</si>
  <si>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</si>
  <si>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</si>
  <si>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</si>
  <si>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Criminal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</si>
  <si>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</si>
  <si>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</si>
  <si>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</si>
  <si>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</si>
  <si>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Out of Africa</t>
  </si>
  <si>
    <t>africa|hunter|love|marriage|plantation</t>
  </si>
  <si>
    <t>http://www.imdb.com/title/tt0089755/?ref_=fn_tt_tt_1</t>
  </si>
  <si>
    <t>Flight</t>
  </si>
  <si>
    <t>airline|flight|flight attendant|lawyer|pilot</t>
  </si>
  <si>
    <t>http://www.imdb.com/title/tt1907668/?ref_=fn_tt_tt_1</t>
  </si>
  <si>
    <t>Lewis Gilbert</t>
  </si>
  <si>
    <t>Moonraker</t>
  </si>
  <si>
    <t>Lois Maxwell</t>
  </si>
  <si>
    <t>astronaut|dog|official james bond series|space shuttle|space shuttle transported on a 747</t>
  </si>
  <si>
    <t>http://www.imdb.com/title/tt0079574/?ref_=fn_tt_tt_1</t>
  </si>
  <si>
    <t>The Grand Budapest Hotel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</si>
  <si>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</si>
  <si>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</si>
  <si>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</si>
  <si>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</t>
  </si>
  <si>
    <t>Drama|Mystery</t>
  </si>
  <si>
    <t>Hope Davis</t>
  </si>
  <si>
    <t>based on multiple works|bully|kiss|memory|mysterious stranger</t>
  </si>
  <si>
    <t>http://www.imdb.com/title/tt0252501/?ref_=fn_tt_tt_1</t>
  </si>
  <si>
    <t>Arachnophobia</t>
  </si>
  <si>
    <t>Comedy|Fantasy|Horror|Thriller</t>
  </si>
  <si>
    <t>Peter Jason</t>
  </si>
  <si>
    <t>Brian McNamara</t>
  </si>
  <si>
    <t>arachnophobia|death|doctor|small town|spider</t>
  </si>
  <si>
    <t>http://www.imdb.com/title/tt0099052/?ref_=fn_tt_tt_1</t>
  </si>
  <si>
    <t>Frequency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</si>
  <si>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</si>
  <si>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</si>
  <si>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</si>
  <si>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</si>
  <si>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Vacation</t>
  </si>
  <si>
    <t>Beverly D'Angelo</t>
  </si>
  <si>
    <t>amusement park|dysfunctional family|road trip|sequel|vacation</t>
  </si>
  <si>
    <t>http://www.imdb.com/title/tt1524930/?ref_=fn_tt_tt_1</t>
  </si>
  <si>
    <t>Get Shorty</t>
  </si>
  <si>
    <t>debt|loan shark|mobster|movie business|producer</t>
  </si>
  <si>
    <t>http://www.imdb.com/title/tt0113161/?ref_=fn_tt_tt_1</t>
  </si>
  <si>
    <t>Chicago</t>
  </si>
  <si>
    <t>Comedy|Crime|Musical</t>
  </si>
  <si>
    <t>Chita Rivera</t>
  </si>
  <si>
    <t>Jayne Eastwood</t>
  </si>
  <si>
    <t>fame|jail|jazz age|murder|vaudeville</t>
  </si>
  <si>
    <t>http://www.imdb.com/title/tt0299658/?ref_=fn_tt_tt_1</t>
  </si>
  <si>
    <t>Big Daddy</t>
  </si>
  <si>
    <t>Joey Lauren Adams</t>
  </si>
  <si>
    <t>homosexual|law|law school|responsibility|vomiting</t>
  </si>
  <si>
    <t>http://www.imdb.com/title/tt0142342/?ref_=fn_tt_tt_1</t>
  </si>
  <si>
    <t>J.B. Rogers</t>
  </si>
  <si>
    <t>American Pie 2</t>
  </si>
  <si>
    <t>beach|beach house|college|party|student</t>
  </si>
  <si>
    <t>http://www.imdb.com/title/tt0252866/?ref_=fn_tt_tt_1</t>
  </si>
  <si>
    <t>Toy Story</t>
  </si>
  <si>
    <t>claw crane|cowboy|jealousy|rivalry|toy</t>
  </si>
  <si>
    <t>http://www.imdb.com/title/tt0114709/?ref_=fn_tt_tt_1</t>
  </si>
  <si>
    <t>Speed</t>
  </si>
  <si>
    <t>bomb|bus|elevator|explosive|rescue</t>
  </si>
  <si>
    <t>http://www.imdb.com/title/tt0111257/?ref_=fn_tt_tt_1</t>
  </si>
  <si>
    <t>Michael Sucsy</t>
  </si>
  <si>
    <t>The Vow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</si>
  <si>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</si>
  <si>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</si>
  <si>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</si>
  <si>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</si>
  <si>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</si>
  <si>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</si>
  <si>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</si>
  <si>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</si>
  <si>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Remember the Titans</t>
  </si>
  <si>
    <t>american football|based on true story|head coach|high school|school</t>
  </si>
  <si>
    <t>http://www.imdb.com/title/tt0210945/?ref_=fn_tt_tt_1</t>
  </si>
  <si>
    <t>The Hunt for Red October</t>
  </si>
  <si>
    <t>analyst|defection|navy|soviet submarine|submarine</t>
  </si>
  <si>
    <t>http://www.imdb.com/title/tt0099810/?ref_=fn_tt_tt_1</t>
  </si>
  <si>
    <t>Lee Daniels' The Butler</t>
  </si>
  <si>
    <t>butler|civil rights|hotel|president|white house</t>
  </si>
  <si>
    <t>http://www.imdb.com/title/tt1327773/?ref_=fn_tt_tt_1</t>
  </si>
  <si>
    <t>Dodgeball: A True Underdog Story</t>
  </si>
  <si>
    <t>dodgeball|gym|las vegas|pirate|ups</t>
  </si>
  <si>
    <t>http://www.imdb.com/title/tt0364725/?ref_=fn_tt_tt_1</t>
  </si>
  <si>
    <t>The Addams Family</t>
  </si>
  <si>
    <t>Carel Struycken</t>
  </si>
  <si>
    <t>accountant|loan shark|macabre|uncle|uncle fester</t>
  </si>
  <si>
    <t>http://www.imdb.com/title/tt0101272/?ref_=fn_tt_tt_1</t>
  </si>
  <si>
    <t>Ace Ventura: When Nature Calls</t>
  </si>
  <si>
    <t>africa|bat|hawaiian shirt|pregnancy|pregnant</t>
  </si>
  <si>
    <t>http://www.imdb.com/title/tt0112281/?ref_=fn_tt_tt_1</t>
  </si>
  <si>
    <t>The Princess Diaries</t>
  </si>
  <si>
    <t>Heather Matarazzo</t>
  </si>
  <si>
    <t>cinderella story|fish out of water|makeover|manners|princess</t>
  </si>
  <si>
    <t>http://www.imdb.com/title/tt0247638/?ref_=fn_tt_tt_1</t>
  </si>
  <si>
    <t>The First Wives Club</t>
  </si>
  <si>
    <t>cult film|female therapist|revenge|revenge motive|therapy session</t>
  </si>
  <si>
    <t>http://www.imdb.com/title/tt0116313/?ref_=fn_tt_tt_1</t>
  </si>
  <si>
    <t>Se7en</t>
  </si>
  <si>
    <t>detective|police partner|serial killer|serial murder|seven deadly sins</t>
  </si>
  <si>
    <t>http://www.imdb.com/title/tt0114369/?ref_=fn_tt_tt_1</t>
  </si>
  <si>
    <t>District 9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</si>
  <si>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</si>
  <si>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</si>
  <si>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</si>
  <si>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</si>
  <si>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</si>
  <si>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</si>
  <si>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</si>
  <si>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</si>
  <si>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Mystic River</t>
  </si>
  <si>
    <t>Spencer Treat Clark</t>
  </si>
  <si>
    <t>Tom Guiry</t>
  </si>
  <si>
    <t>ballistics|detective|friend|gun|sexual abuse</t>
  </si>
  <si>
    <t>http://www.imdb.com/title/tt0327056/?ref_=fn_tt_tt_1</t>
  </si>
  <si>
    <t>Million Dollar Baby</t>
  </si>
  <si>
    <t>Mike Colter</t>
  </si>
  <si>
    <t>boxing|boxing trainer|death|suicide attempt|women boxing</t>
  </si>
  <si>
    <t>http://www.imdb.com/title/tt0405159/?ref_=fn_tt_tt_1</t>
  </si>
  <si>
    <t>Analyze This</t>
  </si>
  <si>
    <t>analyst|mafia|patient|psychiatrist|wedding</t>
  </si>
  <si>
    <t>http://www.imdb.com/title/tt0122933/?ref_=fn_tt_tt_1</t>
  </si>
  <si>
    <t>The Notebook</t>
  </si>
  <si>
    <t>class differences|letter|nursing home|second chance|summer love</t>
  </si>
  <si>
    <t>http://www.imdb.com/title/tt0332280/?ref_=fn_tt_tt_1</t>
  </si>
  <si>
    <t>27 Dresses</t>
  </si>
  <si>
    <t>Bern Cohen</t>
  </si>
  <si>
    <t>Yetta Gottesman</t>
  </si>
  <si>
    <t>boss|bridesmaid|friend|love|wedding</t>
  </si>
  <si>
    <t>http://www.imdb.com/title/tt0988595/?ref_=fn_tt_tt_1</t>
  </si>
  <si>
    <t>Hannah Montana: The Movie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</si>
  <si>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</si>
  <si>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</si>
  <si>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</si>
  <si>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</si>
  <si>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Rugrats in Paris: The Movie</t>
  </si>
  <si>
    <t>Casey Kasem</t>
  </si>
  <si>
    <t>amusement park|baby|france|paris france|villain</t>
  </si>
  <si>
    <t>http://www.imdb.com/title/tt0213203/?ref_=fn_tt_tt_1</t>
  </si>
  <si>
    <t>The Prince of Tides</t>
  </si>
  <si>
    <t>Melinda Dillon</t>
  </si>
  <si>
    <t>new york|psychiatrist|shrimper|south carolina|twins</t>
  </si>
  <si>
    <t>http://www.imdb.com/title/tt0102713/?ref_=fn_tt_tt_1</t>
  </si>
  <si>
    <t>Legends of the Fall</t>
  </si>
  <si>
    <t>epic|heart|killing an animal|passion|usa</t>
  </si>
  <si>
    <t>http://www.imdb.com/title/tt0110322/?ref_=fn_tt_tt_1</t>
  </si>
  <si>
    <t>Jason Reitman</t>
  </si>
  <si>
    <t>Up in the Air</t>
  </si>
  <si>
    <t>Chris Lowell</t>
  </si>
  <si>
    <t>airport|business trip|downsizing|on the road|travel</t>
  </si>
  <si>
    <t>http://www.imdb.com/title/tt1193138/?ref_=fn_tt_tt_1</t>
  </si>
  <si>
    <t>Alexander Payne</t>
  </si>
  <si>
    <t>About Schmidt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</si>
  <si>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</si>
  <si>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</si>
  <si>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</si>
  <si>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</si>
  <si>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</si>
  <si>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Warm Bodies</t>
  </si>
  <si>
    <t>Comedy|Horror|Romance</t>
  </si>
  <si>
    <t>Cory Hardrict</t>
  </si>
  <si>
    <t>Vincent Leclerc</t>
  </si>
  <si>
    <t>Daniel Rindress-Kay</t>
  </si>
  <si>
    <t>fight|memory|teenager|undead|zombie</t>
  </si>
  <si>
    <t>http://www.imdb.com/title/tt1588173/?ref_=fn_tt_tt_1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</si>
  <si>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</si>
  <si>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</si>
  <si>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</si>
  <si>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</si>
  <si>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</si>
  <si>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Down to Earth</t>
  </si>
  <si>
    <t>angel|butler|heaven|manhattan new york city|reincarnation</t>
  </si>
  <si>
    <t>http://www.imdb.com/title/tt0231775/?ref_=fn_tt_tt_1</t>
  </si>
  <si>
    <t>Chris Noonan</t>
  </si>
  <si>
    <t>Babe</t>
  </si>
  <si>
    <t>Christine Cavanaugh</t>
  </si>
  <si>
    <t>dog|farmer|pig|sheep|sheepdog</t>
  </si>
  <si>
    <t>http://www.imdb.com/title/tt0112431/?ref_=fn_tt_tt_1</t>
  </si>
  <si>
    <t>Hope Springs</t>
  </si>
  <si>
    <t>Jean Smart</t>
  </si>
  <si>
    <t>couple|intimacy|marriage|marriage counseling|middle age couple</t>
  </si>
  <si>
    <t>http://www.imdb.com/title/tt1535438/?ref_=fn_tt_tt_1</t>
  </si>
  <si>
    <t>Forgetting Sarah Marshall</t>
  </si>
  <si>
    <t>Maria Thayer</t>
  </si>
  <si>
    <t>breakup|hawaii|hotel|male full frontal nudity|resort</t>
  </si>
  <si>
    <t>http://www.imdb.com/title/tt0800039/?ref_=fn_tt_tt_1</t>
  </si>
  <si>
    <t>Four Brothers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</si>
  <si>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</si>
  <si>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</si>
  <si>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</si>
  <si>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</si>
  <si>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</si>
  <si>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</t>
  </si>
  <si>
    <t>baby|book|cartoon on tv|female protagonist|male anorexia</t>
  </si>
  <si>
    <t>http://www.imdb.com/title/tt0871426/?ref_=fn_tt_tt_1</t>
  </si>
  <si>
    <t>Forest Whitaker</t>
  </si>
  <si>
    <t>Hope Floats</t>
  </si>
  <si>
    <t>best friend|friend|mother daughter relationship|small town|texas</t>
  </si>
  <si>
    <t>http://www.imdb.com/title/tt0119313/?ref_=fn_tt_tt_1</t>
  </si>
  <si>
    <t>Gary Winick</t>
  </si>
  <si>
    <t>Bride Wars</t>
  </si>
  <si>
    <t>best friend|dyed hair|fake tan|rivalry|wedding</t>
  </si>
  <si>
    <t>http://www.imdb.com/title/tt0901476/?ref_=fn_tt_tt_1</t>
  </si>
  <si>
    <t>Without a Paddle</t>
  </si>
  <si>
    <t>Antony Starr</t>
  </si>
  <si>
    <t>Scott Adsit</t>
  </si>
  <si>
    <t>Bonnie Somerville</t>
  </si>
  <si>
    <t>death|friend|hijacker|river|tree house</t>
  </si>
  <si>
    <t>http://www.imdb.com/title/tt0364751/?ref_=fn_tt_tt_1</t>
  </si>
  <si>
    <t>13 Going on 30</t>
  </si>
  <si>
    <t>Christa B. Allen</t>
  </si>
  <si>
    <t>13 year old|13th birthday|30 year old|wish|year 1987</t>
  </si>
  <si>
    <t>http://www.imdb.com/title/tt0337563/?ref_=fn_tt_tt_1</t>
  </si>
  <si>
    <t>Midnight in Paris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</si>
  <si>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</si>
  <si>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</si>
  <si>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</si>
  <si>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</si>
  <si>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</si>
  <si>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</t>
  </si>
  <si>
    <t>bank robbery|heist|raccoon|rat|squirrel</t>
  </si>
  <si>
    <t>http://www.imdb.com/title/tt1821658/?ref_=fn_tt_tt_1</t>
  </si>
  <si>
    <t>Ted Demme</t>
  </si>
  <si>
    <t>Blow</t>
  </si>
  <si>
    <t>1960s|1970s|california|cocaine|wealth</t>
  </si>
  <si>
    <t>http://www.imdb.com/title/tt0221027/?ref_=fn_tt_tt_1</t>
  </si>
  <si>
    <t>Message in a Bottle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</si>
  <si>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</si>
  <si>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</si>
  <si>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</si>
  <si>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</si>
  <si>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</si>
  <si>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</si>
  <si>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</si>
  <si>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</si>
  <si>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Like Mike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</si>
  <si>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</si>
  <si>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</si>
  <si>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</si>
  <si>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</si>
  <si>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</si>
  <si>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</si>
  <si>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</si>
  <si>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</si>
  <si>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</si>
  <si>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A View to a Kill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</si>
  <si>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</si>
  <si>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</si>
  <si>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</si>
  <si>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</si>
  <si>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</si>
  <si>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The Curse of the Were-Rabbit</t>
  </si>
  <si>
    <t>Animation|Comedy|Family|Mystery|Sci-Fi</t>
  </si>
  <si>
    <t>Mark Gatiss</t>
  </si>
  <si>
    <t>Geraldine McEwan</t>
  </si>
  <si>
    <t>Peter Sallis</t>
  </si>
  <si>
    <t>competition|giant vegetable|pest control|stop motion animation|vegetable</t>
  </si>
  <si>
    <t>http://www.imdb.com/title/tt0312004/?ref_=fn_tt_tt_1</t>
  </si>
  <si>
    <t>P.S. I Love You</t>
  </si>
  <si>
    <t>Nellie McKay</t>
  </si>
  <si>
    <t>birthday|friendship|hairy chest|letter|widow</t>
  </si>
  <si>
    <t>http://www.imdb.com/title/tt0431308/?ref_=fn_tt_tt_1</t>
  </si>
  <si>
    <t>Atonement</t>
  </si>
  <si>
    <t>Alfie Allen</t>
  </si>
  <si>
    <t>Brenda Blethyn</t>
  </si>
  <si>
    <t>death of sister|dying|loss of virginity|septicemia|sex</t>
  </si>
  <si>
    <t>http://www.imdb.com/title/tt0783233/?ref_=fn_tt_tt_1</t>
  </si>
  <si>
    <t>Letters to Juliet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</si>
  <si>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</si>
  <si>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</si>
  <si>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</si>
  <si>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</si>
  <si>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Black Rain</t>
  </si>
  <si>
    <t>Ken Takakura</t>
  </si>
  <si>
    <t>Kate Capshaw</t>
  </si>
  <si>
    <t>counterfeit|detective|japan|police chase|yakuza</t>
  </si>
  <si>
    <t>http://www.imdb.com/title/tt0096933/?ref_=fn_tt_tt_1</t>
  </si>
  <si>
    <t>Corpse Bride</t>
  </si>
  <si>
    <t>Animation|Drama|Family|Fantasy|Musical|Romance</t>
  </si>
  <si>
    <t>arranged marriage|bride|corpse|groom|woods</t>
  </si>
  <si>
    <t>http://www.imdb.com/title/tt0121164/?ref_=fn_tt_tt_1</t>
  </si>
  <si>
    <t>Sicario</t>
  </si>
  <si>
    <t>Edgar Arreola</t>
  </si>
  <si>
    <t>Bernardo Saracino</t>
  </si>
  <si>
    <t>critically acclaimed|drug cartel|juarez mexico|u.s. mexico border|war on drugs</t>
  </si>
  <si>
    <t>http://www.imdb.com/title/tt3397884/?ref_=fn_tt_tt_1</t>
  </si>
  <si>
    <t>Southpaw</t>
  </si>
  <si>
    <t>Oona Laurence</t>
  </si>
  <si>
    <t>boxer|boxing training|death of wife|male in shower|rage</t>
  </si>
  <si>
    <t>http://www.imdb.com/title/tt1798684/?ref_=fn_tt_tt_1</t>
  </si>
  <si>
    <t>Drag Me to Hell</t>
  </si>
  <si>
    <t>evil|fight|hell|psychic|psychologist</t>
  </si>
  <si>
    <t>http://www.imdb.com/title/tt1127180/?ref_=fn_tt_tt_1</t>
  </si>
  <si>
    <t>Lee Toland Krieger</t>
  </si>
  <si>
    <t>The Age of Adaline</t>
  </si>
  <si>
    <t>hit by a pickup truck|immortality|paramedic|resuscitation|san francisco california</t>
  </si>
  <si>
    <t>http://www.imdb.com/title/tt1655441/?ref_=fn_tt_tt_1</t>
  </si>
  <si>
    <t>Tim McCanlies</t>
  </si>
  <si>
    <t>Secondhand Lions</t>
  </si>
  <si>
    <t>Emmanuelle Vaugier</t>
  </si>
  <si>
    <t>africa|eyeglasses|money|texas|veteran</t>
  </si>
  <si>
    <t>http://www.imdb.com/title/tt0327137/?ref_=fn_tt_tt_1</t>
  </si>
  <si>
    <t>Step Up 3D</t>
  </si>
  <si>
    <t>Facundo Lombard</t>
  </si>
  <si>
    <t>dance|dance crew|dancer|mortgage|new york city</t>
  </si>
  <si>
    <t>http://www.imdb.com/title/tt1193631/?ref_=fn_tt_tt_1</t>
  </si>
  <si>
    <t>Blue Crush</t>
  </si>
  <si>
    <t>Sanoe Lake</t>
  </si>
  <si>
    <t>bikini|female surfer|sister sister relationship|surfing contest|swimsuit</t>
  </si>
  <si>
    <t>http://www.imdb.com/title/tt0300532/?ref_=fn_tt_tt_1</t>
  </si>
  <si>
    <t>Stranger Than Fiction</t>
  </si>
  <si>
    <t>Christian Stolte</t>
  </si>
  <si>
    <t>Danny Rhodes</t>
  </si>
  <si>
    <t>author|fate|novelist|professor|writer</t>
  </si>
  <si>
    <t>http://www.imdb.com/title/tt0420223/?ref_=fn_tt_tt_1</t>
  </si>
  <si>
    <t>30 Days of Night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</si>
  <si>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</si>
  <si>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</si>
  <si>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</si>
  <si>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</si>
  <si>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</si>
  <si>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The Cabin in the Woods</t>
  </si>
  <si>
    <t>cabin in the woods|dark humor|hatchet|killed in an elevator|robot</t>
  </si>
  <si>
    <t>http://www.imdb.com/title/tt1259521/?ref_=fn_tt_tt_1</t>
  </si>
  <si>
    <t>Jason Friedberg</t>
  </si>
  <si>
    <t>Meet the Spartans</t>
  </si>
  <si>
    <t>Method Man</t>
  </si>
  <si>
    <t>king|persian|spartan|training|xerxes</t>
  </si>
  <si>
    <t>http://www.imdb.com/title/tt1073498/?ref_=fn_tt_tt_1</t>
  </si>
  <si>
    <t>Midnight Run</t>
  </si>
  <si>
    <t>Yaphet Kotto</t>
  </si>
  <si>
    <t>accountant|bounty hunter|fbi|mafia|mob</t>
  </si>
  <si>
    <t>http://www.imdb.com/title/tt0095631/?ref_=fn_tt_tt_1</t>
  </si>
  <si>
    <t>The Running Man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</si>
  <si>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</si>
  <si>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</si>
  <si>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</si>
  <si>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</si>
  <si>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Little Shop of Horrors</t>
  </si>
  <si>
    <t>Comedy|Horror|Musical|Sci-Fi</t>
  </si>
  <si>
    <t>Tisha Campbell-Martin</t>
  </si>
  <si>
    <t>eclipse|florist|nerd|plant|shop</t>
  </si>
  <si>
    <t>http://www.imdb.com/title/tt0091419/?ref_=fn_tt_tt_1</t>
  </si>
  <si>
    <t>Hanna</t>
  </si>
  <si>
    <t>Jessica Barden</t>
  </si>
  <si>
    <t>Vicky Krieps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</si>
  <si>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</si>
  <si>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</si>
  <si>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</si>
  <si>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</si>
  <si>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</t>
  </si>
  <si>
    <t>alternate reality|battle|martial arts|mortal kombat|warrior</t>
  </si>
  <si>
    <t>http://www.imdb.com/title/tt0119707/?ref_=fn_tt_tt_1</t>
  </si>
  <si>
    <t>Larry Crowne</t>
  </si>
  <si>
    <t>bus stop|college|community college|scooter|speech class</t>
  </si>
  <si>
    <t>http://www.imdb.com/title/tt1583420/?ref_=fn_tt_tt_1</t>
  </si>
  <si>
    <t>Kimberly Peirce</t>
  </si>
  <si>
    <t>Carrie</t>
  </si>
  <si>
    <t>outcast|prom|self injury|telekinesis|tragic event</t>
  </si>
  <si>
    <t>http://www.imdb.com/title/tt1939659/?ref_=fn_tt_tt_1</t>
  </si>
  <si>
    <t>Liz Friedlander</t>
  </si>
  <si>
    <t>Take the Lead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</si>
  <si>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</si>
  <si>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</si>
  <si>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</si>
  <si>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</si>
  <si>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</si>
  <si>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Gridiron Gang</t>
  </si>
  <si>
    <t>Crime|Drama|Sport</t>
  </si>
  <si>
    <t>Jurnee Smollett-Bell</t>
  </si>
  <si>
    <t>alliterative title|football|football coach|football practice|football team</t>
  </si>
  <si>
    <t>http://www.imdb.com/title/tt0421206/?ref_=fn_tt_tt_1</t>
  </si>
  <si>
    <t>What's the Worst That Could Happen?</t>
  </si>
  <si>
    <t>businessman|ring|thief|vulgarity|washington d.c.</t>
  </si>
  <si>
    <t>http://www.imdb.com/title/tt0161083/?ref_=fn_tt_tt_1</t>
  </si>
  <si>
    <t>Shane Acker</t>
  </si>
  <si>
    <t>Action|Adventure|Animation|Drama|Mystery|Sci-Fi|Thriller</t>
  </si>
  <si>
    <t>Alan Oppenheimer</t>
  </si>
  <si>
    <t>Tom Kane</t>
  </si>
  <si>
    <t>hope|key|machine|number|rag doll</t>
  </si>
  <si>
    <t>http://www.imdb.com/title/tt0472033/?ref_=fn_tt_tt_1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</si>
  <si>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</si>
  <si>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</si>
  <si>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</si>
  <si>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</si>
  <si>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</si>
  <si>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Winnie the Pooh</t>
  </si>
  <si>
    <t>Robert Lopez</t>
  </si>
  <si>
    <t>Huell Howser</t>
  </si>
  <si>
    <t>disney|owl|rabbit|sequel|tiger</t>
  </si>
  <si>
    <t>http://www.imdb.com/title/tt1449283/?ref_=fn_tt_tt_1</t>
  </si>
  <si>
    <t>Troy Miller</t>
  </si>
  <si>
    <t>Dumb and Dumberer: When Harry Met Lloyd</t>
  </si>
  <si>
    <t>Elden Henson</t>
  </si>
  <si>
    <t>Cheri Oteri</t>
  </si>
  <si>
    <t>1980s|buddy|high school|prequel to cult favorite|teenager</t>
  </si>
  <si>
    <t>http://www.imdb.com/title/tt0329028/?ref_=fn_tt_tt_1</t>
  </si>
  <si>
    <t>Bulworth</t>
  </si>
  <si>
    <t>Kirk Baltz</t>
  </si>
  <si>
    <t>Graham Beckel</t>
  </si>
  <si>
    <t>hip hop|liberal|politics|senator|truth</t>
  </si>
  <si>
    <t>http://www.imdb.com/title/tt0118798/?ref_=fn_tt_tt_1</t>
  </si>
  <si>
    <t>Get on Up</t>
  </si>
  <si>
    <t>Tika Sumpter</t>
  </si>
  <si>
    <t>Josh Hopkins</t>
  </si>
  <si>
    <t>Aunjanue Ellis</t>
  </si>
  <si>
    <t>1970s|1980s|african american|breaking the fourth wall|mother son relationship</t>
  </si>
  <si>
    <t>http://www.imdb.com/title/tt2473602/?ref_=fn_tt_tt_1</t>
  </si>
  <si>
    <t>One True Thing</t>
  </si>
  <si>
    <t>cancer|job|love|new york|professor</t>
  </si>
  <si>
    <t>http://www.imdb.com/title/tt0120776/?ref_=fn_tt_tt_1</t>
  </si>
  <si>
    <t>Brett Leonard</t>
  </si>
  <si>
    <t>Virtuosity</t>
  </si>
  <si>
    <t>android|ex cop|serial killer|virtual character come to life|virtual reality</t>
  </si>
  <si>
    <t>http://www.imdb.com/title/tt0114857/?ref_=fn_tt_tt_1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</si>
  <si>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</si>
  <si>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</si>
  <si>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</si>
  <si>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Deliver Us from Evil</t>
  </si>
  <si>
    <t>confession|demonic possession|exorcism|flickering light|priest</t>
  </si>
  <si>
    <t>http://www.imdb.com/title/tt2377322/?ref_=fn_tt_tt_1</t>
  </si>
  <si>
    <t>Alister Grierson</t>
  </si>
  <si>
    <t>Sanctum</t>
  </si>
  <si>
    <t>Rhys Wakefield</t>
  </si>
  <si>
    <t>cave|expedition|panic|rebreather|underwater</t>
  </si>
  <si>
    <t>http://www.imdb.com/title/tt0881320/?ref_=fn_tt_tt_1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</si>
  <si>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</si>
  <si>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</si>
  <si>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</si>
  <si>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</si>
  <si>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</si>
  <si>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The Five-Year Engagement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</si>
  <si>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</si>
  <si>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</si>
  <si>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</si>
  <si>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</si>
  <si>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Mr 3000</t>
  </si>
  <si>
    <t>baseball|baseball movie|cartoon on tv|dodge viper|retirement</t>
  </si>
  <si>
    <t>http://www.imdb.com/title/tt0339412/?ref_=fn_tt_tt_1</t>
  </si>
  <si>
    <t>Paul Haggis</t>
  </si>
  <si>
    <t>The Next Three Days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</si>
  <si>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</si>
  <si>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</si>
  <si>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</si>
  <si>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</si>
  <si>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</si>
  <si>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Ultraviolet</t>
  </si>
  <si>
    <t>Cameron Bright</t>
  </si>
  <si>
    <t>boy|disease|hemophagia|speed|vampire</t>
  </si>
  <si>
    <t>http://www.imdb.com/title/tt0370032/?ref_=fn_tt_tt_1</t>
  </si>
  <si>
    <t>Jean-FranÃ§ois Richet</t>
  </si>
  <si>
    <t>Assault on Precinct 13</t>
  </si>
  <si>
    <t>Drea de Matteo</t>
  </si>
  <si>
    <t>Hugh Dillon</t>
  </si>
  <si>
    <t>criminal|mobster|new year's eve|police|sergeant</t>
  </si>
  <si>
    <t>http://www.imdb.com/title/tt0398712/?ref_=fn_tt_tt_1</t>
  </si>
  <si>
    <t>The Replacement Killers</t>
  </si>
  <si>
    <t>forger|hitman|passport|police|replacement</t>
  </si>
  <si>
    <t>http://www.imdb.com/title/tt0120008/?ref_=fn_tt_tt_1</t>
  </si>
  <si>
    <t>Kevin Hooks</t>
  </si>
  <si>
    <t>Fled</t>
  </si>
  <si>
    <t>Action|Adventure|Crime|Drama|Romance</t>
  </si>
  <si>
    <t>Stephen Baldwin</t>
  </si>
  <si>
    <t>disk|floppy disk|mafia|prison|prisoner</t>
  </si>
  <si>
    <t>http://www.imdb.com/title/tt0116320/?ref_=fn_tt_tt_1</t>
  </si>
  <si>
    <t>Ellory Elkayem</t>
  </si>
  <si>
    <t>Eight Legged Freaks</t>
  </si>
  <si>
    <t>Action|Comedy|Horror</t>
  </si>
  <si>
    <t>Doug E. Doug</t>
  </si>
  <si>
    <t>creature feature|human versus spider|spider|spider feature|woman sheriff</t>
  </si>
  <si>
    <t>http://www.imdb.com/title/tt0271367/?ref_=fn_tt_tt_1</t>
  </si>
  <si>
    <t>Love &amp; Other Drugs</t>
  </si>
  <si>
    <t>female nudity|male objectification|pfizer|viagra|zoloft</t>
  </si>
  <si>
    <t>http://www.imdb.com/title/tt0758752/?ref_=fn_tt_tt_1</t>
  </si>
  <si>
    <t>88 Minutes</t>
  </si>
  <si>
    <t>death|fbi|forensics|murder|serial killer</t>
  </si>
  <si>
    <t>http://www.imdb.com/title/tt0411061/?ref_=fn_tt_tt_1</t>
  </si>
  <si>
    <t>Niki Caro</t>
  </si>
  <si>
    <t>North Country</t>
  </si>
  <si>
    <t>based on true story|innocence|lawsuit|mine|sexual harassment</t>
  </si>
  <si>
    <t>http://www.imdb.com/title/tt0395972/?ref_=fn_tt_tt_1</t>
  </si>
  <si>
    <t>The Whole Ten Yards</t>
  </si>
  <si>
    <t>dentist|face slap|flashback|hitman|killing an animal</t>
  </si>
  <si>
    <t>http://www.imdb.com/title/tt0327247/?ref_=fn_tt_tt_1</t>
  </si>
  <si>
    <t>Vincenzo Natali</t>
  </si>
  <si>
    <t>Splice</t>
  </si>
  <si>
    <t>Sarah Polley</t>
  </si>
  <si>
    <t>David Hewlett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</si>
  <si>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</si>
  <si>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</si>
  <si>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</si>
  <si>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</si>
  <si>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</si>
  <si>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</si>
  <si>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</si>
  <si>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</si>
  <si>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Gavin O'Connor</t>
  </si>
  <si>
    <t>Pride and Glory</t>
  </si>
  <si>
    <t>brother in law|corruption|drug dealer|drugs|police</t>
  </si>
  <si>
    <t>http://www.imdb.com/title/tt0482572/?ref_=fn_tt_tt_1</t>
  </si>
  <si>
    <t>Bruce Hunt</t>
  </si>
  <si>
    <t>The Cave</t>
  </si>
  <si>
    <t>Adventure|Horror|Thriller</t>
  </si>
  <si>
    <t>Eddie Cibrian</t>
  </si>
  <si>
    <t>cave|diver|diving|flare|parasite</t>
  </si>
  <si>
    <t>http://www.imdb.com/title/tt0402901/?ref_=fn_tt_tt_1</t>
  </si>
  <si>
    <t>Alex &amp; Emma</t>
  </si>
  <si>
    <t>Lobo Sebastian</t>
  </si>
  <si>
    <t>Robert Costanzo</t>
  </si>
  <si>
    <t>gambling|novel|stenographer|writer|writer's block</t>
  </si>
  <si>
    <t>http://www.imdb.com/title/tt0318283/?ref_=fn_tt_tt_1</t>
  </si>
  <si>
    <t>Wicker Park</t>
  </si>
  <si>
    <t>Jessica ParÃ©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</si>
  <si>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</si>
  <si>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</si>
  <si>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</si>
  <si>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</si>
  <si>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</si>
  <si>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Fright Night</t>
  </si>
  <si>
    <t>Grace Phipps</t>
  </si>
  <si>
    <t>Reid Ewing</t>
  </si>
  <si>
    <t>Sandra Vergara</t>
  </si>
  <si>
    <t>neighbor|remake|suburb|teenager|vampire</t>
  </si>
  <si>
    <t>http://www.imdb.com/title/tt1438176/?ref_=fn_tt_tt_1</t>
  </si>
  <si>
    <t>The New World</t>
  </si>
  <si>
    <t>Michael Greyeyes</t>
  </si>
  <si>
    <t>captain|fort|love|native american|trade</t>
  </si>
  <si>
    <t>http://www.imdb.com/title/tt0402399/?ref_=fn_tt_tt_1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</si>
  <si>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</si>
  <si>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</si>
  <si>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</si>
  <si>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</si>
  <si>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In Dreams</t>
  </si>
  <si>
    <t>dream|mental institution|padded cell|serial killer|suicide attempt</t>
  </si>
  <si>
    <t>http://www.imdb.com/title/tt0120710/?ref_=fn_tt_tt_1</t>
  </si>
  <si>
    <t>Dragonball: Evolution</t>
  </si>
  <si>
    <t>Texas Battle</t>
  </si>
  <si>
    <t>bad|dragon|grandfather|orb|warrior</t>
  </si>
  <si>
    <t>http://www.imdb.com/title/tt1098327/?ref_=fn_tt_tt_1</t>
  </si>
  <si>
    <t>Jee-woon Kim</t>
  </si>
  <si>
    <t>The Last Stand</t>
  </si>
  <si>
    <t>Zach Gilford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</si>
  <si>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</si>
  <si>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</si>
  <si>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</si>
  <si>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</si>
  <si>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</si>
  <si>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</si>
  <si>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</si>
  <si>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</si>
  <si>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</si>
  <si>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Andy Cadiff</t>
  </si>
  <si>
    <t>Chasing Liberty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</si>
  <si>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</si>
  <si>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</si>
  <si>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</si>
  <si>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</si>
  <si>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</si>
  <si>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Hoodwinked Too! Hood vs. Evil</t>
  </si>
  <si>
    <t>Phil LaMarr</t>
  </si>
  <si>
    <t>3 dimensional|box office flop|critically bashed|red riding hood|wolf</t>
  </si>
  <si>
    <t>http://www.imdb.com/title/tt0844993/?ref_=fn_tt_tt_1</t>
  </si>
  <si>
    <t>An Unfinished Life</t>
  </si>
  <si>
    <t>Lynda Boyd</t>
  </si>
  <si>
    <t>abusive boyfriend|bear|car accident|ranch|wyoming</t>
  </si>
  <si>
    <t>http://www.imdb.com/title/tt0350261/?ref_=fn_tt_tt_1</t>
  </si>
  <si>
    <t>The Imaginarium of Doctor Parnassus</t>
  </si>
  <si>
    <t>Adventure|Fantasy|Mystery</t>
  </si>
  <si>
    <t>birthday|bridge|midget|rescue|sideshow</t>
  </si>
  <si>
    <t>http://www.imdb.com/title/tt1054606/?ref_=fn_tt_tt_1</t>
  </si>
  <si>
    <t>Runner Runner</t>
  </si>
  <si>
    <t>costa rica|fbi agent|gambling|money|online gambling</t>
  </si>
  <si>
    <t>http://www.imdb.com/title/tt2364841/?ref_=fn_tt_tt_1</t>
  </si>
  <si>
    <t>Antitrust</t>
  </si>
  <si>
    <t>Richard Roundtree</t>
  </si>
  <si>
    <t>Ned Bellamy</t>
  </si>
  <si>
    <t>boss|communications|computer|genius|job</t>
  </si>
  <si>
    <t>http://www.imdb.com/title/tt0218817/?ref_=fn_tt_tt_1</t>
  </si>
  <si>
    <t>Glory</t>
  </si>
  <si>
    <t>army|black soldier|military uniform|prejudice|u.s. civil war</t>
  </si>
  <si>
    <t>http://www.imdb.com/title/tt0097441/?ref_=fn_tt_tt_1</t>
  </si>
  <si>
    <t>Sergio Leone</t>
  </si>
  <si>
    <t>Once Upon a Time in America</t>
  </si>
  <si>
    <t>1920s|ambiguity|childhood friend|new york|speakeasy</t>
  </si>
  <si>
    <t>http://www.imdb.com/title/tt0087843/?ref_=fn_tt_tt_1</t>
  </si>
  <si>
    <t>Italy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</si>
  <si>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</si>
  <si>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</si>
  <si>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</si>
  <si>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</si>
  <si>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</si>
  <si>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</si>
  <si>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</t>
  </si>
  <si>
    <t>debt|jew|loan|merchant|pound of flesh</t>
  </si>
  <si>
    <t>http://www.imdb.com/title/tt0379889/?ref_=fn_tt_tt_1</t>
  </si>
  <si>
    <t>The Good Thief</t>
  </si>
  <si>
    <t>Emir Kusturica</t>
  </si>
  <si>
    <t>SaÃ¯d Taghmaoui</t>
  </si>
  <si>
    <t>casino|french riviera|gambler|heist|partner</t>
  </si>
  <si>
    <t>http://www.imdb.com/title/tt0281820/?ref_=fn_tt_tt_1</t>
  </si>
  <si>
    <t>Miss Potter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</si>
  <si>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</si>
  <si>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</si>
  <si>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</si>
  <si>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</si>
  <si>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</si>
  <si>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The Promise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</si>
  <si>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</si>
  <si>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</si>
  <si>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</si>
  <si>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</si>
  <si>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</si>
  <si>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DOA: Dead or Alive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</si>
  <si>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</si>
  <si>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</si>
  <si>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</si>
  <si>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</si>
  <si>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</si>
  <si>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The Assassination of Jesse James by the Coward Robert Ford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</si>
  <si>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</si>
  <si>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</si>
  <si>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</si>
  <si>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</si>
  <si>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</si>
  <si>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</si>
  <si>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</si>
  <si>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Machine Gun Preacher</t>
  </si>
  <si>
    <t>Action|Biography|Crime|Drama</t>
  </si>
  <si>
    <t>Kathy Baker</t>
  </si>
  <si>
    <t>africa|biker|church|orphanage|preacher</t>
  </si>
  <si>
    <t>http://www.imdb.com/title/tt1586752/?ref_=fn_tt_tt_1</t>
  </si>
  <si>
    <t>Elizabeth Banks</t>
  </si>
  <si>
    <t>Pitch Perfect 2</t>
  </si>
  <si>
    <t>Birgitte Hjort SÃ¸rensen</t>
  </si>
  <si>
    <t>Hana Mae Lee</t>
  </si>
  <si>
    <t>2010s|a cappella|box office hit|second part|sequel</t>
  </si>
  <si>
    <t>http://www.imdb.com/title/tt2848292/?ref_=fn_tt_tt_1</t>
  </si>
  <si>
    <t>Walk the Line</t>
  </si>
  <si>
    <t>Biography|Drama|Music|Romance</t>
  </si>
  <si>
    <t>Dallas Roberts</t>
  </si>
  <si>
    <t>Tyler Hilton</t>
  </si>
  <si>
    <t>1960s|accident|concert|guitar|prison</t>
  </si>
  <si>
    <t>http://www.imdb.com/title/tt0358273/?ref_=fn_tt_tt_1</t>
  </si>
  <si>
    <t>Edward Norton</t>
  </si>
  <si>
    <t>Keeping the Faith</t>
  </si>
  <si>
    <t>celibacy|jewish|priest|rabbi|synagogue</t>
  </si>
  <si>
    <t>http://www.imdb.com/title/tt0171433/?ref_=fn_tt_tt_1</t>
  </si>
  <si>
    <t>The Borrowers</t>
  </si>
  <si>
    <t>Bradley Pierce</t>
  </si>
  <si>
    <t>Mark Williams</t>
  </si>
  <si>
    <t>child's point of view|house|lawyer|real estate|washing machine</t>
  </si>
  <si>
    <t>http://www.imdb.com/title/tt0118755/?ref_=fn_tt_tt_1</t>
  </si>
  <si>
    <t>Frost/Nixon</t>
  </si>
  <si>
    <t>american president|political drama|scandal|u.s. president|washington post the newspaper</t>
  </si>
  <si>
    <t>http://www.imdb.com/title/tt0870111/?ref_=fn_tt_tt_1</t>
  </si>
  <si>
    <t>Serving Sara</t>
  </si>
  <si>
    <t>divorce|divorce papers|new york|process server|texas</t>
  </si>
  <si>
    <t>http://www.imdb.com/title/tt0261289/?ref_=fn_tt_tt_1</t>
  </si>
  <si>
    <t>Ben Falcone</t>
  </si>
  <si>
    <t>The Boss</t>
  </si>
  <si>
    <t>business|girl scouts|orphanage|overweight woman|quitting a job</t>
  </si>
  <si>
    <t>http://www.imdb.com/title/tt2702724/?ref_=fn_tt_tt_1</t>
  </si>
  <si>
    <t>Richard Attenborough</t>
  </si>
  <si>
    <t>Cry Freedom</t>
  </si>
  <si>
    <t>activist|editor|journalist|newspaper|south africa</t>
  </si>
  <si>
    <t>http://www.imdb.com/title/tt0092804/?ref_=fn_tt_tt_1</t>
  </si>
  <si>
    <t>Mumford</t>
  </si>
  <si>
    <t>college|drugs|patient|psychologist|secret</t>
  </si>
  <si>
    <t>http://www.imdb.com/title/tt0140397/?ref_=fn_tt_tt_1</t>
  </si>
  <si>
    <t>Don Mancini</t>
  </si>
  <si>
    <t>Seed of Chucky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</si>
  <si>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</si>
  <si>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</si>
  <si>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</si>
  <si>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</si>
  <si>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</si>
  <si>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The Jacket</t>
  </si>
  <si>
    <t>Jason Lewis</t>
  </si>
  <si>
    <t>Angel Coulby</t>
  </si>
  <si>
    <t>gulf war veteran|morgue|shot in the head|vermont|veteran</t>
  </si>
  <si>
    <t>http://www.imdb.com/title/tt0366627/?ref_=fn_tt_tt_1</t>
  </si>
  <si>
    <t>Aladdin</t>
  </si>
  <si>
    <t>Scott Weinger</t>
  </si>
  <si>
    <t>arab|genie|magic|princess|reference to a thousand and one nights</t>
  </si>
  <si>
    <t>http://www.imdb.com/title/tt0103639/?ref_=fn_tt_tt_1</t>
  </si>
  <si>
    <t>Straight Outta Compton</t>
  </si>
  <si>
    <t>Biography|Crime|Drama|History|Music</t>
  </si>
  <si>
    <t>Neil Brown Jr.</t>
  </si>
  <si>
    <t>R. Marcos Taylor</t>
  </si>
  <si>
    <t>concert|gangsta rap|hip hop|nwa|rap music</t>
  </si>
  <si>
    <t>http://www.imdb.com/title/tt1398426/?ref_=fn_tt_tt_1</t>
  </si>
  <si>
    <t>Indiana Jones and the Temple of Doom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</si>
  <si>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</si>
  <si>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</si>
  <si>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</si>
  <si>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</si>
  <si>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The Rugrats Movie</t>
  </si>
  <si>
    <t>Adventure|Animation|Comedy|Drama|Family|Musical</t>
  </si>
  <si>
    <t>baby|home|hospital|lost|newborn baby</t>
  </si>
  <si>
    <t>http://www.imdb.com/title/tt0134067/?ref_=fn_tt_tt_1</t>
  </si>
  <si>
    <t>Along Came a Spider</t>
  </si>
  <si>
    <t>kidnapping|partner|ransom|school|secret service</t>
  </si>
  <si>
    <t>http://www.imdb.com/title/tt0164334/?ref_=fn_tt_tt_1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</si>
  <si>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</si>
  <si>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</si>
  <si>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</si>
  <si>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</si>
  <si>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</si>
  <si>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</si>
  <si>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</si>
  <si>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</si>
  <si>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</si>
  <si>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</t>
  </si>
  <si>
    <t>absent father|big brother|community service|live action role playing|peter pan syndrome</t>
  </si>
  <si>
    <t>http://www.imdb.com/title/tt0430922/?ref_=fn_tt_tt_1</t>
  </si>
  <si>
    <t>The Big Short</t>
  </si>
  <si>
    <t>Charlie Talbert</t>
  </si>
  <si>
    <t>bank|banking|finance|fraud|mortgage</t>
  </si>
  <si>
    <t>http://www.imdb.com/title/tt1596363/?ref_=fn_tt_tt_1</t>
  </si>
  <si>
    <t>Taking Woodstock</t>
  </si>
  <si>
    <t>Comedy|Drama|Music</t>
  </si>
  <si>
    <t>Demetri Martin</t>
  </si>
  <si>
    <t>female full frontal nudity|female nudity|male frontal nudity|male full frontal nudity|male nudity</t>
  </si>
  <si>
    <t>http://www.imdb.com/title/tt1127896/?ref_=fn_tt_tt_1</t>
  </si>
  <si>
    <t>Miracle</t>
  </si>
  <si>
    <t>Eddie Cahill</t>
  </si>
  <si>
    <t>Kenneth Mitchell</t>
  </si>
  <si>
    <t>1980s|hockey|ice hockey|olympics|soviet union</t>
  </si>
  <si>
    <t>http://www.imdb.com/title/tt0349825/?ref_=fn_tt_tt_1</t>
  </si>
  <si>
    <t>Dawn of the Dead</t>
  </si>
  <si>
    <t>mall|mayhem|nurse|rear entry sex|survival horror</t>
  </si>
  <si>
    <t>http://www.imdb.com/title/tt0363547/?ref_=fn_tt_tt_1</t>
  </si>
  <si>
    <t>The Wedding Planner</t>
  </si>
  <si>
    <t>Alex Rocco</t>
  </si>
  <si>
    <t>chick flick|doctor|horseback riding|wedding|wedding planner</t>
  </si>
  <si>
    <t>http://www.imdb.com/title/tt0209475/?ref_=fn_tt_tt_1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</si>
  <si>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</si>
  <si>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</si>
  <si>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</si>
  <si>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Identity</t>
  </si>
  <si>
    <t>Rebecca De Mornay</t>
  </si>
  <si>
    <t>dissociative identity disorder|motel room key|murder|storm|stranded</t>
  </si>
  <si>
    <t>http://www.imdb.com/title/tt0309698/?ref_=fn_tt_tt_1</t>
  </si>
  <si>
    <t>Last Vegas</t>
  </si>
  <si>
    <t>bachelor party|bloody mary the drink|bouncer|brooklyn new york city|vegas</t>
  </si>
  <si>
    <t>http://www.imdb.com/title/tt1204975/?ref_=fn_tt_tt_1</t>
  </si>
  <si>
    <t>For Your Eyes Only</t>
  </si>
  <si>
    <t>Topol</t>
  </si>
  <si>
    <t>agent|british|ice skater|ship|spy</t>
  </si>
  <si>
    <t>http://www.imdb.com/title/tt0082398/?ref_=fn_tt_tt_1</t>
  </si>
  <si>
    <t>Serendipity</t>
  </si>
  <si>
    <t>Lilli Lavine</t>
  </si>
  <si>
    <t>David Sparrow</t>
  </si>
  <si>
    <t>Ann Talman</t>
  </si>
  <si>
    <t>christmas|destiny|fate|love|serendipity</t>
  </si>
  <si>
    <t>http://www.imdb.com/title/tt0240890/?ref_=fn_tt_tt_1</t>
  </si>
  <si>
    <t>Timecop</t>
  </si>
  <si>
    <t>Mia Sara</t>
  </si>
  <si>
    <t>Gloria Reuben</t>
  </si>
  <si>
    <t>cop|corrupt politician|future|senator|time travel</t>
  </si>
  <si>
    <t>http://www.imdb.com/title/tt0111438/?ref_=fn_tt_tt_1</t>
  </si>
  <si>
    <t>Zoolander</t>
  </si>
  <si>
    <t>fashion|malaysia|male model|reporter|rival</t>
  </si>
  <si>
    <t>http://www.imdb.com/title/tt0196229/?ref_=fn_tt_tt_1</t>
  </si>
  <si>
    <t>Safe Haven</t>
  </si>
  <si>
    <t>Drama|Romance|Thriller</t>
  </si>
  <si>
    <t>David Lyons</t>
  </si>
  <si>
    <t>Noah Lomax</t>
  </si>
  <si>
    <t>Mimi Kirkland</t>
  </si>
  <si>
    <t>abusive husband|chick flick|north carolina|secret|widower</t>
  </si>
  <si>
    <t>http://www.imdb.com/title/tt1702439/?ref_=fn_tt_tt_1</t>
  </si>
  <si>
    <t>Hocus Pocus</t>
  </si>
  <si>
    <t>Omri Katz</t>
  </si>
  <si>
    <t>Larry Bagby</t>
  </si>
  <si>
    <t>candle|cat|halloween|spell|virgin</t>
  </si>
  <si>
    <t>http://www.imdb.com/title/tt0107120/?ref_=fn_tt_tt_1</t>
  </si>
  <si>
    <t>No Reservations</t>
  </si>
  <si>
    <t>Lily Rabe</t>
  </si>
  <si>
    <t>chef|cooking|guardian|kitchen|restaurant</t>
  </si>
  <si>
    <t>http://www.imdb.com/title/tt0481141/?ref_=fn_tt_tt_1</t>
  </si>
  <si>
    <t>Kick-Ass</t>
  </si>
  <si>
    <t>Elizabeth McGovern</t>
  </si>
  <si>
    <t>Deborah Twiss</t>
  </si>
  <si>
    <t>comic book|female killer|hit in the crotch|narrated by character|reference to batman</t>
  </si>
  <si>
    <t>http://www.imdb.com/title/tt1250777/?ref_=fn_tt_tt_1</t>
  </si>
  <si>
    <t>30 Minutes or Less</t>
  </si>
  <si>
    <t>Bianca Kajlich</t>
  </si>
  <si>
    <t>Dilshad Vadsaria</t>
  </si>
  <si>
    <t>bank heist|bank robbery|heist gone wrong|pizza delivery boy|unlikely criminal</t>
  </si>
  <si>
    <t>http://www.imdb.com/title/tt1622547/?ref_=fn_tt_tt_1</t>
  </si>
  <si>
    <t>Dracula 2000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</si>
  <si>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</si>
  <si>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</si>
  <si>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</si>
  <si>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</si>
  <si>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</si>
  <si>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</t>
  </si>
  <si>
    <t>bad day|based on book|birthday|job interview|long title</t>
  </si>
  <si>
    <t>http://www.imdb.com/title/tt1698641/?ref_=fn_tt_tt_1</t>
  </si>
  <si>
    <t>Pride &amp; Prejudice</t>
  </si>
  <si>
    <t>Talulah Riley</t>
  </si>
  <si>
    <t>Simon Woods</t>
  </si>
  <si>
    <t>bachelor|england|gentleman|georgian|love</t>
  </si>
  <si>
    <t>http://www.imdb.com/title/tt0414387/?ref_=fn_tt_tt_1</t>
  </si>
  <si>
    <t>Blade Runner</t>
  </si>
  <si>
    <t>Sean Young</t>
  </si>
  <si>
    <t>artificial intelligence|human android relationship|megacorporation|police detective|tech noir</t>
  </si>
  <si>
    <t>http://www.imdb.com/title/tt0083658/?ref_=fn_tt_tt_1</t>
  </si>
  <si>
    <t>Rob Roy</t>
  </si>
  <si>
    <t>Adventure|Biography</t>
  </si>
  <si>
    <t>18th century|highlands|scotland|sexual cruelty|sword fight</t>
  </si>
  <si>
    <t>http://www.imdb.com/title/tt0114287/?ref_=fn_tt_tt_1</t>
  </si>
  <si>
    <t>3 Days to Kill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</si>
  <si>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</si>
  <si>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</si>
  <si>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</si>
  <si>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</si>
  <si>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</si>
  <si>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We Own the Night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</si>
  <si>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</si>
  <si>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</si>
  <si>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</si>
  <si>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</si>
  <si>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</si>
  <si>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Lost Souls</t>
  </si>
  <si>
    <t>Bob Clendenin</t>
  </si>
  <si>
    <t>Ben Chaplin</t>
  </si>
  <si>
    <t>faith|mental patient|priest|scheme|teacher</t>
  </si>
  <si>
    <t>http://www.imdb.com/title/tt0160484/?ref_=fn_tt_tt_1</t>
  </si>
  <si>
    <t>Just My Luck</t>
  </si>
  <si>
    <t>Samaire Armstrong</t>
  </si>
  <si>
    <t>bad luck|band|kiss|luck|masquerade</t>
  </si>
  <si>
    <t>http://www.imdb.com/title/tt0397078/?ref_=fn_tt_tt_1</t>
  </si>
  <si>
    <t>Mystery, Alaska</t>
  </si>
  <si>
    <t>Mary McCormack</t>
  </si>
  <si>
    <t>Ron Eldard</t>
  </si>
  <si>
    <t>alaska|male nudity|nudity|sex|small town</t>
  </si>
  <si>
    <t>http://www.imdb.com/title/tt0134618/?ref_=fn_tt_tt_1</t>
  </si>
  <si>
    <t>The Spy Next Door</t>
  </si>
  <si>
    <t>Action|Comedy|Family</t>
  </si>
  <si>
    <t>George Lopez</t>
  </si>
  <si>
    <t>chinese|cia|single mother|spy|terrorist</t>
  </si>
  <si>
    <t>http://www.imdb.com/title/tt1273678/?ref_=fn_tt_tt_1</t>
  </si>
  <si>
    <t>Michael Ritchie</t>
  </si>
  <si>
    <t>A Simple Wish</t>
  </si>
  <si>
    <t>Mara Wilson</t>
  </si>
  <si>
    <t>Francis Capra</t>
  </si>
  <si>
    <t>8 year old|convention|magic|magic wand|male fairy godmother</t>
  </si>
  <si>
    <t>http://www.imdb.com/title/tt0120133/?ref_=fn_tt_tt_1</t>
  </si>
  <si>
    <t>Ghosts of Mars</t>
  </si>
  <si>
    <t>head on a stake|machine gun|martian|nuclear reactor|outer space</t>
  </si>
  <si>
    <t>http://www.imdb.com/title/tt0228333/?ref_=fn_tt_tt_1</t>
  </si>
  <si>
    <t>Our Brand Is Crisis</t>
  </si>
  <si>
    <t>Dominic Flores</t>
  </si>
  <si>
    <t>bolivia|box office flop|inspired by documentary|presidential campaign|year 2002</t>
  </si>
  <si>
    <t>http://www.imdb.com/title/tt1018765/?ref_=fn_tt_tt_1</t>
  </si>
  <si>
    <t>Pride and Prejudice and Zombies</t>
  </si>
  <si>
    <t>Action|Horror|Romance</t>
  </si>
  <si>
    <t>Bella Heathcote</t>
  </si>
  <si>
    <t>based on novel|damsel in distress|deception|england|zombie</t>
  </si>
  <si>
    <t>http://www.imdb.com/title/tt1374989/?ref_=fn_tt_tt_1</t>
  </si>
  <si>
    <t>Kundun</t>
  </si>
  <si>
    <t>Tenzin Thuthob Tsarong</t>
  </si>
  <si>
    <t>Tulku Jamyang Kunga Tenzin</t>
  </si>
  <si>
    <t>Tencho Gyalpo</t>
  </si>
  <si>
    <t>chinese|dalai lama|lama|tibet|tibetan</t>
  </si>
  <si>
    <t>http://www.imdb.com/title/tt0119485/?ref_=fn_tt_tt_1</t>
  </si>
  <si>
    <t>Robert B. Weide</t>
  </si>
  <si>
    <t>How to Lose Friends &amp; Alienate People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</si>
  <si>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</si>
  <si>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</si>
  <si>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</si>
  <si>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</si>
  <si>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</si>
  <si>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Kick-Ass 2</t>
  </si>
  <si>
    <t>Donald Faison</t>
  </si>
  <si>
    <t>hit in the crotch|kicked in the crotch|punched in the crotch|sparring|superhero</t>
  </si>
  <si>
    <t>http://www.imdb.com/title/tt1650554/?ref_=fn_tt_tt_1</t>
  </si>
  <si>
    <t>Camille Delamarre</t>
  </si>
  <si>
    <t>Brick Mansions</t>
  </si>
  <si>
    <t>bare chested male bondage|crime lord|die hard scenario|two word title|undercover</t>
  </si>
  <si>
    <t>http://www.imdb.com/title/tt1430612/?ref_=fn_tt_tt_1</t>
  </si>
  <si>
    <t>Octopussy</t>
  </si>
  <si>
    <t>Louis Jourdan</t>
  </si>
  <si>
    <t>Kabir Bedi</t>
  </si>
  <si>
    <t>Steven Berkoff</t>
  </si>
  <si>
    <t>agent|egg|faberge egg|general|russian</t>
  </si>
  <si>
    <t>http://www.imdb.com/title/tt0086034/?ref_=fn_tt_tt_1</t>
  </si>
  <si>
    <t>Knocked Up</t>
  </si>
  <si>
    <t>Martin Starr</t>
  </si>
  <si>
    <t>one night stand|pregnancy|slacker|unplanned pregnancy|website</t>
  </si>
  <si>
    <t>http://www.imdb.com/title/tt0478311/?ref_=fn_tt_tt_1</t>
  </si>
  <si>
    <t>My Sister's Keeper</t>
  </si>
  <si>
    <t>Sofia Vassilieva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</si>
  <si>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</si>
  <si>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</si>
  <si>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</si>
  <si>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</si>
  <si>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</t>
  </si>
  <si>
    <t>african american protagonist|comma in title|four word title|name in title|talk show host</t>
  </si>
  <si>
    <t>http://www.imdb.com/title/tt0494652/?ref_=fn_tt_tt_1</t>
  </si>
  <si>
    <t>David Lean</t>
  </si>
  <si>
    <t>A Passage to India</t>
  </si>
  <si>
    <t>Richard Wilson</t>
  </si>
  <si>
    <t>doctor|english|india|magistrate|mosque</t>
  </si>
  <si>
    <t>http://www.imdb.com/title/tt0087892/?ref_=fn_tt_tt_1</t>
  </si>
  <si>
    <t>Richard Eyre</t>
  </si>
  <si>
    <t>Notes on a Scandal</t>
  </si>
  <si>
    <t>Phil Davis</t>
  </si>
  <si>
    <t>Andrew Simpson</t>
  </si>
  <si>
    <t>Shaun Parkes</t>
  </si>
  <si>
    <t>age difference|school|student|teacher|writing</t>
  </si>
  <si>
    <t>http://www.imdb.com/title/tt0465551/?ref_=fn_tt_tt_1</t>
  </si>
  <si>
    <t>Rendition</t>
  </si>
  <si>
    <t>american|bare chested male bondage|cia|detention|interrogation</t>
  </si>
  <si>
    <t>http://www.imdb.com/title/tt0804522/?ref_=fn_tt_tt_1</t>
  </si>
  <si>
    <t>Nicholas Meyer</t>
  </si>
  <si>
    <t>Star Trek VI: The Undiscovered Country</t>
  </si>
  <si>
    <t>captain|explosion|klingon|moon|peace</t>
  </si>
  <si>
    <t>http://www.imdb.com/title/tt0102975/?ref_=fn_tt_tt_1</t>
  </si>
  <si>
    <t>Callie Khouri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</si>
  <si>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</si>
  <si>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</si>
  <si>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</si>
  <si>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</si>
  <si>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Kiss the Girls</t>
  </si>
  <si>
    <t>Tatyana Ali</t>
  </si>
  <si>
    <t>detective|kidnapping|punching a heavy bag|serial killer|tied to a tree</t>
  </si>
  <si>
    <t>http://www.imdb.com/title/tt0119468/?ref_=fn_tt_tt_1</t>
  </si>
  <si>
    <t>The Blues Brothers</t>
  </si>
  <si>
    <t>Action|Comedy|Crime|Music</t>
  </si>
  <si>
    <t>John Belushi</t>
  </si>
  <si>
    <t>Aretha Franklin</t>
  </si>
  <si>
    <t>Ray Charles</t>
  </si>
  <si>
    <t>band|catholic|money|parolee|prison</t>
  </si>
  <si>
    <t>http://www.imdb.com/title/tt0080455/?ref_=fn_tt_tt_1</t>
  </si>
  <si>
    <t>Joyful Noise</t>
  </si>
  <si>
    <t>Dolly Parton</t>
  </si>
  <si>
    <t>Jeremy Jordan</t>
  </si>
  <si>
    <t>bare chested male|chips|two word title</t>
  </si>
  <si>
    <t>http://www.imdb.com/title/tt1710396/?ref_=fn_tt_tt_1</t>
  </si>
  <si>
    <t>About a Boy</t>
  </si>
  <si>
    <t>Sharon Small</t>
  </si>
  <si>
    <t>Christopher Webster</t>
  </si>
  <si>
    <t>Peter McNicholl</t>
  </si>
  <si>
    <t>boy|friend|imaginary son|single father|single mother</t>
  </si>
  <si>
    <t>http://www.imdb.com/title/tt0276751/?ref_=fn_tt_tt_1</t>
  </si>
  <si>
    <t>Lake Placid</t>
  </si>
  <si>
    <t>Ty Olsson</t>
  </si>
  <si>
    <t>crocodile|eaten alive|lake|maine|sheriff</t>
  </si>
  <si>
    <t>http://www.imdb.com/title/tt0139414/?ref_=fn_tt_tt_1</t>
  </si>
  <si>
    <t>Lucky Number Slevin</t>
  </si>
  <si>
    <t>coroner|death|gay son|love|mistaken identity</t>
  </si>
  <si>
    <t>http://www.imdb.com/title/tt0425210/?ref_=fn_tt_tt_1</t>
  </si>
  <si>
    <t>Philip Kaufman</t>
  </si>
  <si>
    <t>The Right Stuff</t>
  </si>
  <si>
    <t>astronaut|sound barrier|space program|u.s. air force|u.s. space program</t>
  </si>
  <si>
    <t>http://www.imdb.com/title/tt0086197/?ref_=fn_tt_tt_1</t>
  </si>
  <si>
    <t>Anonymous</t>
  </si>
  <si>
    <t>earl of oxford|play|queen|rebellion|shakespeare play</t>
  </si>
  <si>
    <t>http://www.imdb.com/title/tt1521197/?ref_=fn_tt_tt_1</t>
  </si>
  <si>
    <t>Dark City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</si>
  <si>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</si>
  <si>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</si>
  <si>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</si>
  <si>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</si>
  <si>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The Duchess</t>
  </si>
  <si>
    <t>duchess|duke|heir|infidelity|marriage</t>
  </si>
  <si>
    <t>http://www.imdb.com/title/tt0864761/?ref_=fn_tt_tt_1</t>
  </si>
  <si>
    <t>Richard Linklater</t>
  </si>
  <si>
    <t>The Newton Boys</t>
  </si>
  <si>
    <t>Action|Crime|Drama|History|Western</t>
  </si>
  <si>
    <t>Lew Temple</t>
  </si>
  <si>
    <t>bank robber|brother brother relationship|crime spree|explosive|train</t>
  </si>
  <si>
    <t>http://www.imdb.com/title/tt0120769/?ref_=fn_tt_tt_1</t>
  </si>
  <si>
    <t>Case 39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</si>
  <si>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</si>
  <si>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</si>
  <si>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</si>
  <si>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</si>
  <si>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</t>
  </si>
  <si>
    <t>William Mapother</t>
  </si>
  <si>
    <t>fbi|fbi agent|murder|salesman|serial killer</t>
  </si>
  <si>
    <t>http://www.imdb.com/title/tt0324127/?ref_=fn_tt_tt_1</t>
  </si>
  <si>
    <t>Menno Meyjes</t>
  </si>
  <si>
    <t>Martian Child</t>
  </si>
  <si>
    <t>adopted son|adoption|boy|mars the planet|widower</t>
  </si>
  <si>
    <t>http://www.imdb.com/title/tt0415965/?ref_=fn_tt_tt_1</t>
  </si>
  <si>
    <t>Spy Kids: All the Time in the World in 4D</t>
  </si>
  <si>
    <t>2010s|3 dimensional|breath holding contest|child spy|spy</t>
  </si>
  <si>
    <t>http://www.imdb.com/title/tt1517489/?ref_=fn_tt_tt_1</t>
  </si>
  <si>
    <t>Jodie Foster</t>
  </si>
  <si>
    <t>Money Monster</t>
  </si>
  <si>
    <t>death|hostage|money|shot in the chest|shot in the heart</t>
  </si>
  <si>
    <t>http://www.imdb.com/title/tt2241351/?ref_=fn_tt_tt_1</t>
  </si>
  <si>
    <t>Formula 51</t>
  </si>
  <si>
    <t>Junix Inocian</t>
  </si>
  <si>
    <t>Paul Barber</t>
  </si>
  <si>
    <t>american in the uk|drug lord|drugs|gangster|organized crime</t>
  </si>
  <si>
    <t>http://www.imdb.com/title/tt0227984/?ref_=fn_tt_tt_1</t>
  </si>
  <si>
    <t>Flawless</t>
  </si>
  <si>
    <t>Comedy|Crime|Drama</t>
  </si>
  <si>
    <t>gay interest|gay lead character|gay republican|homosexual|neighbor</t>
  </si>
  <si>
    <t>http://www.imdb.com/title/tt0155711/?ref_=fn_tt_tt_1</t>
  </si>
  <si>
    <t>Mindhunters</t>
  </si>
  <si>
    <t>Eion Bailey</t>
  </si>
  <si>
    <t>fbi|group|island|serial killer|training</t>
  </si>
  <si>
    <t>http://www.imdb.com/title/tt0297284/?ref_=fn_tt_tt_1</t>
  </si>
  <si>
    <t>What Just Happened</t>
  </si>
  <si>
    <t>actor|agent|beard|cannes|hollywood</t>
  </si>
  <si>
    <t>http://www.imdb.com/title/tt0486674/?ref_=fn_tt_tt_1</t>
  </si>
  <si>
    <t>The Statement</t>
  </si>
  <si>
    <t>John Neville</t>
  </si>
  <si>
    <t>eiffel tower|nazi|police|ritual|stew</t>
  </si>
  <si>
    <t>http://www.imdb.com/title/tt0340376/?ref_=fn_tt_tt_1</t>
  </si>
  <si>
    <t>Paul Blart: Mall Cop</t>
  </si>
  <si>
    <t>Adhir Kalyan</t>
  </si>
  <si>
    <t>cell phone|hostage|mall|security guard|text messaging</t>
  </si>
  <si>
    <t>http://www.imdb.com/title/tt1114740/?ref_=fn_tt_tt_1</t>
  </si>
  <si>
    <t>Freaky Friday</t>
  </si>
  <si>
    <t>Comedy|Family|Fantasy|Music|Romance</t>
  </si>
  <si>
    <t>Julie Gonzalo</t>
  </si>
  <si>
    <t>body swap|camera shot of feet|foot closeup|reference to keith richards|reference to the rolling stones</t>
  </si>
  <si>
    <t>http://www.imdb.com/title/tt0322330/?ref_=fn_tt_tt_1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</si>
  <si>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</si>
  <si>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</si>
  <si>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</si>
  <si>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</si>
  <si>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Shakespeare in Love</t>
  </si>
  <si>
    <t>Martin Clunes</t>
  </si>
  <si>
    <t>Simon Callow</t>
  </si>
  <si>
    <t>actor|audition|muse|playwright|theater</t>
  </si>
  <si>
    <t>http://www.imdb.com/title/tt0138097/?ref_=fn_tt_tt_1</t>
  </si>
  <si>
    <t>Scott Frank</t>
  </si>
  <si>
    <t>A Walk Among the Tombstones</t>
  </si>
  <si>
    <t>Boyd Holbrook</t>
  </si>
  <si>
    <t>David Harbour</t>
  </si>
  <si>
    <t>drug dealer|ex cop|murder of wife|revenge|violence</t>
  </si>
  <si>
    <t>http://www.imdb.com/title/tt0365907/?ref_=fn_tt_tt_1</t>
  </si>
  <si>
    <t>Kindergarten Cop</t>
  </si>
  <si>
    <t>astoria|kindergarten|kindergarten teacher|school|teacher</t>
  </si>
  <si>
    <t>http://www.imdb.com/title/tt0099938/?ref_=fn_tt_tt_1</t>
  </si>
  <si>
    <t>Pineapple Express</t>
  </si>
  <si>
    <t>murder|paranoia|process server|roach|stoner</t>
  </si>
  <si>
    <t>http://www.imdb.com/title/tt0910936/?ref_=fn_tt_tt_1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</si>
  <si>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</si>
  <si>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</si>
  <si>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</si>
  <si>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</si>
  <si>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Open Range</t>
  </si>
  <si>
    <t>boss|cattle|cowboy|rancher|violence</t>
  </si>
  <si>
    <t>http://www.imdb.com/title/tt0316356/?ref_=fn_tt_tt_1</t>
  </si>
  <si>
    <t>Flatliners</t>
  </si>
  <si>
    <t>childhood trauma|death|medical student|memory|near death experience</t>
  </si>
  <si>
    <t>http://www.imdb.com/title/tt0099582/?ref_=fn_tt_tt_1</t>
  </si>
  <si>
    <t>A Bridge Too Far</t>
  </si>
  <si>
    <t>Ryan O'Neal</t>
  </si>
  <si>
    <t>Dirk Bogarde</t>
  </si>
  <si>
    <t>Wolfgang Preiss</t>
  </si>
  <si>
    <t>airborne troops|allies|operation market garden|panzer|paratrooper</t>
  </si>
  <si>
    <t>http://www.imdb.com/title/tt0075784/?ref_=fn_tt_tt_1</t>
  </si>
  <si>
    <t>Red Eye</t>
  </si>
  <si>
    <t>Robert Pine</t>
  </si>
  <si>
    <t>Carl Gilliard</t>
  </si>
  <si>
    <t>Suzie Plakson</t>
  </si>
  <si>
    <t>airport|flight|hotel|hotel manager|plane</t>
  </si>
  <si>
    <t>http://www.imdb.com/title/tt0421239/?ref_=fn_tt_tt_1</t>
  </si>
  <si>
    <t>Final Destination 2</t>
  </si>
  <si>
    <t>Michael Landes</t>
  </si>
  <si>
    <t>Keegan Connor Tracy</t>
  </si>
  <si>
    <t>car accident|death|freak accident|hospital|premonition</t>
  </si>
  <si>
    <t>http://www.imdb.com/title/tt0309593/?ref_=fn_tt_tt_1</t>
  </si>
  <si>
    <t>O Brother, Where Art Thou?</t>
  </si>
  <si>
    <t>Adventure|Comedy|Crime|Music</t>
  </si>
  <si>
    <t>baby|bank|blind prophet|convict|sirens</t>
  </si>
  <si>
    <t>http://www.imdb.com/title/tt0190590/?ref_=fn_tt_tt_1</t>
  </si>
  <si>
    <t>Legion</t>
  </si>
  <si>
    <t>Kate Walsh</t>
  </si>
  <si>
    <t>angel|diner|faith|human race|religious faith</t>
  </si>
  <si>
    <t>http://www.imdb.com/title/tt1038686/?ref_=fn_tt_tt_1</t>
  </si>
  <si>
    <t>Pain &amp; Gain</t>
  </si>
  <si>
    <t>Larry Hankin</t>
  </si>
  <si>
    <t>american dream|bodybuilder|money|punch into the camera|reference to julia roberts</t>
  </si>
  <si>
    <t>http://www.imdb.com/title/tt1980209/?ref_=fn_tt_tt_1</t>
  </si>
  <si>
    <t>In Good Company</t>
  </si>
  <si>
    <t>company|corporate takeover|executive|magazine|new boss</t>
  </si>
  <si>
    <t>http://www.imdb.com/title/tt0385267/?ref_=fn_tt_tt_1</t>
  </si>
  <si>
    <t>Clockstoppers</t>
  </si>
  <si>
    <t>Action|Adventure|Comedy|Sci-Fi|Thriller</t>
  </si>
  <si>
    <t>Paula GarcÃ©s</t>
  </si>
  <si>
    <t>Jason George</t>
  </si>
  <si>
    <t>frozen time|stopped time|time freeze|watch|wristwatch</t>
  </si>
  <si>
    <t>http://www.imdb.com/title/tt0157472/?ref_=fn_tt_tt_1</t>
  </si>
  <si>
    <t>Silverado</t>
  </si>
  <si>
    <t>Action|Crime|Drama|Western</t>
  </si>
  <si>
    <t>Todd Allen</t>
  </si>
  <si>
    <t>Brad Leland</t>
  </si>
  <si>
    <t>1880s|kiss|small town|table broken in fight|wild west</t>
  </si>
  <si>
    <t>http://www.imdb.com/title/tt0090022/?ref_=fn_tt_tt_1</t>
  </si>
  <si>
    <t>Brothers</t>
  </si>
  <si>
    <t>afghanistan|death of soldier|presumed dead|prisoner|war trauma</t>
  </si>
  <si>
    <t>http://www.imdb.com/title/tt0765010/?ref_=fn_tt_tt_1</t>
  </si>
  <si>
    <t>Kevin Allen</t>
  </si>
  <si>
    <t>Agent Cody Banks 2: Destination London</t>
  </si>
  <si>
    <t>Action|Adventure|Comedy|Family|Romance|Sci-Fi</t>
  </si>
  <si>
    <t>Frankie Muniz</t>
  </si>
  <si>
    <t>chase|evil scientist|gadget|mind control|tough girl</t>
  </si>
  <si>
    <t>http://www.imdb.com/title/tt0358349/?ref_=fn_tt_tt_1</t>
  </si>
  <si>
    <t>New Year's Eve</t>
  </si>
  <si>
    <t>Seth Meyers</t>
  </si>
  <si>
    <t>expecting|kiss|new year|new year's eve|singer</t>
  </si>
  <si>
    <t>http://www.imdb.com/title/tt1598822/?ref_=fn_tt_tt_1</t>
  </si>
  <si>
    <t>Michael Cristofer</t>
  </si>
  <si>
    <t>Original Sin</t>
  </si>
  <si>
    <t>Gregory Itzin</t>
  </si>
  <si>
    <t>Jack Thompson</t>
  </si>
  <si>
    <t>delaware|erotica|money|pursuit|sex scene</t>
  </si>
  <si>
    <t>http://www.imdb.com/title/tt0218922/?ref_=fn_tt_tt_1</t>
  </si>
  <si>
    <t>The Raven</t>
  </si>
  <si>
    <t>Pam Ferris</t>
  </si>
  <si>
    <t>Dave Legeno</t>
  </si>
  <si>
    <t>mask|murder|newspaper|poem|serial killer</t>
  </si>
  <si>
    <t>http://www.imdb.com/title/tt1486192/?ref_=fn_tt_tt_1</t>
  </si>
  <si>
    <t>Welcome to Mooseport</t>
  </si>
  <si>
    <t>mayor|pink panties|upskirt|white panties|yellow panties</t>
  </si>
  <si>
    <t>http://www.imdb.com/title/tt0361925/?ref_=fn_tt_tt_1</t>
  </si>
  <si>
    <t>Andrew Morahan</t>
  </si>
  <si>
    <t>Highlander: The Final Dimension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</si>
  <si>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</si>
  <si>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</si>
  <si>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</si>
  <si>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</si>
  <si>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</si>
  <si>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Blood and Wine</t>
  </si>
  <si>
    <t>diamond|necklace|safecracker|wine|wine dealer</t>
  </si>
  <si>
    <t>http://www.imdb.com/title/tt0115710/?ref_=fn_tt_tt_1</t>
  </si>
  <si>
    <t>The Curse of the Jade Scorpion</t>
  </si>
  <si>
    <t>Comedy|Crime|Mystery|Romance</t>
  </si>
  <si>
    <t>efficiency expert|insurance investigator|magician|scorpion|thief</t>
  </si>
  <si>
    <t>http://www.imdb.com/title/tt0256524/?ref_=fn_tt_tt_1</t>
  </si>
  <si>
    <t>Alan Shapiro</t>
  </si>
  <si>
    <t>Flipper</t>
  </si>
  <si>
    <t>Adventure|Family</t>
  </si>
  <si>
    <t>Paul Hogan</t>
  </si>
  <si>
    <t>Chelsea Field</t>
  </si>
  <si>
    <t>Jessica Wesson</t>
  </si>
  <si>
    <t>dolphin|florida|florida keys|summer|vomiting</t>
  </si>
  <si>
    <t>http://www.imdb.com/title/tt0116322/?ref_=fn_tt_tt_1</t>
  </si>
  <si>
    <t>Self/less</t>
  </si>
  <si>
    <t>Derek Luke</t>
  </si>
  <si>
    <t>cancer|elderly man|funeral|medical|transhumanism</t>
  </si>
  <si>
    <t>http://www.imdb.com/title/tt2140379/?ref_=fn_tt_tt_1</t>
  </si>
  <si>
    <t>Fernando Meirelles</t>
  </si>
  <si>
    <t>The Constant Gardener</t>
  </si>
  <si>
    <t>Donald Sumpter</t>
  </si>
  <si>
    <t>death|diplomat|doctor|kenya|murder</t>
  </si>
  <si>
    <t>http://www.imdb.com/title/tt0387131/?ref_=fn_tt_tt_1</t>
  </si>
  <si>
    <t>The Passion of the Christ</t>
  </si>
  <si>
    <t>Christo Jivkov</t>
  </si>
  <si>
    <t>Maia Morgenstern</t>
  </si>
  <si>
    <t>Hristo Shopov</t>
  </si>
  <si>
    <t>anti semitism|cult film|grindhouse|suffering|torture</t>
  </si>
  <si>
    <t>http://www.imdb.com/title/tt0335345/?ref_=fn_tt_tt_1</t>
  </si>
  <si>
    <t>Aramaic</t>
  </si>
  <si>
    <t>Mrs. Doubtfire</t>
  </si>
  <si>
    <t>Comedy|Drama|Family|Romance</t>
  </si>
  <si>
    <t>Matthew Lawrence</t>
  </si>
  <si>
    <t>actor|based on novel|fancy restaurant|male actor playing a female character|party</t>
  </si>
  <si>
    <t>http://www.imdb.com/title/tt0107614/?ref_=fn_tt_tt_1</t>
  </si>
  <si>
    <t>Rain Man</t>
  </si>
  <si>
    <t>buick|convertible|last will and testament|savant|travel</t>
  </si>
  <si>
    <t>http://www.imdb.com/title/tt0095953/?ref_=fn_tt_tt_1</t>
  </si>
  <si>
    <t>Gran Torino</t>
  </si>
  <si>
    <t>Dreama Walker</t>
  </si>
  <si>
    <t>Ahney Her</t>
  </si>
  <si>
    <t>gang|gang rape|hmong|teenager|widower</t>
  </si>
  <si>
    <t>http://www.imdb.com/title/tt1205489/?ref_=fn_tt_tt_1</t>
  </si>
  <si>
    <t>W.</t>
  </si>
  <si>
    <t>bible|cabinet meeting|dog|drinking|family relationships</t>
  </si>
  <si>
    <t>http://www.imdb.com/title/tt1175491/?ref_=fn_tt_tt_1</t>
  </si>
  <si>
    <t>Taken</t>
  </si>
  <si>
    <t>agent|cia|france|rescue|teenage abduction</t>
  </si>
  <si>
    <t>http://www.imdb.com/title/tt0936501/?ref_=fn_tt_tt_1</t>
  </si>
  <si>
    <t>Michael Hoffman</t>
  </si>
  <si>
    <t>The Best of Me</t>
  </si>
  <si>
    <t>Luke Bracey</t>
  </si>
  <si>
    <t>adultery|based on novel|heart transplant|infidelity|protective male</t>
  </si>
  <si>
    <t>http://www.imdb.com/title/tt1972779/?ref_=fn_tt_tt_1</t>
  </si>
  <si>
    <t>The Bodyguard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</si>
  <si>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</si>
  <si>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</si>
  <si>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</si>
  <si>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</si>
  <si>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Schindler's List</t>
  </si>
  <si>
    <t>Embeth Davidtz</t>
  </si>
  <si>
    <t>Caroline Goodall</t>
  </si>
  <si>
    <t>german|german soldier|jew|jewish|nazi</t>
  </si>
  <si>
    <t>http://www.imdb.com/title/tt0108052/?ref_=fn_tt_tt_1</t>
  </si>
  <si>
    <t>The Help</t>
  </si>
  <si>
    <t>black servant|chocolate pie|jackson mississippi|maid|writing a novel</t>
  </si>
  <si>
    <t>http://www.imdb.com/title/tt1454029/?ref_=fn_tt_tt_1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</si>
  <si>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</si>
  <si>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</si>
  <si>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</si>
  <si>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</si>
  <si>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Scooby-Doo 2: Monsters Unleashed</t>
  </si>
  <si>
    <t>Adventure|Comedy|Family|Fantasy|Horror|Mystery</t>
  </si>
  <si>
    <t>ghost|masked villain|monster|museum|tv</t>
  </si>
  <si>
    <t>http://www.imdb.com/title/tt0331632/?ref_=fn_tt_tt_1</t>
  </si>
  <si>
    <t>Freddy vs. Jason</t>
  </si>
  <si>
    <t>Katharine Isabelle</t>
  </si>
  <si>
    <t>Jason Ritter</t>
  </si>
  <si>
    <t>elm street|freddy krueger|jason voorhees|serial killer|slasher</t>
  </si>
  <si>
    <t>http://www.imdb.com/title/tt0329101/?ref_=fn_tt_tt_1</t>
  </si>
  <si>
    <t>Jimmy Neutron: Boy Genius</t>
  </si>
  <si>
    <t>alien|boy genius|children|genius|rescue</t>
  </si>
  <si>
    <t>http://www.imdb.com/title/tt0268397/?ref_=fn_tt_tt_1</t>
  </si>
  <si>
    <t>Cloverfield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</si>
  <si>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</si>
  <si>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</si>
  <si>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</si>
  <si>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</si>
  <si>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</si>
  <si>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Teenage Mutant Ninja Turtles II: The Secret of the Ooze</t>
  </si>
  <si>
    <t>Kevin Nash</t>
  </si>
  <si>
    <t>Paige Turco</t>
  </si>
  <si>
    <t>Ernie Reyes Jr.</t>
  </si>
  <si>
    <t>chop socky|mutant|ninja|shredder|turtle</t>
  </si>
  <si>
    <t>http://www.imdb.com/title/tt0103060/?ref_=fn_tt_tt_1</t>
  </si>
  <si>
    <t>The Untouchables</t>
  </si>
  <si>
    <t>Billy Drago</t>
  </si>
  <si>
    <t>corrupt judge|tax evasion|tough cop|white suit|year 1930</t>
  </si>
  <si>
    <t>http://www.imdb.com/title/tt0094226/?ref_=fn_tt_tt_1</t>
  </si>
  <si>
    <t>No Country for Old Men</t>
  </si>
  <si>
    <t>Barry Corbin</t>
  </si>
  <si>
    <t>coin toss|desert|sheriff|texas|tracking device</t>
  </si>
  <si>
    <t>http://www.imdb.com/title/tt0477348/?ref_=fn_tt_tt_1</t>
  </si>
  <si>
    <t>Ride Along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</si>
  <si>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</si>
  <si>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</si>
  <si>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</si>
  <si>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</si>
  <si>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</t>
  </si>
  <si>
    <t>american actress playing british character|book publishing|calorie counting|employer employee relationship|rabbit costume</t>
  </si>
  <si>
    <t>http://www.imdb.com/title/tt0243155/?ref_=fn_tt_tt_1</t>
  </si>
  <si>
    <t>Chocolat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</si>
  <si>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</si>
  <si>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</si>
  <si>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</si>
  <si>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</si>
  <si>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</si>
  <si>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</t>
  </si>
  <si>
    <t>Bob Newhart</t>
  </si>
  <si>
    <t>animal rights|congresswoman|doorman|transvestism|washington d.c.</t>
  </si>
  <si>
    <t>http://www.imdb.com/title/tt0333780/?ref_=fn_tt_tt_1</t>
  </si>
  <si>
    <t>Parental Guidance</t>
  </si>
  <si>
    <t>Gedde Watanabe</t>
  </si>
  <si>
    <t>chores|father figure|helicopter parents|in laws|punishment</t>
  </si>
  <si>
    <t>http://www.imdb.com/title/tt1047540/?ref_=fn_tt_tt_1</t>
  </si>
  <si>
    <t>No Strings Attached</t>
  </si>
  <si>
    <t>Greta Gerwig</t>
  </si>
  <si>
    <t>ex girlfriend|funeral|hospital|male objectification|summer camp</t>
  </si>
  <si>
    <t>http://www.imdb.com/title/tt1411238/?ref_=fn_tt_tt_1</t>
  </si>
  <si>
    <t>Tombstone</t>
  </si>
  <si>
    <t>Action|Biography|Drama|History|Romance|Western</t>
  </si>
  <si>
    <t>Dana Delany</t>
  </si>
  <si>
    <t>cigar smoking|cowboy|duel|outlaw|tombstone arizona</t>
  </si>
  <si>
    <t>http://www.imdb.com/title/tt0108358/?ref_=fn_tt_tt_1</t>
  </si>
  <si>
    <t>Romeo Must Die</t>
  </si>
  <si>
    <t>death|hong kong|kung fu|prison|waterfront</t>
  </si>
  <si>
    <t>http://www.imdb.com/title/tt0165929/?ref_=fn_tt_tt_1</t>
  </si>
  <si>
    <t>Final Destination 3</t>
  </si>
  <si>
    <t>Chelan Simmons</t>
  </si>
  <si>
    <t>Gina Holden</t>
  </si>
  <si>
    <t>amusement park|death|fate|premonition|roller coaster</t>
  </si>
  <si>
    <t>http://www.imdb.com/title/tt0414982/?ref_=fn_tt_tt_1</t>
  </si>
  <si>
    <t>The Lucky One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</si>
  <si>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</si>
  <si>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</si>
  <si>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</si>
  <si>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</si>
  <si>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</si>
  <si>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</t>
  </si>
  <si>
    <t>bully|friend|imagination|reality|troll</t>
  </si>
  <si>
    <t>http://www.imdb.com/title/tt0398808/?ref_=fn_tt_tt_1</t>
  </si>
  <si>
    <t>Finding Neverland</t>
  </si>
  <si>
    <t>Biography|Drama|Family</t>
  </si>
  <si>
    <t>boy|inspiration|reference to peter pan|stage play|widow</t>
  </si>
  <si>
    <t>http://www.imdb.com/title/tt0308644/?ref_=fn_tt_tt_1</t>
  </si>
  <si>
    <t>Tyler Perry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</si>
  <si>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</si>
  <si>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</si>
  <si>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</si>
  <si>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</si>
  <si>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</si>
  <si>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</t>
  </si>
  <si>
    <t>alaska|leadership|snow|survival|wilderness</t>
  </si>
  <si>
    <t>http://www.imdb.com/title/tt1601913/?ref_=fn_tt_tt_1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</si>
  <si>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</si>
  <si>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</si>
  <si>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</si>
  <si>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</si>
  <si>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Anchorman: The Legend of Ron Burgundy</t>
  </si>
  <si>
    <t>Darcy Donavan</t>
  </si>
  <si>
    <t>1970s|anchorman|news anchor|newsroom|tv station</t>
  </si>
  <si>
    <t>http://www.imdb.com/title/tt0357413/?ref_=fn_tt_tt_1</t>
  </si>
  <si>
    <t>Goodfellas</t>
  </si>
  <si>
    <t>betrayal|gangster|mafia|organized crime|robbery</t>
  </si>
  <si>
    <t>http://www.imdb.com/title/tt0099685/?ref_=fn_tt_tt_1</t>
  </si>
  <si>
    <t>Agent Cody Banks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</si>
  <si>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</si>
  <si>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</si>
  <si>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</si>
  <si>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</si>
  <si>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</t>
  </si>
  <si>
    <t>father|governess|magic|nanny|widower</t>
  </si>
  <si>
    <t>http://www.imdb.com/title/tt0396752/?ref_=fn_tt_tt_1</t>
  </si>
  <si>
    <t>Scarface</t>
  </si>
  <si>
    <t>assassination attempt|capitalism|cocaine|cuban american|cuban refugee</t>
  </si>
  <si>
    <t>http://www.imdb.com/title/tt0086250/?ref_=fn_tt_tt_1</t>
  </si>
  <si>
    <t>Nothing to Lose</t>
  </si>
  <si>
    <t>Rebecca Gayheart</t>
  </si>
  <si>
    <t>boss|ghetto|money|robber|robbery</t>
  </si>
  <si>
    <t>http://www.imdb.com/title/tt0119807/?ref_=fn_tt_tt_1</t>
  </si>
  <si>
    <t>Bernardo Bertolucci</t>
  </si>
  <si>
    <t>The Last Emperor</t>
  </si>
  <si>
    <t>abdication|china|emperor|forbidden city|republic</t>
  </si>
  <si>
    <t>http://www.imdb.com/title/tt0093389/?ref_=fn_tt_tt_1</t>
  </si>
  <si>
    <t>Contraband</t>
  </si>
  <si>
    <t>David O'Hara</t>
  </si>
  <si>
    <t>cocaine|contraband|drug lord|prison|smuggling</t>
  </si>
  <si>
    <t>http://www.imdb.com/title/tt1524137/?ref_=fn_tt_tt_1</t>
  </si>
  <si>
    <t>Money Talks</t>
  </si>
  <si>
    <t>blood splatter|fistfight|murder|police|prison bus</t>
  </si>
  <si>
    <t>http://www.imdb.com/title/tt0119695/?ref_=fn_tt_tt_1</t>
  </si>
  <si>
    <t>There Will Be Blood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</si>
  <si>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</si>
  <si>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</si>
  <si>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</si>
  <si>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</si>
  <si>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</si>
  <si>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The Wild Thornberrys Movie</t>
  </si>
  <si>
    <t>Flea</t>
  </si>
  <si>
    <t>africa|chimpanzee|elephant|safari|shaman</t>
  </si>
  <si>
    <t>http://www.imdb.com/title/tt0282120/?ref_=fn_tt_tt_1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</si>
  <si>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</si>
  <si>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</si>
  <si>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</si>
  <si>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</si>
  <si>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</si>
  <si>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Undercover Brother</t>
  </si>
  <si>
    <t>Eddie Griffin</t>
  </si>
  <si>
    <t>african american|cadillac|disguise|secret agent|undercover</t>
  </si>
  <si>
    <t>http://www.imdb.com/title/tt0279493/?ref_=fn_tt_tt_1</t>
  </si>
  <si>
    <t>The Sisterhood of the Traveling Pants</t>
  </si>
  <si>
    <t>friendship|jeans|pants|summer|vacation</t>
  </si>
  <si>
    <t>http://www.imdb.com/title/tt0403508/?ref_=fn_tt_tt_1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</si>
  <si>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</si>
  <si>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</si>
  <si>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</si>
  <si>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</si>
  <si>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Fred Wolf</t>
  </si>
  <si>
    <t>The House Bunny</t>
  </si>
  <si>
    <t>Katharine McPhee</t>
  </si>
  <si>
    <t>makeover|party|playboy|playboy mansion|sorority</t>
  </si>
  <si>
    <t>http://www.imdb.com/title/tt0852713/?ref_=fn_tt_tt_1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</si>
  <si>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</si>
  <si>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</si>
  <si>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</si>
  <si>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</si>
  <si>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The Giver</t>
  </si>
  <si>
    <t>Drama|Romance|Sci-Fi</t>
  </si>
  <si>
    <t>black and white segues into color|color|community|dystopia|infanticide</t>
  </si>
  <si>
    <t>http://www.imdb.com/title/tt0435651/?ref_=fn_tt_tt_1</t>
  </si>
  <si>
    <t>What a Girl Wants</t>
  </si>
  <si>
    <t>Oliver James</t>
  </si>
  <si>
    <t>american|daughter|england|father|politician</t>
  </si>
  <si>
    <t>http://www.imdb.com/title/tt0286788/?ref_=fn_tt_tt_1</t>
  </si>
  <si>
    <t>Victor Salva</t>
  </si>
  <si>
    <t>Jeepers Creepers II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</si>
  <si>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</si>
  <si>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</si>
  <si>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</si>
  <si>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</si>
  <si>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</si>
  <si>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</si>
  <si>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</si>
  <si>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</si>
  <si>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Cradle 2 the Grave</t>
  </si>
  <si>
    <t>DMX</t>
  </si>
  <si>
    <t>camera shot from inside human body|diamond|evil man|heist|terrorism</t>
  </si>
  <si>
    <t>http://www.imdb.com/title/tt0306685/?ref_=fn_tt_tt_1</t>
  </si>
  <si>
    <t>The Hours</t>
  </si>
  <si>
    <t>housewife|lesbian|novel|party|reading</t>
  </si>
  <si>
    <t>http://www.imdb.com/title/tt0274558/?ref_=fn_tt_tt_1</t>
  </si>
  <si>
    <t>She's the Man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</si>
  <si>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</si>
  <si>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</si>
  <si>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</si>
  <si>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</si>
  <si>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</si>
  <si>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Mr. Bean's Holiday</t>
  </si>
  <si>
    <t>Lily Atkinson</t>
  </si>
  <si>
    <t>Emma de Caunes</t>
  </si>
  <si>
    <t>Steve Pemberton</t>
  </si>
  <si>
    <t>camcorder|cannes|director|lost passport|train</t>
  </si>
  <si>
    <t>http://www.imdb.com/title/tt0453451/?ref_=fn_tt_tt_1</t>
  </si>
  <si>
    <t>Dwight H. Little</t>
  </si>
  <si>
    <t>Anacondas: The Hunt for the Blood Orchid</t>
  </si>
  <si>
    <t>Nicholas Gonzalez</t>
  </si>
  <si>
    <t>Salli Richardson-Whitfield</t>
  </si>
  <si>
    <t>Johnny Messner</t>
  </si>
  <si>
    <t>anaconda|blood|borneo|flower|orchid</t>
  </si>
  <si>
    <t>http://www.imdb.com/title/tt0366174/?ref_=fn_tt_tt_1</t>
  </si>
  <si>
    <t>Guillaume Canet</t>
  </si>
  <si>
    <t>Blood Ties</t>
  </si>
  <si>
    <t>1970s|flashback|love|money|murder</t>
  </si>
  <si>
    <t>http://www.imdb.com/title/tt1747958/?ref_=fn_tt_tt_1</t>
  </si>
  <si>
    <t>Kirsten Sheridan</t>
  </si>
  <si>
    <t>August Rush</t>
  </si>
  <si>
    <t>Aaron Staton</t>
  </si>
  <si>
    <t>baby|cellist|genius|prodigy|rhapsody</t>
  </si>
  <si>
    <t>http://www.imdb.com/title/tt0426931/?ref_=fn_tt_tt_1</t>
  </si>
  <si>
    <t>Elizabeth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</si>
  <si>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</si>
  <si>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</si>
  <si>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</si>
  <si>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</si>
  <si>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</t>
  </si>
  <si>
    <t>Comedy|Fantasy|Horror|Romance</t>
  </si>
  <si>
    <t>Alexis Arquette</t>
  </si>
  <si>
    <t>Park Bench</t>
  </si>
  <si>
    <t>Vince Corazza</t>
  </si>
  <si>
    <t>blood|doll|gore|murder|serial killer</t>
  </si>
  <si>
    <t>http://www.imdb.com/title/tt0144120/?ref_=fn_tt_tt_1</t>
  </si>
  <si>
    <t>Richard Fleischer</t>
  </si>
  <si>
    <t>Tora! Tora! Tora!</t>
  </si>
  <si>
    <t>Joseph Cotten</t>
  </si>
  <si>
    <t>Richard Anderson</t>
  </si>
  <si>
    <t>James Whitmore</t>
  </si>
  <si>
    <t>attack|hawaii|navy|pearl harbor|u.s. navy</t>
  </si>
  <si>
    <t>http://www.imdb.com/title/tt0066473/?ref_=fn_tt_tt_1</t>
  </si>
  <si>
    <t>Bob Spiers</t>
  </si>
  <si>
    <t>Spice World</t>
  </si>
  <si>
    <t>Comedy|Family|Music</t>
  </si>
  <si>
    <t>Richard Briers</t>
  </si>
  <si>
    <t>Victoria Beckham</t>
  </si>
  <si>
    <t>bus|concert|live concert|pop group|spice girl</t>
  </si>
  <si>
    <t>http://www.imdb.com/title/tt0120185/?ref_=fn_tt_tt_1</t>
  </si>
  <si>
    <t>Damien Dante Wayans</t>
  </si>
  <si>
    <t>Dance Flick</t>
  </si>
  <si>
    <t>Action|Comedy|Music</t>
  </si>
  <si>
    <t>Essence Atkins</t>
  </si>
  <si>
    <t>african american|dance|overalls|parody|rap</t>
  </si>
  <si>
    <t>http://www.imdb.com/title/tt1153706/?ref_=fn_tt_tt_1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</si>
  <si>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</si>
  <si>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</si>
  <si>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</si>
  <si>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Crocodile Dundee in Los Angeles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</si>
  <si>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</si>
  <si>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</si>
  <si>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</si>
  <si>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</si>
  <si>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</si>
  <si>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Kingpin</t>
  </si>
  <si>
    <t>amish|bowling|on the road|rubber hand|tournament</t>
  </si>
  <si>
    <t>http://www.imdb.com/title/tt0116778/?ref_=fn_tt_tt_1</t>
  </si>
  <si>
    <t>The Gambler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</si>
  <si>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</si>
  <si>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</si>
  <si>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</si>
  <si>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</si>
  <si>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</si>
  <si>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</si>
  <si>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</si>
  <si>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</si>
  <si>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Nigel Cole</t>
  </si>
  <si>
    <t>A Lot Like Love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</si>
  <si>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</si>
  <si>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</si>
  <si>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</si>
  <si>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</si>
  <si>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Eddie the Eagle</t>
  </si>
  <si>
    <t>Biography|Comedy|Drama|Sport</t>
  </si>
  <si>
    <t>Taron Egerton</t>
  </si>
  <si>
    <t>1988 winter olympics|coach|ski jumper|winter|winter olympics</t>
  </si>
  <si>
    <t>http://www.imdb.com/title/tt1083452/?ref_=fn_tt_tt_1</t>
  </si>
  <si>
    <t>He Got Game</t>
  </si>
  <si>
    <t>basketball|basketball player|female nudity|porn actor in mainstream movie|prison</t>
  </si>
  <si>
    <t>http://www.imdb.com/title/tt0124718/?ref_=fn_tt_tt_1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</si>
  <si>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</si>
  <si>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</si>
  <si>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</si>
  <si>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</si>
  <si>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Sylvain White</t>
  </si>
  <si>
    <t>The Losers</t>
  </si>
  <si>
    <t>Ã“scar Jaenada</t>
  </si>
  <si>
    <t>hacking|hijacking|martial arts|revenge|special forces</t>
  </si>
  <si>
    <t>http://www.imdb.com/title/tt0480255/?ref_=fn_tt_tt_1</t>
  </si>
  <si>
    <t>Troy Nixey</t>
  </si>
  <si>
    <t>Don't Be Afraid of the Dark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</si>
  <si>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</si>
  <si>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</si>
  <si>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</si>
  <si>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</si>
  <si>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War</t>
  </si>
  <si>
    <t>assassin|betrayal|fbi|fbi agent|yakuza</t>
  </si>
  <si>
    <t>http://www.imdb.com/title/tt0499556/?ref_=fn_tt_tt_1</t>
  </si>
  <si>
    <t>Punch-Drunk Love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</si>
  <si>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</si>
  <si>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</si>
  <si>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</si>
  <si>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</si>
  <si>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</si>
  <si>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EuroTrip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</si>
  <si>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</si>
  <si>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</si>
  <si>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</si>
  <si>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</si>
  <si>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</si>
  <si>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Half Past Dead</t>
  </si>
  <si>
    <t>Claudia Christian</t>
  </si>
  <si>
    <t>Nia Peeples</t>
  </si>
  <si>
    <t>Tony Plana</t>
  </si>
  <si>
    <t>alcatraz|fbi|gold|prison|undercover</t>
  </si>
  <si>
    <t>http://www.imdb.com/title/tt0297162/?ref_=fn_tt_tt_1</t>
  </si>
  <si>
    <t>Unaccompanied Minors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</si>
  <si>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</si>
  <si>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</si>
  <si>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</si>
  <si>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</si>
  <si>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</si>
  <si>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Bright Lights, Big City</t>
  </si>
  <si>
    <t>estranged wife|fashion show|magazine|new york city|writer</t>
  </si>
  <si>
    <t>http://www.imdb.com/title/tt0094799/?ref_=fn_tt_tt_1</t>
  </si>
  <si>
    <t>Steve Barron</t>
  </si>
  <si>
    <t>The Adventures of Pinocchio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</si>
  <si>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</si>
  <si>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</si>
  <si>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</si>
  <si>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</si>
  <si>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</si>
  <si>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</si>
  <si>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The Box</t>
  </si>
  <si>
    <t>Gillian Jacobs</t>
  </si>
  <si>
    <t>alien|library|moral dilemma|nosebleed|supernatural power</t>
  </si>
  <si>
    <t>http://www.imdb.com/title/tt0362478/?ref_=fn_tt_tt_1</t>
  </si>
  <si>
    <t>Carter Smith</t>
  </si>
  <si>
    <t>The Ruins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</si>
  <si>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</si>
  <si>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</si>
  <si>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</si>
  <si>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</si>
  <si>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</si>
  <si>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</t>
  </si>
  <si>
    <t>best friend|cartoon on tv|custody battle|gay|gay friend</t>
  </si>
  <si>
    <t>http://www.imdb.com/title/tt0156841/?ref_=fn_tt_tt_1</t>
  </si>
  <si>
    <t>My Soul to Take</t>
  </si>
  <si>
    <t>Emily Meade</t>
  </si>
  <si>
    <t>Zena Grey</t>
  </si>
  <si>
    <t>evil|killer|murder|psychopath|serial killer</t>
  </si>
  <si>
    <t>http://www.imdb.com/title/tt0872230/?ref_=fn_tt_tt_1</t>
  </si>
  <si>
    <t>The Girl Next Door</t>
  </si>
  <si>
    <t>Chris Marquette</t>
  </si>
  <si>
    <t>Timothy Bottoms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</si>
  <si>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</si>
  <si>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</si>
  <si>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</si>
  <si>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</si>
  <si>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Maximum Risk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</si>
  <si>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</si>
  <si>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</si>
  <si>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</si>
  <si>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</si>
  <si>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</si>
  <si>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</si>
  <si>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</si>
  <si>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</si>
  <si>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Legend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</si>
  <si>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</si>
  <si>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</si>
  <si>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</si>
  <si>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</si>
  <si>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Shark Night 3D</t>
  </si>
  <si>
    <t>lake|louisiana|redneck|shark|vacation</t>
  </si>
  <si>
    <t>http://www.imdb.com/title/tt1633356/?ref_=fn_tt_tt_1</t>
  </si>
  <si>
    <t>Angela's Ashes</t>
  </si>
  <si>
    <t>Devon Murray</t>
  </si>
  <si>
    <t>Pauline McLynn</t>
  </si>
  <si>
    <t>drink|ira|irish|limerick|prejudice</t>
  </si>
  <si>
    <t>http://www.imdb.com/title/tt0145653/?ref_=fn_tt_tt_1</t>
  </si>
  <si>
    <t>Draft Day</t>
  </si>
  <si>
    <t>Patrick St. Esprit</t>
  </si>
  <si>
    <t>cleveland browns|head coach|linebacker|nfl|team owner</t>
  </si>
  <si>
    <t>http://www.imdb.com/title/tt2223990/?ref_=fn_tt_tt_1</t>
  </si>
  <si>
    <t>The Conspirator</t>
  </si>
  <si>
    <t>Crime|Drama|History</t>
  </si>
  <si>
    <t>john wilkes booth|lawyer|lincoln assassination|trial|truth</t>
  </si>
  <si>
    <t>http://www.imdb.com/title/tt0968264/?ref_=fn_tt_tt_1</t>
  </si>
  <si>
    <t>Lords of Dogtown</t>
  </si>
  <si>
    <t>1970s|skateboarder|skateboarding|surf|swimming pool</t>
  </si>
  <si>
    <t>http://www.imdb.com/title/tt0355702/?ref_=fn_tt_tt_1</t>
  </si>
  <si>
    <t>Patricia Riggen</t>
  </si>
  <si>
    <t>The 33</t>
  </si>
  <si>
    <t>Marco TreviÃ±o</t>
  </si>
  <si>
    <t>disaster movie|mine|minister|president|trapped in a mine</t>
  </si>
  <si>
    <t>http://www.imdb.com/title/tt2006295/?ref_=fn_tt_tt_1</t>
  </si>
  <si>
    <t>Chile</t>
  </si>
  <si>
    <t>Big Trouble in Little China</t>
  </si>
  <si>
    <t>Kate Burton</t>
  </si>
  <si>
    <t>Peter Kwong</t>
  </si>
  <si>
    <t>1980s|airport|cb radio|truck|truck driver</t>
  </si>
  <si>
    <t>http://www.imdb.com/title/tt0090728/?ref_=fn_tt_tt_1</t>
  </si>
  <si>
    <t>Warrior</t>
  </si>
  <si>
    <t>alcoholic|mixed martial arts|return home|tournament|underdog</t>
  </si>
  <si>
    <t>http://www.imdb.com/title/tt1291584/?ref_=fn_tt_tt_1</t>
  </si>
  <si>
    <t>Michael Collins</t>
  </si>
  <si>
    <t>Biography|Drama|Thriller|War</t>
  </si>
  <si>
    <t>ireland|irish|irish civil war|irish free state|sinn fein</t>
  </si>
  <si>
    <t>http://www.imdb.com/title/tt0117039/?ref_=fn_tt_tt_1</t>
  </si>
  <si>
    <t>Gettysburg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</si>
  <si>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</si>
  <si>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</si>
  <si>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</si>
  <si>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</si>
  <si>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Stop-Loss</t>
  </si>
  <si>
    <t>friendship|honor|iraq war|soldier|texas</t>
  </si>
  <si>
    <t>http://www.imdb.com/title/tt0489281/?ref_=fn_tt_tt_1</t>
  </si>
  <si>
    <t>Abandon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</si>
  <si>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</si>
  <si>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</si>
  <si>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</si>
  <si>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</si>
  <si>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Brokedown Palace</t>
  </si>
  <si>
    <t>John Doe</t>
  </si>
  <si>
    <t>Tom Amandes</t>
  </si>
  <si>
    <t>Daniel Lapaine</t>
  </si>
  <si>
    <t>bangkok|friend|lawyer|smuggling|thailand</t>
  </si>
  <si>
    <t>http://www.imdb.com/title/tt0120620/?ref_=fn_tt_tt_1</t>
  </si>
  <si>
    <t>Ole Bornedal</t>
  </si>
  <si>
    <t>The Possession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</si>
  <si>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</si>
  <si>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</si>
  <si>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</si>
  <si>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</si>
  <si>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</si>
  <si>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Mrs. Winterbourne</t>
  </si>
  <si>
    <t>Cathryn de Prume</t>
  </si>
  <si>
    <t>love|train|train wreck|twin brother|two word title</t>
  </si>
  <si>
    <t>http://www.imdb.com/title/tt0117104/?ref_=fn_tt_tt_1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</si>
  <si>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</si>
  <si>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</si>
  <si>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</si>
  <si>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</si>
  <si>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The Hoax</t>
  </si>
  <si>
    <t>Christopher Evan Welch</t>
  </si>
  <si>
    <t>book|fabrication|fake|hoax|manuscript</t>
  </si>
  <si>
    <t>http://www.imdb.com/title/tt0462338/?ref_=fn_tt_tt_1</t>
  </si>
  <si>
    <t>Craig R. Baxley</t>
  </si>
  <si>
    <t>Stone Cold</t>
  </si>
  <si>
    <t>Brian Bosworth</t>
  </si>
  <si>
    <t>Sam McMurray</t>
  </si>
  <si>
    <t>Richard Gant</t>
  </si>
  <si>
    <t>biker|biker gang|fbi|mississippi|undercover</t>
  </si>
  <si>
    <t>http://www.imdb.com/title/tt0102984/?ref_=fn_tt_tt_1</t>
  </si>
  <si>
    <t>John Hillcoat</t>
  </si>
  <si>
    <t>The Road</t>
  </si>
  <si>
    <t>apocalypse|boy|food|pistol|survival</t>
  </si>
  <si>
    <t>http://www.imdb.com/title/tt0898367/?ref_=fn_tt_tt_1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</si>
  <si>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</si>
  <si>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</si>
  <si>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</si>
  <si>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</si>
  <si>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</si>
  <si>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Say It Isn't So</t>
  </si>
  <si>
    <t>Jack Plotnick</t>
  </si>
  <si>
    <t>bestiality|brother sister incest|fisting|hit on the head with a pipe|wedding</t>
  </si>
  <si>
    <t>http://www.imdb.com/title/tt0239949/?ref_=fn_tt_tt_1</t>
  </si>
  <si>
    <t>The World's Fastest Indian</t>
  </si>
  <si>
    <t>Craig Hall</t>
  </si>
  <si>
    <t>mortgage|motorcycle|speed|trailer|utah</t>
  </si>
  <si>
    <t>http://www.imdb.com/title/tt0412080/?ref_=fn_tt_tt_1</t>
  </si>
  <si>
    <t>Rachel Talalay</t>
  </si>
  <si>
    <t>Tank Girl</t>
  </si>
  <si>
    <t>2030s|21st century|desert|jet|tank</t>
  </si>
  <si>
    <t>http://www.imdb.com/title/tt0114614/?ref_=fn_tt_tt_1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</si>
  <si>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</si>
  <si>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</si>
  <si>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</si>
  <si>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</si>
  <si>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Blindness</t>
  </si>
  <si>
    <t>Don McKellar</t>
  </si>
  <si>
    <t>Joe Pingue</t>
  </si>
  <si>
    <t>YÃ»suke Iseya</t>
  </si>
  <si>
    <t>blindness|epidemic|hospital|pubic hair|quarantine</t>
  </si>
  <si>
    <t>http://www.imdb.com/title/tt0861689/?ref_=fn_tt_tt_1</t>
  </si>
  <si>
    <t>BloodRayne</t>
  </si>
  <si>
    <t>Action|Adventure|Fantasy|Horror</t>
  </si>
  <si>
    <t>Michael ParÃ©</t>
  </si>
  <si>
    <t>escape|half human|king|vampire|vampire hunter</t>
  </si>
  <si>
    <t>http://www.imdb.com/title/tt0383222/?ref_=fn_tt_tt_1</t>
  </si>
  <si>
    <t>Atom Egoyan</t>
  </si>
  <si>
    <t>Where the Truth Lies</t>
  </si>
  <si>
    <t>breasts|death|female rear nudity|lesbian cunnilingus|rear entry sex</t>
  </si>
  <si>
    <t>http://www.imdb.com/title/tt0373450/?ref_=fn_tt_tt_1</t>
  </si>
  <si>
    <t>Robert Towne</t>
  </si>
  <si>
    <t>Without Limits</t>
  </si>
  <si>
    <t>car crash|coach|death|oregon|university of oregon</t>
  </si>
  <si>
    <t>http://www.imdb.com/title/tt0119934/?ref_=fn_tt_tt_1</t>
  </si>
  <si>
    <t>Me and Orson Welles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</si>
  <si>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</si>
  <si>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</si>
  <si>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</si>
  <si>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</si>
  <si>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</si>
  <si>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The Best Offer</t>
  </si>
  <si>
    <t>Crime|Drama|Mystery|Romance</t>
  </si>
  <si>
    <t>Sean Buchanan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</si>
  <si>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</si>
  <si>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</si>
  <si>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</si>
  <si>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</si>
  <si>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</t>
  </si>
  <si>
    <t>Shawn Hatosy</t>
  </si>
  <si>
    <t>drugs|flood|hallucination|lieutenant|murder investigation</t>
  </si>
  <si>
    <t>http://www.imdb.com/title/tt1095217/?ref_=fn_tt_tt_1</t>
  </si>
  <si>
    <t>Little White Lies</t>
  </si>
  <si>
    <t>FranÃ§ois Cluzet</t>
  </si>
  <si>
    <t>BenoÃ®t Magimel</t>
  </si>
  <si>
    <t>Gilles Lellouche</t>
  </si>
  <si>
    <t>friend|restaurant|secret|unrequited love|vacation</t>
  </si>
  <si>
    <t>http://www.imdb.com/title/tt1440232/?ref_=fn_tt_tt_1</t>
  </si>
  <si>
    <t>Not Rated</t>
  </si>
  <si>
    <t>Love Ranch</t>
  </si>
  <si>
    <t>Scout Taylor-Compton</t>
  </si>
  <si>
    <t>Gil Birmingham</t>
  </si>
  <si>
    <t>argentine|brothel|cancer|female full frontal nudity|fight</t>
  </si>
  <si>
    <t>http://www.imdb.com/title/tt1125929/?ref_=fn_tt_tt_1</t>
  </si>
  <si>
    <t>The Counselor</t>
  </si>
  <si>
    <t>cunnilingus|drug trafficking|lawyer|no panties|shootout</t>
  </si>
  <si>
    <t>http://www.imdb.com/title/tt2193215/?ref_=fn_tt_tt_1</t>
  </si>
  <si>
    <t>Dangerous Liaisons</t>
  </si>
  <si>
    <t>catholic|corruption|emotional abuse|france|seduction</t>
  </si>
  <si>
    <t>http://www.imdb.com/title/tt0094947/?ref_=fn_tt_tt_1</t>
  </si>
  <si>
    <t>On the Road</t>
  </si>
  <si>
    <t>benzedrine|cactus|drugs|poem|year 1949</t>
  </si>
  <si>
    <t>http://www.imdb.com/title/tt0337692/?ref_=fn_tt_tt_1</t>
  </si>
  <si>
    <t>Star Trek IV: The Voyage Home</t>
  </si>
  <si>
    <t>alien probe|humpback whales|probe|time travel|whale</t>
  </si>
  <si>
    <t>http://www.imdb.com/title/tt0092007/?ref_=fn_tt_tt_1</t>
  </si>
  <si>
    <t>Rocky Balboa</t>
  </si>
  <si>
    <t>boxing|fight|heavyweight champion|restaurant|retired boxer</t>
  </si>
  <si>
    <t>http://www.imdb.com/title/tt0479143/?ref_=fn_tt_tt_1</t>
  </si>
  <si>
    <t>Scream 2</t>
  </si>
  <si>
    <t>Kevin Williamson</t>
  </si>
  <si>
    <t>college|ghostface|killer|killing spree|murder</t>
  </si>
  <si>
    <t>http://www.imdb.com/title/tt0120082/?ref_=fn_tt_tt_1</t>
  </si>
  <si>
    <t>Jane Got a Gun</t>
  </si>
  <si>
    <t>Action|Drama|Western</t>
  </si>
  <si>
    <t>brothel|death of husband|ex lover|haunted by the past|redemption</t>
  </si>
  <si>
    <t>http://www.imdb.com/title/tt2140037/?ref_=fn_tt_tt_1</t>
  </si>
  <si>
    <t>Think Like a Man Too</t>
  </si>
  <si>
    <t>african american|imperative in title|las vegas nevada|nevada|wedding</t>
  </si>
  <si>
    <t>http://www.imdb.com/title/tt2239832/?ref_=fn_tt_tt_1</t>
  </si>
  <si>
    <t>The Whole Nine Yards</t>
  </si>
  <si>
    <t>adultery|black humor|dentist|hitman|sex in bed</t>
  </si>
  <si>
    <t>http://www.imdb.com/title/tt0190138/?ref_=fn_tt_tt_1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</si>
  <si>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</si>
  <si>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</si>
  <si>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</si>
  <si>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</si>
  <si>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</si>
  <si>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Old School</t>
  </si>
  <si>
    <t>Leah Remini</t>
  </si>
  <si>
    <t>college|fraternity|friend|house|party</t>
  </si>
  <si>
    <t>http://www.imdb.com/title/tt0302886/?ref_=fn_tt_tt_1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</si>
  <si>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</si>
  <si>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</si>
  <si>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</si>
  <si>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</si>
  <si>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I Still Know What You Did Last Summer</t>
  </si>
  <si>
    <t>bahamas|fisherman|hook|island|roommate</t>
  </si>
  <si>
    <t>http://www.imdb.com/title/tt0130018/?ref_=fn_tt_tt_1</t>
  </si>
  <si>
    <t>Return to Me</t>
  </si>
  <si>
    <t>heart|italian restaurant|restaurant|transplant|waitress</t>
  </si>
  <si>
    <t>http://www.imdb.com/title/tt0122459/?ref_=fn_tt_tt_1</t>
  </si>
  <si>
    <t>Zack and Miri Make a Porno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</si>
  <si>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</si>
  <si>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</si>
  <si>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</si>
  <si>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</si>
  <si>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</si>
  <si>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</t>
  </si>
  <si>
    <t>Kathleen Wilhoite</t>
  </si>
  <si>
    <t>hospital|kansas city|obsession|salesman|soap opera</t>
  </si>
  <si>
    <t>http://www.imdb.com/title/tt0171580/?ref_=fn_tt_tt_1</t>
  </si>
  <si>
    <t>The Men Who Stare at Goats</t>
  </si>
  <si>
    <t>Comedy|War</t>
  </si>
  <si>
    <t>first person narration|general|hampster|reference to loch ness monster|reporter</t>
  </si>
  <si>
    <t>http://www.imdb.com/title/tt1234548/?ref_=fn_tt_tt_1</t>
  </si>
  <si>
    <t>George Gallo</t>
  </si>
  <si>
    <t>Double Take</t>
  </si>
  <si>
    <t>cia|cia agent|fbi|mexico|train</t>
  </si>
  <si>
    <t>http://www.imdb.com/title/tt0238948/?ref_=fn_tt_tt_1</t>
  </si>
  <si>
    <t>Girl, Interrupted</t>
  </si>
  <si>
    <t>1960s|father daughter incest|mental hospital|suicide|suicide attempt</t>
  </si>
  <si>
    <t>http://www.imdb.com/title/tt0172493/?ref_=fn_tt_tt_1</t>
  </si>
  <si>
    <t>Win a Date with Tad Hamilton!</t>
  </si>
  <si>
    <t>best friend|contest|date|small town|west virginia</t>
  </si>
  <si>
    <t>http://www.imdb.com/title/tt0335559/?ref_=fn_tt_tt_1</t>
  </si>
  <si>
    <t>Muppets from Space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</si>
  <si>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</si>
  <si>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</si>
  <si>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</si>
  <si>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</si>
  <si>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</si>
  <si>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The Wiz</t>
  </si>
  <si>
    <t>Adventure|Family|Fantasy|Music|Musical</t>
  </si>
  <si>
    <t>Lena Horne</t>
  </si>
  <si>
    <t>Diana Ross</t>
  </si>
  <si>
    <t>Theresa Merritt</t>
  </si>
  <si>
    <t>melancholy|new york city|sadness|teacher|wizard</t>
  </si>
  <si>
    <t>http://www.imdb.com/title/tt0078504/?ref_=fn_tt_tt_1</t>
  </si>
  <si>
    <t>Ready to Rumble</t>
  </si>
  <si>
    <t>Ellen Albertini Dow</t>
  </si>
  <si>
    <t>gay subtext|homoerotic fight|homoeroticism|homosexual subtext|wcw wrestling</t>
  </si>
  <si>
    <t>http://www.imdb.com/title/tt0217756/?ref_=fn_tt_tt_1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</si>
  <si>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</si>
  <si>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</si>
  <si>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</si>
  <si>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</si>
  <si>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</si>
  <si>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</t>
  </si>
  <si>
    <t>black comedy|delivery boy|dinner|gym|punishment</t>
  </si>
  <si>
    <t>http://www.imdb.com/title/tt1742650/?ref_=fn_tt_tt_1</t>
  </si>
  <si>
    <t>Piranha 3D</t>
  </si>
  <si>
    <t>Kelly Brook</t>
  </si>
  <si>
    <t>bloody water|boat|party|piranha|spring break</t>
  </si>
  <si>
    <t>http://www.imdb.com/title/tt0464154/?ref_=fn_tt_tt_1</t>
  </si>
  <si>
    <t>Beyond the Sea</t>
  </si>
  <si>
    <t>bobby darin|career|love|marriage|sandra dee</t>
  </si>
  <si>
    <t>http://www.imdb.com/title/tt0363473/?ref_=fn_tt_tt_1</t>
  </si>
  <si>
    <t>Richard Williams</t>
  </si>
  <si>
    <t>The Princess and the Cobbler</t>
  </si>
  <si>
    <t>Action|Adventure|Animation|Comedy|Fantasy</t>
  </si>
  <si>
    <t>Donald Pleasence</t>
  </si>
  <si>
    <t>Kenneth Williams</t>
  </si>
  <si>
    <t>Clive Revill</t>
  </si>
  <si>
    <t>cobbler|desert|gold|princess|thief</t>
  </si>
  <si>
    <t>http://www.imdb.com/title/tt0112389/?ref_=fn_tt_tt_1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</si>
  <si>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</si>
  <si>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</si>
  <si>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</si>
  <si>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</si>
  <si>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Faster</t>
  </si>
  <si>
    <t>gun|prison|reference to god|reference to jesus christ|vengeance</t>
  </si>
  <si>
    <t>http://www.imdb.com/title/tt1433108/?ref_=fn_tt_tt_1</t>
  </si>
  <si>
    <t>Howl's Moving Castle</t>
  </si>
  <si>
    <t>anime|castle|demon|steampunk|witch</t>
  </si>
  <si>
    <t>http://www.imdb.com/title/tt0347149/?ref_=fn_tt_tt_1</t>
  </si>
  <si>
    <t>Zombieland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</si>
  <si>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</si>
  <si>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</si>
  <si>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</si>
  <si>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</si>
  <si>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</t>
  </si>
  <si>
    <t>coach|college|college football|domineering mother|football</t>
  </si>
  <si>
    <t>http://www.imdb.com/title/tt0120484/?ref_=fn_tt_tt_1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</si>
  <si>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</si>
  <si>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</si>
  <si>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</si>
  <si>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</si>
  <si>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Bad Boys</t>
  </si>
  <si>
    <t>Theresa Randle</t>
  </si>
  <si>
    <t>drugs|heroin|murder|police|witness</t>
  </si>
  <si>
    <t>http://www.imdb.com/title/tt0112442/?ref_=fn_tt_tt_1</t>
  </si>
  <si>
    <t>The Naked Gun 2</t>
  </si>
  <si>
    <t>O.J. Simpson</t>
  </si>
  <si>
    <t>american president|evil industrialist|ex girlfriend|political leader|president</t>
  </si>
  <si>
    <t>http://www.imdb.com/title/tt0102510/?ref_=fn_tt_tt_1</t>
  </si>
  <si>
    <t>Final Destination</t>
  </si>
  <si>
    <t>Brendan Fehr</t>
  </si>
  <si>
    <t>Kerr Smith</t>
  </si>
  <si>
    <t>dead teenager|death|explosion|premonition|teenager</t>
  </si>
  <si>
    <t>http://www.imdb.com/title/tt0195714/?ref_=fn_tt_tt_1</t>
  </si>
  <si>
    <t>The Ides of March</t>
  </si>
  <si>
    <t>governor|intern|manager|ohio|politics</t>
  </si>
  <si>
    <t>http://www.imdb.com/title/tt1124035/?ref_=fn_tt_tt_1</t>
  </si>
  <si>
    <t>Pitch Black</t>
  </si>
  <si>
    <t>Horror|Sci-Fi</t>
  </si>
  <si>
    <t>captain|darkness|eclipse|space|survival</t>
  </si>
  <si>
    <t>http://www.imdb.com/title/tt0134847/?ref_=fn_tt_tt_1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</si>
  <si>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</si>
  <si>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</si>
  <si>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</si>
  <si>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</si>
  <si>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Her</t>
  </si>
  <si>
    <t>Brian Johnson</t>
  </si>
  <si>
    <t>Matt Letscher</t>
  </si>
  <si>
    <t>divorce|female frontal nudity|future|loneliness|operating system</t>
  </si>
  <si>
    <t>http://www.imdb.com/title/tt1798709/?ref_=fn_tt_tt_1</t>
  </si>
  <si>
    <t>Joy Ride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</si>
  <si>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</si>
  <si>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</si>
  <si>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</si>
  <si>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</si>
  <si>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</si>
  <si>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The Adventurer: The Curse of the Midas Box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</si>
  <si>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</si>
  <si>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</si>
  <si>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</si>
  <si>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</si>
  <si>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Anywhere But Here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</si>
  <si>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</si>
  <si>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</si>
  <si>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</si>
  <si>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</si>
  <si>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The Crew</t>
  </si>
  <si>
    <t>Dan Hedaya</t>
  </si>
  <si>
    <t>Lainie Kazan</t>
  </si>
  <si>
    <t>beach|drug lord|drugs|hotel|stripper</t>
  </si>
  <si>
    <t>http://www.imdb.com/title/tt0198386/?ref_=fn_tt_tt_1</t>
  </si>
  <si>
    <t>Haywire</t>
  </si>
  <si>
    <t>die hard scenario|one woman army|rescue|soldier|super soldier</t>
  </si>
  <si>
    <t>http://www.imdb.com/title/tt1506999/?ref_=fn_tt_tt_1</t>
  </si>
  <si>
    <t>Joseph Sargent</t>
  </si>
  <si>
    <t>Jaws: The Revenge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</si>
  <si>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</si>
  <si>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</si>
  <si>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</si>
  <si>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</si>
  <si>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</si>
  <si>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</si>
  <si>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</si>
  <si>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</si>
  <si>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Fred Durst</t>
  </si>
  <si>
    <t>The Longshots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</si>
  <si>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</si>
  <si>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</si>
  <si>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</si>
  <si>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</si>
  <si>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The End of the Affair</t>
  </si>
  <si>
    <t>Ian Hart</t>
  </si>
  <si>
    <t>James Bolam</t>
  </si>
  <si>
    <t>breasts|jealousy|obsession|sex scene|spiritual</t>
  </si>
  <si>
    <t>http://www.imdb.com/title/tt0172396/?ref_=fn_tt_tt_1</t>
  </si>
  <si>
    <t>Harley Davidson and the Marlboro Man</t>
  </si>
  <si>
    <t>Action|Crime|Drama|Thriller|Western</t>
  </si>
  <si>
    <t>bar|biker|cowboy|drugs|marlboro</t>
  </si>
  <si>
    <t>http://www.imdb.com/title/tt0102005/?ref_=fn_tt_tt_1</t>
  </si>
  <si>
    <t>Anne Fontaine</t>
  </si>
  <si>
    <t>Coco Before Chanel</t>
  </si>
  <si>
    <t>BenoÃ®t Poelvoorde</t>
  </si>
  <si>
    <t>Marie Gillain</t>
  </si>
  <si>
    <t>baron|fashion|hat|nickname|orphanage</t>
  </si>
  <si>
    <t>http://www.imdb.com/title/tt1035736/?ref_=fn_tt_tt_1</t>
  </si>
  <si>
    <t>ChÃ©ri</t>
  </si>
  <si>
    <t>Tom Burke</t>
  </si>
  <si>
    <t>Iben Hjejle</t>
  </si>
  <si>
    <t>Gaye Brown</t>
  </si>
  <si>
    <t>age difference|courtesan|mansion|marriage|prostitute</t>
  </si>
  <si>
    <t>http://www.imdb.com/title/tt1179258/?ref_=fn_tt_tt_1</t>
  </si>
  <si>
    <t>Mira Nair</t>
  </si>
  <si>
    <t>Vanity Fair</t>
  </si>
  <si>
    <t>Romola Garai</t>
  </si>
  <si>
    <t>Roger Lloyd Pack</t>
  </si>
  <si>
    <t>Lillete Dubey</t>
  </si>
  <si>
    <t>aristocrat|english|painter|painting|singer</t>
  </si>
  <si>
    <t>http://www.imdb.com/title/tt0241025/?ref_=fn_tt_tt_1</t>
  </si>
  <si>
    <t>Drew Powell</t>
  </si>
  <si>
    <t>Kim Thomson</t>
  </si>
  <si>
    <t>Alexandra Silber</t>
  </si>
  <si>
    <t>book|debunking|evil|hotel|paranormal phenomena</t>
  </si>
  <si>
    <t>http://www.imdb.com/title/tt0450385/?ref_=fn_tt_tt_1</t>
  </si>
  <si>
    <t>Mel Brooks</t>
  </si>
  <si>
    <t>Spaceballs</t>
  </si>
  <si>
    <t>Joan Rivers</t>
  </si>
  <si>
    <t>Dick Van Patten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</si>
  <si>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</si>
  <si>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</si>
  <si>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</si>
  <si>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</si>
  <si>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The Water Diviner</t>
  </si>
  <si>
    <t>Cem Yilmaz</t>
  </si>
  <si>
    <t>australian|battle|battle of gallipoli|gallipoli|world war one</t>
  </si>
  <si>
    <t>http://www.imdb.com/title/tt3007512/?ref_=fn_tt_tt_1</t>
  </si>
  <si>
    <t>Ghost</t>
  </si>
  <si>
    <t>Drama|Fantasy|Romance|Thriller</t>
  </si>
  <si>
    <t>Phil Leeds</t>
  </si>
  <si>
    <t>death|film blanc|invisibility|love|unrequited love</t>
  </si>
  <si>
    <t>http://www.imdb.com/title/tt0099653/?ref_=fn_tt_tt_1</t>
  </si>
  <si>
    <t>There's Something About Mary</t>
  </si>
  <si>
    <t>accident|curtain call|dream girl|high school|prom</t>
  </si>
  <si>
    <t>http://www.imdb.com/title/tt0129387/?ref_=fn_tt_tt_1</t>
  </si>
  <si>
    <t>The Santa Clause</t>
  </si>
  <si>
    <t>1990s|christmas|christmas eve|sleigh|surrealism</t>
  </si>
  <si>
    <t>http://www.imdb.com/title/tt0111070/?ref_=fn_tt_tt_1</t>
  </si>
  <si>
    <t>The Rookie</t>
  </si>
  <si>
    <t>Angus T. Jones</t>
  </si>
  <si>
    <t>baseball|coach|high school|pitching|texas</t>
  </si>
  <si>
    <t>http://www.imdb.com/title/tt0265662/?ref_=fn_tt_tt_1</t>
  </si>
  <si>
    <t>The Game Plan</t>
  </si>
  <si>
    <t>family relationships|football movie|publicist|sports team|tween girl</t>
  </si>
  <si>
    <t>http://www.imdb.com/title/tt0492956/?ref_=fn_tt_tt_1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</si>
  <si>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</si>
  <si>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</si>
  <si>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</si>
  <si>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</si>
  <si>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The Animal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</si>
  <si>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</si>
  <si>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</si>
  <si>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</si>
  <si>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</si>
  <si>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The Hundred-Foot Journey</t>
  </si>
  <si>
    <t>Manish Dayal</t>
  </si>
  <si>
    <t>Charlotte Le Bon</t>
  </si>
  <si>
    <t>Juhi Chawla</t>
  </si>
  <si>
    <t>chef|haute cuisine|indian cuisine|michelin guide|restaurant</t>
  </si>
  <si>
    <t>http://www.imdb.com/title/tt2980648/?ref_=fn_tt_tt_1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</si>
  <si>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</si>
  <si>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</si>
  <si>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</si>
  <si>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</si>
  <si>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Jessie Nelson</t>
  </si>
  <si>
    <t>I Am Sam</t>
  </si>
  <si>
    <t>child custody|custody battle|disability|mentally impaired man|single father</t>
  </si>
  <si>
    <t>http://www.imdb.com/title/tt0277027/?ref_=fn_tt_tt_1</t>
  </si>
  <si>
    <t>Christopher Spencer</t>
  </si>
  <si>
    <t>Son of God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</si>
  <si>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</si>
  <si>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</si>
  <si>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</si>
  <si>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</si>
  <si>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</t>
  </si>
  <si>
    <t>Shane Brolly</t>
  </si>
  <si>
    <t>blood|death|hybrid|vampire|werewolf</t>
  </si>
  <si>
    <t>http://www.imdb.com/title/tt0320691/?ref_=fn_tt_tt_1</t>
  </si>
  <si>
    <t>Derailed</t>
  </si>
  <si>
    <t>drink|hotel|police|staged rape|thief</t>
  </si>
  <si>
    <t>http://www.imdb.com/title/tt0398017/?ref_=fn_tt_tt_1</t>
  </si>
  <si>
    <t>The Informant!</t>
  </si>
  <si>
    <t>compulsive liar|fbi|informant|investigation|spy</t>
  </si>
  <si>
    <t>http://www.imdb.com/title/tt1130080/?ref_=fn_tt_tt_1</t>
  </si>
  <si>
    <t>Shadowlands</t>
  </si>
  <si>
    <t>Julian Fellowes</t>
  </si>
  <si>
    <t>author|book|england|friend|oxford</t>
  </si>
  <si>
    <t>http://www.imdb.com/title/tt0108101/?ref_=fn_tt_tt_1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</si>
  <si>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</si>
  <si>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</si>
  <si>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</si>
  <si>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</si>
  <si>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</si>
  <si>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Delivery Man</t>
  </si>
  <si>
    <t>Jack Reynor</t>
  </si>
  <si>
    <t>Bobby Moynihan</t>
  </si>
  <si>
    <t>Matthew Daddario</t>
  </si>
  <si>
    <t>children|identity|lawsuit|lawyer|sperm donor</t>
  </si>
  <si>
    <t>http://www.imdb.com/title/tt2387559/?ref_=fn_tt_tt_1</t>
  </si>
  <si>
    <t>Saving Silverman</t>
  </si>
  <si>
    <t>Neil Diamond</t>
  </si>
  <si>
    <t>Kyle Gass</t>
  </si>
  <si>
    <t>female nudity|friend|kidnapping|love|nun</t>
  </si>
  <si>
    <t>http://www.imdb.com/title/tt0239948/?ref_=fn_tt_tt_1</t>
  </si>
  <si>
    <t>Diary of a Wimpy Kid: Dog Days</t>
  </si>
  <si>
    <t>Zachary Gordon</t>
  </si>
  <si>
    <t>best friend|camping|country club|no opening credits|summer vacation</t>
  </si>
  <si>
    <t>http://www.imdb.com/title/tt2023453/?ref_=fn_tt_tt_1</t>
  </si>
  <si>
    <t>Summer of Sam</t>
  </si>
  <si>
    <t>distrust|fear|murder|neighborhood|new york city</t>
  </si>
  <si>
    <t>http://www.imdb.com/title/tt0162677/?ref_=fn_tt_tt_1</t>
  </si>
  <si>
    <t>Jay and Silent Bob Strike Back</t>
  </si>
  <si>
    <t>Jason Mewes</t>
  </si>
  <si>
    <t>internet|jay and silent bob|new jersey|orangutan|police</t>
  </si>
  <si>
    <t>http://www.imdb.com/title/tt0261392/?ref_=fn_tt_tt_1</t>
  </si>
  <si>
    <t>Daniel Sackheim</t>
  </si>
  <si>
    <t>The Glass House</t>
  </si>
  <si>
    <t>Bruce Dern</t>
  </si>
  <si>
    <t>car|car accident|death|friend|glass</t>
  </si>
  <si>
    <t>http://www.imdb.com/title/tt0221218/?ref_=fn_tt_tt_1</t>
  </si>
  <si>
    <t>Hail, Caesar!</t>
  </si>
  <si>
    <t>Comedy|Mystery</t>
  </si>
  <si>
    <t>50s|film within a film|hollywood|illegitimate pregnancy|twins</t>
  </si>
  <si>
    <t>http://www.imdb.com/title/tt0475290/?ref_=fn_tt_tt_1</t>
  </si>
  <si>
    <t>Harry Elfont</t>
  </si>
  <si>
    <t>Josie and the Pussycats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</si>
  <si>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</si>
  <si>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</si>
  <si>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</si>
  <si>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</si>
  <si>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Homefront</t>
  </si>
  <si>
    <t>biker|biker gang|dea|dea agent|fight</t>
  </si>
  <si>
    <t>http://www.imdb.com/title/tt2312718/?ref_=fn_tt_tt_1</t>
  </si>
  <si>
    <t>Uli Edel</t>
  </si>
  <si>
    <t>The Little Vampire</t>
  </si>
  <si>
    <t>boy|pushed off a cliff|rat|secret passage|vampire</t>
  </si>
  <si>
    <t>http://www.imdb.com/title/tt0192255/?ref_=fn_tt_tt_1</t>
  </si>
  <si>
    <t>I Heart Huckabees</t>
  </si>
  <si>
    <t>coincidence|cult film|overalls|suburb|vomiting</t>
  </si>
  <si>
    <t>http://www.imdb.com/title/tt0356721/?ref_=fn_tt_tt_1</t>
  </si>
  <si>
    <t>Fred Dekker</t>
  </si>
  <si>
    <t>RoboCop 3</t>
  </si>
  <si>
    <t>android|corporation|ninja|police|robocop</t>
  </si>
  <si>
    <t>http://www.imdb.com/title/tt0107978/?ref_=fn_tt_tt_1</t>
  </si>
  <si>
    <t>Brian Trenchard-Smith</t>
  </si>
  <si>
    <t>Megiddo: The Omega Code 2</t>
  </si>
  <si>
    <t>armageddon|battle|end times|reference to satan|sequel</t>
  </si>
  <si>
    <t>http://www.imdb.com/title/tt0263728/?ref_=fn_tt_tt_1</t>
  </si>
  <si>
    <t>Blake Edwards</t>
  </si>
  <si>
    <t>Darling Lili</t>
  </si>
  <si>
    <t>Comedy|Drama|Musical|Romance|War</t>
  </si>
  <si>
    <t>Rock Hudson</t>
  </si>
  <si>
    <t>Vernon Dobtcheff</t>
  </si>
  <si>
    <t>Jeremy Kemp</t>
  </si>
  <si>
    <t>crepe suzette|french|mata hari spoof|song|spy</t>
  </si>
  <si>
    <t>http://www.imdb.com/title/tt0065611/?ref_=fn_tt_tt_1</t>
  </si>
  <si>
    <t>Dudley Do-Right</t>
  </si>
  <si>
    <t>gold|gold rush|mirror|police officer|singer</t>
  </si>
  <si>
    <t>http://www.imdb.com/title/tt0160236/?ref_=fn_tt_tt_1</t>
  </si>
  <si>
    <t>The Transporter Refueled</t>
  </si>
  <si>
    <t>Radivoje Bukvic</t>
  </si>
  <si>
    <t>airfield|car|car stunt|driver|private jet</t>
  </si>
  <si>
    <t>http://www.imdb.com/title/tt2938956/?ref_=fn_tt_tt_1</t>
  </si>
  <si>
    <t>Black Book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</si>
  <si>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</si>
  <si>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</si>
  <si>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</si>
  <si>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</si>
  <si>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</si>
  <si>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</si>
  <si>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Joyeux Noel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</si>
  <si>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</si>
  <si>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</si>
  <si>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</si>
  <si>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</si>
  <si>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Hit and Run</t>
  </si>
  <si>
    <t>gay cop|getaway driver|masturbation|penis|witness protection</t>
  </si>
  <si>
    <t>http://www.imdb.com/title/tt2097307/?ref_=fn_tt_tt_1</t>
  </si>
  <si>
    <t>Mad Money</t>
  </si>
  <si>
    <t>Roger Cross</t>
  </si>
  <si>
    <t>bank|federal reserve bank|money|security guard|shredder</t>
  </si>
  <si>
    <t>http://www.imdb.com/title/tt0951216/?ref_=fn_tt_tt_1</t>
  </si>
  <si>
    <t>Rowan Joffe</t>
  </si>
  <si>
    <t>Before I Go to Sleep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</si>
  <si>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</si>
  <si>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</si>
  <si>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</si>
  <si>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</si>
  <si>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</si>
  <si>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</si>
  <si>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</si>
  <si>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</si>
  <si>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Laurent Tirard</t>
  </si>
  <si>
    <t>MoliÃ¨re</t>
  </si>
  <si>
    <t>Comedy|History</t>
  </si>
  <si>
    <t>Romain Duris</t>
  </si>
  <si>
    <t>Ludivine Sagnier</t>
  </si>
  <si>
    <t>Fabrice Luchini</t>
  </si>
  <si>
    <t>deathbed|play|playwright|prison|theater</t>
  </si>
  <si>
    <t>http://www.imdb.com/title/tt0796335/?ref_=fn_tt_tt_1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</si>
  <si>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</si>
  <si>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</si>
  <si>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</si>
  <si>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</si>
  <si>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Michael Clayton</t>
  </si>
  <si>
    <t>attorney|debt|fixer|law|law firm</t>
  </si>
  <si>
    <t>http://www.imdb.com/title/tt0465538/?ref_=fn_tt_tt_1</t>
  </si>
  <si>
    <t>My Fellow Americans</t>
  </si>
  <si>
    <t>gay pride|highway travel|president|road movie|u.s. president</t>
  </si>
  <si>
    <t>http://www.imdb.com/title/tt0117119/?ref_=fn_tt_tt_1</t>
  </si>
  <si>
    <t>Arlington Road</t>
  </si>
  <si>
    <t>death|fbi|fbi agent|neighbor|professor</t>
  </si>
  <si>
    <t>http://www.imdb.com/title/tt0137363/?ref_=fn_tt_tt_1</t>
  </si>
  <si>
    <t>To Rome with Love</t>
  </si>
  <si>
    <t>Ornella Muti</t>
  </si>
  <si>
    <t>Alessandra Mastronardi</t>
  </si>
  <si>
    <t>architect|celebrity|prostitute|shower|tourist</t>
  </si>
  <si>
    <t>http://www.imdb.com/title/tt1859650/?ref_=fn_tt_tt_1</t>
  </si>
  <si>
    <t>Firefox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</si>
  <si>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</si>
  <si>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</si>
  <si>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</si>
  <si>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</si>
  <si>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</si>
  <si>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South Park: Bigger Longer &amp; Uncut</t>
  </si>
  <si>
    <t>Animation|Comedy|Fantasy|Musical</t>
  </si>
  <si>
    <t>boy|canada|hell|misunderstanding|refrence to liza minnelli</t>
  </si>
  <si>
    <t>http://www.imdb.com/title/tt0158983/?ref_=fn_tt_tt_1</t>
  </si>
  <si>
    <t>Death at a Funeral</t>
  </si>
  <si>
    <t>end credits roll call|four word title|funeral|secret|uncle</t>
  </si>
  <si>
    <t>http://www.imdb.com/title/tt0795368/?ref_=fn_tt_tt_1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</si>
  <si>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</si>
  <si>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</si>
  <si>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</si>
  <si>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</si>
  <si>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</si>
  <si>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</si>
  <si>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</si>
  <si>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</si>
  <si>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</si>
  <si>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</si>
  <si>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</si>
  <si>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</si>
  <si>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Freedom Writers</t>
  </si>
  <si>
    <t>gang violence|high school|journal|marriage|teacher</t>
  </si>
  <si>
    <t>http://www.imdb.com/title/tt0463998/?ref_=fn_tt_tt_1</t>
  </si>
  <si>
    <t>The Transporter</t>
  </si>
  <si>
    <t>Qi Shu</t>
  </si>
  <si>
    <t>Matt Schulze</t>
  </si>
  <si>
    <t>bar|gunfight|human trafficking|mixed martial arts|tire iron</t>
  </si>
  <si>
    <t>http://www.imdb.com/title/tt0293662/?ref_=fn_tt_tt_1</t>
  </si>
  <si>
    <t>Never Back Down</t>
  </si>
  <si>
    <t>Leslie Hope</t>
  </si>
  <si>
    <t>club|fight|fighting|high school|mixed martial arts</t>
  </si>
  <si>
    <t>http://www.imdb.com/title/tt1023111/?ref_=fn_tt_tt_1</t>
  </si>
  <si>
    <t>Katt Shea</t>
  </si>
  <si>
    <t>The Rage: Carrie 2</t>
  </si>
  <si>
    <t>Jason London</t>
  </si>
  <si>
    <t>Eddie Kaye Thomas</t>
  </si>
  <si>
    <t>high school|party|prom|suicide|teenage girl</t>
  </si>
  <si>
    <t>http://www.imdb.com/title/tt0144814/?ref_=fn_tt_tt_1</t>
  </si>
  <si>
    <t>Away We Go</t>
  </si>
  <si>
    <t>baby|children|friend|love|road trip</t>
  </si>
  <si>
    <t>http://www.imdb.com/title/tt1176740/?ref_=fn_tt_tt_1</t>
  </si>
  <si>
    <t>Joshua Michael Stern</t>
  </si>
  <si>
    <t>Swing Vote</t>
  </si>
  <si>
    <t>ballot|election|new mexico|vote|voting</t>
  </si>
  <si>
    <t>http://www.imdb.com/title/tt1027862/?ref_=fn_tt_tt_1</t>
  </si>
  <si>
    <t>Moonlight Mile</t>
  </si>
  <si>
    <t>1970s|death|district attorney|fiancee|watching television</t>
  </si>
  <si>
    <t>http://www.imdb.com/title/tt0179098/?ref_=fn_tt_tt_1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</si>
  <si>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</si>
  <si>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</si>
  <si>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</si>
  <si>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</si>
  <si>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John Duigan</t>
  </si>
  <si>
    <t>Molly</t>
  </si>
  <si>
    <t>Elaine Hendrix</t>
  </si>
  <si>
    <t>Jill Hennessy</t>
  </si>
  <si>
    <t>Sarah Wynter</t>
  </si>
  <si>
    <t>autism|experimental surgery|female nudity|forename as title|regression</t>
  </si>
  <si>
    <t>http://www.imdb.com/title/tt0143746/?ref_=fn_tt_tt_1</t>
  </si>
  <si>
    <t>The Beaver</t>
  </si>
  <si>
    <t>beaver puppet|depression|dysfunctional family|puppet|speech</t>
  </si>
  <si>
    <t>http://www.imdb.com/title/tt1321860/?ref_=fn_tt_tt_1</t>
  </si>
  <si>
    <t>Colin Higgins</t>
  </si>
  <si>
    <t>The Best Little Whorehouse in Texas</t>
  </si>
  <si>
    <t>Dom DeLuise</t>
  </si>
  <si>
    <t>chicken|governor|locker room|sheriff|texas</t>
  </si>
  <si>
    <t>http://www.imdb.com/title/tt0083642/?ref_=fn_tt_tt_1</t>
  </si>
  <si>
    <t>eXistenZ</t>
  </si>
  <si>
    <t>assassin|game|game designer|pod|virtual reality</t>
  </si>
  <si>
    <t>http://www.imdb.com/title/tt0120907/?ref_=fn_tt_tt_1</t>
  </si>
  <si>
    <t>Raiders of the Lost Ark</t>
  </si>
  <si>
    <t>archeological dig|archeologist|ark of the covenant|egypt|nazi</t>
  </si>
  <si>
    <t>http://www.imdb.com/title/tt0082971/?ref_=fn_tt_tt_1</t>
  </si>
  <si>
    <t>Home Alone 2: Lost in New York</t>
  </si>
  <si>
    <t>airport|christmas|florida|new york city|toy store</t>
  </si>
  <si>
    <t>http://www.imdb.com/title/tt0104431/?ref_=fn_tt_tt_1</t>
  </si>
  <si>
    <t>Close Encounters of the Third Kind</t>
  </si>
  <si>
    <t>Teri Garr</t>
  </si>
  <si>
    <t>alien|close encounter of the third kind|mothership|ufo|vision</t>
  </si>
  <si>
    <t>http://www.imdb.com/title/tt0075860/?ref_=fn_tt_tt_1</t>
  </si>
  <si>
    <t>Jim Sonzero</t>
  </si>
  <si>
    <t>Pulse</t>
  </si>
  <si>
    <t>Ian Somerhalder</t>
  </si>
  <si>
    <t>cell phone|computer|computer hacker|e mail|technology</t>
  </si>
  <si>
    <t>http://www.imdb.com/title/tt0454919/?ref_=fn_tt_tt_1</t>
  </si>
  <si>
    <t>Beverly Hills Cop II</t>
  </si>
  <si>
    <t>detective|police|police chief|robbery|tall woman</t>
  </si>
  <si>
    <t>http://www.imdb.com/title/tt0092644/?ref_=fn_tt_tt_1</t>
  </si>
  <si>
    <t>Bringing Down the House</t>
  </si>
  <si>
    <t>Kimberly J. Brown</t>
  </si>
  <si>
    <t>Steve Harris</t>
  </si>
  <si>
    <t>divorce|lawyer|spanking|villain arrested|wrongful conviction</t>
  </si>
  <si>
    <t>http://www.imdb.com/title/tt0305669/?ref_=fn_tt_tt_1</t>
  </si>
  <si>
    <t>The Silence of the Lambs</t>
  </si>
  <si>
    <t>case file|fbi agent|psycho thriller|psychopath|serial killer</t>
  </si>
  <si>
    <t>http://www.imdb.com/title/tt0102926/?ref_=fn_tt_tt_1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</si>
  <si>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</si>
  <si>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</si>
  <si>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</si>
  <si>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</si>
  <si>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Jeff Tremaine</t>
  </si>
  <si>
    <t>Jackass 3D</t>
  </si>
  <si>
    <t>Action|Comedy|Documentary</t>
  </si>
  <si>
    <t>Bam Margera</t>
  </si>
  <si>
    <t>Steve-O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</si>
  <si>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</si>
  <si>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</si>
  <si>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</si>
  <si>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</si>
  <si>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Jaws 2</t>
  </si>
  <si>
    <t>Roy Scheider</t>
  </si>
  <si>
    <t>Murray Hamilton</t>
  </si>
  <si>
    <t>Joseph Mascolo</t>
  </si>
  <si>
    <t>great white shark|island|mayor|police chief|shark</t>
  </si>
  <si>
    <t>http://www.imdb.com/title/tt0077766/?ref_=fn_tt_tt_1</t>
  </si>
  <si>
    <t>Beverly Hills Chihuahua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</si>
  <si>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</si>
  <si>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</si>
  <si>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</si>
  <si>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</si>
  <si>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</si>
  <si>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</si>
  <si>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</si>
  <si>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</si>
  <si>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Are We There Yet?</t>
  </si>
  <si>
    <t>car fire|children|cockroach|independent film|new year</t>
  </si>
  <si>
    <t>http://www.imdb.com/title/tt0368578/?ref_=fn_tt_tt_1</t>
  </si>
  <si>
    <t>Tammy</t>
  </si>
  <si>
    <t>Mark Duplass</t>
  </si>
  <si>
    <t>alcoholic|grandmother|highway travel|niagara falls|on the road</t>
  </si>
  <si>
    <t>http://www.imdb.com/title/tt2103254/?ref_=fn_tt_tt_1</t>
  </si>
  <si>
    <t>School of Rock</t>
  </si>
  <si>
    <t>Mike White</t>
  </si>
  <si>
    <t>battle of the bands|rock band|school teacher|substitute teacher|teacher</t>
  </si>
  <si>
    <t>http://www.imdb.com/title/tt0332379/?ref_=fn_tt_tt_1</t>
  </si>
  <si>
    <t>Mortal Kombat</t>
  </si>
  <si>
    <t>based on video game|island|mortal kombat|tournament|warrior</t>
  </si>
  <si>
    <t>http://www.imdb.com/title/tt0113855/?ref_=fn_tt_tt_1</t>
  </si>
  <si>
    <t>White Chicks</t>
  </si>
  <si>
    <t>african american|crossdresser|fbi|undercover|vomiting</t>
  </si>
  <si>
    <t>http://www.imdb.com/title/tt0381707/?ref_=fn_tt_tt_1</t>
  </si>
  <si>
    <t>The Descendants</t>
  </si>
  <si>
    <t>Shailene Woodley</t>
  </si>
  <si>
    <t>Nick Krause</t>
  </si>
  <si>
    <t>boating accident|daughters|father daughter relationship|hospital|marriage</t>
  </si>
  <si>
    <t>http://www.imdb.com/title/tt1033575/?ref_=fn_tt_tt_1</t>
  </si>
  <si>
    <t>Holes</t>
  </si>
  <si>
    <t>Adventure|Comedy|Drama|Family|Mystery</t>
  </si>
  <si>
    <t>Zane Holtz</t>
  </si>
  <si>
    <t>Ski Carr</t>
  </si>
  <si>
    <t>bad luck|camp|curse|digging|hole</t>
  </si>
  <si>
    <t>http://www.imdb.com/title/tt0311289/?ref_=fn_tt_tt_1</t>
  </si>
  <si>
    <t>The Last Song</t>
  </si>
  <si>
    <t>Drama|Family|Music|Romance</t>
  </si>
  <si>
    <t>Bobby Coleman</t>
  </si>
  <si>
    <t>Melissa Ordway</t>
  </si>
  <si>
    <t>beach|fire|love|pianist|summer</t>
  </si>
  <si>
    <t>http://www.imdb.com/title/tt1294226/?ref_=fn_tt_tt_1</t>
  </si>
  <si>
    <t>Steve McQueen</t>
  </si>
  <si>
    <t>12 Years a Slave</t>
  </si>
  <si>
    <t>Taran Killam</t>
  </si>
  <si>
    <t>racism|separation from family|social injustice|torture|whipping</t>
  </si>
  <si>
    <t>http://www.imdb.com/title/tt2024544/?ref_=fn_tt_tt_1</t>
  </si>
  <si>
    <t>Drumline</t>
  </si>
  <si>
    <t>Jason Weaver</t>
  </si>
  <si>
    <t>drumline|drummer|fish out of water|marching band|university</t>
  </si>
  <si>
    <t>http://www.imdb.com/title/tt0303933/?ref_=fn_tt_tt_1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</si>
  <si>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</si>
  <si>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</si>
  <si>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</si>
  <si>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Edward Scissorhands</t>
  </si>
  <si>
    <t>Fantasy|Romance</t>
  </si>
  <si>
    <t>creation|inventor|magical realism|scissors|suburb</t>
  </si>
  <si>
    <t>http://www.imdb.com/title/tt0099487/?ref_=fn_tt_tt_1</t>
  </si>
  <si>
    <t>Thea Sharrock</t>
  </si>
  <si>
    <t>Me Before You</t>
  </si>
  <si>
    <t>Brendan Coyle</t>
  </si>
  <si>
    <t>accident|caretaker|economic hardship|quadriplegic|wheelchair</t>
  </si>
  <si>
    <t>http://www.imdb.com/title/tt2674426/?ref_=fn_tt_tt_1</t>
  </si>
  <si>
    <t>Madea's Witness Protection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</si>
  <si>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</si>
  <si>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</si>
  <si>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</si>
  <si>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</si>
  <si>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</t>
  </si>
  <si>
    <t>female protagonist|greek|overweight|spoof|wedding planner</t>
  </si>
  <si>
    <t>http://www.imdb.com/title/tt0466342/?ref_=fn_tt_tt_1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</si>
  <si>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</si>
  <si>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</si>
  <si>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</si>
  <si>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</si>
  <si>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Ava DuVernay</t>
  </si>
  <si>
    <t>Selma</t>
  </si>
  <si>
    <t>civil rights|courage|protest|selma alabama|u.s. politics</t>
  </si>
  <si>
    <t>http://www.imdb.com/title/tt1020072/?ref_=fn_tt_tt_1</t>
  </si>
  <si>
    <t>Steve Trenbirth</t>
  </si>
  <si>
    <t>The Jungle Book 2</t>
  </si>
  <si>
    <t>Adventure|Animation|Family|Musical</t>
  </si>
  <si>
    <t>Phil Collins</t>
  </si>
  <si>
    <t>Tony Jay</t>
  </si>
  <si>
    <t>dog|jungle|shot gun|tiger|village</t>
  </si>
  <si>
    <t>http://www.imdb.com/title/tt0283426/?ref_=fn_tt_tt_1</t>
  </si>
  <si>
    <t>Boogeyman</t>
  </si>
  <si>
    <t>Barry Watson</t>
  </si>
  <si>
    <t>Skye McCole Bartusiak</t>
  </si>
  <si>
    <t>Charles Mesure</t>
  </si>
  <si>
    <t>boogeyman|childhood|fear|hometown|uncle</t>
  </si>
  <si>
    <t>http://www.imdb.com/title/tt0357507/?ref_=fn_tt_tt_1</t>
  </si>
  <si>
    <t>Mennan Yapo</t>
  </si>
  <si>
    <t>Premonition</t>
  </si>
  <si>
    <t>Marc Macaulay</t>
  </si>
  <si>
    <t>car|car accident|housewife|sheriff|suburb</t>
  </si>
  <si>
    <t>http://www.imdb.com/title/tt0477071/?ref_=fn_tt_tt_1</t>
  </si>
  <si>
    <t>Jun Falkenstein</t>
  </si>
  <si>
    <t>The Tigger Movie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</si>
  <si>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</si>
  <si>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</si>
  <si>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</si>
  <si>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</si>
  <si>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</si>
  <si>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Max</t>
  </si>
  <si>
    <t>Joseph Julian Soria</t>
  </si>
  <si>
    <t>afghanistan|death of marine|dog|dog adoption|man dog relationship</t>
  </si>
  <si>
    <t>http://www.imdb.com/title/tt3369806/?ref_=fn_tt_tt_1</t>
  </si>
  <si>
    <t>Epic Movie</t>
  </si>
  <si>
    <t>chocolate|chocolate factory|factory|orphan|student</t>
  </si>
  <si>
    <t>http://www.imdb.com/title/tt0799949/?ref_=fn_tt_tt_1</t>
  </si>
  <si>
    <t>Spotlight</t>
  </si>
  <si>
    <t>Biography|Crime|Drama|History</t>
  </si>
  <si>
    <t>Jamey Sheridan</t>
  </si>
  <si>
    <t>Brian d'Arcy James</t>
  </si>
  <si>
    <t>cover up|investigation|journalist|newspaper|sexual abuse</t>
  </si>
  <si>
    <t>http://www.imdb.com/title/tt1895587/?ref_=fn_tt_tt_1</t>
  </si>
  <si>
    <t>Lakeview Terrace</t>
  </si>
  <si>
    <t>interracial couple|lapd|male nudity|neighbor|nudity</t>
  </si>
  <si>
    <t>http://www.imdb.com/title/tt0947802/?ref_=fn_tt_tt_1</t>
  </si>
  <si>
    <t>Takashi Shimizu</t>
  </si>
  <si>
    <t>The Grudge 2</t>
  </si>
  <si>
    <t>Matthew Knight</t>
  </si>
  <si>
    <t>curse|ghost|haunted house|high school|schoolgirl</t>
  </si>
  <si>
    <t>http://www.imdb.com/title/tt0433386/?ref_=fn_tt_tt_1</t>
  </si>
  <si>
    <t>How Stella Got Her Groove Back</t>
  </si>
  <si>
    <t>Richard Lawson</t>
  </si>
  <si>
    <t>female protagonist|jamaica|six word title|tragic event|vacation</t>
  </si>
  <si>
    <t>http://www.imdb.com/title/tt0120703/?ref_=fn_tt_tt_1</t>
  </si>
  <si>
    <t>Bill &amp; Ted's Bogus Journey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</si>
  <si>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</si>
  <si>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</si>
  <si>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</si>
  <si>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</si>
  <si>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Man of the Year</t>
  </si>
  <si>
    <t>campaign|election|president|presidential election|satire</t>
  </si>
  <si>
    <t>http://www.imdb.com/title/tt0483726/?ref_=fn_tt_tt_1</t>
  </si>
  <si>
    <t>Anton Corbijn</t>
  </si>
  <si>
    <t>The American</t>
  </si>
  <si>
    <t>Violante Placido</t>
  </si>
  <si>
    <t>Thekla Reuten</t>
  </si>
  <si>
    <t>Filippo Timi</t>
  </si>
  <si>
    <t>ambush|assassin|priest|prostitute|sweden</t>
  </si>
  <si>
    <t>http://www.imdb.com/title/tt1440728/?ref_=fn_tt_tt_1</t>
  </si>
  <si>
    <t>Gregory Nava</t>
  </si>
  <si>
    <t>Selena</t>
  </si>
  <si>
    <t>latin music|marriage|on tour|singer|tejano</t>
  </si>
  <si>
    <t>http://www.imdb.com/title/tt0120094/?ref_=fn_tt_tt_1</t>
  </si>
  <si>
    <t>Vampires Suck</t>
  </si>
  <si>
    <t>Dave Foley</t>
  </si>
  <si>
    <t>Anneliese van der Pol</t>
  </si>
  <si>
    <t>cat|friend|love|sheriff|teenager</t>
  </si>
  <si>
    <t>http://www.imdb.com/title/tt1666186/?ref_=fn_tt_tt_1</t>
  </si>
  <si>
    <t>Babel</t>
  </si>
  <si>
    <t>Harriet Walter</t>
  </si>
  <si>
    <t>Dermot Crowley</t>
  </si>
  <si>
    <t>american|destiny|mexican border|multiple perspectives|muslim</t>
  </si>
  <si>
    <t>http://www.imdb.com/title/tt0449467/?ref_=fn_tt_tt_1</t>
  </si>
  <si>
    <t>This Is Where I Leave You</t>
  </si>
  <si>
    <t>brother sister relationship|childhood home|man child|sibling|vomiting</t>
  </si>
  <si>
    <t>http://www.imdb.com/title/tt1371150/?ref_=fn_tt_tt_1</t>
  </si>
  <si>
    <t>John Patrick Shanley</t>
  </si>
  <si>
    <t>Doubt</t>
  </si>
  <si>
    <t>boy|catholic|nun|priest|student</t>
  </si>
  <si>
    <t>http://www.imdb.com/title/tt0918927/?ref_=fn_tt_tt_1</t>
  </si>
  <si>
    <t>Team America: World Police</t>
  </si>
  <si>
    <t>Jeremy Shada</t>
  </si>
  <si>
    <t>actor|arab stereotype|broadway|terrorist|vomiting</t>
  </si>
  <si>
    <t>http://www.imdb.com/title/tt0372588/?ref_=fn_tt_tt_1</t>
  </si>
  <si>
    <t>Texas Chainsaw 3D</t>
  </si>
  <si>
    <t>Gunnar Hansen</t>
  </si>
  <si>
    <t>Keram Malicki-SÃ¡nchez</t>
  </si>
  <si>
    <t>Shaun Sipos</t>
  </si>
  <si>
    <t>chainsaw|halloween|mansion|massacre|texas</t>
  </si>
  <si>
    <t>http://www.imdb.com/title/tt1572315/?ref_=fn_tt_tt_1</t>
  </si>
  <si>
    <t>Copycat</t>
  </si>
  <si>
    <t>William McNamara</t>
  </si>
  <si>
    <t>agoraphobia|copycat murder|detective|psychologist|serial killer</t>
  </si>
  <si>
    <t>http://www.imdb.com/title/tt0112722/?ref_=fn_tt_tt_1</t>
  </si>
  <si>
    <t>Scary Movie 5</t>
  </si>
  <si>
    <t>Marisa Saks</t>
  </si>
  <si>
    <t>2010s|ape|ballet|psychic|supernatural</t>
  </si>
  <si>
    <t>http://www.imdb.com/title/tt0795461/?ref_=fn_tt_tt_1</t>
  </si>
  <si>
    <t>Milk</t>
  </si>
  <si>
    <t>Lucas Grabeel</t>
  </si>
  <si>
    <t>california|gay|gay activist|gay pickup|gay rights</t>
  </si>
  <si>
    <t>http://www.imdb.com/title/tt1013753/?ref_=fn_tt_tt_1</t>
  </si>
  <si>
    <t>Risen</t>
  </si>
  <si>
    <t>Action|Adventure|Drama|Mystery</t>
  </si>
  <si>
    <t>Peter Firth</t>
  </si>
  <si>
    <t>Jan Cornet</t>
  </si>
  <si>
    <t>MarÃ­a Botto</t>
  </si>
  <si>
    <t>biblical|crucifixion|judea|resurrection|roman soldier</t>
  </si>
  <si>
    <t>http://www.imdb.com/title/tt3231054/?ref_=fn_tt_tt_1</t>
  </si>
  <si>
    <t>Steve Beck</t>
  </si>
  <si>
    <t>Ghost Ship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</si>
  <si>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</si>
  <si>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</si>
  <si>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</si>
  <si>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</si>
  <si>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</si>
  <si>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</t>
  </si>
  <si>
    <t>christmas|christmas tree|fire|new york city|stoner</t>
  </si>
  <si>
    <t>http://www.imdb.com/title/tt1268799/?ref_=fn_tt_tt_1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</si>
  <si>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</si>
  <si>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</si>
  <si>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</si>
  <si>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</si>
  <si>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</si>
  <si>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The Debt</t>
  </si>
  <si>
    <t>Jesper Christensen</t>
  </si>
  <si>
    <t>Romi Aboulafia</t>
  </si>
  <si>
    <t>east berlin|kiev ukraine|mossad|nazi|nazi war criminal</t>
  </si>
  <si>
    <t>http://www.imdb.com/title/tt1226753/?ref_=fn_tt_tt_1</t>
  </si>
  <si>
    <t>High Fidelity</t>
  </si>
  <si>
    <t>employer employee relationship|record store|store|thirty something|vinyl</t>
  </si>
  <si>
    <t>http://www.imdb.com/title/tt0146882/?ref_=fn_tt_tt_1</t>
  </si>
  <si>
    <t>Eric Valette</t>
  </si>
  <si>
    <t>One Missed Call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</si>
  <si>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</si>
  <si>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</si>
  <si>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</si>
  <si>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</si>
  <si>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Eye for an Eye</t>
  </si>
  <si>
    <t>justice|rape|self defense|support group|vigilante</t>
  </si>
  <si>
    <t>http://www.imdb.com/title/tt0116260/?ref_=fn_tt_tt_1</t>
  </si>
  <si>
    <t>The Bank Job</t>
  </si>
  <si>
    <t>chase|heist|london england|mobster|safe deposit</t>
  </si>
  <si>
    <t>http://www.imdb.com/title/tt0200465/?ref_=fn_tt_tt_1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</si>
  <si>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</si>
  <si>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</si>
  <si>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</si>
  <si>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You Again</t>
  </si>
  <si>
    <t>James Wolk</t>
  </si>
  <si>
    <t>Christine Lakin</t>
  </si>
  <si>
    <t>dancing|dog|flight|hostility|travel</t>
  </si>
  <si>
    <t>http://www.imdb.com/title/tt1414382/?ref_=fn_tt_tt_1</t>
  </si>
  <si>
    <t>Street Kings</t>
  </si>
  <si>
    <t>captain|lapd|murder|undercover cop|violence</t>
  </si>
  <si>
    <t>http://www.imdb.com/title/tt0421073/?ref_=fn_tt_tt_1</t>
  </si>
  <si>
    <t>The World's End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</si>
  <si>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</si>
  <si>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</si>
  <si>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</si>
  <si>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</si>
  <si>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</si>
  <si>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Nancy Drew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</si>
  <si>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</si>
  <si>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</si>
  <si>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</si>
  <si>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</si>
  <si>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</si>
  <si>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Daybreakers</t>
  </si>
  <si>
    <t>Jay Laga'aia</t>
  </si>
  <si>
    <t>Damien Garvey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</si>
  <si>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</si>
  <si>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</si>
  <si>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</si>
  <si>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</si>
  <si>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</t>
  </si>
  <si>
    <t>Geoff Stults</t>
  </si>
  <si>
    <t>airport|airport security|confidence|iphone|love</t>
  </si>
  <si>
    <t>http://www.imdb.com/title/tt0815236/?ref_=fn_tt_tt_1</t>
  </si>
  <si>
    <t>Thomas Bezucha</t>
  </si>
  <si>
    <t>Monte Carlo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</si>
  <si>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</si>
  <si>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</si>
  <si>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</si>
  <si>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</si>
  <si>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</si>
  <si>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</t>
  </si>
  <si>
    <t>countess|game reality crossover|ghost|group of friends|tower</t>
  </si>
  <si>
    <t>http://www.imdb.com/title/tt0441796/?ref_=fn_tt_tt_1</t>
  </si>
  <si>
    <t>Quigley Down Under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</si>
  <si>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</si>
  <si>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</si>
  <si>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</si>
  <si>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</si>
  <si>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Alpha and Omega</t>
  </si>
  <si>
    <t>arranged marriage|geese|idaho|national park|park</t>
  </si>
  <si>
    <t>http://www.imdb.com/title/tt1213012/?ref_=fn_tt_tt_1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</si>
  <si>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</si>
  <si>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</si>
  <si>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</si>
  <si>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</si>
  <si>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Shorts</t>
  </si>
  <si>
    <t>Jake Short</t>
  </si>
  <si>
    <t>boy|family relationships|rock|twin|two headed person</t>
  </si>
  <si>
    <t>http://www.imdb.com/title/tt1100119/?ref_=fn_tt_tt_1</t>
  </si>
  <si>
    <t>To Die For</t>
  </si>
  <si>
    <t>career|fame|murder|new hampshire|television</t>
  </si>
  <si>
    <t>http://www.imdb.com/title/tt0114681/?ref_=fn_tt_tt_1</t>
  </si>
  <si>
    <t>Vampires</t>
  </si>
  <si>
    <t>Sheryl Lee</t>
  </si>
  <si>
    <t>Maximilian Schell</t>
  </si>
  <si>
    <t>cross|relic|team|vampire|vampire hunter</t>
  </si>
  <si>
    <t>http://www.imdb.com/title/tt0120877/?ref_=fn_tt_tt_1</t>
  </si>
  <si>
    <t>Alfred Hitchcock</t>
  </si>
  <si>
    <t>Psycho</t>
  </si>
  <si>
    <t>Janet Leigh</t>
  </si>
  <si>
    <t>Vera Miles</t>
  </si>
  <si>
    <t>John Gavin</t>
  </si>
  <si>
    <t>money|motel|rain|shower|theft</t>
  </si>
  <si>
    <t>http://www.imdb.com/title/tt0054215/?ref_=fn_tt_tt_1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</si>
  <si>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</si>
  <si>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</si>
  <si>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</si>
  <si>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</si>
  <si>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</si>
  <si>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</t>
  </si>
  <si>
    <t>brother sister relationship|high school graduation|love|sparkler|unfaithful husband</t>
  </si>
  <si>
    <t>http://www.imdb.com/title/tt2318092/?ref_=fn_tt_tt_1</t>
  </si>
  <si>
    <t>Georgia Rule</t>
  </si>
  <si>
    <t>alcoholic|rules|secret|summer|teenager</t>
  </si>
  <si>
    <t>http://www.imdb.com/title/tt0791304/?ref_=fn_tt_tt_1</t>
  </si>
  <si>
    <t>Steve Rash</t>
  </si>
  <si>
    <t>Under the Rainbow</t>
  </si>
  <si>
    <t>Billy Barty</t>
  </si>
  <si>
    <t>assassin|hotel|japanese tourist|secret service|wizard of oz</t>
  </si>
  <si>
    <t>http://www.imdb.com/title/tt0083254/?ref_=fn_tt_tt_1</t>
  </si>
  <si>
    <t>Simon Birch</t>
  </si>
  <si>
    <t>Jan Hooks</t>
  </si>
  <si>
    <t>boy|christmas|christmas pageant|friendship|illegitimate son</t>
  </si>
  <si>
    <t>http://www.imdb.com/title/tt0124879/?ref_=fn_tt_tt_1</t>
  </si>
  <si>
    <t>Mike Binder</t>
  </si>
  <si>
    <t>Reign Over Me</t>
  </si>
  <si>
    <t>college|depression|grief|mental breakdown|post september 11 2001</t>
  </si>
  <si>
    <t>http://www.imdb.com/title/tt0490204/?ref_=fn_tt_tt_1</t>
  </si>
  <si>
    <t>Into the Wild</t>
  </si>
  <si>
    <t>Adventure|Biography|Drama</t>
  </si>
  <si>
    <t>alaska|based on true story|male nudity|self discovery|wilderness</t>
  </si>
  <si>
    <t>http://www.imdb.com/title/tt0758758/?ref_=fn_tt_tt_1</t>
  </si>
  <si>
    <t>School for Scoundrels</t>
  </si>
  <si>
    <t>paintball|paintball gun|pepper spray|tennis|what happened to epilogue</t>
  </si>
  <si>
    <t>http://www.imdb.com/title/tt0462519/?ref_=fn_tt_tt_1</t>
  </si>
  <si>
    <t>Michael J. Bassett</t>
  </si>
  <si>
    <t>Silent Hill: Revelation 3D</t>
  </si>
  <si>
    <t>Adventure|Drama|Horror|Mystery|Thriller</t>
  </si>
  <si>
    <t>18th birthday|alternate reality|introduction|nightmare|on the run</t>
  </si>
  <si>
    <t>http://www.imdb.com/title/tt0938330/?ref_=fn_tt_tt_1</t>
  </si>
  <si>
    <t>From Dusk Till Dawn</t>
  </si>
  <si>
    <t>Crime|Fantasy|Horror</t>
  </si>
  <si>
    <t>brother|human versus vampire|rapist|stripper|vampire</t>
  </si>
  <si>
    <t>http://www.imdb.com/title/tt0116367/?ref_=fn_tt_tt_1</t>
  </si>
  <si>
    <t>Frank Nissen</t>
  </si>
  <si>
    <t>Pooh's Heffalump Movie</t>
  </si>
  <si>
    <t>Animation|Family|Fantasy|Mystery</t>
  </si>
  <si>
    <t>creature|forest|mother son relationship|rabbit|winnie the pooh</t>
  </si>
  <si>
    <t>http://www.imdb.com/title/tt0407121/?ref_=fn_tt_tt_1</t>
  </si>
  <si>
    <t>Home for the Holidays</t>
  </si>
  <si>
    <t>Steve Guttenberg</t>
  </si>
  <si>
    <t>dinner|gay interest|gay sibling|homosexual|thanksgiving</t>
  </si>
  <si>
    <t>http://www.imdb.com/title/tt0113321/?ref_=fn_tt_tt_1</t>
  </si>
  <si>
    <t>Stephen Chow</t>
  </si>
  <si>
    <t>Kung Fu Hustle</t>
  </si>
  <si>
    <t>Action|Comedy|Crime|Fantasy</t>
  </si>
  <si>
    <t>Shengyi Huang</t>
  </si>
  <si>
    <t>Chi Ling Chiu</t>
  </si>
  <si>
    <t>Qiu Yuen</t>
  </si>
  <si>
    <t>1940s|axe|china|gang|sign language</t>
  </si>
  <si>
    <t>http://www.imdb.com/title/tt0373074/?ref_=fn_tt_tt_1</t>
  </si>
  <si>
    <t>Peter Hastings</t>
  </si>
  <si>
    <t>The Country Bears</t>
  </si>
  <si>
    <t>Comedy|Family|Music|Musical</t>
  </si>
  <si>
    <t>animal in title|bear|box office flop|disney|satire</t>
  </si>
  <si>
    <t>http://www.imdb.com/title/tt0276033/?ref_=fn_tt_tt_1</t>
  </si>
  <si>
    <t>The Kite Runner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</si>
  <si>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</si>
  <si>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</si>
  <si>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</si>
  <si>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</si>
  <si>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</si>
  <si>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21 Grams</t>
  </si>
  <si>
    <t>accident|faith|love|mathematician|nonlinear timeline</t>
  </si>
  <si>
    <t>http://www.imdb.com/title/tt0315733/?ref_=fn_tt_tt_1</t>
  </si>
  <si>
    <t>Paul Abascal</t>
  </si>
  <si>
    <t>Paparazzi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</si>
  <si>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</si>
  <si>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</si>
  <si>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</si>
  <si>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</si>
  <si>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</si>
  <si>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A Guy Thing</t>
  </si>
  <si>
    <t>Lochlyn Munro</t>
  </si>
  <si>
    <t>bachelor party|climbing a tree|taxi|toilet|wedding</t>
  </si>
  <si>
    <t>http://www.imdb.com/title/tt0295289/?ref_=fn_tt_tt_1</t>
  </si>
  <si>
    <t>Amy Heckerling</t>
  </si>
  <si>
    <t>Loser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</si>
  <si>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</si>
  <si>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</si>
  <si>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</si>
  <si>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</si>
  <si>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</si>
  <si>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The Greatest Story Ever Told</t>
  </si>
  <si>
    <t>Carroll Baker</t>
  </si>
  <si>
    <t>70mm film|biblical epic|faith|jewish|king herod</t>
  </si>
  <si>
    <t>http://www.imdb.com/title/tt0059245/?ref_=fn_tt_tt_1</t>
  </si>
  <si>
    <t>Disaster Movie</t>
  </si>
  <si>
    <t>disaster|glass|mousetrap|natural disaster|scatological humor</t>
  </si>
  <si>
    <t>http://www.imdb.com/title/tt1213644/?ref_=fn_tt_tt_1</t>
  </si>
  <si>
    <t>Armored</t>
  </si>
  <si>
    <t>Lorna Raver</t>
  </si>
  <si>
    <t>armored truck|blood splatter|die hard scenario|guard|heist</t>
  </si>
  <si>
    <t>http://www.imdb.com/title/tt0913354/?ref_=fn_tt_tt_1</t>
  </si>
  <si>
    <t>The Man Who Knew Too Little</t>
  </si>
  <si>
    <t>Joanne Whalley</t>
  </si>
  <si>
    <t>assassin|bomb|dominatrix|mistaken identity|spy</t>
  </si>
  <si>
    <t>http://www.imdb.com/title/tt0120483/?ref_=fn_tt_tt_1</t>
  </si>
  <si>
    <t>Mark Mylod</t>
  </si>
  <si>
    <t>What's Your Number?</t>
  </si>
  <si>
    <t>Ari Graynor</t>
  </si>
  <si>
    <t>ex boyfriend|morning after|prince charming|quarrel|womanizer</t>
  </si>
  <si>
    <t>http://www.imdb.com/title/tt0770703/?ref_=fn_tt_tt_1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</si>
  <si>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</si>
  <si>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</si>
  <si>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</si>
  <si>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</si>
  <si>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</si>
  <si>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Envy</t>
  </si>
  <si>
    <t>Sam Lerner</t>
  </si>
  <si>
    <t>best friend|dog|envy|jealousy|neighbor</t>
  </si>
  <si>
    <t>http://www.imdb.com/title/tt0326856/?ref_=fn_tt_tt_1</t>
  </si>
  <si>
    <t>Crank: High Voltage</t>
  </si>
  <si>
    <t>artificial heart|heart|horse penis|prostitute|stripper</t>
  </si>
  <si>
    <t>http://www.imdb.com/title/tt1121931/?ref_=fn_tt_tt_1</t>
  </si>
  <si>
    <t>Bullets Over Broadway</t>
  </si>
  <si>
    <t>actress|bodyguard|new york city|play|playwright</t>
  </si>
  <si>
    <t>http://www.imdb.com/title/tt0109348/?ref_=fn_tt_tt_1</t>
  </si>
  <si>
    <t>Michael O. Sajbel</t>
  </si>
  <si>
    <t>One Night with the King</t>
  </si>
  <si>
    <t>James Callis</t>
  </si>
  <si>
    <t>Tiffany Dupont</t>
  </si>
  <si>
    <t>Nimrat Kaur</t>
  </si>
  <si>
    <t>biblical|book of esther|esther|persia|treachery</t>
  </si>
  <si>
    <t>http://www.imdb.com/title/tt0430431/?ref_=fn_tt_tt_1</t>
  </si>
  <si>
    <t>The Quiet American</t>
  </si>
  <si>
    <t>Drama|Mystery|Romance|Thriller|War</t>
  </si>
  <si>
    <t>american|french|saigon|vietnam|vietnamese</t>
  </si>
  <si>
    <t>http://www.imdb.com/title/tt0258068/?ref_=fn_tt_tt_1</t>
  </si>
  <si>
    <t>The Weather Man</t>
  </si>
  <si>
    <t>corndog|failure|funeral in the rain|new york city|weatherman</t>
  </si>
  <si>
    <t>http://www.imdb.com/title/tt0384680/?ref_=fn_tt_tt_1</t>
  </si>
  <si>
    <t>Undisputed</t>
  </si>
  <si>
    <t>Action|Crime|Drama|Sport</t>
  </si>
  <si>
    <t>boxing|fight|heavyweight champion|iceman|prison</t>
  </si>
  <si>
    <t>http://www.imdb.com/title/tt0281322/?ref_=fn_tt_tt_1</t>
  </si>
  <si>
    <t>Ghost Town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</si>
  <si>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</si>
  <si>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</si>
  <si>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</si>
  <si>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</si>
  <si>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12 Rounds</t>
  </si>
  <si>
    <t>Taylor Cole</t>
  </si>
  <si>
    <t>Nick Gomez</t>
  </si>
  <si>
    <t>2000s|detective|sadist|terrorism|terrorist</t>
  </si>
  <si>
    <t>http://www.imdb.com/title/tt1160368/?ref_=fn_tt_tt_1</t>
  </si>
  <si>
    <t>Let Me In</t>
  </si>
  <si>
    <t>Drama|Fantasy|Horror|Mystery</t>
  </si>
  <si>
    <t>blood|boy|night|school|vampire</t>
  </si>
  <si>
    <t>http://www.imdb.com/title/tt1228987/?ref_=fn_tt_tt_1</t>
  </si>
  <si>
    <t>Charles T. Kanganis</t>
  </si>
  <si>
    <t>3 Ninjas Kick Back</t>
  </si>
  <si>
    <t>Dustin Nguyen</t>
  </si>
  <si>
    <t>Don Stark</t>
  </si>
  <si>
    <t>1990s|dagger|japan|mousetrap|stick fight</t>
  </si>
  <si>
    <t>http://www.imdb.com/title/tt0109015/?ref_=fn_tt_tt_1</t>
  </si>
  <si>
    <t>Be Kind Rewind</t>
  </si>
  <si>
    <t>Melonie Diaz</t>
  </si>
  <si>
    <t>friend|power plant|sabotage|store clerk|video store</t>
  </si>
  <si>
    <t>http://www.imdb.com/title/tt0799934/?ref_=fn_tt_tt_1</t>
  </si>
  <si>
    <t>Mrs Henderson Presents</t>
  </si>
  <si>
    <t>Comedy|Drama|Music|War</t>
  </si>
  <si>
    <t>Christopher Guest</t>
  </si>
  <si>
    <t>Sarah Solemani</t>
  </si>
  <si>
    <t>anti semitism|breasts|chamberlain|friend|theatre</t>
  </si>
  <si>
    <t>http://www.imdb.com/title/tt0413015/?ref_=fn_tt_tt_1</t>
  </si>
  <si>
    <t>Triple 9</t>
  </si>
  <si>
    <t>betrayal|corrupt cop|heist|murder of a police officer|police detective</t>
  </si>
  <si>
    <t>http://www.imdb.com/title/tt1712261/?ref_=fn_tt_tt_1</t>
  </si>
  <si>
    <t>Deconstructing Harry</t>
  </si>
  <si>
    <t>Lynn Cohen</t>
  </si>
  <si>
    <t>marriage|novelist|panties pulled down|writer's block|writing</t>
  </si>
  <si>
    <t>http://www.imdb.com/title/tt0118954/?ref_=fn_tt_tt_1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</si>
  <si>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</si>
  <si>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</si>
  <si>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</si>
  <si>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</si>
  <si>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</si>
  <si>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Burnt</t>
  </si>
  <si>
    <t>Riccardo Scamarcio</t>
  </si>
  <si>
    <t>chef|gay kiss|michelin star|restaurant|violent behavior</t>
  </si>
  <si>
    <t>http://www.imdb.com/title/tt2503944/?ref_=fn_tt_tt_1</t>
  </si>
  <si>
    <t>We're No Angels</t>
  </si>
  <si>
    <t>James Russo</t>
  </si>
  <si>
    <t>con|convict|escape|police|priest</t>
  </si>
  <si>
    <t>http://www.imdb.com/title/tt0098625/?ref_=fn_tt_tt_1</t>
  </si>
  <si>
    <t>Everyone Says I Love You</t>
  </si>
  <si>
    <t>Comedy|Musical|Romance</t>
  </si>
  <si>
    <t>Jeff DeRocker</t>
  </si>
  <si>
    <t>engagement|grandfather|liberal|maid|song</t>
  </si>
  <si>
    <t>http://www.imdb.com/title/tt0116242/?ref_=fn_tt_tt_1</t>
  </si>
  <si>
    <t>Death Sentence</t>
  </si>
  <si>
    <t>Edi Gathegi</t>
  </si>
  <si>
    <t>blood|death|gang|murder|revenge</t>
  </si>
  <si>
    <t>http://www.imdb.com/title/tt0804461/?ref_=fn_tt_tt_1</t>
  </si>
  <si>
    <t>Everybody's Fine</t>
  </si>
  <si>
    <t>Brendan Sexton III</t>
  </si>
  <si>
    <t>bus trip|parental love|retirement|surprise visit|train ride</t>
  </si>
  <si>
    <t>http://www.imdb.com/title/tt0780511/?ref_=fn_tt_tt_1</t>
  </si>
  <si>
    <t>Bob Clark</t>
  </si>
  <si>
    <t>Superbabies: Baby Geniuses 2</t>
  </si>
  <si>
    <t>Scott Baio</t>
  </si>
  <si>
    <t>Vanessa Angel</t>
  </si>
  <si>
    <t>Peter Wingfield</t>
  </si>
  <si>
    <t>computer|good versus evil|mind control|science experiment|sequel</t>
  </si>
  <si>
    <t>http://www.imdb.com/title/tt0270846/?ref_=fn_tt_tt_1</t>
  </si>
  <si>
    <t>The Man</t>
  </si>
  <si>
    <t>Susie Essman</t>
  </si>
  <si>
    <t>Gigi Rice</t>
  </si>
  <si>
    <t>buddy comedy|criminal|gun smuggling|mistaken identity|salesman</t>
  </si>
  <si>
    <t>http://www.imdb.com/title/tt0399327/?ref_=fn_tt_tt_1</t>
  </si>
  <si>
    <t>Code Name: The Cleaner</t>
  </si>
  <si>
    <t>comic violence|hand to hand combat|kung fu|talking to self in mirror|violence</t>
  </si>
  <si>
    <t>http://www.imdb.com/title/tt0462229/?ref_=fn_tt_tt_1</t>
  </si>
  <si>
    <t>Connie and Carla</t>
  </si>
  <si>
    <t>Nia Vardalos</t>
  </si>
  <si>
    <t>box office flop|drag queen|gender disguise|mafia|witness</t>
  </si>
  <si>
    <t>http://www.imdb.com/title/tt0345074/?ref_=fn_tt_tt_1</t>
  </si>
  <si>
    <t>Inherent Vice</t>
  </si>
  <si>
    <t>Comedy|Crime|Drama|Mystery|Romance</t>
  </si>
  <si>
    <t>Martin Dew</t>
  </si>
  <si>
    <t>Katherine Waterston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</si>
  <si>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</si>
  <si>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</si>
  <si>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</si>
  <si>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</si>
  <si>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</t>
  </si>
  <si>
    <t>diamond|lava|magic|mountain|sorcerer</t>
  </si>
  <si>
    <t>http://www.imdb.com/title/tt0763304/?ref_=fn_tt_tt_1</t>
  </si>
  <si>
    <t>Benson Lee</t>
  </si>
  <si>
    <t>Battle of the Year</t>
  </si>
  <si>
    <t>Chris Brown</t>
  </si>
  <si>
    <t>Caity Lotz</t>
  </si>
  <si>
    <t>3 dimensional|box office flop|critically bashed|dancing</t>
  </si>
  <si>
    <t>http://www.imdb.com/title/tt1532958/?ref_=fn_tt_tt_1</t>
  </si>
  <si>
    <t>An American Carol</t>
  </si>
  <si>
    <t>Chriss Anglin</t>
  </si>
  <si>
    <t>Geoffrey Arend</t>
  </si>
  <si>
    <t>Gary Coleman</t>
  </si>
  <si>
    <t>arab stereotype|box office flop|documentary filmmaker|filmmaker|terrorist</t>
  </si>
  <si>
    <t>http://www.imdb.com/title/tt1190617/?ref_=fn_tt_tt_1</t>
  </si>
  <si>
    <t>Machete Kills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</si>
  <si>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</si>
  <si>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</si>
  <si>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</si>
  <si>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</si>
  <si>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</si>
  <si>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</t>
  </si>
  <si>
    <t>Jackie Burroughs</t>
  </si>
  <si>
    <t>at work|rat|revenge|vermin|work</t>
  </si>
  <si>
    <t>http://www.imdb.com/title/tt0310357/?ref_=fn_tt_tt_1</t>
  </si>
  <si>
    <t>Strange Wilderness</t>
  </si>
  <si>
    <t>Kevin Alejandro</t>
  </si>
  <si>
    <t>bigfoot|critically bashed|ecuador|friend|tv show</t>
  </si>
  <si>
    <t>http://www.imdb.com/title/tt0489282/?ref_=fn_tt_tt_1</t>
  </si>
  <si>
    <t>Mike Leigh</t>
  </si>
  <si>
    <t>Topsy-Turvy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</si>
  <si>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</si>
  <si>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</si>
  <si>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</si>
  <si>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</si>
  <si>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</t>
  </si>
  <si>
    <t>carl jung|patient|psychoanalysis|russian|sigmund freud</t>
  </si>
  <si>
    <t>http://www.imdb.com/title/tt1571222/?ref_=fn_tt_tt_1</t>
  </si>
  <si>
    <t>A Scanner Darkly</t>
  </si>
  <si>
    <t>Animation|Drama|Mystery|Sci-Fi|Thriller</t>
  </si>
  <si>
    <t>detective|drugs|substance d|undercover|undercover cop</t>
  </si>
  <si>
    <t>http://www.imdb.com/title/tt0405296/?ref_=fn_tt_tt_1</t>
  </si>
  <si>
    <t>Chasing Mavericks</t>
  </si>
  <si>
    <t>box office flop|no opening credits|surfing|two word title|year 1987</t>
  </si>
  <si>
    <t>http://www.imdb.com/title/tt1629757/?ref_=fn_tt_tt_1</t>
  </si>
  <si>
    <t>Alone in the Dark</t>
  </si>
  <si>
    <t>Catherine Lough Haggquist</t>
  </si>
  <si>
    <t>Darren Shahlavi</t>
  </si>
  <si>
    <t>Karin Konoval</t>
  </si>
  <si>
    <t>artifact|creature|darkness|demon|museum</t>
  </si>
  <si>
    <t>http://www.imdb.com/title/tt0369226/?ref_=fn_tt_tt_1</t>
  </si>
  <si>
    <t>Bandslam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</si>
  <si>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</si>
  <si>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</si>
  <si>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</si>
  <si>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</si>
  <si>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</si>
  <si>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</t>
  </si>
  <si>
    <t>birthday|boy|dead husband|death|widow</t>
  </si>
  <si>
    <t>http://www.imdb.com/title/tt0337876/?ref_=fn_tt_tt_1</t>
  </si>
  <si>
    <t>J.C. Chandor</t>
  </si>
  <si>
    <t>A Most Violent Year</t>
  </si>
  <si>
    <t>american dream|immigrant|new york city|oil|violence</t>
  </si>
  <si>
    <t>http://www.imdb.com/title/tt2937898/?ref_=fn_tt_tt_1</t>
  </si>
  <si>
    <t>Marc Abraham</t>
  </si>
  <si>
    <t>Flash of Genius</t>
  </si>
  <si>
    <t>Dylan Authors</t>
  </si>
  <si>
    <t>Bill Lake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</si>
  <si>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</si>
  <si>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</si>
  <si>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</si>
  <si>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</si>
  <si>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</si>
  <si>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</si>
  <si>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</si>
  <si>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</si>
  <si>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</si>
  <si>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</t>
  </si>
  <si>
    <t>driving a car down stairs|duct tape gag|held captive|murder of a police officer|sailing</t>
  </si>
  <si>
    <t>http://www.imdb.com/title/tt1366365/?ref_=fn_tt_tt_1</t>
  </si>
  <si>
    <t>The Brothers Bloom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</si>
  <si>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</si>
  <si>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</si>
  <si>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</si>
  <si>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</si>
  <si>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</si>
  <si>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</si>
  <si>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</si>
  <si>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</si>
  <si>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Princess Mononoke</t>
  </si>
  <si>
    <t>Adventure|Animation|Fantasy</t>
  </si>
  <si>
    <t>anime|cult film|forest|princess|studio ghibli</t>
  </si>
  <si>
    <t>http://www.imdb.com/title/tt0119698/?ref_=fn_tt_tt_1</t>
  </si>
  <si>
    <t>Jean-Paul Rappeneau</t>
  </si>
  <si>
    <t>Bon voyage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</si>
  <si>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</si>
  <si>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</si>
  <si>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</si>
  <si>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</si>
  <si>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Can't Stop the Music</t>
  </si>
  <si>
    <t>Biography|Comedy|Musical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</si>
  <si>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</si>
  <si>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</si>
  <si>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</si>
  <si>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</si>
  <si>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The Proposition</t>
  </si>
  <si>
    <t>Crime|Drama|Western</t>
  </si>
  <si>
    <t>aborigine|foreboding|gang|hideout|outlaw</t>
  </si>
  <si>
    <t>http://www.imdb.com/title/tt0421238/?ref_=fn_tt_tt_1</t>
  </si>
  <si>
    <t>Angelo Pizzo</t>
  </si>
  <si>
    <t>Courage</t>
  </si>
  <si>
    <t>Donny Boaz</t>
  </si>
  <si>
    <t>Brent Anderson</t>
  </si>
  <si>
    <t>coach|football|football movie|football team|high school sweethearts</t>
  </si>
  <si>
    <t>http://www.imdb.com/title/tt3719896/?ref_=fn_tt_tt_1</t>
  </si>
  <si>
    <t>Marci X</t>
  </si>
  <si>
    <t>Damon Wayans</t>
  </si>
  <si>
    <t>female protagonist|hip hop|jewish american princess|rapper|record label</t>
  </si>
  <si>
    <t>http://www.imdb.com/title/tt0266747/?ref_=fn_tt_tt_1</t>
  </si>
  <si>
    <t>Equilibrium</t>
  </si>
  <si>
    <t>cleric|dystopia|fascist|law|neo noir</t>
  </si>
  <si>
    <t>http://www.imdb.com/title/tt0238380/?ref_=fn_tt_tt_1</t>
  </si>
  <si>
    <t>The Children of Huang Shi</t>
  </si>
  <si>
    <t>Guang Li</t>
  </si>
  <si>
    <t>Matthew Walker</t>
  </si>
  <si>
    <t>british|communist|journalist|nurse|orphan</t>
  </si>
  <si>
    <t>http://www.imdb.com/title/tt0889588/?ref_=fn_tt_tt_1</t>
  </si>
  <si>
    <t>The Yards</t>
  </si>
  <si>
    <t>best friend|corruption|fall to death|female nudity|friend</t>
  </si>
  <si>
    <t>http://www.imdb.com/title/tt0138946/?ref_=fn_tt_tt_1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</si>
  <si>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</si>
  <si>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</si>
  <si>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</si>
  <si>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</si>
  <si>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</si>
  <si>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</si>
  <si>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</si>
  <si>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</si>
  <si>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</si>
  <si>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</si>
  <si>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</si>
  <si>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The Game of Their Lives</t>
  </si>
  <si>
    <t>Jimmy Jean-Louis</t>
  </si>
  <si>
    <t>1950s|brazil|soccer|soccer movie|world cup</t>
  </si>
  <si>
    <t>http://www.imdb.com/title/tt0354595/?ref_=fn_tt_tt_1</t>
  </si>
  <si>
    <t>Rapa Nui</t>
  </si>
  <si>
    <t>Esai Morales</t>
  </si>
  <si>
    <t>easter island|location in title|statue|topless female nudity|two word title</t>
  </si>
  <si>
    <t>http://www.imdb.com/title/tt0110944/?ref_=fn_tt_tt_1</t>
  </si>
  <si>
    <t>Dylan Dog: Dead of Night</t>
  </si>
  <si>
    <t>Action|Comedy|Crime|Fantasy|Horror|Mystery|Sci-Fi|Thriller</t>
  </si>
  <si>
    <t>Laura Spencer</t>
  </si>
  <si>
    <t>close up of eyes|monster|quirkiness|supernatural|vomiting</t>
  </si>
  <si>
    <t>http://www.imdb.com/title/tt1013860/?ref_=fn_tt_tt_1</t>
  </si>
  <si>
    <t>Daniel Algrant</t>
  </si>
  <si>
    <t>People I Know</t>
  </si>
  <si>
    <t>Crime|Drama|Mystery</t>
  </si>
  <si>
    <t>Mark Webber</t>
  </si>
  <si>
    <t>actor|client|new york|protection|scandal</t>
  </si>
  <si>
    <t>http://www.imdb.com/title/tt0274711/?ref_=fn_tt_tt_1</t>
  </si>
  <si>
    <t>The Tempest</t>
  </si>
  <si>
    <t>Tom Conti</t>
  </si>
  <si>
    <t>banishment|sorcery|spirit|staff|storm at sea</t>
  </si>
  <si>
    <t>http://www.imdb.com/title/tt1274300/?ref_=fn_tt_tt_1</t>
  </si>
  <si>
    <t>The Painted Veil</t>
  </si>
  <si>
    <t>Alan David</t>
  </si>
  <si>
    <t>china|cholera|epidemic|love|marriage</t>
  </si>
  <si>
    <t>http://www.imdb.com/title/tt0446755/?ref_=fn_tt_tt_1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</si>
  <si>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</si>
  <si>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</si>
  <si>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</si>
  <si>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</si>
  <si>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German</t>
  </si>
  <si>
    <t>Dances with Wolves</t>
  </si>
  <si>
    <t>Michael Spears</t>
  </si>
  <si>
    <t>friendship|frontier|honor|outpost|soldier</t>
  </si>
  <si>
    <t>http://www.imdb.com/title/tt0099348/?ref_=fn_tt_tt_1</t>
  </si>
  <si>
    <t>Bad Teacher</t>
  </si>
  <si>
    <t>boob job|breast enlargement|breast surgery|cheating on a test|ejaculation</t>
  </si>
  <si>
    <t>http://www.imdb.com/title/tt1284575/?ref_=fn_tt_tt_1</t>
  </si>
  <si>
    <t>Sea of Love</t>
  </si>
  <si>
    <t>detective|love|single|suspect|title from song</t>
  </si>
  <si>
    <t>http://www.imdb.com/title/tt0098273/?ref_=fn_tt_tt_1</t>
  </si>
  <si>
    <t>Mark Rosman</t>
  </si>
  <si>
    <t>A Cinderella Story</t>
  </si>
  <si>
    <t>Dan Byrd</t>
  </si>
  <si>
    <t>cinderella story|correspondence|evil step mother|female protagonist|teenage girl</t>
  </si>
  <si>
    <t>http://www.imdb.com/title/tt0356470/?ref_=fn_tt_tt_1</t>
  </si>
  <si>
    <t>Scream</t>
  </si>
  <si>
    <t>W. Earl Brown</t>
  </si>
  <si>
    <t>mask|mystery killer|slasher|teenage girl|telephone</t>
  </si>
  <si>
    <t>http://www.imdb.com/title/tt0117571/?ref_=fn_tt_tt_1</t>
  </si>
  <si>
    <t>Thir13en Ghosts</t>
  </si>
  <si>
    <t>collector|ghost|ghost hunter|glass house|machine</t>
  </si>
  <si>
    <t>http://www.imdb.com/title/tt0245674/?ref_=fn_tt_tt_1</t>
  </si>
  <si>
    <t>Back to the Future</t>
  </si>
  <si>
    <t>J.J. Cohen</t>
  </si>
  <si>
    <t>clock tower|delorean|future|time travel|time travel comedy</t>
  </si>
  <si>
    <t>http://www.imdb.com/title/tt0088763/?ref_=fn_tt_tt_1</t>
  </si>
  <si>
    <t>House on Haunted Hill</t>
  </si>
  <si>
    <t>billionaire|corpse|eccentric|haunted hospital|haunted house</t>
  </si>
  <si>
    <t>http://www.imdb.com/title/tt0185371/?ref_=fn_tt_tt_1</t>
  </si>
  <si>
    <t>I Can Do Bad All by Myself</t>
  </si>
  <si>
    <t>Eric Mendenhall</t>
  </si>
  <si>
    <t>Mary J. Blige</t>
  </si>
  <si>
    <t>Hope Olaide Wilson</t>
  </si>
  <si>
    <t>aunt|immigrant|looting|love|nightclub singer</t>
  </si>
  <si>
    <t>http://www.imdb.com/title/tt1385912/?ref_=fn_tt_tt_1</t>
  </si>
  <si>
    <t>The Switch</t>
  </si>
  <si>
    <t>Caroline Dhavernas</t>
  </si>
  <si>
    <t>Kelli Barrett</t>
  </si>
  <si>
    <t>artificial insemination|best friend|new york city|sperm|sperm donor</t>
  </si>
  <si>
    <t>http://www.imdb.com/title/tt0889573/?ref_=fn_tt_tt_1</t>
  </si>
  <si>
    <t>Just Married</t>
  </si>
  <si>
    <t>David Agranov</t>
  </si>
  <si>
    <t>David Moscow</t>
  </si>
  <si>
    <t>fall|honeymoon|love|marriage|newlywed</t>
  </si>
  <si>
    <t>http://www.imdb.com/title/tt0305711/?ref_=fn_tt_tt_1</t>
  </si>
  <si>
    <t>The Devil's Double</t>
  </si>
  <si>
    <t>Mem Ferda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</si>
  <si>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</si>
  <si>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</si>
  <si>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</si>
  <si>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</si>
  <si>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</si>
  <si>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</si>
  <si>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</si>
  <si>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The Crazies</t>
  </si>
  <si>
    <t>deputy|iowa|rural setting|sheriff|survival</t>
  </si>
  <si>
    <t>http://www.imdb.com/title/tt0455407/?ref_=fn_tt_tt_1</t>
  </si>
  <si>
    <t>Spirited Away</t>
  </si>
  <si>
    <t>Bunta Sugawara</t>
  </si>
  <si>
    <t>RyÃ»nosuke Kamiki</t>
  </si>
  <si>
    <t>Miyu Irino</t>
  </si>
  <si>
    <t>anime|bathhouse|pig|spirit|work</t>
  </si>
  <si>
    <t>http://www.imdb.com/title/tt0245429/?ref_=fn_tt_tt_1</t>
  </si>
  <si>
    <t>The Bounty</t>
  </si>
  <si>
    <t>lieutenant|lifeboat|mutiny|sailing ship|ship</t>
  </si>
  <si>
    <t>http://www.imdb.com/title/tt0086993/?ref_=fn_tt_tt_1</t>
  </si>
  <si>
    <t>Brian Percival</t>
  </si>
  <si>
    <t>The Book Thief</t>
  </si>
  <si>
    <t>Sophie NÃ©lisse</t>
  </si>
  <si>
    <t>Roger Allam</t>
  </si>
  <si>
    <t>basement|book|girl|library|track</t>
  </si>
  <si>
    <t>http://www.imdb.com/title/tt0816442/?ref_=fn_tt_tt_1</t>
  </si>
  <si>
    <t>Sex Drive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</si>
  <si>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</si>
  <si>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</si>
  <si>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</si>
  <si>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</si>
  <si>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</si>
  <si>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Leap Year</t>
  </si>
  <si>
    <t>Kaitlin Olson</t>
  </si>
  <si>
    <t>Dominique McElligott</t>
  </si>
  <si>
    <t>ireland|irish|journey|tradition|travel</t>
  </si>
  <si>
    <t>http://www.imdb.com/title/tt1216492/?ref_=fn_tt_tt_1</t>
  </si>
  <si>
    <t>Michael Dowse</t>
  </si>
  <si>
    <t>Take Me Home Tonight</t>
  </si>
  <si>
    <t>friend|night|party|sex scene|sister</t>
  </si>
  <si>
    <t>http://www.imdb.com/title/tt0810922/?ref_=fn_tt_tt_1</t>
  </si>
  <si>
    <t>Emile Ardolino</t>
  </si>
  <si>
    <t>The Nutcracker</t>
  </si>
  <si>
    <t>Family|Fantasy|Music</t>
  </si>
  <si>
    <t>Darci Kistler</t>
  </si>
  <si>
    <t>Kyra Nichols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</si>
  <si>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</si>
  <si>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</si>
  <si>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</si>
  <si>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</si>
  <si>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Kansas City</t>
  </si>
  <si>
    <t>Crime|Drama|Music|Thriller</t>
  </si>
  <si>
    <t>1930s|election|female frontal nudity|kansas city|politician</t>
  </si>
  <si>
    <t>http://www.imdb.com/title/tt0116745/?ref_=fn_tt_tt_1</t>
  </si>
  <si>
    <t>Andrew Douglas</t>
  </si>
  <si>
    <t>The Amityville Horror</t>
  </si>
  <si>
    <t>ghost|haunted house|murder|nightmare|priest</t>
  </si>
  <si>
    <t>http://www.imdb.com/title/tt0384806/?ref_=fn_tt_tt_1</t>
  </si>
  <si>
    <t>Adaptation.</t>
  </si>
  <si>
    <t>book|orchid|screenwriter|thief|twin</t>
  </si>
  <si>
    <t>http://www.imdb.com/title/tt0268126/?ref_=fn_tt_tt_1</t>
  </si>
  <si>
    <t>George A. Romero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</si>
  <si>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</si>
  <si>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</si>
  <si>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</si>
  <si>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</si>
  <si>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Fear and Loathing in Las Vegas</t>
  </si>
  <si>
    <t>american dream|convertible|drugs|journalist|lawyer</t>
  </si>
  <si>
    <t>http://www.imdb.com/title/tt0120669/?ref_=fn_tt_tt_1</t>
  </si>
  <si>
    <t>Ricky Gervais</t>
  </si>
  <si>
    <t>The Invention of Lying</t>
  </si>
  <si>
    <t>genetics|heaven|lie|screenwriter|truth</t>
  </si>
  <si>
    <t>http://www.imdb.com/title/tt1058017/?ref_=fn_tt_tt_1</t>
  </si>
  <si>
    <t>Neighbors</t>
  </si>
  <si>
    <t>Carla Gallo</t>
  </si>
  <si>
    <t>broken leg|friendship|jewish|topless female nudity|urination</t>
  </si>
  <si>
    <t>http://www.imdb.com/title/tt2004420/?ref_=fn_tt_tt_1</t>
  </si>
  <si>
    <t>The Mask</t>
  </si>
  <si>
    <t>Amy Yasbeck</t>
  </si>
  <si>
    <t>bank|bank clerk|gangster|loki|mask</t>
  </si>
  <si>
    <t>http://www.imdb.com/title/tt0110475/?ref_=fn_tt_tt_1</t>
  </si>
  <si>
    <t>Big</t>
  </si>
  <si>
    <t>friend|job|new york city|toy|wish</t>
  </si>
  <si>
    <t>http://www.imdb.com/title/tt0094737/?ref_=fn_tt_tt_1</t>
  </si>
  <si>
    <t>Borat: Cultural Learnings of America for Make Benefit Glorious Nation of Kazakhstan</t>
  </si>
  <si>
    <t>Luenell</t>
  </si>
  <si>
    <t>Ken Davitian</t>
  </si>
  <si>
    <t>Chester</t>
  </si>
  <si>
    <t>california|city|kazakhstan|travel|tv reporter</t>
  </si>
  <si>
    <t>http://www.imdb.com/title/tt0443453/?ref_=fn_tt_tt_1</t>
  </si>
  <si>
    <t>Legally Blonde</t>
  </si>
  <si>
    <t>Raquel Welch</t>
  </si>
  <si>
    <t>Alanna Ubach</t>
  </si>
  <si>
    <t>blonde|harvard|law|law school|sorority</t>
  </si>
  <si>
    <t>http://www.imdb.com/title/tt0250494/?ref_=fn_tt_tt_1</t>
  </si>
  <si>
    <t>Star Trek III: The Search for Spock</t>
  </si>
  <si>
    <t>dying planet|planet|regaining one's memory|sacrifice|stabbed to death</t>
  </si>
  <si>
    <t>http://www.imdb.com/title/tt0088170/?ref_=fn_tt_tt_1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</si>
  <si>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</si>
  <si>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</si>
  <si>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</si>
  <si>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</si>
  <si>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</si>
  <si>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</si>
  <si>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</si>
  <si>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</si>
  <si>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Vic Armstrong</t>
  </si>
  <si>
    <t>Left Behind</t>
  </si>
  <si>
    <t>Action|Drama|Fantasy|Mystery|Thriller</t>
  </si>
  <si>
    <t>bible quote|chaos|faith|riot|shrine</t>
  </si>
  <si>
    <t>http://www.imdb.com/title/tt2467046/?ref_=fn_tt_tt_1</t>
  </si>
  <si>
    <t>The Family Stone</t>
  </si>
  <si>
    <t>Paul Schneider</t>
  </si>
  <si>
    <t>christmas|cruelty|ring|secret|tension</t>
  </si>
  <si>
    <t>http://www.imdb.com/title/tt0356680/?ref_=fn_tt_tt_1</t>
  </si>
  <si>
    <t>Barbershop 2: Back in Business</t>
  </si>
  <si>
    <t>Sean Patrick Thomas</t>
  </si>
  <si>
    <t>barbecue|barbershop|blaxploitation|marriage|politics</t>
  </si>
  <si>
    <t>http://www.imdb.com/title/tt0337579/?ref_=fn_tt_tt_1</t>
  </si>
  <si>
    <t>Terry Zwigoff</t>
  </si>
  <si>
    <t>Bad Santa</t>
  </si>
  <si>
    <t>bartender|christmas|christmas eve|department store|drink</t>
  </si>
  <si>
    <t>http://www.imdb.com/title/tt0307987/?ref_=fn_tt_tt_1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</si>
  <si>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</si>
  <si>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</si>
  <si>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</si>
  <si>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My Big Fat Greek Wedding 2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</si>
  <si>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</si>
  <si>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</si>
  <si>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</si>
  <si>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</si>
  <si>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</si>
  <si>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</si>
  <si>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</si>
  <si>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</si>
  <si>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Predator</t>
  </si>
  <si>
    <t>Carl Weathers</t>
  </si>
  <si>
    <t>box office hit|commando|death of friend|jungle|severed arm</t>
  </si>
  <si>
    <t>http://www.imdb.com/title/tt0093773/?ref_=fn_tt_tt_1</t>
  </si>
  <si>
    <t>Amadeus</t>
  </si>
  <si>
    <t>Biography|Drama|History|Music</t>
  </si>
  <si>
    <t>1800s|classical composer|composer|first person narration|opera</t>
  </si>
  <si>
    <t>http://www.imdb.com/title/tt0086879/?ref_=fn_tt_tt_1</t>
  </si>
  <si>
    <t>Nelson McCormick</t>
  </si>
  <si>
    <t>Prom Night</t>
  </si>
  <si>
    <t>Collins Pennie</t>
  </si>
  <si>
    <t>friend|hotel|killer|murder|prom</t>
  </si>
  <si>
    <t>http://www.imdb.com/title/tt0926129/?ref_=fn_tt_tt_1</t>
  </si>
  <si>
    <t>Mean Girls</t>
  </si>
  <si>
    <t>bully|clique|high school|high school girl|secret</t>
  </si>
  <si>
    <t>http://www.imdb.com/title/tt0377092/?ref_=fn_tt_tt_1</t>
  </si>
  <si>
    <t>Audrey Wells</t>
  </si>
  <si>
    <t>Under the Tuscan Sun</t>
  </si>
  <si>
    <t>Lindsay Duncan</t>
  </si>
  <si>
    <t>Mario Monicelli</t>
  </si>
  <si>
    <t>author|book|vacation|villa|writer</t>
  </si>
  <si>
    <t>http://www.imdb.com/title/tt0328589/?ref_=fn_tt_tt_1</t>
  </si>
  <si>
    <t>Gosford Park</t>
  </si>
  <si>
    <t>country house|murder|producer|servant|shooting party</t>
  </si>
  <si>
    <t>http://www.imdb.com/title/tt0280707/?ref_=fn_tt_tt_1</t>
  </si>
  <si>
    <t>Peggy Sue Got Married</t>
  </si>
  <si>
    <t>alternate history|alternate timeline|divorce|high school|reunion</t>
  </si>
  <si>
    <t>http://www.imdb.com/title/tt0091738/?ref_=fn_tt_tt_1</t>
  </si>
  <si>
    <t>Birdman or (The Unexpected Virtue of Ignorance)</t>
  </si>
  <si>
    <t>actor|artist|broadway play|replacement|stage</t>
  </si>
  <si>
    <t>http://www.imdb.com/title/tt2562232/?ref_=fn_tt_tt_1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</si>
  <si>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</si>
  <si>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</si>
  <si>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</si>
  <si>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</si>
  <si>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United 93</t>
  </si>
  <si>
    <t>Christian Clemenson</t>
  </si>
  <si>
    <t>David Alan Basche</t>
  </si>
  <si>
    <t>Susan Blommaert</t>
  </si>
  <si>
    <t>flight|passenger|plane|september 11 2001|terrorist</t>
  </si>
  <si>
    <t>http://www.imdb.com/title/tt0475276/?ref_=fn_tt_tt_1</t>
  </si>
  <si>
    <t>Bille Woodruff</t>
  </si>
  <si>
    <t>Honey</t>
  </si>
  <si>
    <t>Christian Monzon</t>
  </si>
  <si>
    <t>choreographer|dance|dancer|dancing|hip hop</t>
  </si>
  <si>
    <t>http://www.imdb.com/title/tt0322589/?ref_=fn_tt_tt_1</t>
  </si>
  <si>
    <t>Rick Friedberg</t>
  </si>
  <si>
    <t>Spy Hard</t>
  </si>
  <si>
    <t>Hulk Hogan</t>
  </si>
  <si>
    <t>Barry Bostwick</t>
  </si>
  <si>
    <t>Nicollette Sheridan</t>
  </si>
  <si>
    <t>1990s|dentist|hit with a door|martial arts|museum</t>
  </si>
  <si>
    <t>http://www.imdb.com/title/tt0117723/?ref_=fn_tt_tt_1</t>
  </si>
  <si>
    <t>The Fog</t>
  </si>
  <si>
    <t>california|fog|leper|lighthouse|ship</t>
  </si>
  <si>
    <t>http://www.imdb.com/title/tt0080749/?ref_=fn_tt_tt_1</t>
  </si>
  <si>
    <t>Sean McNamara</t>
  </si>
  <si>
    <t>Soul Surfer</t>
  </si>
  <si>
    <t>Biography|Drama|Family|Sport</t>
  </si>
  <si>
    <t>Chris Brochu</t>
  </si>
  <si>
    <t>christian|christian film|shark|surfer|surfing</t>
  </si>
  <si>
    <t>http://www.imdb.com/title/tt1596346/?ref_=fn_tt_tt_1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</si>
  <si>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</si>
  <si>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</si>
  <si>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</si>
  <si>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</si>
  <si>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</si>
  <si>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Conan the Destroyer</t>
  </si>
  <si>
    <t>Olivia d'Abo</t>
  </si>
  <si>
    <t>Grace Jones</t>
  </si>
  <si>
    <t>gods|princess|queen|rescue|wizard</t>
  </si>
  <si>
    <t>http://www.imdb.com/title/tt0087078/?ref_=fn_tt_tt_1</t>
  </si>
  <si>
    <t>Raging Bull</t>
  </si>
  <si>
    <t>Frank Vincent</t>
  </si>
  <si>
    <t>boxing|domestic violence|hot temper|jealousy|rage</t>
  </si>
  <si>
    <t>http://www.imdb.com/title/tt0081398/?ref_=fn_tt_tt_1</t>
  </si>
  <si>
    <t>Brandon Camp</t>
  </si>
  <si>
    <t>Love Happens</t>
  </si>
  <si>
    <t>Sasha Alexander</t>
  </si>
  <si>
    <t>florist|motivational speaker|self help guru|seminar|widower</t>
  </si>
  <si>
    <t>http://www.imdb.com/title/tt0899106/?ref_=fn_tt_tt_1</t>
  </si>
  <si>
    <t>Young Sherlock Holmes</t>
  </si>
  <si>
    <t>Adventure|Fantasy|Mystery|Thriller</t>
  </si>
  <si>
    <t>Nicholas Rowe</t>
  </si>
  <si>
    <t>Roger Ashton-Griffiths</t>
  </si>
  <si>
    <t>Freddie Jones</t>
  </si>
  <si>
    <t>cult|death|delusion|girl|sherlock holmes</t>
  </si>
  <si>
    <t>http://www.imdb.com/title/tt0090357/?ref_=fn_tt_tt_1</t>
  </si>
  <si>
    <t>Kevin Tancharoen</t>
  </si>
  <si>
    <t>Fame</t>
  </si>
  <si>
    <t>new york|performing arts|school|student|teacher</t>
  </si>
  <si>
    <t>http://www.imdb.com/title/tt1016075/?ref_=fn_tt_tt_1</t>
  </si>
  <si>
    <t>127 Hours</t>
  </si>
  <si>
    <t>alone|aron ralston|based on autobiography|canyon|survival</t>
  </si>
  <si>
    <t>http://www.imdb.com/title/tt1542344/?ref_=fn_tt_tt_1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</si>
  <si>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</si>
  <si>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</si>
  <si>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</si>
  <si>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Nicholas Hytner</t>
  </si>
  <si>
    <t>Center Stage</t>
  </si>
  <si>
    <t>Amanda Schull</t>
  </si>
  <si>
    <t>Susan May Pratt</t>
  </si>
  <si>
    <t>Ethan Stiefel</t>
  </si>
  <si>
    <t>ballet|dance|dancer|dancing|love</t>
  </si>
  <si>
    <t>http://www.imdb.com/title/tt0210616/?ref_=fn_tt_tt_1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</si>
  <si>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</si>
  <si>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</si>
  <si>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</si>
  <si>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</si>
  <si>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</si>
  <si>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Catch That Kid</t>
  </si>
  <si>
    <t>Corbin Bleu</t>
  </si>
  <si>
    <t>Kevin G. Schmidt</t>
  </si>
  <si>
    <t>caper|computer genius|dog|heist|security chief</t>
  </si>
  <si>
    <t>http://www.imdb.com/title/tt0337917/?ref_=fn_tt_tt_1</t>
  </si>
  <si>
    <t>Life as a House</t>
  </si>
  <si>
    <t>cancer|construction|house|house construction|neighbor</t>
  </si>
  <si>
    <t>http://www.imdb.com/title/tt0264796/?ref_=fn_tt_tt_1</t>
  </si>
  <si>
    <t>Steve Jobs</t>
  </si>
  <si>
    <t>apple computer|box office flop|computer|dialogue driven|father daughter relationship</t>
  </si>
  <si>
    <t>http://www.imdb.com/title/tt2080374/?ref_=fn_tt_tt_1</t>
  </si>
  <si>
    <t>I Love You, Beth Cooper</t>
  </si>
  <si>
    <t>Marie Avgeropoulos</t>
  </si>
  <si>
    <t>cheerleader|party|popular girl|speech|valedictorian</t>
  </si>
  <si>
    <t>http://www.imdb.com/title/tt1032815/?ref_=fn_tt_tt_1</t>
  </si>
  <si>
    <t>Youth in Revolt</t>
  </si>
  <si>
    <t>alter ego|boarding school|love|masturbation|teen movie</t>
  </si>
  <si>
    <t>http://www.imdb.com/title/tt0403702/?ref_=fn_tt_tt_1</t>
  </si>
  <si>
    <t>William A. Fraker</t>
  </si>
  <si>
    <t>The Legend of the Lone Ranger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</si>
  <si>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</si>
  <si>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</si>
  <si>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</si>
  <si>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</si>
  <si>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</si>
  <si>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The Tailor of Panama</t>
  </si>
  <si>
    <t>canal|panama|president|spy|tailor</t>
  </si>
  <si>
    <t>http://www.imdb.com/title/tt0236784/?ref_=fn_tt_tt_1</t>
  </si>
  <si>
    <t>Courtney Solomon</t>
  </si>
  <si>
    <t>Getaway</t>
  </si>
  <si>
    <t>Rebecca Budig</t>
  </si>
  <si>
    <t>Paul Freeman</t>
  </si>
  <si>
    <t>Bruce Payne</t>
  </si>
  <si>
    <t>die hard scenario|earth viewed from space|race against time|race car driver|title at the end</t>
  </si>
  <si>
    <t>http://www.imdb.com/title/tt2167202/?ref_=fn_tt_tt_1</t>
  </si>
  <si>
    <t>The Ice Storm</t>
  </si>
  <si>
    <t>ice|ice storm|storm|thanksgiving|virgin</t>
  </si>
  <si>
    <t>http://www.imdb.com/title/tt0119349/?ref_=fn_tt_tt_1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</si>
  <si>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</si>
  <si>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</si>
  <si>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</si>
  <si>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</si>
  <si>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</si>
  <si>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Troop Beverly Hills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</si>
  <si>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</si>
  <si>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</si>
  <si>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</si>
  <si>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</si>
  <si>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</si>
  <si>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Being Julia</t>
  </si>
  <si>
    <t>Shaun Evans</t>
  </si>
  <si>
    <t>Juliet Stevenson</t>
  </si>
  <si>
    <t>diva|marriage|open marriage|revenge|social climber</t>
  </si>
  <si>
    <t>http://www.imdb.com/title/tt0340012/?ref_=fn_tt_tt_1</t>
  </si>
  <si>
    <t>David Margulies</t>
  </si>
  <si>
    <t>Karen Young</t>
  </si>
  <si>
    <t>Kim Chan</t>
  </si>
  <si>
    <t>blindfolded woman|control|male dominance|sex game|sex in public</t>
  </si>
  <si>
    <t>http://www.imdb.com/title/tt0091635/?ref_=fn_tt_tt_1</t>
  </si>
  <si>
    <t>Matthew Robbins</t>
  </si>
  <si>
    <t>Dragonslayer</t>
  </si>
  <si>
    <t>Ralph Richardson</t>
  </si>
  <si>
    <t>Albert Salmi</t>
  </si>
  <si>
    <t>apprentice|dragon|king|kingdom|wizard</t>
  </si>
  <si>
    <t>http://www.imdb.com/title/tt0082288/?ref_=fn_tt_tt_1</t>
  </si>
  <si>
    <t>The Last Station</t>
  </si>
  <si>
    <t>David Masterson</t>
  </si>
  <si>
    <t>Kerry Condon</t>
  </si>
  <si>
    <t>countess|leo tolstoy|russian|wealth|writing</t>
  </si>
  <si>
    <t>http://www.imdb.com/title/tt0824758/?ref_=fn_tt_tt_1</t>
  </si>
  <si>
    <t>Ed Wood</t>
  </si>
  <si>
    <t>1950s|director|friend|friendship|transvestism</t>
  </si>
  <si>
    <t>http://www.imdb.com/title/tt0109707/?ref_=fn_tt_tt_1</t>
  </si>
  <si>
    <t>Labor Day</t>
  </si>
  <si>
    <t>baseball|baseball practice|escaped convict|neighbor|tied to a chair</t>
  </si>
  <si>
    <t>http://www.imdb.com/title/tt1967545/?ref_=fn_tt_tt_1</t>
  </si>
  <si>
    <t>Mongol: The Rise of Genghis Khan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</si>
  <si>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</si>
  <si>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</si>
  <si>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</si>
  <si>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</si>
  <si>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</si>
  <si>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RocknRolla</t>
  </si>
  <si>
    <t>accountant|finger gun|homosexual|killed in an elevator|painting</t>
  </si>
  <si>
    <t>http://www.imdb.com/title/tt1032755/?ref_=fn_tt_tt_1</t>
  </si>
  <si>
    <t>Hal Needham</t>
  </si>
  <si>
    <t>Megaforce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</si>
  <si>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</si>
  <si>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</si>
  <si>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</si>
  <si>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</si>
  <si>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Hamlet</t>
  </si>
  <si>
    <t>Julie Christie</t>
  </si>
  <si>
    <t>classic literature|denmark|funeral|madness|prince</t>
  </si>
  <si>
    <t>http://www.imdb.com/title/tt0116477/?ref_=fn_tt_tt_1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</si>
  <si>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</si>
  <si>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</si>
  <si>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</si>
  <si>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</si>
  <si>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</si>
  <si>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</si>
  <si>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</t>
  </si>
  <si>
    <t>love at first sight|new york city|sex|teacher|writer</t>
  </si>
  <si>
    <t>http://www.imdb.com/title/tt0313792/?ref_=fn_tt_tt_1</t>
  </si>
  <si>
    <t>Jonathan Teplitzky</t>
  </si>
  <si>
    <t>The Railway Man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</si>
  <si>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</si>
  <si>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</si>
  <si>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</si>
  <si>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</si>
  <si>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</si>
  <si>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The White Ribbon</t>
  </si>
  <si>
    <t>Ulrich Tukur</t>
  </si>
  <si>
    <t>Burghart KlauÃŸner</t>
  </si>
  <si>
    <t>Leonie Benesch</t>
  </si>
  <si>
    <t>children|doctor|mysterious event|pastor|small village</t>
  </si>
  <si>
    <t>http://www.imdb.com/title/tt1149362/?ref_=fn_tt_tt_1</t>
  </si>
  <si>
    <t>Mike Marvin</t>
  </si>
  <si>
    <t>The Wraith</t>
  </si>
  <si>
    <t>Action|Horror|Romance|Sci-Fi|Thriller</t>
  </si>
  <si>
    <t>arizona|death|gang|police|sheriff</t>
  </si>
  <si>
    <t>http://www.imdb.com/title/tt0092240/?ref_=fn_tt_tt_1</t>
  </si>
  <si>
    <t>The Salton Sea</t>
  </si>
  <si>
    <t>male in shower|murder|neighbor neighbor relationship|remote control car|sex scene</t>
  </si>
  <si>
    <t>http://www.imdb.com/title/tt0235737/?ref_=fn_tt_tt_1</t>
  </si>
  <si>
    <t>Lance Hool</t>
  </si>
  <si>
    <t>One Man's Hero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</si>
  <si>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</si>
  <si>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</si>
  <si>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</si>
  <si>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</si>
  <si>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Christian Volckman</t>
  </si>
  <si>
    <t>Renaissance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</si>
  <si>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</si>
  <si>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</si>
  <si>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</si>
  <si>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</si>
  <si>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Superbad</t>
  </si>
  <si>
    <t>black comedy|bromance|party|school|teen comedy</t>
  </si>
  <si>
    <t>http://www.imdb.com/title/tt0829482/?ref_=fn_tt_tt_1</t>
  </si>
  <si>
    <t>Step Up 2: The Streets</t>
  </si>
  <si>
    <t>Cassie Ventura</t>
  </si>
  <si>
    <t>Mari Koda</t>
  </si>
  <si>
    <t>Luis Rosado</t>
  </si>
  <si>
    <t>audition|dance|kissing in the rain|student|subway</t>
  </si>
  <si>
    <t>http://www.imdb.com/title/tt1023481/?ref_=fn_tt_tt_1</t>
  </si>
  <si>
    <t>Cory Edwards</t>
  </si>
  <si>
    <t>Hoodwinked!</t>
  </si>
  <si>
    <t>Action|Animation|Comedy|Crime|Family</t>
  </si>
  <si>
    <t>animal|axe|red riding hood|wolf|woodsman</t>
  </si>
  <si>
    <t>http://www.imdb.com/title/tt0443536/?ref_=fn_tt_tt_1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</si>
  <si>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</si>
  <si>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</si>
  <si>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</si>
  <si>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</si>
  <si>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</si>
  <si>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</si>
  <si>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Hitman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</si>
  <si>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</si>
  <si>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</si>
  <si>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</si>
  <si>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</si>
  <si>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Black Nativity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</si>
  <si>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</si>
  <si>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</si>
  <si>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</si>
  <si>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</si>
  <si>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</si>
  <si>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City of Ghosts</t>
  </si>
  <si>
    <t>Kirk Fox</t>
  </si>
  <si>
    <t>Shawn Andrews</t>
  </si>
  <si>
    <t>Rob Campbell</t>
  </si>
  <si>
    <t>bag over head|buddhist temple|loss of friend|male bonding|nightclub</t>
  </si>
  <si>
    <t>http://www.imdb.com/title/tt0164003/?ref_=fn_tt_tt_1</t>
  </si>
  <si>
    <t>The Others</t>
  </si>
  <si>
    <t>Elaine Cassidy</t>
  </si>
  <si>
    <t>Eric Sykes</t>
  </si>
  <si>
    <t>curtain|haunting|mansion|mute|xeroderma pigmentosum</t>
  </si>
  <si>
    <t>http://www.imdb.com/title/tt0230600/?ref_=fn_tt_tt_1</t>
  </si>
  <si>
    <t>Aliens</t>
  </si>
  <si>
    <t>Carrie Henn</t>
  </si>
  <si>
    <t>alien|human versus alien|monster|rescue mission|space marine</t>
  </si>
  <si>
    <t>http://www.imdb.com/title/tt0090605/?ref_=fn_tt_tt_1</t>
  </si>
  <si>
    <t>George Cukor</t>
  </si>
  <si>
    <t>My Fair Lady</t>
  </si>
  <si>
    <t>Drama|Family|Musical|Romance</t>
  </si>
  <si>
    <t>Jeremy Brett</t>
  </si>
  <si>
    <t>Rex Harrison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</si>
  <si>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</si>
  <si>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</si>
  <si>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</si>
  <si>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</si>
  <si>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</t>
  </si>
  <si>
    <t>beach|corpse|fourth of july|overalls|revenge</t>
  </si>
  <si>
    <t>http://www.imdb.com/title/tt0119345/?ref_=fn_tt_tt_1</t>
  </si>
  <si>
    <t>Let's Be Cops</t>
  </si>
  <si>
    <t>friendship between men|impersonating a police officer|mobster|party|police officer</t>
  </si>
  <si>
    <t>http://www.imdb.com/title/tt1924435/?ref_=fn_tt_tt_1</t>
  </si>
  <si>
    <t>Sideways</t>
  </si>
  <si>
    <t>Patrick Gallagher</t>
  </si>
  <si>
    <t>actor|california|teacher|wine|writer</t>
  </si>
  <si>
    <t>http://www.imdb.com/title/tt0375063/?ref_=fn_tt_tt_1</t>
  </si>
  <si>
    <t>Beerfest</t>
  </si>
  <si>
    <t>Chris Moss</t>
  </si>
  <si>
    <t>Owain Yeoman</t>
  </si>
  <si>
    <t>beer|competition|germany|oktoberfest|prostitute</t>
  </si>
  <si>
    <t>http://www.imdb.com/title/tt0486551/?ref_=fn_tt_tt_1</t>
  </si>
  <si>
    <t>Halloween</t>
  </si>
  <si>
    <t>P.J. Soles</t>
  </si>
  <si>
    <t>halloween|masked killer|michael myers|slasher|trick or treat</t>
  </si>
  <si>
    <t>http://www.imdb.com/title/tt0077651/?ref_=fn_tt_tt_1</t>
  </si>
  <si>
    <t>John Hoffman</t>
  </si>
  <si>
    <t>Good Boy!</t>
  </si>
  <si>
    <t>Comedy|Drama|Family|Fantasy|Sci-Fi</t>
  </si>
  <si>
    <t>dog|friend|neighborhood|planet|star</t>
  </si>
  <si>
    <t>http://www.imdb.com/title/tt0326900/?ref_=fn_tt_tt_1</t>
  </si>
  <si>
    <t>The Best Man Holiday</t>
  </si>
  <si>
    <t>childbirth|christmas|gay slur|infidelity|punched in the nose</t>
  </si>
  <si>
    <t>http://www.imdb.com/title/tt2083355/?ref_=fn_tt_tt_1</t>
  </si>
  <si>
    <t>Smokin' Aces</t>
  </si>
  <si>
    <t>casino|fbi|mafia|mob hit|sniper</t>
  </si>
  <si>
    <t>http://www.imdb.com/title/tt0475394/?ref_=fn_tt_tt_1</t>
  </si>
  <si>
    <t>Kevin Greutert</t>
  </si>
  <si>
    <t>Saw 3D: The Final Chapter</t>
  </si>
  <si>
    <t>Betsy Russell</t>
  </si>
  <si>
    <t>blood splatter|self help guru|sequel|support group|survivor</t>
  </si>
  <si>
    <t>http://www.imdb.com/title/tt1477076/?ref_=fn_tt_tt_1</t>
  </si>
  <si>
    <t>40 Days and 40 Nights</t>
  </si>
  <si>
    <t>female on male rape|lent|male rear nudity|masturbation|sex</t>
  </si>
  <si>
    <t>http://www.imdb.com/title/tt0243736/?ref_=fn_tt_tt_1</t>
  </si>
  <si>
    <t>John Fortenberry</t>
  </si>
  <si>
    <t>A Night at the Roxbury</t>
  </si>
  <si>
    <t>Comedy|Music|Romance</t>
  </si>
  <si>
    <t>Chris Kattan</t>
  </si>
  <si>
    <t>1990s|bar|car accident|nightclub|whipped cream</t>
  </si>
  <si>
    <t>http://www.imdb.com/title/tt0120770/?ref_=fn_tt_tt_1</t>
  </si>
  <si>
    <t>Daniel Barnz</t>
  </si>
  <si>
    <t>Beastly</t>
  </si>
  <si>
    <t>Erik Knudsen</t>
  </si>
  <si>
    <t>love|maid|newscaster|student|tutor</t>
  </si>
  <si>
    <t>http://www.imdb.com/title/tt1152398/?ref_=fn_tt_tt_1</t>
  </si>
  <si>
    <t>The Hills Have Eyes</t>
  </si>
  <si>
    <t>Greg Nicotero</t>
  </si>
  <si>
    <t>desert|horror movie remake|murder of family|rape|slasher</t>
  </si>
  <si>
    <t>http://www.imdb.com/title/tt0454841/?ref_=fn_tt_tt_1</t>
  </si>
  <si>
    <t>Dickie Roberts: Former Child Star</t>
  </si>
  <si>
    <t>dental braces|dental headgear|former child star|panties|white panties</t>
  </si>
  <si>
    <t>http://www.imdb.com/title/tt0325258/?ref_=fn_tt_tt_1</t>
  </si>
  <si>
    <t>McFarland, USA</t>
  </si>
  <si>
    <t>Morgan Saylor</t>
  </si>
  <si>
    <t>Valente Rodriguez</t>
  </si>
  <si>
    <t>Diana Maria Riva</t>
  </si>
  <si>
    <t>coach|high school|place name in title|school|student</t>
  </si>
  <si>
    <t>http://www.imdb.com/title/tt2097298/?ref_=fn_tt_tt_1</t>
  </si>
  <si>
    <t>Jason Moore</t>
  </si>
  <si>
    <t>Pitch Perfect</t>
  </si>
  <si>
    <t>Ben Platt</t>
  </si>
  <si>
    <t>a cappella|competition|dj|female protagonist|lesbian</t>
  </si>
  <si>
    <t>http://www.imdb.com/title/tt1981677/?ref_=fn_tt_tt_1</t>
  </si>
  <si>
    <t>Summer Catch</t>
  </si>
  <si>
    <t>baseball|baseball player|night|rivalry|summer</t>
  </si>
  <si>
    <t>http://www.imdb.com/title/tt0234829/?ref_=fn_tt_tt_1</t>
  </si>
  <si>
    <t>A Simple Plan</t>
  </si>
  <si>
    <t>bag of money|found money|minnesota|screenplay adapted by author|snow</t>
  </si>
  <si>
    <t>http://www.imdb.com/title/tt0120324/?ref_=fn_tt_tt_1</t>
  </si>
  <si>
    <t>Robert Harmon</t>
  </si>
  <si>
    <t>They</t>
  </si>
  <si>
    <t>darkness|friend|kiss|nightmare|suicide</t>
  </si>
  <si>
    <t>http://www.imdb.com/title/tt0283632/?ref_=fn_tt_tt_1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</si>
  <si>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</si>
  <si>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</si>
  <si>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</si>
  <si>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</si>
  <si>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</si>
  <si>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Gary Halvorson</t>
  </si>
  <si>
    <t>The Adventures of Elmo in Grouchland</t>
  </si>
  <si>
    <t>Adventure|Comedy|Family|Fantasy|Musical</t>
  </si>
  <si>
    <t>Kevin Clash</t>
  </si>
  <si>
    <t>Caroll Spinney</t>
  </si>
  <si>
    <t>based on tv series|blanket|box office flop|rescue|sesame street</t>
  </si>
  <si>
    <t>http://www.imdb.com/title/tt0159421/?ref_=fn_tt_tt_1</t>
  </si>
  <si>
    <t>Brooklyn's Finest</t>
  </si>
  <si>
    <t>catholic|corrupt cop|new york city|police detective|police officer killed</t>
  </si>
  <si>
    <t>http://www.imdb.com/title/tt1210042/?ref_=fn_tt_tt_1</t>
  </si>
  <si>
    <t>Fede Alvarez</t>
  </si>
  <si>
    <t>Evil Dead</t>
  </si>
  <si>
    <t>Lou Taylor Pucci</t>
  </si>
  <si>
    <t>Elizabeth Blackmore</t>
  </si>
  <si>
    <t>Ellen Sandweiss</t>
  </si>
  <si>
    <t>book of the dead|demon|h.p. lovecraft|lesbian kiss|promise</t>
  </si>
  <si>
    <t>http://www.imdb.com/title/tt1288558/?ref_=fn_tt_tt_1</t>
  </si>
  <si>
    <t>My Life in Ruins</t>
  </si>
  <si>
    <t>Harland Williams</t>
  </si>
  <si>
    <t>Rachel Dratch</t>
  </si>
  <si>
    <t>greece|greek|tour bus|tour guide|tourist</t>
  </si>
  <si>
    <t>http://www.imdb.com/title/tt0865559/?ref_=fn_tt_tt_1</t>
  </si>
  <si>
    <t>American Dreamz</t>
  </si>
  <si>
    <t>chief of staff|contest|president|singing|terrorist</t>
  </si>
  <si>
    <t>http://www.imdb.com/title/tt0465142/?ref_=fn_tt_tt_1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</si>
  <si>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</si>
  <si>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</si>
  <si>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</si>
  <si>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</si>
  <si>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</si>
  <si>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</si>
  <si>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</si>
  <si>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</si>
  <si>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Jim Goddard</t>
  </si>
  <si>
    <t>Shanghai Surprise</t>
  </si>
  <si>
    <t>Adventure|Crime|Drama|Romance</t>
  </si>
  <si>
    <t>Clyde Kusatsu</t>
  </si>
  <si>
    <t>china|missionary|opium|villain|year 1937</t>
  </si>
  <si>
    <t>http://www.imdb.com/title/tt0091934/?ref_=fn_tt_tt_1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</si>
  <si>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</si>
  <si>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</si>
  <si>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</si>
  <si>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</si>
  <si>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Noel Marshall</t>
  </si>
  <si>
    <t>Roar</t>
  </si>
  <si>
    <t>Tippi Hedren</t>
  </si>
  <si>
    <t>chase|dead man|jungle|killing a lion|killing a tiger</t>
  </si>
  <si>
    <t>http://www.imdb.com/title/tt0083001/?ref_=fn_tt_tt_1</t>
  </si>
  <si>
    <t>Veronica Guerin</t>
  </si>
  <si>
    <t>Biography|Crime|Drama|Thriller</t>
  </si>
  <si>
    <t>Brenda Fricker</t>
  </si>
  <si>
    <t>David Murray</t>
  </si>
  <si>
    <t>Gerard McSorley</t>
  </si>
  <si>
    <t>criminal|drug lord|gunshot|irish|journalist</t>
  </si>
  <si>
    <t>http://www.imdb.com/title/tt0312549/?ref_=fn_tt_tt_1</t>
  </si>
  <si>
    <t>Southland Tales</t>
  </si>
  <si>
    <t>Comedy|Mystery|Sci-Fi|Thriller</t>
  </si>
  <si>
    <t>Chris Andrew Ciulla</t>
  </si>
  <si>
    <t>amnesia|boxer|conspiracy|police|porn star</t>
  </si>
  <si>
    <t>http://www.imdb.com/title/tt0405336/?ref_=fn_tt_tt_1</t>
  </si>
  <si>
    <t>Todd Lincoln</t>
  </si>
  <si>
    <t>The Apparition</t>
  </si>
  <si>
    <t>Julianna Guill</t>
  </si>
  <si>
    <t>Rick Gomez</t>
  </si>
  <si>
    <t>Tim Williams</t>
  </si>
  <si>
    <t>e mail|evil spirit|experiment|fear|supernatural</t>
  </si>
  <si>
    <t>http://www.imdb.com/title/tt1433822/?ref_=fn_tt_tt_1</t>
  </si>
  <si>
    <t>Howard Zieff</t>
  </si>
  <si>
    <t>My Girl</t>
  </si>
  <si>
    <t>best friend|funeral|girl|overalls|summer</t>
  </si>
  <si>
    <t>http://www.imdb.com/title/tt0102492/?ref_=fn_tt_tt_1</t>
  </si>
  <si>
    <t>Steven Shainberg</t>
  </si>
  <si>
    <t>Fur: An Imaginary Portrait of Diane Arbus</t>
  </si>
  <si>
    <t>Matt Servitto</t>
  </si>
  <si>
    <t>character name in title|diane arbus|male full frontal nudity|photographer|pubic hair</t>
  </si>
  <si>
    <t>http://www.imdb.com/title/tt0422295/?ref_=fn_tt_tt_1</t>
  </si>
  <si>
    <t>Wall Street</t>
  </si>
  <si>
    <t>Tamara Tunie</t>
  </si>
  <si>
    <t>1980s|argument|critique of capitalism|f word|fired from the job</t>
  </si>
  <si>
    <t>http://www.imdb.com/title/tt0094291/?ref_=fn_tt_tt_1</t>
  </si>
  <si>
    <t>Sense and Sensibility</t>
  </si>
  <si>
    <t>1810s|female protagonist|horseback riding|inheritance|three word title</t>
  </si>
  <si>
    <t>http://www.imdb.com/title/tt0114388/?ref_=fn_tt_tt_1</t>
  </si>
  <si>
    <t>Julian Jarrold</t>
  </si>
  <si>
    <t>Becoming Jane</t>
  </si>
  <si>
    <t>Laurence Fox</t>
  </si>
  <si>
    <t>country estate|jane austen|lady|love|writing</t>
  </si>
  <si>
    <t>http://www.imdb.com/title/tt0416508/?ref_=fn_tt_tt_1</t>
  </si>
  <si>
    <t>Joe Nussbaum</t>
  </si>
  <si>
    <t>Sydney White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</si>
  <si>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</si>
  <si>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</si>
  <si>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</si>
  <si>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</si>
  <si>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</si>
  <si>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</t>
  </si>
  <si>
    <t>auction|home|house|iranian|marriage</t>
  </si>
  <si>
    <t>http://www.imdb.com/title/tt0315983/?ref_=fn_tt_tt_1</t>
  </si>
  <si>
    <t>Dead Poets Society</t>
  </si>
  <si>
    <t>education|english teacher|poet|professor|student</t>
  </si>
  <si>
    <t>http://www.imdb.com/title/tt0097165/?ref_=fn_tt_tt_1</t>
  </si>
  <si>
    <t>Peter Farrelly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</si>
  <si>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</si>
  <si>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</si>
  <si>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</si>
  <si>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</t>
  </si>
  <si>
    <t>Bruno Kirby</t>
  </si>
  <si>
    <t>Gretchen Palmer</t>
  </si>
  <si>
    <t>Harley Jane Kozak</t>
  </si>
  <si>
    <t>friendship|love|male female friendship|new york|sex</t>
  </si>
  <si>
    <t>http://www.imdb.com/title/tt0098635/?ref_=fn_tt_tt_1</t>
  </si>
  <si>
    <t>The Verdict</t>
  </si>
  <si>
    <t>James Mason</t>
  </si>
  <si>
    <t>Jack Warden</t>
  </si>
  <si>
    <t>archdiocese|court|hospital|lawyer|malpractice</t>
  </si>
  <si>
    <t>http://www.imdb.com/title/tt0084855/?ref_=fn_tt_tt_1</t>
  </si>
  <si>
    <t>Road Trip</t>
  </si>
  <si>
    <t>blonde|college|friend|highway travel|road trip</t>
  </si>
  <si>
    <t>http://www.imdb.com/title/tt0215129/?ref_=fn_tt_tt_1</t>
  </si>
  <si>
    <t>Varsity Blues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</si>
  <si>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</si>
  <si>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</si>
  <si>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</si>
  <si>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</si>
  <si>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</si>
  <si>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</si>
  <si>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</si>
  <si>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</si>
  <si>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The Unborn</t>
  </si>
  <si>
    <t>Rachel Brosnahan</t>
  </si>
  <si>
    <t>babysitting|experiment|nightmare|possession|twin</t>
  </si>
  <si>
    <t>http://www.imdb.com/title/tt1139668/?ref_=fn_tt_tt_1</t>
  </si>
  <si>
    <t>Moonrise Kingdom</t>
  </si>
  <si>
    <t>1960s|boy scouts|boy scouts camp|coming of age|young love</t>
  </si>
  <si>
    <t>http://www.imdb.com/title/tt1748122/?ref_=fn_tt_tt_1</t>
  </si>
  <si>
    <t>The Texas Chainsaw Massacre: The Beginning</t>
  </si>
  <si>
    <t>cannibal|car accident|leatherface|psychopath|slaughterhouse</t>
  </si>
  <si>
    <t>http://www.imdb.com/title/tt0420294/?ref_=fn_tt_tt_1</t>
  </si>
  <si>
    <t>Cyrus Nowrasteh</t>
  </si>
  <si>
    <t>The Young Messiah</t>
  </si>
  <si>
    <t>Vincent Walsh</t>
  </si>
  <si>
    <t>Finn Ireland</t>
  </si>
  <si>
    <t>based on novel</t>
  </si>
  <si>
    <t>http://www.imdb.com/title/tt1002563/?ref_=fn_tt_tt_1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</si>
  <si>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</si>
  <si>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</si>
  <si>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</si>
  <si>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</si>
  <si>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Pan's Labyrinth</t>
  </si>
  <si>
    <t>Drama|Fantasy|War</t>
  </si>
  <si>
    <t>Ivana Baquero</t>
  </si>
  <si>
    <t>Maribel VerdÃº</t>
  </si>
  <si>
    <t>Sergi LÃ³pez</t>
  </si>
  <si>
    <t>fairy|fairy tale|faun|princess|spain</t>
  </si>
  <si>
    <t>http://www.imdb.com/title/tt0457430/?ref_=fn_tt_tt_1</t>
  </si>
  <si>
    <t>See Spot Run</t>
  </si>
  <si>
    <t>Action|Comedy|Crime|Family</t>
  </si>
  <si>
    <t>boy|fbi|mailman|van|witness protection</t>
  </si>
  <si>
    <t>http://www.imdb.com/title/tt0250720/?ref_=fn_tt_tt_1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</si>
  <si>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</si>
  <si>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</si>
  <si>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</si>
  <si>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</si>
  <si>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</si>
  <si>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</si>
  <si>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</si>
  <si>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</si>
  <si>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Joe Dirt</t>
  </si>
  <si>
    <t>first part|grand canyon|highway travel|indian|janitor</t>
  </si>
  <si>
    <t>http://www.imdb.com/title/tt0245686/?ref_=fn_tt_tt_1</t>
  </si>
  <si>
    <t>Sheldon Lettich</t>
  </si>
  <si>
    <t>Double Impact</t>
  </si>
  <si>
    <t>Bolo Yeung</t>
  </si>
  <si>
    <t>Alonna Shaw</t>
  </si>
  <si>
    <t>Kamel Krifa</t>
  </si>
  <si>
    <t>boat|hong kong|murder|tunnel|twins</t>
  </si>
  <si>
    <t>http://www.imdb.com/title/tt0101764/?ref_=fn_tt_tt_1</t>
  </si>
  <si>
    <t>Hot Fuzz</t>
  </si>
  <si>
    <t>Action|Comedy|Mystery</t>
  </si>
  <si>
    <t>Joe Cornish</t>
  </si>
  <si>
    <t>Billie Whitelaw</t>
  </si>
  <si>
    <t>accident|conspiracy|police|police officer|village</t>
  </si>
  <si>
    <t>http://www.imdb.com/title/tt0425112/?ref_=fn_tt_tt_1</t>
  </si>
  <si>
    <t>Diane English</t>
  </si>
  <si>
    <t>The Women</t>
  </si>
  <si>
    <t>beauty salon|divorce|fashion|new york|perfume</t>
  </si>
  <si>
    <t>http://www.imdb.com/title/tt0430770/?ref_=fn_tt_tt_1</t>
  </si>
  <si>
    <t>Vicky Cristina Barcelona</t>
  </si>
  <si>
    <t>art|artist|painter|sex|summer</t>
  </si>
  <si>
    <t>http://www.imdb.com/title/tt0497465/?ref_=fn_tt_tt_1</t>
  </si>
  <si>
    <t>Robert Iscove</t>
  </si>
  <si>
    <t>Boys and Girls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</si>
  <si>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</si>
  <si>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</si>
  <si>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</si>
  <si>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</si>
  <si>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</t>
  </si>
  <si>
    <t>Marc Donato</t>
  </si>
  <si>
    <t>california|foster home|love|oleander|prison</t>
  </si>
  <si>
    <t>http://www.imdb.com/title/tt0283139/?ref_=fn_tt_tt_1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</si>
  <si>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</si>
  <si>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</si>
  <si>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</si>
  <si>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</si>
  <si>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Drowning Mona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</si>
  <si>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</si>
  <si>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</si>
  <si>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</si>
  <si>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</si>
  <si>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Radio Days</t>
  </si>
  <si>
    <t>Don Pardo</t>
  </si>
  <si>
    <t>beach|cigarette girl|radio|woman holding a baby|working class</t>
  </si>
  <si>
    <t>http://www.imdb.com/title/tt0093818/?ref_=fn_tt_tt_1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</si>
  <si>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</si>
  <si>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</si>
  <si>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</si>
  <si>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</si>
  <si>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</si>
  <si>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Clare Kilner</t>
  </si>
  <si>
    <t>How to Deal</t>
  </si>
  <si>
    <t>Alexandra Holden</t>
  </si>
  <si>
    <t>Trent Ford</t>
  </si>
  <si>
    <t>best friend|high school|mother|sister|wedding</t>
  </si>
  <si>
    <t>http://www.imdb.com/title/tt0319524/?ref_=fn_tt_tt_1</t>
  </si>
  <si>
    <t>My Stepmother Is an Alien</t>
  </si>
  <si>
    <t>alien|earth|female alien|mission|secret</t>
  </si>
  <si>
    <t>http://www.imdb.com/title/tt0095687/?ref_=fn_tt_tt_1</t>
  </si>
  <si>
    <t>Philadelphia</t>
  </si>
  <si>
    <t>aids|city name in title|gay|homophobia|lawyer</t>
  </si>
  <si>
    <t>http://www.imdb.com/title/tt0107818/?ref_=fn_tt_tt_1</t>
  </si>
  <si>
    <t>Josef Rusnak</t>
  </si>
  <si>
    <t>The Thirteenth Floor</t>
  </si>
  <si>
    <t>Brad William Henke</t>
  </si>
  <si>
    <t>amnesia|barricade|letter|time|virtual reality</t>
  </si>
  <si>
    <t>http://www.imdb.com/title/tt0139809/?ref_=fn_tt_tt_1</t>
  </si>
  <si>
    <t>Bruce Paltrow</t>
  </si>
  <si>
    <t>Duets</t>
  </si>
  <si>
    <t>convict|karaoke|middle america|salesman|singer</t>
  </si>
  <si>
    <t>http://www.imdb.com/title/tt0134630/?ref_=fn_tt_tt_1</t>
  </si>
  <si>
    <t>Hollywood Ending</t>
  </si>
  <si>
    <t>blind|director|psychosomatic blindness|self deprecating|studio</t>
  </si>
  <si>
    <t>http://www.imdb.com/title/tt0278823/?ref_=fn_tt_tt_1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</si>
  <si>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</si>
  <si>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</si>
  <si>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</si>
  <si>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</si>
  <si>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</si>
  <si>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Highlander</t>
  </si>
  <si>
    <t>Jon Polito</t>
  </si>
  <si>
    <t>combat|head cut off|immortal|scotland|swordsman</t>
  </si>
  <si>
    <t>http://www.imdb.com/title/tt0091203/?ref_=fn_tt_tt_1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</si>
  <si>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</si>
  <si>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</si>
  <si>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</si>
  <si>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</si>
  <si>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</si>
  <si>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Kenneth Johnson</t>
  </si>
  <si>
    <t>Steel</t>
  </si>
  <si>
    <t>Action|Crime|Sci-Fi</t>
  </si>
  <si>
    <t>fight|gang|junkyard|military|soldier</t>
  </si>
  <si>
    <t>http://www.imdb.com/title/tt0120207/?ref_=fn_tt_tt_1</t>
  </si>
  <si>
    <t>The Immigrant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</si>
  <si>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</si>
  <si>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</si>
  <si>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</si>
  <si>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</si>
  <si>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</t>
  </si>
  <si>
    <t>Lynn Redgrave</t>
  </si>
  <si>
    <t>countess|diplomat|japanese|russian|shanghai</t>
  </si>
  <si>
    <t>http://www.imdb.com/title/tt0384686/?ref_=fn_tt_tt_1</t>
  </si>
  <si>
    <t>Trance</t>
  </si>
  <si>
    <t>Tuppence Middleton</t>
  </si>
  <si>
    <t>amnesia|criminal|heist|hypnotherapy|lost painting</t>
  </si>
  <si>
    <t>http://www.imdb.com/title/tt1924429/?ref_=fn_tt_tt_1</t>
  </si>
  <si>
    <t>Jessy Terrero</t>
  </si>
  <si>
    <t>Soul Plane</t>
  </si>
  <si>
    <t>airline|airplane|bathroom|sex|toilet</t>
  </si>
  <si>
    <t>http://www.imdb.com/title/tt0367085/?ref_=fn_tt_tt_1</t>
  </si>
  <si>
    <t>Vicente Amorim</t>
  </si>
  <si>
    <t>Good</t>
  </si>
  <si>
    <t>Jodie Whittaker</t>
  </si>
  <si>
    <t>censorship|children|corpse|heil hitler|suffering</t>
  </si>
  <si>
    <t>http://www.imdb.com/title/tt0436364/?ref_=fn_tt_tt_1</t>
  </si>
  <si>
    <t>Gaspar NoÃ©</t>
  </si>
  <si>
    <t>Enter the Void</t>
  </si>
  <si>
    <t>Paz de la Huerta</t>
  </si>
  <si>
    <t>Emily Alyn Lind</t>
  </si>
  <si>
    <t>drug deal|drugs|explicit sex|love|stripper</t>
  </si>
  <si>
    <t>http://www.imdb.com/title/tt1191111/?ref_=fn_tt_tt_1</t>
  </si>
  <si>
    <t>Vamps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</si>
  <si>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</si>
  <si>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</si>
  <si>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</si>
  <si>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</si>
  <si>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</si>
  <si>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</si>
  <si>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</si>
  <si>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</si>
  <si>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Jesse Vaughan</t>
  </si>
  <si>
    <t>Juwanna Mann</t>
  </si>
  <si>
    <t>basketball|dodge viper|hit in the crotch|male nudity|the star spangled banner</t>
  </si>
  <si>
    <t>http://www.imdb.com/title/tt0247444/?ref_=fn_tt_tt_1</t>
  </si>
  <si>
    <t>Wayne Beach</t>
  </si>
  <si>
    <t>Slow Burn</t>
  </si>
  <si>
    <t>district attorney|interview|murder|prosecutor|reporter</t>
  </si>
  <si>
    <t>http://www.imdb.com/title/tt0376196/?ref_=fn_tt_tt_1</t>
  </si>
  <si>
    <t>GÃ©rard Krawczyk</t>
  </si>
  <si>
    <t>Wasabi</t>
  </si>
  <si>
    <t>Carole Bouquet</t>
  </si>
  <si>
    <t>RyÃ´ko Hirosue</t>
  </si>
  <si>
    <t>Michel Muller</t>
  </si>
  <si>
    <t>french|inheritance|japan|letter|police detective hero</t>
  </si>
  <si>
    <t>http://www.imdb.com/title/tt0281364/?ref_=fn_tt_tt_1</t>
  </si>
  <si>
    <t>Slither</t>
  </si>
  <si>
    <t>Comedy|Horror|Sci-Fi</t>
  </si>
  <si>
    <t>Dustin Milligan</t>
  </si>
  <si>
    <t>alien|b movie|sex|slug|small town</t>
  </si>
  <si>
    <t>http://www.imdb.com/title/tt0439815/?ref_=fn_tt_tt_1</t>
  </si>
  <si>
    <t>Beverly Hills Cop</t>
  </si>
  <si>
    <t>drug dealer|drugs|murder|police brutality|police shootout</t>
  </si>
  <si>
    <t>http://www.imdb.com/title/tt0086960/?ref_=fn_tt_tt_1</t>
  </si>
  <si>
    <t>Home Alone</t>
  </si>
  <si>
    <t>airport|child protagonist|child swearing|christmas|home alone</t>
  </si>
  <si>
    <t>http://www.imdb.com/title/tt0099785/?ref_=fn_tt_tt_1</t>
  </si>
  <si>
    <t>3 Men and a Baby</t>
  </si>
  <si>
    <t>1980s|baby|heroin|package|questioned by police</t>
  </si>
  <si>
    <t>http://www.imdb.com/title/tt0094137/?ref_=fn_tt_tt_1</t>
  </si>
  <si>
    <t>Tootsie</t>
  </si>
  <si>
    <t>actor|actress|friend|love|reputation</t>
  </si>
  <si>
    <t>http://www.imdb.com/title/tt0084805/?ref_=fn_tt_tt_1</t>
  </si>
  <si>
    <t>Top Gun</t>
  </si>
  <si>
    <t>Adrian Pasdar</t>
  </si>
  <si>
    <t>flying|gay subtext|machismo|male objectification|pilot</t>
  </si>
  <si>
    <t>http://www.imdb.com/title/tt0092099/?ref_=fn_tt_tt_1</t>
  </si>
  <si>
    <t>Crouching Tiger, Hidden Dragon</t>
  </si>
  <si>
    <t>Chen Chang</t>
  </si>
  <si>
    <t>Pei-Pei Cheng</t>
  </si>
  <si>
    <t>Sihung Lung</t>
  </si>
  <si>
    <t>bare midriff|china|magical realism|martial arts|sword</t>
  </si>
  <si>
    <t>http://www.imdb.com/title/tt0190332/?ref_=fn_tt_tt_1</t>
  </si>
  <si>
    <t>Taiwan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</si>
  <si>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</si>
  <si>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</si>
  <si>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</si>
  <si>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</si>
  <si>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The King's Speech</t>
  </si>
  <si>
    <t>king|king george vi|speech|speech therapist|throne</t>
  </si>
  <si>
    <t>http://www.imdb.com/title/tt1504320/?ref_=fn_tt_tt_1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</si>
  <si>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</si>
  <si>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</si>
  <si>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</si>
  <si>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</si>
  <si>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</si>
  <si>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</si>
  <si>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</si>
  <si>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</si>
  <si>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The Color Purple</t>
  </si>
  <si>
    <t>Rae Dawn Chong</t>
  </si>
  <si>
    <t>book strap|girl|racial discrimination|racial tension|stereotype</t>
  </si>
  <si>
    <t>http://www.imdb.com/title/tt0088939/?ref_=fn_tt_tt_1</t>
  </si>
  <si>
    <t>Morten Tyldum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</si>
  <si>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</si>
  <si>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</si>
  <si>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</si>
  <si>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</si>
  <si>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Private Benjamin</t>
  </si>
  <si>
    <t>camera shot of feet|female stockinged feet|loss of husband|pantyhose|suntan pantyhose</t>
  </si>
  <si>
    <t>http://www.imdb.com/title/tt0081375/?ref_=fn_tt_tt_1</t>
  </si>
  <si>
    <t>Diary of a Wimpy Kid</t>
  </si>
  <si>
    <t>cheese|diary|friend|middle school|school</t>
  </si>
  <si>
    <t>http://www.imdb.com/title/tt1196141/?ref_=fn_tt_tt_1</t>
  </si>
  <si>
    <t>AndrÃ©s Muschietti</t>
  </si>
  <si>
    <t>Mama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</si>
  <si>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</si>
  <si>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</si>
  <si>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</si>
  <si>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</si>
  <si>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</t>
  </si>
  <si>
    <t>amusement park|dog|family vacation|national lampoon series|vacation</t>
  </si>
  <si>
    <t>http://www.imdb.com/title/tt0085995/?ref_=fn_tt_tt_1</t>
  </si>
  <si>
    <t>Bad Grandpa</t>
  </si>
  <si>
    <t>Jackson Nicoll</t>
  </si>
  <si>
    <t>Georgina Cates</t>
  </si>
  <si>
    <t>Grasie Mercedes</t>
  </si>
  <si>
    <t>child beauty pageant|grandson|hidden camera|jackass|road trip</t>
  </si>
  <si>
    <t>http://www.imdb.com/title/tt3063516/?ref_=fn_tt_tt_1</t>
  </si>
  <si>
    <t>The Queen</t>
  </si>
  <si>
    <t>Sylvia Syms</t>
  </si>
  <si>
    <t>monarchy|prime minister|princess diana|queen|speech</t>
  </si>
  <si>
    <t>http://www.imdb.com/title/tt0436697/?ref_=fn_tt_tt_1</t>
  </si>
  <si>
    <t>Beetlejuice</t>
  </si>
  <si>
    <t>Glenn Shadix</t>
  </si>
  <si>
    <t>attic|ghost|surrealism|teenage girl|yuppie</t>
  </si>
  <si>
    <t>http://www.imdb.com/title/tt0094721/?ref_=fn_tt_tt_1</t>
  </si>
  <si>
    <t>Why Did I Get Married?</t>
  </si>
  <si>
    <t>Lamman Rucker</t>
  </si>
  <si>
    <t>marriage|overweight|psychologist|secret|work</t>
  </si>
  <si>
    <t>http://www.imdb.com/title/tt0906108/?ref_=fn_tt_tt_1</t>
  </si>
  <si>
    <t>Gillian Armstrong</t>
  </si>
  <si>
    <t>Little Women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</si>
  <si>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</si>
  <si>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</si>
  <si>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</si>
  <si>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</si>
  <si>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</t>
  </si>
  <si>
    <t>Jessica Raine</t>
  </si>
  <si>
    <t>afterlife|baby boy|bird in a cage|ghost|reunited family</t>
  </si>
  <si>
    <t>http://www.imdb.com/title/tt1596365/?ref_=fn_tt_tt_1</t>
  </si>
  <si>
    <t>When a Stranger Calls</t>
  </si>
  <si>
    <t>Tessa Thompson</t>
  </si>
  <si>
    <t>babysitting|cell phone|high school|nightmare|teenager</t>
  </si>
  <si>
    <t>http://www.imdb.com/title/tt0455857/?ref_=fn_tt_tt_1</t>
  </si>
  <si>
    <t>Big Fat Liar</t>
  </si>
  <si>
    <t>Lee Majors</t>
  </si>
  <si>
    <t>brunette|film producer|liar|prank|stunt</t>
  </si>
  <si>
    <t>http://www.imdb.com/title/tt0265298/?ref_=fn_tt_tt_1</t>
  </si>
  <si>
    <t>Wag the Dog</t>
  </si>
  <si>
    <t>death|election|hollywood|president|scandal</t>
  </si>
  <si>
    <t>http://www.imdb.com/title/tt0120885/?ref_=fn_tt_tt_1</t>
  </si>
  <si>
    <t>Jim Fall</t>
  </si>
  <si>
    <t>The Lizzie McGuire Movie</t>
  </si>
  <si>
    <t>Adventure|Comedy|Family|Music|Romance</t>
  </si>
  <si>
    <t>Clayton Snyder</t>
  </si>
  <si>
    <t>Adam Lamberg</t>
  </si>
  <si>
    <t>best friend|roma|singer|spaghetti|teenager</t>
  </si>
  <si>
    <t>http://www.imdb.com/title/tt0306841/?ref_=fn_tt_tt_1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</si>
  <si>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</si>
  <si>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</si>
  <si>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</si>
  <si>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</si>
  <si>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</si>
  <si>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</si>
  <si>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</si>
  <si>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</si>
  <si>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</si>
  <si>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The Faculty</t>
  </si>
  <si>
    <t>alien|high school|ohio|photographer|water</t>
  </si>
  <si>
    <t>http://www.imdb.com/title/tt0133751/?ref_=fn_tt_tt_1</t>
  </si>
  <si>
    <t>Cop Land</t>
  </si>
  <si>
    <t>corruption|faked death|falling off a roof|internal affairs|nypd</t>
  </si>
  <si>
    <t>http://www.imdb.com/title/tt0118887/?ref_=fn_tt_tt_1</t>
  </si>
  <si>
    <t>Joel Gallen</t>
  </si>
  <si>
    <t>Not Another Teen Movie</t>
  </si>
  <si>
    <t>JoAnna Garcia Swisher</t>
  </si>
  <si>
    <t>cheerleader|foreign exchange student|incestuous desire|incestuous kiss|prom</t>
  </si>
  <si>
    <t>http://www.imdb.com/title/tt0277371/?ref_=fn_tt_tt_1</t>
  </si>
  <si>
    <t>End of Watch</t>
  </si>
  <si>
    <t>lapd|police|police officer|south central los angeles|street gang</t>
  </si>
  <si>
    <t>http://www.imdb.com/title/tt1855199/?ref_=fn_tt_tt_1</t>
  </si>
  <si>
    <t>The Skulls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</si>
  <si>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</si>
  <si>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</si>
  <si>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</si>
  <si>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</si>
  <si>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</t>
  </si>
  <si>
    <t>based on memoir|cambridge university|husband wife relationship|lou gehrig's disease|physicist</t>
  </si>
  <si>
    <t>http://www.imdb.com/title/tt2980516/?ref_=fn_tt_tt_1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</si>
  <si>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</si>
  <si>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</si>
  <si>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</si>
  <si>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</si>
  <si>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</si>
  <si>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</si>
  <si>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</si>
  <si>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Lawrence of Arabia</t>
  </si>
  <si>
    <t>Claude Rains</t>
  </si>
  <si>
    <t>Jack Hawkins</t>
  </si>
  <si>
    <t>arab|british military|desert|ottoman empire|t.e. lawrence</t>
  </si>
  <si>
    <t>http://www.imdb.com/title/tt0056172/?ref_=fn_tt_tt_1</t>
  </si>
  <si>
    <t>Rob Zombie</t>
  </si>
  <si>
    <t>Halloween II</t>
  </si>
  <si>
    <t>halloween|hospital|michael myers|rampage|vomiting</t>
  </si>
  <si>
    <t>http://www.imdb.com/title/tt1311067/?ref_=fn_tt_tt_1</t>
  </si>
  <si>
    <t>Wild</t>
  </si>
  <si>
    <t>female protagonist|grief|hiking|loss of mother|mother daughter relationship</t>
  </si>
  <si>
    <t>http://www.imdb.com/title/tt2305051/?ref_=fn_tt_tt_1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</si>
  <si>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</si>
  <si>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</si>
  <si>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</si>
  <si>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</si>
  <si>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</si>
  <si>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Wedding Date</t>
  </si>
  <si>
    <t>chick flick|escort|male escort|wedding|wedding date</t>
  </si>
  <si>
    <t>http://www.imdb.com/title/tt0372532/?ref_=fn_tt_tt_1</t>
  </si>
  <si>
    <t>Rick Rosenthal</t>
  </si>
  <si>
    <t>Halloween: Resurrection</t>
  </si>
  <si>
    <t>Comedy|Horror|Thriller</t>
  </si>
  <si>
    <t>cult film|halloween|killer|michael myers|serial killer</t>
  </si>
  <si>
    <t>http://www.imdb.com/title/tt0220506/?ref_=fn_tt_tt_1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</si>
  <si>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</si>
  <si>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</si>
  <si>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</si>
  <si>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</si>
  <si>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Great Debaters</t>
  </si>
  <si>
    <t>college|debate|student|texas|wiley college</t>
  </si>
  <si>
    <t>http://www.imdb.com/title/tt0427309/?ref_=fn_tt_tt_1</t>
  </si>
  <si>
    <t>Nicolas Winding Refn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</si>
  <si>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</si>
  <si>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</si>
  <si>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</si>
  <si>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</si>
  <si>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</si>
  <si>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Confessions of a Teenage Drama Queen</t>
  </si>
  <si>
    <t>Comedy|Family|Music|Romance</t>
  </si>
  <si>
    <t>band|friend|new york city|suburb|teenager</t>
  </si>
  <si>
    <t>http://www.imdb.com/title/tt0361467/?ref_=fn_tt_tt_1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</si>
  <si>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</si>
  <si>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</si>
  <si>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</si>
  <si>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</si>
  <si>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Juan Carlos Fresnadillo</t>
  </si>
  <si>
    <t>28 Weeks Later</t>
  </si>
  <si>
    <t>paris france|rage|sniper|u.s. army|zombie apocalypse</t>
  </si>
  <si>
    <t>http://www.imdb.com/title/tt0463854/?ref_=fn_tt_tt_1</t>
  </si>
  <si>
    <t>When the Game Stands Tall</t>
  </si>
  <si>
    <t>Jessie T. Usher</t>
  </si>
  <si>
    <t>Ser'Darius Blain</t>
  </si>
  <si>
    <t>coach|high school football</t>
  </si>
  <si>
    <t>http://www.imdb.com/title/tt2247476/?ref_=fn_tt_tt_1</t>
  </si>
  <si>
    <t>Because of Winn-Dixie</t>
  </si>
  <si>
    <t>Luke Benward</t>
  </si>
  <si>
    <t>10 year old|dog|florida|girl|supermarket</t>
  </si>
  <si>
    <t>http://www.imdb.com/title/tt0317132/?ref_=fn_tt_tt_1</t>
  </si>
  <si>
    <t>Gina Prince-Bythewood</t>
  </si>
  <si>
    <t>Love &amp; Basketball</t>
  </si>
  <si>
    <t>basketball movie|female basketball player|high school|nba|title directed by female</t>
  </si>
  <si>
    <t>http://www.imdb.com/title/tt0199725/?ref_=fn_tt_tt_1</t>
  </si>
  <si>
    <t>Grosse Pointe Blank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</si>
  <si>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</si>
  <si>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</si>
  <si>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</si>
  <si>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</si>
  <si>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</t>
  </si>
  <si>
    <t>blind date|crossword puzzle|eccentric|fall|mine shaft</t>
  </si>
  <si>
    <t>http://www.imdb.com/title/tt0881891/?ref_=fn_tt_tt_1</t>
  </si>
  <si>
    <t>Joe Berlinger</t>
  </si>
  <si>
    <t>Book of Shadows: Blair Witch 2</t>
  </si>
  <si>
    <t>Adventure|Fantasy|Horror|Mystery|Thriller</t>
  </si>
  <si>
    <t>Kim Director</t>
  </si>
  <si>
    <t>Erica Leerhsen</t>
  </si>
  <si>
    <t>Kurt Loder</t>
  </si>
  <si>
    <t>convenience store|digit in title|punctuation in title|violence|witch</t>
  </si>
  <si>
    <t>http://www.imdb.com/title/tt0229260/?ref_=fn_tt_tt_1</t>
  </si>
  <si>
    <t>The Craft</t>
  </si>
  <si>
    <t>Rachel True</t>
  </si>
  <si>
    <t>Brenda Strong</t>
  </si>
  <si>
    <t>coven|occult|outcast|spell|witch</t>
  </si>
  <si>
    <t>http://www.imdb.com/title/tt0115963/?ref_=fn_tt_tt_1</t>
  </si>
  <si>
    <t>Match Point</t>
  </si>
  <si>
    <t>extramarital affair|infidelity|irony of fate|surprise ending|tennis</t>
  </si>
  <si>
    <t>http://www.imdb.com/title/tt0416320/?ref_=fn_tt_tt_1</t>
  </si>
  <si>
    <t>Elizabeth Allen Rosenbaum</t>
  </si>
  <si>
    <t>Ramona and Beezus</t>
  </si>
  <si>
    <t>Sierra McCormick</t>
  </si>
  <si>
    <t>Hutch Dano</t>
  </si>
  <si>
    <t>Jason Spevack</t>
  </si>
  <si>
    <t>aunt|cat|death of pet|girl|no opening credits</t>
  </si>
  <si>
    <t>http://www.imdb.com/title/tt0493949/?ref_=fn_tt_tt_1</t>
  </si>
  <si>
    <t>The Remains of the Day</t>
  </si>
  <si>
    <t>Peter Vaughan</t>
  </si>
  <si>
    <t>butler|housekeeper|manor|servant|service</t>
  </si>
  <si>
    <t>http://www.imdb.com/title/tt0107943/?ref_=fn_tt_tt_1</t>
  </si>
  <si>
    <t>Boogie Nights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</si>
  <si>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</si>
  <si>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</si>
  <si>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</si>
  <si>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</si>
  <si>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Nowhere to Run</t>
  </si>
  <si>
    <t>Joss Ackland</t>
  </si>
  <si>
    <t>business|escaped convict|farm|motorcycle|widow</t>
  </si>
  <si>
    <t>http://www.imdb.com/title/tt0107711/?ref_=fn_tt_tt_1</t>
  </si>
  <si>
    <t>Michael Mayer</t>
  </si>
  <si>
    <t>Flicka</t>
  </si>
  <si>
    <t>Danny Pino</t>
  </si>
  <si>
    <t>father son relationship|horse|horse ranch|ranch|wild mustang</t>
  </si>
  <si>
    <t>http://www.imdb.com/title/tt0434215/?ref_=fn_tt_tt_1</t>
  </si>
  <si>
    <t>Martin Weisz</t>
  </si>
  <si>
    <t>The Hills Have Eyes II</t>
  </si>
  <si>
    <t>desert|fight|hill|murder|mutant</t>
  </si>
  <si>
    <t>http://www.imdb.com/title/tt0800069/?ref_=fn_tt_tt_1</t>
  </si>
  <si>
    <t>John Ottman</t>
  </si>
  <si>
    <t>Urban Legends: Final Cut</t>
  </si>
  <si>
    <t>Joey Lawrence</t>
  </si>
  <si>
    <t>film set|movie set|sequel|slow motion|urban legend</t>
  </si>
  <si>
    <t>http://www.imdb.com/title/tt0192731/?ref_=fn_tt_tt_1</t>
  </si>
  <si>
    <t>Tuck Everlasting</t>
  </si>
  <si>
    <t>fountain of youth|immortality|secret|woods|young man</t>
  </si>
  <si>
    <t>http://www.imdb.com/title/tt0283084/?ref_=fn_tt_tt_1</t>
  </si>
  <si>
    <t>John Bonito</t>
  </si>
  <si>
    <t>The Marine</t>
  </si>
  <si>
    <t>Firass Dirani</t>
  </si>
  <si>
    <t>beating|marine|muscleman|tied up|tough guy</t>
  </si>
  <si>
    <t>http://www.imdb.com/title/tt0419946/?ref_=fn_tt_tt_1</t>
  </si>
  <si>
    <t>Peter Atencio</t>
  </si>
  <si>
    <t>Keanu</t>
  </si>
  <si>
    <t>car chase|gangsta|gun fight|hitman|kitten</t>
  </si>
  <si>
    <t>http://www.imdb.com/title/tt4139124/?ref_=fn_tt_tt_1</t>
  </si>
  <si>
    <t>Country Strong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</si>
  <si>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</si>
  <si>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</si>
  <si>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</si>
  <si>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</si>
  <si>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</si>
  <si>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</t>
  </si>
  <si>
    <t>blue ribbon|high school|jacket|jock|yogurt</t>
  </si>
  <si>
    <t>http://www.imdb.com/title/tt0134619/?ref_=fn_tt_tt_1</t>
  </si>
  <si>
    <t>Derek Cianfrance</t>
  </si>
  <si>
    <t>The Place Beyond the Pines</t>
  </si>
  <si>
    <t>Angelo Anthony Pizza</t>
  </si>
  <si>
    <t>bank|carnival|motorcycle|police|rookie cop</t>
  </si>
  <si>
    <t>http://www.imdb.com/title/tt1817273/?ref_=fn_tt_tt_1</t>
  </si>
  <si>
    <t>The November Man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</si>
  <si>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</si>
  <si>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</si>
  <si>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</si>
  <si>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</si>
  <si>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Eye of the Beholder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</si>
  <si>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</si>
  <si>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</si>
  <si>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</si>
  <si>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</si>
  <si>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The Hurt Locker</t>
  </si>
  <si>
    <t>army|bomb|dangerous job|death|iraq</t>
  </si>
  <si>
    <t>http://www.imdb.com/title/tt0887912/?ref_=fn_tt_tt_1</t>
  </si>
  <si>
    <t>Mark L. Lester</t>
  </si>
  <si>
    <t>Firestarter</t>
  </si>
  <si>
    <t>George C. Scott</t>
  </si>
  <si>
    <t>captain|experiment|fire|psychic|secret government agency</t>
  </si>
  <si>
    <t>http://www.imdb.com/title/tt0087262/?ref_=fn_tt_tt_1</t>
  </si>
  <si>
    <t>Killing Them Softly</t>
  </si>
  <si>
    <t>exploding car|hit by a car|poker game|punched in the face|shot to death</t>
  </si>
  <si>
    <t>http://www.imdb.com/title/tt1764234/?ref_=fn_tt_tt_1</t>
  </si>
  <si>
    <t>A Most Wanted Man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</si>
  <si>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</si>
  <si>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</si>
  <si>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</si>
  <si>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</si>
  <si>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</si>
  <si>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</t>
  </si>
  <si>
    <t>animator|bamboo cane|cartoonist|sausage|slacker</t>
  </si>
  <si>
    <t>http://www.imdb.com/title/tt0240515/?ref_=fn_tt_tt_1</t>
  </si>
  <si>
    <t>Mike Nawrocki</t>
  </si>
  <si>
    <t>The Pirates Who Don't Do Anything: A VeggieTales Movie</t>
  </si>
  <si>
    <t>Yuri Lowenthal</t>
  </si>
  <si>
    <t>Cam Clarke</t>
  </si>
  <si>
    <t>Phil Vischer</t>
  </si>
  <si>
    <t>17th century|king|pirate|vegetable|waiter</t>
  </si>
  <si>
    <t>http://www.imdb.com/title/tt0475998/?ref_=fn_tt_tt_1</t>
  </si>
  <si>
    <t>Douglas Aarniokoski</t>
  </si>
  <si>
    <t>Highlander: Endgame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</si>
  <si>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</si>
  <si>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</si>
  <si>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</si>
  <si>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</si>
  <si>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</si>
  <si>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Idlewild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</si>
  <si>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</si>
  <si>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</si>
  <si>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</si>
  <si>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</si>
  <si>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One Day</t>
  </si>
  <si>
    <t>23 year time span|accidental death|best friend|loss of loved one|male female friendship</t>
  </si>
  <si>
    <t>http://www.imdb.com/title/tt1563738/?ref_=fn_tt_tt_1</t>
  </si>
  <si>
    <t>Drew Barrymore</t>
  </si>
  <si>
    <t>Whip It</t>
  </si>
  <si>
    <t>Alia Shawkat</t>
  </si>
  <si>
    <t>beauty pageant|friend|pageant|roller derby|texas</t>
  </si>
  <si>
    <t>http://www.imdb.com/title/tt1172233/?ref_=fn_tt_tt_1</t>
  </si>
  <si>
    <t>James Foley</t>
  </si>
  <si>
    <t>Confidence</t>
  </si>
  <si>
    <t>con|grifter|lap dance|organized crime|shot in the forehead</t>
  </si>
  <si>
    <t>http://www.imdb.com/title/tt0310910/?ref_=fn_tt_tt_1</t>
  </si>
  <si>
    <t>The Muse</t>
  </si>
  <si>
    <t>directed by star|muse|satire|screenwriter|tiffany's</t>
  </si>
  <si>
    <t>http://www.imdb.com/title/tt0164108/?ref_=fn_tt_tt_1</t>
  </si>
  <si>
    <t>De-Lovely</t>
  </si>
  <si>
    <t>Keith Allen</t>
  </si>
  <si>
    <t>Sandra Nelson</t>
  </si>
  <si>
    <t>cole porter|composer|love|party|tears</t>
  </si>
  <si>
    <t>http://www.imdb.com/title/tt0352277/?ref_=fn_tt_tt_1</t>
  </si>
  <si>
    <t>New York Stories</t>
  </si>
  <si>
    <t>Larry David</t>
  </si>
  <si>
    <t>12 year old|artist|hotel|three word title|written and directed by cast member</t>
  </si>
  <si>
    <t>http://www.imdb.com/title/tt0097965/?ref_=fn_tt_tt_1</t>
  </si>
  <si>
    <t>Steve Gomer</t>
  </si>
  <si>
    <t>Barney's Great Adventure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</si>
  <si>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</si>
  <si>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</si>
  <si>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</si>
  <si>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</si>
  <si>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</t>
  </si>
  <si>
    <t>Daniel Wu</t>
  </si>
  <si>
    <t>blacksmith|box office flop|chop socky|critically bashed|village</t>
  </si>
  <si>
    <t>http://www.imdb.com/title/tt1258972/?ref_=fn_tt_tt_1</t>
  </si>
  <si>
    <t>Home Fries</t>
  </si>
  <si>
    <t>Shelley Duvall</t>
  </si>
  <si>
    <t>baby|infidelity|pilot|pregnant|waitress</t>
  </si>
  <si>
    <t>http://www.imdb.com/title/tt0119304/?ref_=fn_tt_tt_1</t>
  </si>
  <si>
    <t>Mark Piznarski</t>
  </si>
  <si>
    <t>Here on Earth</t>
  </si>
  <si>
    <t>diner|love|private school|school|small town</t>
  </si>
  <si>
    <t>http://www.imdb.com/title/tt0195778/?ref_=fn_tt_tt_1</t>
  </si>
  <si>
    <t>Brazil</t>
  </si>
  <si>
    <t>black comedy|bureaucracy|dream|terrorist|wrongful arrest</t>
  </si>
  <si>
    <t>http://www.imdb.com/title/tt0088846/?ref_=fn_tt_tt_1</t>
  </si>
  <si>
    <t>Raise Your Voice</t>
  </si>
  <si>
    <t>Family|Music|Romance</t>
  </si>
  <si>
    <t>music school|scholarship|small town|stage fright|three word title</t>
  </si>
  <si>
    <t>http://www.imdb.com/title/tt0361696/?ref_=fn_tt_tt_1</t>
  </si>
  <si>
    <t>The Big Lebowski</t>
  </si>
  <si>
    <t>death|drug|nihilism|rug|white russian</t>
  </si>
  <si>
    <t>http://www.imdb.com/title/tt0118715/?ref_=fn_tt_tt_1</t>
  </si>
  <si>
    <t>Craig Brewer</t>
  </si>
  <si>
    <t>Black Snake Moan</t>
  </si>
  <si>
    <t>Michael Raymond-James</t>
  </si>
  <si>
    <t>breasts|nipples visible through clothing|nudity|rear entry sex|white panties</t>
  </si>
  <si>
    <t>http://www.imdb.com/title/tt0462200/?ref_=fn_tt_tt_1</t>
  </si>
  <si>
    <t>Dark Blue</t>
  </si>
  <si>
    <t>Khandi Alexander</t>
  </si>
  <si>
    <t>Michael Michele</t>
  </si>
  <si>
    <t>corrupt|criminal|investigation|lapd|police</t>
  </si>
  <si>
    <t>http://www.imdb.com/title/tt0279331/?ref_=fn_tt_tt_1</t>
  </si>
  <si>
    <t>Michael Winterbottom</t>
  </si>
  <si>
    <t>A Mighty Heart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</si>
  <si>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</si>
  <si>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</si>
  <si>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</si>
  <si>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</si>
  <si>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</si>
  <si>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Whatever It Takes</t>
  </si>
  <si>
    <t>Jodi Lyn O'Keefe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</si>
  <si>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</si>
  <si>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</si>
  <si>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</si>
  <si>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</si>
  <si>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</si>
  <si>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</si>
  <si>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</si>
  <si>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The Importance of Being Earnest</t>
  </si>
  <si>
    <t>comedy of manners|false identity|farce|love|period drama</t>
  </si>
  <si>
    <t>http://www.imdb.com/title/tt0278500/?ref_=fn_tt_tt_1</t>
  </si>
  <si>
    <t>Wil Shriner</t>
  </si>
  <si>
    <t>Hoot</t>
  </si>
  <si>
    <t>fight|florida|montana|owl|school</t>
  </si>
  <si>
    <t>http://www.imdb.com/title/tt0453494/?ref_=fn_tt_tt_1</t>
  </si>
  <si>
    <t>Martin McDonagh</t>
  </si>
  <si>
    <t>In Bruges</t>
  </si>
  <si>
    <t>Elizabeth Berrington</t>
  </si>
  <si>
    <t>Anna Madeley</t>
  </si>
  <si>
    <t>Eric Godon</t>
  </si>
  <si>
    <t>bruges|bullet|hope|irish|tourist</t>
  </si>
  <si>
    <t>http://www.imdb.com/title/tt0780536/?ref_=fn_tt_tt_1</t>
  </si>
  <si>
    <t>Tina Gordon Chism</t>
  </si>
  <si>
    <t>Peeples</t>
  </si>
  <si>
    <t>Diahann Carroll</t>
  </si>
  <si>
    <t>african american</t>
  </si>
  <si>
    <t>http://www.imdb.com/title/tt1699755/?ref_=fn_tt_tt_1</t>
  </si>
  <si>
    <t>Peter Cattaneo</t>
  </si>
  <si>
    <t>The Rocker</t>
  </si>
  <si>
    <t>20 years later|drummer|hdtv|rock band|rock star</t>
  </si>
  <si>
    <t>http://www.imdb.com/title/tt1031969/?ref_=fn_tt_tt_1</t>
  </si>
  <si>
    <t>Vicky Jenson</t>
  </si>
  <si>
    <t>Post Grad</t>
  </si>
  <si>
    <t>graduation|graduation speech|title directed by female|tv studio|unemployment</t>
  </si>
  <si>
    <t>http://www.imdb.com/title/tt1142433/?ref_=fn_tt_tt_1</t>
  </si>
  <si>
    <t>Promised Land</t>
  </si>
  <si>
    <t>corporate greed|corporation|natural gas|salesman|small town</t>
  </si>
  <si>
    <t>http://www.imdb.com/title/tt2091473/?ref_=fn_tt_tt_1</t>
  </si>
  <si>
    <t>Whatever Works</t>
  </si>
  <si>
    <t>Conleth Hill</t>
  </si>
  <si>
    <t>atheist|limp|quantum mechanics|religion|runaway</t>
  </si>
  <si>
    <t>http://www.imdb.com/title/tt1178663/?ref_=fn_tt_tt_1</t>
  </si>
  <si>
    <t>Mary Lambert</t>
  </si>
  <si>
    <t>The In Crowd</t>
  </si>
  <si>
    <t>A.J. Buckley</t>
  </si>
  <si>
    <t>clique|country club|female protagonist|lip gloss|title directed by female</t>
  </si>
  <si>
    <t>http://www.imdb.com/title/tt0163676/?ref_=fn_tt_tt_1</t>
  </si>
  <si>
    <t>Three Burials</t>
  </si>
  <si>
    <t>Adventure|Crime|Drama|Mystery|Western</t>
  </si>
  <si>
    <t>Levon Helm</t>
  </si>
  <si>
    <t>Guillermo Arriaga</t>
  </si>
  <si>
    <t>cemetery|friend|journey|mexico|promise</t>
  </si>
  <si>
    <t>http://www.imdb.com/title/tt0419294/?ref_=fn_tt_tt_1</t>
  </si>
  <si>
    <t>Peter Kassovitz</t>
  </si>
  <si>
    <t>Jakob the Liar</t>
  </si>
  <si>
    <t>german|ghetto|hope|nazi|radio</t>
  </si>
  <si>
    <t>http://www.imdb.com/title/tt0120716/?ref_=fn_tt_tt_1</t>
  </si>
  <si>
    <t>Kiss Kiss Bang Bang</t>
  </si>
  <si>
    <t>Corbin Bernsen</t>
  </si>
  <si>
    <t>actor|detective sergeant|hotel|nightclub|thief</t>
  </si>
  <si>
    <t>http://www.imdb.com/title/tt0373469/?ref_=fn_tt_tt_1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</si>
  <si>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</si>
  <si>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</si>
  <si>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</si>
  <si>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</si>
  <si>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Mulholland Drive</t>
  </si>
  <si>
    <t>amnesia|car accident|female protagonist|lesbian sex|loss of memory</t>
  </si>
  <si>
    <t>http://www.imdb.com/title/tt0166924/?ref_=fn_tt_tt_1</t>
  </si>
  <si>
    <t>You Will Meet a Tall Dark Stranger</t>
  </si>
  <si>
    <t>call girl|charlatan|fortune teller|manuscript|writer</t>
  </si>
  <si>
    <t>http://www.imdb.com/title/tt1182350/?ref_=fn_tt_tt_1</t>
  </si>
  <si>
    <t>Mark Romanek</t>
  </si>
  <si>
    <t>Never Let Me Go</t>
  </si>
  <si>
    <t>boarding school|childhood|love|love triangle|organ donation</t>
  </si>
  <si>
    <t>http://www.imdb.com/title/tt1334260/?ref_=fn_tt_tt_1</t>
  </si>
  <si>
    <t>Brad Anderson</t>
  </si>
  <si>
    <t>Transsiberian</t>
  </si>
  <si>
    <t>Eduardo Noriega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</si>
  <si>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</si>
  <si>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</si>
  <si>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</si>
  <si>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</si>
  <si>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</si>
  <si>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</si>
  <si>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</si>
  <si>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</si>
  <si>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</si>
  <si>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</t>
  </si>
  <si>
    <t>abusive husband|alabama|boy|dream|sheriff</t>
  </si>
  <si>
    <t>http://www.imdb.com/title/tt0142201/?ref_=fn_tt_tt_1</t>
  </si>
  <si>
    <t>Funny Games</t>
  </si>
  <si>
    <t>breaking the fourth wall|looking at the camera|remake|serial killer|violence</t>
  </si>
  <si>
    <t>http://www.imdb.com/title/tt0808279/?ref_=fn_tt_tt_1</t>
  </si>
  <si>
    <t>Fritz Lang</t>
  </si>
  <si>
    <t>Metropolis</t>
  </si>
  <si>
    <t>Brigitte Helm</t>
  </si>
  <si>
    <t>Gustav FrÃ¶hlich</t>
  </si>
  <si>
    <t>Rudolf Klein-Rogge</t>
  </si>
  <si>
    <t>art deco|bible quote|dance|silent film|worker</t>
  </si>
  <si>
    <t>http://www.imdb.com/title/tt0017136/?ref_=fn_tt_tt_1</t>
  </si>
  <si>
    <t>District B13</t>
  </si>
  <si>
    <t>Dany Verissimo-Petit</t>
  </si>
  <si>
    <t>bomb|gang|police|sister|undercover cop</t>
  </si>
  <si>
    <t>http://www.imdb.com/title/tt0414852/?ref_=fn_tt_tt_1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</si>
  <si>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</si>
  <si>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</si>
  <si>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</si>
  <si>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Hsiao-Hsien Hou</t>
  </si>
  <si>
    <t>The Assassin</t>
  </si>
  <si>
    <t>Satoshi Tsumabuki</t>
  </si>
  <si>
    <t>black magic|china|love|refusal to kill|wuxia</t>
  </si>
  <si>
    <t>http://www.imdb.com/title/tt3508840/?ref_=fn_tt_tt_1</t>
  </si>
  <si>
    <t>Gregor Jordan</t>
  </si>
  <si>
    <t>Buffalo Soldiers</t>
  </si>
  <si>
    <t>Comedy|Crime|Drama|Thriller|War</t>
  </si>
  <si>
    <t>berlin wall|germany|murder|soldier|specialist</t>
  </si>
  <si>
    <t>http://www.imdb.com/title/tt0252299/?ref_=fn_tt_tt_1</t>
  </si>
  <si>
    <t>Tony Jaa</t>
  </si>
  <si>
    <t>Ong-bak 2</t>
  </si>
  <si>
    <t>Nirut Sirichanya</t>
  </si>
  <si>
    <t>Petchtai Wongkamlao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</si>
  <si>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</si>
  <si>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</si>
  <si>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</si>
  <si>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</si>
  <si>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</si>
  <si>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RyÃ»hei Kitamura</t>
  </si>
  <si>
    <t>The Midnight Meat Train</t>
  </si>
  <si>
    <t>Fantasy|Horror|Mystery</t>
  </si>
  <si>
    <t>butcher|girlfriend|mute character|photographer|subway</t>
  </si>
  <si>
    <t>http://www.imdb.com/title/tt0805570/?ref_=fn_tt_tt_1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</si>
  <si>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</si>
  <si>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</si>
  <si>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</si>
  <si>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</si>
  <si>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Stefan Ruzowitzky</t>
  </si>
  <si>
    <t>All the Queen's Men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</si>
  <si>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</si>
  <si>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</si>
  <si>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</si>
  <si>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</si>
  <si>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</si>
  <si>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The Good Night</t>
  </si>
  <si>
    <t>Comedy|Drama|Fantasy|Music|Romance</t>
  </si>
  <si>
    <t>Gael Le Cornec</t>
  </si>
  <si>
    <t>commercial|dream|dreaming|girl|new york city</t>
  </si>
  <si>
    <t>http://www.imdb.com/title/tt0484111/?ref_=fn_tt_tt_1</t>
  </si>
  <si>
    <t>Groundhog Day</t>
  </si>
  <si>
    <t>cult film|existentialism|groundhog day|time loop|trapped in a time loop</t>
  </si>
  <si>
    <t>http://www.imdb.com/title/tt0107048/?ref_=fn_tt_tt_1</t>
  </si>
  <si>
    <t>Gregory Jacobs</t>
  </si>
  <si>
    <t>Magic Mike XXL</t>
  </si>
  <si>
    <t>male bonding|male friendship|male objectification|muscular|stripper</t>
  </si>
  <si>
    <t>http://www.imdb.com/title/tt2268016/?ref_=fn_tt_tt_1</t>
  </si>
  <si>
    <t>Romeo + Juliet</t>
  </si>
  <si>
    <t>hawaiian shirt|love|shakespeare adaptation|shakespeare play|star crossed lovers</t>
  </si>
  <si>
    <t>http://www.imdb.com/title/tt0117509/?ref_=fn_tt_tt_1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</si>
  <si>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</si>
  <si>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</si>
  <si>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</si>
  <si>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</si>
  <si>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</si>
  <si>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Unforgiven</t>
  </si>
  <si>
    <t>englishman|leaving flowers on a grave|one last job|reputation|visiting wife's grave</t>
  </si>
  <si>
    <t>http://www.imdb.com/title/tt0105695/?ref_=fn_tt_tt_1</t>
  </si>
  <si>
    <t>Lars von Trier</t>
  </si>
  <si>
    <t>Manderlay</t>
  </si>
  <si>
    <t>Jeremy Davies</t>
  </si>
  <si>
    <t>Jean-Marc Barr</t>
  </si>
  <si>
    <t>cotton|female frontal nudity|flogging|gangster|slavery</t>
  </si>
  <si>
    <t>http://www.imdb.com/title/tt0342735/?ref_=fn_tt_tt_1</t>
  </si>
  <si>
    <t>Slumdog Millionaire</t>
  </si>
  <si>
    <t>Anil Kapoor</t>
  </si>
  <si>
    <t>Saurabh Shukla</t>
  </si>
  <si>
    <t>Ayush Mahesh Khedekar</t>
  </si>
  <si>
    <t>cheating|falling from height|murder|non professional cast|slum</t>
  </si>
  <si>
    <t>http://www.imdb.com/title/tt1010048/?ref_=fn_tt_tt_1</t>
  </si>
  <si>
    <t>Fatal Attraction</t>
  </si>
  <si>
    <t>Lois Smith</t>
  </si>
  <si>
    <t>borderline personality disorder|killing a pet|madame butterfly|new york|new york city</t>
  </si>
  <si>
    <t>http://www.imdb.com/title/tt0093010/?ref_=fn_tt_tt_1</t>
  </si>
  <si>
    <t>Pretty Woman</t>
  </si>
  <si>
    <t>businessman|falling in love with a prostitute|hotel|prostitute|rich man poor woman</t>
  </si>
  <si>
    <t>http://www.imdb.com/title/tt0100405/?ref_=fn_tt_tt_1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</si>
  <si>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</si>
  <si>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</si>
  <si>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</si>
  <si>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</si>
  <si>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</si>
  <si>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Born on the Fourth of July</t>
  </si>
  <si>
    <t>desert|drunkenness|religious mother|strict mother|vietnam war</t>
  </si>
  <si>
    <t>http://www.imdb.com/title/tt0096969/?ref_=fn_tt_tt_1</t>
  </si>
  <si>
    <t>Cool Runnings</t>
  </si>
  <si>
    <t>Malik Yoba</t>
  </si>
  <si>
    <t>bobsled|coach|jamaica|olympic games|olympics</t>
  </si>
  <si>
    <t>http://www.imdb.com/title/tt0106611/?ref_=fn_tt_tt_1</t>
  </si>
  <si>
    <t>My Bloody Valentine</t>
  </si>
  <si>
    <t>Jensen Ackles</t>
  </si>
  <si>
    <t>coma|death|miner|valentine|valentine's day</t>
  </si>
  <si>
    <t>http://www.imdb.com/title/tt1179891/?ref_=fn_tt_tt_1</t>
  </si>
  <si>
    <t>Stomp the Yard</t>
  </si>
  <si>
    <t>atlanta georgia|competition|dancer|death|fraternity</t>
  </si>
  <si>
    <t>http://www.imdb.com/title/tt0775539/?ref_=fn_tt_tt_1</t>
  </si>
  <si>
    <t>The Spy Who Loved Me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</si>
  <si>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</si>
  <si>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</si>
  <si>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</si>
  <si>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</si>
  <si>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</si>
  <si>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</t>
  </si>
  <si>
    <t>campus|death|friend|professor|urban legend</t>
  </si>
  <si>
    <t>http://www.imdb.com/title/tt0146336/?ref_=fn_tt_tt_1</t>
  </si>
  <si>
    <t>Randal Kleiser</t>
  </si>
  <si>
    <t>White Fang</t>
  </si>
  <si>
    <t>Susan Hogan</t>
  </si>
  <si>
    <t>alaska|dog|friendship|gold|yukon</t>
  </si>
  <si>
    <t>http://www.imdb.com/title/tt0103247/?ref_=fn_tt_tt_1</t>
  </si>
  <si>
    <t>Superstar</t>
  </si>
  <si>
    <t>dancing|orphan|school|special education|student</t>
  </si>
  <si>
    <t>http://www.imdb.com/title/tt0167427/?ref_=fn_tt_tt_1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</si>
  <si>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</si>
  <si>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</si>
  <si>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</si>
  <si>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</si>
  <si>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</t>
  </si>
  <si>
    <t>Shelby Vischer</t>
  </si>
  <si>
    <t>anthropomorphism|pirate|pirate ship|tomato|whale</t>
  </si>
  <si>
    <t>http://www.imdb.com/title/tt0298388/?ref_=fn_tt_tt_1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</si>
  <si>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</si>
  <si>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</si>
  <si>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</si>
  <si>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</si>
  <si>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All About the Benjamins</t>
  </si>
  <si>
    <t>Roger Guenveur Smith</t>
  </si>
  <si>
    <t>Gino Salvano</t>
  </si>
  <si>
    <t>black comedy|bounty hunter|diamond|machismo|money</t>
  </si>
  <si>
    <t>http://www.imdb.com/title/tt0278295/?ref_=fn_tt_tt_1</t>
  </si>
  <si>
    <t>Vampire in Brooklyn</t>
  </si>
  <si>
    <t>Allen Payne</t>
  </si>
  <si>
    <t>blood|destiny|nightmare|partner|vampire</t>
  </si>
  <si>
    <t>http://www.imdb.com/title/tt0114825/?ref_=fn_tt_tt_1</t>
  </si>
  <si>
    <t>An American Haunting</t>
  </si>
  <si>
    <t>flashback|lifting someone into the air|paranormal phenomena|voice over letter|year 1818</t>
  </si>
  <si>
    <t>http://www.imdb.com/title/tt0429573/?ref_=fn_tt_tt_1</t>
  </si>
  <si>
    <t>My Boss's Daughter</t>
  </si>
  <si>
    <t>boss' daughter|crush|house sitter|housesitting|love interest</t>
  </si>
  <si>
    <t>http://www.imdb.com/title/tt0270980/?ref_=fn_tt_tt_1</t>
  </si>
  <si>
    <t>A Perfect Getaway</t>
  </si>
  <si>
    <t>Adventure|Mystery|Thriller</t>
  </si>
  <si>
    <t>cliff|hawaii|island|newlywed|waterfall</t>
  </si>
  <si>
    <t>http://www.imdb.com/title/tt0971209/?ref_=fn_tt_tt_1</t>
  </si>
  <si>
    <t>Rick Famuyiwa</t>
  </si>
  <si>
    <t>Our Family Wedding</t>
  </si>
  <si>
    <t>Lance Gross</t>
  </si>
  <si>
    <t>california|love|marriage|wedding|wedding dress</t>
  </si>
  <si>
    <t>http://www.imdb.com/title/tt1305583/?ref_=fn_tt_tt_1</t>
  </si>
  <si>
    <t>Alan Cohn</t>
  </si>
  <si>
    <t>Dead Man on Campus</t>
  </si>
  <si>
    <t>Poppy Montgomery</t>
  </si>
  <si>
    <t>college|college roommate|party|roommate|student</t>
  </si>
  <si>
    <t>http://www.imdb.com/title/tt0118301/?ref_=fn_tt_tt_1</t>
  </si>
  <si>
    <t>Franco Zeffirelli</t>
  </si>
  <si>
    <t>Tea with Mussolini</t>
  </si>
  <si>
    <t>Comedy|Drama|War</t>
  </si>
  <si>
    <t>Paolo Seganti</t>
  </si>
  <si>
    <t>ambassador|american|art|english|italy</t>
  </si>
  <si>
    <t>http://www.imdb.com/title/tt0120857/?ref_=fn_tt_tt_1</t>
  </si>
  <si>
    <t>Tom Holland</t>
  </si>
  <si>
    <t>Thinner</t>
  </si>
  <si>
    <t>Bethany Joy Lenz</t>
  </si>
  <si>
    <t>death|doctor|gypsy|judge|lawyer</t>
  </si>
  <si>
    <t>http://www.imdb.com/title/tt0117894/?ref_=fn_tt_tt_1</t>
  </si>
  <si>
    <t>Crooklyn</t>
  </si>
  <si>
    <t>argument|birthday|bully|coming of age|semi autobiographical</t>
  </si>
  <si>
    <t>http://www.imdb.com/title/tt0109504/?ref_=fn_tt_tt_1</t>
  </si>
  <si>
    <t>James Isaac</t>
  </si>
  <si>
    <t>Jason X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</si>
  <si>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</si>
  <si>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</si>
  <si>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</si>
  <si>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</si>
  <si>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</si>
  <si>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Bobby</t>
  </si>
  <si>
    <t>campaign|chess|friend|hotel|senator</t>
  </si>
  <si>
    <t>http://www.imdb.com/title/tt0308055/?ref_=fn_tt_tt_1</t>
  </si>
  <si>
    <t>Head Over Heels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</si>
  <si>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</si>
  <si>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</si>
  <si>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</si>
  <si>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</si>
  <si>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</si>
  <si>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</t>
  </si>
  <si>
    <t>Osric Chau</t>
  </si>
  <si>
    <t>adult humor|best friend|friend|halloween|teenage girl</t>
  </si>
  <si>
    <t>http://www.imdb.com/title/tt1663143/?ref_=fn_tt_tt_1</t>
  </si>
  <si>
    <t>Todd Field</t>
  </si>
  <si>
    <t>Little Children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</si>
  <si>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</si>
  <si>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</si>
  <si>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</si>
  <si>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</si>
  <si>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</t>
  </si>
  <si>
    <t>Sharon Lawrence</t>
  </si>
  <si>
    <t>Noam Jenkins</t>
  </si>
  <si>
    <t>college|college campus|gossip|rape|sex</t>
  </si>
  <si>
    <t>http://www.imdb.com/title/tt0176783/?ref_=fn_tt_tt_1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</si>
  <si>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</si>
  <si>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</si>
  <si>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</si>
  <si>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</si>
  <si>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Catch a Fire</t>
  </si>
  <si>
    <t>Bonnie Henna</t>
  </si>
  <si>
    <t>attack|coach|colonel|jail|oil refinery</t>
  </si>
  <si>
    <t>http://www.imdb.com/title/tt0437232/?ref_=fn_tt_tt_1</t>
  </si>
  <si>
    <t>Stephen Carpenter</t>
  </si>
  <si>
    <t>Soul Survivors</t>
  </si>
  <si>
    <t>Melissa Sagemiller</t>
  </si>
  <si>
    <t>Angela Featherstone</t>
  </si>
  <si>
    <t>Candace Kroslak</t>
  </si>
  <si>
    <t>car accident|college|ghost|girl in panties|white panties</t>
  </si>
  <si>
    <t>http://www.imdb.com/title/tt0218619/?ref_=fn_tt_tt_1</t>
  </si>
  <si>
    <t>Jefferson in Paris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</si>
  <si>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</si>
  <si>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</si>
  <si>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</si>
  <si>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</si>
  <si>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</si>
  <si>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</t>
  </si>
  <si>
    <t>Behrouz Vossoughi</t>
  </si>
  <si>
    <t>afghanistan|caravan|rebel|russian|tribe</t>
  </si>
  <si>
    <t>http://www.imdb.com/title/tt0077296/?ref_=fn_tt_tt_1</t>
  </si>
  <si>
    <t>Iran</t>
  </si>
  <si>
    <t>Mr. Turner</t>
  </si>
  <si>
    <t>Ruth Sheen</t>
  </si>
  <si>
    <t>Karl Johnson</t>
  </si>
  <si>
    <t>prism|rented room|scrofula|sketching|sunrise</t>
  </si>
  <si>
    <t>http://www.imdb.com/title/tt2473794/?ref_=fn_tt_tt_1</t>
  </si>
  <si>
    <t>Amen.</t>
  </si>
  <si>
    <t>Biography|Crime|Drama|War</t>
  </si>
  <si>
    <t>Ulrich MÃ¼he</t>
  </si>
  <si>
    <t>jesuit|jew|pope|priest|ss</t>
  </si>
  <si>
    <t>http://www.imdb.com/title/tt0280653/?ref_=fn_tt_tt_1</t>
  </si>
  <si>
    <t>Unrated</t>
  </si>
  <si>
    <t>The Lucky Ones</t>
  </si>
  <si>
    <t>college tuition|guitar|road trip|soldier|stranded</t>
  </si>
  <si>
    <t>http://www.imdb.com/title/tt0981072/?ref_=fn_tt_tt_1</t>
  </si>
  <si>
    <t>Kenneth Lonergan</t>
  </si>
  <si>
    <t>Margaret</t>
  </si>
  <si>
    <t>John Gallagher Jr.</t>
  </si>
  <si>
    <t>accident|bus|loss of virginity|new york city|virginity</t>
  </si>
  <si>
    <t>http://www.imdb.com/title/tt0466893/?ref_=fn_tt_tt_1</t>
  </si>
  <si>
    <t>Flipped</t>
  </si>
  <si>
    <t>apology|falling in love|multiple perspectives|narrated by a girl|younger version of character</t>
  </si>
  <si>
    <t>http://www.imdb.com/title/tt0817177/?ref_=fn_tt_tt_1</t>
  </si>
  <si>
    <t>Brokeback Mountain</t>
  </si>
  <si>
    <t>gay relationship|homosexuality|mountain|ranch|rodeo</t>
  </si>
  <si>
    <t>http://www.imdb.com/title/tt0388795/?ref_=fn_tt_tt_1</t>
  </si>
  <si>
    <t>Clueless</t>
  </si>
  <si>
    <t>Elisa Donovan</t>
  </si>
  <si>
    <t>female protagonist|high school|makeover|matchmaker|popularity</t>
  </si>
  <si>
    <t>http://www.imdb.com/title/tt0112697/?ref_=fn_tt_tt_1</t>
  </si>
  <si>
    <t>Far from Heaven</t>
  </si>
  <si>
    <t>african american|catastrophe|family relationships|farewell scene|therapy</t>
  </si>
  <si>
    <t>http://www.imdb.com/title/tt0297884/?ref_=fn_tt_tt_1</t>
  </si>
  <si>
    <t>Hot Tub Time Machine 2</t>
  </si>
  <si>
    <t>acid trip|gameshow|hot tub|time lord|time machine</t>
  </si>
  <si>
    <t>http://www.imdb.com/title/tt2637294/?ref_=fn_tt_tt_1</t>
  </si>
  <si>
    <t>Quills</t>
  </si>
  <si>
    <t>Stephen Marcus</t>
  </si>
  <si>
    <t>Amelia Warner</t>
  </si>
  <si>
    <t>asylum|lust|male pubic hair|penis|pubic hair</t>
  </si>
  <si>
    <t>http://www.imdb.com/title/tt0180073/?ref_=fn_tt_tt_1</t>
  </si>
  <si>
    <t>Seven Psychopaths</t>
  </si>
  <si>
    <t>dognapping|gangster|misfiring gun|screenwriter|shih tzu</t>
  </si>
  <si>
    <t>http://www.imdb.com/title/tt1931533/?ref_=fn_tt_tt_1</t>
  </si>
  <si>
    <t>Downfall</t>
  </si>
  <si>
    <t>Bruno Ganz</t>
  </si>
  <si>
    <t>bunker|hitler|nazi|no exit|war ruins</t>
  </si>
  <si>
    <t>http://www.imdb.com/title/tt0363163/?ref_=fn_tt_tt_1</t>
  </si>
  <si>
    <t>The Sea Inside</t>
  </si>
  <si>
    <t>BelÃ©n Rueda</t>
  </si>
  <si>
    <t>Lola DueÃ±as</t>
  </si>
  <si>
    <t>Tamar Novas</t>
  </si>
  <si>
    <t>dignity|euthanasia|freedom|lawyer|sailor</t>
  </si>
  <si>
    <t>http://www.imdb.com/title/tt0369702/?ref_=fn_tt_tt_1</t>
  </si>
  <si>
    <t>Good Morning, Vietnam</t>
  </si>
  <si>
    <t>Biography|Comedy|Drama|War</t>
  </si>
  <si>
    <t>disc jockey|friendship|radio|vietnam|vietnamese</t>
  </si>
  <si>
    <t>http://www.imdb.com/title/tt0093105/?ref_=fn_tt_tt_1</t>
  </si>
  <si>
    <t>The Last Godfather</t>
  </si>
  <si>
    <t>Stephanie Danielson</t>
  </si>
  <si>
    <t>mafia|mafia boss|mafiosi|mafioso|three word title</t>
  </si>
  <si>
    <t>http://www.imdb.com/title/tt1584131/?ref_=fn_tt_tt_1</t>
  </si>
  <si>
    <t>Justin Bieber: Never Say Never</t>
  </si>
  <si>
    <t>Sean Kingston</t>
  </si>
  <si>
    <t>Boys II Men</t>
  </si>
  <si>
    <t>boyhood friend|manager|plasma tv|prodigy|star</t>
  </si>
  <si>
    <t>http://www.imdb.com/title/tt1702443/?ref_=fn_tt_tt_1</t>
  </si>
  <si>
    <t>Black Swan</t>
  </si>
  <si>
    <t>ballerina|ballet|fear|female protagonist|madness</t>
  </si>
  <si>
    <t>http://www.imdb.com/title/tt0947798/?ref_=fn_tt_tt_1</t>
  </si>
  <si>
    <t>The Godfather: Part II</t>
  </si>
  <si>
    <t>1950s|corrupt politician|lake tahoe nevada|melancholy|revenge</t>
  </si>
  <si>
    <t>http://www.imdb.com/title/tt0071562/?ref_=fn_tt_tt_1</t>
  </si>
  <si>
    <t>Save the Last Dance</t>
  </si>
  <si>
    <t>Fredro Starr</t>
  </si>
  <si>
    <t>dance|dancing|ghetto|hip hop|imperative in title</t>
  </si>
  <si>
    <t>http://www.imdb.com/title/tt0206275/?ref_=fn_tt_tt_1</t>
  </si>
  <si>
    <t>A Nightmare on Elm Street 4: The Dream Master</t>
  </si>
  <si>
    <t>Tuesday Knight</t>
  </si>
  <si>
    <t>Rodney Eastman</t>
  </si>
  <si>
    <t>Brooke Bundy</t>
  </si>
  <si>
    <t>demon|dream|elm street|freddy krueger|nightmare</t>
  </si>
  <si>
    <t>http://www.imdb.com/title/tt0095742/?ref_=fn_tt_tt_1</t>
  </si>
  <si>
    <t>Miracles from Heaven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</si>
  <si>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</si>
  <si>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</si>
  <si>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</si>
  <si>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</si>
  <si>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Dude, Where's My Car?</t>
  </si>
  <si>
    <t>bare chested male|gay kiss|homoeroticism|lesbian kiss|transsexual</t>
  </si>
  <si>
    <t>http://www.imdb.com/title/tt0242423/?ref_=fn_tt_tt_1</t>
  </si>
  <si>
    <t>Christopher Cain</t>
  </si>
  <si>
    <t>Young Guns</t>
  </si>
  <si>
    <t>Patrick Wayne</t>
  </si>
  <si>
    <t>Brian Keith</t>
  </si>
  <si>
    <t>army|cattle|deputy|new mexico|rancher</t>
  </si>
  <si>
    <t>http://www.imdb.com/title/tt0096487/?ref_=fn_tt_tt_1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</si>
  <si>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</si>
  <si>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</si>
  <si>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</si>
  <si>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</si>
  <si>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About Last Night</t>
  </si>
  <si>
    <t>bedroom|boyfriend girlfriend relationship|hug|interrupted sex|urban setting</t>
  </si>
  <si>
    <t>http://www.imdb.com/title/tt1826590/?ref_=fn_tt_tt_1</t>
  </si>
  <si>
    <t>10 Things I Hate About You</t>
  </si>
  <si>
    <t>Andrew Keegan</t>
  </si>
  <si>
    <t>dating|protective father|school|shrew|teen movie</t>
  </si>
  <si>
    <t>http://www.imdb.com/title/tt0147800/?ref_=fn_tt_tt_1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</si>
  <si>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</si>
  <si>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</si>
  <si>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</si>
  <si>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</si>
  <si>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</si>
  <si>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</si>
  <si>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</t>
  </si>
  <si>
    <t>cookie|detective|microfilm|parody|sergeant</t>
  </si>
  <si>
    <t>http://www.imdb.com/title/tt0107659/?ref_=fn_tt_tt_1</t>
  </si>
  <si>
    <t>The Shallows</t>
  </si>
  <si>
    <t>Sedona Legge</t>
  </si>
  <si>
    <t>beach|island|mexico|prey|trapped</t>
  </si>
  <si>
    <t>http://www.imdb.com/title/tt4052882/?ref_=fn_tt_tt_1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</si>
  <si>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</si>
  <si>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</si>
  <si>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</si>
  <si>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</si>
  <si>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Snow Day</t>
  </si>
  <si>
    <t>meteorologist|snow|snowed in|snowplow|weather</t>
  </si>
  <si>
    <t>http://www.imdb.com/title/tt0184907/?ref_=fn_tt_tt_1</t>
  </si>
  <si>
    <t>Preston A. Whitmore II</t>
  </si>
  <si>
    <t>This Christmas</t>
  </si>
  <si>
    <t>christmas|family home|musician|piano|secret</t>
  </si>
  <si>
    <t>http://www.imdb.com/title/tt0937375/?ref_=fn_tt_tt_1</t>
  </si>
  <si>
    <t>Baby Geniuses</t>
  </si>
  <si>
    <t>Comedy|Crime|Family|Sci-Fi</t>
  </si>
  <si>
    <t>baby|boy|science|scientist|toddler</t>
  </si>
  <si>
    <t>http://www.imdb.com/title/tt0118665/?ref_=fn_tt_tt_1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</si>
  <si>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</si>
  <si>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</si>
  <si>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</si>
  <si>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</si>
  <si>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</si>
  <si>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Bronwen Hughes</t>
  </si>
  <si>
    <t>Harriet the Spy</t>
  </si>
  <si>
    <t>Charlotte Sullivan</t>
  </si>
  <si>
    <t>binoculars|child spy|notebook|secret|spy</t>
  </si>
  <si>
    <t>http://www.imdb.com/title/tt0116493/?ref_=fn_tt_tt_1</t>
  </si>
  <si>
    <t>John Lafia</t>
  </si>
  <si>
    <t>Child's Play 2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</si>
  <si>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</si>
  <si>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</si>
  <si>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</si>
  <si>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</si>
  <si>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</si>
  <si>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No Good Deed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</si>
  <si>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</si>
  <si>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</si>
  <si>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</si>
  <si>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</si>
  <si>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The Mist</t>
  </si>
  <si>
    <t>desperation|fog|giant insect|survival|survival horror</t>
  </si>
  <si>
    <t>http://www.imdb.com/title/tt0884328/?ref_=fn_tt_tt_1</t>
  </si>
  <si>
    <t>Alex Garland</t>
  </si>
  <si>
    <t>Ex Machina</t>
  </si>
  <si>
    <t>Elina Alminas</t>
  </si>
  <si>
    <t>Sonoya Mizuno</t>
  </si>
  <si>
    <t>Corey Johnson</t>
  </si>
  <si>
    <t>artificial intelligence|robot|robot human relationship|turing test|video surveillance</t>
  </si>
  <si>
    <t>http://www.imdb.com/title/tt0470752/?ref_=fn_tt_tt_1</t>
  </si>
  <si>
    <t>Being John Malkovich</t>
  </si>
  <si>
    <t>Orson Bean</t>
  </si>
  <si>
    <t>body swap|magical realism|portal|puppeteer|surrealism</t>
  </si>
  <si>
    <t>http://www.imdb.com/title/tt0120601/?ref_=fn_tt_tt_1</t>
  </si>
  <si>
    <t>Mark Brown</t>
  </si>
  <si>
    <t>Two Can Play That Game</t>
  </si>
  <si>
    <t>advice|battle of the sexes|lingerie|romantic rivalry|rule</t>
  </si>
  <si>
    <t>http://www.imdb.com/title/tt0269341/?ref_=fn_tt_tt_1</t>
  </si>
  <si>
    <t>Dave Green</t>
  </si>
  <si>
    <t>Earth to Echo</t>
  </si>
  <si>
    <t>Adventure|Family|Sci-Fi</t>
  </si>
  <si>
    <t>Teo Halm</t>
  </si>
  <si>
    <t>Ella Wahlestedt</t>
  </si>
  <si>
    <t>Jason Gray-Stanford</t>
  </si>
  <si>
    <t>alien|bar|construction worker|no opening credits|no title at beginning</t>
  </si>
  <si>
    <t>http://www.imdb.com/title/tt2183034/?ref_=fn_tt_tt_1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</si>
  <si>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</si>
  <si>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</si>
  <si>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</si>
  <si>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</si>
  <si>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Letters from Iwo Jima</t>
  </si>
  <si>
    <t>Yuki Matsuzaki</t>
  </si>
  <si>
    <t>Kazunari Ninomiya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</si>
  <si>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</si>
  <si>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</si>
  <si>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</si>
  <si>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</si>
  <si>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</t>
  </si>
  <si>
    <t>bank|fbi|fuel|rocket|space travel</t>
  </si>
  <si>
    <t>http://www.imdb.com/title/tt0469263/?ref_=fn_tt_tt_1</t>
  </si>
  <si>
    <t>Lenny Abrahamson</t>
  </si>
  <si>
    <t>Room</t>
  </si>
  <si>
    <t>based on novel|escape|imprisonment|kidnapping|mother son relationship</t>
  </si>
  <si>
    <t>http://www.imdb.com/title/tt3170832/?ref_=fn_tt_tt_1</t>
  </si>
  <si>
    <t>Dirty Work</t>
  </si>
  <si>
    <t>cult film|gambling debt|job|off screen murder|revenge</t>
  </si>
  <si>
    <t>http://www.imdb.com/title/tt0120654/?ref_=fn_tt_tt_1</t>
  </si>
  <si>
    <t>John Waters</t>
  </si>
  <si>
    <t>Serial Mom</t>
  </si>
  <si>
    <t>dentist|housewife|howie scream|murder|perfection</t>
  </si>
  <si>
    <t>http://www.imdb.com/title/tt0111127/?ref_=fn_tt_tt_1</t>
  </si>
  <si>
    <t>Dick</t>
  </si>
  <si>
    <t>political cover up|political satire|teenage girl|white house|witness</t>
  </si>
  <si>
    <t>http://www.imdb.com/title/tt0144168/?ref_=fn_tt_tt_1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</si>
  <si>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</si>
  <si>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</si>
  <si>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</si>
  <si>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</si>
  <si>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</si>
  <si>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</si>
  <si>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</si>
  <si>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</si>
  <si>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Bubble Boy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</si>
  <si>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</si>
  <si>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</si>
  <si>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</si>
  <si>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</si>
  <si>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Birthday Girl</t>
  </si>
  <si>
    <t>bank|bank clerk|birthday|mail order bride|russian</t>
  </si>
  <si>
    <t>http://www.imdb.com/title/tt0188453/?ref_=fn_tt_tt_1</t>
  </si>
  <si>
    <t>Jon Lucas</t>
  </si>
  <si>
    <t>21 &amp; Over</t>
  </si>
  <si>
    <t>Justin Chon</t>
  </si>
  <si>
    <t>Josie Loren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</si>
  <si>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</si>
  <si>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</si>
  <si>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</si>
  <si>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</si>
  <si>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</t>
  </si>
  <si>
    <t>Catalina Sandino Moreno</t>
  </si>
  <si>
    <t>baby|divorce|oscar wilde|pigalle|tourist</t>
  </si>
  <si>
    <t>http://www.imdb.com/title/tt0401711/?ref_=fn_tt_tt_1</t>
  </si>
  <si>
    <t>Resurrecting the Champ</t>
  </si>
  <si>
    <t>Kathryn Morris</t>
  </si>
  <si>
    <t>boxing|colosseum|homeless man|reporter|writer</t>
  </si>
  <si>
    <t>http://www.imdb.com/title/tt0416185/?ref_=fn_tt_tt_1</t>
  </si>
  <si>
    <t>Admission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</si>
  <si>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</si>
  <si>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</si>
  <si>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</si>
  <si>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</si>
  <si>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The Widow of Saint-Pierre</t>
  </si>
  <si>
    <t>Daniel Auteuil</t>
  </si>
  <si>
    <t>Yves Jacques</t>
  </si>
  <si>
    <t>archipelago|guillotine|island|prison|redemption</t>
  </si>
  <si>
    <t>http://www.imdb.com/title/tt0191636/?ref_=fn_tt_tt_1</t>
  </si>
  <si>
    <t>Chloe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</si>
  <si>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</si>
  <si>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</si>
  <si>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</si>
  <si>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</si>
  <si>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</si>
  <si>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Faithful</t>
  </si>
  <si>
    <t>bathroom|bathtub|female protagonist|flashback|kitchen</t>
  </si>
  <si>
    <t>http://www.imdb.com/title/tt0116269/?ref_=fn_tt_tt_1</t>
  </si>
  <si>
    <t>Find Me Guilty</t>
  </si>
  <si>
    <t>court|drugs|judge|mafia|mobster</t>
  </si>
  <si>
    <t>http://www.imdb.com/title/tt0419749/?ref_=fn_tt_tt_1</t>
  </si>
  <si>
    <t>Stephen Chbosky</t>
  </si>
  <si>
    <t>The Perks of Being a Wallflower</t>
  </si>
  <si>
    <t>Ezra Miller</t>
  </si>
  <si>
    <t>coming of age|depression|gay|high school|mental illness</t>
  </si>
  <si>
    <t>http://www.imdb.com/title/tt1659337/?ref_=fn_tt_tt_1</t>
  </si>
  <si>
    <t>Jon Hess</t>
  </si>
  <si>
    <t>Excessive Force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</si>
  <si>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</si>
  <si>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</si>
  <si>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</si>
  <si>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</si>
  <si>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</t>
  </si>
  <si>
    <t>blood|book|cold calculation|murder|writer</t>
  </si>
  <si>
    <t>http://www.imdb.com/title/tt0420609/?ref_=fn_tt_tt_1</t>
  </si>
  <si>
    <t>The Claim</t>
  </si>
  <si>
    <t>gold|gold mine|miner|railroad|surveyor</t>
  </si>
  <si>
    <t>http://www.imdb.com/title/tt0218378/?ref_=fn_tt_tt_1</t>
  </si>
  <si>
    <t>The Vatican Tapes</t>
  </si>
  <si>
    <t>evil|injury|possession|priest|vatican</t>
  </si>
  <si>
    <t>http://www.imdb.com/title/tt1524575/?ref_=fn_tt_tt_1</t>
  </si>
  <si>
    <t>Attack the Block</t>
  </si>
  <si>
    <t>John Boyega</t>
  </si>
  <si>
    <t>Luke Treadaway</t>
  </si>
  <si>
    <t>alien|alien invasion|apartment|creature|gang</t>
  </si>
  <si>
    <t>http://www.imdb.com/title/tt1478964/?ref_=fn_tt_tt_1</t>
  </si>
  <si>
    <t>In the Land of Blood and Honey</t>
  </si>
  <si>
    <t>Jelena Jovanova</t>
  </si>
  <si>
    <t>Nikola Djuricko</t>
  </si>
  <si>
    <t>Branko Djuric</t>
  </si>
  <si>
    <t>bosnian war|church|emaciation|soldier|violence</t>
  </si>
  <si>
    <t>http://www.imdb.com/title/tt1714209/?ref_=fn_tt_tt_1</t>
  </si>
  <si>
    <t>Bosnian</t>
  </si>
  <si>
    <t>The Call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</si>
  <si>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</si>
  <si>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</si>
  <si>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</si>
  <si>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</si>
  <si>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The Crocodile Hunter: Collision Course</t>
  </si>
  <si>
    <t>Action|Adventure|Comedy|Family</t>
  </si>
  <si>
    <t>Steve Irwin</t>
  </si>
  <si>
    <t>Aden Young</t>
  </si>
  <si>
    <t>cia|crocodile|satellite|snake|spider</t>
  </si>
  <si>
    <t>http://www.imdb.com/title/tt0305396/?ref_=fn_tt_tt_1</t>
  </si>
  <si>
    <t>I Love You Phillip Morris</t>
  </si>
  <si>
    <t>Biography|Comedy|Crime|Drama|Romance</t>
  </si>
  <si>
    <t>Dameon Clarke</t>
  </si>
  <si>
    <t>Louis Herthum</t>
  </si>
  <si>
    <t>Annie Golden</t>
  </si>
  <si>
    <t>character name in title|con artist|fraud|gay|prison break</t>
  </si>
  <si>
    <t>http://www.imdb.com/title/tt1045772/?ref_=fn_tt_tt_1</t>
  </si>
  <si>
    <t>Antwone Fisher</t>
  </si>
  <si>
    <t>black american|extortion|navy|psychiatrist|sailor</t>
  </si>
  <si>
    <t>http://www.imdb.com/title/tt0168786/?ref_=fn_tt_tt_1</t>
  </si>
  <si>
    <t>The Emperor's Club</t>
  </si>
  <si>
    <t>Gabriel Millman</t>
  </si>
  <si>
    <t>Rob Morrow</t>
  </si>
  <si>
    <t>classroom|fund raising|headmaster|reunion|roman</t>
  </si>
  <si>
    <t>http://www.imdb.com/title/tt0283530/?ref_=fn_tt_tt_1</t>
  </si>
  <si>
    <t>True Romance</t>
  </si>
  <si>
    <t>aspiring actor|cocaine|drugs|pimp|suitcase full of money</t>
  </si>
  <si>
    <t>http://www.imdb.com/title/tt0108399/?ref_=fn_tt_tt_1</t>
  </si>
  <si>
    <t>Glengarry Glen Ross</t>
  </si>
  <si>
    <t>Jude Ciccolella</t>
  </si>
  <si>
    <t>office|pressure|real estate|robbery|sales</t>
  </si>
  <si>
    <t>http://www.imdb.com/title/tt0104348/?ref_=fn_tt_tt_1</t>
  </si>
  <si>
    <t>The Killer Inside Me</t>
  </si>
  <si>
    <t>deputy|murder|revenge|sheriff|texas</t>
  </si>
  <si>
    <t>http://www.imdb.com/title/tt0954947/?ref_=fn_tt_tt_1</t>
  </si>
  <si>
    <t>Stewart Hendler</t>
  </si>
  <si>
    <t>Sorority Row</t>
  </si>
  <si>
    <t>Julian Morris</t>
  </si>
  <si>
    <t>Margo Harshman</t>
  </si>
  <si>
    <t>prank gone wrong|scantily clad female|shotgun|sorority house|stabbed in the neck</t>
  </si>
  <si>
    <t>http://www.imdb.com/title/tt1232783/?ref_=fn_tt_tt_1</t>
  </si>
  <si>
    <t>Lars and the Real Girl</t>
  </si>
  <si>
    <t>in love with an inanimate object|internet|introvert|psychologist|sex doll</t>
  </si>
  <si>
    <t>http://www.imdb.com/title/tt0805564/?ref_=fn_tt_tt_1</t>
  </si>
  <si>
    <t>Mark Herman</t>
  </si>
  <si>
    <t>The Boy in the Striped Pajamas</t>
  </si>
  <si>
    <t>Richard Johnson</t>
  </si>
  <si>
    <t>Sheila Hancock</t>
  </si>
  <si>
    <t>Cara Horgan</t>
  </si>
  <si>
    <t>boy|fence|jew|nazis|poison gas</t>
  </si>
  <si>
    <t>http://www.imdb.com/title/tt0914798/?ref_=fn_tt_tt_1</t>
  </si>
  <si>
    <t>Dancer in the Dark</t>
  </si>
  <si>
    <t>Crime|Drama|Musical</t>
  </si>
  <si>
    <t>BjÃ¶rk</t>
  </si>
  <si>
    <t>ends with quotation|execution|factory|women's prison|year 1964</t>
  </si>
  <si>
    <t>http://www.imdb.com/title/tt0168629/?ref_=fn_tt_tt_1</t>
  </si>
  <si>
    <t>Oscar and Lucinda</t>
  </si>
  <si>
    <t>australia|church|glass|inheritance|wager</t>
  </si>
  <si>
    <t>http://www.imdb.com/title/tt0119843/?ref_=fn_tt_tt_1</t>
  </si>
  <si>
    <t>Abel Ferrara</t>
  </si>
  <si>
    <t>The Funeral</t>
  </si>
  <si>
    <t>Vincent Gallo</t>
  </si>
  <si>
    <t>1930s|madness|murder|new york city|violence</t>
  </si>
  <si>
    <t>http://www.imdb.com/title/tt0116378/?ref_=fn_tt_tt_1</t>
  </si>
  <si>
    <t>Brian Koppelman</t>
  </si>
  <si>
    <t>Solitary Man</t>
  </si>
  <si>
    <t>aging|hdtv|high definition television|love|marriage</t>
  </si>
  <si>
    <t>http://www.imdb.com/title/tt1294213/?ref_=fn_tt_tt_1</t>
  </si>
  <si>
    <t>Ethan Maniquis</t>
  </si>
  <si>
    <t>Machete</t>
  </si>
  <si>
    <t>machete|mexican|mexico|priest|texas</t>
  </si>
  <si>
    <t>http://www.imdb.com/title/tt0985694/?ref_=fn_tt_tt_1</t>
  </si>
  <si>
    <t>George Hickenlooper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</si>
  <si>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</si>
  <si>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</si>
  <si>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</si>
  <si>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</si>
  <si>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The Land Before Time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</si>
  <si>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</si>
  <si>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</si>
  <si>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</si>
  <si>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</si>
  <si>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</si>
  <si>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Tae Guk Gi: The Brotherhood of War</t>
  </si>
  <si>
    <t>Min-sik Choi</t>
  </si>
  <si>
    <t>Bin Won</t>
  </si>
  <si>
    <t>1950s|archeologist|korea|korean war|soldier</t>
  </si>
  <si>
    <t>http://www.imdb.com/title/tt0386064/?ref_=fn_tt_tt_1</t>
  </si>
  <si>
    <t>Korean</t>
  </si>
  <si>
    <t>William Dear</t>
  </si>
  <si>
    <t>The Perfect Game</t>
  </si>
  <si>
    <t>Comedy|Drama|Family|Sport</t>
  </si>
  <si>
    <t>baseball movie|little league|little league baseball|mexico|three word title</t>
  </si>
  <si>
    <t>http://www.imdb.com/title/tt0473102/?ref_=fn_tt_tt_1</t>
  </si>
  <si>
    <t>The Exorcist</t>
  </si>
  <si>
    <t>Linda Blair</t>
  </si>
  <si>
    <t>Lee J. Cobb</t>
  </si>
  <si>
    <t>demonic possession|exorcism|exorcist|loss of innocence|priest</t>
  </si>
  <si>
    <t>http://www.imdb.com/title/tt0070047/?ref_=fn_tt_tt_1</t>
  </si>
  <si>
    <t>Jaws</t>
  </si>
  <si>
    <t>Robert Shaw</t>
  </si>
  <si>
    <t>beach|blockbuster|fishing|great white shark|shark</t>
  </si>
  <si>
    <t>http://www.imdb.com/title/tt0073195/?ref_=fn_tt_tt_1</t>
  </si>
  <si>
    <t>American Pie</t>
  </si>
  <si>
    <t>1990s|first love|milf|prom|virginity</t>
  </si>
  <si>
    <t>http://www.imdb.com/title/tt0163651/?ref_=fn_tt_tt_1</t>
  </si>
  <si>
    <t>StÃ©phane Aubier</t>
  </si>
  <si>
    <t>Ernest &amp; Celestine</t>
  </si>
  <si>
    <t>Animation|Comedy|Crime|Drama|Family</t>
  </si>
  <si>
    <t>Lambert Wilson</t>
  </si>
  <si>
    <t>bear|dentist|friendship|mouse|prejudice</t>
  </si>
  <si>
    <t>http://www.imdb.com/title/tt1816518/?ref_=fn_tt_tt_1</t>
  </si>
  <si>
    <t>The Golden Child</t>
  </si>
  <si>
    <t>Action|Adventure|Comedy|Fantasy|Mystery</t>
  </si>
  <si>
    <t>Charlotte Lewis</t>
  </si>
  <si>
    <t>boy|child|chosen one|demon|detective</t>
  </si>
  <si>
    <t>http://www.imdb.com/title/tt0091129/?ref_=fn_tt_tt_1</t>
  </si>
  <si>
    <t>Think Like a Man</t>
  </si>
  <si>
    <t>advice|black romance|hip hop|reading a book|sex scene</t>
  </si>
  <si>
    <t>http://www.imdb.com/title/tt1621045/?ref_=fn_tt_tt_1</t>
  </si>
  <si>
    <t>Barbershop</t>
  </si>
  <si>
    <t>barber|barbershop|blaxploitation|loan shark|theft</t>
  </si>
  <si>
    <t>http://www.imdb.com/title/tt0303714/?ref_=fn_tt_tt_1</t>
  </si>
  <si>
    <t>Star Trek II: The Wrath of Khan</t>
  </si>
  <si>
    <t>Kirstie Alley</t>
  </si>
  <si>
    <t>jamming communications|planet|space station|taunt|trap</t>
  </si>
  <si>
    <t>http://www.imdb.com/title/tt0084726/?ref_=fn_tt_tt_1</t>
  </si>
  <si>
    <t>Ace Ventura: Pet Detective</t>
  </si>
  <si>
    <t>detective|dolphin|mascot|nudity|stupidity</t>
  </si>
  <si>
    <t>http://www.imdb.com/title/tt0109040/?ref_=fn_tt_tt_1</t>
  </si>
  <si>
    <t>John Badham</t>
  </si>
  <si>
    <t>WarGames</t>
  </si>
  <si>
    <t>Ally Sheedy</t>
  </si>
  <si>
    <t>computer|game|high school|norad|teenager</t>
  </si>
  <si>
    <t>http://www.imdb.com/title/tt0086567/?ref_=fn_tt_tt_1</t>
  </si>
  <si>
    <t>Witness</t>
  </si>
  <si>
    <t>amish|love|murder|police|train</t>
  </si>
  <si>
    <t>http://www.imdb.com/title/tt0090329/?ref_=fn_tt_tt_1</t>
  </si>
  <si>
    <t>Mike McCoy</t>
  </si>
  <si>
    <t>Act of Valor</t>
  </si>
  <si>
    <t>Action|Adventure|Drama|Thriller|War</t>
  </si>
  <si>
    <t>Alex Veadov</t>
  </si>
  <si>
    <t>Jason Cottle</t>
  </si>
  <si>
    <t>Rorke Denver</t>
  </si>
  <si>
    <t>mission|navy seal|terrorist|torture|valor</t>
  </si>
  <si>
    <t>http://www.imdb.com/title/tt1591479/?ref_=fn_tt_tt_1</t>
  </si>
  <si>
    <t>Step Up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</si>
  <si>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</si>
  <si>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</si>
  <si>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</si>
  <si>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</si>
  <si>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</si>
  <si>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Beavis and Butt-Head Do America</t>
  </si>
  <si>
    <t>Adventure|Animation|Comedy|Crime</t>
  </si>
  <si>
    <t>beavis and butt head|fbi|score|television|television set</t>
  </si>
  <si>
    <t>http://www.imdb.com/title/tt0115641/?ref_=fn_tt_tt_1</t>
  </si>
  <si>
    <t>Jackie Brown</t>
  </si>
  <si>
    <t>Sid Haig</t>
  </si>
  <si>
    <t>arms dealer|atf|bail|money|multiple perspectives</t>
  </si>
  <si>
    <t>http://www.imdb.com/title/tt0119396/?ref_=fn_tt_tt_1</t>
  </si>
  <si>
    <t>Harold &amp; Kumar Escape from Guantanamo Bay</t>
  </si>
  <si>
    <t>bong|escape|ex girlfriend|guantanamo bay|texas</t>
  </si>
  <si>
    <t>http://www.imdb.com/title/tt0481536/?ref_=fn_tt_tt_1</t>
  </si>
  <si>
    <t>Chronicle</t>
  </si>
  <si>
    <t>Ashley Hinshaw</t>
  </si>
  <si>
    <t>found footage|high school|subjective camera|teen angst|troubled teen</t>
  </si>
  <si>
    <t>http://www.imdb.com/title/tt1706593/?ref_=fn_tt_tt_1</t>
  </si>
  <si>
    <t>Yentl</t>
  </si>
  <si>
    <t>Amy Irving</t>
  </si>
  <si>
    <t>Steven Hill</t>
  </si>
  <si>
    <t>love|study|talmud|wedding|yeshiva</t>
  </si>
  <si>
    <t>http://www.imdb.com/title/tt0086619/?ref_=fn_tt_tt_1</t>
  </si>
  <si>
    <t>Time Bandits</t>
  </si>
  <si>
    <t>Adventure|Comedy|Fantasy|Sci-Fi</t>
  </si>
  <si>
    <t>cult director|dwarf|robin hood|satire|treasure</t>
  </si>
  <si>
    <t>http://www.imdb.com/title/tt0081633/?ref_=fn_tt_tt_1</t>
  </si>
  <si>
    <t>Tamra Davis</t>
  </si>
  <si>
    <t>Crossroads</t>
  </si>
  <si>
    <t>Britney Spears</t>
  </si>
  <si>
    <t>Katherine Boecher</t>
  </si>
  <si>
    <t>Dave Allen</t>
  </si>
  <si>
    <t>audition|friendship|graduation|high school graduation|love</t>
  </si>
  <si>
    <t>http://www.imdb.com/title/tt0275022/?ref_=fn_tt_tt_1</t>
  </si>
  <si>
    <t>Nima Nourizadeh</t>
  </si>
  <si>
    <t>Project X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</si>
  <si>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</si>
  <si>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</si>
  <si>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</si>
  <si>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</si>
  <si>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One Hour Photo</t>
  </si>
  <si>
    <t>insanity|photo lab|photo shop|photography|voyeur</t>
  </si>
  <si>
    <t>http://www.imdb.com/title/tt0265459/?ref_=fn_tt_tt_1</t>
  </si>
  <si>
    <t>John Erick Dowdle</t>
  </si>
  <si>
    <t>Quarantine</t>
  </si>
  <si>
    <t>apartment building|found footage|television|trapped|virus</t>
  </si>
  <si>
    <t>http://www.imdb.com/title/tt1082868/?ref_=fn_tt_tt_1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</si>
  <si>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</si>
  <si>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</si>
  <si>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</si>
  <si>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</si>
  <si>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Christopher Erskin</t>
  </si>
  <si>
    <t>Johnson Family Vacation</t>
  </si>
  <si>
    <t>Shad Moss</t>
  </si>
  <si>
    <t>cross country|cross country trip|highway travel|on the road|road movie</t>
  </si>
  <si>
    <t>http://www.imdb.com/title/tt0359517/?ref_=fn_tt_tt_1</t>
  </si>
  <si>
    <t>How High</t>
  </si>
  <si>
    <t>college|drugs|harvard|pot|smoke</t>
  </si>
  <si>
    <t>http://www.imdb.com/title/tt0278488/?ref_=fn_tt_tt_1</t>
  </si>
  <si>
    <t>Brian Henson</t>
  </si>
  <si>
    <t>The Muppet Christmas Carol</t>
  </si>
  <si>
    <t>Comedy|Drama|Family|Fantasy|Musical</t>
  </si>
  <si>
    <t>Jerry Nelson</t>
  </si>
  <si>
    <t>christmas|christmas eve|miser|muppet|scrooge</t>
  </si>
  <si>
    <t>http://www.imdb.com/title/tt0104940/?ref_=fn_tt_tt_1</t>
  </si>
  <si>
    <t>Frida</t>
  </si>
  <si>
    <t>art|bisexual|marriage|pain|revolutionary</t>
  </si>
  <si>
    <t>http://www.imdb.com/title/tt0120679/?ref_=fn_tt_tt_1</t>
  </si>
  <si>
    <t>Dan Cutforth</t>
  </si>
  <si>
    <t>Katy Perry: Part of Me</t>
  </si>
  <si>
    <t>Lexie Contursi</t>
  </si>
  <si>
    <t>Ashley Ashida Dixon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</si>
  <si>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</si>
  <si>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</si>
  <si>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</si>
  <si>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</si>
  <si>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</t>
  </si>
  <si>
    <t>Nat Wolff</t>
  </si>
  <si>
    <t>cancer|falling in love|friendship|novel|teenager</t>
  </si>
  <si>
    <t>http://www.imdb.com/title/tt2582846/?ref_=fn_tt_tt_1</t>
  </si>
  <si>
    <t>Rounders</t>
  </si>
  <si>
    <t>breasts|cult film|loan shark|poker|reference to christy turlington</t>
  </si>
  <si>
    <t>http://www.imdb.com/title/tt0128442/?ref_=fn_tt_tt_1</t>
  </si>
  <si>
    <t>Top Five</t>
  </si>
  <si>
    <t>J.B. Smoove</t>
  </si>
  <si>
    <t>bare breasts|celebrity|in medias res|reference to planet of the apes|sex talk</t>
  </si>
  <si>
    <t>http://www.imdb.com/title/tt2784678/?ref_=fn_tt_tt_1</t>
  </si>
  <si>
    <t>Stir of Echoes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</si>
  <si>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</si>
  <si>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</si>
  <si>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</si>
  <si>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</si>
  <si>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Philomena</t>
  </si>
  <si>
    <t>Mare Winningham</t>
  </si>
  <si>
    <t>Peter Hermann</t>
  </si>
  <si>
    <t>catholic|convent|gay love|gay relationship|irish adoption board</t>
  </si>
  <si>
    <t>http://www.imdb.com/title/tt2431286/?ref_=fn_tt_tt_1</t>
  </si>
  <si>
    <t>The Upside of Anger</t>
  </si>
  <si>
    <t>anger|baseball|drinking|radio|secretary</t>
  </si>
  <si>
    <t>http://www.imdb.com/title/tt0365885/?ref_=fn_tt_tt_1</t>
  </si>
  <si>
    <t>Aquamarine</t>
  </si>
  <si>
    <t>Tammin Sursok</t>
  </si>
  <si>
    <t>Joanna 'JoJo' Levesque</t>
  </si>
  <si>
    <t>Dichen Lachman</t>
  </si>
  <si>
    <t>beach|love|mermaid|storm|swimming</t>
  </si>
  <si>
    <t>http://www.imdb.com/title/tt0429591/?ref_=fn_tt_tt_1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</si>
  <si>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</si>
  <si>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</si>
  <si>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</si>
  <si>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</si>
  <si>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</si>
  <si>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Nebraska</t>
  </si>
  <si>
    <t>aging|billings montana|lincoln nebraska|nebraska|pickup truck</t>
  </si>
  <si>
    <t>http://www.imdb.com/title/tt1821549/?ref_=fn_tt_tt_1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</si>
  <si>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</si>
  <si>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</si>
  <si>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</si>
  <si>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</si>
  <si>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Max Keeble's Big Move</t>
  </si>
  <si>
    <t>Comedy|Crime|Family</t>
  </si>
  <si>
    <t>bully|moving|principal|revenge|school</t>
  </si>
  <si>
    <t>http://www.imdb.com/title/tt0273799/?ref_=fn_tt_tt_1</t>
  </si>
  <si>
    <t>Young Adult</t>
  </si>
  <si>
    <t>car damage|computer printer|female band|fingernail polish|narcissism</t>
  </si>
  <si>
    <t>http://www.imdb.com/title/tt1625346/?ref_=fn_tt_tt_1</t>
  </si>
  <si>
    <t>Crank</t>
  </si>
  <si>
    <t>assassin|cult film|doctor|heart|poison</t>
  </si>
  <si>
    <t>http://www.imdb.com/title/tt0479884/?ref_=fn_tt_tt_1</t>
  </si>
  <si>
    <t>Living Out Loud</t>
  </si>
  <si>
    <t>brooklyn bridge|divorce|female protagonist|female star appears nude|lingerie slip</t>
  </si>
  <si>
    <t>http://www.imdb.com/title/tt0120722/?ref_=fn_tt_tt_1</t>
  </si>
  <si>
    <t>Das Boot</t>
  </si>
  <si>
    <t>Adventure|Drama|Thriller|War</t>
  </si>
  <si>
    <t>Martin Semmelrogge</t>
  </si>
  <si>
    <t>Herbert GrÃ¶nemeyer</t>
  </si>
  <si>
    <t>duty|submarine|submarine movie|tension|u boat</t>
  </si>
  <si>
    <t>http://www.imdb.com/title/tt0082096/?ref_=fn_tt_tt_1</t>
  </si>
  <si>
    <t>West Germany</t>
  </si>
  <si>
    <t>Wallace Wolodarsky</t>
  </si>
  <si>
    <t>Sorority Boys</t>
  </si>
  <si>
    <t>college|cruise|drag|female armpit hair|sorority</t>
  </si>
  <si>
    <t>http://www.imdb.com/title/tt0279781/?ref_=fn_tt_tt_1</t>
  </si>
  <si>
    <t>About Time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</si>
  <si>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</si>
  <si>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</si>
  <si>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</si>
  <si>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</t>
  </si>
  <si>
    <t>Zhengyong Zhang</t>
  </si>
  <si>
    <t>flying|flying dagger|government|police|secret</t>
  </si>
  <si>
    <t>http://www.imdb.com/title/tt0385004/?ref_=fn_tt_tt_1</t>
  </si>
  <si>
    <t>Nicholas Jarecki</t>
  </si>
  <si>
    <t>Arbitrage</t>
  </si>
  <si>
    <t>accidental death|dead woman|dead woman with eyes open|death of mistress|manager</t>
  </si>
  <si>
    <t>http://www.imdb.com/title/tt1764183/?ref_=fn_tt_tt_1</t>
  </si>
  <si>
    <t>Dean Israelite</t>
  </si>
  <si>
    <t>Project Almanac</t>
  </si>
  <si>
    <t>Gary Weeks</t>
  </si>
  <si>
    <t>Jonny Weston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</si>
  <si>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</si>
  <si>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</si>
  <si>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</si>
  <si>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</si>
  <si>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Cadillac Records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</si>
  <si>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</si>
  <si>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</si>
  <si>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</si>
  <si>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</si>
  <si>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</si>
  <si>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</si>
  <si>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</si>
  <si>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</si>
  <si>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</si>
  <si>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Stuart Gordon</t>
  </si>
  <si>
    <t>Fortress</t>
  </si>
  <si>
    <t>escape|future|population control|prison|prisoner</t>
  </si>
  <si>
    <t>http://www.imdb.com/title/tt0106950/?ref_=fn_tt_tt_1</t>
  </si>
  <si>
    <t>For Your Consideration</t>
  </si>
  <si>
    <t>actor|internet|make up|publicist|purim</t>
  </si>
  <si>
    <t>http://www.imdb.com/title/tt0470765/?ref_=fn_tt_tt_1</t>
  </si>
  <si>
    <t>Celebrity</t>
  </si>
  <si>
    <t>Aleksa Palladino</t>
  </si>
  <si>
    <t>celebrity|journalist|lesbian kiss|strong female character|tv producer</t>
  </si>
  <si>
    <t>http://www.imdb.com/title/tt0120533/?ref_=fn_tt_tt_1</t>
  </si>
  <si>
    <t>Running with Scissors</t>
  </si>
  <si>
    <t>Jill Clayburgh</t>
  </si>
  <si>
    <t>alcoholic|fame|therapist|writer|writing</t>
  </si>
  <si>
    <t>http://www.imdb.com/title/tt0439289/?ref_=fn_tt_tt_1</t>
  </si>
  <si>
    <t>From Justin to Kelly</t>
  </si>
  <si>
    <t>Kelly Clarkson</t>
  </si>
  <si>
    <t>Brian Dietzen</t>
  </si>
  <si>
    <t>bar|florida|love|spring break|waitress</t>
  </si>
  <si>
    <t>http://www.imdb.com/title/tt0339034/?ref_=fn_tt_tt_1</t>
  </si>
  <si>
    <t>Girl 6</t>
  </si>
  <si>
    <t>actress|neighbor|phone sex|queens new york city|sex addiction</t>
  </si>
  <si>
    <t>http://www.imdb.com/title/tt0116414/?ref_=fn_tt_tt_1</t>
  </si>
  <si>
    <t>Jane Campion</t>
  </si>
  <si>
    <t>In the Cut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</si>
  <si>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</si>
  <si>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</si>
  <si>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</si>
  <si>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</si>
  <si>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</t>
  </si>
  <si>
    <t>Samantha Ivers</t>
  </si>
  <si>
    <t>jewish|love|married man|neighbor|photograph</t>
  </si>
  <si>
    <t>http://www.imdb.com/title/tt1103275/?ref_=fn_tt_tt_1</t>
  </si>
  <si>
    <t>Fred Schepisi</t>
  </si>
  <si>
    <t>Last Orders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</si>
  <si>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</si>
  <si>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</si>
  <si>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</si>
  <si>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</si>
  <si>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</si>
  <si>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</si>
  <si>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</si>
  <si>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</si>
  <si>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</si>
  <si>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</si>
  <si>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</si>
  <si>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</si>
  <si>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</si>
  <si>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</si>
  <si>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</si>
  <si>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</si>
  <si>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Paolo Sorrentino</t>
  </si>
  <si>
    <t>The Great Beauty</t>
  </si>
  <si>
    <t>Toni Servillo</t>
  </si>
  <si>
    <t>Sabrina Ferilli</t>
  </si>
  <si>
    <t>Serena Grandi</t>
  </si>
  <si>
    <t>genitalia|male frontal nudity|male nudity|old age|party</t>
  </si>
  <si>
    <t>http://www.imdb.com/title/tt2358891/?ref_=fn_tt_tt_1</t>
  </si>
  <si>
    <t>Peter Care</t>
  </si>
  <si>
    <t>The Dangerous Lives of Altar Boys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</si>
  <si>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</si>
  <si>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</si>
  <si>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</si>
  <si>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</si>
  <si>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</si>
  <si>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Stoker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</si>
  <si>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</si>
  <si>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</si>
  <si>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</si>
  <si>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</si>
  <si>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</si>
  <si>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</si>
  <si>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</si>
  <si>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Married Life</t>
  </si>
  <si>
    <t>Crime|Drama|Romance</t>
  </si>
  <si>
    <t>David Richmond-Peck</t>
  </si>
  <si>
    <t>Erin Boyes</t>
  </si>
  <si>
    <t>Timothy Webber</t>
  </si>
  <si>
    <t>bachelor|best friend|divorce|poison|widow</t>
  </si>
  <si>
    <t>http://www.imdb.com/title/tt0804505/?ref_=fn_tt_tt_1</t>
  </si>
  <si>
    <t>Carroll Ballard</t>
  </si>
  <si>
    <t>Duma</t>
  </si>
  <si>
    <t>Eamonn Walker</t>
  </si>
  <si>
    <t>africa|bed|boy|cheetah|south africa</t>
  </si>
  <si>
    <t>http://www.imdb.com/title/tt0361715/?ref_=fn_tt_tt_1</t>
  </si>
  <si>
    <t>Ondine</t>
  </si>
  <si>
    <t>Alicja Bachleda</t>
  </si>
  <si>
    <t>celtic mythology|cottage|fisherman|irish|selkie</t>
  </si>
  <si>
    <t>http://www.imdb.com/title/tt1235796/?ref_=fn_tt_tt_1</t>
  </si>
  <si>
    <t>Takeshi Kitano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</si>
  <si>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</si>
  <si>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</si>
  <si>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</si>
  <si>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</si>
  <si>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</si>
  <si>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</si>
  <si>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</si>
  <si>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</si>
  <si>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Critical Care</t>
  </si>
  <si>
    <t>half sister|hospital|latex gloves|medicine|nun</t>
  </si>
  <si>
    <t>http://www.imdb.com/title/tt0118901/?ref_=fn_tt_tt_1</t>
  </si>
  <si>
    <t>The Life Before Her Eyes</t>
  </si>
  <si>
    <t>best friend|nonlinear timeline|school shooting|self sacrifice|shooting</t>
  </si>
  <si>
    <t>http://www.imdb.com/title/tt0815178/?ref_=fn_tt_tt_1</t>
  </si>
  <si>
    <t>Marco Kreuzpaintner</t>
  </si>
  <si>
    <t>Trade</t>
  </si>
  <si>
    <t>friend|girl|mexico city|new jersey|sex</t>
  </si>
  <si>
    <t>http://www.imdb.com/title/tt0399095/?ref_=fn_tt_tt_1</t>
  </si>
  <si>
    <t>Lajos Koltai</t>
  </si>
  <si>
    <t>Fateless</t>
  </si>
  <si>
    <t>Marcell Nagy</t>
  </si>
  <si>
    <t>PÃ©ter Fancsikai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</si>
  <si>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</si>
  <si>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</si>
  <si>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</si>
  <si>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</si>
  <si>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</si>
  <si>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</t>
  </si>
  <si>
    <t>breakfast|manitoba|science fiction writer|suicide|writer</t>
  </si>
  <si>
    <t>http://www.imdb.com/title/tt0120618/?ref_=fn_tt_tt_1</t>
  </si>
  <si>
    <t>Chuan Lu</t>
  </si>
  <si>
    <t>City of Life and Death</t>
  </si>
  <si>
    <t>Yuanyuan Gao</t>
  </si>
  <si>
    <t>Ryu Kohata</t>
  </si>
  <si>
    <t>atrocity|battle|chinese|horseback riding|martial arts</t>
  </si>
  <si>
    <t>http://www.imdb.com/title/tt1124052/?ref_=fn_tt_tt_1</t>
  </si>
  <si>
    <t>5 Days of War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</si>
  <si>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</si>
  <si>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</si>
  <si>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</si>
  <si>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</si>
  <si>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</si>
  <si>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Snatch</t>
  </si>
  <si>
    <t>boxer|boxing|diamond|fight|gypsy</t>
  </si>
  <si>
    <t>http://www.imdb.com/title/tt0208092/?ref_=fn_tt_tt_1</t>
  </si>
  <si>
    <t>Pet Sematary</t>
  </si>
  <si>
    <t>Denise Crosby</t>
  </si>
  <si>
    <t>cat|cemetery|maine|secret|woods</t>
  </si>
  <si>
    <t>http://www.imdb.com/title/tt0098084/?ref_=fn_tt_tt_1</t>
  </si>
  <si>
    <t>Gremlins</t>
  </si>
  <si>
    <t>Harry Carey Jr.</t>
  </si>
  <si>
    <t>Zach Galligan</t>
  </si>
  <si>
    <t>bright light|midnight|pet|small town|water</t>
  </si>
  <si>
    <t>http://www.imdb.com/title/tt0087363/?ref_=fn_tt_tt_1</t>
  </si>
  <si>
    <t>Star Wars: Episode IV - A New Hope</t>
  </si>
  <si>
    <t>Peter Cushing</t>
  </si>
  <si>
    <t>death star|empire|galactic war|princess|rebellion</t>
  </si>
  <si>
    <t>http://www.imdb.com/title/tt0076759/?ref_=fn_tt_tt_1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</si>
  <si>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</si>
  <si>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</si>
  <si>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</si>
  <si>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</si>
  <si>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</si>
  <si>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Doctor Zhivago</t>
  </si>
  <si>
    <t>Klaus Kinski</t>
  </si>
  <si>
    <t>bolshevik|poet|poetry|russia|russian revolution</t>
  </si>
  <si>
    <t>http://www.imdb.com/title/tt0059113/?ref_=fn_tt_tt_1</t>
  </si>
  <si>
    <t>High School Musical 3: Senior Year</t>
  </si>
  <si>
    <t>basketball|curtain call|graduation|high school|high school senior</t>
  </si>
  <si>
    <t>http://www.imdb.com/title/tt0962726/?ref_=fn_tt_tt_1</t>
  </si>
  <si>
    <t>The Fighter</t>
  </si>
  <si>
    <t>Jack McGee</t>
  </si>
  <si>
    <t>boxer|boxing|boxing match|crack cocaine|lowell massachusetts</t>
  </si>
  <si>
    <t>http://www.imdb.com/title/tt0964517/?ref_=fn_tt_tt_1</t>
  </si>
  <si>
    <t>My Cousin Vinny</t>
  </si>
  <si>
    <t>Lane Smith</t>
  </si>
  <si>
    <t>alabama|jail|judicial system|lawyer|trial</t>
  </si>
  <si>
    <t>http://www.imdb.com/title/tt0104952/?ref_=fn_tt_tt_1</t>
  </si>
  <si>
    <t>R.J. Cutler</t>
  </si>
  <si>
    <t>If I Stay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</si>
  <si>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</si>
  <si>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</si>
  <si>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</si>
  <si>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</si>
  <si>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Major League</t>
  </si>
  <si>
    <t>cleveland indians|league|manager|owner|team</t>
  </si>
  <si>
    <t>http://www.imdb.com/title/tt0097815/?ref_=fn_tt_tt_1</t>
  </si>
  <si>
    <t>Phone Booth</t>
  </si>
  <si>
    <t>John Enos III</t>
  </si>
  <si>
    <t>phone booth|publicist|single set production|sniper|sniper rifle</t>
  </si>
  <si>
    <t>http://www.imdb.com/title/tt0183649/?ref_=fn_tt_tt_1</t>
  </si>
  <si>
    <t>A Walk to Remember</t>
  </si>
  <si>
    <t>Lauren German</t>
  </si>
  <si>
    <t>community service|love|punishment|school|student</t>
  </si>
  <si>
    <t>http://www.imdb.com/title/tt0281358/?ref_=fn_tt_tt_1</t>
  </si>
  <si>
    <t>Dead Man Walking</t>
  </si>
  <si>
    <t>Robert Prosky</t>
  </si>
  <si>
    <t>death|execution|nun|solitary confinement|visit</t>
  </si>
  <si>
    <t>http://www.imdb.com/title/tt0112818/?ref_=fn_tt_tt_1</t>
  </si>
  <si>
    <t>Cruel Intentions</t>
  </si>
  <si>
    <t>Eric Mabius</t>
  </si>
  <si>
    <t>bet|revenge|seduction|virgin|wager</t>
  </si>
  <si>
    <t>http://www.imdb.com/title/tt0139134/?ref_=fn_tt_tt_1</t>
  </si>
  <si>
    <t>Saw VI</t>
  </si>
  <si>
    <t>Shawnee Smith</t>
  </si>
  <si>
    <t>George Newbern</t>
  </si>
  <si>
    <t>deception|flash photography|game of death|jigsaw|pig mask</t>
  </si>
  <si>
    <t>http://www.imdb.com/title/tt1233227/?ref_=fn_tt_tt_1</t>
  </si>
  <si>
    <t>The Secret Life of Bees</t>
  </si>
  <si>
    <t>Alicia Keys</t>
  </si>
  <si>
    <t>beekeeping|insect in title|racism|sister|south carolina</t>
  </si>
  <si>
    <t>http://www.imdb.com/title/tt0416212/?ref_=fn_tt_tt_1</t>
  </si>
  <si>
    <t>Rob Pritts</t>
  </si>
  <si>
    <t>Corky Romano</t>
  </si>
  <si>
    <t>fbi|mafia|mobster|undercover|veterinarian</t>
  </si>
  <si>
    <t>http://www.imdb.com/title/tt0250310/?ref_=fn_tt_tt_1</t>
  </si>
  <si>
    <t>Raising Cain</t>
  </si>
  <si>
    <t>Steven Bauer</t>
  </si>
  <si>
    <t>Gabrielle Carteris</t>
  </si>
  <si>
    <t>hitchcockian|long tracking shot|psychologist|psychology|wig</t>
  </si>
  <si>
    <t>http://www.imdb.com/title/tt0105217/?ref_=fn_tt_tt_1</t>
  </si>
  <si>
    <t>Invaders from Mars</t>
  </si>
  <si>
    <t>Louise Fletcher</t>
  </si>
  <si>
    <t>Bud Cort</t>
  </si>
  <si>
    <t>alien|boy|nurse|school|school nurse</t>
  </si>
  <si>
    <t>http://www.imdb.com/title/tt0091276/?ref_=fn_tt_tt_1</t>
  </si>
  <si>
    <t>John Crowley</t>
  </si>
  <si>
    <t>Brooklyn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</si>
  <si>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</si>
  <si>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</si>
  <si>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</si>
  <si>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</si>
  <si>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</si>
  <si>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</t>
  </si>
  <si>
    <t>alaska|mountain|ski resort|snowboard|snowboarding</t>
  </si>
  <si>
    <t>http://www.imdb.com/title/tt0253798/?ref_=fn_tt_tt_1</t>
  </si>
  <si>
    <t>The Ladies Man</t>
  </si>
  <si>
    <t>black pantyhose|female stockinged legs|pantyhose|radio|tattoo</t>
  </si>
  <si>
    <t>http://www.imdb.com/title/tt0213790/?ref_=fn_tt_tt_1</t>
  </si>
  <si>
    <t>Dustin Hoffman</t>
  </si>
  <si>
    <t>Quartet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</si>
  <si>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</si>
  <si>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</si>
  <si>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</si>
  <si>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</si>
  <si>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</si>
  <si>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</si>
  <si>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</si>
  <si>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</si>
  <si>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Bill Paxton</t>
  </si>
  <si>
    <t>Frailty</t>
  </si>
  <si>
    <t>demon|fbi|fbi agent|murder|religious fanatic</t>
  </si>
  <si>
    <t>http://www.imdb.com/title/tt0264616/?ref_=fn_tt_tt_1</t>
  </si>
  <si>
    <t>Simon Curtis</t>
  </si>
  <si>
    <t>Woman in Gold</t>
  </si>
  <si>
    <t>art|jewish|justice|nazi|theft</t>
  </si>
  <si>
    <t>http://www.imdb.com/title/tt2404425/?ref_=fn_tt_tt_1</t>
  </si>
  <si>
    <t>Kinsey</t>
  </si>
  <si>
    <t>professor|research|sex|sexuality|student</t>
  </si>
  <si>
    <t>http://www.imdb.com/title/tt0362269/?ref_=fn_tt_tt_1</t>
  </si>
  <si>
    <t>Army of Darkness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</si>
  <si>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</si>
  <si>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</si>
  <si>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</si>
  <si>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</si>
  <si>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</si>
  <si>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</si>
  <si>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</si>
  <si>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</si>
  <si>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What's Eating Gilbert Grape</t>
  </si>
  <si>
    <t>Kevin Tighe</t>
  </si>
  <si>
    <t>apostrophe in title|face slap|four word title|grocery store|police</t>
  </si>
  <si>
    <t>http://www.imdb.com/title/tt0108550/?ref_=fn_tt_tt_1</t>
  </si>
  <si>
    <t>Philip Saville</t>
  </si>
  <si>
    <t>The Visual Bible: The Gospel of John</t>
  </si>
  <si>
    <t>Alan Van Sprang</t>
  </si>
  <si>
    <t>Scott Handy</t>
  </si>
  <si>
    <t>1st century|based on the bible|miracle|religion|resurrection</t>
  </si>
  <si>
    <t>http://www.imdb.com/title/tt0377992/?ref_=fn_tt_tt_1</t>
  </si>
  <si>
    <t>Vera Drake</t>
  </si>
  <si>
    <t>1950s|miscarriage|neighbor|pregnancy|tailor</t>
  </si>
  <si>
    <t>http://www.imdb.com/title/tt0383694/?ref_=fn_tt_tt_1</t>
  </si>
  <si>
    <t>Daisy von Scherler Mayer</t>
  </si>
  <si>
    <t>The Guru</t>
  </si>
  <si>
    <t>Jimi Mistry</t>
  </si>
  <si>
    <t>bollywood|illegal immigrant|live television|restaurant|waiter</t>
  </si>
  <si>
    <t>http://www.imdb.com/title/tt0280720/?ref_=fn_tt_tt_1</t>
  </si>
  <si>
    <t>The Perez Family</t>
  </si>
  <si>
    <t>immigration|love|political prisoner|reference to john wayne|title directed by female</t>
  </si>
  <si>
    <t>http://www.imdb.com/title/tt0114113/?ref_=fn_tt_tt_1</t>
  </si>
  <si>
    <t>Inside Llewyn Davis</t>
  </si>
  <si>
    <t>Alex Karpovsky</t>
  </si>
  <si>
    <t>1960s|car hitting an animal|folk singer|friend|singer</t>
  </si>
  <si>
    <t>http://www.imdb.com/title/tt2042568/?ref_=fn_tt_tt_1</t>
  </si>
  <si>
    <t>O</t>
  </si>
  <si>
    <t>basketball|basketball player|boarding school|love|shakespeare's othello</t>
  </si>
  <si>
    <t>http://www.imdb.com/title/tt0184791/?ref_=fn_tt_tt_1</t>
  </si>
  <si>
    <t>William A. Graham</t>
  </si>
  <si>
    <t>Return to the Blue Lagoon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</si>
  <si>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</si>
  <si>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</si>
  <si>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</si>
  <si>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</si>
  <si>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</si>
  <si>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Copying Beethoven</t>
  </si>
  <si>
    <t>Phyllida Law</t>
  </si>
  <si>
    <t>David Kennedy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</si>
  <si>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</si>
  <si>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</si>
  <si>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</si>
  <si>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</si>
  <si>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</t>
  </si>
  <si>
    <t>Scott Patterson</t>
  </si>
  <si>
    <t>blood splatter|jigsaw|nazi|serial killer|swastika tattoo</t>
  </si>
  <si>
    <t>http://www.imdb.com/title/tt1132626/?ref_=fn_tt_tt_1</t>
  </si>
  <si>
    <t>Ray Lawrence</t>
  </si>
  <si>
    <t>Jindabyne</t>
  </si>
  <si>
    <t>John Howard</t>
  </si>
  <si>
    <t>Deborra-Lee Furness</t>
  </si>
  <si>
    <t>Max Cullen</t>
  </si>
  <si>
    <t>camp|fishing|fishing trip|river|town</t>
  </si>
  <si>
    <t>http://www.imdb.com/title/tt0382765/?ref_=fn_tt_tt_1</t>
  </si>
  <si>
    <t>Karan Johar</t>
  </si>
  <si>
    <t>Kabhi Alvida Naa Kehna</t>
  </si>
  <si>
    <t>Shah Rukh Khan</t>
  </si>
  <si>
    <t>John Abraham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</si>
  <si>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</si>
  <si>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</si>
  <si>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</si>
  <si>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</si>
  <si>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</si>
  <si>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</t>
  </si>
  <si>
    <t>bachelor|blackmail|character says i love you|flirting|social satire</t>
  </si>
  <si>
    <t>http://www.imdb.com/title/tt0122541/?ref_=fn_tt_tt_1</t>
  </si>
  <si>
    <t>Ruairi Robinson</t>
  </si>
  <si>
    <t>The Last Days on Mars</t>
  </si>
  <si>
    <t>Tom Cullen</t>
  </si>
  <si>
    <t>alien infection|astronaut|mars|mission|zombie</t>
  </si>
  <si>
    <t>http://www.imdb.com/title/tt1709143/?ref_=fn_tt_tt_1</t>
  </si>
  <si>
    <t>Jaume BalaguerÃ³</t>
  </si>
  <si>
    <t>Darkness</t>
  </si>
  <si>
    <t>Francesc PagÃ¨s</t>
  </si>
  <si>
    <t>9 year old|blood|gramophone|house|missing children</t>
  </si>
  <si>
    <t>http://www.imdb.com/title/tt0273517/?ref_=fn_tt_tt_1</t>
  </si>
  <si>
    <t>2001: A Space Odyssey</t>
  </si>
  <si>
    <t>Keir Dullea</t>
  </si>
  <si>
    <t>Gary Lockwood</t>
  </si>
  <si>
    <t>Glenn Beck</t>
  </si>
  <si>
    <t>ancient astronaut|famous line|message from outer space|monolith|star child</t>
  </si>
  <si>
    <t>http://www.imdb.com/title/tt0062622/?ref_=fn_tt_tt_1</t>
  </si>
  <si>
    <t>E.T. the Extra-Terrestrial</t>
  </si>
  <si>
    <t>Family|Sci-Fi</t>
  </si>
  <si>
    <t>Dee Wallace</t>
  </si>
  <si>
    <t>bicyclist|boy|doll|star wars reference|voice impersonation</t>
  </si>
  <si>
    <t>http://www.imdb.com/title/tt0083866/?ref_=fn_tt_tt_1</t>
  </si>
  <si>
    <t>Jon Kasdan</t>
  </si>
  <si>
    <t>In the Land of Women</t>
  </si>
  <si>
    <t>Elena Anaya</t>
  </si>
  <si>
    <t>actress|love|michigan|neighbor|writer</t>
  </si>
  <si>
    <t>http://www.imdb.com/title/tt0419843/?ref_=fn_tt_tt_1</t>
  </si>
  <si>
    <t>Dean Wright</t>
  </si>
  <si>
    <t>For Greater Glory: The True Story of Cristiada</t>
  </si>
  <si>
    <t>Santiago Cabrera</t>
  </si>
  <si>
    <t>catholic|hanging|mexico|rebellion|soldier</t>
  </si>
  <si>
    <t>http://www.imdb.com/title/tt1566501/?ref_=fn_tt_tt_1</t>
  </si>
  <si>
    <t>Mexico</t>
  </si>
  <si>
    <t>Good Will Hunting</t>
  </si>
  <si>
    <t>friend|genius|janitor|loss of wife|professor</t>
  </si>
  <si>
    <t>http://www.imdb.com/title/tt0119217/?ref_=fn_tt_tt_1</t>
  </si>
  <si>
    <t>Darren Lynn Bousman</t>
  </si>
  <si>
    <t>Saw III</t>
  </si>
  <si>
    <t>Leigh Whannell</t>
  </si>
  <si>
    <t>brutality|female full frontal nudity|female nudity|torture|trap</t>
  </si>
  <si>
    <t>http://www.imdb.com/title/tt0489270/?ref_=fn_tt_tt_1</t>
  </si>
  <si>
    <t>Stripes</t>
  </si>
  <si>
    <t>Action|Comedy|War</t>
  </si>
  <si>
    <t>army|boot camp|breasts|graduation|rescue</t>
  </si>
  <si>
    <t>http://www.imdb.com/title/tt0083131/?ref_=fn_tt_tt_1</t>
  </si>
  <si>
    <t>Bring It On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</si>
  <si>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</si>
  <si>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</si>
  <si>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</si>
  <si>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</si>
  <si>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</t>
  </si>
  <si>
    <t>cathedral|minister|presidential election|reference to george washington|ritual sacrifice</t>
  </si>
  <si>
    <t>http://www.imdb.com/title/tt4094724/?ref_=fn_tt_tt_1</t>
  </si>
  <si>
    <t>She's All That</t>
  </si>
  <si>
    <t>bet|friend|high school|prom|prom queen</t>
  </si>
  <si>
    <t>http://www.imdb.com/title/tt0160862/?ref_=fn_tt_tt_1</t>
  </si>
  <si>
    <t>Saw IV</t>
  </si>
  <si>
    <t>detective|fbi|rape|rapist|serial rapist</t>
  </si>
  <si>
    <t>http://www.imdb.com/title/tt0890870/?ref_=fn_tt_tt_1</t>
  </si>
  <si>
    <t>White Noise</t>
  </si>
  <si>
    <t>architect|grave|obsession|river|voice</t>
  </si>
  <si>
    <t>http://www.imdb.com/title/tt0375210/?ref_=fn_tt_tt_1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</si>
  <si>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</si>
  <si>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</si>
  <si>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</si>
  <si>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The Color of Money</t>
  </si>
  <si>
    <t>hustler|losing|pool|pool player|tournament</t>
  </si>
  <si>
    <t>http://www.imdb.com/title/tt0090863/?ref_=fn_tt_tt_1</t>
  </si>
  <si>
    <t>The Mighty Ducks</t>
  </si>
  <si>
    <t>coach|hockey team|lawyer|respect|team</t>
  </si>
  <si>
    <t>http://www.imdb.com/title/tt0104868/?ref_=fn_tt_tt_1</t>
  </si>
  <si>
    <t>The Grudge</t>
  </si>
  <si>
    <t>Ted Raimi</t>
  </si>
  <si>
    <t>american|curse|japan|nurse|rage</t>
  </si>
  <si>
    <t>http://www.imdb.com/title/tt0391198/?ref_=fn_tt_tt_1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</si>
  <si>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</si>
  <si>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</si>
  <si>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</si>
  <si>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</si>
  <si>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Jeepers Creepers</t>
  </si>
  <si>
    <t>Patricia Belcher</t>
  </si>
  <si>
    <t>demon|gore|record player|tattoo|wings</t>
  </si>
  <si>
    <t>http://www.imdb.com/title/tt0263488/?ref_=fn_tt_tt_1</t>
  </si>
  <si>
    <t>Bill &amp; Ted's Excellent Adventure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</si>
  <si>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</si>
  <si>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</si>
  <si>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</si>
  <si>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</si>
  <si>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</si>
  <si>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Oliver!</t>
  </si>
  <si>
    <t>Drama|Family|Musical</t>
  </si>
  <si>
    <t>Ron Moody</t>
  </si>
  <si>
    <t>Jack Wild</t>
  </si>
  <si>
    <t>abuse|child|orphan|orphanage|pickpocket</t>
  </si>
  <si>
    <t>http://www.imdb.com/title/tt0063385/?ref_=fn_tt_tt_1</t>
  </si>
  <si>
    <t>The Best Exotic Marigold Hotel</t>
  </si>
  <si>
    <t>hotel|india|marigold|retiree|retirement</t>
  </si>
  <si>
    <t>http://www.imdb.com/title/tt1412386/?ref_=fn_tt_tt_1</t>
  </si>
  <si>
    <t>Chuck Sheetz</t>
  </si>
  <si>
    <t>Recess: School's Out</t>
  </si>
  <si>
    <t>Andrew Lawrence</t>
  </si>
  <si>
    <t>Dabney Coleman</t>
  </si>
  <si>
    <t>friend|principal|summer|summer camp|summer vacation</t>
  </si>
  <si>
    <t>http://www.imdb.com/title/tt0265632/?ref_=fn_tt_tt_1</t>
  </si>
  <si>
    <t>Mad Max Beyond Thunderdome</t>
  </si>
  <si>
    <t>Tina Turner</t>
  </si>
  <si>
    <t>Angelo Rossitto</t>
  </si>
  <si>
    <t>arena|desert|fight|mad max|post apocalypse</t>
  </si>
  <si>
    <t>http://www.imdb.com/title/tt0089530/?ref_=fn_tt_tt_1</t>
  </si>
  <si>
    <t>The Boy</t>
  </si>
  <si>
    <t>Stephanie Lemelin</t>
  </si>
  <si>
    <t>animate doll|doll|england|nanny|surprise ending</t>
  </si>
  <si>
    <t>http://www.imdb.com/title/tt3882082/?ref_=fn_tt_tt_1</t>
  </si>
  <si>
    <t>Devil</t>
  </si>
  <si>
    <t>devil|elevator|hit and run|throat slitting|trapped in an elevator</t>
  </si>
  <si>
    <t>http://www.imdb.com/title/tt1314655/?ref_=fn_tt_tt_1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</si>
  <si>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</si>
  <si>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</si>
  <si>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</si>
  <si>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</si>
  <si>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Insidious: Chapter 3</t>
  </si>
  <si>
    <t>Hayley Kiyoko</t>
  </si>
  <si>
    <t>demon|possession|psychic|supernatural|teenager</t>
  </si>
  <si>
    <t>http://www.imdb.com/title/tt3195644/?ref_=fn_tt_tt_1</t>
  </si>
  <si>
    <t>Michael Schultz</t>
  </si>
  <si>
    <t>The Last Dragon</t>
  </si>
  <si>
    <t>Action|Comedy|Drama|Music</t>
  </si>
  <si>
    <t>Vanity</t>
  </si>
  <si>
    <t>Keshia Knight Pulliam</t>
  </si>
  <si>
    <t>cult film|kung fu|kung fu classic|martial arts|title spoken by character</t>
  </si>
  <si>
    <t>http://www.imdb.com/title/tt0089461/?ref_=fn_tt_tt_1</t>
  </si>
  <si>
    <t>The Lawnmower Man</t>
  </si>
  <si>
    <t>Jeff Fahey</t>
  </si>
  <si>
    <t>Austin O'Brien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</si>
  <si>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</si>
  <si>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</si>
  <si>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</si>
  <si>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</t>
  </si>
  <si>
    <t>band|gay|gay friend|love|night</t>
  </si>
  <si>
    <t>http://www.imdb.com/title/tt0981227/?ref_=fn_tt_tt_1</t>
  </si>
  <si>
    <t>Dogma</t>
  </si>
  <si>
    <t>Adventure|Comedy|Drama|Fantasy</t>
  </si>
  <si>
    <t>abortion|abortion clinic|angel|church|clinic</t>
  </si>
  <si>
    <t>http://www.imdb.com/title/tt0120655/?ref_=fn_tt_tt_1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</si>
  <si>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</si>
  <si>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</si>
  <si>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</si>
  <si>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</si>
  <si>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</si>
  <si>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Twilight Zone: The Movie</t>
  </si>
  <si>
    <t>Fantasy|Horror|Sci-Fi</t>
  </si>
  <si>
    <t>Vic Morrow</t>
  </si>
  <si>
    <t>1940s|1960s|bar|kick the can|remake</t>
  </si>
  <si>
    <t>http://www.imdb.com/title/tt0086491/?ref_=fn_tt_tt_1</t>
  </si>
  <si>
    <t>Rowdy Herrington</t>
  </si>
  <si>
    <t>Road House</t>
  </si>
  <si>
    <t>bikini|cult film|fired from the job|martial arts|violence</t>
  </si>
  <si>
    <t>http://www.imdb.com/title/tt0098206/?ref_=fn_tt_tt_1</t>
  </si>
  <si>
    <t>A Low Down Dirty Shame</t>
  </si>
  <si>
    <t>drugs|ex cop|gun fu|machismo|shootout</t>
  </si>
  <si>
    <t>http://www.imdb.com/title/tt0110399/?ref_=fn_tt_tt_1</t>
  </si>
  <si>
    <t>Swimfan</t>
  </si>
  <si>
    <t>Shiri Appleby</t>
  </si>
  <si>
    <t>high school|hospital|new jersey|stanford university|swimming</t>
  </si>
  <si>
    <t>http://www.imdb.com/title/tt0283026/?ref_=fn_tt_tt_1</t>
  </si>
  <si>
    <t>Greg Coolidge</t>
  </si>
  <si>
    <t>Employee of the Month</t>
  </si>
  <si>
    <t>competition|date|employee|laser in eyes|slacker</t>
  </si>
  <si>
    <t>http://www.imdb.com/title/tt0424993/?ref_=fn_tt_tt_1</t>
  </si>
  <si>
    <t>Can't Hardly Wait</t>
  </si>
  <si>
    <t>graduation|high school|letter|nerd|party</t>
  </si>
  <si>
    <t>http://www.imdb.com/title/tt0127723/?ref_=fn_tt_tt_1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</si>
  <si>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</si>
  <si>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</si>
  <si>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</si>
  <si>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</si>
  <si>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</si>
  <si>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Sinister 2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</si>
  <si>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</si>
  <si>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</si>
  <si>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</si>
  <si>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</si>
  <si>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</si>
  <si>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Sparkle</t>
  </si>
  <si>
    <t>1960s|death|girl group|nightclub|sister</t>
  </si>
  <si>
    <t>http://www.imdb.com/title/tt1876451/?ref_=fn_tt_tt_1</t>
  </si>
  <si>
    <t>Valentine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</si>
  <si>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</si>
  <si>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</si>
  <si>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</si>
  <si>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</si>
  <si>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</t>
  </si>
  <si>
    <t>abduction|alaska|alien|owl|patient</t>
  </si>
  <si>
    <t>http://www.imdb.com/title/tt1220198/?ref_=fn_tt_tt_1</t>
  </si>
  <si>
    <t>A Prairie Home Companion</t>
  </si>
  <si>
    <t>backstage|country music|cowboy|radio|singing</t>
  </si>
  <si>
    <t>http://www.imdb.com/title/tt0420087/?ref_=fn_tt_tt_1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</si>
  <si>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</si>
  <si>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</si>
  <si>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</si>
  <si>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</si>
  <si>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Rushmore</t>
  </si>
  <si>
    <t>coming of age|friendship|private school|student|teacher</t>
  </si>
  <si>
    <t>http://www.imdb.com/title/tt0128445/?ref_=fn_tt_tt_1</t>
  </si>
  <si>
    <t>Skyline</t>
  </si>
  <si>
    <t>apartment|blue light|drawing|group of friends|light</t>
  </si>
  <si>
    <t>http://www.imdb.com/title/tt1564585/?ref_=fn_tt_tt_1</t>
  </si>
  <si>
    <t>The Second Best Exotic Marigold Hotel</t>
  </si>
  <si>
    <t>Tina Desai</t>
  </si>
  <si>
    <t>Ronald Pickup</t>
  </si>
  <si>
    <t>sequel</t>
  </si>
  <si>
    <t>http://www.imdb.com/title/tt2555736/?ref_=fn_tt_tt_1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</si>
  <si>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</si>
  <si>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</si>
  <si>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</si>
  <si>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</si>
  <si>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The Perfect Man</t>
  </si>
  <si>
    <t>Vanessa Lengies</t>
  </si>
  <si>
    <t>e mail|moving|perfect man|secret admirer|suitor</t>
  </si>
  <si>
    <t>http://www.imdb.com/title/tt0380623/?ref_=fn_tt_tt_1</t>
  </si>
  <si>
    <t>Mo' Better Blues</t>
  </si>
  <si>
    <t>Charlie Murphy</t>
  </si>
  <si>
    <t>comeback|friend|jazz|stage|trumpet</t>
  </si>
  <si>
    <t>http://www.imdb.com/title/tt0100168/?ref_=fn_tt_tt_1</t>
  </si>
  <si>
    <t>Kung Pow: Enter the Fist</t>
  </si>
  <si>
    <t>Simon Rhee</t>
  </si>
  <si>
    <t>Jennifer Tung</t>
  </si>
  <si>
    <t>chosen one|comic violence|intentionally bad|kung fu|stylized violence</t>
  </si>
  <si>
    <t>http://www.imdb.com/title/tt0240468/?ref_=fn_tt_tt_1</t>
  </si>
  <si>
    <t>Tremors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</si>
  <si>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</si>
  <si>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</si>
  <si>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</si>
  <si>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</si>
  <si>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</si>
  <si>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Wrong Turn</t>
  </si>
  <si>
    <t>Lindy Booth</t>
  </si>
  <si>
    <t>forest|mountain|road|stupid victim|west virginia</t>
  </si>
  <si>
    <t>http://www.imdb.com/title/tt0295700/?ref_=fn_tt_tt_1</t>
  </si>
  <si>
    <t>The Corruptor</t>
  </si>
  <si>
    <t>Byron Mann</t>
  </si>
  <si>
    <t>chinatown|illegal immigrant|new york|police|triad</t>
  </si>
  <si>
    <t>http://www.imdb.com/title/tt0142192/?ref_=fn_tt_tt_1</t>
  </si>
  <si>
    <t>Mud</t>
  </si>
  <si>
    <t>14 year old|boat|bounty hunter|boy|river</t>
  </si>
  <si>
    <t>http://www.imdb.com/title/tt1935179/?ref_=fn_tt_tt_1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</si>
  <si>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</si>
  <si>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</si>
  <si>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</si>
  <si>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</si>
  <si>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</si>
  <si>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Morgan Spurlock</t>
  </si>
  <si>
    <t>One Direction: This Is Us</t>
  </si>
  <si>
    <t>Harry Styles</t>
  </si>
  <si>
    <t>Zayn Malik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</si>
  <si>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</si>
  <si>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</si>
  <si>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</si>
  <si>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</si>
  <si>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</si>
  <si>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</si>
  <si>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</si>
  <si>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My Week with Marilyn</t>
  </si>
  <si>
    <t>actress|assistant director|blonde bombshell|movie star|wardrobe</t>
  </si>
  <si>
    <t>http://www.imdb.com/title/tt1655420/?ref_=fn_tt_tt_1</t>
  </si>
  <si>
    <t>The Matador</t>
  </si>
  <si>
    <t>bar|hitman|luck|mexico|mexico city</t>
  </si>
  <si>
    <t>http://www.imdb.com/title/tt0365485/?ref_=fn_tt_tt_1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</si>
  <si>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</si>
  <si>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</si>
  <si>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</si>
  <si>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</si>
  <si>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</si>
  <si>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</si>
  <si>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</si>
  <si>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</si>
  <si>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Jim Hanon</t>
  </si>
  <si>
    <t>End of the Spear</t>
  </si>
  <si>
    <t>Chase Ellison</t>
  </si>
  <si>
    <t>Chad Allen</t>
  </si>
  <si>
    <t>Jack Guzman</t>
  </si>
  <si>
    <t>death|missionary|spear|speared to death|tribe</t>
  </si>
  <si>
    <t>http://www.imdb.com/title/tt0399862/?ref_=fn_tt_tt_1</t>
  </si>
  <si>
    <t>Get Over It</t>
  </si>
  <si>
    <t>basketball|dancer|high school|love triangle|shakespeare's a midsummer night's dream</t>
  </si>
  <si>
    <t>http://www.imdb.com/title/tt0192071/?ref_=fn_tt_tt_1</t>
  </si>
  <si>
    <t>Office Space</t>
  </si>
  <si>
    <t>boss|computer|downsizing|neighbor|office</t>
  </si>
  <si>
    <t>http://www.imdb.com/title/tt0151804/?ref_=fn_tt_tt_1</t>
  </si>
  <si>
    <t>Michael Patrick Jann</t>
  </si>
  <si>
    <t>Drop Dead Gorgeous</t>
  </si>
  <si>
    <t>Comedy|Romance|Thriller</t>
  </si>
  <si>
    <t>beauty pageant|blonde|cheerleader uniform|small town|upskirt</t>
  </si>
  <si>
    <t>http://www.imdb.com/title/tt0157503/?ref_=fn_tt_tt_1</t>
  </si>
  <si>
    <t>Big Eyes</t>
  </si>
  <si>
    <t>Biography|Crime|Drama|Romance</t>
  </si>
  <si>
    <t>1950s|abusive husband|artist|painting|secret</t>
  </si>
  <si>
    <t>http://www.imdb.com/title/tt1126590/?ref_=fn_tt_tt_1</t>
  </si>
  <si>
    <t>Very Bad Things</t>
  </si>
  <si>
    <t>bachelor party|breasts|friend|prostitute|wedding</t>
  </si>
  <si>
    <t>http://www.imdb.com/title/tt0124198/?ref_=fn_tt_tt_1</t>
  </si>
  <si>
    <t>Sleepover</t>
  </si>
  <si>
    <t>best friend|party|rival|scavenger hunt|sleepover</t>
  </si>
  <si>
    <t>http://www.imdb.com/title/tt0368975/?ref_=fn_tt_tt_1</t>
  </si>
  <si>
    <t>Jorma Taccone</t>
  </si>
  <si>
    <t>MacGruber</t>
  </si>
  <si>
    <t>Jasper Cole</t>
  </si>
  <si>
    <t>colonel|lieutenant|nuclear warhead|team|washington d.c.</t>
  </si>
  <si>
    <t>http://www.imdb.com/title/tt1470023/?ref_=fn_tt_tt_1</t>
  </si>
  <si>
    <t>Dirty Pretty Things</t>
  </si>
  <si>
    <t>hotel|immigrant|nigerian|surgery|underwear</t>
  </si>
  <si>
    <t>http://www.imdb.com/title/tt0301199/?ref_=fn_tt_tt_1</t>
  </si>
  <si>
    <t>Movie 43</t>
  </si>
  <si>
    <t>awkwardness|embarrassment|gross out|irreverence|shame</t>
  </si>
  <si>
    <t>http://www.imdb.com/title/tt1333125/?ref_=fn_tt_tt_1</t>
  </si>
  <si>
    <t>Jeff Lowell</t>
  </si>
  <si>
    <t>Over Her Dead Body</t>
  </si>
  <si>
    <t>accident|diary|ghost|psychic|veterinarian</t>
  </si>
  <si>
    <t>http://www.imdb.com/title/tt0785007/?ref_=fn_tt_tt_1</t>
  </si>
  <si>
    <t>Lorene Scafaria</t>
  </si>
  <si>
    <t>Seeking a Friend for the End of the World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</si>
  <si>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</si>
  <si>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</si>
  <si>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</si>
  <si>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</si>
  <si>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Tony Kaye</t>
  </si>
  <si>
    <t>American History X</t>
  </si>
  <si>
    <t>curb stomping|neo nazi|prison|son dislikes mother's boyfriend|white supremacist</t>
  </si>
  <si>
    <t>http://www.imdb.com/title/tt0120586/?ref_=fn_tt_tt_1</t>
  </si>
  <si>
    <t>Marcus Dunstan</t>
  </si>
  <si>
    <t>The Collection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</si>
  <si>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</si>
  <si>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</si>
  <si>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</si>
  <si>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</si>
  <si>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</si>
  <si>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</t>
  </si>
  <si>
    <t>dog|florida|mad scientist|school|teacher</t>
  </si>
  <si>
    <t>http://www.imdb.com/title/tt0350194/?ref_=fn_tt_tt_1</t>
  </si>
  <si>
    <t>FranÃ§ois Girard</t>
  </si>
  <si>
    <t>The Red Violin</t>
  </si>
  <si>
    <t>Drama|Music|Mystery|Romance</t>
  </si>
  <si>
    <t>Johannes Silberschneider</t>
  </si>
  <si>
    <t>Clotilde Mollet</t>
  </si>
  <si>
    <t>Carlo Cecchi</t>
  </si>
  <si>
    <t>auction|montreal|secret|violin|violinist</t>
  </si>
  <si>
    <t>http://www.imdb.com/title/tt0120802/?ref_=fn_tt_tt_1</t>
  </si>
  <si>
    <t>The Straight Story</t>
  </si>
  <si>
    <t>Everett McGill</t>
  </si>
  <si>
    <t>cane|iowa|lawn mower|tractor|wisconsin</t>
  </si>
  <si>
    <t>http://www.imdb.com/title/tt0166896/?ref_=fn_tt_tt_1</t>
  </si>
  <si>
    <t>Scott Kalvert</t>
  </si>
  <si>
    <t>Deuces Wild</t>
  </si>
  <si>
    <t>Action|Crime|Drama</t>
  </si>
  <si>
    <t>1950s|drug overdose|gang|gang war|new york city</t>
  </si>
  <si>
    <t>http://www.imdb.com/title/tt0231448/?ref_=fn_tt_tt_1</t>
  </si>
  <si>
    <t>Jason Bateman</t>
  </si>
  <si>
    <t>Bad Words</t>
  </si>
  <si>
    <t>directed by star|indian american|spelling|spelling bee|two word title</t>
  </si>
  <si>
    <t>http://www.imdb.com/title/tt2170299/?ref_=fn_tt_tt_1</t>
  </si>
  <si>
    <t>Black or White</t>
  </si>
  <si>
    <t>Jillian Estell</t>
  </si>
  <si>
    <t>color in title</t>
  </si>
  <si>
    <t>http://www.imdb.com/title/tt2883434/?ref_=fn_tt_tt_1</t>
  </si>
  <si>
    <t>Eric Bross</t>
  </si>
  <si>
    <t>On the Line</t>
  </si>
  <si>
    <t>based on short film|chicago illinois|el train|love|train</t>
  </si>
  <si>
    <t>http://www.imdb.com/title/tt0279286/?ref_=fn_tt_tt_1</t>
  </si>
  <si>
    <t>Rescue Dawn</t>
  </si>
  <si>
    <t>Adventure|Biography|Drama|War</t>
  </si>
  <si>
    <t>Toby Huss</t>
  </si>
  <si>
    <t>FranÃ§ois Chau</t>
  </si>
  <si>
    <t>bombing|guard|jungle|laos|prisoner</t>
  </si>
  <si>
    <t>http://www.imdb.com/title/tt0462504/?ref_=fn_tt_tt_1</t>
  </si>
  <si>
    <t>Jay Duplass</t>
  </si>
  <si>
    <t>Jeff, Who Lives at Home</t>
  </si>
  <si>
    <t>Evan Ross</t>
  </si>
  <si>
    <t>basement|errand|secret admirer|slacker|wrong number</t>
  </si>
  <si>
    <t>http://www.imdb.com/title/tt1588334/?ref_=fn_tt_tt_1</t>
  </si>
  <si>
    <t>Luca Guadagnino</t>
  </si>
  <si>
    <t>I Am Love</t>
  </si>
  <si>
    <t>Flavio Parenti</t>
  </si>
  <si>
    <t>Waris Ahluwalia</t>
  </si>
  <si>
    <t>Alba Rohrwacher</t>
  </si>
  <si>
    <t>chef|friend|italy|restaurant|russian</t>
  </si>
  <si>
    <t>http://www.imdb.com/title/tt1226236/?ref_=fn_tt_tt_1</t>
  </si>
  <si>
    <t>John Putch</t>
  </si>
  <si>
    <t>Atlas Shrugged II: The Strike</t>
  </si>
  <si>
    <t>box office flop|critically bashed|government|industrialist|railroad</t>
  </si>
  <si>
    <t>http://www.imdb.com/title/tt1985017/?ref_=fn_tt_tt_1</t>
  </si>
  <si>
    <t>Peter Medak</t>
  </si>
  <si>
    <t>Romeo Is Bleeding</t>
  </si>
  <si>
    <t>detective|police|protection|russian|sergeant</t>
  </si>
  <si>
    <t>http://www.imdb.com/title/tt0107983/?ref_=fn_tt_tt_1</t>
  </si>
  <si>
    <t>The Limey</t>
  </si>
  <si>
    <t>Lesley Ann Warren</t>
  </si>
  <si>
    <t>daughter|englishman|ex con|revenge|young woman</t>
  </si>
  <si>
    <t>http://www.imdb.com/title/tt0165854/?ref_=fn_tt_tt_1</t>
  </si>
  <si>
    <t>Crash</t>
  </si>
  <si>
    <t>race relations|racism|racist|social problem|stereotype</t>
  </si>
  <si>
    <t>http://www.imdb.com/title/tt0375679/?ref_=fn_tt_tt_1</t>
  </si>
  <si>
    <t>Terence Davies</t>
  </si>
  <si>
    <t>The House of Mirth</t>
  </si>
  <si>
    <t>high society|love|money|reputation|wealth</t>
  </si>
  <si>
    <t>http://www.imdb.com/title/tt0200720/?ref_=fn_tt_tt_1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</si>
  <si>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</si>
  <si>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</si>
  <si>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</si>
  <si>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</si>
  <si>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</si>
  <si>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Peaceful Warrior</t>
  </si>
  <si>
    <t>Tim DeKay</t>
  </si>
  <si>
    <t>college|college athlete|comeback|gymnast|olympics</t>
  </si>
  <si>
    <t>http://www.imdb.com/title/tt0438315/?ref_=fn_tt_tt_1</t>
  </si>
  <si>
    <t>Tom Brady</t>
  </si>
  <si>
    <t>Bucky Larson: Born to Be a Star</t>
  </si>
  <si>
    <t>diner|eating a banana|masturbation|porn star|shooting a pornographic movie</t>
  </si>
  <si>
    <t>http://www.imdb.com/title/tt1411664/?ref_=fn_tt_tt_1</t>
  </si>
  <si>
    <t>Bamboozled</t>
  </si>
  <si>
    <t>Gillian White</t>
  </si>
  <si>
    <t>actor|minstrel show|protest|success|writer</t>
  </si>
  <si>
    <t>http://www.imdb.com/title/tt0215545/?ref_=fn_tt_tt_1</t>
  </si>
  <si>
    <t>Jason Zada</t>
  </si>
  <si>
    <t>The Forest</t>
  </si>
  <si>
    <t>Eoin Macken</t>
  </si>
  <si>
    <t>Stephanie Vogt</t>
  </si>
  <si>
    <t>Gen Seto</t>
  </si>
  <si>
    <t>forest|japan|suicide|suicide forest|supernatural</t>
  </si>
  <si>
    <t>http://www.imdb.com/title/tt3387542/?ref_=fn_tt_tt_1</t>
  </si>
  <si>
    <t>Franklin J. Schaffner</t>
  </si>
  <si>
    <t>Sphinx</t>
  </si>
  <si>
    <t>bat|curse|egyptologist|mummy|murder</t>
  </si>
  <si>
    <t>http://www.imdb.com/title/tt0083113/?ref_=fn_tt_tt_1</t>
  </si>
  <si>
    <t>Noah Baumbach</t>
  </si>
  <si>
    <t>While We're Young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</si>
  <si>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</si>
  <si>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</si>
  <si>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</si>
  <si>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</si>
  <si>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A Better Life</t>
  </si>
  <si>
    <t>Eddie 'Piolin' Sotelo</t>
  </si>
  <si>
    <t>Robert Peters</t>
  </si>
  <si>
    <t>gang|gardener|money|police|truck</t>
  </si>
  <si>
    <t>http://www.imdb.com/title/tt1554091/?ref_=fn_tt_tt_1</t>
  </si>
  <si>
    <t>Spider</t>
  </si>
  <si>
    <t>halfway house|key|reality|schizophrenia|spider</t>
  </si>
  <si>
    <t>http://www.imdb.com/title/tt0278731/?ref_=fn_tt_tt_1</t>
  </si>
  <si>
    <t>Eric Blakeney</t>
  </si>
  <si>
    <t>Gun Shy</t>
  </si>
  <si>
    <t>colombian|enema|group therapy|murder|nurse</t>
  </si>
  <si>
    <t>http://www.imdb.com/title/tt0171356/?ref_=fn_tt_tt_1</t>
  </si>
  <si>
    <t>Nicholas Nickleby</t>
  </si>
  <si>
    <t>boy|boys' school|death|friend|orphan</t>
  </si>
  <si>
    <t>http://www.imdb.com/title/tt0309912/?ref_=fn_tt_tt_1</t>
  </si>
  <si>
    <t>The Iceman</t>
  </si>
  <si>
    <t>based on true story|contract killer|crime family|murder of a girl|serial murderer</t>
  </si>
  <si>
    <t>http://www.imdb.com/title/tt1491044/?ref_=fn_tt_tt_1</t>
  </si>
  <si>
    <t>Cecil B. DeMented</t>
  </si>
  <si>
    <t>actress|drive in|female protagonist|movie star|woman shot in the forehead</t>
  </si>
  <si>
    <t>http://www.imdb.com/title/tt0173716/?ref_=fn_tt_tt_1</t>
  </si>
  <si>
    <t>Killer Joe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</si>
  <si>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</si>
  <si>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</si>
  <si>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</si>
  <si>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</si>
  <si>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</si>
  <si>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</si>
  <si>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</si>
  <si>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</si>
  <si>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</si>
  <si>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</si>
  <si>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</t>
  </si>
  <si>
    <t>bank|bank fraud|bank manager|gambling|toronto</t>
  </si>
  <si>
    <t>http://www.imdb.com/title/tt0285861/?ref_=fn_tt_tt_1</t>
  </si>
  <si>
    <t>Bob Odenkirk</t>
  </si>
  <si>
    <t>The Brothers Solomon</t>
  </si>
  <si>
    <t>antarctica|coma|neighbor|phd|pregnancy</t>
  </si>
  <si>
    <t>http://www.imdb.com/title/tt0784972/?ref_=fn_tt_tt_1</t>
  </si>
  <si>
    <t>My Blueberry Nights</t>
  </si>
  <si>
    <t>Norah Jones</t>
  </si>
  <si>
    <t>Adriane Lenox</t>
  </si>
  <si>
    <t>blueberry pie|diner|nevada|new york city|pie</t>
  </si>
  <si>
    <t>http://www.imdb.com/title/tt0765120/?ref_=fn_tt_tt_1</t>
  </si>
  <si>
    <t>Swept Away</t>
  </si>
  <si>
    <t>island|sailor|storm|stranded|vacation</t>
  </si>
  <si>
    <t>http://www.imdb.com/title/tt0291502/?ref_=fn_tt_tt_1</t>
  </si>
  <si>
    <t>Joshua Seftel</t>
  </si>
  <si>
    <t>War, Inc.</t>
  </si>
  <si>
    <t>Sergej Trifunovic</t>
  </si>
  <si>
    <t>assassin|corporation|pop star|reporter|satire</t>
  </si>
  <si>
    <t>http://www.imdb.com/title/tt0884224/?ref_=fn_tt_tt_1</t>
  </si>
  <si>
    <t>Shaolin Soccer</t>
  </si>
  <si>
    <t>Karen Mok</t>
  </si>
  <si>
    <t>cult film|kung fu|martial arts|shaolin|soccer</t>
  </si>
  <si>
    <t>http://www.imdb.com/title/tt0286112/?ref_=fn_tt_tt_1</t>
  </si>
  <si>
    <t>The Brown Bunny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</si>
  <si>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</si>
  <si>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</si>
  <si>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</si>
  <si>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</si>
  <si>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Rosewater</t>
  </si>
  <si>
    <t>Numan Acar</t>
  </si>
  <si>
    <t>Claire Foy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</si>
  <si>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</si>
  <si>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</si>
  <si>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</si>
  <si>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</si>
  <si>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Imaginary Heroes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</si>
  <si>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</si>
  <si>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</si>
  <si>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</si>
  <si>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</si>
  <si>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</si>
  <si>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High Heels and Low Lifes</t>
  </si>
  <si>
    <t>Action|Comedy|Drama</t>
  </si>
  <si>
    <t>Danny Dyer</t>
  </si>
  <si>
    <t>attempted murder|blackmail|diver's watch|nurse|satire</t>
  </si>
  <si>
    <t>http://www.imdb.com/title/tt0253126/?ref_=fn_tt_tt_1</t>
  </si>
  <si>
    <t>Christopher Smith</t>
  </si>
  <si>
    <t>Severance</t>
  </si>
  <si>
    <t>Laura Harris</t>
  </si>
  <si>
    <t>blood splatter|eastern europe|female nudity|pine forest|team building</t>
  </si>
  <si>
    <t>http://www.imdb.com/title/tt0464196/?ref_=fn_tt_tt_1</t>
  </si>
  <si>
    <t>Edmond</t>
  </si>
  <si>
    <t>DulÃ© Hill</t>
  </si>
  <si>
    <t>bipolar disorder|sodomy|stabbing|street life|violence</t>
  </si>
  <si>
    <t>http://www.imdb.com/title/tt0443496/?ref_=fn_tt_tt_1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</si>
  <si>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</si>
  <si>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</si>
  <si>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</si>
  <si>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</si>
  <si>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Arthur Hiller</t>
  </si>
  <si>
    <t>An Alan Smithee Film: Burn Hollywood Burn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</si>
  <si>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</si>
  <si>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</si>
  <si>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</si>
  <si>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</si>
  <si>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</si>
  <si>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</si>
  <si>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</si>
  <si>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</si>
  <si>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</si>
  <si>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</si>
  <si>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</si>
  <si>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Katherine Dieckmann</t>
  </si>
  <si>
    <t>Motherhood</t>
  </si>
  <si>
    <t>birthday|birthday party|delivery man|mother|neighbor</t>
  </si>
  <si>
    <t>http://www.imdb.com/title/tt1220220/?ref_=fn_tt_tt_1</t>
  </si>
  <si>
    <t>Scott Marshall</t>
  </si>
  <si>
    <t>Blonde Ambition</t>
  </si>
  <si>
    <t>Drew Fuller</t>
  </si>
  <si>
    <t>Drew Waters</t>
  </si>
  <si>
    <t>boss|business|career|confidence|female protagonist</t>
  </si>
  <si>
    <t>http://www.imdb.com/title/tt0887719/?ref_=fn_tt_tt_1</t>
  </si>
  <si>
    <t>Ã_x0081_lex de la Iglesia</t>
  </si>
  <si>
    <t>The Oxford Murders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</si>
  <si>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</si>
  <si>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</si>
  <si>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</si>
  <si>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</si>
  <si>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</si>
  <si>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</si>
  <si>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</si>
  <si>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</si>
  <si>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>The Good, the Bad, the Weird</t>
  </si>
  <si>
    <t>Woo-sung Jung</t>
  </si>
  <si>
    <t>Dal-su Oh</t>
  </si>
  <si>
    <t>bounty hunter|manchuria|map|train|treasure</t>
  </si>
  <si>
    <t>http://www.imdb.com/title/tt0901487/?ref_=fn_tt_tt_1</t>
  </si>
  <si>
    <t>Andy Garcia</t>
  </si>
  <si>
    <t>The Lost City</t>
  </si>
  <si>
    <t>Victor Rivers</t>
  </si>
  <si>
    <t>Enrique Murciano</t>
  </si>
  <si>
    <t>1950s|cuba|cuban flag|fidel castro|havana cuba</t>
  </si>
  <si>
    <t>http://www.imdb.com/title/tt0343996/?ref_=fn_tt_tt_1</t>
  </si>
  <si>
    <t>Next Friday</t>
  </si>
  <si>
    <t>african american|flashback|marijuana joint|porn magazine|suburb</t>
  </si>
  <si>
    <t>http://www.imdb.com/title/tt0195945/?ref_=fn_tt_tt_1</t>
  </si>
  <si>
    <t>You Only Live Twice</t>
  </si>
  <si>
    <t>Burt Kwouk</t>
  </si>
  <si>
    <t>faked death|japan|japanese|poison|secret headquarters</t>
  </si>
  <si>
    <t>http://www.imdb.com/title/tt0062512/?ref_=fn_tt_tt_1</t>
  </si>
  <si>
    <t>Amour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</si>
  <si>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</si>
  <si>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</si>
  <si>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</si>
  <si>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</si>
  <si>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</si>
  <si>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</si>
  <si>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</si>
  <si>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</si>
  <si>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Stanley Kramer</t>
  </si>
  <si>
    <t>It's a Mad, Mad, Mad, Mad World</t>
  </si>
  <si>
    <t>Sid Caesar</t>
  </si>
  <si>
    <t>Spencer Tracy</t>
  </si>
  <si>
    <t>california|desert|dying words|money|race</t>
  </si>
  <si>
    <t>http://www.imdb.com/title/tt0057193/?ref_=fn_tt_tt_1</t>
  </si>
  <si>
    <t>Richard III</t>
  </si>
  <si>
    <t>1930s|abuse of power|england|king|murder</t>
  </si>
  <si>
    <t>http://www.imdb.com/title/tt0114279/?ref_=fn_tt_tt_1</t>
  </si>
  <si>
    <t>Melancholia</t>
  </si>
  <si>
    <t>art director|breasts|depression|outdoor sex|riding a horse</t>
  </si>
  <si>
    <t>http://www.imdb.com/title/tt1527186/?ref_=fn_tt_tt_1</t>
  </si>
  <si>
    <t>Yash Chopra</t>
  </si>
  <si>
    <t>Jab Tak Hai Jaan</t>
  </si>
  <si>
    <t>Katrina Kaif</t>
  </si>
  <si>
    <t>Vic Waghorn</t>
  </si>
  <si>
    <t>accident|army|bomb|indian army|love</t>
  </si>
  <si>
    <t>http://www.imdb.com/title/tt2176013/?ref_=fn_tt_tt_1</t>
  </si>
  <si>
    <t>Alien</t>
  </si>
  <si>
    <t>Bolaji Badejo</t>
  </si>
  <si>
    <t>alien|creature|future|outer space|spaceship</t>
  </si>
  <si>
    <t>http://www.imdb.com/title/tt0078748/?ref_=fn_tt_tt_1</t>
  </si>
  <si>
    <t>The Texas Chain Saw Massacre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</si>
  <si>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</si>
  <si>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</si>
  <si>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</si>
  <si>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</si>
  <si>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</si>
  <si>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</si>
  <si>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</si>
  <si>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</si>
  <si>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</si>
  <si>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</si>
  <si>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</si>
  <si>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</si>
  <si>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Terence Young</t>
  </si>
  <si>
    <t>Thunderball</t>
  </si>
  <si>
    <t>Earl Cameron</t>
  </si>
  <si>
    <t>domino|fiery redhead|nassau|official james bond series|underwater battle</t>
  </si>
  <si>
    <t>http://www.imdb.com/title/tt0059800/?ref_=fn_tt_tt_1</t>
  </si>
  <si>
    <t>Set It Off</t>
  </si>
  <si>
    <t>bank|black comedy|main characters killed off|money|robbery</t>
  </si>
  <si>
    <t>http://www.imdb.com/title/tt0117603/?ref_=fn_tt_tt_1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</si>
  <si>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</si>
  <si>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</si>
  <si>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</si>
  <si>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</si>
  <si>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Child's Play</t>
  </si>
  <si>
    <t>Catherine Hicks</t>
  </si>
  <si>
    <t>Alex Vincent</t>
  </si>
  <si>
    <t>Dinah Manoff</t>
  </si>
  <si>
    <t>birthday|doll|murder|serial killer|voodoo</t>
  </si>
  <si>
    <t>http://www.imdb.com/title/tt0094862/?ref_=fn_tt_tt_1</t>
  </si>
  <si>
    <t>Sicko</t>
  </si>
  <si>
    <t>Tucker Albrizzi</t>
  </si>
  <si>
    <t>Bill Clinton</t>
  </si>
  <si>
    <t>canada|cuba|france|guantanamo|hmo</t>
  </si>
  <si>
    <t>http://www.imdb.com/title/tt0386032/?ref_=fn_tt_tt_1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</si>
  <si>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</si>
  <si>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</si>
  <si>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</si>
  <si>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</si>
  <si>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</si>
  <si>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</t>
  </si>
  <si>
    <t>artist|cake|college|new york city|student</t>
  </si>
  <si>
    <t>http://www.imdb.com/title/tt0186975/?ref_=fn_tt_tt_1</t>
  </si>
  <si>
    <t>Harold &amp; Kumar Go to White Castle</t>
  </si>
  <si>
    <t>marijuana|police|road trip|stoner|white castle</t>
  </si>
  <si>
    <t>http://www.imdb.com/title/tt0366551/?ref_=fn_tt_tt_1</t>
  </si>
  <si>
    <t>The Contender</t>
  </si>
  <si>
    <t>bridge|governor|political thriller|president|vice president</t>
  </si>
  <si>
    <t>http://www.imdb.com/title/tt0208874/?ref_=fn_tt_tt_1</t>
  </si>
  <si>
    <t>Ben Younger</t>
  </si>
  <si>
    <t>Boiler Room</t>
  </si>
  <si>
    <t>career|casino|judge|stock|stock broker</t>
  </si>
  <si>
    <t>http://www.imdb.com/title/tt0181984/?ref_=fn_tt_tt_1</t>
  </si>
  <si>
    <t>Black Christmas</t>
  </si>
  <si>
    <t>attic|christmas|house|incest|sorority</t>
  </si>
  <si>
    <t>http://www.imdb.com/title/tt0454082/?ref_=fn_tt_tt_1</t>
  </si>
  <si>
    <t>Henry V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</si>
  <si>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</si>
  <si>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</si>
  <si>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</si>
  <si>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</si>
  <si>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The Way of the Gun</t>
  </si>
  <si>
    <t>Kristin Lehman</t>
  </si>
  <si>
    <t>Nicky Katt</t>
  </si>
  <si>
    <t>Dylan Kussman</t>
  </si>
  <si>
    <t>criminal|drifter|gangster|money|surrogate mother</t>
  </si>
  <si>
    <t>http://www.imdb.com/title/tt0202677/?ref_=fn_tt_tt_1</t>
  </si>
  <si>
    <t>Igby Goes Down</t>
  </si>
  <si>
    <t>Bill Irwin</t>
  </si>
  <si>
    <t>boy|mistress|money|schizophrenic|school</t>
  </si>
  <si>
    <t>http://www.imdb.com/title/tt0280760/?ref_=fn_tt_tt_1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</si>
  <si>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</si>
  <si>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</si>
  <si>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</si>
  <si>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</si>
  <si>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</si>
  <si>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Gracie</t>
  </si>
  <si>
    <t>Carly Schroeder</t>
  </si>
  <si>
    <t>boy|girl|soccer|south orange new jersey|teenager</t>
  </si>
  <si>
    <t>http://www.imdb.com/title/tt0441007/?ref_=fn_tt_tt_1</t>
  </si>
  <si>
    <t>Trust the Man</t>
  </si>
  <si>
    <t>actress|lesbianism|manhattan new york city|urination|watching pornography</t>
  </si>
  <si>
    <t>http://www.imdb.com/title/tt0427968/?ref_=fn_tt_tt_1</t>
  </si>
  <si>
    <t>Hamlet 2</t>
  </si>
  <si>
    <t>gang banger|sequel|shakespeare's hamlet|student|time machine</t>
  </si>
  <si>
    <t>http://www.imdb.com/title/tt1104733/?ref_=fn_tt_tt_1</t>
  </si>
  <si>
    <t>Glee: The 3D Concert Movie</t>
  </si>
  <si>
    <t>Lea Michele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</si>
  <si>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</si>
  <si>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</si>
  <si>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</si>
  <si>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</si>
  <si>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</si>
  <si>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The Legend of Suriyothai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</si>
  <si>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</si>
  <si>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</si>
  <si>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</si>
  <si>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</si>
  <si>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</si>
  <si>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Two Evil Eyes</t>
  </si>
  <si>
    <t>Adrienne Barbeau</t>
  </si>
  <si>
    <t>black cat|cat|evil|photographer|undead</t>
  </si>
  <si>
    <t>http://www.imdb.com/title/tt0100827/?ref_=fn_tt_tt_1</t>
  </si>
  <si>
    <t>All or Nothing</t>
  </si>
  <si>
    <t>Gary McDonald</t>
  </si>
  <si>
    <t>love|neighbor|single parent|supermarket|working class</t>
  </si>
  <si>
    <t>http://www.imdb.com/title/tt0286261/?ref_=fn_tt_tt_1</t>
  </si>
  <si>
    <t>Marc Forby</t>
  </si>
  <si>
    <t>Princess Kaiulani</t>
  </si>
  <si>
    <t>Q'orianka Kilcher</t>
  </si>
  <si>
    <t>hawaii|hawaiian|historically inaccurate|princess|tearing up a letter</t>
  </si>
  <si>
    <t>http://www.imdb.com/title/tt1185344/?ref_=fn_tt_tt_1</t>
  </si>
  <si>
    <t>Opal Dream</t>
  </si>
  <si>
    <t>Jacqueline McKenzie</t>
  </si>
  <si>
    <t>Vince Colosimo</t>
  </si>
  <si>
    <t>Peter Callan</t>
  </si>
  <si>
    <t>friend|girl|imaginary friend|outback|town</t>
  </si>
  <si>
    <t>http://www.imdb.com/title/tt0420835/?ref_=fn_tt_tt_1</t>
  </si>
  <si>
    <t>Ole Christian Madsen</t>
  </si>
  <si>
    <t>Flame and Citron</t>
  </si>
  <si>
    <t>Lars Mikkelsen</t>
  </si>
  <si>
    <t>Thure Lindhardt</t>
  </si>
  <si>
    <t>danish|double agent|nazi|nazi occupation|resistance</t>
  </si>
  <si>
    <t>http://www.imdb.com/title/tt0920458/?ref_=fn_tt_tt_1</t>
  </si>
  <si>
    <t>Danish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</si>
  <si>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</si>
  <si>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</si>
  <si>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</si>
  <si>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</si>
  <si>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</si>
  <si>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</si>
  <si>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</si>
  <si>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</si>
  <si>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</si>
  <si>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</si>
  <si>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</si>
  <si>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</t>
  </si>
  <si>
    <t>anesthetic|anesthetic awareness|heart|heart surgery|surgery</t>
  </si>
  <si>
    <t>http://www.imdb.com/title/tt0211933/?ref_=fn_tt_tt_1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</si>
  <si>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</si>
  <si>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</si>
  <si>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</si>
  <si>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</si>
  <si>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</si>
  <si>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</si>
  <si>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</si>
  <si>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</si>
  <si>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</si>
  <si>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Mark Rydell</t>
  </si>
  <si>
    <t>The Rose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</si>
  <si>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</si>
  <si>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</si>
  <si>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</si>
  <si>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</si>
  <si>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</si>
  <si>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Baggage Claim</t>
  </si>
  <si>
    <t>woman wearing only a man's shirt</t>
  </si>
  <si>
    <t>http://www.imdb.com/title/tt1171222/?ref_=fn_tt_tt_1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</si>
  <si>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</si>
  <si>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</si>
  <si>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</si>
  <si>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</si>
  <si>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</si>
  <si>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</t>
  </si>
  <si>
    <t>Skyler Samuels</t>
  </si>
  <si>
    <t>cartoon on tv|generation y|high school|overalls|strong female character</t>
  </si>
  <si>
    <t>http://www.imdb.com/title/tt1666801/?ref_=fn_tt_tt_1</t>
  </si>
  <si>
    <t>Glitter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</si>
  <si>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</si>
  <si>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</si>
  <si>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</si>
  <si>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</si>
  <si>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Bright Star</t>
  </si>
  <si>
    <t>Samuel Roukin</t>
  </si>
  <si>
    <t>19th century|friend|john keats|passion|poet</t>
  </si>
  <si>
    <t>http://www.imdb.com/title/tt0810784/?ref_=fn_tt_tt_1</t>
  </si>
  <si>
    <t>My Name Is Khan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</si>
  <si>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</si>
  <si>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</si>
  <si>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</si>
  <si>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</si>
  <si>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</si>
  <si>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Limbo</t>
  </si>
  <si>
    <t>Casey Siemaszko</t>
  </si>
  <si>
    <t>Vanessa Martinez</t>
  </si>
  <si>
    <t>alaska|island|motorboat|singer|wilderness</t>
  </si>
  <si>
    <t>http://www.imdb.com/title/tt0164085/?ref_=fn_tt_tt_1</t>
  </si>
  <si>
    <t>Repo! The Genetic Opera</t>
  </si>
  <si>
    <t>Horror|Musical|Sci-Fi</t>
  </si>
  <si>
    <t>future|murder|opera|repossession|surgery</t>
  </si>
  <si>
    <t>http://www.imdb.com/title/tt0963194/?ref_=fn_tt_tt_1</t>
  </si>
  <si>
    <t>Pulp Fiction</t>
  </si>
  <si>
    <t>black comedy|cunnilingus|neo noir|nonlinear timeline|postmodern</t>
  </si>
  <si>
    <t>http://www.imdb.com/title/tt0110912/?ref_=fn_tt_tt_1</t>
  </si>
  <si>
    <t>Dan Gilroy</t>
  </si>
  <si>
    <t>Nightcrawler</t>
  </si>
  <si>
    <t>James Huang</t>
  </si>
  <si>
    <t>employer employee relationship|ethics|journalism|sociopath|tv news</t>
  </si>
  <si>
    <t>http://www.imdb.com/title/tt2872718/?ref_=fn_tt_tt_1</t>
  </si>
  <si>
    <t>Club Dread</t>
  </si>
  <si>
    <t>Lindsay Price</t>
  </si>
  <si>
    <t>beach|island|party|resort|serial killer</t>
  </si>
  <si>
    <t>http://www.imdb.com/title/tt0331953/?ref_=fn_tt_tt_1</t>
  </si>
  <si>
    <t>The Sound of Music</t>
  </si>
  <si>
    <t>Biography|Drama|Family|Musical|Romance</t>
  </si>
  <si>
    <t>Eleanor Parker</t>
  </si>
  <si>
    <t>Angela Cartwright</t>
  </si>
  <si>
    <t>Nicholas Hammond</t>
  </si>
  <si>
    <t>austria|children|governess|love|orchestral music score</t>
  </si>
  <si>
    <t>http://www.imdb.com/title/tt0059742/?ref_=fn_tt_tt_1</t>
  </si>
  <si>
    <t>Splash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</si>
  <si>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</si>
  <si>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</si>
  <si>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</si>
  <si>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</si>
  <si>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</si>
  <si>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Little Miss Sunshine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</si>
  <si>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</si>
  <si>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</si>
  <si>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</si>
  <si>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</si>
  <si>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Stand by Me</t>
  </si>
  <si>
    <t>Frances Lee McCain</t>
  </si>
  <si>
    <t>friendship|summertime|treehouse|walking on train tracks|woods</t>
  </si>
  <si>
    <t>http://www.imdb.com/title/tt0092005/?ref_=fn_tt_tt_1</t>
  </si>
  <si>
    <t>28 Days Later...</t>
  </si>
  <si>
    <t>Noah Huntley</t>
  </si>
  <si>
    <t>Megan Burns</t>
  </si>
  <si>
    <t>David Schneider</t>
  </si>
  <si>
    <t>laboratory|london england|military|virus|zombie apocalypse</t>
  </si>
  <si>
    <t>http://www.imdb.com/title/tt0289043/?ref_=fn_tt_tt_1</t>
  </si>
  <si>
    <t>Chris Stokes</t>
  </si>
  <si>
    <t>You Got Served</t>
  </si>
  <si>
    <t>Jennifer Freeman</t>
  </si>
  <si>
    <t>Marques Houston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</si>
  <si>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</si>
  <si>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</si>
  <si>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</si>
  <si>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</si>
  <si>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</t>
  </si>
  <si>
    <t>alcatraz|escape|inmate|island|prison</t>
  </si>
  <si>
    <t>http://www.imdb.com/title/tt0079116/?ref_=fn_tt_tt_1</t>
  </si>
  <si>
    <t>Brown Sugar</t>
  </si>
  <si>
    <t>basketball|hip hop|rap music|record company|writer</t>
  </si>
  <si>
    <t>http://www.imdb.com/title/tt0297037/?ref_=fn_tt_tt_1</t>
  </si>
  <si>
    <t>Martin Lawrence</t>
  </si>
  <si>
    <t>A Thin Line Between Love and Hate</t>
  </si>
  <si>
    <t>Comedy|Crime|Drama|Romance|Thriller</t>
  </si>
  <si>
    <t>african american|dating|independent film|irreverence|revenge</t>
  </si>
  <si>
    <t>http://www.imdb.com/title/tt0117891/?ref_=fn_tt_tt_1</t>
  </si>
  <si>
    <t>50/50</t>
  </si>
  <si>
    <t>best friend|cancer|survival rate|therapist|vomiting</t>
  </si>
  <si>
    <t>http://www.imdb.com/title/tt1306980/?ref_=fn_tt_tt_1</t>
  </si>
  <si>
    <t>Masayuki Ochiai</t>
  </si>
  <si>
    <t>Shutter</t>
  </si>
  <si>
    <t>James Kyson</t>
  </si>
  <si>
    <t>David Denman</t>
  </si>
  <si>
    <t>Daisy Betts</t>
  </si>
  <si>
    <t>car accident|japan|newlywed|photograph|photographer</t>
  </si>
  <si>
    <t>http://www.imdb.com/title/tt0482599/?ref_=fn_tt_tt_1</t>
  </si>
  <si>
    <t>Tom Gormican</t>
  </si>
  <si>
    <t>That Awkward Moment</t>
  </si>
  <si>
    <t>Mackenzie Davis</t>
  </si>
  <si>
    <t>Lola Glaudini</t>
  </si>
  <si>
    <t>Josh Pais</t>
  </si>
  <si>
    <t>dating|divorce|father daughter relationship|mother daughter relationship|party</t>
  </si>
  <si>
    <t>http://www.imdb.com/title/tt1800246/?ref_=fn_tt_tt_1</t>
  </si>
  <si>
    <t>Much Ado About Nothing</t>
  </si>
  <si>
    <t>16th century|bachelor|dishonor|masquerade party|wedding</t>
  </si>
  <si>
    <t>http://www.imdb.com/title/tt0107616/?ref_=fn_tt_tt_1</t>
  </si>
  <si>
    <t>Peter R. Hunt</t>
  </si>
  <si>
    <t>On Her Majesty's Secret Service</t>
  </si>
  <si>
    <t>Telly Savalas</t>
  </si>
  <si>
    <t>George Lazenby</t>
  </si>
  <si>
    <t>bond girl|british|mission|portugal|switzerland</t>
  </si>
  <si>
    <t>http://www.imdb.com/title/tt0064757/?ref_=fn_tt_tt_1</t>
  </si>
  <si>
    <t>M</t>
  </si>
  <si>
    <t>New Nightmare</t>
  </si>
  <si>
    <t>Heather Langenkamp</t>
  </si>
  <si>
    <t>Tracy Middendorf</t>
  </si>
  <si>
    <t>earthquake|elm street|freddy krueger|nightmare|sleep</t>
  </si>
  <si>
    <t>http://www.imdb.com/title/tt0111686/?ref_=fn_tt_tt_1</t>
  </si>
  <si>
    <t>Drive Me Crazy</t>
  </si>
  <si>
    <t>Keri Lynn Pratt</t>
  </si>
  <si>
    <t>centennial|girl|next door neighbor|prom|school</t>
  </si>
  <si>
    <t>http://www.imdb.com/title/tt0164114/?ref_=fn_tt_tt_1</t>
  </si>
  <si>
    <t>Half Baked</t>
  </si>
  <si>
    <t>bail|diabetic|friend|jail|pharmaceutical lab</t>
  </si>
  <si>
    <t>http://www.imdb.com/title/tt0120693/?ref_=fn_tt_tt_1</t>
  </si>
  <si>
    <t>Jonas Elmer</t>
  </si>
  <si>
    <t>New in Town</t>
  </si>
  <si>
    <t>love|manufacturing|minnesota|plant|small town</t>
  </si>
  <si>
    <t>http://www.imdb.com/title/tt1095174/?ref_=fn_tt_tt_1</t>
  </si>
  <si>
    <t>Mary Harron</t>
  </si>
  <si>
    <t>American Psycho</t>
  </si>
  <si>
    <t>1980s|business card|male rear nudity|materialism|narcissism</t>
  </si>
  <si>
    <t>http://www.imdb.com/title/tt0144084/?ref_=fn_tt_tt_1</t>
  </si>
  <si>
    <t>The Good Girl</t>
  </si>
  <si>
    <t>dysfunctional marriage|marijuana|small town|store|trying to conceive</t>
  </si>
  <si>
    <t>http://www.imdb.com/title/tt0279113/?ref_=fn_tt_tt_1</t>
  </si>
  <si>
    <t>Troy Duffy</t>
  </si>
  <si>
    <t>The Boondock Saints II: All Saints Day</t>
  </si>
  <si>
    <t>final showdown|ireland|justice|priest|sheep</t>
  </si>
  <si>
    <t>http://www.imdb.com/title/tt1300851/?ref_=fn_tt_tt_1</t>
  </si>
  <si>
    <t>Nicole Holofcener</t>
  </si>
  <si>
    <t>Enough Said</t>
  </si>
  <si>
    <t>Christopher Nicholas Smith</t>
  </si>
  <si>
    <t>Michaela Watkins</t>
  </si>
  <si>
    <t>dating|divorcee|ex husband|ex wife|party</t>
  </si>
  <si>
    <t>http://www.imdb.com/title/tt2390361/?ref_=fn_tt_tt_1</t>
  </si>
  <si>
    <t>Easy A</t>
  </si>
  <si>
    <t>Fred Armisen</t>
  </si>
  <si>
    <t>gay|gay interest|high school|school|student</t>
  </si>
  <si>
    <t>http://www.imdb.com/title/tt1282140/?ref_=fn_tt_tt_1</t>
  </si>
  <si>
    <t>Shadow of the Vampire</t>
  </si>
  <si>
    <t>Drama|Horror</t>
  </si>
  <si>
    <t>actor|breasts|film actress|nosferatu|vampire</t>
  </si>
  <si>
    <t>http://www.imdb.com/title/tt0189998/?ref_=fn_tt_tt_1</t>
  </si>
  <si>
    <t>Prom</t>
  </si>
  <si>
    <t>decoration|father daughter relationship|high school|prom|teenager</t>
  </si>
  <si>
    <t>http://www.imdb.com/title/tt1604171/?ref_=fn_tt_tt_1</t>
  </si>
  <si>
    <t>Held Up</t>
  </si>
  <si>
    <t>hold up|hostage|stockholm syndrome|swat team|vegetarian</t>
  </si>
  <si>
    <t>http://www.imdb.com/title/tt0165831/?ref_=fn_tt_tt_1</t>
  </si>
  <si>
    <t>Fina Torres</t>
  </si>
  <si>
    <t>Woman on Top</t>
  </si>
  <si>
    <t>Mark Feuerstein</t>
  </si>
  <si>
    <t>cross dresser|food|friend|motion sickness|restaurant</t>
  </si>
  <si>
    <t>http://www.imdb.com/title/tt0206420/?ref_=fn_tt_tt_1</t>
  </si>
  <si>
    <t>Duke Johnson</t>
  </si>
  <si>
    <t>Anomalisa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</si>
  <si>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</si>
  <si>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</si>
  <si>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</si>
  <si>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</si>
  <si>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</t>
  </si>
  <si>
    <t>autumn|four seasons|friend|looking at one's self in a mirror|unhappiness</t>
  </si>
  <si>
    <t>http://www.imdb.com/title/tt1431181/?ref_=fn_tt_tt_1</t>
  </si>
  <si>
    <t>FranÃ§ois Ozon</t>
  </si>
  <si>
    <t>8 Women</t>
  </si>
  <si>
    <t>Comedy|Crime|Musical|Romance</t>
  </si>
  <si>
    <t>Emmanuelle BÃ©art</t>
  </si>
  <si>
    <t>cook|industrialist|secret|snowstorm|suspect</t>
  </si>
  <si>
    <t>http://www.imdb.com/title/tt0283832/?ref_=fn_tt_tt_1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</si>
  <si>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</si>
  <si>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</si>
  <si>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</si>
  <si>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</si>
  <si>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Clay Pigeons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</si>
  <si>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</si>
  <si>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</si>
  <si>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</si>
  <si>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</si>
  <si>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</t>
  </si>
  <si>
    <t>based on novel|depression|psychiatric ward|suicide attempt|therapy</t>
  </si>
  <si>
    <t>http://www.imdb.com/title/tt0804497/?ref_=fn_tt_tt_1</t>
  </si>
  <si>
    <t>Made in Dagenham</t>
  </si>
  <si>
    <t>Robbie Kay</t>
  </si>
  <si>
    <t>equal pay|machinist|minister|protest|sex</t>
  </si>
  <si>
    <t>http://www.imdb.com/title/tt1371155/?ref_=fn_tt_tt_1</t>
  </si>
  <si>
    <t>When Did You Last See Your Father?</t>
  </si>
  <si>
    <t>Gina McKee</t>
  </si>
  <si>
    <t>cancer|children|death|terminal cancer|time</t>
  </si>
  <si>
    <t>http://www.imdb.com/title/tt0829098/?ref_=fn_tt_tt_1</t>
  </si>
  <si>
    <t>Steve James</t>
  </si>
  <si>
    <t>Prefontaine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</si>
  <si>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</si>
  <si>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</si>
  <si>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</si>
  <si>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</si>
  <si>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</si>
  <si>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The Secret of Kells</t>
  </si>
  <si>
    <t>Sean Lennon</t>
  </si>
  <si>
    <t>Mick Lally</t>
  </si>
  <si>
    <t>Evan McGuire</t>
  </si>
  <si>
    <t>barbarian|fairy|forest|monastery|unfinished book</t>
  </si>
  <si>
    <t>http://www.imdb.com/title/tt0485601/?ref_=fn_tt_tt_1</t>
  </si>
  <si>
    <t>John Carney</t>
  </si>
  <si>
    <t>Begin Again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</si>
  <si>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</si>
  <si>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</si>
  <si>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</si>
  <si>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</si>
  <si>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</si>
  <si>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</t>
  </si>
  <si>
    <t>beach|cowboy|cowboy hat|neo western|valley</t>
  </si>
  <si>
    <t>http://www.imdb.com/title/tt0398027/?ref_=fn_tt_tt_1</t>
  </si>
  <si>
    <t>Michael Corrente</t>
  </si>
  <si>
    <t>Brooklyn Rules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</si>
  <si>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</si>
  <si>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</si>
  <si>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</si>
  <si>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</si>
  <si>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</si>
  <si>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The Singing Detective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</si>
  <si>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</si>
  <si>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</si>
  <si>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</si>
  <si>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</si>
  <si>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Fido</t>
  </si>
  <si>
    <t>Alexia Fast</t>
  </si>
  <si>
    <t>Kesun Loder</t>
  </si>
  <si>
    <t>decapitation|neighbor|neighborhood|next door neighbor|zombie</t>
  </si>
  <si>
    <t>http://www.imdb.com/title/tt0457572/?ref_=fn_tt_tt_1</t>
  </si>
  <si>
    <t>The Wendell Baker Story</t>
  </si>
  <si>
    <t>directorial debut|fantasy sequence|nurse|old age home|prison</t>
  </si>
  <si>
    <t>http://www.imdb.com/title/tt0373445/?ref_=fn_tt_tt_1</t>
  </si>
  <si>
    <t>Wild Target</t>
  </si>
  <si>
    <t>Geoff Bell</t>
  </si>
  <si>
    <t>apprentice|assassin|hitman|kleptomaniac|thief</t>
  </si>
  <si>
    <t>http://www.imdb.com/title/tt1235189/?ref_=fn_tt_tt_1</t>
  </si>
  <si>
    <t>Marc SchÃ¶lermann</t>
  </si>
  <si>
    <t>Pathology</t>
  </si>
  <si>
    <t>Larry Drake</t>
  </si>
  <si>
    <t>corpse|dark humor|medical school|murder|pathology</t>
  </si>
  <si>
    <t>http://www.imdb.com/title/tt0964539/?ref_=fn_tt_tt_1</t>
  </si>
  <si>
    <t>Robert Moresco</t>
  </si>
  <si>
    <t>10th &amp; Wolf</t>
  </si>
  <si>
    <t>desert storm|fbi|fbi agent|fragmentation grenade|woman kills attacker</t>
  </si>
  <si>
    <t>http://www.imdb.com/title/tt0360323/?ref_=fn_tt_tt_1</t>
  </si>
  <si>
    <t>Thomas Vinterberg</t>
  </si>
  <si>
    <t>Dear Wendy</t>
  </si>
  <si>
    <t>Chris Owen</t>
  </si>
  <si>
    <t>gang|gun|loner|love|outcast</t>
  </si>
  <si>
    <t>http://www.imdb.com/title/tt0342272/?ref_=fn_tt_tt_1</t>
  </si>
  <si>
    <t>Akira</t>
  </si>
  <si>
    <t>Action|Animation|Sci-Fi</t>
  </si>
  <si>
    <t>Mitsuo Iwata</t>
  </si>
  <si>
    <t>Takeshi Kusao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</si>
  <si>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</si>
  <si>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</si>
  <si>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</si>
  <si>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</si>
  <si>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</t>
  </si>
  <si>
    <t>Darren Boyd</t>
  </si>
  <si>
    <t>florist|friend|friendship|lesbian|love</t>
  </si>
  <si>
    <t>http://www.imdb.com/title/tt0421994/?ref_=fn_tt_tt_1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</si>
  <si>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</si>
  <si>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</si>
  <si>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</si>
  <si>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</si>
  <si>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</si>
  <si>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Driving Miss Daisy</t>
  </si>
  <si>
    <t>Jessica Tandy</t>
  </si>
  <si>
    <t>Patti LuPone</t>
  </si>
  <si>
    <t>1950s|african american|jewish|old age|widow</t>
  </si>
  <si>
    <t>http://www.imdb.com/title/tt0097239/?ref_=fn_tt_tt_1</t>
  </si>
  <si>
    <t>Soul Food</t>
  </si>
  <si>
    <t>1990s|family relationships|food in title|sister|unity</t>
  </si>
  <si>
    <t>http://www.imdb.com/title/tt0120169/?ref_=fn_tt_tt_1</t>
  </si>
  <si>
    <t>Stanley Tong</t>
  </si>
  <si>
    <t>Rumble in the Bronx</t>
  </si>
  <si>
    <t>FranÃ§oise Yip</t>
  </si>
  <si>
    <t>Anita Mui</t>
  </si>
  <si>
    <t>Garvin Cross</t>
  </si>
  <si>
    <t>fight|gang|greed|street gang|wedding</t>
  </si>
  <si>
    <t>http://www.imdb.com/title/tt0113326/?ref_=fn_tt_tt_1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</si>
  <si>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</si>
  <si>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</si>
  <si>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</si>
  <si>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</si>
  <si>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</si>
  <si>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</t>
  </si>
  <si>
    <t>Stanislav Ianevski</t>
  </si>
  <si>
    <t>american|hostel|slovakia|torture|train</t>
  </si>
  <si>
    <t>http://www.imdb.com/title/tt0498353/?ref_=fn_tt_tt_1</t>
  </si>
  <si>
    <t>An Education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</si>
  <si>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</si>
  <si>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</si>
  <si>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</si>
  <si>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</si>
  <si>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</si>
  <si>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</si>
  <si>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</si>
  <si>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</si>
  <si>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Narc</t>
  </si>
  <si>
    <t>blood splatter|cover up|murder|police shootout|undercover</t>
  </si>
  <si>
    <t>http://www.imdb.com/title/tt0272207/?ref_=fn_tt_tt_1</t>
  </si>
  <si>
    <t>Paul Gross</t>
  </si>
  <si>
    <t>Men with Brooms</t>
  </si>
  <si>
    <t>Molly Parker</t>
  </si>
  <si>
    <t>championship|coach|curling|marriage|rural setting</t>
  </si>
  <si>
    <t>http://www.imdb.com/title/tt0263734/?ref_=fn_tt_tt_1</t>
  </si>
  <si>
    <t>Charles Robert Carner</t>
  </si>
  <si>
    <t>Witless Protection</t>
  </si>
  <si>
    <t>Richard Bull</t>
  </si>
  <si>
    <t>fbi|polo|possum|sheriff|shotgun</t>
  </si>
  <si>
    <t>http://www.imdb.com/title/tt1001562/?ref_=fn_tt_tt_1</t>
  </si>
  <si>
    <t>Extract</t>
  </si>
  <si>
    <t>freak accident|gigolo|hit in the crotch|nosy neighbor|on the job injury</t>
  </si>
  <si>
    <t>http://www.imdb.com/title/tt1225822/?ref_=fn_tt_tt_1</t>
  </si>
  <si>
    <t>Code 46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</si>
  <si>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</si>
  <si>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</si>
  <si>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</si>
  <si>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</si>
  <si>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</si>
  <si>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Albert Nobbs</t>
  </si>
  <si>
    <t>Michael McElhatton</t>
  </si>
  <si>
    <t>19th century|hotel|painter|waiter|woman pretending to be a man</t>
  </si>
  <si>
    <t>http://www.imdb.com/title/tt1602098/?ref_=fn_tt_tt_1</t>
  </si>
  <si>
    <t>Vincent Paronnaud</t>
  </si>
  <si>
    <t>Persepolis</t>
  </si>
  <si>
    <t>Animation|Biography|Drama|War</t>
  </si>
  <si>
    <t>Danielle Darrieux</t>
  </si>
  <si>
    <t>dream|girl|iran|islamic revolution|revolution</t>
  </si>
  <si>
    <t>http://www.imdb.com/title/tt0808417/?ref_=fn_tt_tt_1</t>
  </si>
  <si>
    <t>The Neon Demon</t>
  </si>
  <si>
    <t>Charles Baker</t>
  </si>
  <si>
    <t>beauty|cannibalism|fashion|lesbian|model</t>
  </si>
  <si>
    <t>http://www.imdb.com/title/tt1974419/?ref_=fn_tt_tt_1</t>
  </si>
  <si>
    <t>Daniel Barber</t>
  </si>
  <si>
    <t>Harry Brown</t>
  </si>
  <si>
    <t>bayonet|death|police|self defense|widower</t>
  </si>
  <si>
    <t>http://www.imdb.com/title/tt1289406/?ref_=fn_tt_tt_1</t>
  </si>
  <si>
    <t>Robert Marcarelli</t>
  </si>
  <si>
    <t>The Omega Code</t>
  </si>
  <si>
    <t>George Coe</t>
  </si>
  <si>
    <t>Ayla Kell</t>
  </si>
  <si>
    <t>code|evil|false accusation|megalomaniac|torah</t>
  </si>
  <si>
    <t>http://www.imdb.com/title/tt0203408/?ref_=fn_tt_tt_1</t>
  </si>
  <si>
    <t>Juno</t>
  </si>
  <si>
    <t>adoption|baby|friend|pregnancy|school</t>
  </si>
  <si>
    <t>http://www.imdb.com/title/tt0467406/?ref_=fn_tt_tt_1</t>
  </si>
  <si>
    <t>Guy Hamilton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</si>
  <si>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</si>
  <si>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</si>
  <si>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</si>
  <si>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</si>
  <si>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GP</t>
  </si>
  <si>
    <t>The Godfather</t>
  </si>
  <si>
    <t>crime family|mafia|organized crime|patriarch|rise to power</t>
  </si>
  <si>
    <t>http://www.imdb.com/title/tt0068646/?ref_=fn_tt_tt_1</t>
  </si>
  <si>
    <t>Flashdance</t>
  </si>
  <si>
    <t>Cynthia Rhodes</t>
  </si>
  <si>
    <t>Lee Ving</t>
  </si>
  <si>
    <t>ballet school|dance|dancer|overalls|steel worker</t>
  </si>
  <si>
    <t>http://www.imdb.com/title/tt0085549/?ref_=fn_tt_tt_1</t>
  </si>
  <si>
    <t>500 Days of Summer</t>
  </si>
  <si>
    <t>friend|greeting card|office|summer|true love</t>
  </si>
  <si>
    <t>http://www.imdb.com/title/tt1022603/?ref_=fn_tt_tt_1</t>
  </si>
  <si>
    <t>The Piano</t>
  </si>
  <si>
    <t>Ian Mune</t>
  </si>
  <si>
    <t>GeneviÃ¨ve Lemon</t>
  </si>
  <si>
    <t>adultery|daughter|male rear nudity|new zealand|piano</t>
  </si>
  <si>
    <t>http://www.imdb.com/title/tt0107822/?ref_=fn_tt_tt_1</t>
  </si>
  <si>
    <t>Magic Mike</t>
  </si>
  <si>
    <t>bank|male nudity|male objectification|male stripper|stripper</t>
  </si>
  <si>
    <t>http://www.imdb.com/title/tt1915581/?ref_=fn_tt_tt_1</t>
  </si>
  <si>
    <t>Darkness Falls</t>
  </si>
  <si>
    <t>Emma Caulfield</t>
  </si>
  <si>
    <t>Angus Sampson</t>
  </si>
  <si>
    <t>boy|darkness|light|tooth|tooth fairy</t>
  </si>
  <si>
    <t>http://www.imdb.com/title/tt0282209/?ref_=fn_tt_tt_1</t>
  </si>
  <si>
    <t>Live and Let Die</t>
  </si>
  <si>
    <t>Clifton James</t>
  </si>
  <si>
    <t>british|cards|heroin|murder|tarot card</t>
  </si>
  <si>
    <t>http://www.imdb.com/title/tt0070328/?ref_=fn_tt_tt_1</t>
  </si>
  <si>
    <t>My Dog Skip</t>
  </si>
  <si>
    <t>Cody Linley</t>
  </si>
  <si>
    <t>1940s|dog|mississippi|puppy|veteran</t>
  </si>
  <si>
    <t>http://www.imdb.com/title/tt0156812/?ref_=fn_tt_tt_1</t>
  </si>
  <si>
    <t>Jumping the Broom</t>
  </si>
  <si>
    <t>martha's vineyard|mother|older woman younger man relationship|wedding|weekend</t>
  </si>
  <si>
    <t>http://www.imdb.com/title/tt1640484/?ref_=fn_tt_tt_1</t>
  </si>
  <si>
    <t>Good Night, and Good Luck.</t>
  </si>
  <si>
    <t>cbs|expose|fear|paranoia|reporter</t>
  </si>
  <si>
    <t>http://www.imdb.com/title/tt0433383/?ref_=fn_tt_tt_1</t>
  </si>
  <si>
    <t>Capote</t>
  </si>
  <si>
    <t>Michael J. Burg</t>
  </si>
  <si>
    <t>Kwesi Ameyaw</t>
  </si>
  <si>
    <t>book|holcomb kansas|kansas|killer|truman capote</t>
  </si>
  <si>
    <t>http://www.imdb.com/title/tt0379725/?ref_=fn_tt_tt_1</t>
  </si>
  <si>
    <t>Desperado</t>
  </si>
  <si>
    <t>crushed by a car|female frontal nudity|female nudity|female rear nudity|one against many</t>
  </si>
  <si>
    <t>http://www.imdb.com/title/tt0112851/?ref_=fn_tt_tt_1</t>
  </si>
  <si>
    <t>Michael Anderson</t>
  </si>
  <si>
    <t>Logan's Run</t>
  </si>
  <si>
    <t>Farrah Fawcett</t>
  </si>
  <si>
    <t>Peter Ustinov</t>
  </si>
  <si>
    <t>cat|computer|cult film|runner|sanctuary</t>
  </si>
  <si>
    <t>http://www.imdb.com/title/tt0074812/?ref_=fn_tt_tt_1</t>
  </si>
  <si>
    <t>The Man with the Golden Gun</t>
  </si>
  <si>
    <t>HervÃ© Villechaize</t>
  </si>
  <si>
    <t>assassin|bikini|girl in a bikini|mission|secret agent</t>
  </si>
  <si>
    <t>http://www.imdb.com/title/tt0071807/?ref_=fn_tt_tt_1</t>
  </si>
  <si>
    <t>Action Jackson</t>
  </si>
  <si>
    <t>murder|power|psychotronic|tough cop|union</t>
  </si>
  <si>
    <t>http://www.imdb.com/title/tt0094612/?ref_=fn_tt_tt_1</t>
  </si>
  <si>
    <t>The Descent</t>
  </si>
  <si>
    <t>MyAnna Buring</t>
  </si>
  <si>
    <t>Shauna Macdonald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</si>
  <si>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</si>
  <si>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</si>
  <si>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</si>
  <si>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</si>
  <si>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Devil's Due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</si>
  <si>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</si>
  <si>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</si>
  <si>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</si>
  <si>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</si>
  <si>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Flirting with Disaster</t>
  </si>
  <si>
    <t>Mary Tyler Moore</t>
  </si>
  <si>
    <t>adoption|armpit fetish|mistaken identity|new mexico|overalls</t>
  </si>
  <si>
    <t>http://www.imdb.com/title/tt0116324/?ref_=fn_tt_tt_1</t>
  </si>
  <si>
    <t>The Devil's Rejects</t>
  </si>
  <si>
    <t>Crime|Horror</t>
  </si>
  <si>
    <t>Ken Foree</t>
  </si>
  <si>
    <t>escape|police|road trip|sheriff|texas</t>
  </si>
  <si>
    <t>http://www.imdb.com/title/tt0395584/?ref_=fn_tt_tt_1</t>
  </si>
  <si>
    <t>Dope</t>
  </si>
  <si>
    <t>Rick Fox</t>
  </si>
  <si>
    <t>african american|geek|hip hop|party|tomboy</t>
  </si>
  <si>
    <t>http://www.imdb.com/title/tt3850214/?ref_=fn_tt_tt_1</t>
  </si>
  <si>
    <t>In Too Deep</t>
  </si>
  <si>
    <t>cunnilingus|oral sex|police|sex scene|undercover</t>
  </si>
  <si>
    <t>http://www.imdb.com/title/tt0160401/?ref_=fn_tt_tt_1</t>
  </si>
  <si>
    <t>House of 1000 Corpses</t>
  </si>
  <si>
    <t>Matthew McGrory</t>
  </si>
  <si>
    <t>Erin Daniels</t>
  </si>
  <si>
    <t>actor playing multiple roles|axe|dark comedy|masked man|sadism</t>
  </si>
  <si>
    <t>http://www.imdb.com/title/tt0251736/?ref_=fn_tt_tt_1</t>
  </si>
  <si>
    <t>A Serious Man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</si>
  <si>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</si>
  <si>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</si>
  <si>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</si>
  <si>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</si>
  <si>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</si>
  <si>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Get Low</t>
  </si>
  <si>
    <t>funeral|funeral home|hermit|party|secret</t>
  </si>
  <si>
    <t>http://www.imdb.com/title/tt1194263/?ref_=fn_tt_tt_1</t>
  </si>
  <si>
    <t>Warlock</t>
  </si>
  <si>
    <t>17th century|book|death|warlock|witch hunter</t>
  </si>
  <si>
    <t>http://www.imdb.com/title/tt0098622/?ref_=fn_tt_tt_1</t>
  </si>
  <si>
    <t>Tom Ford</t>
  </si>
  <si>
    <t>A Single Man</t>
  </si>
  <si>
    <t>Teddy Sears</t>
  </si>
  <si>
    <t>car accident|male full back nudity|practicing a suicide|public nudity|suicide contemplation</t>
  </si>
  <si>
    <t>http://www.imdb.com/title/tt1315981/?ref_=fn_tt_tt_1</t>
  </si>
  <si>
    <t>The Last Temptation of Christ</t>
  </si>
  <si>
    <t>Barbara Hershey</t>
  </si>
  <si>
    <t>carpenter|exorcism|faith|reference to jesus christ|temptation</t>
  </si>
  <si>
    <t>http://www.imdb.com/title/tt0095497/?ref_=fn_tt_tt_1</t>
  </si>
  <si>
    <t>Outside Providence</t>
  </si>
  <si>
    <t>Jonathan Brandis</t>
  </si>
  <si>
    <t>George Wendt</t>
  </si>
  <si>
    <t>class|cornwall connecticut|dog|friend|pawtucket rhode island</t>
  </si>
  <si>
    <t>http://www.imdb.com/title/tt0125971/?ref_=fn_tt_tt_1</t>
  </si>
  <si>
    <t>Gurinder Chadha</t>
  </si>
  <si>
    <t>Bride &amp; Prejudice</t>
  </si>
  <si>
    <t>Anupam Kher</t>
  </si>
  <si>
    <t>bollywood|india|jane austen|london england|travel</t>
  </si>
  <si>
    <t>http://www.imdb.com/title/tt0361411/?ref_=fn_tt_tt_1</t>
  </si>
  <si>
    <t>Rabbit-Proof Fence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</si>
  <si>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</si>
  <si>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</si>
  <si>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</si>
  <si>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</si>
  <si>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</si>
  <si>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</si>
  <si>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</si>
  <si>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</si>
  <si>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</si>
  <si>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Tony Maylam</t>
  </si>
  <si>
    <t>Split Second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</si>
  <si>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</si>
  <si>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</si>
  <si>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</si>
  <si>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</si>
  <si>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</si>
  <si>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</si>
  <si>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The Other Side of Heaven</t>
  </si>
  <si>
    <t>Nathaniel Lees</t>
  </si>
  <si>
    <t>Miriama Smith</t>
  </si>
  <si>
    <t>1950s|idaho|love|missionary|mormon</t>
  </si>
  <si>
    <t>http://www.imdb.com/title/tt0250371/?ref_=fn_tt_tt_1</t>
  </si>
  <si>
    <t>Redbelt</t>
  </si>
  <si>
    <t>Randy Couture</t>
  </si>
  <si>
    <t>bar|debt|fight|instructor|jujitsu</t>
  </si>
  <si>
    <t>http://www.imdb.com/title/tt1012804/?ref_=fn_tt_tt_1</t>
  </si>
  <si>
    <t>Cyrus</t>
  </si>
  <si>
    <t>Katie Aselton</t>
  </si>
  <si>
    <t>21 year old|forename as title|musician|party|rearview mirror</t>
  </si>
  <si>
    <t>http://www.imdb.com/title/tt1336617/?ref_=fn_tt_tt_1</t>
  </si>
  <si>
    <t>Kevin Brodie</t>
  </si>
  <si>
    <t>A Dog of Flanders</t>
  </si>
  <si>
    <t>Cheryl Ladd</t>
  </si>
  <si>
    <t>artist|box office flop|dog|drawing|flanders</t>
  </si>
  <si>
    <t>http://www.imdb.com/title/tt0160216/?ref_=fn_tt_tt_1</t>
  </si>
  <si>
    <t>Paul Schrader</t>
  </si>
  <si>
    <t>Auto Focus</t>
  </si>
  <si>
    <t>friendship|photography|radio|sex addict|video</t>
  </si>
  <si>
    <t>http://www.imdb.com/title/tt0298744/?ref_=fn_tt_tt_1</t>
  </si>
  <si>
    <t>Factory Girl</t>
  </si>
  <si>
    <t>andy warhol|female nudity|public nudity|singer|socialite</t>
  </si>
  <si>
    <t>http://www.imdb.com/title/tt0432402/?ref_=fn_tt_tt_1</t>
  </si>
  <si>
    <t>Lynne Ramsay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</si>
  <si>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</si>
  <si>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</si>
  <si>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</si>
  <si>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</si>
  <si>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</si>
  <si>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</si>
  <si>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</si>
  <si>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</si>
  <si>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</si>
  <si>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Mother and Child</t>
  </si>
  <si>
    <t>adoption|baby|girl|lawyer|sex</t>
  </si>
  <si>
    <t>http://www.imdb.com/title/tt1121977/?ref_=fn_tt_tt_1</t>
  </si>
  <si>
    <t>Dick Richards</t>
  </si>
  <si>
    <t>March or Die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</si>
  <si>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</si>
  <si>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</si>
  <si>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</si>
  <si>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</si>
  <si>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</t>
  </si>
  <si>
    <t>Christian Clavier</t>
  </si>
  <si>
    <t>ValÃ©rie Lemercier</t>
  </si>
  <si>
    <t>distant past|future time travel|nobleman|squire|trapped in the past</t>
  </si>
  <si>
    <t>http://www.imdb.com/title/tt0108500/?ref_=fn_tt_tt_1</t>
  </si>
  <si>
    <t>Somewhere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</si>
  <si>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</si>
  <si>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</si>
  <si>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</si>
  <si>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</si>
  <si>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</si>
  <si>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Chairman of the Board</t>
  </si>
  <si>
    <t>box office flop|company|invention|roommate|surfer</t>
  </si>
  <si>
    <t>http://www.imdb.com/title/tt0118836/?ref_=fn_tt_tt_1</t>
  </si>
  <si>
    <t>Spencer Susser</t>
  </si>
  <si>
    <t>Hesher</t>
  </si>
  <si>
    <t>bully|car|car accident|fire|vomiting</t>
  </si>
  <si>
    <t>http://www.imdb.com/title/tt1403177/?ref_=fn_tt_tt_1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</si>
  <si>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</si>
  <si>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</si>
  <si>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</si>
  <si>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</si>
  <si>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</si>
  <si>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Freeheld</t>
  </si>
  <si>
    <t>cancer|gay bar|lesbian kiss|partner|public hearing</t>
  </si>
  <si>
    <t>http://www.imdb.com/title/tt1658801/?ref_=fn_tt_tt_1</t>
  </si>
  <si>
    <t>Shari Springer Berman</t>
  </si>
  <si>
    <t>The Extra Man</t>
  </si>
  <si>
    <t>co worker|escort|magazine|teacher|writer</t>
  </si>
  <si>
    <t>http://www.imdb.com/title/tt1361313/?ref_=fn_tt_tt_1</t>
  </si>
  <si>
    <t>Stephen Milburn Anderson</t>
  </si>
  <si>
    <t>Ca$h</t>
  </si>
  <si>
    <t>cash|financial problem|heist|land rover|mortgage</t>
  </si>
  <si>
    <t>http://www.imdb.com/title/tt1106860/?ref_=fn_tt_tt_1</t>
  </si>
  <si>
    <t>Wah-Wah</t>
  </si>
  <si>
    <t>alcoholic|alcoholic father|stepmother|swaziland|unfaithful wife</t>
  </si>
  <si>
    <t>http://www.imdb.com/title/tt0419256/?ref_=fn_tt_tt_1</t>
  </si>
  <si>
    <t>Pale Rider</t>
  </si>
  <si>
    <t>Western</t>
  </si>
  <si>
    <t>Sydney Penny</t>
  </si>
  <si>
    <t>gold|miner|preacher|prospector|sheriff</t>
  </si>
  <si>
    <t>http://www.imdb.com/title/tt0089767/?ref_=fn_tt_tt_1</t>
  </si>
  <si>
    <t>Dazed and Confused</t>
  </si>
  <si>
    <t>football|hazing|high school|last day of school|pledge</t>
  </si>
  <si>
    <t>http://www.imdb.com/title/tt0106677/?ref_=fn_tt_tt_1</t>
  </si>
  <si>
    <t>Arie Posin</t>
  </si>
  <si>
    <t>The Chumscrubber</t>
  </si>
  <si>
    <t>chumscrubber|death|friend|pills|school</t>
  </si>
  <si>
    <t>http://www.imdb.com/title/tt0406650/?ref_=fn_tt_tt_1</t>
  </si>
  <si>
    <t>Damian Nieman</t>
  </si>
  <si>
    <t>Shade</t>
  </si>
  <si>
    <t>Glenn Plummer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</si>
  <si>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</si>
  <si>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</si>
  <si>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</si>
  <si>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</si>
  <si>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</si>
  <si>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</si>
  <si>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</si>
  <si>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</si>
  <si>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</si>
  <si>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Incendies</t>
  </si>
  <si>
    <t>Drama|Mystery|War</t>
  </si>
  <si>
    <t>Lubna Azabal</t>
  </si>
  <si>
    <t>MÃ©lissa DÃ©sormeaux-Poulin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</si>
  <si>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</si>
  <si>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</si>
  <si>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</si>
  <si>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Remember Me, My Love</t>
  </si>
  <si>
    <t>Laura Morante</t>
  </si>
  <si>
    <t>Silvio Muccino</t>
  </si>
  <si>
    <t>Giulia Michelini</t>
  </si>
  <si>
    <t>box office hit|dancer|sex scene|television|underage sex</t>
  </si>
  <si>
    <t>http://www.imdb.com/title/tt0323807/?ref_=fn_tt_tt_1</t>
  </si>
  <si>
    <t>Elite Squad</t>
  </si>
  <si>
    <t>Wagner Moura</t>
  </si>
  <si>
    <t>Fernanda Machado</t>
  </si>
  <si>
    <t>AndrÃ© Ramiro</t>
  </si>
  <si>
    <t>brazil|military police|police|rio de janeiro brazil|slum</t>
  </si>
  <si>
    <t>http://www.imdb.com/title/tt0861739/?ref_=fn_tt_tt_1</t>
  </si>
  <si>
    <t>Portuguese</t>
  </si>
  <si>
    <t>Annabelle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</si>
  <si>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</si>
  <si>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</si>
  <si>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</si>
  <si>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</si>
  <si>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</si>
  <si>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Bran Nue Dae</t>
  </si>
  <si>
    <t>Comedy|Drama|Musical</t>
  </si>
  <si>
    <t>Magda Szubanski</t>
  </si>
  <si>
    <t>Jessica Mauboy</t>
  </si>
  <si>
    <t>australia|journey|love|priest|traveling</t>
  </si>
  <si>
    <t>http://www.imdb.com/title/tt1148165/?ref_=fn_tt_tt_1</t>
  </si>
  <si>
    <t>Boyz n the Hood</t>
  </si>
  <si>
    <t>John Cothran</t>
  </si>
  <si>
    <t>Lloyd Avery II</t>
  </si>
  <si>
    <t>Na'Blonka Durden</t>
  </si>
  <si>
    <t>drugs|escape|football|friend|violence</t>
  </si>
  <si>
    <t>http://www.imdb.com/title/tt0101507/?ref_=fn_tt_tt_1</t>
  </si>
  <si>
    <t>Luis Valdez</t>
  </si>
  <si>
    <t>La Bamba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</si>
  <si>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</si>
  <si>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</si>
  <si>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</si>
  <si>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</si>
  <si>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Dressed to Kill</t>
  </si>
  <si>
    <t>Mystery|Romance|Thriller</t>
  </si>
  <si>
    <t>Nancy Allen</t>
  </si>
  <si>
    <t>apartment|elevator|murder|psychiatrist|sunglasses</t>
  </si>
  <si>
    <t>http://www.imdb.com/title/tt0080661/?ref_=fn_tt_tt_1</t>
  </si>
  <si>
    <t>The Adventures of Huck Finn</t>
  </si>
  <si>
    <t>Adventure|Comedy|Drama|Family</t>
  </si>
  <si>
    <t>boy|lesson|mississippi river|river|slave</t>
  </si>
  <si>
    <t>http://www.imdb.com/title/tt0106223/?ref_=fn_tt_tt_1</t>
  </si>
  <si>
    <t>Go</t>
  </si>
  <si>
    <t>Scott Wolf</t>
  </si>
  <si>
    <t>drug deal|drugs|sex|sex on stairs|strip club</t>
  </si>
  <si>
    <t>http://www.imdb.com/title/tt0139239/?ref_=fn_tt_tt_1</t>
  </si>
  <si>
    <t>Friends with Money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</si>
  <si>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</si>
  <si>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</si>
  <si>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</si>
  <si>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</si>
  <si>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</si>
  <si>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</t>
  </si>
  <si>
    <t>animal attack|bat|creature feature|experiment|mad scientist</t>
  </si>
  <si>
    <t>http://www.imdb.com/title/tt0200469/?ref_=fn_tt_tt_1</t>
  </si>
  <si>
    <t>Caroline Link</t>
  </si>
  <si>
    <t>Nowhere in Africa</t>
  </si>
  <si>
    <t>Merab Ninidze</t>
  </si>
  <si>
    <t>Juliane KÃ¶hler</t>
  </si>
  <si>
    <t>Matthias Habich</t>
  </si>
  <si>
    <t>breasts|farm|jew|kenya|tween girl</t>
  </si>
  <si>
    <t>http://www.imdb.com/title/tt0161860/?ref_=fn_tt_tt_1</t>
  </si>
  <si>
    <t>Shame</t>
  </si>
  <si>
    <t>female frontal nudity|female nudity|male nudity|sex addict|sex addiction</t>
  </si>
  <si>
    <t>http://www.imdb.com/title/tt1723811/?ref_=fn_tt_tt_1</t>
  </si>
  <si>
    <t>Layer Cake</t>
  </si>
  <si>
    <t>cake|cocaine|drugs|pills|serbian</t>
  </si>
  <si>
    <t>http://www.imdb.com/title/tt0375912/?ref_=fn_tt_tt_1</t>
  </si>
  <si>
    <t>Sterling Van Wagenen</t>
  </si>
  <si>
    <t>The Work and the Glory II: American Zion</t>
  </si>
  <si>
    <t>Emily Podleski</t>
  </si>
  <si>
    <t>Eric Johnson</t>
  </si>
  <si>
    <t>estrangement|missouri|mormon|mormon church|mormon temple</t>
  </si>
  <si>
    <t>http://www.imdb.com/title/tt0457530/?ref_=fn_tt_tt_1</t>
  </si>
  <si>
    <t>Zal Batmanglij</t>
  </si>
  <si>
    <t>The East</t>
  </si>
  <si>
    <t>anarchist|corporation|greedy institution|vomiting|watching television</t>
  </si>
  <si>
    <t>http://www.imdb.com/title/tt1869716/?ref_=fn_tt_tt_1</t>
  </si>
  <si>
    <t>A Home at the End of the World</t>
  </si>
  <si>
    <t>hand job|hugging|long hair|new york city|two men one woman</t>
  </si>
  <si>
    <t>http://www.imdb.com/title/tt0359423/?ref_=fn_tt_tt_1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</si>
  <si>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</si>
  <si>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</si>
  <si>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</si>
  <si>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</si>
  <si>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Control</t>
  </si>
  <si>
    <t>band|employment agency|singer|stage fright|suicide</t>
  </si>
  <si>
    <t>http://www.imdb.com/title/tt0421082/?ref_=fn_tt_tt_1</t>
  </si>
  <si>
    <t>The Terminator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</si>
  <si>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</si>
  <si>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</si>
  <si>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</si>
  <si>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</si>
  <si>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Good Bye Lenin!</t>
  </si>
  <si>
    <t>Florian Lukas</t>
  </si>
  <si>
    <t>Chulpan Khamatova</t>
  </si>
  <si>
    <t>coma|east germany|german democratic republic|germany|heart attack</t>
  </si>
  <si>
    <t>http://www.imdb.com/title/tt0301357/?ref_=fn_tt_tt_1</t>
  </si>
  <si>
    <t>The Damned United</t>
  </si>
  <si>
    <t>Mark Bazeley</t>
  </si>
  <si>
    <t>Maurice RoÃ«ves</t>
  </si>
  <si>
    <t>cup|derby county|flashback|football|leeds united</t>
  </si>
  <si>
    <t>http://www.imdb.com/title/tt1226271/?ref_=fn_tt_tt_1</t>
  </si>
  <si>
    <t>Mallrats</t>
  </si>
  <si>
    <t>comic|ex girlfriend|jay and silent bob|mall|teenager</t>
  </si>
  <si>
    <t>http://www.imdb.com/title/tt0113749/?ref_=fn_tt_tt_1</t>
  </si>
  <si>
    <t>Grease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</si>
  <si>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</si>
  <si>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</si>
  <si>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</si>
  <si>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</si>
  <si>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Platoon</t>
  </si>
  <si>
    <t>1960s|famous score|hero|vietnam|vietnam war</t>
  </si>
  <si>
    <t>http://www.imdb.com/title/tt0091763/?ref_=fn_tt_tt_1</t>
  </si>
  <si>
    <t>Fahrenheit 9/11</t>
  </si>
  <si>
    <t>Documentary|Drama|War</t>
  </si>
  <si>
    <t>Osama bin Laden</t>
  </si>
  <si>
    <t>Stevie Wonder</t>
  </si>
  <si>
    <t>Ricky Martin</t>
  </si>
  <si>
    <t>anti war|interview|iraq|paranoia|war on terrorism</t>
  </si>
  <si>
    <t>http://www.imdb.com/title/tt0361596/?ref_=fn_tt_tt_1</t>
  </si>
  <si>
    <t>George Roy Hill</t>
  </si>
  <si>
    <t>Butch Cassidy and the Sundance Kid</t>
  </si>
  <si>
    <t>Biography|Crime|Drama|Western</t>
  </si>
  <si>
    <t>Katharine Ross</t>
  </si>
  <si>
    <t>Ted Cassidy</t>
  </si>
  <si>
    <t>Kenneth Mars</t>
  </si>
  <si>
    <t>bolivia|gang|outlaw|posse|train</t>
  </si>
  <si>
    <t>http://www.imdb.com/title/tt0064115/?ref_=fn_tt_tt_1</t>
  </si>
  <si>
    <t>Robert Stevenson</t>
  </si>
  <si>
    <t>Mary Poppins</t>
  </si>
  <si>
    <t>Comedy|Family|Fantasy|Musical</t>
  </si>
  <si>
    <t>Ed Wynn</t>
  </si>
  <si>
    <t>Glynis Johns</t>
  </si>
  <si>
    <t>Elsa Lanchester</t>
  </si>
  <si>
    <t>banker|female protagonist|live action and animation|magic|nanny</t>
  </si>
  <si>
    <t>http://www.imdb.com/title/tt0058331/?ref_=fn_tt_tt_1</t>
  </si>
  <si>
    <t>Ordinary People</t>
  </si>
  <si>
    <t>choir|death|friend|suicide|therapy</t>
  </si>
  <si>
    <t>http://www.imdb.com/title/tt0081283/?ref_=fn_tt_tt_1</t>
  </si>
  <si>
    <t>Jerome Robbins</t>
  </si>
  <si>
    <t>West Side Story</t>
  </si>
  <si>
    <t>Crime|Drama|Musical|Romance|Thriller</t>
  </si>
  <si>
    <t>Rita Moreno</t>
  </si>
  <si>
    <t>George Chakiris</t>
  </si>
  <si>
    <t>Richard Beymer</t>
  </si>
  <si>
    <t>dance|gang|new york city|puerto rican|tragedy</t>
  </si>
  <si>
    <t>http://www.imdb.com/title/tt0055614/?ref_=fn_tt_tt_1</t>
  </si>
  <si>
    <t>Caddyshack</t>
  </si>
  <si>
    <t>Rodney Dangerfield</t>
  </si>
  <si>
    <t>caddy|country club|golf course|gopher|nudity</t>
  </si>
  <si>
    <t>http://www.imdb.com/title/tt0080487/?ref_=fn_tt_tt_1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</si>
  <si>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</si>
  <si>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</si>
  <si>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</si>
  <si>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</si>
  <si>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Wood</t>
  </si>
  <si>
    <t>flashback|friendship|public nudity|shower|wedding</t>
  </si>
  <si>
    <t>http://www.imdb.com/title/tt0161100/?ref_=fn_tt_tt_1</t>
  </si>
  <si>
    <t>The Usual Suspects</t>
  </si>
  <si>
    <t>criminal|dirty cop|flashback|limping|suspect</t>
  </si>
  <si>
    <t>http://www.imdb.com/title/tt0114814/?ref_=fn_tt_tt_1</t>
  </si>
  <si>
    <t>A Nightmare on Elm Street 5: The Dream Child</t>
  </si>
  <si>
    <t>Fantasy|Horror|Romance|Thriller</t>
  </si>
  <si>
    <t>Lisa Wilcox</t>
  </si>
  <si>
    <t>Kelly Jo Minter</t>
  </si>
  <si>
    <t>Matthew Borlenghi</t>
  </si>
  <si>
    <t>child|comic book|dream|murderer|nightmare</t>
  </si>
  <si>
    <t>http://www.imdb.com/title/tt0097981/?ref_=fn_tt_tt_1</t>
  </si>
  <si>
    <t>Van Wilder: Party Liaison</t>
  </si>
  <si>
    <t>Erik Estrada</t>
  </si>
  <si>
    <t>college|love|party|reporter|tuition</t>
  </si>
  <si>
    <t>http://www.imdb.com/title/tt0283111/?ref_=fn_tt_tt_1</t>
  </si>
  <si>
    <t>The Wrestler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</si>
  <si>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</si>
  <si>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</si>
  <si>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</si>
  <si>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</si>
  <si>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</si>
  <si>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Duel in the Sun</t>
  </si>
  <si>
    <t>Lillian Gish</t>
  </si>
  <si>
    <t>Jennifer Jones</t>
  </si>
  <si>
    <t>box office hit|half breed|infidelity|shooting|texas</t>
  </si>
  <si>
    <t>http://www.imdb.com/title/tt0038499/?ref_=fn_tt_tt_1</t>
  </si>
  <si>
    <t>Best in Show</t>
  </si>
  <si>
    <t>dog show|gay|gay character|gay couple|gay interest</t>
  </si>
  <si>
    <t>http://www.imdb.com/title/tt0218839/?ref_=fn_tt_tt_1</t>
  </si>
  <si>
    <t>Escape from New York</t>
  </si>
  <si>
    <t>Tom Atkins</t>
  </si>
  <si>
    <t>1990s|police|prison|rescue|year 1997</t>
  </si>
  <si>
    <t>http://www.imdb.com/title/tt0082340/?ref_=fn_tt_tt_1</t>
  </si>
  <si>
    <t>School Daze</t>
  </si>
  <si>
    <t>Ossie Davis</t>
  </si>
  <si>
    <t>beauty salon|black college|college|fraternity|sorority</t>
  </si>
  <si>
    <t>http://www.imdb.com/title/tt0096054/?ref_=fn_tt_tt_1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</si>
  <si>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</si>
  <si>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</si>
  <si>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</si>
  <si>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</si>
  <si>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Mystic Pizza</t>
  </si>
  <si>
    <t>commitment|marriage|pizza|title appears in writing|woman wearing only a man's shirt</t>
  </si>
  <si>
    <t>http://www.imdb.com/title/tt0095690/?ref_=fn_tt_tt_1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</si>
  <si>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</si>
  <si>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</si>
  <si>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</si>
  <si>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</si>
  <si>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</si>
  <si>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</si>
  <si>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</si>
  <si>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</si>
  <si>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</si>
  <si>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</si>
  <si>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</t>
  </si>
  <si>
    <t>Abby Mukiibi Nkaaga</t>
  </si>
  <si>
    <t>1970s|assassination|doctor|scottish|ugandan</t>
  </si>
  <si>
    <t>http://www.imdb.com/title/tt0455590/?ref_=fn_tt_tt_1</t>
  </si>
  <si>
    <t>Dominique Othenin-Girard</t>
  </si>
  <si>
    <t>Halloween 5</t>
  </si>
  <si>
    <t>Tamara Glynn</t>
  </si>
  <si>
    <t>cat|halloween|kitten|michael myers|psychotronic</t>
  </si>
  <si>
    <t>http://www.imdb.com/title/tt0097474/?ref_=fn_tt_tt_1</t>
  </si>
  <si>
    <t>Bernie</t>
  </si>
  <si>
    <t>Brandon Smith</t>
  </si>
  <si>
    <t>Rick Dial</t>
  </si>
  <si>
    <t>funeral|stockbroker|texas|vacation|widow</t>
  </si>
  <si>
    <t>http://www.imdb.com/title/tt1704573/?ref_=fn_tt_tt_1</t>
  </si>
  <si>
    <t>Ed Harris</t>
  </si>
  <si>
    <t>Pollock</t>
  </si>
  <si>
    <t>Amy Madigan</t>
  </si>
  <si>
    <t>1940s|artist|drinking|life magazine|painter</t>
  </si>
  <si>
    <t>http://www.imdb.com/title/tt0183659/?ref_=fn_tt_tt_1</t>
  </si>
  <si>
    <t>Risa Bramon Garcia</t>
  </si>
  <si>
    <t>200 Cigarettes</t>
  </si>
  <si>
    <t>bartender|friend|new year's eve|party|punk</t>
  </si>
  <si>
    <t>http://www.imdb.com/title/tt0137338/?ref_=fn_tt_tt_1</t>
  </si>
  <si>
    <t>Brian Klugman</t>
  </si>
  <si>
    <t>The Words</t>
  </si>
  <si>
    <t>american in paris|book|love|novel|writer</t>
  </si>
  <si>
    <t>http://www.imdb.com/title/tt1840417/?ref_=fn_tt_tt_1</t>
  </si>
  <si>
    <t>Matt Piedmont</t>
  </si>
  <si>
    <t>Casa de mi Padre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</si>
  <si>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</si>
  <si>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</si>
  <si>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</si>
  <si>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</si>
  <si>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</si>
  <si>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</si>
  <si>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</si>
  <si>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</si>
  <si>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</si>
  <si>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</si>
  <si>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</si>
  <si>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</si>
  <si>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</si>
  <si>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Deb Hagan</t>
  </si>
  <si>
    <t>College</t>
  </si>
  <si>
    <t>college|face slap|high school|loss of virginity|pierced nipple</t>
  </si>
  <si>
    <t>http://www.imdb.com/title/tt0844671/?ref_=fn_tt_tt_1</t>
  </si>
  <si>
    <t>The Virgin Suicides</t>
  </si>
  <si>
    <t>catholic|five sisters|isolation|school|suicide</t>
  </si>
  <si>
    <t>http://www.imdb.com/title/tt0159097/?ref_=fn_tt_tt_1</t>
  </si>
  <si>
    <t>Zach Cregger</t>
  </si>
  <si>
    <t>Miss March</t>
  </si>
  <si>
    <t>Hugh M. Hefner</t>
  </si>
  <si>
    <t>Windell Middlebrooks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</si>
  <si>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</si>
  <si>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</si>
  <si>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</si>
  <si>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</si>
  <si>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</t>
  </si>
  <si>
    <t>actor|dream sequence|genius recluse|jew|religion</t>
  </si>
  <si>
    <t>http://www.imdb.com/title/tt2870708/?ref_=fn_tt_tt_1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</si>
  <si>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</si>
  <si>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</si>
  <si>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</si>
  <si>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</si>
  <si>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</si>
  <si>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John Cameron Mitchell</t>
  </si>
  <si>
    <t>Hedwig and the Angry Inch</t>
  </si>
  <si>
    <t>Comedy|Drama|Music|Musical</t>
  </si>
  <si>
    <t>Miriam Shor</t>
  </si>
  <si>
    <t>band|rock band|sex change|song|transsexual</t>
  </si>
  <si>
    <t>http://www.imdb.com/title/tt0248845/?ref_=fn_tt_tt_1</t>
  </si>
  <si>
    <t>Only the Strong</t>
  </si>
  <si>
    <t>Ryan Bollman</t>
  </si>
  <si>
    <t>Todd Susman</t>
  </si>
  <si>
    <t>capoeira|fight|fighting|martial arts|violence</t>
  </si>
  <si>
    <t>http://www.imdb.com/title/tt0107750/?ref_=fn_tt_tt_1</t>
  </si>
  <si>
    <t>Billy Ray</t>
  </si>
  <si>
    <t>Shattered Glass</t>
  </si>
  <si>
    <t>fabricated facts|journalist|stephen glass|the new republic|writer</t>
  </si>
  <si>
    <t>http://www.imdb.com/title/tt0323944/?ref_=fn_tt_tt_1</t>
  </si>
  <si>
    <t>David Atkins</t>
  </si>
  <si>
    <t>Novocaine</t>
  </si>
  <si>
    <t>Lynne Thigpen</t>
  </si>
  <si>
    <t>Polly Noonan</t>
  </si>
  <si>
    <t>dentist|drugs|murder|sex|sunflower</t>
  </si>
  <si>
    <t>http://www.imdb.com/title/tt0234354/?ref_=fn_tt_tt_1</t>
  </si>
  <si>
    <t>The Wackness</t>
  </si>
  <si>
    <t>ice cream|marijuana|new york city|summer|therapy</t>
  </si>
  <si>
    <t>http://www.imdb.com/title/tt1082886/?ref_=fn_tt_tt_1</t>
  </si>
  <si>
    <t>Sylvio Tabet</t>
  </si>
  <si>
    <t>Beastmaster 2: Through the Portal of Time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</si>
  <si>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</si>
  <si>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</si>
  <si>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</si>
  <si>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</si>
  <si>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</si>
  <si>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The 5th Quarter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</si>
  <si>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</si>
  <si>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</si>
  <si>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</si>
  <si>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</si>
  <si>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The Greatest</t>
  </si>
  <si>
    <t>Cara Seymour</t>
  </si>
  <si>
    <t>car crash|loss|self help group|teenage mother|title directed by female</t>
  </si>
  <si>
    <t>http://www.imdb.com/title/tt1226232/?ref_=fn_tt_tt_1</t>
  </si>
  <si>
    <t>Come Early Morning</t>
  </si>
  <si>
    <t>Diane Ladd</t>
  </si>
  <si>
    <t>Ritchie Montgomery</t>
  </si>
  <si>
    <t>church|drink|knocking on a door|love|three word title</t>
  </si>
  <si>
    <t>http://www.imdb.com/title/tt0457308/?ref_=fn_tt_tt_1</t>
  </si>
  <si>
    <t>Lucky Break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</si>
  <si>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</si>
  <si>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</si>
  <si>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</si>
  <si>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</si>
  <si>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</si>
  <si>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</si>
  <si>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</si>
  <si>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Deadfall</t>
  </si>
  <si>
    <t>police officer|police officer killed|police officer shot|sex scene</t>
  </si>
  <si>
    <t>http://www.imdb.com/title/tt1667310/?ref_=fn_tt_tt_1</t>
  </si>
  <si>
    <t>CÃ©dric Klapisch</t>
  </si>
  <si>
    <t>L'auberge espagnole</t>
  </si>
  <si>
    <t>Iddo Goldberg</t>
  </si>
  <si>
    <t>apartment|erasmus|language|student|trip</t>
  </si>
  <si>
    <t>http://www.imdb.com/title/tt0283900/?ref_=fn_tt_tt_1</t>
  </si>
  <si>
    <t>Martin Koolhoven</t>
  </si>
  <si>
    <t>Winter in Wartime</t>
  </si>
  <si>
    <t>Yorick van Wageningen</t>
  </si>
  <si>
    <t>Tygo Gernandt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</si>
  <si>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</si>
  <si>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</si>
  <si>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</si>
  <si>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</si>
  <si>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The Protector</t>
  </si>
  <si>
    <t>Jon Foo</t>
  </si>
  <si>
    <t>Nathan Jones</t>
  </si>
  <si>
    <t>Johnny Nguyen</t>
  </si>
  <si>
    <t>die hard scenario|elephant|long take|police|sydney australia</t>
  </si>
  <si>
    <t>http://www.imdb.com/title/tt0427954/?ref_=fn_tt_tt_1</t>
  </si>
  <si>
    <t>Bend It Like Beckham</t>
  </si>
  <si>
    <t>Parminder Nagra</t>
  </si>
  <si>
    <t>hinduism|marriage engagement|soccer|team|tradition</t>
  </si>
  <si>
    <t>http://www.imdb.com/title/tt0286499/?ref_=fn_tt_tt_1</t>
  </si>
  <si>
    <t>Sunshine State</t>
  </si>
  <si>
    <t>Edie Falco</t>
  </si>
  <si>
    <t>african american|business|coastline|florida|real estate</t>
  </si>
  <si>
    <t>http://www.imdb.com/title/tt0286179/?ref_=fn_tt_tt_1</t>
  </si>
  <si>
    <t>Crossover</t>
  </si>
  <si>
    <t>Action|Sport</t>
  </si>
  <si>
    <t>Wesley Jonathan</t>
  </si>
  <si>
    <t>Wayne Brady</t>
  </si>
  <si>
    <t>Eva Marcille</t>
  </si>
  <si>
    <t>african american|basketball|basketball movie|critically bashed|tv commercial</t>
  </si>
  <si>
    <t>http://www.imdb.com/title/tt0473024/?ref_=fn_tt_tt_1</t>
  </si>
  <si>
    <t>[Rec] 2</t>
  </si>
  <si>
    <t>Jonathan D. Mellor</t>
  </si>
  <si>
    <t>Pablo Rosso</t>
  </si>
  <si>
    <t>Andrea Ros</t>
  </si>
  <si>
    <t>apartment|apartment building|blood sample|crucifix|zombie</t>
  </si>
  <si>
    <t>http://www.imdb.com/title/tt1245112/?ref_=fn_tt_tt_1</t>
  </si>
  <si>
    <t>The Sting</t>
  </si>
  <si>
    <t>con|con man|courier|long con|murder</t>
  </si>
  <si>
    <t>http://www.imdb.com/title/tt0070735/?ref_=fn_tt_tt_1</t>
  </si>
  <si>
    <t>Chariots of Fire</t>
  </si>
  <si>
    <t>athlete|jew|missionary|olympic games|race</t>
  </si>
  <si>
    <t>http://www.imdb.com/title/tt0082158/?ref_=fn_tt_tt_1</t>
  </si>
  <si>
    <t>Darren Grant</t>
  </si>
  <si>
    <t>Diary of a Mad Black Woman</t>
  </si>
  <si>
    <t>Tamara Taylor</t>
  </si>
  <si>
    <t>comic relief|diary|kiss|madea series|state flag</t>
  </si>
  <si>
    <t>http://www.imdb.com/title/tt0422093/?ref_=fn_tt_tt_1</t>
  </si>
  <si>
    <t>Shine</t>
  </si>
  <si>
    <t>Nicholas Bell</t>
  </si>
  <si>
    <t>abuse|australia|concert|pianist|piano</t>
  </si>
  <si>
    <t>http://www.imdb.com/title/tt0117631/?ref_=fn_tt_tt_1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</si>
  <si>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</si>
  <si>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</si>
  <si>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</si>
  <si>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</si>
  <si>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Ghost World</t>
  </si>
  <si>
    <t>art class|diner|friend|graduation|high school</t>
  </si>
  <si>
    <t>http://www.imdb.com/title/tt0162346/?ref_=fn_tt_tt_1</t>
  </si>
  <si>
    <t>Iris</t>
  </si>
  <si>
    <t>alzheimer's disease|book|love|novelist|writer</t>
  </si>
  <si>
    <t>http://www.imdb.com/title/tt0280778/?ref_=fn_tt_tt_1</t>
  </si>
  <si>
    <t>Christophe Barratier</t>
  </si>
  <si>
    <t>The Chorus</t>
  </si>
  <si>
    <t>Jean-Baptiste Maunier</t>
  </si>
  <si>
    <t>FranÃ§ois BerlÃ©and</t>
  </si>
  <si>
    <t>GÃ©rard Jugnot</t>
  </si>
  <si>
    <t>boarding school|boy|choir|school|teacher</t>
  </si>
  <si>
    <t>http://www.imdb.com/title/tt0372824/?ref_=fn_tt_tt_1</t>
  </si>
  <si>
    <t>Ã‰mile Gaudreault</t>
  </si>
  <si>
    <t>Mambo Italiano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</si>
  <si>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</si>
  <si>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</si>
  <si>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</si>
  <si>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</si>
  <si>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</si>
  <si>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Wonderland</t>
  </si>
  <si>
    <t>Franky G</t>
  </si>
  <si>
    <t>murder|police|police investigation|porn star|robbery</t>
  </si>
  <si>
    <t>http://www.imdb.com/title/tt0335563/?ref_=fn_tt_tt_1</t>
  </si>
  <si>
    <t>Do the Right Thing</t>
  </si>
  <si>
    <t>Danny Aiello</t>
  </si>
  <si>
    <t>black militant|frustration|pizza|pizza parlor|pizzeria</t>
  </si>
  <si>
    <t>http://www.imdb.com/title/tt0097216/?ref_=fn_tt_tt_1</t>
  </si>
  <si>
    <t>James Toback</t>
  </si>
  <si>
    <t>Harvard Man</t>
  </si>
  <si>
    <t>basketball|cheerleader|college|harvard|philosophy</t>
  </si>
  <si>
    <t>http://www.imdb.com/title/tt0242508/?ref_=fn_tt_tt_1</t>
  </si>
  <si>
    <t>Aki KaurismÃ¤ki</t>
  </si>
  <si>
    <t>Le Havre</t>
  </si>
  <si>
    <t>Jean-Pierre LÃ©aud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</si>
  <si>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</si>
  <si>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</si>
  <si>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</si>
  <si>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</si>
  <si>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</si>
  <si>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</si>
  <si>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R100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</si>
  <si>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</si>
  <si>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</si>
  <si>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</si>
  <si>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</si>
  <si>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</si>
  <si>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Salvation Boulevard</t>
  </si>
  <si>
    <t>Action|Comedy|Drama|Thriller</t>
  </si>
  <si>
    <t>Cree Kelly</t>
  </si>
  <si>
    <t>Mike Eshaq</t>
  </si>
  <si>
    <t>cross|doused with gasoline|pastor|security guard|shower</t>
  </si>
  <si>
    <t>http://www.imdb.com/title/tt1251743/?ref_=fn_tt_tt_1</t>
  </si>
  <si>
    <t>The Ten</t>
  </si>
  <si>
    <t>Ron Silver</t>
  </si>
  <si>
    <t>death|mexico|sabbath|surgeon|ten stories</t>
  </si>
  <si>
    <t>http://www.imdb.com/title/tt0811106/?ref_=fn_tt_tt_1</t>
  </si>
  <si>
    <t>Headhunters</t>
  </si>
  <si>
    <t>Aksel Hennie</t>
  </si>
  <si>
    <t>SynnÃ¸ve Macody Lund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</si>
  <si>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</si>
  <si>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</si>
  <si>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</si>
  <si>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</si>
  <si>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</si>
  <si>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</si>
  <si>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Saint Ralph</t>
  </si>
  <si>
    <t>Adam Butcher</t>
  </si>
  <si>
    <t>Gordon Pinsent</t>
  </si>
  <si>
    <t>boston marathon|coma|marathon|miracles|running</t>
  </si>
  <si>
    <t>http://www.imdb.com/title/tt0384488/?ref_=fn_tt_tt_1</t>
  </si>
  <si>
    <t>Insidious: Chapter 2</t>
  </si>
  <si>
    <t>barricading a door|injection in leg|police detective|supernatural|taser</t>
  </si>
  <si>
    <t>http://www.imdb.com/title/tt2226417/?ref_=fn_tt_tt_1</t>
  </si>
  <si>
    <t>Saw II</t>
  </si>
  <si>
    <t>death|detective|nerve gas|serial killer|trap</t>
  </si>
  <si>
    <t>http://www.imdb.com/title/tt0432348/?ref_=fn_tt_tt_1</t>
  </si>
  <si>
    <t>Dan Trachtenberg</t>
  </si>
  <si>
    <t>10 Cloverfield Lane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</si>
  <si>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</si>
  <si>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</si>
  <si>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</si>
  <si>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</si>
  <si>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Jackass: The Movie</t>
  </si>
  <si>
    <t>Comedy|Documentary</t>
  </si>
  <si>
    <t>alligator|golf|japan|panda|stunt</t>
  </si>
  <si>
    <t>http://www.imdb.com/title/tt0322802/?ref_=fn_tt_tt_1</t>
  </si>
  <si>
    <t>David F. Sandberg</t>
  </si>
  <si>
    <t>Lights Out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</si>
  <si>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</si>
  <si>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</si>
  <si>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</si>
  <si>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</si>
  <si>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Paranormal Activity 3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</si>
  <si>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</si>
  <si>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</si>
  <si>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</si>
  <si>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</si>
  <si>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Ouija</t>
  </si>
  <si>
    <t>Shelley Hennig</t>
  </si>
  <si>
    <t>Daren Kagasoff</t>
  </si>
  <si>
    <t>death of girlfriend|funeral|ghost|ouija|spirit</t>
  </si>
  <si>
    <t>http://www.imdb.com/title/tt1204977/?ref_=fn_tt_tt_1</t>
  </si>
  <si>
    <t>A Nightmare on Elm Street 3: Dream Warriors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</si>
  <si>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</si>
  <si>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</si>
  <si>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</si>
  <si>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</si>
  <si>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</si>
  <si>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Instructions Not Included</t>
  </si>
  <si>
    <t>Jessica Lindsey</t>
  </si>
  <si>
    <t>Hugo Stiglitz</t>
  </si>
  <si>
    <t>father daughter relationship</t>
  </si>
  <si>
    <t>http://www.imdb.com/title/tt2378281/?ref_=fn_tt_tt_1</t>
  </si>
  <si>
    <t>Paranormal Activity 4</t>
  </si>
  <si>
    <t>Matt Shively</t>
  </si>
  <si>
    <t>Brendon Eggertsen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</si>
  <si>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</si>
  <si>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</si>
  <si>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</si>
  <si>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</si>
  <si>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</si>
  <si>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</si>
  <si>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</si>
  <si>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</si>
  <si>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Freddy's Dead: The Final Nightmare</t>
  </si>
  <si>
    <t>dark comedy|dream|freddy krueger|nightmare|serial murder</t>
  </si>
  <si>
    <t>http://www.imdb.com/title/tt0101917/?ref_=fn_tt_tt_1</t>
  </si>
  <si>
    <t>Patty Jenkins</t>
  </si>
  <si>
    <t>Monster</t>
  </si>
  <si>
    <t>beach|female criminal|hooker|lesbian|prostitute</t>
  </si>
  <si>
    <t>http://www.imdb.com/title/tt0340855/?ref_=fn_tt_tt_1</t>
  </si>
  <si>
    <t>Christopher Landon</t>
  </si>
  <si>
    <t>Paranormal Activity: The Marked Ones</t>
  </si>
  <si>
    <t>Richard Cabral</t>
  </si>
  <si>
    <t>Gloria Sandoval</t>
  </si>
  <si>
    <t>Molly Ephraim</t>
  </si>
  <si>
    <t>apartment|blood|demonic possession|neighbor|pentagram</t>
  </si>
  <si>
    <t>http://www.imdb.com/title/tt2473682/?ref_=fn_tt_tt_1</t>
  </si>
  <si>
    <t>Dallas Buyers Club</t>
  </si>
  <si>
    <t>drugs|fda|gay community|hiv|homophobia</t>
  </si>
  <si>
    <t>http://www.imdb.com/title/tt0790636/?ref_=fn_tt_tt_1</t>
  </si>
  <si>
    <t>David Gelb</t>
  </si>
  <si>
    <t>The Lazarus Effect</t>
  </si>
  <si>
    <t>electrocuted|experiment|hell|serum|university</t>
  </si>
  <si>
    <t>http://www.imdb.com/title/tt2918436/?ref_=fn_tt_tt_1</t>
  </si>
  <si>
    <t>Memento</t>
  </si>
  <si>
    <t>Jorja Fox</t>
  </si>
  <si>
    <t>flashback|memory|murder|short term memory|telephone</t>
  </si>
  <si>
    <t>http://www.imdb.com/title/tt0209144/?ref_=fn_tt_tt_1</t>
  </si>
  <si>
    <t>Mike Flanagan</t>
  </si>
  <si>
    <t>Oculus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</si>
  <si>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</si>
  <si>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</si>
  <si>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</si>
  <si>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</si>
  <si>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</t>
  </si>
  <si>
    <t>Brian O'Halloran</t>
  </si>
  <si>
    <t>fast food|fast food restaurant|new jersey|quick stop|restaurant</t>
  </si>
  <si>
    <t>http://www.imdb.com/title/tt0424345/?ref_=fn_tt_tt_1</t>
  </si>
  <si>
    <t>Billy Elliot</t>
  </si>
  <si>
    <t>Jamie Draven</t>
  </si>
  <si>
    <t>audition|ballet|boxing|miner|miners strike</t>
  </si>
  <si>
    <t>http://www.imdb.com/title/tt0249462/?ref_=fn_tt_tt_1</t>
  </si>
  <si>
    <t>The Way Way Back</t>
  </si>
  <si>
    <t>awkward boy|shy kid|summer|vacation|water park</t>
  </si>
  <si>
    <t>http://www.imdb.com/title/tt1727388/?ref_=fn_tt_tt_1</t>
  </si>
  <si>
    <t>George Jackson</t>
  </si>
  <si>
    <t>House Party 2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</si>
  <si>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</si>
  <si>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</si>
  <si>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</si>
  <si>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</si>
  <si>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</si>
  <si>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Doug's 1st Movie</t>
  </si>
  <si>
    <t>Constance Shulman</t>
  </si>
  <si>
    <t>Alice Playten</t>
  </si>
  <si>
    <t>dance|friend|monster|reference to batman|valentine</t>
  </si>
  <si>
    <t>http://www.imdb.com/title/tt0187819/?ref_=fn_tt_tt_1</t>
  </si>
  <si>
    <t>The Apostle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</si>
  <si>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</si>
  <si>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</si>
  <si>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</si>
  <si>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</si>
  <si>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</si>
  <si>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Our Idiot Brother</t>
  </si>
  <si>
    <t>art model|farmer|jail|nude model|three sisters</t>
  </si>
  <si>
    <t>http://www.imdb.com/title/tt1637706/?ref_=fn_tt_tt_1</t>
  </si>
  <si>
    <t>Ice Cube</t>
  </si>
  <si>
    <t>The Players Club</t>
  </si>
  <si>
    <t>Monica Calhoun</t>
  </si>
  <si>
    <t>Chrystale Wilson</t>
  </si>
  <si>
    <t>catfight|dominatrix|rape|spanking|stripper</t>
  </si>
  <si>
    <t>http://www.imdb.com/title/tt0119905/?ref_=fn_tt_tt_1</t>
  </si>
  <si>
    <t>As Above, So Below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</si>
  <si>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</si>
  <si>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</si>
  <si>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</si>
  <si>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</si>
  <si>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</t>
  </si>
  <si>
    <t>Cameron Mills</t>
  </si>
  <si>
    <t>Sharon Leal</t>
  </si>
  <si>
    <t>adultery|attraction|lust|obsession|temptation</t>
  </si>
  <si>
    <t>http://www.imdb.com/title/tt2205401/?ref_=fn_tt_tt_1</t>
  </si>
  <si>
    <t>Eve's Bayou</t>
  </si>
  <si>
    <t>doctor|louisiana|secret|title directed by female|witchcraft</t>
  </si>
  <si>
    <t>http://www.imdb.com/title/tt0119080/?ref_=fn_tt_tt_1</t>
  </si>
  <si>
    <t>Richard Glatzer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</si>
  <si>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</si>
  <si>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</si>
  <si>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</si>
  <si>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</si>
  <si>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Friday the 13th Part VIII: Jason Takes Manhattan</t>
  </si>
  <si>
    <t>Adventure|Horror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</si>
  <si>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</si>
  <si>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</si>
  <si>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</si>
  <si>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</si>
  <si>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My Big Fat Greek Wedding</t>
  </si>
  <si>
    <t>baptism|greek|greek restaurant|prejudice|travel agency</t>
  </si>
  <si>
    <t>http://www.imdb.com/title/tt0259446/?ref_=fn_tt_tt_1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</si>
  <si>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</si>
  <si>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</si>
  <si>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</si>
  <si>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</si>
  <si>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</si>
  <si>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Halloween: The Curse of Michael Myers</t>
  </si>
  <si>
    <t>Kim Darby</t>
  </si>
  <si>
    <t>halloween|michael myers|nudity|returning character with different actor|slasher flick</t>
  </si>
  <si>
    <t>http://www.imdb.com/title/tt0113253/?ref_=fn_tt_tt_1</t>
  </si>
  <si>
    <t>Y Tu MamÃ¡ TambiÃ©n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</si>
  <si>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</si>
  <si>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</si>
  <si>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</si>
  <si>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</si>
  <si>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Shaun of the Dead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</si>
  <si>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</si>
  <si>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</si>
  <si>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</si>
  <si>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</si>
  <si>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The Haunting of Molly Hartley</t>
  </si>
  <si>
    <t>Jessica Lowndes</t>
  </si>
  <si>
    <t>Randy Wayne</t>
  </si>
  <si>
    <t>18th birthday|birthday|community center|resurrection|teenager</t>
  </si>
  <si>
    <t>http://www.imdb.com/title/tt1045655/?ref_=fn_tt_tt_1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</si>
  <si>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</si>
  <si>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</si>
  <si>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</si>
  <si>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</si>
  <si>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Halloween 4: The Return of Michael Myers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</si>
  <si>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</si>
  <si>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</si>
  <si>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</si>
  <si>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</si>
  <si>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</si>
  <si>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April Fool's Day</t>
  </si>
  <si>
    <t>Deborah Foreman</t>
  </si>
  <si>
    <t>Clayton Rohner</t>
  </si>
  <si>
    <t>april fool's day|island|mansion|psycho|secret</t>
  </si>
  <si>
    <t>http://www.imdb.com/title/tt0090655/?ref_=fn_tt_tt_1</t>
  </si>
  <si>
    <t>Diner</t>
  </si>
  <si>
    <t>baltimore colts|diner|marriage|salesman|wedding</t>
  </si>
  <si>
    <t>http://www.imdb.com/title/tt0083833/?ref_=fn_tt_tt_1</t>
  </si>
  <si>
    <t>Steve Carver</t>
  </si>
  <si>
    <t>Lone Wolf McQuade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</si>
  <si>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</si>
  <si>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</si>
  <si>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</si>
  <si>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</si>
  <si>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</si>
  <si>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Apollo 18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</si>
  <si>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</si>
  <si>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</si>
  <si>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</si>
  <si>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</si>
  <si>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</si>
  <si>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</si>
  <si>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</si>
  <si>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</si>
  <si>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No Escape</t>
  </si>
  <si>
    <t>Sterling Jerins</t>
  </si>
  <si>
    <t>Claire Geare</t>
  </si>
  <si>
    <t>Sahajak Boonthanakit</t>
  </si>
  <si>
    <t>asia|fictional country|hotel|rebellion|revolution</t>
  </si>
  <si>
    <t>http://www.imdb.com/title/tt1781922/?ref_=fn_tt_tt_1</t>
  </si>
  <si>
    <t>Not Easily Broken</t>
  </si>
  <si>
    <t>african american protagonist|based on novel|title spoken by character</t>
  </si>
  <si>
    <t>http://www.imdb.com/title/tt0795438/?ref_=fn_tt_tt_1</t>
  </si>
  <si>
    <t>Mamoru Hosoda</t>
  </si>
  <si>
    <t>Digimon: The Movie</t>
  </si>
  <si>
    <t>Lara Jill Miller</t>
  </si>
  <si>
    <t>Colleen O'Shaughnessey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</si>
  <si>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</si>
  <si>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</si>
  <si>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</si>
  <si>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</si>
  <si>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</t>
  </si>
  <si>
    <t>christian|jewish|pastor|school|virginity</t>
  </si>
  <si>
    <t>http://www.imdb.com/title/tt0332375/?ref_=fn_tt_tt_1</t>
  </si>
  <si>
    <t>Denys Arcand</t>
  </si>
  <si>
    <t>The Barbarian Invasions</t>
  </si>
  <si>
    <t>Marie-JosÃ©e Croze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</si>
  <si>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</si>
  <si>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</si>
  <si>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</si>
  <si>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</si>
  <si>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</si>
  <si>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</si>
  <si>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</si>
  <si>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</si>
  <si>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</si>
  <si>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</si>
  <si>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</si>
  <si>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</si>
  <si>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</si>
  <si>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</si>
  <si>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</si>
  <si>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</si>
  <si>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</si>
  <si>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</si>
  <si>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</si>
  <si>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</si>
  <si>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</si>
  <si>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</si>
  <si>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Moon</t>
  </si>
  <si>
    <t>Matt Berry</t>
  </si>
  <si>
    <t>computer|contract|earth|moon|solitude</t>
  </si>
  <si>
    <t>http://www.imdb.com/title/tt1182345/?ref_=fn_tt_tt_1</t>
  </si>
  <si>
    <t>The Sweet Hereafter</t>
  </si>
  <si>
    <t>Simon Baker</t>
  </si>
  <si>
    <t>anger|bus|child|lawyer|school</t>
  </si>
  <si>
    <t>http://www.imdb.com/title/tt0120255/?ref_=fn_tt_tt_1</t>
  </si>
  <si>
    <t>Xavier Beauvois</t>
  </si>
  <si>
    <t>Of Gods and Men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</si>
  <si>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</si>
  <si>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</si>
  <si>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</si>
  <si>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</si>
  <si>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</t>
  </si>
  <si>
    <t>airport|california|flat tire|overalls|wine</t>
  </si>
  <si>
    <t>http://www.imdb.com/title/tt0914797/?ref_=fn_tt_tt_1</t>
  </si>
  <si>
    <t>Heavenly Creatures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</si>
  <si>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</si>
  <si>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</si>
  <si>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</si>
  <si>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</si>
  <si>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90 Minutes in Heaven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</si>
  <si>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</si>
  <si>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</si>
  <si>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</si>
  <si>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</si>
  <si>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</si>
  <si>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Everything Must Go</t>
  </si>
  <si>
    <t>Scott Takeda</t>
  </si>
  <si>
    <t>alcoholic|beer|bicycle|new neighbor|yard sale</t>
  </si>
  <si>
    <t>http://www.imdb.com/title/tt1531663/?ref_=fn_tt_tt_1</t>
  </si>
  <si>
    <t>Zero Effect</t>
  </si>
  <si>
    <t>Comedy|Crime|Drama|Mystery|Thriller</t>
  </si>
  <si>
    <t>blackmail|client|private detective|private investigator|tycoon</t>
  </si>
  <si>
    <t>http://www.imdb.com/title/tt0120906/?ref_=fn_tt_tt_1</t>
  </si>
  <si>
    <t>The Machinist</t>
  </si>
  <si>
    <t>alienation|conscience|insomnia|paranoia|urban gothic</t>
  </si>
  <si>
    <t>http://www.imdb.com/title/tt0361862/?ref_=fn_tt_tt_1</t>
  </si>
  <si>
    <t>Light Sleeper</t>
  </si>
  <si>
    <t>bare breasts|drugs|existentialism|new york city|redemption</t>
  </si>
  <si>
    <t>http://www.imdb.com/title/tt0102307/?ref_=fn_tt_tt_1</t>
  </si>
  <si>
    <t>Michael Cuesta</t>
  </si>
  <si>
    <t>Kill the Messenger</t>
  </si>
  <si>
    <t>Biography|Crime|Drama|Mystery|Thriller</t>
  </si>
  <si>
    <t>based on true story|cia|cocaine|journalist|smear campaign</t>
  </si>
  <si>
    <t>http://www.imdb.com/title/tt1216491/?ref_=fn_tt_tt_1</t>
  </si>
  <si>
    <t>Rabbit Hole</t>
  </si>
  <si>
    <t>car|comic book|comic book artist|iphone|memory</t>
  </si>
  <si>
    <t>http://www.imdb.com/title/tt0935075/?ref_=fn_tt_tt_1</t>
  </si>
  <si>
    <t>Fenton Bailey</t>
  </si>
  <si>
    <t>Party Monster</t>
  </si>
  <si>
    <t>Marilyn Manson</t>
  </si>
  <si>
    <t>drug dealer|drugs|gay|homosexual|party</t>
  </si>
  <si>
    <t>http://www.imdb.com/title/tt0320244/?ref_=fn_tt_tt_1</t>
  </si>
  <si>
    <t>Jeremy Saulnier</t>
  </si>
  <si>
    <t>Green Room</t>
  </si>
  <si>
    <t>Crime|Horror|Music|Thriller</t>
  </si>
  <si>
    <t>Joe Cole</t>
  </si>
  <si>
    <t>murder|neo nazi|punk band|skinhead|suspense</t>
  </si>
  <si>
    <t>http://www.imdb.com/title/tt4062536/?ref_=fn_tt_tt_1</t>
  </si>
  <si>
    <t>Bottle Rocket</t>
  </si>
  <si>
    <t>Darryl Cox</t>
  </si>
  <si>
    <t>Lumi Cavazos</t>
  </si>
  <si>
    <t>caper|escapade|motel|robbery|texas</t>
  </si>
  <si>
    <t>http://www.imdb.com/title/tt0115734/?ref_=fn_tt_tt_1</t>
  </si>
  <si>
    <t>Albino Alligator</t>
  </si>
  <si>
    <t>bar|box office flop|hostage|new orleans louisiana|police</t>
  </si>
  <si>
    <t>http://www.imdb.com/title/tt0115495/?ref_=fn_tt_tt_1</t>
  </si>
  <si>
    <t>Nicholas Fackler</t>
  </si>
  <si>
    <t>Lovely, Still</t>
  </si>
  <si>
    <t>christmas|fable|old man</t>
  </si>
  <si>
    <t>http://www.imdb.com/title/tt1150947/?ref_=fn_tt_tt_1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</si>
  <si>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</si>
  <si>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</si>
  <si>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</si>
  <si>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</si>
  <si>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</si>
  <si>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Redacted</t>
  </si>
  <si>
    <t>Crime|Thriller|War</t>
  </si>
  <si>
    <t>Mike Figueroa</t>
  </si>
  <si>
    <t>Daniel Stewart Sherman</t>
  </si>
  <si>
    <t>Kel O'Neill</t>
  </si>
  <si>
    <t>blood splatter|iraq|murder|rape|soldier</t>
  </si>
  <si>
    <t>http://www.imdb.com/title/tt0937237/?ref_=fn_tt_tt_1</t>
  </si>
  <si>
    <t>Klaus Menzel</t>
  </si>
  <si>
    <t>Fascination</t>
  </si>
  <si>
    <t>Jacqueline Bisset</t>
  </si>
  <si>
    <t>Alice Evans</t>
  </si>
  <si>
    <t>death|love|marriage|secret|suspicion</t>
  </si>
  <si>
    <t>http://www.imdb.com/title/tt0305632/?ref_=fn_tt_tt_1</t>
  </si>
  <si>
    <t>JirÃ­ Menzel</t>
  </si>
  <si>
    <t>I Served the King of England</t>
  </si>
  <si>
    <t>Comedy|Drama|Romance|War</t>
  </si>
  <si>
    <t>Julia Jentsch</t>
  </si>
  <si>
    <t>Ivan Barnev</t>
  </si>
  <si>
    <t>Milan Lasica</t>
  </si>
  <si>
    <t>hotel|legs|lingerie|waiter|wealth</t>
  </si>
  <si>
    <t>http://www.imdb.com/title/tt0284363/?ref_=fn_tt_tt_1</t>
  </si>
  <si>
    <t>Czech</t>
  </si>
  <si>
    <t>Sling Blade</t>
  </si>
  <si>
    <t>friend|mental institution|murder|repair shop|small town</t>
  </si>
  <si>
    <t>http://www.imdb.com/title/tt0117666/?ref_=fn_tt_tt_1</t>
  </si>
  <si>
    <t>Hostel</t>
  </si>
  <si>
    <t>Takashi Miike</t>
  </si>
  <si>
    <t>bratislava|hostel|sadistic horror|torture|travel</t>
  </si>
  <si>
    <t>http://www.imdb.com/title/tt0450278/?ref_=fn_tt_tt_1</t>
  </si>
  <si>
    <t>Tristram Shandy: A Cock and Bull Story</t>
  </si>
  <si>
    <t>actor playing himself|battle|boots|penis|womb</t>
  </si>
  <si>
    <t>http://www.imdb.com/title/tt0423409/?ref_=fn_tt_tt_1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</si>
  <si>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</si>
  <si>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</si>
  <si>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</si>
  <si>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</si>
  <si>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</si>
  <si>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</si>
  <si>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</si>
  <si>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</si>
  <si>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</si>
  <si>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The Texas Chainsaw Massacre 2</t>
  </si>
  <si>
    <t>Bill Johnson</t>
  </si>
  <si>
    <t>Lou Perryman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</si>
  <si>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</si>
  <si>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</si>
  <si>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</si>
  <si>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</si>
  <si>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</si>
  <si>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</si>
  <si>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</si>
  <si>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Michel Leclerc</t>
  </si>
  <si>
    <t>The Names of Love</t>
  </si>
  <si>
    <t>Sara Forestier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</si>
  <si>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</si>
  <si>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</si>
  <si>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</si>
  <si>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</si>
  <si>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</si>
  <si>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</si>
  <si>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</si>
  <si>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</si>
  <si>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Police Academy</t>
  </si>
  <si>
    <t>Bubba Smith</t>
  </si>
  <si>
    <t>misfit|police|police academy|police cadet|police officer</t>
  </si>
  <si>
    <t>http://www.imdb.com/title/tt0087928/?ref_=fn_tt_tt_1</t>
  </si>
  <si>
    <t>Four Weddings and a Funeral</t>
  </si>
  <si>
    <t>James Fleet</t>
  </si>
  <si>
    <t>1990s|chick flick|funeral|gay relationship|wedding</t>
  </si>
  <si>
    <t>http://www.imdb.com/title/tt0109831/?ref_=fn_tt_tt_1</t>
  </si>
  <si>
    <t>25th Hour</t>
  </si>
  <si>
    <t>bar|dream|drug dealing|nightclub|widower</t>
  </si>
  <si>
    <t>http://www.imdb.com/title/tt0307901/?ref_=fn_tt_tt_1</t>
  </si>
  <si>
    <t>Bound</t>
  </si>
  <si>
    <t>Kevin Michael Richardson</t>
  </si>
  <si>
    <t>Peter Spellos</t>
  </si>
  <si>
    <t>gangster|lesbian|mafia|money|neo noir</t>
  </si>
  <si>
    <t>http://www.imdb.com/title/tt0115736/?ref_=fn_tt_tt_1</t>
  </si>
  <si>
    <t>Requiem for a Dream</t>
  </si>
  <si>
    <t>Louise Lasser</t>
  </si>
  <si>
    <t>addiction|diet pill|drug addiction|fast motion scene|heroin</t>
  </si>
  <si>
    <t>http://www.imdb.com/title/tt0180093/?ref_=fn_tt_tt_1</t>
  </si>
  <si>
    <t>Carlos Saura</t>
  </si>
  <si>
    <t>Tango</t>
  </si>
  <si>
    <t>Drama|Musical</t>
  </si>
  <si>
    <t>MÃ­a Maestro</t>
  </si>
  <si>
    <t>Juan Luis Galiardo</t>
  </si>
  <si>
    <t>Miguel Ã_x0081_ngel SolÃ¡</t>
  </si>
  <si>
    <t>dancer|director|love|musical filmmaking|tango</t>
  </si>
  <si>
    <t>http://www.imdb.com/title/tt0120274/?ref_=fn_tt_tt_1</t>
  </si>
  <si>
    <t>Donnie Darko</t>
  </si>
  <si>
    <t>James Duval</t>
  </si>
  <si>
    <t>1980s|death|insanity|parallel universe|time travel</t>
  </si>
  <si>
    <t>http://www.imdb.com/title/tt0246578/?ref_=fn_tt_tt_1</t>
  </si>
  <si>
    <t>Mike van Diem</t>
  </si>
  <si>
    <t>Character</t>
  </si>
  <si>
    <t>Jan Decleir</t>
  </si>
  <si>
    <t>Fedja van HuÃªt</t>
  </si>
  <si>
    <t>Hans Kesting</t>
  </si>
  <si>
    <t>bailiff|lawyer|office|police|school</t>
  </si>
  <si>
    <t>http://www.imdb.com/title/tt0119448/?ref_=fn_tt_tt_1</t>
  </si>
  <si>
    <t>Jonas Ã…kerlund</t>
  </si>
  <si>
    <t>Spun</t>
  </si>
  <si>
    <t>Debbie Harry</t>
  </si>
  <si>
    <t>male nudity|meth|meth lab|nudity|speed freak</t>
  </si>
  <si>
    <t>http://www.imdb.com/title/tt0283003/?ref_=fn_tt_tt_1</t>
  </si>
  <si>
    <t>Lady Vengeance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</si>
  <si>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</si>
  <si>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</si>
  <si>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</si>
  <si>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</si>
  <si>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</si>
  <si>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</t>
  </si>
  <si>
    <t>inmate|prison|prison guard|soccer|soccer star</t>
  </si>
  <si>
    <t>http://www.imdb.com/title/tt0291341/?ref_=fn_tt_tt_1</t>
  </si>
  <si>
    <t>Johnnie To</t>
  </si>
  <si>
    <t>Exiled</t>
  </si>
  <si>
    <t>Simon Yam</t>
  </si>
  <si>
    <t>baby|friendship|macau|practical joke|selfie</t>
  </si>
  <si>
    <t>http://www.imdb.com/title/tt0796212/?ref_=fn_tt_tt_1</t>
  </si>
  <si>
    <t>Agnieszka Wojtowicz-Vosloo</t>
  </si>
  <si>
    <t>After.Life</t>
  </si>
  <si>
    <t>breath on mirror|buried alive|engagement ring|looking at one's self in a mirror|serial killer</t>
  </si>
  <si>
    <t>http://www.imdb.com/title/tt0838247/?ref_=fn_tt_tt_1</t>
  </si>
  <si>
    <t>One Flew Over the Cuckoo's Nest</t>
  </si>
  <si>
    <t>Scatman Crothers</t>
  </si>
  <si>
    <t>1960s|escape|mental institution|nurse|sexuality</t>
  </si>
  <si>
    <t>http://www.imdb.com/title/tt0073486/?ref_=fn_tt_tt_1</t>
  </si>
  <si>
    <t>Nick Love</t>
  </si>
  <si>
    <t>The Sweeney</t>
  </si>
  <si>
    <t>bank|criminal|detective|flying squad|policewoman</t>
  </si>
  <si>
    <t>http://www.imdb.com/title/tt0857190/?ref_=fn_tt_tt_1</t>
  </si>
  <si>
    <t>Whale Rider</t>
  </si>
  <si>
    <t>Rawiri Paratene</t>
  </si>
  <si>
    <t>Tammy Davis</t>
  </si>
  <si>
    <t>girl|maori|new zealand|tradition|whale</t>
  </si>
  <si>
    <t>http://www.imdb.com/title/tt0298228/?ref_=fn_tt_tt_1</t>
  </si>
  <si>
    <t>Night Watch</t>
  </si>
  <si>
    <t>Fantasy|Thriller</t>
  </si>
  <si>
    <t>Konstantin Khabenskiy</t>
  </si>
  <si>
    <t>Aleksey Chadov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</si>
  <si>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</si>
  <si>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</si>
  <si>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</si>
  <si>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</si>
  <si>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</t>
  </si>
  <si>
    <t>androgynous|full frontal male nudity|irish republican army|psychological drama|tragic love</t>
  </si>
  <si>
    <t>http://www.imdb.com/title/tt0104036/?ref_=fn_tt_tt_1</t>
  </si>
  <si>
    <t>Porky's</t>
  </si>
  <si>
    <t>Art Hindle</t>
  </si>
  <si>
    <t>Susan Clark</t>
  </si>
  <si>
    <t>Tony Ganios</t>
  </si>
  <si>
    <t>female full frontal nudity|revenge|school|sheriff|virginity</t>
  </si>
  <si>
    <t>http://www.imdb.com/title/tt0084522/?ref_=fn_tt_tt_1</t>
  </si>
  <si>
    <t>Survival of the Dead</t>
  </si>
  <si>
    <t>Kathleen Munroe</t>
  </si>
  <si>
    <t>delaware|feud|island|undead|zombie</t>
  </si>
  <si>
    <t>http://www.imdb.com/title/tt1134854/?ref_=fn_tt_tt_1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</si>
  <si>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</si>
  <si>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</si>
  <si>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</si>
  <si>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</si>
  <si>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</t>
  </si>
  <si>
    <t>breaking the fourth wall|comedian|jewish|neurosis|singer</t>
  </si>
  <si>
    <t>http://www.imdb.com/title/tt0075686/?ref_=fn_tt_tt_1</t>
  </si>
  <si>
    <t>Cecil B. DeMille</t>
  </si>
  <si>
    <t>The Greatest Show on Earth</t>
  </si>
  <si>
    <t>Gloria Grahame</t>
  </si>
  <si>
    <t>Dorothy Lamour</t>
  </si>
  <si>
    <t>Cornel Wilde</t>
  </si>
  <si>
    <t>circus|clown|elephant trainer|trapeze|trapeze artist</t>
  </si>
  <si>
    <t>http://www.imdb.com/title/tt0044672/?ref_=fn_tt_tt_1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</si>
  <si>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</si>
  <si>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</si>
  <si>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</si>
  <si>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</si>
  <si>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</si>
  <si>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</si>
  <si>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</si>
  <si>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</si>
  <si>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</si>
  <si>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</si>
  <si>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</t>
  </si>
  <si>
    <t>alcoholic|bar|love|prostitute|sex</t>
  </si>
  <si>
    <t>http://www.imdb.com/title/tt0113627/?ref_=fn_tt_tt_1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</si>
  <si>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</si>
  <si>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</si>
  <si>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</si>
  <si>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</si>
  <si>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</si>
  <si>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</si>
  <si>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</si>
  <si>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</si>
  <si>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They Live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</si>
  <si>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</si>
  <si>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</si>
  <si>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</si>
  <si>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</si>
  <si>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</si>
  <si>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</t>
  </si>
  <si>
    <t>Ashley Bell</t>
  </si>
  <si>
    <t>car fire|evil|hospital|hotel|prophecy</t>
  </si>
  <si>
    <t>http://www.imdb.com/title/tt2034139/?ref_=fn_tt_tt_1</t>
  </si>
  <si>
    <t>Boyhood</t>
  </si>
  <si>
    <t>Ellar Coltrane</t>
  </si>
  <si>
    <t>Lorelei Linklater</t>
  </si>
  <si>
    <t>Libby Villari</t>
  </si>
  <si>
    <t>12 year time span|coming of age|domestic abuse|growing up|separated parents</t>
  </si>
  <si>
    <t>http://www.imdb.com/title/tt1065073/?ref_=fn_tt_tt_1</t>
  </si>
  <si>
    <t>Scoop</t>
  </si>
  <si>
    <t>english garden|fake drowning|fake parent|musical instrument|poker the card game</t>
  </si>
  <si>
    <t>http://www.imdb.com/title/tt0457513/?ref_=fn_tt_tt_1</t>
  </si>
  <si>
    <t>DJ Pooh</t>
  </si>
  <si>
    <t>The Wash</t>
  </si>
  <si>
    <t>Dr. Dre</t>
  </si>
  <si>
    <t>african american stereotype|car wash|rent|roommate|threatening telephone call</t>
  </si>
  <si>
    <t>http://www.imdb.com/title/tt0290332/?ref_=fn_tt_tt_1</t>
  </si>
  <si>
    <t>3 Strikes</t>
  </si>
  <si>
    <t>adult diaper|diaper|digit in title|dream|sawed off shotgun</t>
  </si>
  <si>
    <t>http://www.imdb.com/title/tt0199290/?ref_=fn_tt_tt_1</t>
  </si>
  <si>
    <t>The Cooler</t>
  </si>
  <si>
    <t>Crime|Drama|Fantasy|Romance</t>
  </si>
  <si>
    <t>female pubic hair|girl in panties|leg spreading|public nudity|sex in bed</t>
  </si>
  <si>
    <t>http://www.imdb.com/title/tt0318374/?ref_=fn_tt_tt_1</t>
  </si>
  <si>
    <t>Patrick Stettner</t>
  </si>
  <si>
    <t>The Night Listener</t>
  </si>
  <si>
    <t>boy|radio show|social worker|telephone|wisconsin</t>
  </si>
  <si>
    <t>http://www.imdb.com/title/tt0448075/?ref_=fn_tt_tt_1</t>
  </si>
  <si>
    <t>The Orphanage</t>
  </si>
  <si>
    <t>Fernando Cayo</t>
  </si>
  <si>
    <t>dead children|ghost|missing child|orphan|orphanage</t>
  </si>
  <si>
    <t>http://www.imdb.com/title/tt0464141/?ref_=fn_tt_tt_1</t>
  </si>
  <si>
    <t>Michael Tiddes</t>
  </si>
  <si>
    <t>A Haunted House 2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</si>
  <si>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</si>
  <si>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</si>
  <si>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</si>
  <si>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</si>
  <si>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</si>
  <si>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</t>
  </si>
  <si>
    <t>bisexual|college|drug dealer|drugs|student</t>
  </si>
  <si>
    <t>http://www.imdb.com/title/tt0292644/?ref_=fn_tt_tt_1</t>
  </si>
  <si>
    <t>Allison Anders</t>
  </si>
  <si>
    <t>Four Rooms</t>
  </si>
  <si>
    <t>bellhop|coven|gangster|hotel|new year's eve</t>
  </si>
  <si>
    <t>http://www.imdb.com/title/tt0113101/?ref_=fn_tt_tt_1</t>
  </si>
  <si>
    <t>Secretary</t>
  </si>
  <si>
    <t>bdsm|employer employee relationship|hospital|mental hospital|secretary</t>
  </si>
  <si>
    <t>http://www.imdb.com/title/tt0274812/?ref_=fn_tt_tt_1</t>
  </si>
  <si>
    <t>Rick de Oliveira</t>
  </si>
  <si>
    <t>The Real Cancun</t>
  </si>
  <si>
    <t>Documentary</t>
  </si>
  <si>
    <t>Benjamin Fletcher</t>
  </si>
  <si>
    <t>cancun mexico|mexico|spring break|vacation|wisconsin</t>
  </si>
  <si>
    <t>http://www.imdb.com/title/tt0360916/?ref_=fn_tt_tt_1</t>
  </si>
  <si>
    <t>Talk Radio</t>
  </si>
  <si>
    <t>listener|neo nazi|radio|radio station|radio talk show</t>
  </si>
  <si>
    <t>http://www.imdb.com/title/tt0096219/?ref_=fn_tt_tt_1</t>
  </si>
  <si>
    <t>Waiting for Guffman</t>
  </si>
  <si>
    <t>amateur theater|dentist|missouri|small town|travel agent</t>
  </si>
  <si>
    <t>http://www.imdb.com/title/tt0118111/?ref_=fn_tt_tt_1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</si>
  <si>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</si>
  <si>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</si>
  <si>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</si>
  <si>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</si>
  <si>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You Kill Me</t>
  </si>
  <si>
    <t>Aaron Hughes</t>
  </si>
  <si>
    <t>alcoholic|buffalo new york|claim in title|embalming|mortuary</t>
  </si>
  <si>
    <t>http://www.imdb.com/title/tt0796375/?ref_=fn_tt_tt_1</t>
  </si>
  <si>
    <t>Mike Mills</t>
  </si>
  <si>
    <t>Thumbsucker</t>
  </si>
  <si>
    <t>attention deficit disorder|debate|drugs|psychologist|school</t>
  </si>
  <si>
    <t>http://www.imdb.com/title/tt0318761/?ref_=fn_tt_tt_1</t>
  </si>
  <si>
    <t>Dave McKean</t>
  </si>
  <si>
    <t>Mirrormask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</si>
  <si>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</si>
  <si>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</si>
  <si>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</si>
  <si>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</si>
  <si>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</si>
  <si>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Samsara</t>
  </si>
  <si>
    <t>Collin Alfredo St. Dic</t>
  </si>
  <si>
    <t>Balinese Tari Legong Dancers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</si>
  <si>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</si>
  <si>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</si>
  <si>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</si>
  <si>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</si>
  <si>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</si>
  <si>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The Barbarians</t>
  </si>
  <si>
    <t>Eva LaRue</t>
  </si>
  <si>
    <t>Richard Lynch</t>
  </si>
  <si>
    <t>bare breasts|comic relief|dragon|gladiator|harem</t>
  </si>
  <si>
    <t>http://www.imdb.com/title/tt0092615/?ref_=fn_tt_tt_1</t>
  </si>
  <si>
    <t>Mars Callahan</t>
  </si>
  <si>
    <t>Poolhall Junkies</t>
  </si>
  <si>
    <t>beating|hustler|jail|money|revenge</t>
  </si>
  <si>
    <t>http://www.imdb.com/title/tt0273982/?ref_=fn_tt_tt_1</t>
  </si>
  <si>
    <t>The Loss of Sexual Innocence</t>
  </si>
  <si>
    <t>1950s|italian|murder|tunisia|vomiting</t>
  </si>
  <si>
    <t>http://www.imdb.com/title/tt0126859/?ref_=fn_tt_tt_1</t>
  </si>
  <si>
    <t>Joe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</si>
  <si>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</si>
  <si>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</si>
  <si>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</si>
  <si>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</si>
  <si>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</t>
  </si>
  <si>
    <t>Ralph Ineson</t>
  </si>
  <si>
    <t>con artist|money|orphan|scam|secretary</t>
  </si>
  <si>
    <t>http://www.imdb.com/title/tt0120122/?ref_=fn_tt_tt_1</t>
  </si>
  <si>
    <t>Prison</t>
  </si>
  <si>
    <t>Hal Landon Jr.</t>
  </si>
  <si>
    <t>electric chair|haunting|prison|prisoner|revenge</t>
  </si>
  <si>
    <t>http://www.imdb.com/title/tt0095904/?ref_=fn_tt_tt_1</t>
  </si>
  <si>
    <t>Robert Lee King</t>
  </si>
  <si>
    <t>Psycho Beach Party</t>
  </si>
  <si>
    <t>Comedy|Horror|Mystery</t>
  </si>
  <si>
    <t>Kathleen Robertson</t>
  </si>
  <si>
    <t>Beth Broderick</t>
  </si>
  <si>
    <t>cliche|exchange student|slasher|spoof|surfing</t>
  </si>
  <si>
    <t>http://www.imdb.com/title/tt0206226/?ref_=fn_tt_tt_1</t>
  </si>
  <si>
    <t>The Big Tease</t>
  </si>
  <si>
    <t>competition|fake documentary|hairdresser|nudity|reference to liberace</t>
  </si>
  <si>
    <t>http://www.imdb.com/title/tt0156639/?ref_=fn_tt_tt_1</t>
  </si>
  <si>
    <t>David Schwimmer</t>
  </si>
  <si>
    <t>Trust</t>
  </si>
  <si>
    <t>Jordan Trovillion</t>
  </si>
  <si>
    <t>Zoe Levin</t>
  </si>
  <si>
    <t>counselor|fbi|revenge motive|school|teenage girl</t>
  </si>
  <si>
    <t>http://www.imdb.com/title/tt1529572/?ref_=fn_tt_tt_1</t>
  </si>
  <si>
    <t>An Everlasting Piece</t>
  </si>
  <si>
    <t>alopecia|belfast northern ireland|ireland|irish republican army|scalper</t>
  </si>
  <si>
    <t>http://www.imdb.com/title/tt0218182/?ref_=fn_tt_tt_1</t>
  </si>
  <si>
    <t>Adore</t>
  </si>
  <si>
    <t>beach|friend|friendship|happiness|neighbor</t>
  </si>
  <si>
    <t>http://www.imdb.com/title/tt2103267/?ref_=fn_tt_tt_1</t>
  </si>
  <si>
    <t>Fernando LeÃ³n de Aranoa</t>
  </si>
  <si>
    <t>Mondays in the Sun</t>
  </si>
  <si>
    <t>Luis Tosar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</si>
  <si>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</si>
  <si>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</si>
  <si>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</si>
  <si>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</si>
  <si>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</si>
  <si>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Stake Land</t>
  </si>
  <si>
    <t>Connor Paolo</t>
  </si>
  <si>
    <t>Michael Cerveris</t>
  </si>
  <si>
    <t>canada|post apocalypse|road movie|vampire|vampire hunter</t>
  </si>
  <si>
    <t>http://www.imdb.com/title/tt1464580/?ref_=fn_tt_tt_1</t>
  </si>
  <si>
    <t>The Last Time I Committed Suicide</t>
  </si>
  <si>
    <t>1940s|female bare foot|picket fence|tire|vomiting</t>
  </si>
  <si>
    <t>http://www.imdb.com/title/tt0119502/?ref_=fn_tt_tt_1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</si>
  <si>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</si>
  <si>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</si>
  <si>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</si>
  <si>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</si>
  <si>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</si>
  <si>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Victor Fleming</t>
  </si>
  <si>
    <t>Gone with the Wind</t>
  </si>
  <si>
    <t>Hattie McDaniel</t>
  </si>
  <si>
    <t>George Reeves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</si>
  <si>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</si>
  <si>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</si>
  <si>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</si>
  <si>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</si>
  <si>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</t>
  </si>
  <si>
    <t>Marama Corlett</t>
  </si>
  <si>
    <t>dance|dancer|dancing|desert|iran</t>
  </si>
  <si>
    <t>http://www.imdb.com/title/tt2403393/?ref_=fn_tt_tt_1</t>
  </si>
  <si>
    <t>Sam Peckinpah</t>
  </si>
  <si>
    <t>Major Dundee</t>
  </si>
  <si>
    <t>Adventure|War|Western</t>
  </si>
  <si>
    <t>Slim Pickens</t>
  </si>
  <si>
    <t>Warren Oates</t>
  </si>
  <si>
    <t>apache|apache indian|confederate|mexico|scout</t>
  </si>
  <si>
    <t>http://www.imdb.com/title/tt0059418/?ref_=fn_tt_tt_1</t>
  </si>
  <si>
    <t>George Sidney</t>
  </si>
  <si>
    <t>Annie Get Your Gun</t>
  </si>
  <si>
    <t>Biography|Comedy|Musical|Romance|Western</t>
  </si>
  <si>
    <t>Keenan Wynn</t>
  </si>
  <si>
    <t>Howard Keel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</si>
  <si>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</si>
  <si>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</si>
  <si>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</si>
  <si>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</si>
  <si>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</si>
  <si>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</t>
  </si>
  <si>
    <t>gun running|organized crime|pimp|superhero|vigilante</t>
  </si>
  <si>
    <t>http://www.imdb.com/title/tt1303828/?ref_=fn_tt_tt_1</t>
  </si>
  <si>
    <t>Vincente Minnelli</t>
  </si>
  <si>
    <t>The Pirate</t>
  </si>
  <si>
    <t>Adventure|Comedy|Musical|Romance</t>
  </si>
  <si>
    <t>Gladys Cooper</t>
  </si>
  <si>
    <t>Reginald Owen</t>
  </si>
  <si>
    <t>Ellen Ross</t>
  </si>
  <si>
    <t>hoop|horseback riding|love|pirate|singer</t>
  </si>
  <si>
    <t>http://www.imdb.com/title/tt0040694/?ref_=fn_tt_tt_1</t>
  </si>
  <si>
    <t>Dagur KÃ¡ri</t>
  </si>
  <si>
    <t>The Good Heart</t>
  </si>
  <si>
    <t>Alice Olivia Clarke</t>
  </si>
  <si>
    <t>bar|bartender|death|heart attack|mentor protege relationship</t>
  </si>
  <si>
    <t>http://www.imdb.com/title/tt0808285/?ref_=fn_tt_tt_1</t>
  </si>
  <si>
    <t>Iceland</t>
  </si>
  <si>
    <t>The History Boys</t>
  </si>
  <si>
    <t>gay|headmaster|oxford|school|teacher</t>
  </si>
  <si>
    <t>http://www.imdb.com/title/tt0464049/?ref_=fn_tt_tt_1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</si>
  <si>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</si>
  <si>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</si>
  <si>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</si>
  <si>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</si>
  <si>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Jim Abrahams</t>
  </si>
  <si>
    <t>Airplane!</t>
  </si>
  <si>
    <t>Peter Graves</t>
  </si>
  <si>
    <t>Lloyd Bridges</t>
  </si>
  <si>
    <t>Barbara Billingsley</t>
  </si>
  <si>
    <t>air traffic controller|airplane|airport|pilot|spoof</t>
  </si>
  <si>
    <t>http://www.imdb.com/title/tt0080339/?ref_=fn_tt_tt_1</t>
  </si>
  <si>
    <t>Friday</t>
  </si>
  <si>
    <t>bully|drug dealer|first part|neighbor|neighborhood</t>
  </si>
  <si>
    <t>http://www.imdb.com/title/tt0113118/?ref_=fn_tt_tt_1</t>
  </si>
  <si>
    <t>Menace II Society</t>
  </si>
  <si>
    <t>1990s|escape|graduation|hustler|street</t>
  </si>
  <si>
    <t>http://www.imdb.com/title/tt0107554/?ref_=fn_tt_tt_1</t>
  </si>
  <si>
    <t>Michael Gornick</t>
  </si>
  <si>
    <t>Creepshow 2</t>
  </si>
  <si>
    <t>anthology|hit and run|hit by a car|living statue|melting woman</t>
  </si>
  <si>
    <t>http://www.imdb.com/title/tt0092796/?ref_=fn_tt_tt_1</t>
  </si>
  <si>
    <t>Robert Eggers</t>
  </si>
  <si>
    <t>The Witch</t>
  </si>
  <si>
    <t>Kate Dickie</t>
  </si>
  <si>
    <t>black magic|goat|isolation|naked woman|witch</t>
  </si>
  <si>
    <t>http://www.imdb.com/title/tt4263482/?ref_=fn_tt_tt_1</t>
  </si>
  <si>
    <t>Michael Martin</t>
  </si>
  <si>
    <t>I Got the Hook Up</t>
  </si>
  <si>
    <t>Joe Estevez</t>
  </si>
  <si>
    <t>Master P</t>
  </si>
  <si>
    <t>Anthony Johnson</t>
  </si>
  <si>
    <t>friend|obscenity|scam|vacant lot|van</t>
  </si>
  <si>
    <t>http://www.imdb.com/title/tt0131436/?ref_=fn_tt_tt_1</t>
  </si>
  <si>
    <t>Edward Burns</t>
  </si>
  <si>
    <t>She's the One</t>
  </si>
  <si>
    <t>Michael McGlone</t>
  </si>
  <si>
    <t>claim in title|infidelity|irish american|love|sex</t>
  </si>
  <si>
    <t>http://www.imdb.com/title/tt0117628/?ref_=fn_tt_tt_1</t>
  </si>
  <si>
    <t>Gods and Monsters</t>
  </si>
  <si>
    <t>friendship|gardener|gay interest|homosexual|memory</t>
  </si>
  <si>
    <t>http://www.imdb.com/title/tt0120684/?ref_=fn_tt_tt_1</t>
  </si>
  <si>
    <t>Juan JosÃ© Campanella</t>
  </si>
  <si>
    <t>The Secret in Their Eyes</t>
  </si>
  <si>
    <t>Ricardo DarÃ­n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</si>
  <si>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</si>
  <si>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</si>
  <si>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</si>
  <si>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</si>
  <si>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</si>
  <si>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Evil Dead II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</si>
  <si>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</si>
  <si>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</si>
  <si>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</si>
  <si>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</si>
  <si>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</si>
  <si>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Pootie Tang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</si>
  <si>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</si>
  <si>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</si>
  <si>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</si>
  <si>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</si>
  <si>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La otra conquista</t>
  </si>
  <si>
    <t>Elpidia Carrillo</t>
  </si>
  <si>
    <t>Zaide Silvia GutiÃ©rrez</t>
  </si>
  <si>
    <t>DamiÃ¡n Delgado</t>
  </si>
  <si>
    <t>1520s|aztec|indian|spanish colonization|spanish conquest</t>
  </si>
  <si>
    <t>http://www.imdb.com/title/tt0175996/?ref_=fn_tt_tt_1</t>
  </si>
  <si>
    <t>AndrÃ© Ã˜vredal</t>
  </si>
  <si>
    <t>Trollhunter</t>
  </si>
  <si>
    <t>Comedy|Drama|Fantasy|Horror</t>
  </si>
  <si>
    <t>Otto Jespersen</t>
  </si>
  <si>
    <t>Johanna MÃ¸rck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</si>
  <si>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</si>
  <si>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</si>
  <si>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</si>
  <si>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</si>
  <si>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</si>
  <si>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</si>
  <si>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</si>
  <si>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Adam Rapp</t>
  </si>
  <si>
    <t>Winter Passing</t>
  </si>
  <si>
    <t>love|michigan|musician|novelist|student</t>
  </si>
  <si>
    <t>http://www.imdb.com/title/tt0380817/?ref_=fn_tt_tt_1</t>
  </si>
  <si>
    <t>D.E.B.S.</t>
  </si>
  <si>
    <t>1959 cadillac|diamonds|female villain|force field|voyeurism</t>
  </si>
  <si>
    <t>http://www.imdb.com/title/tt0367631/?ref_=fn_tt_tt_1</t>
  </si>
  <si>
    <t>Luc Jacquet</t>
  </si>
  <si>
    <t>March of the Penguins</t>
  </si>
  <si>
    <t>Sofie GrÃ¥bÃ¸l</t>
  </si>
  <si>
    <t>Romane Bohringer</t>
  </si>
  <si>
    <t>chick|emperor penguin|journey|ocean|penguin</t>
  </si>
  <si>
    <t>http://www.imdb.com/title/tt0428803/?ref_=fn_tt_tt_1</t>
  </si>
  <si>
    <t>Margin Call</t>
  </si>
  <si>
    <t>capital management|financial crisis|financial disaster|investment fraud|management</t>
  </si>
  <si>
    <t>http://www.imdb.com/title/tt1615147/?ref_=fn_tt_tt_1</t>
  </si>
  <si>
    <t>Clark Gregg</t>
  </si>
  <si>
    <t>Choke</t>
  </si>
  <si>
    <t>choking|friend|hospital|restaurant|scam</t>
  </si>
  <si>
    <t>http://www.imdb.com/title/tt1024715/?ref_=fn_tt_tt_1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</si>
  <si>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</si>
  <si>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</si>
  <si>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</si>
  <si>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</si>
  <si>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City of God</t>
  </si>
  <si>
    <t>Seu Jorge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</si>
  <si>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</si>
  <si>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</si>
  <si>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</si>
  <si>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</si>
  <si>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Human Traffic</t>
  </si>
  <si>
    <t>John Simm</t>
  </si>
  <si>
    <t>friday|friend|hip hop|techno rave|weekend</t>
  </si>
  <si>
    <t>http://www.imdb.com/title/tt0188674/?ref_=fn_tt_tt_1</t>
  </si>
  <si>
    <t>The Hunt</t>
  </si>
  <si>
    <t>Thomas Bo Larsen</t>
  </si>
  <si>
    <t>Alexandra Rapaport</t>
  </si>
  <si>
    <t>Hana Shuan</t>
  </si>
  <si>
    <t>deer|gun|gunshot|hunt|kindergarten teacher</t>
  </si>
  <si>
    <t>http://www.imdb.com/title/tt2106476/?ref_=fn_tt_tt_1</t>
  </si>
  <si>
    <t>Alejandro Monteverde</t>
  </si>
  <si>
    <t>Bella</t>
  </si>
  <si>
    <t>inter cultural|latino|restaurant|soccer|train</t>
  </si>
  <si>
    <t>http://www.imdb.com/title/tt0482463/?ref_=fn_tt_tt_1</t>
  </si>
  <si>
    <t>Joshua Marston</t>
  </si>
  <si>
    <t>Maria Full of Grace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</si>
  <si>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</si>
  <si>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</si>
  <si>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</si>
  <si>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</si>
  <si>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</si>
  <si>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Beginners</t>
  </si>
  <si>
    <t>Mary Page Keller</t>
  </si>
  <si>
    <t>actress|cancer|death|french|gay relationship</t>
  </si>
  <si>
    <t>http://www.imdb.com/title/tt1532503/?ref_=fn_tt_tt_1</t>
  </si>
  <si>
    <t>Animal House</t>
  </si>
  <si>
    <t>academic probation|camera shot of feet|fraternity|school expulsion|smashing a guitar</t>
  </si>
  <si>
    <t>http://www.imdb.com/title/tt0077975/?ref_=fn_tt_tt_1</t>
  </si>
  <si>
    <t>Goldfinger</t>
  </si>
  <si>
    <t>Honor Blackman</t>
  </si>
  <si>
    <t>Gert FrÃ¶be</t>
  </si>
  <si>
    <t>bikini|covered in melted gold|fort knox|gold|pilot</t>
  </si>
  <si>
    <t>http://www.imdb.com/title/tt0058150/?ref_=fn_tt_tt_1</t>
  </si>
  <si>
    <t>Trainspotting</t>
  </si>
  <si>
    <t>drug culture|drugs|filthy toilet|heroin addict|heroin withdrawal</t>
  </si>
  <si>
    <t>http://www.imdb.com/title/tt0117951/?ref_=fn_tt_tt_1</t>
  </si>
  <si>
    <t>The Original Kings of Comedy</t>
  </si>
  <si>
    <t>backstage|comedian|concert film|emcee|stand up comedian</t>
  </si>
  <si>
    <t>http://www.imdb.com/title/tt0236388/?ref_=fn_tt_tt_1</t>
  </si>
  <si>
    <t>Tod Williams</t>
  </si>
  <si>
    <t>Paranormal Activity 2</t>
  </si>
  <si>
    <t>Micah Sloat</t>
  </si>
  <si>
    <t>california|carlsbad california|house|nanny|security camera</t>
  </si>
  <si>
    <t>http://www.imdb.com/title/tt1536044/?ref_=fn_tt_tt_1</t>
  </si>
  <si>
    <t>Waking Ned Devine</t>
  </si>
  <si>
    <t>dead body|death|lottery|small town|village</t>
  </si>
  <si>
    <t>http://www.imdb.com/title/tt0166396/?ref_=fn_tt_tt_1</t>
  </si>
  <si>
    <t>Bowling for Columbine</t>
  </si>
  <si>
    <t>Crime|Documentary|Drama</t>
  </si>
  <si>
    <t>Dick Clark</t>
  </si>
  <si>
    <t>bank|columbine|columbine high school killings|firearm|school shooting</t>
  </si>
  <si>
    <t>http://www.imdb.com/title/tt0310793/?ref_=fn_tt_tt_1</t>
  </si>
  <si>
    <t>Jack Sholder</t>
  </si>
  <si>
    <t>A Nightmare on Elm Street 2: Freddy's Revenge</t>
  </si>
  <si>
    <t>Clu Gulager</t>
  </si>
  <si>
    <t>Robert Rusler</t>
  </si>
  <si>
    <t>freddy krueger|gay|gay subtext|homoeroticism|jock strap</t>
  </si>
  <si>
    <t>http://www.imdb.com/title/tt0089686/?ref_=fn_tt_tt_1</t>
  </si>
  <si>
    <t>A Room with a View</t>
  </si>
  <si>
    <t>Denholm Elliott</t>
  </si>
  <si>
    <t>male nudity|male pubic hair|nude bathing|piano|pubic hair</t>
  </si>
  <si>
    <t>http://www.imdb.com/title/tt0091867/?ref_=fn_tt_tt_1</t>
  </si>
  <si>
    <t>The Purge</t>
  </si>
  <si>
    <t>Adelaide Kane</t>
  </si>
  <si>
    <t>class differences|killing spree|one night|suburb|violence</t>
  </si>
  <si>
    <t>http://www.imdb.com/title/tt2184339/?ref_=fn_tt_tt_1</t>
  </si>
  <si>
    <t>Sinister</t>
  </si>
  <si>
    <t>Danielle Kotch</t>
  </si>
  <si>
    <t>Victoria Leigh</t>
  </si>
  <si>
    <t>book|found footage|research|snuff film|writer</t>
  </si>
  <si>
    <t>http://www.imdb.com/title/tt1922777/?ref_=fn_tt_tt_1</t>
  </si>
  <si>
    <t>Martin Lawrence Live: Runteldat</t>
  </si>
  <si>
    <t>Biography|Comedy|Documentary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</si>
  <si>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</si>
  <si>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</si>
  <si>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</si>
  <si>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</si>
  <si>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Air Bud</t>
  </si>
  <si>
    <t>basketball|boy|dog|dog movie|golden retriever</t>
  </si>
  <si>
    <t>http://www.imdb.com/title/tt0118570/?ref_=fn_tt_tt_1</t>
  </si>
  <si>
    <t>Tom McLoughlin</t>
  </si>
  <si>
    <t>Jason Lives: Friday the 13th Part VI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</si>
  <si>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</si>
  <si>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</si>
  <si>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</si>
  <si>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</si>
  <si>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The Bridge on the River Kwai</t>
  </si>
  <si>
    <t>William Holden</t>
  </si>
  <si>
    <t>Sessue Hayakawa</t>
  </si>
  <si>
    <t>allies|bridge|construction|jungle|sabotage</t>
  </si>
  <si>
    <t>http://www.imdb.com/title/tt0050212/?ref_=fn_tt_tt_1</t>
  </si>
  <si>
    <t>Spaced Invaders</t>
  </si>
  <si>
    <t>Royal Dano</t>
  </si>
  <si>
    <t>Tonya Lee Williams</t>
  </si>
  <si>
    <t>alien|halloween|killer robot|outer space|wrestler costume</t>
  </si>
  <si>
    <t>http://www.imdb.com/title/tt0100666/?ref_=fn_tt_tt_1</t>
  </si>
  <si>
    <t>Adam Marcus</t>
  </si>
  <si>
    <t>Jason Goes to Hell: The Final Friday</t>
  </si>
  <si>
    <t>Leslie Jordan</t>
  </si>
  <si>
    <t>Erin Gray</t>
  </si>
  <si>
    <t>brutality|evil|jason voorhees|paranormal phenomena|terror</t>
  </si>
  <si>
    <t>http://www.imdb.com/title/tt0107254/?ref_=fn_tt_tt_1</t>
  </si>
  <si>
    <t>Dave Chappelle's Block Party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</si>
  <si>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</si>
  <si>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</si>
  <si>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</si>
  <si>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</si>
  <si>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</si>
  <si>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</si>
  <si>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</si>
  <si>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</si>
  <si>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Nnegest LikkÃ©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</si>
  <si>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</si>
  <si>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</si>
  <si>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</si>
  <si>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</si>
  <si>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Before Midnight</t>
  </si>
  <si>
    <t>Seamus Davey-Fitzpatrick</t>
  </si>
  <si>
    <t>Ariane Labed</t>
  </si>
  <si>
    <t>Athina Rachel Tsangari</t>
  </si>
  <si>
    <t>friend|greece|greek|hotel room|twin</t>
  </si>
  <si>
    <t>http://www.imdb.com/title/tt2209418/?ref_=fn_tt_tt_1</t>
  </si>
  <si>
    <t>Christopher Leitch</t>
  </si>
  <si>
    <t>Teen Wolf Too</t>
  </si>
  <si>
    <t>John Astin</t>
  </si>
  <si>
    <t>Robert Neary</t>
  </si>
  <si>
    <t>falling in love|glowing eyes|insult|teenager|three word title</t>
  </si>
  <si>
    <t>http://www.imdb.com/title/tt0094118/?ref_=fn_tt_tt_1</t>
  </si>
  <si>
    <t>Don Coscarelli</t>
  </si>
  <si>
    <t>Phantasm II</t>
  </si>
  <si>
    <t>Angus Scrimm</t>
  </si>
  <si>
    <t>A. Michael Baldwin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</si>
  <si>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</si>
  <si>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</si>
  <si>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</si>
  <si>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</si>
  <si>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</t>
  </si>
  <si>
    <t>education|factory|high school|mexican american|religious icon</t>
  </si>
  <si>
    <t>http://www.imdb.com/title/tt0296166/?ref_=fn_tt_tt_1</t>
  </si>
  <si>
    <t>Damien O'Donnell</t>
  </si>
  <si>
    <t>East Is East</t>
  </si>
  <si>
    <t>england|marriage|muslim|pakistani|salford</t>
  </si>
  <si>
    <t>http://www.imdb.com/title/tt0166175/?ref_=fn_tt_tt_1</t>
  </si>
  <si>
    <t>Peter M. Cohen</t>
  </si>
  <si>
    <t>Whipped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</si>
  <si>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</si>
  <si>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</si>
  <si>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</si>
  <si>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</si>
  <si>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Kama Sutra: A Tale of Love</t>
  </si>
  <si>
    <t>Crime|Drama|History|Romance</t>
  </si>
  <si>
    <t>Rekha</t>
  </si>
  <si>
    <t>courtesan|friend|kama sutra|seduction|wedding</t>
  </si>
  <si>
    <t>http://www.imdb.com/title/tt0116743/?ref_=fn_tt_tt_1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</si>
  <si>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</si>
  <si>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</si>
  <si>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</si>
  <si>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</si>
  <si>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</si>
  <si>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Tom Schulman</t>
  </si>
  <si>
    <t>8 Heads in a Duffel Bag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</si>
  <si>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</si>
  <si>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</si>
  <si>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</si>
  <si>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</si>
  <si>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</t>
  </si>
  <si>
    <t>Rob McElhenney</t>
  </si>
  <si>
    <t>attorney|happiness|house cleaner|physics|professor</t>
  </si>
  <si>
    <t>http://www.imdb.com/title/tt0268690/?ref_=fn_tt_tt_1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</si>
  <si>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</si>
  <si>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</si>
  <si>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</si>
  <si>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</si>
  <si>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</si>
  <si>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Julian Schnabel</t>
  </si>
  <si>
    <t>Basquiat</t>
  </si>
  <si>
    <t>Courtney Love</t>
  </si>
  <si>
    <t>andy warhol|art|artist|friendship|street artist</t>
  </si>
  <si>
    <t>http://www.imdb.com/title/tt0115632/?ref_=fn_tt_tt_1</t>
  </si>
  <si>
    <t>Tsotsi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</si>
  <si>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</si>
  <si>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</si>
  <si>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</si>
  <si>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</si>
  <si>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</si>
  <si>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DysFunktional Family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</si>
  <si>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</si>
  <si>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</si>
  <si>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</si>
  <si>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</si>
  <si>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Tusk</t>
  </si>
  <si>
    <t>Comedy|Drama|Horror</t>
  </si>
  <si>
    <t>canada|human becoming an animal|mad scientist|part of trilogy|walrus</t>
  </si>
  <si>
    <t>http://www.imdb.com/title/tt3099498/?ref_=fn_tt_tt_1</t>
  </si>
  <si>
    <t>Oldboy</t>
  </si>
  <si>
    <t>Ji-tae Yu</t>
  </si>
  <si>
    <t>brother sister relationship|hypnosis|imprisonment|love|revenge</t>
  </si>
  <si>
    <t>http://www.imdb.com/title/tt0364569/?ref_=fn_tt_tt_1</t>
  </si>
  <si>
    <t>David Nixon</t>
  </si>
  <si>
    <t>Letters to God</t>
  </si>
  <si>
    <t>Robyn Lively</t>
  </si>
  <si>
    <t>Michael Bolten</t>
  </si>
  <si>
    <t>Christopher Schmidt</t>
  </si>
  <si>
    <t>cancer|faith|hope|letter|prayer</t>
  </si>
  <si>
    <t>http://www.imdb.com/title/tt1462054/?ref_=fn_tt_tt_1</t>
  </si>
  <si>
    <t>Jason Eisener</t>
  </si>
  <si>
    <t>Hobo with a Shotgun</t>
  </si>
  <si>
    <t>Robb Wells</t>
  </si>
  <si>
    <t>Molly Dunsworth</t>
  </si>
  <si>
    <t>hobo|pedophile|rampage|shotgun|vigilante</t>
  </si>
  <si>
    <t>http://www.imdb.com/title/tt1640459/?ref_=fn_tt_tt_1</t>
  </si>
  <si>
    <t>Leslye Headland</t>
  </si>
  <si>
    <t>Bachelorette</t>
  </si>
  <si>
    <t>Andrew Rannells</t>
  </si>
  <si>
    <t>bachelorette party|drug use|high school|overdose|wedding dress</t>
  </si>
  <si>
    <t>http://www.imdb.com/title/tt1920849/?ref_=fn_tt_tt_1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</si>
  <si>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</si>
  <si>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</si>
  <si>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</si>
  <si>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</si>
  <si>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Summer Storm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</si>
  <si>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</si>
  <si>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</si>
  <si>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</si>
  <si>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</si>
  <si>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</si>
  <si>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Chain Letter</t>
  </si>
  <si>
    <t>Matt Cohen</t>
  </si>
  <si>
    <t>Noah Segan</t>
  </si>
  <si>
    <t>blood splatter|chain|murder|mysterious killer|warning</t>
  </si>
  <si>
    <t>http://www.imdb.com/title/tt1148200/?ref_=fn_tt_tt_1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</si>
  <si>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</si>
  <si>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</si>
  <si>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</si>
  <si>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</si>
  <si>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The Divide</t>
  </si>
  <si>
    <t>doggystyle sex|rough sex|sodomy|torture|violent sex</t>
  </si>
  <si>
    <t>http://www.imdb.com/title/tt1535616/?ref_=fn_tt_tt_1</t>
  </si>
  <si>
    <t>Central Station</t>
  </si>
  <si>
    <t>Fernanda Montenegro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</si>
  <si>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</si>
  <si>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</si>
  <si>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</si>
  <si>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</si>
  <si>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</si>
  <si>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</t>
  </si>
  <si>
    <t>Brenda Vaccaro</t>
  </si>
  <si>
    <t>title spoken by character</t>
  </si>
  <si>
    <t>http://www.imdb.com/title/tt0439478/?ref_=fn_tt_tt_1</t>
  </si>
  <si>
    <t>High Tension</t>
  </si>
  <si>
    <t>MaÃ¯wenn</t>
  </si>
  <si>
    <t>Oana Pellea</t>
  </si>
  <si>
    <t>car chase|plot twist|police van|rear ending a car|slasher</t>
  </si>
  <si>
    <t>http://www.imdb.com/title/tt0338095/?ref_=fn_tt_tt_1</t>
  </si>
  <si>
    <t>Hustle &amp; Flow</t>
  </si>
  <si>
    <t>Isaac Hayes</t>
  </si>
  <si>
    <t>Paula Jai Parker</t>
  </si>
  <si>
    <t>Elise Neal</t>
  </si>
  <si>
    <t>baby|friend|hip hop|pimp|stripper</t>
  </si>
  <si>
    <t>http://www.imdb.com/title/tt0410097/?ref_=fn_tt_tt_1</t>
  </si>
  <si>
    <t>Billy Wilder</t>
  </si>
  <si>
    <t>Some Like It Hot</t>
  </si>
  <si>
    <t>Nehemiah Persoff</t>
  </si>
  <si>
    <t>Joe E. Brown</t>
  </si>
  <si>
    <t>George Raft</t>
  </si>
  <si>
    <t>all girl band|band|cross dressing|musician|yacht</t>
  </si>
  <si>
    <t>http://www.imdb.com/title/tt0053291/?ref_=fn_tt_tt_1</t>
  </si>
  <si>
    <t>John Carl Buechler</t>
  </si>
  <si>
    <t>Friday the 13th Part VII: The New Blood</t>
  </si>
  <si>
    <t>Terry Kiser</t>
  </si>
  <si>
    <t>William Butler</t>
  </si>
  <si>
    <t>death|jason voorhees|massacre|slaughter|telekinesis</t>
  </si>
  <si>
    <t>http://www.imdb.com/title/tt0095179/?ref_=fn_tt_tt_1</t>
  </si>
  <si>
    <t>The Wizard of Oz</t>
  </si>
  <si>
    <t>Margaret Hamilton</t>
  </si>
  <si>
    <t>Terry</t>
  </si>
  <si>
    <t>Billie Burke</t>
  </si>
  <si>
    <t>evil witch|tornado|witch|wizard|wizard of oz</t>
  </si>
  <si>
    <t>http://www.imdb.com/title/tt0032138/?ref_=fn_tt_tt_1</t>
  </si>
  <si>
    <t>Young Frankenstein</t>
  </si>
  <si>
    <t>assistant|castle|experiment|frankenstein's monster|scientist</t>
  </si>
  <si>
    <t>http://www.imdb.com/title/tt0072431/?ref_=fn_tt_tt_1</t>
  </si>
  <si>
    <t>Diary of the Dead</t>
  </si>
  <si>
    <t>Joe Dinicol</t>
  </si>
  <si>
    <t>barn|film student|hospital|mummy|video camera</t>
  </si>
  <si>
    <t>http://www.imdb.com/title/tt0848557/?ref_=fn_tt_tt_1</t>
  </si>
  <si>
    <t>Victor Nunez</t>
  </si>
  <si>
    <t>Ulee's Gold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</si>
  <si>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</si>
  <si>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</si>
  <si>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</si>
  <si>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</si>
  <si>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Blazing Saddles</t>
  </si>
  <si>
    <t>David Huddleston</t>
  </si>
  <si>
    <t>railroad|reference to douglas fairbanks|reference to jesse owens|reference to randolph scott|year 1874</t>
  </si>
  <si>
    <t>http://www.imdb.com/title/tt0071230/?ref_=fn_tt_tt_1</t>
  </si>
  <si>
    <t>Joseph Zito</t>
  </si>
  <si>
    <t>Friday the 13th: The Final Chapter</t>
  </si>
  <si>
    <t>Judie Aronson</t>
  </si>
  <si>
    <t>Tom Everett</t>
  </si>
  <si>
    <t>Kimberly Beck</t>
  </si>
  <si>
    <t>friday the thirteenth|hockey mask|jason voorhees|morgue|slasher</t>
  </si>
  <si>
    <t>http://www.imdb.com/title/tt0087298/?ref_=fn_tt_tt_1</t>
  </si>
  <si>
    <t>Maurice</t>
  </si>
  <si>
    <t>homosexuality|love|male full frontal nudity|male rear nudity|one word title</t>
  </si>
  <si>
    <t>http://www.imdb.com/title/tt0093512/?ref_=fn_tt_tt_1</t>
  </si>
  <si>
    <t>Nacho Vigalondo</t>
  </si>
  <si>
    <t>Timecrimes</t>
  </si>
  <si>
    <t>Karra Elejalde</t>
  </si>
  <si>
    <t>BÃ¡rbara Goenaga</t>
  </si>
  <si>
    <t>binoculars|hitchcockian|scissors|time machine|woods</t>
  </si>
  <si>
    <t>http://www.imdb.com/title/tt0480669/?ref_=fn_tt_tt_1</t>
  </si>
  <si>
    <t>A Haunted House</t>
  </si>
  <si>
    <t>hamburger|parody|priest|psychic|woman in a bikini</t>
  </si>
  <si>
    <t>http://www.imdb.com/title/tt2243537/?ref_=fn_tt_tt_1</t>
  </si>
  <si>
    <t>Dinesh D'Souza</t>
  </si>
  <si>
    <t>2016: Obama's America</t>
  </si>
  <si>
    <t>Barack Obama</t>
  </si>
  <si>
    <t>Zackary Steven Graham</t>
  </si>
  <si>
    <t>critically bashed|partisan commentary|political propoganda|punctuation in title|reenactment</t>
  </si>
  <si>
    <t>http://www.imdb.com/title/tt2247692/?ref_=fn_tt_tt_1</t>
  </si>
  <si>
    <t>That Thing You Do!</t>
  </si>
  <si>
    <t>band|drummer|jazz|pennsylvania|song</t>
  </si>
  <si>
    <t>http://www.imdb.com/title/tt0117887/?ref_=fn_tt_tt_1</t>
  </si>
  <si>
    <t>Tommy Lee Wallace</t>
  </si>
  <si>
    <t>Halloween III: Season of the Witch</t>
  </si>
  <si>
    <t>Dan O'Herlihy</t>
  </si>
  <si>
    <t>Nancy Kyes</t>
  </si>
  <si>
    <t>doctor|factory|halloween|holiday horror|stonehenge</t>
  </si>
  <si>
    <t>http://www.imdb.com/title/tt0085636/?ref_=fn_tt_tt_1</t>
  </si>
  <si>
    <t>Leslie Small</t>
  </si>
  <si>
    <t>Kevin Hart: Let Me Explain</t>
  </si>
  <si>
    <t>David Jason Perez</t>
  </si>
  <si>
    <t>La'Princess Jackson</t>
  </si>
  <si>
    <t>Dana Hanna</t>
  </si>
  <si>
    <t>lying|montreal|reference to twitter|reference to youtube|toronto</t>
  </si>
  <si>
    <t>http://www.imdb.com/title/tt2609912/?ref_=fn_tt_tt_1</t>
  </si>
  <si>
    <t>My Own Private Idaho</t>
  </si>
  <si>
    <t>friend|hustler|italy|narcolepsy|traveling</t>
  </si>
  <si>
    <t>http://www.imdb.com/title/tt0102494/?ref_=fn_tt_tt_1</t>
  </si>
  <si>
    <t>Garden State</t>
  </si>
  <si>
    <t>Jill Flint</t>
  </si>
  <si>
    <t>actor|doctor|drugs|home|pain</t>
  </si>
  <si>
    <t>http://www.imdb.com/title/tt0333766/?ref_=fn_tt_tt_1</t>
  </si>
  <si>
    <t>Before Sunrise</t>
  </si>
  <si>
    <t>Hanno PÃ¶schl</t>
  </si>
  <si>
    <t>Hans Weingartner</t>
  </si>
  <si>
    <t>Dominik Castell</t>
  </si>
  <si>
    <t>american|conversations|kiss|love|train</t>
  </si>
  <si>
    <t>http://www.imdb.com/title/tt0112471/?ref_=fn_tt_tt_1</t>
  </si>
  <si>
    <t>Alison Maclean</t>
  </si>
  <si>
    <t>Jesus' Son</t>
  </si>
  <si>
    <t>hospital|love|mennonite|shower|song</t>
  </si>
  <si>
    <t>http://www.imdb.com/title/tt0186253/?ref_=fn_tt_tt_1</t>
  </si>
  <si>
    <t>Robot &amp; Frank</t>
  </si>
  <si>
    <t>Comedy|Crime|Drama|Sci-Fi</t>
  </si>
  <si>
    <t>Joshua Ormond</t>
  </si>
  <si>
    <t>Ana Gasteyer</t>
  </si>
  <si>
    <t>burglary|dementia|near future|robot|thief</t>
  </si>
  <si>
    <t>http://www.imdb.com/title/tt1990314/?ref_=fn_tt_tt_1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</si>
  <si>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</si>
  <si>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</si>
  <si>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</si>
  <si>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</si>
  <si>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</si>
  <si>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</si>
  <si>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</si>
  <si>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</si>
  <si>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</si>
  <si>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</si>
  <si>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Religulous</t>
  </si>
  <si>
    <t>Comedy|Documentary|War</t>
  </si>
  <si>
    <t>Bill Maher</t>
  </si>
  <si>
    <t>Tal Bachman</t>
  </si>
  <si>
    <t>Steve Burg</t>
  </si>
  <si>
    <t>catholic|christian|jew|muslim|religion</t>
  </si>
  <si>
    <t>http://www.imdb.com/title/tt0815241/?ref_=fn_tt_tt_1</t>
  </si>
  <si>
    <t>Joshua Tickell</t>
  </si>
  <si>
    <t>Fuel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</si>
  <si>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</si>
  <si>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</si>
  <si>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</si>
  <si>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</si>
  <si>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</si>
  <si>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Eye of the Dolphin</t>
  </si>
  <si>
    <t>dolphin|island|research|tourist|town</t>
  </si>
  <si>
    <t>http://www.imdb.com/title/tt0465407/?ref_=fn_tt_tt_1</t>
  </si>
  <si>
    <t>Reed Cowan</t>
  </si>
  <si>
    <t>8: The Mormon Proposition</t>
  </si>
  <si>
    <t>Dustin Lance Black</t>
  </si>
  <si>
    <t>Emily Pearson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</si>
  <si>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</si>
  <si>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</si>
  <si>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</si>
  <si>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</si>
  <si>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</si>
  <si>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</si>
  <si>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</si>
  <si>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</si>
  <si>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Anatomy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</si>
  <si>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</si>
  <si>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</si>
  <si>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</si>
  <si>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</si>
  <si>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</si>
  <si>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</si>
  <si>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</si>
  <si>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</si>
  <si>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</si>
  <si>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Super</t>
  </si>
  <si>
    <t>Paul T. Taylor</t>
  </si>
  <si>
    <t>drug dealer|superhero|tragedy|tragic hero|tragic love</t>
  </si>
  <si>
    <t>http://www.imdb.com/title/tt1512235/?ref_=fn_tt_tt_1</t>
  </si>
  <si>
    <t>Get on the Bus</t>
  </si>
  <si>
    <t>actor|bus|march|million man march|religion</t>
  </si>
  <si>
    <t>http://www.imdb.com/title/tt0116404/?ref_=fn_tt_tt_1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</si>
  <si>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</si>
  <si>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</si>
  <si>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</si>
  <si>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</si>
  <si>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</si>
  <si>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</si>
  <si>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</si>
  <si>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</t>
  </si>
  <si>
    <t>england|racism|racist|skinhead|violence</t>
  </si>
  <si>
    <t>http://www.imdb.com/title/tt0480025/?ref_=fn_tt_tt_1</t>
  </si>
  <si>
    <t>Carmen Marron</t>
  </si>
  <si>
    <t>Go for It!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</si>
  <si>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</si>
  <si>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</si>
  <si>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</si>
  <si>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</si>
  <si>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Friday the 13th Part III</t>
  </si>
  <si>
    <t>Richard Brooker</t>
  </si>
  <si>
    <t>Dana Kimmell</t>
  </si>
  <si>
    <t>Catherine Parks</t>
  </si>
  <si>
    <t>defecation|hockey mask|jason voorhees|lake|serial killer</t>
  </si>
  <si>
    <t>http://www.imdb.com/title/tt0083972/?ref_=fn_tt_tt_1</t>
  </si>
  <si>
    <t>Danny Steinmann</t>
  </si>
  <si>
    <t>Friday the 13th: A New Beginning</t>
  </si>
  <si>
    <t>Tiffany Helm</t>
  </si>
  <si>
    <t>Melanie Kinnaman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</si>
  <si>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</si>
  <si>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</si>
  <si>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</si>
  <si>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</si>
  <si>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</t>
  </si>
  <si>
    <t>1850s|christian film|dark secret|funeral|sin eater</t>
  </si>
  <si>
    <t>http://www.imdb.com/title/tt0810928/?ref_=fn_tt_tt_1</t>
  </si>
  <si>
    <t>William Wyler</t>
  </si>
  <si>
    <t>The Best Years of Our Lives</t>
  </si>
  <si>
    <t>Myrna Loy</t>
  </si>
  <si>
    <t>Teresa Wright</t>
  </si>
  <si>
    <t>Dana Andrews</t>
  </si>
  <si>
    <t>love|pity|readjusting to civilian life|veteran|world war two veteran</t>
  </si>
  <si>
    <t>http://www.imdb.com/title/tt0036868/?ref_=fn_tt_tt_1</t>
  </si>
  <si>
    <t>Petter NÃ¦ss</t>
  </si>
  <si>
    <t>Elling</t>
  </si>
  <si>
    <t>JÃ¸rgen Langhelle</t>
  </si>
  <si>
    <t>Per Christian Ellefsen</t>
  </si>
  <si>
    <t>Sven Nordin</t>
  </si>
  <si>
    <t>friendship|mental illness|poet|sex obsession|virgin</t>
  </si>
  <si>
    <t>http://www.imdb.com/title/tt0279064/?ref_=fn_tt_tt_1</t>
  </si>
  <si>
    <t>From Russia with Love</t>
  </si>
  <si>
    <t>Daniela Bianchi</t>
  </si>
  <si>
    <t>assassin|british agent|british secret service|decoder|russian</t>
  </si>
  <si>
    <t>http://www.imdb.com/title/tt0057076/?ref_=fn_tt_tt_1</t>
  </si>
  <si>
    <t>Michael Herz</t>
  </si>
  <si>
    <t>The Toxic Avenger Part II</t>
  </si>
  <si>
    <t>Action|Comedy|Horror|Sci-Fi</t>
  </si>
  <si>
    <t>Phoebe Legere</t>
  </si>
  <si>
    <t>Jessica Dublin</t>
  </si>
  <si>
    <t>Lisa Gaye</t>
  </si>
  <si>
    <t>bare breasts|japan|tokyo japan|toxic avenger|troma</t>
  </si>
  <si>
    <t>http://www.imdb.com/title/tt0098503/?ref_=fn_tt_tt_1</t>
  </si>
  <si>
    <t>David Robert Mitchell</t>
  </si>
  <si>
    <t>It Follows</t>
  </si>
  <si>
    <t>Maika Monroe</t>
  </si>
  <si>
    <t>Ruby Harris</t>
  </si>
  <si>
    <t>Jake Weary</t>
  </si>
  <si>
    <t>ambiguous ending|being followed|sex scene|supernatural|supernatural being</t>
  </si>
  <si>
    <t>http://www.imdb.com/title/tt3235888/?ref_=fn_tt_tt_1</t>
  </si>
  <si>
    <t>Mad Max 2: The Road Warrior</t>
  </si>
  <si>
    <t>Vernon Wells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</si>
  <si>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</si>
  <si>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</si>
  <si>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</si>
  <si>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</si>
  <si>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</si>
  <si>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</si>
  <si>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</si>
  <si>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</si>
  <si>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Boys Don't Cry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</si>
  <si>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</si>
  <si>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</si>
  <si>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</si>
  <si>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</si>
  <si>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</si>
  <si>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Silent House</t>
  </si>
  <si>
    <t>Eric Sheffer Stevens</t>
  </si>
  <si>
    <t>Julia Taylor Ross</t>
  </si>
  <si>
    <t>Adam Trese</t>
  </si>
  <si>
    <t>bound and gagged|girl|haunted house|hearing noises|uninterrupted shot</t>
  </si>
  <si>
    <t>http://www.imdb.com/title/tt1767382/?ref_=fn_tt_tt_1</t>
  </si>
  <si>
    <t>The Lives of Others</t>
  </si>
  <si>
    <t>east germany|police|secret police|stasi|writer</t>
  </si>
  <si>
    <t>http://www.imdb.com/title/tt0405094/?ref_=fn_tt_tt_1</t>
  </si>
  <si>
    <t>Alex Kendrick</t>
  </si>
  <si>
    <t>Courageous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</si>
  <si>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</si>
  <si>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</si>
  <si>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</si>
  <si>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</si>
  <si>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</si>
  <si>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The Triplets of Belleville</t>
  </si>
  <si>
    <t>Animation|Comedy|Drama</t>
  </si>
  <si>
    <t>Michel Robin</t>
  </si>
  <si>
    <t>Charles Linton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</si>
  <si>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</si>
  <si>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</si>
  <si>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</si>
  <si>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</si>
  <si>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</si>
  <si>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</si>
  <si>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</si>
  <si>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Before Sunset</t>
  </si>
  <si>
    <t>Albert Delpy</t>
  </si>
  <si>
    <t>Marie Pillet</t>
  </si>
  <si>
    <t>book|bookstore|love|simultaneity|train</t>
  </si>
  <si>
    <t>http://www.imdb.com/title/tt0381681/?ref_=fn_tt_tt_1</t>
  </si>
  <si>
    <t>Amores Perros</t>
  </si>
  <si>
    <t>Adriana Barraza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</si>
  <si>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</si>
  <si>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</si>
  <si>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</si>
  <si>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</si>
  <si>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Thirteen</t>
  </si>
  <si>
    <t>Sarah Clarke</t>
  </si>
  <si>
    <t>13 year olds|adolescence|friend|peer pressure|teacher</t>
  </si>
  <si>
    <t>http://www.imdb.com/title/tt0328538/?ref_=fn_tt_tt_1</t>
  </si>
  <si>
    <t>Debra Granik</t>
  </si>
  <si>
    <t>Winter's Bone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</si>
  <si>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</si>
  <si>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</si>
  <si>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</si>
  <si>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</si>
  <si>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</si>
  <si>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Me and You and Everyone We Know</t>
  </si>
  <si>
    <t>Najarra Townsend</t>
  </si>
  <si>
    <t>fellatio|seven word title|shoe salesman|title directed by female|written by director</t>
  </si>
  <si>
    <t>http://www.imdb.com/title/tt0415978/?ref_=fn_tt_tt_1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</si>
  <si>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</si>
  <si>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</si>
  <si>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</si>
  <si>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</si>
  <si>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Harsh Times</t>
  </si>
  <si>
    <t>blood splatter|friend|lapd|mexican|violence</t>
  </si>
  <si>
    <t>http://www.imdb.com/title/tt0433387/?ref_=fn_tt_tt_1</t>
  </si>
  <si>
    <t>Captive</t>
  </si>
  <si>
    <t>Sydelle Noel</t>
  </si>
  <si>
    <t>auto theft|based on true story|drug addict|kidnapping|violence</t>
  </si>
  <si>
    <t>http://www.imdb.com/title/tt3268668/?ref_=fn_tt_tt_1</t>
  </si>
  <si>
    <t>Full Frontal</t>
  </si>
  <si>
    <t>birthday|friend|hollywood|party|sex</t>
  </si>
  <si>
    <t>http://www.imdb.com/title/tt0290212/?ref_=fn_tt_tt_1</t>
  </si>
  <si>
    <t>Kevin Tenney</t>
  </si>
  <si>
    <t>Witchboard</t>
  </si>
  <si>
    <t>Tawny Kitaen</t>
  </si>
  <si>
    <t>Rose Marie</t>
  </si>
  <si>
    <t>evil spirit|hatchet|ouija|ouija board|psychopathic killer</t>
  </si>
  <si>
    <t>http://www.imdb.com/title/tt0090327/?ref_=fn_tt_tt_1</t>
  </si>
  <si>
    <t>Shortbus</t>
  </si>
  <si>
    <t>Sook-Yin Lee</t>
  </si>
  <si>
    <t>Peter Stickles</t>
  </si>
  <si>
    <t>Raphael Barker</t>
  </si>
  <si>
    <t>controversy|ejaculation|male frontal nudity|oral sex|unsimulated sex</t>
  </si>
  <si>
    <t>http://www.imdb.com/title/tt0367027/?ref_=fn_tt_tt_1</t>
  </si>
  <si>
    <t>Ari Folman</t>
  </si>
  <si>
    <t>Waltz with Bashir</t>
  </si>
  <si>
    <t>Animation|Biography|Documentary|Drama|History|War</t>
  </si>
  <si>
    <t>Ronny Dayag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</si>
  <si>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</si>
  <si>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</si>
  <si>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</si>
  <si>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</si>
  <si>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</si>
  <si>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</si>
  <si>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The Book of Mormon Movie, Volume 1: The Journey</t>
  </si>
  <si>
    <t>Noah Danby</t>
  </si>
  <si>
    <t>Kirby Heyborne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</si>
  <si>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</si>
  <si>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</si>
  <si>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</si>
  <si>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</si>
  <si>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</si>
  <si>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</si>
  <si>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</si>
  <si>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</si>
  <si>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>David Sington</t>
  </si>
  <si>
    <t>In the Shadow of the Moon</t>
  </si>
  <si>
    <t>Documentary|History</t>
  </si>
  <si>
    <t>John F. Kennedy</t>
  </si>
  <si>
    <t>Buzz Aldrin</t>
  </si>
  <si>
    <t>Neil Armstrong</t>
  </si>
  <si>
    <t>1960s|astronaut|moon|nasa|spacecraft accident</t>
  </si>
  <si>
    <t>http://www.imdb.com/title/tt0925248/?ref_=fn_tt_tt_1</t>
  </si>
  <si>
    <t>Inside Deep Throat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</si>
  <si>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</si>
  <si>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</si>
  <si>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</si>
  <si>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</si>
  <si>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</si>
  <si>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The Virginity Hit</t>
  </si>
  <si>
    <t>Matt Bennett</t>
  </si>
  <si>
    <t>Krysta Rodriguez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</si>
  <si>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</si>
  <si>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</si>
  <si>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</si>
  <si>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</si>
  <si>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</t>
  </si>
  <si>
    <t>artist|butchery|catholic|catholic school|friend</t>
  </si>
  <si>
    <t>http://www.imdb.com/title/tt0372334/?ref_=fn_tt_tt_1</t>
  </si>
  <si>
    <t>Lance Mungia</t>
  </si>
  <si>
    <t>Six-String Samurai</t>
  </si>
  <si>
    <t>Action|Adventure|Comedy|Drama|Music|Sci-Fi</t>
  </si>
  <si>
    <t>Jeffrey Falcon</t>
  </si>
  <si>
    <t>Stephane Gauger</t>
  </si>
  <si>
    <t>Kim De Angelo</t>
  </si>
  <si>
    <t>boy|guitar|orphan|rock 'n' roll|sword</t>
  </si>
  <si>
    <t>http://www.imdb.com/title/tt0118736/?ref_=fn_tt_tt_1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</si>
  <si>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</si>
  <si>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</si>
  <si>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</si>
  <si>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</si>
  <si>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Stonewall</t>
  </si>
  <si>
    <t>Caleb Landry Jones</t>
  </si>
  <si>
    <t>box office flop|critically bashed|gay rights|new york city|stonewall riots</t>
  </si>
  <si>
    <t>http://www.imdb.com/title/tt3018070/?ref_=fn_tt_tt_1</t>
  </si>
  <si>
    <t>Hunter Richards</t>
  </si>
  <si>
    <t>London</t>
  </si>
  <si>
    <t>bar|coke|drugs|party|snorting</t>
  </si>
  <si>
    <t>http://www.imdb.com/title/tt0449061/?ref_=fn_tt_tt_1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</si>
  <si>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</si>
  <si>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</si>
  <si>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</si>
  <si>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</si>
  <si>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</si>
  <si>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</si>
  <si>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Gangster's Paradise: Jerusalema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</si>
  <si>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</si>
  <si>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</si>
  <si>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</si>
  <si>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</si>
  <si>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</si>
  <si>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The Lady from Shanghai</t>
  </si>
  <si>
    <t>Crime|Drama|Film-Noir|Mystery|Thriller</t>
  </si>
  <si>
    <t>Rita Hayworth</t>
  </si>
  <si>
    <t>Everett Sloane</t>
  </si>
  <si>
    <t>Ted de Corsia</t>
  </si>
  <si>
    <t>law partner|murder|partner|seaman|yacht</t>
  </si>
  <si>
    <t>http://www.imdb.com/title/tt0040525/?ref_=fn_tt_tt_1</t>
  </si>
  <si>
    <t>Paul Bunnell</t>
  </si>
  <si>
    <t>The Ghastly Love of Johnny X</t>
  </si>
  <si>
    <t>Comedy|Fantasy|Musical|Sci-Fi</t>
  </si>
  <si>
    <t>Kate Maberly</t>
  </si>
  <si>
    <t>Kevin McCarthy</t>
  </si>
  <si>
    <t>Paul Williams</t>
  </si>
  <si>
    <t>1950s|independent film|outlaw|trial</t>
  </si>
  <si>
    <t>http://www.imdb.com/title/tt1754633/?ref_=fn_tt_tt_1</t>
  </si>
  <si>
    <t>Tim Hunter</t>
  </si>
  <si>
    <t>River's Edge</t>
  </si>
  <si>
    <t>death|friend|high school|murder|police</t>
  </si>
  <si>
    <t>http://www.imdb.com/title/tt0091860/?ref_=fn_tt_tt_1</t>
  </si>
  <si>
    <t>Northfork</t>
  </si>
  <si>
    <t>boy|caretaker|dam|evacuation|orphanage</t>
  </si>
  <si>
    <t>http://www.imdb.com/title/tt0322659/?ref_=fn_tt_tt_1</t>
  </si>
  <si>
    <t>Rodrigo CortÃ©s</t>
  </si>
  <si>
    <t>Buried</t>
  </si>
  <si>
    <t>Erik Palladino</t>
  </si>
  <si>
    <t>buried alive|coffin|iraq|one person|single set production</t>
  </si>
  <si>
    <t>http://www.imdb.com/title/tt1462758/?ref_=fn_tt_tt_1</t>
  </si>
  <si>
    <t>Pascal Arnold</t>
  </si>
  <si>
    <t>One to Another</t>
  </si>
  <si>
    <t>Karl E. Landler</t>
  </si>
  <si>
    <t>Lizzie BrocherÃ©</t>
  </si>
  <si>
    <t>Pierre Perrier</t>
  </si>
  <si>
    <t>fellatio|female frontal nudity|male frontal nudity|nude sunbathing|orgy</t>
  </si>
  <si>
    <t>http://www.imdb.com/title/tt0486751/?ref_=fn_tt_tt_1</t>
  </si>
  <si>
    <t>Man on Wire</t>
  </si>
  <si>
    <t>Biography|Crime|Documentary|History|Thriller</t>
  </si>
  <si>
    <t>Paul McGill</t>
  </si>
  <si>
    <t>Philippe Petit</t>
  </si>
  <si>
    <t>Jean-Louis Blondeau</t>
  </si>
  <si>
    <t>new york city|passion|reenactment|rooftop|tower</t>
  </si>
  <si>
    <t>http://www.imdb.com/title/tt1155592/?ref_=fn_tt_tt_1</t>
  </si>
  <si>
    <t>Jamal Hill</t>
  </si>
  <si>
    <t>Brotherly Love</t>
  </si>
  <si>
    <t>Logan Browning</t>
  </si>
  <si>
    <t>Adam Ratcliffe</t>
  </si>
  <si>
    <t>basketball|burglary|police|robbery|teenage girl</t>
  </si>
  <si>
    <t>http://www.imdb.com/title/tt3262990/?ref_=fn_tt_tt_1</t>
  </si>
  <si>
    <t>Daniel Stamm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</si>
  <si>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</si>
  <si>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</si>
  <si>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</si>
  <si>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</si>
  <si>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</si>
  <si>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El crimen del padre Amaro</t>
  </si>
  <si>
    <t>Ana Claudia TalancÃ³n</t>
  </si>
  <si>
    <t>church|love|mexico|politics|priest</t>
  </si>
  <si>
    <t>http://www.imdb.com/title/tt0313196/?ref_=fn_tt_tt_1</t>
  </si>
  <si>
    <t>Benh Zeitlin</t>
  </si>
  <si>
    <t>Beasts of the Southern Wild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</si>
  <si>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</si>
  <si>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</si>
  <si>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</si>
  <si>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</si>
  <si>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</si>
  <si>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Songcatcher</t>
  </si>
  <si>
    <t>doctor|mountain|musician|song|university</t>
  </si>
  <si>
    <t>http://www.imdb.com/title/tt0210299/?ref_=fn_tt_tt_1</t>
  </si>
  <si>
    <t>Run Lola Run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</si>
  <si>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</si>
  <si>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</si>
  <si>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</si>
  <si>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</si>
  <si>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</si>
  <si>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May</t>
  </si>
  <si>
    <t>Will Estes</t>
  </si>
  <si>
    <t>case|doll|dry humor|friend|love</t>
  </si>
  <si>
    <t>http://www.imdb.com/title/tt0303361/?ref_=fn_tt_tt_1</t>
  </si>
  <si>
    <t>In the Bedroom</t>
  </si>
  <si>
    <t>doctor|maine|only son|school choir|summer</t>
  </si>
  <si>
    <t>http://www.imdb.com/title/tt0247425/?ref_=fn_tt_tt_1</t>
  </si>
  <si>
    <t>Steven R. Monroe</t>
  </si>
  <si>
    <t>I Spit on Your Grave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</si>
  <si>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</si>
  <si>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</si>
  <si>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</si>
  <si>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</si>
  <si>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</si>
  <si>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Happy, Texas</t>
  </si>
  <si>
    <t>Ally Walker</t>
  </si>
  <si>
    <t>banker|beauty pageant|escaped convict|gay|pageant</t>
  </si>
  <si>
    <t>http://www.imdb.com/title/tt0162360/?ref_=fn_tt_tt_1</t>
  </si>
  <si>
    <t>Pawel Pawlikowski</t>
  </si>
  <si>
    <t>My Summer of Love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</si>
  <si>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</si>
  <si>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</si>
  <si>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</si>
  <si>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</si>
  <si>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</si>
  <si>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The Lunchbox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</si>
  <si>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</si>
  <si>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</si>
  <si>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</si>
  <si>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</si>
  <si>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Yes</t>
  </si>
  <si>
    <t>beach|lebanese|loss|muslim|restaurant</t>
  </si>
  <si>
    <t>http://www.imdb.com/title/tt0381717/?ref_=fn_tt_tt_1</t>
  </si>
  <si>
    <t>Nadine Labaki</t>
  </si>
  <si>
    <t>Caramel</t>
  </si>
  <si>
    <t>Yasmine Al Massri</t>
  </si>
  <si>
    <t>Adel Karam</t>
  </si>
  <si>
    <t>caramel|friendship|police|secret|suitor</t>
  </si>
  <si>
    <t>http://www.imdb.com/title/tt0825236/?ref_=fn_tt_tt_1</t>
  </si>
  <si>
    <t>Arabic</t>
  </si>
  <si>
    <t>FranÃ§ois Truffaut</t>
  </si>
  <si>
    <t>Mississippi Mermaid</t>
  </si>
  <si>
    <t>Jean-Paul Belmondo</t>
  </si>
  <si>
    <t>Michel Bouquet</t>
  </si>
  <si>
    <t>antibes|hotel|island|reunion|reunion island</t>
  </si>
  <si>
    <t>http://www.imdb.com/title/tt0064990/?ref_=fn_tt_tt_1</t>
  </si>
  <si>
    <t>I Love Your Work</t>
  </si>
  <si>
    <t>Marisa Coughlan</t>
  </si>
  <si>
    <t>film student|marriage|mental breakdown|movie star|obsession</t>
  </si>
  <si>
    <t>http://www.imdb.com/title/tt0322700/?ref_=fn_tt_tt_1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</si>
  <si>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</si>
  <si>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</si>
  <si>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</si>
  <si>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</si>
  <si>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Newt Arnold</t>
  </si>
  <si>
    <t>Bloodsport</t>
  </si>
  <si>
    <t>Donald Gibb</t>
  </si>
  <si>
    <t>Ken Siu</t>
  </si>
  <si>
    <t>hand to hand combat|hong kong|kumite|martial arts|tournament</t>
  </si>
  <si>
    <t>http://www.imdb.com/title/tt0092675/?ref_=fn_tt_tt_1</t>
  </si>
  <si>
    <t>The Squid and the Whale</t>
  </si>
  <si>
    <t>William Baldwin</t>
  </si>
  <si>
    <t>Elizabeth Meriwether</t>
  </si>
  <si>
    <t>Owen Kline</t>
  </si>
  <si>
    <t>boy|divorce|tennis|tennis coach|writer</t>
  </si>
  <si>
    <t>http://www.imdb.com/title/tt0367089/?ref_=fn_tt_tt_1</t>
  </si>
  <si>
    <t>Kissing Jessica Stein</t>
  </si>
  <si>
    <t>Scott Cohen</t>
  </si>
  <si>
    <t>Jennifer Westfeldt</t>
  </si>
  <si>
    <t>Brian Stepanek</t>
  </si>
  <si>
    <t>friend|friendship|journalist|new york city|personal ad</t>
  </si>
  <si>
    <t>http://www.imdb.com/title/tt0264761/?ref_=fn_tt_tt_1</t>
  </si>
  <si>
    <t>Exotica</t>
  </si>
  <si>
    <t>bird|cult film|egg|nightclub|toronto</t>
  </si>
  <si>
    <t>http://www.imdb.com/title/tt0109759/?ref_=fn_tt_tt_1</t>
  </si>
  <si>
    <t>Buffalo '66</t>
  </si>
  <si>
    <t>Jan-Michael Vincent</t>
  </si>
  <si>
    <t>shower|stripper|tap dancing|underwear|undressing</t>
  </si>
  <si>
    <t>http://www.imdb.com/title/tt0118789/?ref_=fn_tt_tt_1</t>
  </si>
  <si>
    <t>Insidious</t>
  </si>
  <si>
    <t>Philip Friedman</t>
  </si>
  <si>
    <t>baby|boy|coma|demon|house</t>
  </si>
  <si>
    <t>http://www.imdb.com/title/tt1591095/?ref_=fn_tt_tt_1</t>
  </si>
  <si>
    <t>FabiÃ¡n Bielinsky</t>
  </si>
  <si>
    <t>Nine Queens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</si>
  <si>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</si>
  <si>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</si>
  <si>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</si>
  <si>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</si>
  <si>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</si>
  <si>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</si>
  <si>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</si>
  <si>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</si>
  <si>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</si>
  <si>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</si>
  <si>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</si>
  <si>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</si>
  <si>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</si>
  <si>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Killing Zoe</t>
  </si>
  <si>
    <t>Salvator Xuereb</t>
  </si>
  <si>
    <t>Jean-Hugues Anglade</t>
  </si>
  <si>
    <t>bank|bastille day|call girl|childhood friend|drugs</t>
  </si>
  <si>
    <t>http://www.imdb.com/title/tt0110265/?ref_=fn_tt_tt_1</t>
  </si>
  <si>
    <t>Henry Bean</t>
  </si>
  <si>
    <t>The Believer</t>
  </si>
  <si>
    <t>Theresa Russell</t>
  </si>
  <si>
    <t>Summer Phoenix</t>
  </si>
  <si>
    <t>jew|jewish nazi|nazism|racism|skinhead</t>
  </si>
  <si>
    <t>http://www.imdb.com/title/tt0247199/?ref_=fn_tt_tt_1</t>
  </si>
  <si>
    <t>Session 9</t>
  </si>
  <si>
    <t>abandoned asylum|abandoned hospital|asbestos|lobotomy|multiple personality</t>
  </si>
  <si>
    <t>http://www.imdb.com/title/tt0261983/?ref_=fn_tt_tt_1</t>
  </si>
  <si>
    <t>I Want Someone to Eat Cheese With</t>
  </si>
  <si>
    <t>Jessy Schram</t>
  </si>
  <si>
    <t>cheese|city|ice cream|school|second city</t>
  </si>
  <si>
    <t>http://www.imdb.com/title/tt0391229/?ref_=fn_tt_tt_1</t>
  </si>
  <si>
    <t>Charles Chaplin</t>
  </si>
  <si>
    <t>Modern Times</t>
  </si>
  <si>
    <t>Paulette Goddard</t>
  </si>
  <si>
    <t>Stanley Blystone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</si>
  <si>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</si>
  <si>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</si>
  <si>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</si>
  <si>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</si>
  <si>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</t>
  </si>
  <si>
    <t>catholic|catholicism|rabbi|school|summer</t>
  </si>
  <si>
    <t>http://www.imdb.com/title/tt0286162/?ref_=fn_tt_tt_1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</si>
  <si>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</si>
  <si>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</si>
  <si>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</si>
  <si>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</si>
  <si>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Bruce McDonald</t>
  </si>
  <si>
    <t>Pontypool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</si>
  <si>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</si>
  <si>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</si>
  <si>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</si>
  <si>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</si>
  <si>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</si>
  <si>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</si>
  <si>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</si>
  <si>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</si>
  <si>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The Lords of Salem</t>
  </si>
  <si>
    <t>blood|flashback|radio dj|radio station|vinyl</t>
  </si>
  <si>
    <t>http://www.imdb.com/title/tt1731697/?ref_=fn_tt_tt_1</t>
  </si>
  <si>
    <t>William Cottrell</t>
  </si>
  <si>
    <t>Snow White and the Seven Dwarfs</t>
  </si>
  <si>
    <t>Adriana Caselotti</t>
  </si>
  <si>
    <t>Billy Gilbert</t>
  </si>
  <si>
    <t>Lucille La Verne</t>
  </si>
  <si>
    <t>dwarf|love|princess|queen|snow white</t>
  </si>
  <si>
    <t>http://www.imdb.com/title/tt0029583/?ref_=fn_tt_tt_1</t>
  </si>
  <si>
    <t>Lucrecia Martel</t>
  </si>
  <si>
    <t>The Holy Girl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</si>
  <si>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</si>
  <si>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</si>
  <si>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</si>
  <si>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</si>
  <si>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</si>
  <si>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Incident at Loch Ness</t>
  </si>
  <si>
    <t>Adventure|Comedy|Horror</t>
  </si>
  <si>
    <t>Gabriel Beristain</t>
  </si>
  <si>
    <t>John Bailey</t>
  </si>
  <si>
    <t>boat|director|loch ness|loch ness monster|monster</t>
  </si>
  <si>
    <t>http://www.imdb.com/title/tt0374639/?ref_=fn_tt_tt_1</t>
  </si>
  <si>
    <t>Lock, Stock and Two Smoking Barrels</t>
  </si>
  <si>
    <t>antique|cockney accent|hatchet|money|shotgun</t>
  </si>
  <si>
    <t>http://www.imdb.com/title/tt0120735/?ref_=fn_tt_tt_1</t>
  </si>
  <si>
    <t>The Celebration</t>
  </si>
  <si>
    <t>Paprika Steen</t>
  </si>
  <si>
    <t>Trine Dyrholm</t>
  </si>
  <si>
    <t>dogme 95|family secret|haunted by the past|secret|speech</t>
  </si>
  <si>
    <t>http://www.imdb.com/title/tt0154420/?ref_=fn_tt_tt_1</t>
  </si>
  <si>
    <t>Trees Lounge</t>
  </si>
  <si>
    <t>alcoholic drink|bar|drink|drinking|drunk</t>
  </si>
  <si>
    <t>http://www.imdb.com/title/tt0117958/?ref_=fn_tt_tt_1</t>
  </si>
  <si>
    <t>Ham Tran</t>
  </si>
  <si>
    <t>Journey from the Fall</t>
  </si>
  <si>
    <t>Long Nguyen</t>
  </si>
  <si>
    <t>Kieu Chinh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</si>
  <si>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</si>
  <si>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</si>
  <si>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</si>
  <si>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</si>
  <si>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</si>
  <si>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</t>
  </si>
  <si>
    <t>basketball|german immigrant|opera|two word title|war orphan</t>
  </si>
  <si>
    <t>http://www.imdb.com/title/tt0190255/?ref_=fn_tt_tt_1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</si>
  <si>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</si>
  <si>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</si>
  <si>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</si>
  <si>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</si>
  <si>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Friday the 13th Part 2</t>
  </si>
  <si>
    <t>Betsy Palmer</t>
  </si>
  <si>
    <t>Adrienne King</t>
  </si>
  <si>
    <t>Amy Steel</t>
  </si>
  <si>
    <t>ice pick|jason voorhees|lake|pitchfork|shack</t>
  </si>
  <si>
    <t>http://www.imdb.com/title/tt0082418/?ref_=fn_tt_tt_1</t>
  </si>
  <si>
    <t>Sex, Lies, and Videotape</t>
  </si>
  <si>
    <t>Laura San Giacomo</t>
  </si>
  <si>
    <t>affair|interview|marriage|sex|videotape</t>
  </si>
  <si>
    <t>http://www.imdb.com/title/tt0098724/?ref_=fn_tt_tt_1</t>
  </si>
  <si>
    <t>Saw</t>
  </si>
  <si>
    <t>chained|flashback|killer|serial killer|surprise ending</t>
  </si>
  <si>
    <t>http://www.imdb.com/title/tt0387564/?ref_=fn_tt_tt_1</t>
  </si>
  <si>
    <t>Super Troopers</t>
  </si>
  <si>
    <t>drugs|highway|police|state trooper|vermont</t>
  </si>
  <si>
    <t>http://www.imdb.com/title/tt0247745/?ref_=fn_tt_tt_1</t>
  </si>
  <si>
    <t>Monsoon Wedding</t>
  </si>
  <si>
    <t>Naseeruddin Shah</t>
  </si>
  <si>
    <t>Randeep Hooda</t>
  </si>
  <si>
    <t>arranged marriage|bride|celebration|marriage|wedding</t>
  </si>
  <si>
    <t>http://www.imdb.com/title/tt0265343/?ref_=fn_tt_tt_1</t>
  </si>
  <si>
    <t>You Can Count on Me</t>
  </si>
  <si>
    <t>bank|car accident|cheating husband|new york|single mother</t>
  </si>
  <si>
    <t>http://www.imdb.com/title/tt0203230/?ref_=fn_tt_tt_1</t>
  </si>
  <si>
    <t>Jamie Babbit</t>
  </si>
  <si>
    <t>But I'm a Cheerleader</t>
  </si>
  <si>
    <t>cheerleader|gay|homosexual|lesbian|lesbian relationship</t>
  </si>
  <si>
    <t>http://www.imdb.com/title/tt0179116/?ref_=fn_tt_tt_1</t>
  </si>
  <si>
    <t>David Boyd</t>
  </si>
  <si>
    <t>Home Run</t>
  </si>
  <si>
    <t>addiction|alcoholic|baseball|car accident|reference to god</t>
  </si>
  <si>
    <t>http://www.imdb.com/title/tt2051894/?ref_=fn_tt_tt_1</t>
  </si>
  <si>
    <t>Reservoir Dogs</t>
  </si>
  <si>
    <t>gang|heist|heist gone wrong|nonlinear timeline|robbery</t>
  </si>
  <si>
    <t>http://www.imdb.com/title/tt0105236/?ref_=fn_tt_tt_1</t>
  </si>
  <si>
    <t>The Good, the Bad and the Ugly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</si>
  <si>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</si>
  <si>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</si>
  <si>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</si>
  <si>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</si>
  <si>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</si>
  <si>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The Second Mother</t>
  </si>
  <si>
    <t>Alex Huszar</t>
  </si>
  <si>
    <t>Regina CasÃ©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</si>
  <si>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</si>
  <si>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</si>
  <si>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</si>
  <si>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</si>
  <si>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Blue Like Jazz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</si>
  <si>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</si>
  <si>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</si>
  <si>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</si>
  <si>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</si>
  <si>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</si>
  <si>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Down and Out with the Dolls</t>
  </si>
  <si>
    <t>Lemmy</t>
  </si>
  <si>
    <t>Coyote Shivers</t>
  </si>
  <si>
    <t>ZoÃ« Poledouris</t>
  </si>
  <si>
    <t>female bassist|female drummer|female guitarist|female singer|portland oregon</t>
  </si>
  <si>
    <t>http://www.imdb.com/title/tt0283323/?ref_=fn_tt_tt_1</t>
  </si>
  <si>
    <t>Airborne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</si>
  <si>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</si>
  <si>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</si>
  <si>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</si>
  <si>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</si>
  <si>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</si>
  <si>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</t>
  </si>
  <si>
    <t>cook|dishwasher|flashing|male frontal nudity|waiter</t>
  </si>
  <si>
    <t>http://www.imdb.com/title/tt0348333/?ref_=fn_tt_tt_1</t>
  </si>
  <si>
    <t>Jeff Burr</t>
  </si>
  <si>
    <t>From a Whisper to a Scream</t>
  </si>
  <si>
    <t>Action|Drama|Horror|Thriller</t>
  </si>
  <si>
    <t>Susan Tyrrell</t>
  </si>
  <si>
    <t>bathtub|cult film|neck breaking|tennessee|wraparound story</t>
  </si>
  <si>
    <t>http://www.imdb.com/title/tt0091671/?ref_=fn_tt_tt_1</t>
  </si>
  <si>
    <t>Panos Cosmatos</t>
  </si>
  <si>
    <t>Beyond the Black Rainbow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</si>
  <si>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</si>
  <si>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</si>
  <si>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</si>
  <si>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</si>
  <si>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</si>
  <si>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The Raid: Redemption</t>
  </si>
  <si>
    <t>Iko Uwais</t>
  </si>
  <si>
    <t>Yayan Ruhian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</si>
  <si>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</si>
  <si>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</si>
  <si>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</si>
  <si>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</si>
  <si>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</si>
  <si>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</t>
  </si>
  <si>
    <t>Burgess Meredith</t>
  </si>
  <si>
    <t>boxer|hometown hero|philadelphia pennsylvania|protective male|training</t>
  </si>
  <si>
    <t>http://www.imdb.com/title/tt0075148/?ref_=fn_tt_tt_1</t>
  </si>
  <si>
    <t>Levan Gabriadze</t>
  </si>
  <si>
    <t>Unfriended</t>
  </si>
  <si>
    <t>Renee Olstead</t>
  </si>
  <si>
    <t>Heather Sossaman</t>
  </si>
  <si>
    <t>blender|computer screen|secret|skype|webcam</t>
  </si>
  <si>
    <t>http://www.imdb.com/title/tt3713166/?ref_=fn_tt_tt_1</t>
  </si>
  <si>
    <t>The Howling</t>
  </si>
  <si>
    <t>1980s|forest|lycanthrope|shapeshifting|werewolf transformation</t>
  </si>
  <si>
    <t>http://www.imdb.com/title/tt0082533/?ref_=fn_tt_tt_1</t>
  </si>
  <si>
    <t>Dr. No</t>
  </si>
  <si>
    <t>Ursula Andress</t>
  </si>
  <si>
    <t>Jack Lord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</si>
  <si>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</si>
  <si>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</si>
  <si>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</si>
  <si>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</t>
  </si>
  <si>
    <t>abandoned building|chernobyl disaster|exploration|tour guide|van</t>
  </si>
  <si>
    <t>http://www.imdb.com/title/tt1991245/?ref_=fn_tt_tt_1</t>
  </si>
  <si>
    <t>Clive Barker</t>
  </si>
  <si>
    <t>Hellraiser</t>
  </si>
  <si>
    <t>Andrew Robinson</t>
  </si>
  <si>
    <t>Ashley Laurence</t>
  </si>
  <si>
    <t>Clare Higgins</t>
  </si>
  <si>
    <t>blood|cenobites|creature|demon|male full frontal nudity</t>
  </si>
  <si>
    <t>http://www.imdb.com/title/tt0093177/?ref_=fn_tt_tt_1</t>
  </si>
  <si>
    <t>Harold Cronk</t>
  </si>
  <si>
    <t>God's Not Dead 2</t>
  </si>
  <si>
    <t>Benjamin A. Onyango</t>
  </si>
  <si>
    <t>Robin Givens</t>
  </si>
  <si>
    <t>Maria Canals-Barrera</t>
  </si>
  <si>
    <t>alternate universe|christian|christian film|christianity|manipulation</t>
  </si>
  <si>
    <t>http://www.imdb.com/title/tt4824308/?ref_=fn_tt_tt_1</t>
  </si>
  <si>
    <t>Cry_Wolf</t>
  </si>
  <si>
    <t>e mail|game|school|serial killer|student</t>
  </si>
  <si>
    <t>http://www.imdb.com/title/tt0384286/?ref_=fn_tt_tt_1</t>
  </si>
  <si>
    <t>Takao Okawara</t>
  </si>
  <si>
    <t>Godzilla 2000</t>
  </si>
  <si>
    <t>Hiroshi Abe</t>
  </si>
  <si>
    <t>Naomi Nishida</t>
  </si>
  <si>
    <t>Sakae Kimura</t>
  </si>
  <si>
    <t>godzilla|kaiju|monster|orga|ufo</t>
  </si>
  <si>
    <t>http://www.imdb.com/title/tt0188640/?ref_=fn_tt_tt_1</t>
  </si>
  <si>
    <t>Blue Valentine</t>
  </si>
  <si>
    <t>dog hit by a car|dysfunctional family|falling in love|female in shower|unhappily married woman</t>
  </si>
  <si>
    <t>http://www.imdb.com/title/tt1120985/?ref_=fn_tt_tt_1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</si>
  <si>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</si>
  <si>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</si>
  <si>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</si>
  <si>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</si>
  <si>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</si>
  <si>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The Devil Inside</t>
  </si>
  <si>
    <t>Fernanda Andrade</t>
  </si>
  <si>
    <t>Claudiu Trandafir</t>
  </si>
  <si>
    <t>critically bashed|demonic possession|exorcism|exorcist|found footage</t>
  </si>
  <si>
    <t>http://www.imdb.com/title/tt1560985/?ref_=fn_tt_tt_1</t>
  </si>
  <si>
    <t>Russ Meyer</t>
  </si>
  <si>
    <t>Beyond the Valley of the Dolls</t>
  </si>
  <si>
    <t>Cynthia Myers</t>
  </si>
  <si>
    <t>Harrison Page</t>
  </si>
  <si>
    <t>band|drugs|friendship|hollywood|satire</t>
  </si>
  <si>
    <t>http://www.imdb.com/title/tt0065466/?ref_=fn_tt_tt_1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</si>
  <si>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</si>
  <si>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</si>
  <si>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</si>
  <si>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</si>
  <si>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</si>
  <si>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</si>
  <si>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</si>
  <si>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</si>
  <si>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</si>
  <si>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Next Stop Wonderland</t>
  </si>
  <si>
    <t>love|marine biologist|nurse|personal ad|plumber</t>
  </si>
  <si>
    <t>http://www.imdb.com/title/tt0119778/?ref_=fn_tt_tt_1</t>
  </si>
  <si>
    <t>Courtney Hunt</t>
  </si>
  <si>
    <t>Frozen River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</si>
  <si>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</si>
  <si>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</si>
  <si>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</si>
  <si>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</si>
  <si>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</si>
  <si>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20 Feet from Stardom</t>
  </si>
  <si>
    <t>Lou Adler</t>
  </si>
  <si>
    <t>Merry Clayton</t>
  </si>
  <si>
    <t>backup singer|band|bechdel test passed|concert footage|singer</t>
  </si>
  <si>
    <t>http://www.imdb.com/title/tt2396566/?ref_=fn_tt_tt_1</t>
  </si>
  <si>
    <t>Two Girls and a Guy</t>
  </si>
  <si>
    <t>Natasha Gregson Wagner</t>
  </si>
  <si>
    <t>Angel David</t>
  </si>
  <si>
    <t>actor|anilingus|double cross|funeral home|two timing</t>
  </si>
  <si>
    <t>http://www.imdb.com/title/tt0124179/?ref_=fn_tt_tt_1</t>
  </si>
  <si>
    <t>Walking and Talking</t>
  </si>
  <si>
    <t>briefs|cancer|cat|cult film|friend</t>
  </si>
  <si>
    <t>http://www.imdb.com/title/tt0118113/?ref_=fn_tt_tt_1</t>
  </si>
  <si>
    <t>Chris Paine</t>
  </si>
  <si>
    <t>Who Killed the Electric Car?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</si>
  <si>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</si>
  <si>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</si>
  <si>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</si>
  <si>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</si>
  <si>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</si>
  <si>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</si>
  <si>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</si>
  <si>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</si>
  <si>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Marc Levin</t>
  </si>
  <si>
    <t>Slam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</si>
  <si>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</si>
  <si>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</si>
  <si>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</si>
  <si>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</si>
  <si>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</si>
  <si>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Brigham City</t>
  </si>
  <si>
    <t>Frank Gerrish</t>
  </si>
  <si>
    <t>Rick Macy</t>
  </si>
  <si>
    <t>fbi agent|mormon|prayer|sheriff|utah</t>
  </si>
  <si>
    <t>http://www.imdb.com/title/tt0268200/?ref_=fn_tt_tt_1</t>
  </si>
  <si>
    <t>Orgazmo</t>
  </si>
  <si>
    <t>Dian Bachar</t>
  </si>
  <si>
    <t>Matt Stone</t>
  </si>
  <si>
    <t>book of mormon|fight|mormon|ray gun|sidekick</t>
  </si>
  <si>
    <t>http://www.imdb.com/title/tt0124819/?ref_=fn_tt_tt_1</t>
  </si>
  <si>
    <t>All the Real Girls</t>
  </si>
  <si>
    <t>best friend|lake|love|small town|womanizer</t>
  </si>
  <si>
    <t>http://www.imdb.com/title/tt0299458/?ref_=fn_tt_tt_1</t>
  </si>
  <si>
    <t>Finn Taylor</t>
  </si>
  <si>
    <t>Dream with the Fishes</t>
  </si>
  <si>
    <t>dying|to do list|twenty something|underwear|voyeur</t>
  </si>
  <si>
    <t>http://www.imdb.com/title/tt0119019/?ref_=fn_tt_tt_1</t>
  </si>
  <si>
    <t>Karen Moncrieff</t>
  </si>
  <si>
    <t>Blue Car</t>
  </si>
  <si>
    <t>contest|poetry|refusing to eat|starving oneself|teenage girl</t>
  </si>
  <si>
    <t>http://www.imdb.com/title/tt0290145/?ref_=fn_tt_tt_1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</si>
  <si>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</si>
  <si>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</si>
  <si>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</si>
  <si>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</si>
  <si>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</si>
  <si>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</si>
  <si>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</si>
  <si>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</si>
  <si>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Joshua Oppenheimer</t>
  </si>
  <si>
    <t>The Act of Killing</t>
  </si>
  <si>
    <t>Biography|Crime|Documentary|History</t>
  </si>
  <si>
    <t>Anwar Congo</t>
  </si>
  <si>
    <t>Herman Koto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</si>
  <si>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</si>
  <si>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</si>
  <si>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</si>
  <si>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</si>
  <si>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</t>
  </si>
  <si>
    <t>Crime|Documentary|War</t>
  </si>
  <si>
    <t>Greg D'Agostino</t>
  </si>
  <si>
    <t>afghanistan|detainee|guantanamo bay|taxi|torture</t>
  </si>
  <si>
    <t>http://www.imdb.com/title/tt0854678/?ref_=fn_tt_tt_1</t>
  </si>
  <si>
    <t>Paul Crowder</t>
  </si>
  <si>
    <t>Once in a Lifetime: The Extraordinary Story of the New York Cosmos</t>
  </si>
  <si>
    <t>Documentary|Sport</t>
  </si>
  <si>
    <t>PelÃ©</t>
  </si>
  <si>
    <t>Marv Albert</t>
  </si>
  <si>
    <t>Ahmet Ertegun</t>
  </si>
  <si>
    <t>new york|new york cosmos|professional sports|soccer|soccer team</t>
  </si>
  <si>
    <t>http://www.imdb.com/title/tt0489247/?ref_=fn_tt_tt_1</t>
  </si>
  <si>
    <t>Anthony Powell</t>
  </si>
  <si>
    <t>Antarctica: A Year on Ice</t>
  </si>
  <si>
    <t>Adventure|Biography|Documentary|Drama</t>
  </si>
  <si>
    <t>Josh Swanson</t>
  </si>
  <si>
    <t>Tom Hamann</t>
  </si>
  <si>
    <t>antarctica</t>
  </si>
  <si>
    <t>http://www.imdb.com/title/tt2361700/?ref_=fn_tt_tt_1</t>
  </si>
  <si>
    <t>Johnny Remo</t>
  </si>
  <si>
    <t>Hardflip</t>
  </si>
  <si>
    <t>Matthew Ziff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</si>
  <si>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</si>
  <si>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</si>
  <si>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</si>
  <si>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</si>
  <si>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The House of the Devil</t>
  </si>
  <si>
    <t>Lena Dunham</t>
  </si>
  <si>
    <t>cult film|eclipse|haunted house|lunar eclipse|secret</t>
  </si>
  <si>
    <t>http://www.imdb.com/title/tt1172994/?ref_=fn_tt_tt_1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</si>
  <si>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</si>
  <si>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</si>
  <si>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</si>
  <si>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</si>
  <si>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Safe Men</t>
  </si>
  <si>
    <t>gangster|organized crime|robbery|rosh hashanah|safecracking</t>
  </si>
  <si>
    <t>http://www.imdb.com/title/tt0120813/?ref_=fn_tt_tt_1</t>
  </si>
  <si>
    <t>The Specials</t>
  </si>
  <si>
    <t>action figure|press conference|superhero|superhero team|toy</t>
  </si>
  <si>
    <t>http://www.imdb.com/title/tt0181836/?ref_=fn_tt_tt_1</t>
  </si>
  <si>
    <t>Eric Nicholas</t>
  </si>
  <si>
    <t>Alone with Her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</si>
  <si>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</si>
  <si>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</si>
  <si>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</si>
  <si>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</si>
  <si>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</si>
  <si>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Creative Control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</si>
  <si>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</si>
  <si>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</si>
  <si>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</si>
  <si>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</si>
  <si>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</si>
  <si>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Special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</si>
  <si>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</si>
  <si>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</si>
  <si>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</si>
  <si>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</si>
  <si>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In Her Line of Fire</t>
  </si>
  <si>
    <t>Mariel Hemingway</t>
  </si>
  <si>
    <t>Jesse Hutch</t>
  </si>
  <si>
    <t>camp|die hard scenario|female protagonist|island|vice president</t>
  </si>
  <si>
    <t>http://www.imdb.com/title/tt0487156/?ref_=fn_tt_tt_1</t>
  </si>
  <si>
    <t>The Jimmy Show</t>
  </si>
  <si>
    <t>Heather Bucha</t>
  </si>
  <si>
    <t>based on play|character name in title</t>
  </si>
  <si>
    <t>http://www.imdb.com/title/tt0271020/?ref_=fn_tt_tt_1</t>
  </si>
  <si>
    <t>Elia Kazan</t>
  </si>
  <si>
    <t>On the Waterfront</t>
  </si>
  <si>
    <t>Karl Malden</t>
  </si>
  <si>
    <t>death|dock|longshoreman|murder|union</t>
  </si>
  <si>
    <t>http://www.imdb.com/title/tt0047296/?ref_=fn_tt_tt_1</t>
  </si>
  <si>
    <t>Kat Coiro</t>
  </si>
  <si>
    <t>L!fe Happens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</si>
  <si>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</si>
  <si>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</si>
  <si>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</si>
  <si>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</si>
  <si>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4 Months, 3 Weeks and 2 Days</t>
  </si>
  <si>
    <t>Anamaria Marinca</t>
  </si>
  <si>
    <t>Vlad Ivanov</t>
  </si>
  <si>
    <t>Alexandru Potocean</t>
  </si>
  <si>
    <t>female rear nudity|friend|hotel|rainy night|towel</t>
  </si>
  <si>
    <t>http://www.imdb.com/title/tt1032846/?ref_=fn_tt_tt_1</t>
  </si>
  <si>
    <t>Romanian</t>
  </si>
  <si>
    <t>Hard Candy</t>
  </si>
  <si>
    <t>Odessa Rae</t>
  </si>
  <si>
    <t>G.J. Echternkamp</t>
  </si>
  <si>
    <t>Patrick Wilson</t>
  </si>
  <si>
    <t>chatting|missing person poster|online dating|photographer|sexual predator</t>
  </si>
  <si>
    <t>http://www.imdb.com/title/tt0424136/?ref_=fn_tt_tt_1</t>
  </si>
  <si>
    <t>The Quiet</t>
  </si>
  <si>
    <t>deaf|death|dysfunctional family|godparent|secret</t>
  </si>
  <si>
    <t>http://www.imdb.com/title/tt0414951/?ref_=fn_tt_tt_1</t>
  </si>
  <si>
    <t>Fruitvale Station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</si>
  <si>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</si>
  <si>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</si>
  <si>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</si>
  <si>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</si>
  <si>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</si>
  <si>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The Brass Teapot</t>
  </si>
  <si>
    <t>Comedy|Fantasy|Thriller</t>
  </si>
  <si>
    <t>mini dress|mini skirt|money|voyeur|voyeurism</t>
  </si>
  <si>
    <t>http://www.imdb.com/title/tt1935902/?ref_=fn_tt_tt_1</t>
  </si>
  <si>
    <t>C. Jay Cox</t>
  </si>
  <si>
    <t>Latter Days</t>
  </si>
  <si>
    <t>christian|male frontal nudity|mormon|mormon missionary|nudity</t>
  </si>
  <si>
    <t>http://www.imdb.com/title/tt0345551/?ref_=fn_tt_tt_1</t>
  </si>
  <si>
    <t>Jamie Travis</t>
  </si>
  <si>
    <t>For a Good Time, Call...</t>
  </si>
  <si>
    <t>friend|friendship|gay|phone sex|sex</t>
  </si>
  <si>
    <t>http://www.imdb.com/title/tt1996264/?ref_=fn_tt_tt_1</t>
  </si>
  <si>
    <t>Rich Christiano</t>
  </si>
  <si>
    <t>Time Changer</t>
  </si>
  <si>
    <t>Drama|Fantasy|Sci-Fi</t>
  </si>
  <si>
    <t>Gavin MacLeod</t>
  </si>
  <si>
    <t>D. David Morin</t>
  </si>
  <si>
    <t>Hal Linden</t>
  </si>
  <si>
    <t>bible|christian propaganda|christianity|time machine|zealot</t>
  </si>
  <si>
    <t>http://www.imdb.com/title/tt0295725/?ref_=fn_tt_tt_1</t>
  </si>
  <si>
    <t>Asghar Farhadi</t>
  </si>
  <si>
    <t>A Separation</t>
  </si>
  <si>
    <t>Shahab Hosseini</t>
  </si>
  <si>
    <t>Leila Hatami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</si>
  <si>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</si>
  <si>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</si>
  <si>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</si>
  <si>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</si>
  <si>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</si>
  <si>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Welcome to the Dollhouse</t>
  </si>
  <si>
    <t>Ken Leung</t>
  </si>
  <si>
    <t>Christina Vidal</t>
  </si>
  <si>
    <t>bully|first crush|school|social outcast|taunting</t>
  </si>
  <si>
    <t>http://www.imdb.com/title/tt0114906/?ref_=fn_tt_tt_1</t>
  </si>
  <si>
    <t>Ruby in Paradise</t>
  </si>
  <si>
    <t>Allison Dean</t>
  </si>
  <si>
    <t>Dorothy Lyman</t>
  </si>
  <si>
    <t>desire|florida|identity|resort town|sales</t>
  </si>
  <si>
    <t>http://www.imdb.com/title/tt0108000/?ref_=fn_tt_tt_1</t>
  </si>
  <si>
    <t>Raising Victor Vargas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</si>
  <si>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</si>
  <si>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</si>
  <si>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</si>
  <si>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</si>
  <si>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Deterrence</t>
  </si>
  <si>
    <t>colorado|diner|iraq|nuclear missile|president</t>
  </si>
  <si>
    <t>http://www.imdb.com/title/tt0158583/?ref_=fn_tt_tt_1</t>
  </si>
  <si>
    <t>Dead Snow</t>
  </si>
  <si>
    <t>BjÃ¸rn Sundquist</t>
  </si>
  <si>
    <t>Stig Frode Henriksen</t>
  </si>
  <si>
    <t>Ane Dahl Torp</t>
  </si>
  <si>
    <t>medical student|nazi|snow|snowmobile|zombie</t>
  </si>
  <si>
    <t>http://www.imdb.com/title/tt1278340/?ref_=fn_tt_tt_1</t>
  </si>
  <si>
    <t>American Graffiti</t>
  </si>
  <si>
    <t>Mackenzie Phillips</t>
  </si>
  <si>
    <t>california|car|drag racing|high school|rock 'n' roll</t>
  </si>
  <si>
    <t>http://www.imdb.com/title/tt0069704/?ref_=fn_tt_tt_1</t>
  </si>
  <si>
    <t>Matt Maiellaro</t>
  </si>
  <si>
    <t>Aqua Teen Hunger Force Colon Movie Film for Theaters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</si>
  <si>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</si>
  <si>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</si>
  <si>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</si>
  <si>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Safety Not Guaranteed</t>
  </si>
  <si>
    <t>classified ad|intern|magazine|time machine|time travel</t>
  </si>
  <si>
    <t>http://www.imdb.com/title/tt1862079/?ref_=fn_tt_tt_1</t>
  </si>
  <si>
    <t>Ben Wheatley</t>
  </si>
  <si>
    <t>Kill List</t>
  </si>
  <si>
    <t>female full frontal nudity|hitman|knee breaking|male full frontal nudity|sniper</t>
  </si>
  <si>
    <t>http://www.imdb.com/title/tt1788391/?ref_=fn_tt_tt_1</t>
  </si>
  <si>
    <t>The Innkeepers</t>
  </si>
  <si>
    <t>Jake Ryan</t>
  </si>
  <si>
    <t>Pat Healy</t>
  </si>
  <si>
    <t>bathtub|dead body in a bathtub|dead body in bathtub|hotel|inn</t>
  </si>
  <si>
    <t>http://www.imdb.com/title/tt1594562/?ref_=fn_tt_tt_1</t>
  </si>
  <si>
    <t>Interview with the Assassin</t>
  </si>
  <si>
    <t>Raymond J. Barry</t>
  </si>
  <si>
    <t>Christel Khalil</t>
  </si>
  <si>
    <t>Renee Faia</t>
  </si>
  <si>
    <t>conspiracy theory|kennedy assassination|mock documentary|paranoia</t>
  </si>
  <si>
    <t>http://www.imdb.com/title/tt0308411/?ref_=fn_tt_tt_1</t>
  </si>
  <si>
    <t>Oliver Blackburn</t>
  </si>
  <si>
    <t>Donkey Punch</t>
  </si>
  <si>
    <t>Nichola Burley</t>
  </si>
  <si>
    <t>male frontal nudity|male nudity|male pubic hair|male rear nudity|spain</t>
  </si>
  <si>
    <t>http://www.imdb.com/title/tt0988849/?ref_=fn_tt_tt_1</t>
  </si>
  <si>
    <t>Hoop Dreams</t>
  </si>
  <si>
    <t>Documentary|Drama|Sport</t>
  </si>
  <si>
    <t>William Gates</t>
  </si>
  <si>
    <t>Arthur Agee</t>
  </si>
  <si>
    <t>Isiah Thomas</t>
  </si>
  <si>
    <t>athlete|basketball|high school|high school student|school</t>
  </si>
  <si>
    <t>http://www.imdb.com/title/tt0110057/?ref_=fn_tt_tt_1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</si>
  <si>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</si>
  <si>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</si>
  <si>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</si>
  <si>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</si>
  <si>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Ryan Fleck</t>
  </si>
  <si>
    <t>Half Nelson</t>
  </si>
  <si>
    <t>Jeff Lima</t>
  </si>
  <si>
    <t>bathroom|classroom|dialectics|drugs|student</t>
  </si>
  <si>
    <t>http://www.imdb.com/title/tt0468489/?ref_=fn_tt_tt_1</t>
  </si>
  <si>
    <t>Mark Sandrich</t>
  </si>
  <si>
    <t>Top Hat</t>
  </si>
  <si>
    <t>Ginger Rogers</t>
  </si>
  <si>
    <t>Edward Everett Horton</t>
  </si>
  <si>
    <t>Eric Blore</t>
  </si>
  <si>
    <t>dance|dancer|dancing|horse|tap dancing</t>
  </si>
  <si>
    <t>http://www.imdb.com/title/tt0027125/?ref_=fn_tt_tt_1</t>
  </si>
  <si>
    <t>Daniel Myrick</t>
  </si>
  <si>
    <t>The Blair Witch Project</t>
  </si>
  <si>
    <t>Heather Donahue</t>
  </si>
  <si>
    <t>Joshua Leonard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</si>
  <si>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</si>
  <si>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</si>
  <si>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</si>
  <si>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</si>
  <si>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Woodstock</t>
  </si>
  <si>
    <t>Documentary|History|Music</t>
  </si>
  <si>
    <t>Joe Cocker</t>
  </si>
  <si>
    <t>Jimi Hendrix</t>
  </si>
  <si>
    <t>Joan Baez</t>
  </si>
  <si>
    <t>drugs|hippie|music festival|the who|woodstock</t>
  </si>
  <si>
    <t>http://www.imdb.com/title/tt0066580/?ref_=fn_tt_tt_1</t>
  </si>
  <si>
    <t>Jon Gunn</t>
  </si>
  <si>
    <t>Mercy Streets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</si>
  <si>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</si>
  <si>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</si>
  <si>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</si>
  <si>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</si>
  <si>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</si>
  <si>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Broken Vessels</t>
  </si>
  <si>
    <t>Brent David Fraser</t>
  </si>
  <si>
    <t>independent film|katana sword|los angeles storm drain</t>
  </si>
  <si>
    <t>http://www.imdb.com/title/tt0149964/?ref_=fn_tt_tt_1</t>
  </si>
  <si>
    <t>A Hard Day's Night</t>
  </si>
  <si>
    <t>Paul McCartney</t>
  </si>
  <si>
    <t>Ringo Starr</t>
  </si>
  <si>
    <t>George Harrison</t>
  </si>
  <si>
    <t>boy|concert|drummer|manager|television</t>
  </si>
  <si>
    <t>http://www.imdb.com/title/tt0058182/?ref_=fn_tt_tt_1</t>
  </si>
  <si>
    <t>Fireproof</t>
  </si>
  <si>
    <t>Kirk Cameron</t>
  </si>
  <si>
    <t>Ken Bevel</t>
  </si>
  <si>
    <t>Erin Bethea</t>
  </si>
  <si>
    <t>christian film|dare|firefighter|internet pornography|marriage</t>
  </si>
  <si>
    <t>http://www.imdb.com/title/tt1129423/?ref_=fn_tt_tt_1</t>
  </si>
  <si>
    <t>Joe Camp</t>
  </si>
  <si>
    <t>Benji</t>
  </si>
  <si>
    <t>Adventure|Family|Romance</t>
  </si>
  <si>
    <t>Frances Bavier</t>
  </si>
  <si>
    <t>Peter Breck</t>
  </si>
  <si>
    <t>Edgar Buchanan</t>
  </si>
  <si>
    <t>animal abuse|cat|dog|dog movie|tween girl</t>
  </si>
  <si>
    <t>http://www.imdb.com/title/tt0071206/?ref_=fn_tt_tt_1</t>
  </si>
  <si>
    <t>Open Water</t>
  </si>
  <si>
    <t>Adventure|Biography|Drama|Horror|Thriller</t>
  </si>
  <si>
    <t>Blanchard Ryan</t>
  </si>
  <si>
    <t>Saul Stein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</si>
  <si>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</si>
  <si>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</si>
  <si>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</si>
  <si>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</si>
  <si>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Kingdom of the Spiders</t>
  </si>
  <si>
    <t>Woody Strode</t>
  </si>
  <si>
    <t>Hoke Howell</t>
  </si>
  <si>
    <t>Tiffany Bolling</t>
  </si>
  <si>
    <t>death|farm|hotel|spider|tarantula</t>
  </si>
  <si>
    <t>http://www.imdb.com/title/tt0076271/?ref_=fn_tt_tt_1</t>
  </si>
  <si>
    <t>The Station Agent</t>
  </si>
  <si>
    <t>abandoned|depot|dwarf|newfoundland new jersey|train</t>
  </si>
  <si>
    <t>http://www.imdb.com/title/tt0340377/?ref_=fn_tt_tt_1</t>
  </si>
  <si>
    <t>Brian Baugh</t>
  </si>
  <si>
    <t>To Save a Life</t>
  </si>
  <si>
    <t>Sean Michael Afable</t>
  </si>
  <si>
    <t>basketball|beer pong|childhood friend|christian|suicide</t>
  </si>
  <si>
    <t>http://www.imdb.com/title/tt1270286/?ref_=fn_tt_tt_1</t>
  </si>
  <si>
    <t>Barry W. Blaustein</t>
  </si>
  <si>
    <t>Beyond the Mat</t>
  </si>
  <si>
    <t>Biography|Documentary|Sport</t>
  </si>
  <si>
    <t>Terry Funk</t>
  </si>
  <si>
    <t>Vince McMahon</t>
  </si>
  <si>
    <t>Mick Foley</t>
  </si>
  <si>
    <t>championship|drugs|three word title|wrestler|wrestling</t>
  </si>
  <si>
    <t>http://www.imdb.com/title/tt0218043/?ref_=fn_tt_tt_1</t>
  </si>
  <si>
    <t>Siddiq Barmak</t>
  </si>
  <si>
    <t>Osama</t>
  </si>
  <si>
    <t>Marina Golbahari</t>
  </si>
  <si>
    <t>Zubaida Sahar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</si>
  <si>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</si>
  <si>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</si>
  <si>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</si>
  <si>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</si>
  <si>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</si>
  <si>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Sholem Aleichem: Laughing in the Darkness</t>
  </si>
  <si>
    <t>Peter Riegert</t>
  </si>
  <si>
    <t>Jason Kravits</t>
  </si>
  <si>
    <t>jewish identity</t>
  </si>
  <si>
    <t>http://www.imdb.com/title/tt1976608/?ref_=fn_tt_tt_1</t>
  </si>
  <si>
    <t>Greg Harrison</t>
  </si>
  <si>
    <t>Groove</t>
  </si>
  <si>
    <t>Ari Gold</t>
  </si>
  <si>
    <t>Denny Kirkwood</t>
  </si>
  <si>
    <t>dj|ecstasy the drug|rave|raver|warehouse</t>
  </si>
  <si>
    <t>http://www.imdb.com/title/tt0212974/?ref_=fn_tt_tt_1</t>
  </si>
  <si>
    <t>Twin Falls Idaho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</si>
  <si>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</si>
  <si>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</si>
  <si>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</si>
  <si>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</si>
  <si>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Mean Creek</t>
  </si>
  <si>
    <t>boat|bully|dare|friend|river</t>
  </si>
  <si>
    <t>http://www.imdb.com/title/tt0377091/?ref_=fn_tt_tt_1</t>
  </si>
  <si>
    <t>Hurricane Streets</t>
  </si>
  <si>
    <t>gang|new mexico|prison|smuggling|theft</t>
  </si>
  <si>
    <t>http://www.imdb.com/title/tt0119338/?ref_=fn_tt_tt_1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</si>
  <si>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</si>
  <si>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</si>
  <si>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</si>
  <si>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</si>
  <si>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Neema Barnette</t>
  </si>
  <si>
    <t>Civil Brand</t>
  </si>
  <si>
    <t>LisaRaye McCoy</t>
  </si>
  <si>
    <t>Clifton Powell</t>
  </si>
  <si>
    <t>abuse of power|friendship|prison|prison guard|title directed by female</t>
  </si>
  <si>
    <t>http://www.imdb.com/title/tt0326806/?ref_=fn_tt_tt_1</t>
  </si>
  <si>
    <t>Lonesome Jim</t>
  </si>
  <si>
    <t>bail|coma|dart board|indiana|ladder factory</t>
  </si>
  <si>
    <t>http://www.imdb.com/title/tt0385056/?ref_=fn_tt_tt_1</t>
  </si>
  <si>
    <t>Akira Kurosawa</t>
  </si>
  <si>
    <t>Seven Samurai</t>
  </si>
  <si>
    <t>Takashi Shimura</t>
  </si>
  <si>
    <t>Minoru Chiaki</t>
  </si>
  <si>
    <t>Kamatari Fujiwara</t>
  </si>
  <si>
    <t>16th century|battle|japan|practice|samurai</t>
  </si>
  <si>
    <t>http://www.imdb.com/title/tt0047478/?ref_=fn_tt_tt_1</t>
  </si>
  <si>
    <t>Finishing the Game: The Search for a New Bruce Lee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</si>
  <si>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</si>
  <si>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</si>
  <si>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</si>
  <si>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</si>
  <si>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</si>
  <si>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Rubber</t>
  </si>
  <si>
    <t>Cecelia Antoinette</t>
  </si>
  <si>
    <t>desert|dump|show|spectator|tire</t>
  </si>
  <si>
    <t>http://www.imdb.com/title/tt1612774/?ref_=fn_tt_tt_1</t>
  </si>
  <si>
    <t>Kiss the Bride</t>
  </si>
  <si>
    <t>Tori Spelling</t>
  </si>
  <si>
    <t>Amber Benson</t>
  </si>
  <si>
    <t>Garrett M. Brown</t>
  </si>
  <si>
    <t>best friend|high school|love|secret|wedding</t>
  </si>
  <si>
    <t>http://www.imdb.com/title/tt0893346/?ref_=fn_tt_tt_1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</si>
  <si>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</si>
  <si>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</si>
  <si>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</si>
  <si>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</si>
  <si>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</si>
  <si>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</si>
  <si>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</t>
  </si>
  <si>
    <t>Whitney Able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</si>
  <si>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</si>
  <si>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</si>
  <si>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</si>
  <si>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</si>
  <si>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</si>
  <si>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</si>
  <si>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</si>
  <si>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</si>
  <si>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Matty Rich</t>
  </si>
  <si>
    <t>Straight Out of Brooklyn</t>
  </si>
  <si>
    <t>George T. Odom</t>
  </si>
  <si>
    <t>domestic violence|housing project|new york city|poverty|racism</t>
  </si>
  <si>
    <t>http://www.imdb.com/title/tt0102989/?ref_=fn_tt_tt_1</t>
  </si>
  <si>
    <t>Bloody Sunday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</si>
  <si>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</si>
  <si>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</si>
  <si>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</si>
  <si>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</si>
  <si>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</si>
  <si>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</t>
  </si>
  <si>
    <t>female frontal nudity|filming a wedding|lingerie slip|memory|wedding</t>
  </si>
  <si>
    <t>http://www.imdb.com/title/tt0435623/?ref_=fn_tt_tt_1</t>
  </si>
  <si>
    <t>Lloyd Kaufman</t>
  </si>
  <si>
    <t>Poultrygeist: Night of the Chicken Dead</t>
  </si>
  <si>
    <t>Comedy|Horror|Musical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</si>
  <si>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</si>
  <si>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</si>
  <si>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</si>
  <si>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</si>
  <si>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</si>
  <si>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42nd Street</t>
  </si>
  <si>
    <t>Dick Powell</t>
  </si>
  <si>
    <t>George Brent</t>
  </si>
  <si>
    <t>chorus girl|chorus line|director|gala premiere|song</t>
  </si>
  <si>
    <t>http://www.imdb.com/title/tt0024034/?ref_=fn_tt_tt_1</t>
  </si>
  <si>
    <t>Whit Stillman</t>
  </si>
  <si>
    <t>Metropolitan</t>
  </si>
  <si>
    <t>Chris Eigeman</t>
  </si>
  <si>
    <t>Taylor Nichols</t>
  </si>
  <si>
    <t>Ellia Thompson</t>
  </si>
  <si>
    <t>apartment|dancing|debutante|new york|upper class</t>
  </si>
  <si>
    <t>http://www.imdb.com/title/tt0100142/?ref_=fn_tt_tt_1</t>
  </si>
  <si>
    <t>Napoleon Dynamite</t>
  </si>
  <si>
    <t>class president|family relationships|friend|high school|jock</t>
  </si>
  <si>
    <t>http://www.imdb.com/title/tt0374900/?ref_=fn_tt_tt_1</t>
  </si>
  <si>
    <t>Blue Ruin</t>
  </si>
  <si>
    <t>Eve Plumb</t>
  </si>
  <si>
    <t>Amy Hargreaves</t>
  </si>
  <si>
    <t>blood splatter|car|neo noir|vengeance|vomiting</t>
  </si>
  <si>
    <t>http://www.imdb.com/title/tt2359024/?ref_=fn_tt_tt_1</t>
  </si>
  <si>
    <t>Oren Peli</t>
  </si>
  <si>
    <t>Paranormal Activity</t>
  </si>
  <si>
    <t>Ashley Palmer</t>
  </si>
  <si>
    <t>Amber Armstrong</t>
  </si>
  <si>
    <t>dark force|entity|evil force|found footage|paranormal phenomenon</t>
  </si>
  <si>
    <t>http://www.imdb.com/title/tt1179904/?ref_=fn_tt_tt_1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</si>
  <si>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</si>
  <si>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</si>
  <si>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</si>
  <si>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</si>
  <si>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QuinceaÃ±era</t>
  </si>
  <si>
    <t>Emily Rios</t>
  </si>
  <si>
    <t>Jesse Garcia</t>
  </si>
  <si>
    <t>Alicia Sixtos</t>
  </si>
  <si>
    <t>15th birthday|birthday|gay|party|security guard</t>
  </si>
  <si>
    <t>http://www.imdb.com/title/tt0451176/?ref_=fn_tt_tt_1</t>
  </si>
  <si>
    <t>Jonathan Caouette</t>
  </si>
  <si>
    <t>Tarnation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</si>
  <si>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</si>
  <si>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</si>
  <si>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</si>
  <si>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</si>
  <si>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</si>
  <si>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</si>
  <si>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The Beyond</t>
  </si>
  <si>
    <t>Catriona MacColl</t>
  </si>
  <si>
    <t>David Warbeck</t>
  </si>
  <si>
    <t>Al Cliver</t>
  </si>
  <si>
    <t>doctor|hell|hotel|painter|plumber</t>
  </si>
  <si>
    <t>http://www.imdb.com/title/tt0082307/?ref_=fn_tt_tt_1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</si>
  <si>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</si>
  <si>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</si>
  <si>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</si>
  <si>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</si>
  <si>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Harry Beaumont</t>
  </si>
  <si>
    <t>The Broadway Melody</t>
  </si>
  <si>
    <t>Anita Page</t>
  </si>
  <si>
    <t>Bessie Love</t>
  </si>
  <si>
    <t>Charles King</t>
  </si>
  <si>
    <t>sibling rivalry|singer|sister act|whistling|wisecrack humor</t>
  </si>
  <si>
    <t>http://www.imdb.com/title/tt0019729/?ref_=fn_tt_tt_1</t>
  </si>
  <si>
    <t>Franck Khalfoun</t>
  </si>
  <si>
    <t>Maniac</t>
  </si>
  <si>
    <t>America Olivo</t>
  </si>
  <si>
    <t>Nora Arnezeder</t>
  </si>
  <si>
    <t>Liane Balaban</t>
  </si>
  <si>
    <t>exhibition|mannequin|obsession|oral sex|photographer</t>
  </si>
  <si>
    <t>http://www.imdb.com/title/tt2103217/?ref_=fn_tt_tt_1</t>
  </si>
  <si>
    <t>Henry Alex Rubin</t>
  </si>
  <si>
    <t>Murderball</t>
  </si>
  <si>
    <t>Mark Zupan</t>
  </si>
  <si>
    <t>Joe Bishop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</si>
  <si>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</si>
  <si>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</si>
  <si>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</si>
  <si>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</si>
  <si>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</t>
  </si>
  <si>
    <t>Michael Dudikoff</t>
  </si>
  <si>
    <t>Larry Poindexter</t>
  </si>
  <si>
    <t>blood splatter|island|motorboat|ninja|sequel to cult film</t>
  </si>
  <si>
    <t>http://www.imdb.com/title/tt0092548/?ref_=fn_tt_tt_1</t>
  </si>
  <si>
    <t>Tumbleweeds</t>
  </si>
  <si>
    <t>Janet McTeer</t>
  </si>
  <si>
    <t>boss|fight|reference to william shakespeare|white trash|written and directed by cast member</t>
  </si>
  <si>
    <t>http://www.imdb.com/title/tt0161023/?ref_=fn_tt_tt_1</t>
  </si>
  <si>
    <t>Gregory Widen</t>
  </si>
  <si>
    <t>The Prophecy</t>
  </si>
  <si>
    <t>Action|Fantasy|Horror|Mystery|Thriller</t>
  </si>
  <si>
    <t>angel|corpse|girl|heaven|soul</t>
  </si>
  <si>
    <t>http://www.imdb.com/title/tt0114194/?ref_=fn_tt_tt_1</t>
  </si>
  <si>
    <t>When the Cat's Away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</si>
  <si>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</si>
  <si>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</si>
  <si>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</si>
  <si>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</si>
  <si>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</t>
  </si>
  <si>
    <t>apartment|oven|stove|thanksgiving|thanksgiving dinner</t>
  </si>
  <si>
    <t>http://www.imdb.com/title/tt0311648/?ref_=fn_tt_tt_1</t>
  </si>
  <si>
    <t>Kelly Reichardt</t>
  </si>
  <si>
    <t>Old Joy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</si>
  <si>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</si>
  <si>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</si>
  <si>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</si>
  <si>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</si>
  <si>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Wendy and Lucy</t>
  </si>
  <si>
    <t>John Robinson</t>
  </si>
  <si>
    <t>car|dog|flip phone|rape threat|vulnerable</t>
  </si>
  <si>
    <t>http://www.imdb.com/title/tt1152850/?ref_=fn_tt_tt_1</t>
  </si>
  <si>
    <t>Eddie O'Flaherty</t>
  </si>
  <si>
    <t>Fighting Tommy Riley</t>
  </si>
  <si>
    <t>Don Wallace</t>
  </si>
  <si>
    <t>Eddie Jones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</si>
  <si>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</si>
  <si>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</si>
  <si>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</si>
  <si>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</si>
  <si>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</t>
  </si>
  <si>
    <t>Thriller</t>
  </si>
  <si>
    <t>digit in title|latino|life or death|philosophy|supernatural</t>
  </si>
  <si>
    <t>http://www.imdb.com/title/tt1241226/?ref_=fn_tt_tt_1</t>
  </si>
  <si>
    <t>Craig Zobel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</si>
  <si>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</si>
  <si>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</si>
  <si>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</si>
  <si>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</si>
  <si>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Chasing Amy</t>
  </si>
  <si>
    <t>comic book|friendship|gay|lesbian|secret</t>
  </si>
  <si>
    <t>http://www.imdb.com/title/tt0118842/?ref_=fn_tt_tt_1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</si>
  <si>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</si>
  <si>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</si>
  <si>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</si>
  <si>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</si>
  <si>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Better Luck Tomorrow</t>
  </si>
  <si>
    <t>Parry Shen</t>
  </si>
  <si>
    <t>Jason Tobin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</si>
  <si>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</si>
  <si>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</si>
  <si>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</si>
  <si>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</si>
  <si>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</si>
  <si>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</si>
  <si>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</si>
  <si>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</si>
  <si>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Chuck &amp; Buck</t>
  </si>
  <si>
    <t>best friend|bisexuality|friend|gay kiss|sexuality</t>
  </si>
  <si>
    <t>http://www.imdb.com/title/tt0200530/?ref_=fn_tt_tt_1</t>
  </si>
  <si>
    <t>Piyush Dinker Pandya</t>
  </si>
  <si>
    <t>American Desi</t>
  </si>
  <si>
    <t>Purva Bedi</t>
  </si>
  <si>
    <t>Rizwan Manji</t>
  </si>
  <si>
    <t>Anil Kumar</t>
  </si>
  <si>
    <t>college|desi|heritage|india|indian american</t>
  </si>
  <si>
    <t>http://www.imdb.com/title/tt0203289/?ref_=fn_tt_tt_1</t>
  </si>
  <si>
    <t>Cube</t>
  </si>
  <si>
    <t>Nicole de Boer</t>
  </si>
  <si>
    <t>escape|labyrinth|maze|red light|trap</t>
  </si>
  <si>
    <t>http://www.imdb.com/title/tt0123755/?ref_=fn_tt_tt_1</t>
  </si>
  <si>
    <t>Bill Plympton</t>
  </si>
  <si>
    <t>I Married a Strange Person!</t>
  </si>
  <si>
    <t>Animation|Comedy|Drama|Fantasy|Sci-Fi</t>
  </si>
  <si>
    <t>Charis Michelsen</t>
  </si>
  <si>
    <t>Bill Martone</t>
  </si>
  <si>
    <t>Richard Spore</t>
  </si>
  <si>
    <t>claim in title|exclamation point in title|punctuation in title|reference to babe ruth|sex</t>
  </si>
  <si>
    <t>http://www.imdb.com/title/tt0119346/?ref_=fn_tt_tt_1</t>
  </si>
  <si>
    <t>November</t>
  </si>
  <si>
    <t>Amir Talai</t>
  </si>
  <si>
    <t>female protagonist|murder|photographer|robbery|shot to death</t>
  </si>
  <si>
    <t>http://www.imdb.com/title/tt0368089/?ref_=fn_tt_tt_1</t>
  </si>
  <si>
    <t>Drake Doremus</t>
  </si>
  <si>
    <t>Like Crazy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</si>
  <si>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</si>
  <si>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</si>
  <si>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</si>
  <si>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</si>
  <si>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The Canyons</t>
  </si>
  <si>
    <t>James Deen</t>
  </si>
  <si>
    <t>cocaine|homosexual|penis|psychopath|pubic hair</t>
  </si>
  <si>
    <t>http://www.imdb.com/title/tt2292959/?ref_=fn_tt_tt_1</t>
  </si>
  <si>
    <t>Tom Putnam</t>
  </si>
  <si>
    <t>Burn</t>
  </si>
  <si>
    <t>Brendan Doogie Milewski</t>
  </si>
  <si>
    <t>Donald Austin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</si>
  <si>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</si>
  <si>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</si>
  <si>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</si>
  <si>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</si>
  <si>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</si>
  <si>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</si>
  <si>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</si>
  <si>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</si>
  <si>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EugÃ¨ne LouriÃ©</t>
  </si>
  <si>
    <t>The Beast from 20,000 Fathoms</t>
  </si>
  <si>
    <t>Adventure|Horror|Sci-Fi</t>
  </si>
  <si>
    <t>Kenneth Tobey</t>
  </si>
  <si>
    <t>Cecil Kellaway</t>
  </si>
  <si>
    <t>Ross Elliott</t>
  </si>
  <si>
    <t>arctic|beast|dinosaur|monster|rhedosaurus</t>
  </si>
  <si>
    <t>http://www.imdb.com/title/tt0045546/?ref_=fn_tt_tt_1</t>
  </si>
  <si>
    <t>Swingers</t>
  </si>
  <si>
    <t>Alex DÃ©sert</t>
  </si>
  <si>
    <t>Blake Lindsley</t>
  </si>
  <si>
    <t>actor|black panties|cult film|friend|upskirt</t>
  </si>
  <si>
    <t>http://www.imdb.com/title/tt0117802/?ref_=fn_tt_tt_1</t>
  </si>
  <si>
    <t>A Fistful of Dollars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</si>
  <si>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</si>
  <si>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</si>
  <si>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</si>
  <si>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</si>
  <si>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</si>
  <si>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The Trials of Darryl Hunt</t>
  </si>
  <si>
    <t>Crime|Documentary</t>
  </si>
  <si>
    <t>Darryl Hunt</t>
  </si>
  <si>
    <t>Evelyn Jefferson</t>
  </si>
  <si>
    <t>John Reeves</t>
  </si>
  <si>
    <t>false accusation|murder|north carolina|trial|wrongful conviction</t>
  </si>
  <si>
    <t>http://www.imdb.com/title/tt0446055/?ref_=fn_tt_tt_1</t>
  </si>
  <si>
    <t>Majid Majidi</t>
  </si>
  <si>
    <t>Children of Heaven</t>
  </si>
  <si>
    <t>Bahare Seddiqi</t>
  </si>
  <si>
    <t>Amir Farrokh Hashemian</t>
  </si>
  <si>
    <t>Mohammad Amir Naji</t>
  </si>
  <si>
    <t>class|gardening|race|school|shoe</t>
  </si>
  <si>
    <t>http://www.imdb.com/title/tt0118849/?ref_=fn_tt_tt_1</t>
  </si>
  <si>
    <t>Andrew Haigh</t>
  </si>
  <si>
    <t>Weekend</t>
  </si>
  <si>
    <t>Chris New</t>
  </si>
  <si>
    <t>Vauxhall Jermaine</t>
  </si>
  <si>
    <t>coming out|fellatio|male in bathtub|male nudity|nudity</t>
  </si>
  <si>
    <t>http://www.imdb.com/title/tt1714210/?ref_=fn_tt_tt_1</t>
  </si>
  <si>
    <t>She's Gotta Have It</t>
  </si>
  <si>
    <t>Joie Lee</t>
  </si>
  <si>
    <t>Tracy Camilla Johns</t>
  </si>
  <si>
    <t>female nudity|male model|nudity|rite of passage|sex</t>
  </si>
  <si>
    <t>http://www.imdb.com/title/tt0091939/?ref_=fn_tt_tt_1</t>
  </si>
  <si>
    <t>Mike Cahill</t>
  </si>
  <si>
    <t>Another Earth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</si>
  <si>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</si>
  <si>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</si>
  <si>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</si>
  <si>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</si>
  <si>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</si>
  <si>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</si>
  <si>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</si>
  <si>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</si>
  <si>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Tadpole</t>
  </si>
  <si>
    <t>best friend|boy|french|friend|love</t>
  </si>
  <si>
    <t>http://www.imdb.com/title/tt0271219/?ref_=fn_tt_tt_1</t>
  </si>
  <si>
    <t>Once</t>
  </si>
  <si>
    <t>Glen Hansard</t>
  </si>
  <si>
    <t>MarkÃ©ta IrglovÃ¡</t>
  </si>
  <si>
    <t>Darren Healy</t>
  </si>
  <si>
    <t>immigrant|independent film|song|street|vacuum cleaner</t>
  </si>
  <si>
    <t>http://www.imdb.com/title/tt0907657/?ref_=fn_tt_tt_1</t>
  </si>
  <si>
    <t>Michel Orion Scott</t>
  </si>
  <si>
    <t>The Horse Boy</t>
  </si>
  <si>
    <t>Temple Grandin</t>
  </si>
  <si>
    <t>Rowan Isaacson</t>
  </si>
  <si>
    <t>Simon Baron-Cohen</t>
  </si>
  <si>
    <t>horse|journey|mongolia|shaman|travel</t>
  </si>
  <si>
    <t>http://www.imdb.com/title/tt1333668/?ref_=fn_tt_tt_1</t>
  </si>
  <si>
    <t>Roger &amp; Me</t>
  </si>
  <si>
    <t>Pat Boone</t>
  </si>
  <si>
    <t>Bob Eubanks</t>
  </si>
  <si>
    <t>factory|flint michigan|general motors|michigan|quest</t>
  </si>
  <si>
    <t>http://www.imdb.com/title/tt0098213/?ref_=fn_tt_tt_1</t>
  </si>
  <si>
    <t>Facing the Giants</t>
  </si>
  <si>
    <t>Shannen Fields</t>
  </si>
  <si>
    <t>christian|coach|faith|football|football team</t>
  </si>
  <si>
    <t>http://www.imdb.com/title/tt0805526/?ref_=fn_tt_tt_1</t>
  </si>
  <si>
    <t>Travis Cluff</t>
  </si>
  <si>
    <t>The Gallows</t>
  </si>
  <si>
    <t>Pfeifer Brown</t>
  </si>
  <si>
    <t>Cassidy Gifford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</si>
  <si>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</si>
  <si>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</si>
  <si>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</si>
  <si>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</si>
  <si>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</t>
  </si>
  <si>
    <t>actor|african american|dream|two word title|written and directed by cast member</t>
  </si>
  <si>
    <t>http://www.imdb.com/title/tt0093200/?ref_=fn_tt_tt_1</t>
  </si>
  <si>
    <t>Larry Blamire</t>
  </si>
  <si>
    <t>The Lost Skeleton of Cadavra</t>
  </si>
  <si>
    <t>Fay Masterson</t>
  </si>
  <si>
    <t>Brian Howe</t>
  </si>
  <si>
    <t>alien|cave|husband wife relationship|monster|skeleton</t>
  </si>
  <si>
    <t>http://www.imdb.com/title/tt0307109/?ref_=fn_tt_tt_1</t>
  </si>
  <si>
    <t>E.L. Katz</t>
  </si>
  <si>
    <t>Cheap Thrills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</si>
  <si>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</si>
  <si>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</si>
  <si>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</si>
  <si>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</si>
  <si>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Pi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</si>
  <si>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</si>
  <si>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</si>
  <si>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</si>
  <si>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</si>
  <si>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</si>
  <si>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20 Dates</t>
  </si>
  <si>
    <t>Tom Ardavany</t>
  </si>
  <si>
    <t>Robert McKee</t>
  </si>
  <si>
    <t>fake documentary|hidden camera|mockumentary|narrative|reality show</t>
  </si>
  <si>
    <t>http://www.imdb.com/title/tt0138987/?ref_=fn_tt_tt_1</t>
  </si>
  <si>
    <t>Super Size Me</t>
  </si>
  <si>
    <t>Comedy|Documentary|Drama</t>
  </si>
  <si>
    <t>Chemeeka Walker</t>
  </si>
  <si>
    <t>Amanda Kearsan</t>
  </si>
  <si>
    <t>Amelia Giancarlo</t>
  </si>
  <si>
    <t>experiment|fast food|food industry|meal|overeating</t>
  </si>
  <si>
    <t>http://www.imdb.com/title/tt0390521/?ref_=fn_tt_tt_1</t>
  </si>
  <si>
    <t>Brandon Trost</t>
  </si>
  <si>
    <t>The FP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</si>
  <si>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</si>
  <si>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</si>
  <si>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</si>
  <si>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</si>
  <si>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</si>
  <si>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</t>
  </si>
  <si>
    <t>chicago illinois|drink|drinking|filmmaker|writer</t>
  </si>
  <si>
    <t>http://www.imdb.com/title/tt2955096/?ref_=fn_tt_tt_1</t>
  </si>
  <si>
    <t>The Brothers McMullen</t>
  </si>
  <si>
    <t>Shari Albert</t>
  </si>
  <si>
    <t>Maxine Bahns</t>
  </si>
  <si>
    <t>abusive father|critically acclaimed|loss of father|love|true love</t>
  </si>
  <si>
    <t>http://www.imdb.com/title/tt0112585/?ref_=fn_tt_tt_1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</si>
  <si>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</si>
  <si>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</si>
  <si>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</si>
  <si>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</si>
  <si>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George Washington</t>
  </si>
  <si>
    <t>Damian Jewan Lee</t>
  </si>
  <si>
    <t>cover up|north carolina|redemption|small town|teenager</t>
  </si>
  <si>
    <t>http://www.imdb.com/title/tt0262432/?ref_=fn_tt_tt_1</t>
  </si>
  <si>
    <t>Kevin Jordan</t>
  </si>
  <si>
    <t>Smiling Fish &amp; Goat on Fire</t>
  </si>
  <si>
    <t>Derick Martini</t>
  </si>
  <si>
    <t>Christa Miller</t>
  </si>
  <si>
    <t>Ion Overman</t>
  </si>
  <si>
    <t>accountant|actor|animal in title|mail carrier|single parent</t>
  </si>
  <si>
    <t>http://www.imdb.com/title/tt0162348/?ref_=fn_tt_tt_1</t>
  </si>
  <si>
    <t>Clerks</t>
  </si>
  <si>
    <t>clerk|friend|hockey|video|video store</t>
  </si>
  <si>
    <t>http://www.imdb.com/title/tt0109445/?ref_=fn_tt_tt_1</t>
  </si>
  <si>
    <t>In the Company of Men</t>
  </si>
  <si>
    <t>Stacy Edwards</t>
  </si>
  <si>
    <t>Jason Dixie</t>
  </si>
  <si>
    <t>business trip|love|misogynist|office|secretary</t>
  </si>
  <si>
    <t>http://www.imdb.com/title/tt0119361/?ref_=fn_tt_tt_1</t>
  </si>
  <si>
    <t>Slacker</t>
  </si>
  <si>
    <t>Tommy Pallotta</t>
  </si>
  <si>
    <t>Jean Caffeine</t>
  </si>
  <si>
    <t>austin texas|moon|pap smear|texas|twenty something</t>
  </si>
  <si>
    <t>http://www.imdb.com/title/tt0102943/?ref_=fn_tt_tt_1</t>
  </si>
  <si>
    <t>Pink Flamingos</t>
  </si>
  <si>
    <t>Comedy|Crime|Horror</t>
  </si>
  <si>
    <t>Divine</t>
  </si>
  <si>
    <t>Mink Stole</t>
  </si>
  <si>
    <t>Edith Massey</t>
  </si>
  <si>
    <t>absurd humor|egg|gross out humor|lesbian|sex</t>
  </si>
  <si>
    <t>http://www.imdb.com/title/tt0069089/?ref_=fn_tt_tt_1</t>
  </si>
  <si>
    <t>Clean</t>
  </si>
  <si>
    <t>BÃ©atrice Dalle</t>
  </si>
  <si>
    <t>jail|junkie|money|motel|singer</t>
  </si>
  <si>
    <t>http://www.imdb.com/title/tt0388838/?ref_=fn_tt_tt_1</t>
  </si>
  <si>
    <t>Jafar Panahi</t>
  </si>
  <si>
    <t>The Circle</t>
  </si>
  <si>
    <t>Fereshteh Sadre Orafaiy</t>
  </si>
  <si>
    <t>Nargess Mamizadeh</t>
  </si>
  <si>
    <t>Mojgan Faramarzi</t>
  </si>
  <si>
    <t>abortion|bus|hospital|prison|prostitution</t>
  </si>
  <si>
    <t>http://www.imdb.com/title/tt0255094/?ref_=fn_tt_tt_1</t>
  </si>
  <si>
    <t>Shane Carruth</t>
  </si>
  <si>
    <t>Primer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</si>
  <si>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</si>
  <si>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</si>
  <si>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</si>
  <si>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</si>
  <si>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El Mariachi</t>
  </si>
  <si>
    <t>Carlos Gallardo</t>
  </si>
  <si>
    <t>Peter Marquardt</t>
  </si>
  <si>
    <t>Consuelo GÃ³mez</t>
  </si>
  <si>
    <t>assassin|death|guitar|gun|mariachi</t>
  </si>
  <si>
    <t>http://www.imdb.com/title/tt0104815/?ref_=fn_tt_tt_1</t>
  </si>
  <si>
    <t>My Date with Drew</t>
  </si>
  <si>
    <t>John August</t>
  </si>
  <si>
    <t>Brian Herzlinger</t>
  </si>
  <si>
    <t>actress name in title|crush|date|four word title|video camera</t>
  </si>
  <si>
    <t>http://www.imdb.com/title/tt0378407/?ref_=fn_tt_tt_1</t>
  </si>
  <si>
    <t>imdb_score</t>
  </si>
  <si>
    <t>duration</t>
  </si>
  <si>
    <t>Avg duration</t>
  </si>
  <si>
    <t>median of duration</t>
  </si>
  <si>
    <t>Std of duration</t>
  </si>
  <si>
    <t>Genres</t>
  </si>
  <si>
    <t>genre 1</t>
  </si>
  <si>
    <t>genre 2</t>
  </si>
  <si>
    <t>genre 3</t>
  </si>
  <si>
    <t>genre 4</t>
  </si>
  <si>
    <t>genre 5</t>
  </si>
  <si>
    <t>genre 6</t>
  </si>
  <si>
    <t>genre 7</t>
  </si>
  <si>
    <t>genre 8</t>
  </si>
  <si>
    <t>Animation</t>
  </si>
  <si>
    <t>Family</t>
  </si>
  <si>
    <t>Fantasy</t>
  </si>
  <si>
    <t>Musical</t>
  </si>
  <si>
    <t>Mystery</t>
  </si>
  <si>
    <t>Romance</t>
  </si>
  <si>
    <t>Crime</t>
  </si>
  <si>
    <t>Sci-Fi</t>
  </si>
  <si>
    <t>Biography</t>
  </si>
  <si>
    <t>Genre</t>
  </si>
  <si>
    <t>Count of movies</t>
  </si>
  <si>
    <t>Avg IMDB</t>
  </si>
  <si>
    <t>Median</t>
  </si>
  <si>
    <t>Stdev</t>
  </si>
  <si>
    <t>Min</t>
  </si>
  <si>
    <t>History</t>
  </si>
  <si>
    <t>Sport</t>
  </si>
  <si>
    <t>Music</t>
  </si>
  <si>
    <t>Film-Noir</t>
  </si>
  <si>
    <t>Director names</t>
  </si>
  <si>
    <t>Avg imdb</t>
  </si>
  <si>
    <t>percentile (%)</t>
  </si>
  <si>
    <t>High/Low</t>
  </si>
  <si>
    <t>Highest Percentile (HP)</t>
  </si>
  <si>
    <t>Directors with highest percentile</t>
  </si>
  <si>
    <t>Avg imdb for HP directors</t>
  </si>
  <si>
    <t>Highest Avg imdb</t>
  </si>
  <si>
    <t>director</t>
  </si>
  <si>
    <t xml:space="preserve">Andrew Haigh </t>
  </si>
  <si>
    <t>Language</t>
  </si>
  <si>
    <t>Langauges</t>
  </si>
  <si>
    <t>No.of Movies</t>
  </si>
  <si>
    <t>Avg Imdb scores</t>
  </si>
  <si>
    <t>Median of imdb</t>
  </si>
  <si>
    <t xml:space="preserve">Std of imbd </t>
  </si>
  <si>
    <t>aboriginal</t>
  </si>
  <si>
    <t>Correlation</t>
  </si>
  <si>
    <t xml:space="preserve"> Profit </t>
  </si>
  <si>
    <t>Profit margin</t>
  </si>
  <si>
    <t>Highest Profit Margin(HPM)</t>
  </si>
  <si>
    <t>(HPM) Movie name</t>
  </si>
  <si>
    <t>Highest profit</t>
  </si>
  <si>
    <t>Movie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</si>
</sst>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  <font>
      <sz val="8.0"/>
      <color rgb="FFFFFFFF"/>
      <name val="Courier New"/>
    </font>
    <font>
      <sz val="11.0"/>
      <color theme="1"/>
      <name val="Courier New"/>
    </font>
  </fonts>
  <fills count="3">
    <fill>
      <patternFill patternType="none"/>
    </fill>
    <fill>
      <patternFill patternType="lightGray"/>
    </fill>
    <fill>
      <patternFill patternType="solid">
        <fgColor theme="7"/>
        <bgColor theme="7"/>
      </patternFill>
    </fill>
  </fills>
  <borders count="4">
    <border/>
    <border>
      <left/>
      <right/>
      <top style="thin">
        <color theme="7"/>
      </top>
      <bottom/>
    </border>
    <border>
      <top style="thin">
        <color theme="7"/>
      </top>
    </border>
    <border>
      <top style="thin">
        <color theme="7"/>
      </top>
      <bottom style="thin">
        <color theme="7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2" fillId="0" fontId="3" numFmtId="0" xfId="0" applyBorder="1" applyFont="1"/>
    <xf borderId="0" fillId="0" fontId="1" numFmtId="0" xfId="0" applyFont="1"/>
    <xf borderId="3" fillId="0" fontId="3" numFmtId="0" xfId="0" applyBorder="1" applyFont="1"/>
    <xf borderId="0" fillId="0" fontId="4" numFmtId="0" xfId="0" applyFont="1"/>
    <xf borderId="0" fillId="0" fontId="5" numFmtId="0" xfId="0" applyFon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  <tableStyles count="12">
    <tableStyle count="3" pivot="0" name="my_IMDB-style">
      <tableStyleElement dxfId="1" type="headerRow"/>
      <tableStyleElement dxfId="2" type="firstRowStripe"/>
      <tableStyleElement dxfId="3" type="secondRowStripe"/>
    </tableStyle>
    <tableStyle count="3" pivot="0" name="my_IMDB-style 2">
      <tableStyleElement dxfId="1" type="headerRow"/>
      <tableStyleElement dxfId="2" type="firstRowStripe"/>
      <tableStyleElement dxfId="3" type="secondRowStripe"/>
    </tableStyle>
    <tableStyle count="3" pivot="0" name="Movie duration analysis-style">
      <tableStyleElement dxfId="1" type="headerRow"/>
      <tableStyleElement dxfId="2" type="firstRowStripe"/>
      <tableStyleElement dxfId="3" type="secondRowStripe"/>
    </tableStyle>
    <tableStyle count="3" pivot="0" name="Movie duration analysis-style 2">
      <tableStyleElement dxfId="4" type="headerRow"/>
      <tableStyleElement dxfId="3" type="firstRowStripe"/>
      <tableStyleElement dxfId="3" type="secondRowStripe"/>
    </tableStyle>
    <tableStyle count="3" pivot="0" name="genre Analysis-style">
      <tableStyleElement dxfId="1" type="headerRow"/>
      <tableStyleElement dxfId="2" type="firstRowStripe"/>
      <tableStyleElement dxfId="3" type="secondRowStripe"/>
    </tableStyle>
    <tableStyle count="3" pivot="0" name="Director analysis-style">
      <tableStyleElement dxfId="1" type="headerRow"/>
      <tableStyleElement dxfId="2" type="firstRowStripe"/>
      <tableStyleElement dxfId="3" type="secondRowStripe"/>
    </tableStyle>
    <tableStyle count="3" pivot="0" name="language analysis-style">
      <tableStyleElement dxfId="1" type="headerRow"/>
      <tableStyleElement dxfId="2" type="firstRowStripe"/>
      <tableStyleElement dxfId="3" type="secondRowStripe"/>
    </tableStyle>
    <tableStyle count="3" pivot="0" name="language analysis-style 2">
      <tableStyleElement dxfId="1" type="headerRow"/>
      <tableStyleElement dxfId="2" type="firstRowStripe"/>
      <tableStyleElement dxfId="3" type="secondRowStripe"/>
    </tableStyle>
    <tableStyle count="3" pivot="0" name="language analysis-style 3">
      <tableStyleElement dxfId="4" type="headerRow"/>
      <tableStyleElement dxfId="3" type="firstRowStripe"/>
      <tableStyleElement dxfId="3" type="secondRowStripe"/>
    </tableStyle>
    <tableStyle count="3" pivot="0" name="Budget Analysis-style">
      <tableStyleElement dxfId="1" type="headerRow"/>
      <tableStyleElement dxfId="2" type="firstRowStripe"/>
      <tableStyleElement dxfId="3" type="secondRowStripe"/>
    </tableStyle>
    <tableStyle count="3" pivot="0" name="Budget Analysis-style 2">
      <tableStyleElement dxfId="4" type="headerRow"/>
      <tableStyleElement dxfId="3" type="firstRowStripe"/>
      <tableStyleElement dxfId="3" type="secondRowStripe"/>
    </tableStyle>
    <tableStyle count="3" pivot="0" name="Budget Analysis-style 3">
      <tableStyleElement dxfId="4" type="headerRow"/>
      <tableStyleElement dxfId="3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'Movie duration analysis'!$A$2:$A$3757</c:f>
            </c:numRef>
          </c:xVal>
          <c:yVal>
            <c:numRef>
              <c:f>'Movie duration analysis'!$B$2:$B$3757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983975"/>
        <c:axId val="2080230154"/>
      </c:scatterChart>
      <c:valAx>
        <c:axId val="16459839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0230154"/>
      </c:valAx>
      <c:valAx>
        <c:axId val="2080230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5983975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IMDB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'Movie duration analysis'!$A$2:$A$3757</c:f>
            </c:strRef>
          </c:cat>
          <c:val>
            <c:numRef>
              <c:f>'Movie duration analysis'!$A$2:$A$3757</c:f>
              <c:numCache/>
            </c:numRef>
          </c:val>
          <c:smooth val="0"/>
        </c:ser>
        <c:ser>
          <c:idx val="1"/>
          <c:order val="1"/>
          <c:tx>
            <c:v>Duration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'Movie duration analysis'!$A$2:$A$3757</c:f>
            </c:strRef>
          </c:cat>
          <c:val>
            <c:numRef>
              <c:f>'Movie duration analysis'!$B$2:$B$3757</c:f>
              <c:numCache/>
            </c:numRef>
          </c:val>
          <c:smooth val="0"/>
        </c:ser>
        <c:axId val="1701796278"/>
        <c:axId val="271616943"/>
      </c:lineChart>
      <c:catAx>
        <c:axId val="1701796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71616943"/>
      </c:catAx>
      <c:valAx>
        <c:axId val="2716169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179627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428625</xdr:colOff>
      <xdr:row>4</xdr:row>
      <xdr:rowOff>180975</xdr:rowOff>
    </xdr:from>
    <xdr:ext cx="4362450" cy="2476500"/>
    <xdr:graphicFrame>
      <xdr:nvGraphicFramePr>
        <xdr:cNvPr id="147152946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1000125</xdr:colOff>
      <xdr:row>4</xdr:row>
      <xdr:rowOff>161925</xdr:rowOff>
    </xdr:from>
    <xdr:ext cx="4371975" cy="2714625"/>
    <xdr:graphicFrame>
      <xdr:nvGraphicFramePr>
        <xdr:cNvPr id="32255582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Y3757" displayName="Table_1" id="1">
  <tableColumns count="25">
    <tableColumn name="color" id="1"/>
    <tableColumn name="director_name" id="2"/>
    <tableColumn name="movie_title" id="3"/>
    <tableColumn name="gross" id="4"/>
    <tableColumn name="genres" id="5"/>
    <tableColumn name="actor_1_name" id="6"/>
    <tableColumn name="actor_2_name" id="7"/>
    <tableColumn name="actor_3_name" id="8"/>
    <tableColumn name="num_voted_users" id="9"/>
    <tableColumn name="plot_keywords" id="10"/>
    <tableColumn name="movie_imdb_link" id="11"/>
    <tableColumn name="num_user_for_reviews" id="12"/>
    <tableColumn name="language" id="13"/>
    <tableColumn name="country" id="14"/>
    <tableColumn name="content_rating" id="15"/>
    <tableColumn name="budget" id="16"/>
    <tableColumn name="title_year" id="17"/>
    <tableColumn name="actor_1_facebook_likes" id="18"/>
    <tableColumn name="actor_2_facebook_likes" id="19"/>
    <tableColumn name="actor_3_facebook_likes" id="20"/>
    <tableColumn name="cast_total_facebook_likes" id="21"/>
    <tableColumn name="director_facebook_likes" id="22"/>
    <tableColumn name="movie_facebook_likes" id="23"/>
    <tableColumn name="facenumber_in_poster" id="24"/>
    <tableColumn name="aspect_ratio" id="25"/>
  </tableColumns>
  <tableStyleInfo name="my_IMDB-style" showColumnStripes="0" showFirstColumn="1" showLastColumn="1" showRowStripes="1"/>
</table>
</file>

<file path=xl/tables/table2.xml><?xml version="1.0" encoding="utf-8"?>
<table xmlns="http://schemas.openxmlformats.org/spreadsheetml/2006/main" ref="Z1:Z3757" displayName="Table_2" id="2">
  <tableColumns count="1">
    <tableColumn name="imdb score" id="1"/>
  </tableColumns>
  <tableStyleInfo name="my_IMDB-style 2" showColumnStripes="0" showFirstColumn="1" showLastColumn="1" showRowStripes="1"/>
</table>
</file>

<file path=xl/tables/table3.xml><?xml version="1.0" encoding="utf-8"?>
<table xmlns="http://schemas.openxmlformats.org/spreadsheetml/2006/main" ref="A1:B3757" displayName="Table_3" id="3">
  <tableColumns count="2">
    <tableColumn name="imdb_score" id="1"/>
    <tableColumn name="duration" id="2"/>
  </tableColumns>
  <tableStyleInfo name="Movie duration analysis-style" showColumnStripes="0" showFirstColumn="1" showLastColumn="1" showRowStripes="1"/>
</table>
</file>

<file path=xl/tables/table4.xml><?xml version="1.0" encoding="utf-8"?>
<table xmlns="http://schemas.openxmlformats.org/spreadsheetml/2006/main" ref="E3:G4" displayName="Table_4" id="4">
  <tableColumns count="3">
    <tableColumn name="Avg duration" id="1"/>
    <tableColumn name="median of duration" id="2"/>
    <tableColumn name="Std of duration" id="3"/>
  </tableColumns>
  <tableStyleInfo name="Movie duration analysis-style 2" showColumnStripes="0" showFirstColumn="1" showLastColumn="1" showRowStripes="1"/>
</table>
</file>

<file path=xl/tables/table5.xml><?xml version="1.0" encoding="utf-8"?>
<table xmlns="http://schemas.openxmlformats.org/spreadsheetml/2006/main" ref="A1:K3757" displayName="Table_5" id="5">
  <tableColumns count="11">
    <tableColumn name="Genres" id="1"/>
    <tableColumn name="imdb score" id="2"/>
    <tableColumn name="genre 1" id="3"/>
    <tableColumn name="genre 2" id="4"/>
    <tableColumn name="genre 3" id="5"/>
    <tableColumn name="genre 4" id="6"/>
    <tableColumn name="genre 5" id="7"/>
    <tableColumn name="genre 6" id="8"/>
    <tableColumn name="genre 7" id="9"/>
    <tableColumn name="genre 8" id="10"/>
    <tableColumn name="movie_title" id="11"/>
  </tableColumns>
  <tableStyleInfo name="genre Analysis-style" showColumnStripes="0" showFirstColumn="1" showLastColumn="1" showRowStripes="1"/>
</table>
</file>

<file path=xl/tables/table6.xml><?xml version="1.0" encoding="utf-8"?>
<table xmlns="http://schemas.openxmlformats.org/spreadsheetml/2006/main" ref="A1:B3757" displayName="Table_6" id="6">
  <tableColumns count="2">
    <tableColumn name="director_name" id="1"/>
    <tableColumn name="imdb_score" id="2"/>
  </tableColumns>
  <tableStyleInfo name="Director analysis-style" showColumnStripes="0" showFirstColumn="1" showLastColumn="1" showRowStripes="1"/>
</table>
</file>

<file path=xl/tables/table7.xml><?xml version="1.0" encoding="utf-8"?>
<table xmlns="http://schemas.openxmlformats.org/spreadsheetml/2006/main" ref="A1:A3757" displayName="Table_7" id="7">
  <tableColumns count="1">
    <tableColumn name="movie_title" id="1"/>
  </tableColumns>
  <tableStyleInfo name="language analysis-style" showColumnStripes="0" showFirstColumn="1" showLastColumn="1" showRowStripes="1"/>
</table>
</file>

<file path=xl/tables/table8.xml><?xml version="1.0" encoding="utf-8"?>
<table xmlns="http://schemas.openxmlformats.org/spreadsheetml/2006/main" ref="B1:C3757" displayName="Table_8" id="8">
  <tableColumns count="2">
    <tableColumn name="Language" id="1"/>
    <tableColumn name="imdb score" id="2"/>
  </tableColumns>
  <tableStyleInfo name="language analysis-style 2" showColumnStripes="0" showFirstColumn="1" showLastColumn="1" showRowStripes="1"/>
</table>
</file>

<file path=xl/tables/table9.xml><?xml version="1.0" encoding="utf-8"?>
<table xmlns="http://schemas.openxmlformats.org/spreadsheetml/2006/main" ref="D2:H29" displayName="Table_9" id="9">
  <tableColumns count="5">
    <tableColumn name="Langauges" id="1"/>
    <tableColumn name="No.of Movies" id="2"/>
    <tableColumn name="Avg Imdb scores" id="3"/>
    <tableColumn name="Median of imdb" id="4"/>
    <tableColumn name="Std of imbd " id="5"/>
  </tableColumns>
  <tableStyleInfo name="language analysis-style 3" showColumnStripes="0" showFirstColumn="1" showLastColumn="1" showRowStripes="1"/>
</table>
</file>

<file path=xl/tables/table10.xml><?xml version="1.0" encoding="utf-8"?>
<table xmlns="http://schemas.openxmlformats.org/spreadsheetml/2006/main" ref="A1:C3757" displayName="Table_10" id="10">
  <tableColumns count="3">
    <tableColumn name="movie_title" id="1"/>
    <tableColumn name="budget" id="2"/>
    <tableColumn name="gross" id="3"/>
  </tableColumns>
  <tableStyleInfo name="Budget Analysis-style" showColumnStripes="0" showFirstColumn="1" showLastColumn="1" showRowStripes="1"/>
</table>
</file>

<file path=xl/tables/table11.xml><?xml version="1.0" encoding="utf-8"?>
<table xmlns="http://schemas.openxmlformats.org/spreadsheetml/2006/main" ref="J1:J3757" displayName="Table_11" id="11">
  <tableColumns count="1">
    <tableColumn name="Highest profit" id="1"/>
  </tableColumns>
  <tableStyleInfo name="Budget Analysis-style 2" showColumnStripes="0" showFirstColumn="1" showLastColumn="1" showRowStripes="1"/>
</table>
</file>

<file path=xl/tables/table12.xml><?xml version="1.0" encoding="utf-8"?>
<table xmlns="http://schemas.openxmlformats.org/spreadsheetml/2006/main" ref="K1:K3757" displayName="Table_12" id="12">
  <tableColumns count="1">
    <tableColumn name="Movie" id="1"/>
  </tableColumns>
  <tableStyleInfo name="Budget Analysis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5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6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5" Type="http://schemas.openxmlformats.org/officeDocument/2006/relationships/table" Target="../tables/table10.xml"/><Relationship Id="rId6" Type="http://schemas.openxmlformats.org/officeDocument/2006/relationships/table" Target="../tables/table11.xml"/><Relationship Id="rId7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19.43"/>
    <col customWidth="1" min="3" max="3" width="21.14"/>
    <col customWidth="1" min="4" max="4" width="12.86"/>
    <col customWidth="1" min="5" max="5" width="36.57"/>
    <col customWidth="1" min="6" max="6" width="17.0"/>
    <col customWidth="1" min="7" max="7" width="25.71"/>
    <col customWidth="1" min="8" max="8" width="18.29"/>
    <col customWidth="1" min="9" max="9" width="17.29"/>
    <col customWidth="1" min="10" max="10" width="40.71"/>
    <col customWidth="1" min="11" max="11" width="28.29"/>
    <col customWidth="1" min="12" max="12" width="21.57"/>
    <col customWidth="1" min="13" max="13" width="10.29"/>
    <col customWidth="1" min="14" max="14" width="9.14"/>
    <col customWidth="1" min="15" max="15" width="15.29"/>
    <col customWidth="1" min="16" max="16" width="12.0"/>
    <col customWidth="1" min="17" max="17" width="10.71"/>
    <col customWidth="1" min="18" max="18" width="22.43"/>
    <col customWidth="1" min="19" max="19" width="27.43"/>
    <col customWidth="1" min="20" max="20" width="22.43"/>
    <col customWidth="1" min="21" max="21" width="26.14"/>
    <col customWidth="1" min="22" max="22" width="23.29"/>
    <col customWidth="1" min="23" max="23" width="21.29"/>
    <col customWidth="1" min="24" max="24" width="24.29"/>
    <col customWidth="1" min="25" max="25" width="19.71"/>
    <col customWidth="1" min="26" max="26" width="18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4.25" customHeight="1">
      <c r="A2" s="1" t="s">
        <v>26</v>
      </c>
      <c r="B2" s="1" t="s">
        <v>27</v>
      </c>
      <c r="C2" s="1" t="s">
        <v>28</v>
      </c>
      <c r="D2" s="1">
        <v>7.60505847E8</v>
      </c>
      <c r="E2" s="1" t="s">
        <v>29</v>
      </c>
      <c r="F2" s="1" t="s">
        <v>30</v>
      </c>
      <c r="G2" s="1" t="s">
        <v>31</v>
      </c>
      <c r="H2" s="1" t="s">
        <v>32</v>
      </c>
      <c r="I2" s="1">
        <v>886204.0</v>
      </c>
      <c r="J2" s="1" t="s">
        <v>33</v>
      </c>
      <c r="K2" s="1" t="s">
        <v>34</v>
      </c>
      <c r="L2" s="1">
        <v>3054.0</v>
      </c>
      <c r="M2" s="1" t="s">
        <v>35</v>
      </c>
      <c r="N2" s="1" t="s">
        <v>36</v>
      </c>
      <c r="O2" s="1" t="s">
        <v>37</v>
      </c>
      <c r="P2" s="1">
        <v>2.37E8</v>
      </c>
      <c r="Q2" s="1">
        <v>2009.0</v>
      </c>
      <c r="R2" s="1">
        <v>1000.0</v>
      </c>
      <c r="S2" s="1">
        <v>936.0</v>
      </c>
      <c r="T2" s="1">
        <v>855.0</v>
      </c>
      <c r="U2" s="1">
        <v>4834.0</v>
      </c>
      <c r="V2" s="1">
        <v>0.0</v>
      </c>
      <c r="W2" s="1">
        <v>33000.0</v>
      </c>
      <c r="X2" s="1">
        <v>0.0</v>
      </c>
      <c r="Y2" s="1">
        <v>1.78</v>
      </c>
      <c r="Z2" s="1">
        <v>7.9</v>
      </c>
    </row>
    <row r="3" ht="14.25" customHeight="1">
      <c r="A3" s="1" t="s">
        <v>26</v>
      </c>
      <c r="B3" s="1" t="s">
        <v>38</v>
      </c>
      <c r="C3" s="1" t="s">
        <v>39</v>
      </c>
      <c r="D3" s="1">
        <v>3.09404152E8</v>
      </c>
      <c r="E3" s="1" t="s">
        <v>40</v>
      </c>
      <c r="F3" s="1" t="s">
        <v>41</v>
      </c>
      <c r="G3" s="1" t="s">
        <v>42</v>
      </c>
      <c r="H3" s="1" t="s">
        <v>43</v>
      </c>
      <c r="I3" s="1">
        <v>471220.0</v>
      </c>
      <c r="J3" s="1" t="s">
        <v>44</v>
      </c>
      <c r="K3" s="1" t="s">
        <v>45</v>
      </c>
      <c r="L3" s="1">
        <v>1238.0</v>
      </c>
      <c r="M3" s="1" t="s">
        <v>35</v>
      </c>
      <c r="N3" s="1" t="s">
        <v>36</v>
      </c>
      <c r="O3" s="1" t="s">
        <v>37</v>
      </c>
      <c r="P3" s="1">
        <v>3.0E8</v>
      </c>
      <c r="Q3" s="1">
        <v>2007.0</v>
      </c>
      <c r="R3" s="1">
        <v>40000.0</v>
      </c>
      <c r="S3" s="1">
        <v>5000.0</v>
      </c>
      <c r="T3" s="1">
        <v>1000.0</v>
      </c>
      <c r="U3" s="1">
        <v>48350.0</v>
      </c>
      <c r="V3" s="1">
        <v>563.0</v>
      </c>
      <c r="W3" s="1">
        <v>0.0</v>
      </c>
      <c r="X3" s="1">
        <v>0.0</v>
      </c>
      <c r="Y3" s="1">
        <v>2.35</v>
      </c>
      <c r="Z3" s="1">
        <v>7.1</v>
      </c>
    </row>
    <row r="4" ht="14.25" customHeight="1">
      <c r="A4" s="1" t="s">
        <v>26</v>
      </c>
      <c r="B4" s="1" t="s">
        <v>46</v>
      </c>
      <c r="C4" s="1" t="s">
        <v>47</v>
      </c>
      <c r="D4" s="1">
        <v>2.00074175E8</v>
      </c>
      <c r="E4" s="1" t="s">
        <v>48</v>
      </c>
      <c r="F4" s="1" t="s">
        <v>49</v>
      </c>
      <c r="G4" s="1" t="s">
        <v>50</v>
      </c>
      <c r="H4" s="1" t="s">
        <v>51</v>
      </c>
      <c r="I4" s="1">
        <v>275868.0</v>
      </c>
      <c r="J4" s="1" t="s">
        <v>52</v>
      </c>
      <c r="K4" s="1" t="s">
        <v>53</v>
      </c>
      <c r="L4" s="1">
        <v>994.0</v>
      </c>
      <c r="M4" s="1" t="s">
        <v>35</v>
      </c>
      <c r="N4" s="1" t="s">
        <v>54</v>
      </c>
      <c r="O4" s="1" t="s">
        <v>37</v>
      </c>
      <c r="P4" s="1">
        <v>2.45E8</v>
      </c>
      <c r="Q4" s="1">
        <v>2015.0</v>
      </c>
      <c r="R4" s="1">
        <v>11000.0</v>
      </c>
      <c r="S4" s="1">
        <v>393.0</v>
      </c>
      <c r="T4" s="1">
        <v>161.0</v>
      </c>
      <c r="U4" s="1">
        <v>11700.0</v>
      </c>
      <c r="V4" s="1">
        <v>0.0</v>
      </c>
      <c r="W4" s="1">
        <v>85000.0</v>
      </c>
      <c r="X4" s="1">
        <v>1.0</v>
      </c>
      <c r="Y4" s="1">
        <v>2.35</v>
      </c>
      <c r="Z4" s="1">
        <v>6.8</v>
      </c>
    </row>
    <row r="5" ht="14.25" customHeight="1">
      <c r="A5" s="1" t="s">
        <v>26</v>
      </c>
      <c r="B5" s="1" t="s">
        <v>55</v>
      </c>
      <c r="C5" s="1" t="s">
        <v>56</v>
      </c>
      <c r="D5" s="1">
        <v>4.48130642E8</v>
      </c>
      <c r="E5" s="1" t="s">
        <v>57</v>
      </c>
      <c r="F5" s="1" t="s">
        <v>58</v>
      </c>
      <c r="G5" s="1" t="s">
        <v>59</v>
      </c>
      <c r="H5" s="1" t="s">
        <v>60</v>
      </c>
      <c r="I5" s="1">
        <v>1144337.0</v>
      </c>
      <c r="J5" s="1" t="s">
        <v>61</v>
      </c>
      <c r="K5" s="1" t="s">
        <v>62</v>
      </c>
      <c r="L5" s="1">
        <v>2701.0</v>
      </c>
      <c r="M5" s="1" t="s">
        <v>35</v>
      </c>
      <c r="N5" s="1" t="s">
        <v>36</v>
      </c>
      <c r="O5" s="1" t="s">
        <v>37</v>
      </c>
      <c r="P5" s="1">
        <v>2.5E8</v>
      </c>
      <c r="Q5" s="1">
        <v>2012.0</v>
      </c>
      <c r="R5" s="1">
        <v>27000.0</v>
      </c>
      <c r="S5" s="1">
        <v>23000.0</v>
      </c>
      <c r="T5" s="1">
        <v>23000.0</v>
      </c>
      <c r="U5" s="1">
        <v>106759.0</v>
      </c>
      <c r="V5" s="1">
        <v>22000.0</v>
      </c>
      <c r="W5" s="1">
        <v>164000.0</v>
      </c>
      <c r="X5" s="1">
        <v>0.0</v>
      </c>
      <c r="Y5" s="1">
        <v>2.35</v>
      </c>
      <c r="Z5" s="1">
        <v>8.5</v>
      </c>
    </row>
    <row r="6" ht="14.25" customHeight="1">
      <c r="A6" s="1" t="s">
        <v>26</v>
      </c>
      <c r="B6" s="1" t="s">
        <v>63</v>
      </c>
      <c r="C6" s="1" t="s">
        <v>64</v>
      </c>
      <c r="D6" s="1">
        <v>7.3058679E7</v>
      </c>
      <c r="E6" s="1" t="s">
        <v>65</v>
      </c>
      <c r="F6" s="1" t="s">
        <v>66</v>
      </c>
      <c r="G6" s="1" t="s">
        <v>67</v>
      </c>
      <c r="H6" s="1" t="s">
        <v>68</v>
      </c>
      <c r="I6" s="1">
        <v>212204.0</v>
      </c>
      <c r="J6" s="1" t="s">
        <v>69</v>
      </c>
      <c r="K6" s="1" t="s">
        <v>70</v>
      </c>
      <c r="L6" s="1">
        <v>738.0</v>
      </c>
      <c r="M6" s="1" t="s">
        <v>35</v>
      </c>
      <c r="N6" s="1" t="s">
        <v>36</v>
      </c>
      <c r="O6" s="1" t="s">
        <v>37</v>
      </c>
      <c r="P6" s="1">
        <v>2.637E8</v>
      </c>
      <c r="Q6" s="1">
        <v>2012.0</v>
      </c>
      <c r="R6" s="1">
        <v>640.0</v>
      </c>
      <c r="S6" s="1">
        <v>632.0</v>
      </c>
      <c r="T6" s="1">
        <v>530.0</v>
      </c>
      <c r="U6" s="1">
        <v>1873.0</v>
      </c>
      <c r="V6" s="1">
        <v>475.0</v>
      </c>
      <c r="W6" s="1">
        <v>24000.0</v>
      </c>
      <c r="X6" s="1">
        <v>1.0</v>
      </c>
      <c r="Y6" s="1">
        <v>2.35</v>
      </c>
      <c r="Z6" s="1">
        <v>6.6</v>
      </c>
    </row>
    <row r="7" ht="14.25" customHeight="1">
      <c r="A7" s="1" t="s">
        <v>26</v>
      </c>
      <c r="B7" s="1" t="s">
        <v>71</v>
      </c>
      <c r="C7" s="1" t="s">
        <v>72</v>
      </c>
      <c r="D7" s="1">
        <v>3.36530303E8</v>
      </c>
      <c r="E7" s="1" t="s">
        <v>73</v>
      </c>
      <c r="F7" s="1" t="s">
        <v>74</v>
      </c>
      <c r="G7" s="1" t="s">
        <v>75</v>
      </c>
      <c r="H7" s="1" t="s">
        <v>76</v>
      </c>
      <c r="I7" s="1">
        <v>383056.0</v>
      </c>
      <c r="J7" s="1" t="s">
        <v>77</v>
      </c>
      <c r="K7" s="1" t="s">
        <v>78</v>
      </c>
      <c r="L7" s="1">
        <v>1902.0</v>
      </c>
      <c r="M7" s="1" t="s">
        <v>35</v>
      </c>
      <c r="N7" s="1" t="s">
        <v>36</v>
      </c>
      <c r="O7" s="1" t="s">
        <v>37</v>
      </c>
      <c r="P7" s="1">
        <v>2.58E8</v>
      </c>
      <c r="Q7" s="1">
        <v>2007.0</v>
      </c>
      <c r="R7" s="1">
        <v>24000.0</v>
      </c>
      <c r="S7" s="1">
        <v>11000.0</v>
      </c>
      <c r="T7" s="1">
        <v>4000.0</v>
      </c>
      <c r="U7" s="1">
        <v>46055.0</v>
      </c>
      <c r="V7" s="1">
        <v>0.0</v>
      </c>
      <c r="W7" s="1">
        <v>0.0</v>
      </c>
      <c r="X7" s="1">
        <v>0.0</v>
      </c>
      <c r="Y7" s="1">
        <v>2.35</v>
      </c>
      <c r="Z7" s="1">
        <v>6.2</v>
      </c>
    </row>
    <row r="8" ht="14.25" customHeight="1">
      <c r="A8" s="1" t="s">
        <v>26</v>
      </c>
      <c r="B8" s="1" t="s">
        <v>79</v>
      </c>
      <c r="C8" s="1" t="s">
        <v>80</v>
      </c>
      <c r="D8" s="1">
        <v>2.00807262E8</v>
      </c>
      <c r="E8" s="1" t="s">
        <v>81</v>
      </c>
      <c r="F8" s="1" t="s">
        <v>82</v>
      </c>
      <c r="G8" s="1" t="s">
        <v>83</v>
      </c>
      <c r="H8" s="1" t="s">
        <v>84</v>
      </c>
      <c r="I8" s="1">
        <v>294810.0</v>
      </c>
      <c r="J8" s="1" t="s">
        <v>85</v>
      </c>
      <c r="K8" s="1" t="s">
        <v>86</v>
      </c>
      <c r="L8" s="1">
        <v>387.0</v>
      </c>
      <c r="M8" s="1" t="s">
        <v>35</v>
      </c>
      <c r="N8" s="1" t="s">
        <v>36</v>
      </c>
      <c r="O8" s="1" t="s">
        <v>87</v>
      </c>
      <c r="P8" s="1">
        <v>2.6E8</v>
      </c>
      <c r="Q8" s="1">
        <v>2010.0</v>
      </c>
      <c r="R8" s="1">
        <v>799.0</v>
      </c>
      <c r="S8" s="1">
        <v>553.0</v>
      </c>
      <c r="T8" s="1">
        <v>284.0</v>
      </c>
      <c r="U8" s="1">
        <v>2036.0</v>
      </c>
      <c r="V8" s="1">
        <v>15.0</v>
      </c>
      <c r="W8" s="1">
        <v>29000.0</v>
      </c>
      <c r="X8" s="1">
        <v>1.0</v>
      </c>
      <c r="Y8" s="1">
        <v>1.85</v>
      </c>
      <c r="Z8" s="1">
        <v>7.8</v>
      </c>
    </row>
    <row r="9" ht="14.25" customHeight="1">
      <c r="A9" s="1" t="s">
        <v>26</v>
      </c>
      <c r="B9" s="1" t="s">
        <v>88</v>
      </c>
      <c r="C9" s="1" t="s">
        <v>89</v>
      </c>
      <c r="D9" s="1">
        <v>4.58991599E8</v>
      </c>
      <c r="E9" s="1" t="s">
        <v>65</v>
      </c>
      <c r="F9" s="1" t="s">
        <v>90</v>
      </c>
      <c r="G9" s="1" t="s">
        <v>91</v>
      </c>
      <c r="H9" s="1" t="s">
        <v>92</v>
      </c>
      <c r="I9" s="1">
        <v>462669.0</v>
      </c>
      <c r="J9" s="1" t="s">
        <v>93</v>
      </c>
      <c r="K9" s="1" t="s">
        <v>94</v>
      </c>
      <c r="L9" s="1">
        <v>1117.0</v>
      </c>
      <c r="M9" s="1" t="s">
        <v>35</v>
      </c>
      <c r="N9" s="1" t="s">
        <v>36</v>
      </c>
      <c r="O9" s="1" t="s">
        <v>37</v>
      </c>
      <c r="P9" s="1">
        <v>2.5E8</v>
      </c>
      <c r="Q9" s="1">
        <v>2015.0</v>
      </c>
      <c r="R9" s="1">
        <v>26000.0</v>
      </c>
      <c r="S9" s="1">
        <v>21000.0</v>
      </c>
      <c r="T9" s="1">
        <v>19000.0</v>
      </c>
      <c r="U9" s="1">
        <v>92000.0</v>
      </c>
      <c r="V9" s="1">
        <v>0.0</v>
      </c>
      <c r="W9" s="1">
        <v>118000.0</v>
      </c>
      <c r="X9" s="1">
        <v>4.0</v>
      </c>
      <c r="Y9" s="1">
        <v>2.35</v>
      </c>
      <c r="Z9" s="1">
        <v>7.5</v>
      </c>
    </row>
    <row r="10" ht="14.25" customHeight="1">
      <c r="A10" s="1" t="s">
        <v>26</v>
      </c>
      <c r="B10" s="1" t="s">
        <v>95</v>
      </c>
      <c r="C10" s="1" t="s">
        <v>96</v>
      </c>
      <c r="D10" s="1">
        <v>3.0195698E8</v>
      </c>
      <c r="E10" s="1" t="s">
        <v>97</v>
      </c>
      <c r="F10" s="1" t="s">
        <v>98</v>
      </c>
      <c r="G10" s="1" t="s">
        <v>99</v>
      </c>
      <c r="H10" s="1" t="s">
        <v>100</v>
      </c>
      <c r="I10" s="1">
        <v>321795.0</v>
      </c>
      <c r="J10" s="1" t="s">
        <v>101</v>
      </c>
      <c r="K10" s="1" t="s">
        <v>102</v>
      </c>
      <c r="L10" s="1">
        <v>973.0</v>
      </c>
      <c r="M10" s="1" t="s">
        <v>35</v>
      </c>
      <c r="N10" s="1" t="s">
        <v>54</v>
      </c>
      <c r="O10" s="1" t="s">
        <v>87</v>
      </c>
      <c r="P10" s="1">
        <v>2.5E8</v>
      </c>
      <c r="Q10" s="1">
        <v>2009.0</v>
      </c>
      <c r="R10" s="1">
        <v>25000.0</v>
      </c>
      <c r="S10" s="1">
        <v>11000.0</v>
      </c>
      <c r="T10" s="1">
        <v>10000.0</v>
      </c>
      <c r="U10" s="1">
        <v>58753.0</v>
      </c>
      <c r="V10" s="1">
        <v>282.0</v>
      </c>
      <c r="W10" s="1">
        <v>10000.0</v>
      </c>
      <c r="X10" s="1">
        <v>3.0</v>
      </c>
      <c r="Y10" s="1">
        <v>2.35</v>
      </c>
      <c r="Z10" s="1">
        <v>7.5</v>
      </c>
    </row>
    <row r="11" ht="14.25" customHeight="1">
      <c r="A11" s="1" t="s">
        <v>26</v>
      </c>
      <c r="B11" s="1" t="s">
        <v>103</v>
      </c>
      <c r="C11" s="1" t="s">
        <v>104</v>
      </c>
      <c r="D11" s="1">
        <v>3.30249062E8</v>
      </c>
      <c r="E11" s="1" t="s">
        <v>65</v>
      </c>
      <c r="F11" s="1" t="s">
        <v>105</v>
      </c>
      <c r="G11" s="1" t="s">
        <v>106</v>
      </c>
      <c r="H11" s="1" t="s">
        <v>107</v>
      </c>
      <c r="I11" s="1">
        <v>371639.0</v>
      </c>
      <c r="J11" s="1" t="s">
        <v>108</v>
      </c>
      <c r="K11" s="1" t="s">
        <v>109</v>
      </c>
      <c r="L11" s="1">
        <v>3018.0</v>
      </c>
      <c r="M11" s="1" t="s">
        <v>35</v>
      </c>
      <c r="N11" s="1" t="s">
        <v>36</v>
      </c>
      <c r="O11" s="1" t="s">
        <v>37</v>
      </c>
      <c r="P11" s="1">
        <v>2.5E8</v>
      </c>
      <c r="Q11" s="1">
        <v>2016.0</v>
      </c>
      <c r="R11" s="1">
        <v>15000.0</v>
      </c>
      <c r="S11" s="1">
        <v>4000.0</v>
      </c>
      <c r="T11" s="1">
        <v>2000.0</v>
      </c>
      <c r="U11" s="1">
        <v>24450.0</v>
      </c>
      <c r="V11" s="1">
        <v>0.0</v>
      </c>
      <c r="W11" s="1">
        <v>197000.0</v>
      </c>
      <c r="X11" s="1">
        <v>0.0</v>
      </c>
      <c r="Y11" s="1">
        <v>2.35</v>
      </c>
      <c r="Z11" s="1">
        <v>6.9</v>
      </c>
    </row>
    <row r="12" ht="14.25" customHeight="1">
      <c r="A12" s="1" t="s">
        <v>26</v>
      </c>
      <c r="B12" s="1" t="s">
        <v>110</v>
      </c>
      <c r="C12" s="1" t="s">
        <v>111</v>
      </c>
      <c r="D12" s="1">
        <v>2.00069408E8</v>
      </c>
      <c r="E12" s="1" t="s">
        <v>65</v>
      </c>
      <c r="F12" s="1" t="s">
        <v>112</v>
      </c>
      <c r="G12" s="1" t="s">
        <v>113</v>
      </c>
      <c r="H12" s="1" t="s">
        <v>114</v>
      </c>
      <c r="I12" s="1">
        <v>240396.0</v>
      </c>
      <c r="J12" s="1" t="s">
        <v>115</v>
      </c>
      <c r="K12" s="1" t="s">
        <v>116</v>
      </c>
      <c r="L12" s="1">
        <v>2367.0</v>
      </c>
      <c r="M12" s="1" t="s">
        <v>35</v>
      </c>
      <c r="N12" s="1" t="s">
        <v>36</v>
      </c>
      <c r="O12" s="1" t="s">
        <v>37</v>
      </c>
      <c r="P12" s="1">
        <v>2.09E8</v>
      </c>
      <c r="Q12" s="1">
        <v>2006.0</v>
      </c>
      <c r="R12" s="1">
        <v>18000.0</v>
      </c>
      <c r="S12" s="1">
        <v>10000.0</v>
      </c>
      <c r="T12" s="1">
        <v>903.0</v>
      </c>
      <c r="U12" s="1">
        <v>29991.0</v>
      </c>
      <c r="V12" s="1">
        <v>0.0</v>
      </c>
      <c r="W12" s="1">
        <v>0.0</v>
      </c>
      <c r="X12" s="1">
        <v>0.0</v>
      </c>
      <c r="Y12" s="1">
        <v>2.35</v>
      </c>
      <c r="Z12" s="1">
        <v>6.1</v>
      </c>
    </row>
    <row r="13" ht="14.25" customHeight="1">
      <c r="A13" s="1" t="s">
        <v>26</v>
      </c>
      <c r="B13" s="1" t="s">
        <v>117</v>
      </c>
      <c r="C13" s="1" t="s">
        <v>118</v>
      </c>
      <c r="D13" s="1">
        <v>1.68368427E8</v>
      </c>
      <c r="E13" s="1" t="s">
        <v>119</v>
      </c>
      <c r="F13" s="1" t="s">
        <v>120</v>
      </c>
      <c r="G13" s="1" t="s">
        <v>121</v>
      </c>
      <c r="H13" s="1" t="s">
        <v>50</v>
      </c>
      <c r="I13" s="1">
        <v>330784.0</v>
      </c>
      <c r="J13" s="1" t="s">
        <v>122</v>
      </c>
      <c r="K13" s="1" t="s">
        <v>123</v>
      </c>
      <c r="L13" s="1">
        <v>1243.0</v>
      </c>
      <c r="M13" s="1" t="s">
        <v>35</v>
      </c>
      <c r="N13" s="1" t="s">
        <v>54</v>
      </c>
      <c r="O13" s="1" t="s">
        <v>37</v>
      </c>
      <c r="P13" s="1">
        <v>2.0E8</v>
      </c>
      <c r="Q13" s="1">
        <v>2008.0</v>
      </c>
      <c r="R13" s="1">
        <v>451.0</v>
      </c>
      <c r="S13" s="1">
        <v>412.0</v>
      </c>
      <c r="T13" s="1">
        <v>393.0</v>
      </c>
      <c r="U13" s="1">
        <v>2023.0</v>
      </c>
      <c r="V13" s="1">
        <v>395.0</v>
      </c>
      <c r="W13" s="1">
        <v>0.0</v>
      </c>
      <c r="X13" s="1">
        <v>1.0</v>
      </c>
      <c r="Y13" s="1">
        <v>2.35</v>
      </c>
      <c r="Z13" s="1">
        <v>6.7</v>
      </c>
    </row>
    <row r="14" ht="14.25" customHeight="1">
      <c r="A14" s="1" t="s">
        <v>26</v>
      </c>
      <c r="B14" s="1" t="s">
        <v>38</v>
      </c>
      <c r="C14" s="1" t="s">
        <v>124</v>
      </c>
      <c r="D14" s="1">
        <v>4.23032628E8</v>
      </c>
      <c r="E14" s="1" t="s">
        <v>40</v>
      </c>
      <c r="F14" s="1" t="s">
        <v>41</v>
      </c>
      <c r="G14" s="1" t="s">
        <v>42</v>
      </c>
      <c r="H14" s="1" t="s">
        <v>43</v>
      </c>
      <c r="I14" s="1">
        <v>522040.0</v>
      </c>
      <c r="J14" s="1" t="s">
        <v>125</v>
      </c>
      <c r="K14" s="1" t="s">
        <v>126</v>
      </c>
      <c r="L14" s="1">
        <v>1832.0</v>
      </c>
      <c r="M14" s="1" t="s">
        <v>35</v>
      </c>
      <c r="N14" s="1" t="s">
        <v>36</v>
      </c>
      <c r="O14" s="1" t="s">
        <v>37</v>
      </c>
      <c r="P14" s="1">
        <v>2.25E8</v>
      </c>
      <c r="Q14" s="1">
        <v>2006.0</v>
      </c>
      <c r="R14" s="1">
        <v>40000.0</v>
      </c>
      <c r="S14" s="1">
        <v>5000.0</v>
      </c>
      <c r="T14" s="1">
        <v>1000.0</v>
      </c>
      <c r="U14" s="1">
        <v>48486.0</v>
      </c>
      <c r="V14" s="1">
        <v>563.0</v>
      </c>
      <c r="W14" s="1">
        <v>5000.0</v>
      </c>
      <c r="X14" s="1">
        <v>2.0</v>
      </c>
      <c r="Y14" s="1">
        <v>2.35</v>
      </c>
      <c r="Z14" s="1">
        <v>7.3</v>
      </c>
    </row>
    <row r="15" ht="14.25" customHeight="1">
      <c r="A15" s="1" t="s">
        <v>26</v>
      </c>
      <c r="B15" s="1" t="s">
        <v>38</v>
      </c>
      <c r="C15" s="1" t="s">
        <v>127</v>
      </c>
      <c r="D15" s="1">
        <v>8.928991E7</v>
      </c>
      <c r="E15" s="1" t="s">
        <v>128</v>
      </c>
      <c r="F15" s="1" t="s">
        <v>41</v>
      </c>
      <c r="G15" s="1" t="s">
        <v>129</v>
      </c>
      <c r="H15" s="1" t="s">
        <v>130</v>
      </c>
      <c r="I15" s="1">
        <v>181792.0</v>
      </c>
      <c r="J15" s="1" t="s">
        <v>131</v>
      </c>
      <c r="K15" s="1" t="s">
        <v>132</v>
      </c>
      <c r="L15" s="1">
        <v>711.0</v>
      </c>
      <c r="M15" s="1" t="s">
        <v>35</v>
      </c>
      <c r="N15" s="1" t="s">
        <v>36</v>
      </c>
      <c r="O15" s="1" t="s">
        <v>37</v>
      </c>
      <c r="P15" s="1">
        <v>2.15E8</v>
      </c>
      <c r="Q15" s="1">
        <v>2013.0</v>
      </c>
      <c r="R15" s="1">
        <v>40000.0</v>
      </c>
      <c r="S15" s="1">
        <v>2000.0</v>
      </c>
      <c r="T15" s="1">
        <v>1000.0</v>
      </c>
      <c r="U15" s="1">
        <v>45757.0</v>
      </c>
      <c r="V15" s="1">
        <v>563.0</v>
      </c>
      <c r="W15" s="1">
        <v>48000.0</v>
      </c>
      <c r="X15" s="1">
        <v>1.0</v>
      </c>
      <c r="Y15" s="1">
        <v>2.35</v>
      </c>
      <c r="Z15" s="1">
        <v>6.5</v>
      </c>
    </row>
    <row r="16" ht="14.25" customHeight="1">
      <c r="A16" s="1" t="s">
        <v>26</v>
      </c>
      <c r="B16" s="1" t="s">
        <v>103</v>
      </c>
      <c r="C16" s="1" t="s">
        <v>133</v>
      </c>
      <c r="D16" s="1">
        <v>2.91021565E8</v>
      </c>
      <c r="E16" s="1" t="s">
        <v>29</v>
      </c>
      <c r="F16" s="1" t="s">
        <v>105</v>
      </c>
      <c r="G16" s="1" t="s">
        <v>134</v>
      </c>
      <c r="H16" s="1" t="s">
        <v>135</v>
      </c>
      <c r="I16" s="1">
        <v>548573.0</v>
      </c>
      <c r="J16" s="1" t="s">
        <v>136</v>
      </c>
      <c r="K16" s="1" t="s">
        <v>137</v>
      </c>
      <c r="L16" s="1">
        <v>2536.0</v>
      </c>
      <c r="M16" s="1" t="s">
        <v>35</v>
      </c>
      <c r="N16" s="1" t="s">
        <v>36</v>
      </c>
      <c r="O16" s="1" t="s">
        <v>37</v>
      </c>
      <c r="P16" s="1">
        <v>2.25E8</v>
      </c>
      <c r="Q16" s="1">
        <v>2013.0</v>
      </c>
      <c r="R16" s="1">
        <v>15000.0</v>
      </c>
      <c r="S16" s="1">
        <v>3000.0</v>
      </c>
      <c r="T16" s="1">
        <v>748.0</v>
      </c>
      <c r="U16" s="1">
        <v>20495.0</v>
      </c>
      <c r="V16" s="1">
        <v>0.0</v>
      </c>
      <c r="W16" s="1">
        <v>118000.0</v>
      </c>
      <c r="X16" s="1">
        <v>0.0</v>
      </c>
      <c r="Y16" s="1">
        <v>2.35</v>
      </c>
      <c r="Z16" s="1">
        <v>7.2</v>
      </c>
    </row>
    <row r="17" ht="14.25" customHeight="1">
      <c r="A17" s="1" t="s">
        <v>26</v>
      </c>
      <c r="B17" s="1" t="s">
        <v>138</v>
      </c>
      <c r="C17" s="1" t="s">
        <v>139</v>
      </c>
      <c r="D17" s="1">
        <v>1.41614023E8</v>
      </c>
      <c r="E17" s="1" t="s">
        <v>140</v>
      </c>
      <c r="F17" s="1" t="s">
        <v>141</v>
      </c>
      <c r="G17" s="1" t="s">
        <v>142</v>
      </c>
      <c r="H17" s="1" t="s">
        <v>143</v>
      </c>
      <c r="I17" s="1">
        <v>149922.0</v>
      </c>
      <c r="J17" s="1" t="s">
        <v>144</v>
      </c>
      <c r="K17" s="1" t="s">
        <v>145</v>
      </c>
      <c r="L17" s="1">
        <v>438.0</v>
      </c>
      <c r="M17" s="1" t="s">
        <v>35</v>
      </c>
      <c r="N17" s="1" t="s">
        <v>36</v>
      </c>
      <c r="O17" s="1" t="s">
        <v>87</v>
      </c>
      <c r="P17" s="1">
        <v>2.25E8</v>
      </c>
      <c r="Q17" s="1">
        <v>2008.0</v>
      </c>
      <c r="R17" s="1">
        <v>22000.0</v>
      </c>
      <c r="S17" s="1">
        <v>216.0</v>
      </c>
      <c r="T17" s="1">
        <v>201.0</v>
      </c>
      <c r="U17" s="1">
        <v>22697.0</v>
      </c>
      <c r="V17" s="1">
        <v>80.0</v>
      </c>
      <c r="W17" s="1">
        <v>0.0</v>
      </c>
      <c r="X17" s="1">
        <v>4.0</v>
      </c>
      <c r="Y17" s="1">
        <v>2.35</v>
      </c>
      <c r="Z17" s="1">
        <v>6.6</v>
      </c>
    </row>
    <row r="18" ht="14.25" customHeight="1">
      <c r="A18" s="1" t="s">
        <v>26</v>
      </c>
      <c r="B18" s="1" t="s">
        <v>88</v>
      </c>
      <c r="C18" s="1" t="s">
        <v>146</v>
      </c>
      <c r="D18" s="1">
        <v>6.23279547E8</v>
      </c>
      <c r="E18" s="1" t="s">
        <v>65</v>
      </c>
      <c r="F18" s="1" t="s">
        <v>90</v>
      </c>
      <c r="G18" s="1" t="s">
        <v>91</v>
      </c>
      <c r="H18" s="1" t="s">
        <v>92</v>
      </c>
      <c r="I18" s="1">
        <v>995415.0</v>
      </c>
      <c r="J18" s="1" t="s">
        <v>147</v>
      </c>
      <c r="K18" s="1" t="s">
        <v>148</v>
      </c>
      <c r="L18" s="1">
        <v>1722.0</v>
      </c>
      <c r="M18" s="1" t="s">
        <v>35</v>
      </c>
      <c r="N18" s="1" t="s">
        <v>36</v>
      </c>
      <c r="O18" s="1" t="s">
        <v>37</v>
      </c>
      <c r="P18" s="1">
        <v>2.2E8</v>
      </c>
      <c r="Q18" s="1">
        <v>2012.0</v>
      </c>
      <c r="R18" s="1">
        <v>26000.0</v>
      </c>
      <c r="S18" s="1">
        <v>21000.0</v>
      </c>
      <c r="T18" s="1">
        <v>19000.0</v>
      </c>
      <c r="U18" s="1">
        <v>87697.0</v>
      </c>
      <c r="V18" s="1">
        <v>0.0</v>
      </c>
      <c r="W18" s="1">
        <v>123000.0</v>
      </c>
      <c r="X18" s="1">
        <v>3.0</v>
      </c>
      <c r="Y18" s="1">
        <v>1.85</v>
      </c>
      <c r="Z18" s="1">
        <v>8.1</v>
      </c>
    </row>
    <row r="19" ht="14.25" customHeight="1">
      <c r="A19" s="1" t="s">
        <v>26</v>
      </c>
      <c r="B19" s="1" t="s">
        <v>149</v>
      </c>
      <c r="C19" s="1" t="s">
        <v>150</v>
      </c>
      <c r="D19" s="1">
        <v>2.41063875E8</v>
      </c>
      <c r="E19" s="1" t="s">
        <v>40</v>
      </c>
      <c r="F19" s="1" t="s">
        <v>41</v>
      </c>
      <c r="G19" s="1" t="s">
        <v>151</v>
      </c>
      <c r="H19" s="1" t="s">
        <v>152</v>
      </c>
      <c r="I19" s="1">
        <v>370704.0</v>
      </c>
      <c r="J19" s="1" t="s">
        <v>153</v>
      </c>
      <c r="K19" s="1" t="s">
        <v>154</v>
      </c>
      <c r="L19" s="1">
        <v>484.0</v>
      </c>
      <c r="M19" s="1" t="s">
        <v>35</v>
      </c>
      <c r="N19" s="1" t="s">
        <v>36</v>
      </c>
      <c r="O19" s="1" t="s">
        <v>37</v>
      </c>
      <c r="P19" s="1">
        <v>2.5E8</v>
      </c>
      <c r="Q19" s="1">
        <v>2011.0</v>
      </c>
      <c r="R19" s="1">
        <v>40000.0</v>
      </c>
      <c r="S19" s="1">
        <v>11000.0</v>
      </c>
      <c r="T19" s="1">
        <v>1000.0</v>
      </c>
      <c r="U19" s="1">
        <v>54083.0</v>
      </c>
      <c r="V19" s="1">
        <v>252.0</v>
      </c>
      <c r="W19" s="1">
        <v>58000.0</v>
      </c>
      <c r="X19" s="1">
        <v>4.0</v>
      </c>
      <c r="Y19" s="1">
        <v>2.35</v>
      </c>
      <c r="Z19" s="1">
        <v>6.7</v>
      </c>
    </row>
    <row r="20" ht="14.25" customHeight="1">
      <c r="A20" s="1" t="s">
        <v>26</v>
      </c>
      <c r="B20" s="1" t="s">
        <v>155</v>
      </c>
      <c r="C20" s="1" t="s">
        <v>156</v>
      </c>
      <c r="D20" s="1">
        <v>1.79020854E8</v>
      </c>
      <c r="E20" s="1" t="s">
        <v>157</v>
      </c>
      <c r="F20" s="1" t="s">
        <v>158</v>
      </c>
      <c r="G20" s="1" t="s">
        <v>159</v>
      </c>
      <c r="H20" s="1" t="s">
        <v>160</v>
      </c>
      <c r="I20" s="1">
        <v>268154.0</v>
      </c>
      <c r="J20" s="1" t="s">
        <v>161</v>
      </c>
      <c r="K20" s="1" t="s">
        <v>162</v>
      </c>
      <c r="L20" s="1">
        <v>341.0</v>
      </c>
      <c r="M20" s="1" t="s">
        <v>35</v>
      </c>
      <c r="N20" s="1" t="s">
        <v>36</v>
      </c>
      <c r="O20" s="1" t="s">
        <v>37</v>
      </c>
      <c r="P20" s="1">
        <v>2.25E8</v>
      </c>
      <c r="Q20" s="1">
        <v>2012.0</v>
      </c>
      <c r="R20" s="1">
        <v>10000.0</v>
      </c>
      <c r="S20" s="1">
        <v>816.0</v>
      </c>
      <c r="T20" s="1">
        <v>718.0</v>
      </c>
      <c r="U20" s="1">
        <v>12572.0</v>
      </c>
      <c r="V20" s="1">
        <v>188.0</v>
      </c>
      <c r="W20" s="1">
        <v>40000.0</v>
      </c>
      <c r="X20" s="1">
        <v>1.0</v>
      </c>
      <c r="Y20" s="1">
        <v>1.85</v>
      </c>
      <c r="Z20" s="1">
        <v>6.8</v>
      </c>
    </row>
    <row r="21" ht="14.25" customHeight="1">
      <c r="A21" s="1" t="s">
        <v>26</v>
      </c>
      <c r="B21" s="1" t="s">
        <v>163</v>
      </c>
      <c r="C21" s="1" t="s">
        <v>164</v>
      </c>
      <c r="D21" s="1">
        <v>2.5510837E8</v>
      </c>
      <c r="E21" s="1" t="s">
        <v>165</v>
      </c>
      <c r="F21" s="1" t="s">
        <v>166</v>
      </c>
      <c r="G21" s="1" t="s">
        <v>167</v>
      </c>
      <c r="H21" s="1" t="s">
        <v>168</v>
      </c>
      <c r="I21" s="1">
        <v>354228.0</v>
      </c>
      <c r="J21" s="1" t="s">
        <v>169</v>
      </c>
      <c r="K21" s="1" t="s">
        <v>170</v>
      </c>
      <c r="L21" s="1">
        <v>802.0</v>
      </c>
      <c r="M21" s="1" t="s">
        <v>35</v>
      </c>
      <c r="N21" s="1" t="s">
        <v>171</v>
      </c>
      <c r="O21" s="1" t="s">
        <v>37</v>
      </c>
      <c r="P21" s="1">
        <v>2.5E8</v>
      </c>
      <c r="Q21" s="1">
        <v>2014.0</v>
      </c>
      <c r="R21" s="1">
        <v>5000.0</v>
      </c>
      <c r="S21" s="1">
        <v>972.0</v>
      </c>
      <c r="T21" s="1">
        <v>773.0</v>
      </c>
      <c r="U21" s="1">
        <v>9152.0</v>
      </c>
      <c r="V21" s="1">
        <v>0.0</v>
      </c>
      <c r="W21" s="1">
        <v>65000.0</v>
      </c>
      <c r="X21" s="1">
        <v>0.0</v>
      </c>
      <c r="Y21" s="1">
        <v>2.35</v>
      </c>
      <c r="Z21" s="1">
        <v>7.5</v>
      </c>
    </row>
    <row r="22" ht="14.25" customHeight="1">
      <c r="A22" s="1" t="s">
        <v>26</v>
      </c>
      <c r="B22" s="1" t="s">
        <v>172</v>
      </c>
      <c r="C22" s="1" t="s">
        <v>173</v>
      </c>
      <c r="D22" s="1">
        <v>2.62030663E8</v>
      </c>
      <c r="E22" s="1" t="s">
        <v>40</v>
      </c>
      <c r="F22" s="1" t="s">
        <v>174</v>
      </c>
      <c r="G22" s="1" t="s">
        <v>175</v>
      </c>
      <c r="H22" s="1" t="s">
        <v>176</v>
      </c>
      <c r="I22" s="1">
        <v>451803.0</v>
      </c>
      <c r="J22" s="1" t="s">
        <v>177</v>
      </c>
      <c r="K22" s="1" t="s">
        <v>178</v>
      </c>
      <c r="L22" s="1">
        <v>1225.0</v>
      </c>
      <c r="M22" s="1" t="s">
        <v>35</v>
      </c>
      <c r="N22" s="1" t="s">
        <v>36</v>
      </c>
      <c r="O22" s="1" t="s">
        <v>37</v>
      </c>
      <c r="P22" s="1">
        <v>2.3E8</v>
      </c>
      <c r="Q22" s="1">
        <v>2012.0</v>
      </c>
      <c r="R22" s="1">
        <v>15000.0</v>
      </c>
      <c r="S22" s="1">
        <v>10000.0</v>
      </c>
      <c r="T22" s="1">
        <v>963.0</v>
      </c>
      <c r="U22" s="1">
        <v>28489.0</v>
      </c>
      <c r="V22" s="1">
        <v>464.0</v>
      </c>
      <c r="W22" s="1">
        <v>56000.0</v>
      </c>
      <c r="X22" s="1">
        <v>0.0</v>
      </c>
      <c r="Y22" s="1">
        <v>2.35</v>
      </c>
      <c r="Z22" s="1">
        <v>7.0</v>
      </c>
    </row>
    <row r="23" ht="14.25" customHeight="1">
      <c r="A23" s="1" t="s">
        <v>26</v>
      </c>
      <c r="B23" s="1" t="s">
        <v>179</v>
      </c>
      <c r="C23" s="1" t="s">
        <v>180</v>
      </c>
      <c r="D23" s="1">
        <v>1.05219735E8</v>
      </c>
      <c r="E23" s="1" t="s">
        <v>181</v>
      </c>
      <c r="F23" s="1" t="s">
        <v>182</v>
      </c>
      <c r="G23" s="1" t="s">
        <v>183</v>
      </c>
      <c r="H23" s="1" t="s">
        <v>184</v>
      </c>
      <c r="I23" s="1">
        <v>211765.0</v>
      </c>
      <c r="J23" s="1" t="s">
        <v>185</v>
      </c>
      <c r="K23" s="1" t="s">
        <v>186</v>
      </c>
      <c r="L23" s="1">
        <v>546.0</v>
      </c>
      <c r="M23" s="1" t="s">
        <v>35</v>
      </c>
      <c r="N23" s="1" t="s">
        <v>36</v>
      </c>
      <c r="O23" s="1" t="s">
        <v>37</v>
      </c>
      <c r="P23" s="1">
        <v>2.0E8</v>
      </c>
      <c r="Q23" s="1">
        <v>2010.0</v>
      </c>
      <c r="R23" s="1">
        <v>891.0</v>
      </c>
      <c r="S23" s="1">
        <v>882.0</v>
      </c>
      <c r="T23" s="1">
        <v>738.0</v>
      </c>
      <c r="U23" s="1">
        <v>3244.0</v>
      </c>
      <c r="V23" s="1">
        <v>0.0</v>
      </c>
      <c r="W23" s="1">
        <v>17000.0</v>
      </c>
      <c r="X23" s="1">
        <v>0.0</v>
      </c>
      <c r="Y23" s="1">
        <v>2.35</v>
      </c>
      <c r="Z23" s="1">
        <v>6.7</v>
      </c>
    </row>
    <row r="24" ht="14.25" customHeight="1">
      <c r="A24" s="1" t="s">
        <v>26</v>
      </c>
      <c r="B24" s="1" t="s">
        <v>163</v>
      </c>
      <c r="C24" s="1" t="s">
        <v>187</v>
      </c>
      <c r="D24" s="1">
        <v>2.58355354E8</v>
      </c>
      <c r="E24" s="1" t="s">
        <v>165</v>
      </c>
      <c r="F24" s="1" t="s">
        <v>166</v>
      </c>
      <c r="G24" s="1" t="s">
        <v>167</v>
      </c>
      <c r="H24" s="1" t="s">
        <v>168</v>
      </c>
      <c r="I24" s="1">
        <v>483540.0</v>
      </c>
      <c r="J24" s="1" t="s">
        <v>188</v>
      </c>
      <c r="K24" s="1" t="s">
        <v>189</v>
      </c>
      <c r="L24" s="1">
        <v>951.0</v>
      </c>
      <c r="M24" s="1" t="s">
        <v>35</v>
      </c>
      <c r="N24" s="1" t="s">
        <v>36</v>
      </c>
      <c r="O24" s="1" t="s">
        <v>37</v>
      </c>
      <c r="P24" s="1">
        <v>2.25E8</v>
      </c>
      <c r="Q24" s="1">
        <v>2013.0</v>
      </c>
      <c r="R24" s="1">
        <v>5000.0</v>
      </c>
      <c r="S24" s="1">
        <v>972.0</v>
      </c>
      <c r="T24" s="1">
        <v>773.0</v>
      </c>
      <c r="U24" s="1">
        <v>9152.0</v>
      </c>
      <c r="V24" s="1">
        <v>0.0</v>
      </c>
      <c r="W24" s="1">
        <v>83000.0</v>
      </c>
      <c r="X24" s="1">
        <v>6.0</v>
      </c>
      <c r="Y24" s="1">
        <v>2.35</v>
      </c>
      <c r="Z24" s="1">
        <v>7.9</v>
      </c>
    </row>
    <row r="25" ht="14.25" customHeight="1">
      <c r="A25" s="1" t="s">
        <v>26</v>
      </c>
      <c r="B25" s="1" t="s">
        <v>190</v>
      </c>
      <c r="C25" s="1" t="s">
        <v>191</v>
      </c>
      <c r="D25" s="1">
        <v>7.0083519E7</v>
      </c>
      <c r="E25" s="1" t="s">
        <v>192</v>
      </c>
      <c r="F25" s="1" t="s">
        <v>193</v>
      </c>
      <c r="G25" s="1" t="s">
        <v>194</v>
      </c>
      <c r="H25" s="1" t="s">
        <v>195</v>
      </c>
      <c r="I25" s="1">
        <v>149019.0</v>
      </c>
      <c r="J25" s="1" t="s">
        <v>196</v>
      </c>
      <c r="K25" s="1" t="s">
        <v>197</v>
      </c>
      <c r="L25" s="1">
        <v>666.0</v>
      </c>
      <c r="M25" s="1" t="s">
        <v>35</v>
      </c>
      <c r="N25" s="1" t="s">
        <v>36</v>
      </c>
      <c r="O25" s="1" t="s">
        <v>37</v>
      </c>
      <c r="P25" s="1">
        <v>1.8E8</v>
      </c>
      <c r="Q25" s="1">
        <v>2007.0</v>
      </c>
      <c r="R25" s="1">
        <v>16000.0</v>
      </c>
      <c r="S25" s="1">
        <v>6000.0</v>
      </c>
      <c r="T25" s="1">
        <v>1000.0</v>
      </c>
      <c r="U25" s="1">
        <v>24106.0</v>
      </c>
      <c r="V25" s="1">
        <v>129.0</v>
      </c>
      <c r="W25" s="1">
        <v>0.0</v>
      </c>
      <c r="X25" s="1">
        <v>2.0</v>
      </c>
      <c r="Y25" s="1">
        <v>2.35</v>
      </c>
      <c r="Z25" s="1">
        <v>6.1</v>
      </c>
    </row>
    <row r="26" ht="14.25" customHeight="1">
      <c r="A26" s="1" t="s">
        <v>26</v>
      </c>
      <c r="B26" s="1" t="s">
        <v>163</v>
      </c>
      <c r="C26" s="1" t="s">
        <v>198</v>
      </c>
      <c r="D26" s="1">
        <v>2.1805126E8</v>
      </c>
      <c r="E26" s="1" t="s">
        <v>199</v>
      </c>
      <c r="F26" s="1" t="s">
        <v>200</v>
      </c>
      <c r="G26" s="1" t="s">
        <v>201</v>
      </c>
      <c r="H26" s="1" t="s">
        <v>202</v>
      </c>
      <c r="I26" s="1">
        <v>316018.0</v>
      </c>
      <c r="J26" s="1" t="s">
        <v>203</v>
      </c>
      <c r="K26" s="1" t="s">
        <v>204</v>
      </c>
      <c r="L26" s="1">
        <v>2618.0</v>
      </c>
      <c r="M26" s="1" t="s">
        <v>35</v>
      </c>
      <c r="N26" s="1" t="s">
        <v>171</v>
      </c>
      <c r="O26" s="1" t="s">
        <v>37</v>
      </c>
      <c r="P26" s="1">
        <v>2.07E8</v>
      </c>
      <c r="Q26" s="1">
        <v>2005.0</v>
      </c>
      <c r="R26" s="1">
        <v>6000.0</v>
      </c>
      <c r="S26" s="1">
        <v>919.0</v>
      </c>
      <c r="T26" s="1">
        <v>84.0</v>
      </c>
      <c r="U26" s="1">
        <v>7123.0</v>
      </c>
      <c r="V26" s="1">
        <v>0.0</v>
      </c>
      <c r="W26" s="1">
        <v>0.0</v>
      </c>
      <c r="X26" s="1">
        <v>0.0</v>
      </c>
      <c r="Y26" s="1">
        <v>2.35</v>
      </c>
      <c r="Z26" s="1">
        <v>7.2</v>
      </c>
    </row>
    <row r="27" ht="14.25" customHeight="1">
      <c r="A27" s="1" t="s">
        <v>26</v>
      </c>
      <c r="B27" s="1" t="s">
        <v>27</v>
      </c>
      <c r="C27" s="1" t="s">
        <v>205</v>
      </c>
      <c r="D27" s="1">
        <v>6.58672302E8</v>
      </c>
      <c r="E27" s="1" t="s">
        <v>206</v>
      </c>
      <c r="F27" s="1" t="s">
        <v>207</v>
      </c>
      <c r="G27" s="1" t="s">
        <v>208</v>
      </c>
      <c r="H27" s="1" t="s">
        <v>209</v>
      </c>
      <c r="I27" s="1">
        <v>793059.0</v>
      </c>
      <c r="J27" s="1" t="s">
        <v>210</v>
      </c>
      <c r="K27" s="1" t="s">
        <v>211</v>
      </c>
      <c r="L27" s="1">
        <v>2528.0</v>
      </c>
      <c r="M27" s="1" t="s">
        <v>35</v>
      </c>
      <c r="N27" s="1" t="s">
        <v>36</v>
      </c>
      <c r="O27" s="1" t="s">
        <v>37</v>
      </c>
      <c r="P27" s="1">
        <v>2.0E8</v>
      </c>
      <c r="Q27" s="1">
        <v>1997.0</v>
      </c>
      <c r="R27" s="1">
        <v>29000.0</v>
      </c>
      <c r="S27" s="1">
        <v>14000.0</v>
      </c>
      <c r="T27" s="1">
        <v>794.0</v>
      </c>
      <c r="U27" s="1">
        <v>45223.0</v>
      </c>
      <c r="V27" s="1">
        <v>0.0</v>
      </c>
      <c r="W27" s="1">
        <v>26000.0</v>
      </c>
      <c r="X27" s="1">
        <v>0.0</v>
      </c>
      <c r="Y27" s="1">
        <v>2.35</v>
      </c>
      <c r="Z27" s="1">
        <v>7.7</v>
      </c>
    </row>
    <row r="28" ht="14.25" customHeight="1">
      <c r="A28" s="1" t="s">
        <v>26</v>
      </c>
      <c r="B28" s="1" t="s">
        <v>212</v>
      </c>
      <c r="C28" s="1" t="s">
        <v>213</v>
      </c>
      <c r="D28" s="1">
        <v>4.07197282E8</v>
      </c>
      <c r="E28" s="1" t="s">
        <v>65</v>
      </c>
      <c r="F28" s="1" t="s">
        <v>91</v>
      </c>
      <c r="G28" s="1" t="s">
        <v>92</v>
      </c>
      <c r="H28" s="1" t="s">
        <v>214</v>
      </c>
      <c r="I28" s="1">
        <v>272670.0</v>
      </c>
      <c r="J28" s="1" t="s">
        <v>215</v>
      </c>
      <c r="K28" s="1" t="s">
        <v>216</v>
      </c>
      <c r="L28" s="1">
        <v>1022.0</v>
      </c>
      <c r="M28" s="1" t="s">
        <v>35</v>
      </c>
      <c r="N28" s="1" t="s">
        <v>36</v>
      </c>
      <c r="O28" s="1" t="s">
        <v>37</v>
      </c>
      <c r="P28" s="1">
        <v>2.5E8</v>
      </c>
      <c r="Q28" s="1">
        <v>2016.0</v>
      </c>
      <c r="R28" s="1">
        <v>21000.0</v>
      </c>
      <c r="S28" s="1">
        <v>19000.0</v>
      </c>
      <c r="T28" s="1">
        <v>11000.0</v>
      </c>
      <c r="U28" s="1">
        <v>64798.0</v>
      </c>
      <c r="V28" s="1">
        <v>94.0</v>
      </c>
      <c r="W28" s="1">
        <v>72000.0</v>
      </c>
      <c r="X28" s="1">
        <v>0.0</v>
      </c>
      <c r="Y28" s="1">
        <v>2.35</v>
      </c>
      <c r="Z28" s="1">
        <v>8.2</v>
      </c>
    </row>
    <row r="29" ht="14.25" customHeight="1">
      <c r="A29" s="1" t="s">
        <v>26</v>
      </c>
      <c r="B29" s="1" t="s">
        <v>217</v>
      </c>
      <c r="C29" s="1" t="s">
        <v>218</v>
      </c>
      <c r="D29" s="1">
        <v>6.517316E7</v>
      </c>
      <c r="E29" s="1" t="s">
        <v>219</v>
      </c>
      <c r="F29" s="1" t="s">
        <v>220</v>
      </c>
      <c r="G29" s="1" t="s">
        <v>221</v>
      </c>
      <c r="H29" s="1" t="s">
        <v>222</v>
      </c>
      <c r="I29" s="1">
        <v>202382.0</v>
      </c>
      <c r="J29" s="1" t="s">
        <v>223</v>
      </c>
      <c r="K29" s="1" t="s">
        <v>224</v>
      </c>
      <c r="L29" s="1">
        <v>751.0</v>
      </c>
      <c r="M29" s="1" t="s">
        <v>35</v>
      </c>
      <c r="N29" s="1" t="s">
        <v>36</v>
      </c>
      <c r="O29" s="1" t="s">
        <v>37</v>
      </c>
      <c r="P29" s="1">
        <v>2.09E8</v>
      </c>
      <c r="Q29" s="1">
        <v>2012.0</v>
      </c>
      <c r="R29" s="1">
        <v>14000.0</v>
      </c>
      <c r="S29" s="1">
        <v>10000.0</v>
      </c>
      <c r="T29" s="1">
        <v>627.0</v>
      </c>
      <c r="U29" s="1">
        <v>26679.0</v>
      </c>
      <c r="V29" s="1">
        <v>532.0</v>
      </c>
      <c r="W29" s="1">
        <v>44000.0</v>
      </c>
      <c r="X29" s="1">
        <v>0.0</v>
      </c>
      <c r="Y29" s="1">
        <v>2.35</v>
      </c>
      <c r="Z29" s="1">
        <v>5.9</v>
      </c>
    </row>
    <row r="30" ht="14.25" customHeight="1">
      <c r="A30" s="1" t="s">
        <v>26</v>
      </c>
      <c r="B30" s="1" t="s">
        <v>225</v>
      </c>
      <c r="C30" s="1" t="s">
        <v>226</v>
      </c>
      <c r="D30" s="1">
        <v>6.52177271E8</v>
      </c>
      <c r="E30" s="1" t="s">
        <v>219</v>
      </c>
      <c r="F30" s="1" t="s">
        <v>227</v>
      </c>
      <c r="G30" s="1" t="s">
        <v>228</v>
      </c>
      <c r="H30" s="1" t="s">
        <v>229</v>
      </c>
      <c r="I30" s="1">
        <v>418214.0</v>
      </c>
      <c r="J30" s="1" t="s">
        <v>230</v>
      </c>
      <c r="K30" s="1" t="s">
        <v>231</v>
      </c>
      <c r="L30" s="1">
        <v>1290.0</v>
      </c>
      <c r="M30" s="1" t="s">
        <v>35</v>
      </c>
      <c r="N30" s="1" t="s">
        <v>36</v>
      </c>
      <c r="O30" s="1" t="s">
        <v>37</v>
      </c>
      <c r="P30" s="1">
        <v>1.5E8</v>
      </c>
      <c r="Q30" s="1">
        <v>2015.0</v>
      </c>
      <c r="R30" s="1">
        <v>3000.0</v>
      </c>
      <c r="S30" s="1">
        <v>2000.0</v>
      </c>
      <c r="T30" s="1">
        <v>1000.0</v>
      </c>
      <c r="U30" s="1">
        <v>8458.0</v>
      </c>
      <c r="V30" s="1">
        <v>365.0</v>
      </c>
      <c r="W30" s="1">
        <v>150000.0</v>
      </c>
      <c r="X30" s="1">
        <v>0.0</v>
      </c>
      <c r="Y30" s="1">
        <v>2.0</v>
      </c>
      <c r="Z30" s="1">
        <v>7.0</v>
      </c>
    </row>
    <row r="31" ht="14.25" customHeight="1">
      <c r="A31" s="1" t="s">
        <v>26</v>
      </c>
      <c r="B31" s="1" t="s">
        <v>46</v>
      </c>
      <c r="C31" s="1" t="s">
        <v>232</v>
      </c>
      <c r="D31" s="1">
        <v>3.04360277E8</v>
      </c>
      <c r="E31" s="1" t="s">
        <v>48</v>
      </c>
      <c r="F31" s="1" t="s">
        <v>233</v>
      </c>
      <c r="G31" s="1" t="s">
        <v>234</v>
      </c>
      <c r="H31" s="1" t="s">
        <v>50</v>
      </c>
      <c r="I31" s="1">
        <v>522030.0</v>
      </c>
      <c r="J31" s="1" t="s">
        <v>235</v>
      </c>
      <c r="K31" s="1" t="s">
        <v>236</v>
      </c>
      <c r="L31" s="1">
        <v>1498.0</v>
      </c>
      <c r="M31" s="1" t="s">
        <v>35</v>
      </c>
      <c r="N31" s="1" t="s">
        <v>54</v>
      </c>
      <c r="O31" s="1" t="s">
        <v>37</v>
      </c>
      <c r="P31" s="1">
        <v>2.0E8</v>
      </c>
      <c r="Q31" s="1">
        <v>2012.0</v>
      </c>
      <c r="R31" s="1">
        <v>883.0</v>
      </c>
      <c r="S31" s="1">
        <v>563.0</v>
      </c>
      <c r="T31" s="1">
        <v>393.0</v>
      </c>
      <c r="U31" s="1">
        <v>2039.0</v>
      </c>
      <c r="V31" s="1">
        <v>0.0</v>
      </c>
      <c r="W31" s="1">
        <v>80000.0</v>
      </c>
      <c r="X31" s="1">
        <v>0.0</v>
      </c>
      <c r="Y31" s="1">
        <v>2.35</v>
      </c>
      <c r="Z31" s="1">
        <v>7.8</v>
      </c>
    </row>
    <row r="32" ht="14.25" customHeight="1">
      <c r="A32" s="1" t="s">
        <v>26</v>
      </c>
      <c r="B32" s="1" t="s">
        <v>71</v>
      </c>
      <c r="C32" s="1" t="s">
        <v>237</v>
      </c>
      <c r="D32" s="1">
        <v>3.73377893E8</v>
      </c>
      <c r="E32" s="1" t="s">
        <v>238</v>
      </c>
      <c r="F32" s="1" t="s">
        <v>74</v>
      </c>
      <c r="G32" s="1" t="s">
        <v>75</v>
      </c>
      <c r="H32" s="1" t="s">
        <v>76</v>
      </c>
      <c r="I32" s="1">
        <v>411164.0</v>
      </c>
      <c r="J32" s="1" t="s">
        <v>239</v>
      </c>
      <c r="K32" s="1" t="s">
        <v>240</v>
      </c>
      <c r="L32" s="1">
        <v>1303.0</v>
      </c>
      <c r="M32" s="1" t="s">
        <v>35</v>
      </c>
      <c r="N32" s="1" t="s">
        <v>36</v>
      </c>
      <c r="O32" s="1" t="s">
        <v>37</v>
      </c>
      <c r="P32" s="1">
        <v>2.0E8</v>
      </c>
      <c r="Q32" s="1">
        <v>2004.0</v>
      </c>
      <c r="R32" s="1">
        <v>24000.0</v>
      </c>
      <c r="S32" s="1">
        <v>11000.0</v>
      </c>
      <c r="T32" s="1">
        <v>4000.0</v>
      </c>
      <c r="U32" s="1">
        <v>43388.0</v>
      </c>
      <c r="V32" s="1">
        <v>0.0</v>
      </c>
      <c r="W32" s="1">
        <v>0.0</v>
      </c>
      <c r="X32" s="1">
        <v>1.0</v>
      </c>
      <c r="Y32" s="1">
        <v>2.35</v>
      </c>
      <c r="Z32" s="1">
        <v>7.3</v>
      </c>
    </row>
    <row r="33" ht="14.25" customHeight="1">
      <c r="A33" s="1" t="s">
        <v>26</v>
      </c>
      <c r="B33" s="1" t="s">
        <v>241</v>
      </c>
      <c r="C33" s="1" t="s">
        <v>242</v>
      </c>
      <c r="D33" s="1">
        <v>4.08992272E8</v>
      </c>
      <c r="E33" s="1" t="s">
        <v>65</v>
      </c>
      <c r="F33" s="1" t="s">
        <v>91</v>
      </c>
      <c r="G33" s="1" t="s">
        <v>243</v>
      </c>
      <c r="H33" s="1" t="s">
        <v>244</v>
      </c>
      <c r="I33" s="1">
        <v>557489.0</v>
      </c>
      <c r="J33" s="1" t="s">
        <v>245</v>
      </c>
      <c r="K33" s="1" t="s">
        <v>246</v>
      </c>
      <c r="L33" s="1">
        <v>1187.0</v>
      </c>
      <c r="M33" s="1" t="s">
        <v>35</v>
      </c>
      <c r="N33" s="1" t="s">
        <v>36</v>
      </c>
      <c r="O33" s="1" t="s">
        <v>37</v>
      </c>
      <c r="P33" s="1">
        <v>2.0E8</v>
      </c>
      <c r="Q33" s="1">
        <v>2013.0</v>
      </c>
      <c r="R33" s="1">
        <v>21000.0</v>
      </c>
      <c r="S33" s="1">
        <v>4000.0</v>
      </c>
      <c r="T33" s="1">
        <v>3000.0</v>
      </c>
      <c r="U33" s="1">
        <v>30426.0</v>
      </c>
      <c r="V33" s="1">
        <v>1000.0</v>
      </c>
      <c r="W33" s="1">
        <v>95000.0</v>
      </c>
      <c r="X33" s="1">
        <v>3.0</v>
      </c>
      <c r="Y33" s="1">
        <v>2.35</v>
      </c>
      <c r="Z33" s="1">
        <v>7.2</v>
      </c>
    </row>
    <row r="34" ht="14.25" customHeight="1">
      <c r="A34" s="1" t="s">
        <v>26</v>
      </c>
      <c r="B34" s="1" t="s">
        <v>247</v>
      </c>
      <c r="C34" s="1" t="s">
        <v>248</v>
      </c>
      <c r="D34" s="1">
        <v>3.34185206E8</v>
      </c>
      <c r="E34" s="1" t="s">
        <v>192</v>
      </c>
      <c r="F34" s="1" t="s">
        <v>41</v>
      </c>
      <c r="G34" s="1" t="s">
        <v>98</v>
      </c>
      <c r="H34" s="1" t="s">
        <v>249</v>
      </c>
      <c r="I34" s="1">
        <v>306320.0</v>
      </c>
      <c r="J34" s="1" t="s">
        <v>250</v>
      </c>
      <c r="K34" s="1" t="s">
        <v>251</v>
      </c>
      <c r="L34" s="1">
        <v>736.0</v>
      </c>
      <c r="M34" s="1" t="s">
        <v>35</v>
      </c>
      <c r="N34" s="1" t="s">
        <v>36</v>
      </c>
      <c r="O34" s="1" t="s">
        <v>87</v>
      </c>
      <c r="P34" s="1">
        <v>2.0E8</v>
      </c>
      <c r="Q34" s="1">
        <v>2010.0</v>
      </c>
      <c r="R34" s="1">
        <v>40000.0</v>
      </c>
      <c r="S34" s="1">
        <v>25000.0</v>
      </c>
      <c r="T34" s="1">
        <v>11000.0</v>
      </c>
      <c r="U34" s="1">
        <v>79957.0</v>
      </c>
      <c r="V34" s="1">
        <v>13000.0</v>
      </c>
      <c r="W34" s="1">
        <v>24000.0</v>
      </c>
      <c r="X34" s="1">
        <v>0.0</v>
      </c>
      <c r="Y34" s="1">
        <v>1.85</v>
      </c>
      <c r="Z34" s="1">
        <v>6.5</v>
      </c>
    </row>
    <row r="35" ht="14.25" customHeight="1">
      <c r="A35" s="1" t="s">
        <v>26</v>
      </c>
      <c r="B35" s="1" t="s">
        <v>252</v>
      </c>
      <c r="C35" s="1" t="s">
        <v>253</v>
      </c>
      <c r="D35" s="1">
        <v>2.34360014E8</v>
      </c>
      <c r="E35" s="1" t="s">
        <v>254</v>
      </c>
      <c r="F35" s="1" t="s">
        <v>255</v>
      </c>
      <c r="G35" s="1" t="s">
        <v>256</v>
      </c>
      <c r="H35" s="1" t="s">
        <v>257</v>
      </c>
      <c r="I35" s="1">
        <v>383427.0</v>
      </c>
      <c r="J35" s="1" t="s">
        <v>258</v>
      </c>
      <c r="K35" s="1" t="s">
        <v>259</v>
      </c>
      <c r="L35" s="1">
        <v>1912.0</v>
      </c>
      <c r="M35" s="1" t="s">
        <v>35</v>
      </c>
      <c r="N35" s="1" t="s">
        <v>260</v>
      </c>
      <c r="O35" s="1" t="s">
        <v>37</v>
      </c>
      <c r="P35" s="1">
        <v>2.1E8</v>
      </c>
      <c r="Q35" s="1">
        <v>2006.0</v>
      </c>
      <c r="R35" s="1">
        <v>20000.0</v>
      </c>
      <c r="S35" s="1">
        <v>808.0</v>
      </c>
      <c r="T35" s="1">
        <v>560.0</v>
      </c>
      <c r="U35" s="1">
        <v>21714.0</v>
      </c>
      <c r="V35" s="1">
        <v>420.0</v>
      </c>
      <c r="W35" s="1">
        <v>0.0</v>
      </c>
      <c r="X35" s="1">
        <v>0.0</v>
      </c>
      <c r="Y35" s="1">
        <v>2.35</v>
      </c>
      <c r="Z35" s="1">
        <v>6.8</v>
      </c>
    </row>
    <row r="36" ht="14.25" customHeight="1">
      <c r="A36" s="1" t="s">
        <v>26</v>
      </c>
      <c r="B36" s="1" t="s">
        <v>261</v>
      </c>
      <c r="C36" s="1" t="s">
        <v>262</v>
      </c>
      <c r="D36" s="1">
        <v>2.68488329E8</v>
      </c>
      <c r="E36" s="1" t="s">
        <v>263</v>
      </c>
      <c r="F36" s="1" t="s">
        <v>264</v>
      </c>
      <c r="G36" s="1" t="s">
        <v>265</v>
      </c>
      <c r="H36" s="1" t="s">
        <v>266</v>
      </c>
      <c r="I36" s="1">
        <v>235025.0</v>
      </c>
      <c r="J36" s="1" t="s">
        <v>267</v>
      </c>
      <c r="K36" s="1" t="s">
        <v>268</v>
      </c>
      <c r="L36" s="1">
        <v>265.0</v>
      </c>
      <c r="M36" s="1" t="s">
        <v>35</v>
      </c>
      <c r="N36" s="1" t="s">
        <v>36</v>
      </c>
      <c r="O36" s="1" t="s">
        <v>269</v>
      </c>
      <c r="P36" s="1">
        <v>2.0E8</v>
      </c>
      <c r="Q36" s="1">
        <v>2013.0</v>
      </c>
      <c r="R36" s="1">
        <v>12000.0</v>
      </c>
      <c r="S36" s="1">
        <v>779.0</v>
      </c>
      <c r="T36" s="1">
        <v>760.0</v>
      </c>
      <c r="U36" s="1">
        <v>14863.0</v>
      </c>
      <c r="V36" s="1">
        <v>37.0</v>
      </c>
      <c r="W36" s="1">
        <v>44000.0</v>
      </c>
      <c r="X36" s="1">
        <v>0.0</v>
      </c>
      <c r="Y36" s="1">
        <v>1.85</v>
      </c>
      <c r="Z36" s="1">
        <v>7.3</v>
      </c>
    </row>
    <row r="37" ht="14.25" customHeight="1">
      <c r="A37" s="1" t="s">
        <v>26</v>
      </c>
      <c r="B37" s="1" t="s">
        <v>270</v>
      </c>
      <c r="C37" s="1" t="s">
        <v>271</v>
      </c>
      <c r="D37" s="1">
        <v>4.02076689E8</v>
      </c>
      <c r="E37" s="1" t="s">
        <v>65</v>
      </c>
      <c r="F37" s="1" t="s">
        <v>272</v>
      </c>
      <c r="G37" s="1" t="s">
        <v>273</v>
      </c>
      <c r="H37" s="1" t="s">
        <v>274</v>
      </c>
      <c r="I37" s="1">
        <v>323207.0</v>
      </c>
      <c r="J37" s="1" t="s">
        <v>275</v>
      </c>
      <c r="K37" s="1" t="s">
        <v>276</v>
      </c>
      <c r="L37" s="1">
        <v>1439.0</v>
      </c>
      <c r="M37" s="1" t="s">
        <v>35</v>
      </c>
      <c r="N37" s="1" t="s">
        <v>36</v>
      </c>
      <c r="O37" s="1" t="s">
        <v>37</v>
      </c>
      <c r="P37" s="1">
        <v>2.0E8</v>
      </c>
      <c r="Q37" s="1">
        <v>2009.0</v>
      </c>
      <c r="R37" s="1">
        <v>894.0</v>
      </c>
      <c r="S37" s="1">
        <v>581.0</v>
      </c>
      <c r="T37" s="1">
        <v>464.0</v>
      </c>
      <c r="U37" s="1">
        <v>3218.0</v>
      </c>
      <c r="V37" s="1">
        <v>0.0</v>
      </c>
      <c r="W37" s="1">
        <v>0.0</v>
      </c>
      <c r="X37" s="1">
        <v>0.0</v>
      </c>
      <c r="Y37" s="1">
        <v>2.35</v>
      </c>
      <c r="Z37" s="1">
        <v>6.0</v>
      </c>
    </row>
    <row r="38" ht="14.25" customHeight="1">
      <c r="A38" s="1" t="s">
        <v>26</v>
      </c>
      <c r="B38" s="1" t="s">
        <v>270</v>
      </c>
      <c r="C38" s="1" t="s">
        <v>277</v>
      </c>
      <c r="D38" s="1">
        <v>2.45428137E8</v>
      </c>
      <c r="E38" s="1" t="s">
        <v>65</v>
      </c>
      <c r="F38" s="1" t="s">
        <v>278</v>
      </c>
      <c r="G38" s="1" t="s">
        <v>279</v>
      </c>
      <c r="H38" s="1" t="s">
        <v>256</v>
      </c>
      <c r="I38" s="1">
        <v>242420.0</v>
      </c>
      <c r="J38" s="1" t="s">
        <v>280</v>
      </c>
      <c r="K38" s="1" t="s">
        <v>281</v>
      </c>
      <c r="L38" s="1">
        <v>918.0</v>
      </c>
      <c r="M38" s="1" t="s">
        <v>35</v>
      </c>
      <c r="N38" s="1" t="s">
        <v>36</v>
      </c>
      <c r="O38" s="1" t="s">
        <v>37</v>
      </c>
      <c r="P38" s="1">
        <v>2.1E8</v>
      </c>
      <c r="Q38" s="1">
        <v>2014.0</v>
      </c>
      <c r="R38" s="1">
        <v>974.0</v>
      </c>
      <c r="S38" s="1">
        <v>956.0</v>
      </c>
      <c r="T38" s="1">
        <v>808.0</v>
      </c>
      <c r="U38" s="1">
        <v>3988.0</v>
      </c>
      <c r="V38" s="1">
        <v>0.0</v>
      </c>
      <c r="W38" s="1">
        <v>56000.0</v>
      </c>
      <c r="X38" s="1">
        <v>2.0</v>
      </c>
      <c r="Y38" s="1">
        <v>2.35</v>
      </c>
      <c r="Z38" s="1">
        <v>5.7</v>
      </c>
    </row>
    <row r="39" ht="14.25" customHeight="1">
      <c r="A39" s="1" t="s">
        <v>26</v>
      </c>
      <c r="B39" s="1" t="s">
        <v>71</v>
      </c>
      <c r="C39" s="1" t="s">
        <v>282</v>
      </c>
      <c r="D39" s="1">
        <v>2.34903076E8</v>
      </c>
      <c r="E39" s="1" t="s">
        <v>192</v>
      </c>
      <c r="F39" s="1" t="s">
        <v>283</v>
      </c>
      <c r="G39" s="1" t="s">
        <v>284</v>
      </c>
      <c r="H39" s="1" t="s">
        <v>75</v>
      </c>
      <c r="I39" s="1">
        <v>175409.0</v>
      </c>
      <c r="J39" s="1" t="s">
        <v>285</v>
      </c>
      <c r="K39" s="1" t="s">
        <v>286</v>
      </c>
      <c r="L39" s="1">
        <v>511.0</v>
      </c>
      <c r="M39" s="1" t="s">
        <v>35</v>
      </c>
      <c r="N39" s="1" t="s">
        <v>36</v>
      </c>
      <c r="O39" s="1" t="s">
        <v>87</v>
      </c>
      <c r="P39" s="1">
        <v>2.15E8</v>
      </c>
      <c r="Q39" s="1">
        <v>2013.0</v>
      </c>
      <c r="R39" s="1">
        <v>44000.0</v>
      </c>
      <c r="S39" s="1">
        <v>15000.0</v>
      </c>
      <c r="T39" s="1">
        <v>11000.0</v>
      </c>
      <c r="U39" s="1">
        <v>73441.0</v>
      </c>
      <c r="V39" s="1">
        <v>0.0</v>
      </c>
      <c r="W39" s="1">
        <v>60000.0</v>
      </c>
      <c r="X39" s="1">
        <v>4.0</v>
      </c>
      <c r="Y39" s="1">
        <v>2.35</v>
      </c>
      <c r="Z39" s="1">
        <v>6.4</v>
      </c>
    </row>
    <row r="40" ht="14.25" customHeight="1">
      <c r="A40" s="1" t="s">
        <v>26</v>
      </c>
      <c r="B40" s="1" t="s">
        <v>172</v>
      </c>
      <c r="C40" s="1" t="s">
        <v>287</v>
      </c>
      <c r="D40" s="1">
        <v>2.02853933E8</v>
      </c>
      <c r="E40" s="1" t="s">
        <v>29</v>
      </c>
      <c r="F40" s="1" t="s">
        <v>174</v>
      </c>
      <c r="G40" s="1" t="s">
        <v>175</v>
      </c>
      <c r="H40" s="1" t="s">
        <v>288</v>
      </c>
      <c r="I40" s="1">
        <v>321227.0</v>
      </c>
      <c r="J40" s="1" t="s">
        <v>289</v>
      </c>
      <c r="K40" s="1" t="s">
        <v>290</v>
      </c>
      <c r="L40" s="1">
        <v>1067.0</v>
      </c>
      <c r="M40" s="1" t="s">
        <v>35</v>
      </c>
      <c r="N40" s="1" t="s">
        <v>36</v>
      </c>
      <c r="O40" s="1" t="s">
        <v>37</v>
      </c>
      <c r="P40" s="1">
        <v>2.0E8</v>
      </c>
      <c r="Q40" s="1">
        <v>2014.0</v>
      </c>
      <c r="R40" s="1">
        <v>15000.0</v>
      </c>
      <c r="S40" s="1">
        <v>10000.0</v>
      </c>
      <c r="T40" s="1">
        <v>825.0</v>
      </c>
      <c r="U40" s="1">
        <v>28631.0</v>
      </c>
      <c r="V40" s="1">
        <v>464.0</v>
      </c>
      <c r="W40" s="1">
        <v>41000.0</v>
      </c>
      <c r="X40" s="1">
        <v>0.0</v>
      </c>
      <c r="Y40" s="1">
        <v>2.35</v>
      </c>
      <c r="Z40" s="1">
        <v>6.7</v>
      </c>
    </row>
    <row r="41" ht="14.25" customHeight="1">
      <c r="A41" s="1" t="s">
        <v>26</v>
      </c>
      <c r="B41" s="1" t="s">
        <v>291</v>
      </c>
      <c r="C41" s="1" t="s">
        <v>292</v>
      </c>
      <c r="D41" s="1">
        <v>1.72051787E8</v>
      </c>
      <c r="E41" s="1" t="s">
        <v>65</v>
      </c>
      <c r="F41" s="1" t="s">
        <v>293</v>
      </c>
      <c r="G41" s="1" t="s">
        <v>294</v>
      </c>
      <c r="H41" s="1" t="s">
        <v>295</v>
      </c>
      <c r="I41" s="1">
        <v>264183.0</v>
      </c>
      <c r="J41" s="1" t="s">
        <v>296</v>
      </c>
      <c r="K41" s="1" t="s">
        <v>297</v>
      </c>
      <c r="L41" s="1">
        <v>665.0</v>
      </c>
      <c r="M41" s="1" t="s">
        <v>35</v>
      </c>
      <c r="N41" s="1" t="s">
        <v>36</v>
      </c>
      <c r="O41" s="1" t="s">
        <v>87</v>
      </c>
      <c r="P41" s="1">
        <v>1.7E8</v>
      </c>
      <c r="Q41" s="1">
        <v>2010.0</v>
      </c>
      <c r="R41" s="1">
        <v>12000.0</v>
      </c>
      <c r="S41" s="1">
        <v>10000.0</v>
      </c>
      <c r="T41" s="1">
        <v>1000.0</v>
      </c>
      <c r="U41" s="1">
        <v>25550.0</v>
      </c>
      <c r="V41" s="1">
        <v>364.0</v>
      </c>
      <c r="W41" s="1">
        <v>30000.0</v>
      </c>
      <c r="X41" s="1">
        <v>0.0</v>
      </c>
      <c r="Y41" s="1">
        <v>2.35</v>
      </c>
      <c r="Z41" s="1">
        <v>6.8</v>
      </c>
    </row>
    <row r="42" ht="14.25" customHeight="1">
      <c r="A42" s="1" t="s">
        <v>26</v>
      </c>
      <c r="B42" s="1" t="s">
        <v>298</v>
      </c>
      <c r="C42" s="1" t="s">
        <v>299</v>
      </c>
      <c r="D42" s="1">
        <v>1.91450875E8</v>
      </c>
      <c r="E42" s="1" t="s">
        <v>300</v>
      </c>
      <c r="F42" s="1" t="s">
        <v>301</v>
      </c>
      <c r="G42" s="1" t="s">
        <v>201</v>
      </c>
      <c r="H42" s="1" t="s">
        <v>302</v>
      </c>
      <c r="I42" s="1">
        <v>101178.0</v>
      </c>
      <c r="J42" s="1" t="s">
        <v>303</v>
      </c>
      <c r="K42" s="1" t="s">
        <v>304</v>
      </c>
      <c r="L42" s="1">
        <v>283.0</v>
      </c>
      <c r="M42" s="1" t="s">
        <v>35</v>
      </c>
      <c r="N42" s="1" t="s">
        <v>36</v>
      </c>
      <c r="O42" s="1" t="s">
        <v>269</v>
      </c>
      <c r="P42" s="1">
        <v>2.0E8</v>
      </c>
      <c r="Q42" s="1">
        <v>2011.0</v>
      </c>
      <c r="R42" s="1">
        <v>1000.0</v>
      </c>
      <c r="S42" s="1">
        <v>919.0</v>
      </c>
      <c r="T42" s="1">
        <v>776.0</v>
      </c>
      <c r="U42" s="1">
        <v>4482.0</v>
      </c>
      <c r="V42" s="1">
        <v>487.0</v>
      </c>
      <c r="W42" s="1">
        <v>10000.0</v>
      </c>
      <c r="X42" s="1">
        <v>0.0</v>
      </c>
      <c r="Y42" s="1">
        <v>2.35</v>
      </c>
      <c r="Z42" s="1">
        <v>6.3</v>
      </c>
    </row>
    <row r="43" ht="14.25" customHeight="1">
      <c r="A43" s="1" t="s">
        <v>26</v>
      </c>
      <c r="B43" s="1" t="s">
        <v>305</v>
      </c>
      <c r="C43" s="1" t="s">
        <v>306</v>
      </c>
      <c r="D43" s="1">
        <v>1.16593191E8</v>
      </c>
      <c r="E43" s="1" t="s">
        <v>65</v>
      </c>
      <c r="F43" s="1" t="s">
        <v>307</v>
      </c>
      <c r="G43" s="1" t="s">
        <v>308</v>
      </c>
      <c r="H43" s="1" t="s">
        <v>309</v>
      </c>
      <c r="I43" s="1">
        <v>223393.0</v>
      </c>
      <c r="J43" s="1" t="s">
        <v>310</v>
      </c>
      <c r="K43" s="1" t="s">
        <v>311</v>
      </c>
      <c r="L43" s="1">
        <v>550.0</v>
      </c>
      <c r="M43" s="1" t="s">
        <v>35</v>
      </c>
      <c r="N43" s="1" t="s">
        <v>36</v>
      </c>
      <c r="O43" s="1" t="s">
        <v>37</v>
      </c>
      <c r="P43" s="1">
        <v>2.0E8</v>
      </c>
      <c r="Q43" s="1">
        <v>2011.0</v>
      </c>
      <c r="R43" s="1">
        <v>16000.0</v>
      </c>
      <c r="S43" s="1">
        <v>368.0</v>
      </c>
      <c r="T43" s="1">
        <v>326.0</v>
      </c>
      <c r="U43" s="1">
        <v>17657.0</v>
      </c>
      <c r="V43" s="1">
        <v>258.0</v>
      </c>
      <c r="W43" s="1">
        <v>24000.0</v>
      </c>
      <c r="X43" s="1">
        <v>2.0</v>
      </c>
      <c r="Y43" s="1">
        <v>2.35</v>
      </c>
      <c r="Z43" s="1">
        <v>5.6</v>
      </c>
    </row>
    <row r="44" ht="14.25" customHeight="1">
      <c r="A44" s="1" t="s">
        <v>26</v>
      </c>
      <c r="B44" s="1" t="s">
        <v>312</v>
      </c>
      <c r="C44" s="1" t="s">
        <v>313</v>
      </c>
      <c r="D44" s="1">
        <v>4.14984497E8</v>
      </c>
      <c r="E44" s="1" t="s">
        <v>263</v>
      </c>
      <c r="F44" s="1" t="s">
        <v>314</v>
      </c>
      <c r="G44" s="1" t="s">
        <v>315</v>
      </c>
      <c r="H44" s="1" t="s">
        <v>316</v>
      </c>
      <c r="I44" s="1">
        <v>544884.0</v>
      </c>
      <c r="J44" s="1" t="s">
        <v>317</v>
      </c>
      <c r="K44" s="1" t="s">
        <v>318</v>
      </c>
      <c r="L44" s="1">
        <v>733.0</v>
      </c>
      <c r="M44" s="1" t="s">
        <v>35</v>
      </c>
      <c r="N44" s="1" t="s">
        <v>36</v>
      </c>
      <c r="O44" s="1" t="s">
        <v>269</v>
      </c>
      <c r="P44" s="1">
        <v>2.0E8</v>
      </c>
      <c r="Q44" s="1">
        <v>2010.0</v>
      </c>
      <c r="R44" s="1">
        <v>15000.0</v>
      </c>
      <c r="S44" s="1">
        <v>1000.0</v>
      </c>
      <c r="T44" s="1">
        <v>721.0</v>
      </c>
      <c r="U44" s="1">
        <v>19085.0</v>
      </c>
      <c r="V44" s="1">
        <v>125.0</v>
      </c>
      <c r="W44" s="1">
        <v>30000.0</v>
      </c>
      <c r="X44" s="1">
        <v>3.0</v>
      </c>
      <c r="Y44" s="1">
        <v>1.85</v>
      </c>
      <c r="Z44" s="1">
        <v>8.3</v>
      </c>
    </row>
    <row r="45" ht="14.25" customHeight="1">
      <c r="A45" s="1" t="s">
        <v>26</v>
      </c>
      <c r="B45" s="1" t="s">
        <v>319</v>
      </c>
      <c r="C45" s="1" t="s">
        <v>320</v>
      </c>
      <c r="D45" s="1">
        <v>1.25320003E8</v>
      </c>
      <c r="E45" s="1" t="s">
        <v>65</v>
      </c>
      <c r="F45" s="1" t="s">
        <v>59</v>
      </c>
      <c r="G45" s="1" t="s">
        <v>227</v>
      </c>
      <c r="H45" s="1" t="s">
        <v>321</v>
      </c>
      <c r="I45" s="1">
        <v>286095.0</v>
      </c>
      <c r="J45" s="1" t="s">
        <v>322</v>
      </c>
      <c r="K45" s="1" t="s">
        <v>323</v>
      </c>
      <c r="L45" s="1">
        <v>974.0</v>
      </c>
      <c r="M45" s="1" t="s">
        <v>35</v>
      </c>
      <c r="N45" s="1" t="s">
        <v>36</v>
      </c>
      <c r="O45" s="1" t="s">
        <v>37</v>
      </c>
      <c r="P45" s="1">
        <v>2.0E8</v>
      </c>
      <c r="Q45" s="1">
        <v>2009.0</v>
      </c>
      <c r="R45" s="1">
        <v>23000.0</v>
      </c>
      <c r="S45" s="1">
        <v>3000.0</v>
      </c>
      <c r="T45" s="1">
        <v>988.0</v>
      </c>
      <c r="U45" s="1">
        <v>27468.0</v>
      </c>
      <c r="V45" s="1">
        <v>368.0</v>
      </c>
      <c r="W45" s="1">
        <v>0.0</v>
      </c>
      <c r="X45" s="1">
        <v>0.0</v>
      </c>
      <c r="Y45" s="1">
        <v>2.35</v>
      </c>
      <c r="Z45" s="1">
        <v>6.6</v>
      </c>
    </row>
    <row r="46" ht="14.25" customHeight="1">
      <c r="A46" s="1" t="s">
        <v>26</v>
      </c>
      <c r="B46" s="1" t="s">
        <v>324</v>
      </c>
      <c r="C46" s="1" t="s">
        <v>325</v>
      </c>
      <c r="D46" s="1">
        <v>3.5003411E8</v>
      </c>
      <c r="E46" s="1" t="s">
        <v>326</v>
      </c>
      <c r="F46" s="1" t="s">
        <v>327</v>
      </c>
      <c r="G46" s="1" t="s">
        <v>328</v>
      </c>
      <c r="H46" s="1" t="s">
        <v>329</v>
      </c>
      <c r="I46" s="1">
        <v>278232.0</v>
      </c>
      <c r="J46" s="1" t="s">
        <v>330</v>
      </c>
      <c r="K46" s="1" t="s">
        <v>331</v>
      </c>
      <c r="L46" s="1">
        <v>657.0</v>
      </c>
      <c r="M46" s="1" t="s">
        <v>35</v>
      </c>
      <c r="N46" s="1" t="s">
        <v>36</v>
      </c>
      <c r="O46" s="1" t="s">
        <v>37</v>
      </c>
      <c r="P46" s="1">
        <v>1.9E8</v>
      </c>
      <c r="Q46" s="1">
        <v>2015.0</v>
      </c>
      <c r="R46" s="1">
        <v>26000.0</v>
      </c>
      <c r="S46" s="1">
        <v>23000.0</v>
      </c>
      <c r="T46" s="1">
        <v>14000.0</v>
      </c>
      <c r="U46" s="1">
        <v>79150.0</v>
      </c>
      <c r="V46" s="1">
        <v>0.0</v>
      </c>
      <c r="W46" s="1">
        <v>94000.0</v>
      </c>
      <c r="X46" s="1">
        <v>0.0</v>
      </c>
      <c r="Y46" s="1">
        <v>2.35</v>
      </c>
      <c r="Z46" s="1">
        <v>7.2</v>
      </c>
    </row>
    <row r="47" ht="14.25" customHeight="1">
      <c r="A47" s="1" t="s">
        <v>26</v>
      </c>
      <c r="B47" s="1" t="s">
        <v>117</v>
      </c>
      <c r="C47" s="1" t="s">
        <v>332</v>
      </c>
      <c r="D47" s="1">
        <v>2.02351611E8</v>
      </c>
      <c r="E47" s="1" t="s">
        <v>333</v>
      </c>
      <c r="F47" s="1" t="s">
        <v>334</v>
      </c>
      <c r="G47" s="1" t="s">
        <v>335</v>
      </c>
      <c r="H47" s="1" t="s">
        <v>336</v>
      </c>
      <c r="I47" s="1">
        <v>465019.0</v>
      </c>
      <c r="J47" s="1" t="s">
        <v>337</v>
      </c>
      <c r="K47" s="1" t="s">
        <v>338</v>
      </c>
      <c r="L47" s="1">
        <v>995.0</v>
      </c>
      <c r="M47" s="1" t="s">
        <v>35</v>
      </c>
      <c r="N47" s="1" t="s">
        <v>36</v>
      </c>
      <c r="O47" s="1" t="s">
        <v>37</v>
      </c>
      <c r="P47" s="1">
        <v>1.9E8</v>
      </c>
      <c r="Q47" s="1">
        <v>2013.0</v>
      </c>
      <c r="R47" s="1">
        <v>17000.0</v>
      </c>
      <c r="S47" s="1">
        <v>11000.0</v>
      </c>
      <c r="T47" s="1">
        <v>1000.0</v>
      </c>
      <c r="U47" s="1">
        <v>32392.0</v>
      </c>
      <c r="V47" s="1">
        <v>395.0</v>
      </c>
      <c r="W47" s="1">
        <v>129000.0</v>
      </c>
      <c r="X47" s="1">
        <v>0.0</v>
      </c>
      <c r="Y47" s="1">
        <v>2.35</v>
      </c>
      <c r="Z47" s="1">
        <v>7.0</v>
      </c>
    </row>
    <row r="48" ht="14.25" customHeight="1">
      <c r="A48" s="1" t="s">
        <v>26</v>
      </c>
      <c r="B48" s="1" t="s">
        <v>110</v>
      </c>
      <c r="C48" s="1" t="s">
        <v>339</v>
      </c>
      <c r="D48" s="1">
        <v>2.33914986E8</v>
      </c>
      <c r="E48" s="1" t="s">
        <v>254</v>
      </c>
      <c r="F48" s="1" t="s">
        <v>340</v>
      </c>
      <c r="G48" s="1" t="s">
        <v>141</v>
      </c>
      <c r="H48" s="1" t="s">
        <v>255</v>
      </c>
      <c r="I48" s="1">
        <v>514125.0</v>
      </c>
      <c r="J48" s="1" t="s">
        <v>341</v>
      </c>
      <c r="K48" s="1" t="s">
        <v>342</v>
      </c>
      <c r="L48" s="1">
        <v>752.0</v>
      </c>
      <c r="M48" s="1" t="s">
        <v>35</v>
      </c>
      <c r="N48" s="1" t="s">
        <v>36</v>
      </c>
      <c r="O48" s="1" t="s">
        <v>37</v>
      </c>
      <c r="P48" s="1">
        <v>2.0E8</v>
      </c>
      <c r="Q48" s="1">
        <v>2014.0</v>
      </c>
      <c r="R48" s="1">
        <v>34000.0</v>
      </c>
      <c r="S48" s="1">
        <v>22000.0</v>
      </c>
      <c r="T48" s="1">
        <v>20000.0</v>
      </c>
      <c r="U48" s="1">
        <v>91434.0</v>
      </c>
      <c r="V48" s="1">
        <v>0.0</v>
      </c>
      <c r="W48" s="1">
        <v>82000.0</v>
      </c>
      <c r="X48" s="1">
        <v>7.0</v>
      </c>
      <c r="Y48" s="1">
        <v>2.35</v>
      </c>
      <c r="Z48" s="1">
        <v>8.0</v>
      </c>
    </row>
    <row r="49" ht="14.25" customHeight="1">
      <c r="A49" s="1" t="s">
        <v>26</v>
      </c>
      <c r="B49" s="1" t="s">
        <v>343</v>
      </c>
      <c r="C49" s="1" t="s">
        <v>344</v>
      </c>
      <c r="D49" s="1">
        <v>2.28756232E8</v>
      </c>
      <c r="E49" s="1" t="s">
        <v>65</v>
      </c>
      <c r="F49" s="1" t="s">
        <v>345</v>
      </c>
      <c r="G49" s="1" t="s">
        <v>346</v>
      </c>
      <c r="H49" s="1" t="s">
        <v>347</v>
      </c>
      <c r="I49" s="1">
        <v>395573.0</v>
      </c>
      <c r="J49" s="1" t="s">
        <v>348</v>
      </c>
      <c r="K49" s="1" t="s">
        <v>349</v>
      </c>
      <c r="L49" s="1">
        <v>1171.0</v>
      </c>
      <c r="M49" s="1" t="s">
        <v>35</v>
      </c>
      <c r="N49" s="1" t="s">
        <v>36</v>
      </c>
      <c r="O49" s="1" t="s">
        <v>37</v>
      </c>
      <c r="P49" s="1">
        <v>1.9E8</v>
      </c>
      <c r="Q49" s="1">
        <v>2013.0</v>
      </c>
      <c r="R49" s="1">
        <v>19000.0</v>
      </c>
      <c r="S49" s="1">
        <v>981.0</v>
      </c>
      <c r="T49" s="1">
        <v>928.0</v>
      </c>
      <c r="U49" s="1">
        <v>21411.0</v>
      </c>
      <c r="V49" s="1">
        <v>14000.0</v>
      </c>
      <c r="W49" s="1">
        <v>92000.0</v>
      </c>
      <c r="X49" s="1">
        <v>0.0</v>
      </c>
      <c r="Y49" s="1">
        <v>2.35</v>
      </c>
      <c r="Z49" s="1">
        <v>7.8</v>
      </c>
    </row>
    <row r="50" ht="14.25" customHeight="1">
      <c r="A50" s="1" t="s">
        <v>26</v>
      </c>
      <c r="B50" s="1" t="s">
        <v>110</v>
      </c>
      <c r="C50" s="1" t="s">
        <v>350</v>
      </c>
      <c r="D50" s="1">
        <v>6.517186E7</v>
      </c>
      <c r="E50" s="1" t="s">
        <v>165</v>
      </c>
      <c r="F50" s="1" t="s">
        <v>351</v>
      </c>
      <c r="G50" s="1" t="s">
        <v>352</v>
      </c>
      <c r="H50" s="1" t="s">
        <v>353</v>
      </c>
      <c r="I50" s="1">
        <v>106416.0</v>
      </c>
      <c r="J50" s="1" t="s">
        <v>354</v>
      </c>
      <c r="K50" s="1" t="s">
        <v>355</v>
      </c>
      <c r="L50" s="1">
        <v>205.0</v>
      </c>
      <c r="M50" s="1" t="s">
        <v>35</v>
      </c>
      <c r="N50" s="1" t="s">
        <v>36</v>
      </c>
      <c r="O50" s="1" t="s">
        <v>37</v>
      </c>
      <c r="P50" s="1">
        <v>1.95E8</v>
      </c>
      <c r="Q50" s="1">
        <v>2013.0</v>
      </c>
      <c r="R50" s="1">
        <v>979.0</v>
      </c>
      <c r="S50" s="1">
        <v>557.0</v>
      </c>
      <c r="T50" s="1">
        <v>140.0</v>
      </c>
      <c r="U50" s="1">
        <v>1766.0</v>
      </c>
      <c r="V50" s="1">
        <v>0.0</v>
      </c>
      <c r="W50" s="1">
        <v>22000.0</v>
      </c>
      <c r="X50" s="1">
        <v>1.0</v>
      </c>
      <c r="Y50" s="1">
        <v>2.35</v>
      </c>
      <c r="Z50" s="1">
        <v>6.3</v>
      </c>
    </row>
    <row r="51" ht="14.25" customHeight="1">
      <c r="A51" s="1" t="s">
        <v>26</v>
      </c>
      <c r="B51" s="1" t="s">
        <v>356</v>
      </c>
      <c r="C51" s="1" t="s">
        <v>357</v>
      </c>
      <c r="D51" s="1">
        <v>1.44812796E8</v>
      </c>
      <c r="E51" s="1" t="s">
        <v>206</v>
      </c>
      <c r="F51" s="1" t="s">
        <v>207</v>
      </c>
      <c r="G51" s="1" t="s">
        <v>358</v>
      </c>
      <c r="H51" s="1" t="s">
        <v>359</v>
      </c>
      <c r="I51" s="1">
        <v>362912.0</v>
      </c>
      <c r="J51" s="1" t="s">
        <v>360</v>
      </c>
      <c r="K51" s="1" t="s">
        <v>361</v>
      </c>
      <c r="L51" s="1">
        <v>753.0</v>
      </c>
      <c r="M51" s="1" t="s">
        <v>35</v>
      </c>
      <c r="N51" s="1" t="s">
        <v>362</v>
      </c>
      <c r="O51" s="1" t="s">
        <v>37</v>
      </c>
      <c r="P51" s="1">
        <v>1.05E8</v>
      </c>
      <c r="Q51" s="1">
        <v>2013.0</v>
      </c>
      <c r="R51" s="1">
        <v>29000.0</v>
      </c>
      <c r="S51" s="1">
        <v>509.0</v>
      </c>
      <c r="T51" s="1">
        <v>77.0</v>
      </c>
      <c r="U51" s="1">
        <v>29770.0</v>
      </c>
      <c r="V51" s="1">
        <v>1000.0</v>
      </c>
      <c r="W51" s="1">
        <v>115000.0</v>
      </c>
      <c r="X51" s="1">
        <v>4.0</v>
      </c>
      <c r="Y51" s="1">
        <v>2.35</v>
      </c>
      <c r="Z51" s="1">
        <v>7.3</v>
      </c>
    </row>
    <row r="52" ht="14.25" customHeight="1">
      <c r="A52" s="1" t="s">
        <v>26</v>
      </c>
      <c r="B52" s="1" t="s">
        <v>363</v>
      </c>
      <c r="C52" s="1" t="s">
        <v>364</v>
      </c>
      <c r="D52" s="1">
        <v>9.0755643E7</v>
      </c>
      <c r="E52" s="1" t="s">
        <v>238</v>
      </c>
      <c r="F52" s="1" t="s">
        <v>365</v>
      </c>
      <c r="G52" s="1" t="s">
        <v>366</v>
      </c>
      <c r="H52" s="1" t="s">
        <v>367</v>
      </c>
      <c r="I52" s="1">
        <v>222403.0</v>
      </c>
      <c r="J52" s="1" t="s">
        <v>368</v>
      </c>
      <c r="K52" s="1" t="s">
        <v>369</v>
      </c>
      <c r="L52" s="1">
        <v>453.0</v>
      </c>
      <c r="M52" s="1" t="s">
        <v>35</v>
      </c>
      <c r="N52" s="1" t="s">
        <v>36</v>
      </c>
      <c r="O52" s="1" t="s">
        <v>37</v>
      </c>
      <c r="P52" s="1">
        <v>2.0E8</v>
      </c>
      <c r="Q52" s="1">
        <v>2010.0</v>
      </c>
      <c r="R52" s="1">
        <v>15000.0</v>
      </c>
      <c r="S52" s="1">
        <v>567.0</v>
      </c>
      <c r="T52" s="1">
        <v>236.0</v>
      </c>
      <c r="U52" s="1">
        <v>16149.0</v>
      </c>
      <c r="V52" s="1">
        <v>179.0</v>
      </c>
      <c r="W52" s="1">
        <v>23000.0</v>
      </c>
      <c r="X52" s="1">
        <v>2.0</v>
      </c>
      <c r="Y52" s="1">
        <v>2.35</v>
      </c>
      <c r="Z52" s="1">
        <v>6.6</v>
      </c>
    </row>
    <row r="53" ht="14.25" customHeight="1">
      <c r="A53" s="1" t="s">
        <v>26</v>
      </c>
      <c r="B53" s="1" t="s">
        <v>370</v>
      </c>
      <c r="C53" s="1" t="s">
        <v>371</v>
      </c>
      <c r="D53" s="1">
        <v>1.01785482E8</v>
      </c>
      <c r="E53" s="1" t="s">
        <v>65</v>
      </c>
      <c r="F53" s="1" t="s">
        <v>372</v>
      </c>
      <c r="G53" s="1" t="s">
        <v>373</v>
      </c>
      <c r="H53" s="1" t="s">
        <v>374</v>
      </c>
      <c r="I53" s="1">
        <v>381148.0</v>
      </c>
      <c r="J53" s="1" t="s">
        <v>375</v>
      </c>
      <c r="K53" s="1" t="s">
        <v>376</v>
      </c>
      <c r="L53" s="1">
        <v>1106.0</v>
      </c>
      <c r="M53" s="1" t="s">
        <v>35</v>
      </c>
      <c r="N53" s="1" t="s">
        <v>36</v>
      </c>
      <c r="O53" s="1" t="s">
        <v>37</v>
      </c>
      <c r="P53" s="1">
        <v>1.9E8</v>
      </c>
      <c r="Q53" s="1">
        <v>2013.0</v>
      </c>
      <c r="R53" s="1">
        <v>16000.0</v>
      </c>
      <c r="S53" s="1">
        <v>968.0</v>
      </c>
      <c r="T53" s="1">
        <v>919.0</v>
      </c>
      <c r="U53" s="1">
        <v>19166.0</v>
      </c>
      <c r="V53" s="1">
        <v>0.0</v>
      </c>
      <c r="W53" s="1">
        <v>83000.0</v>
      </c>
      <c r="X53" s="1">
        <v>0.0</v>
      </c>
      <c r="Y53" s="1">
        <v>1.85</v>
      </c>
      <c r="Z53" s="1">
        <v>7.0</v>
      </c>
    </row>
    <row r="54" ht="14.25" customHeight="1">
      <c r="A54" s="1" t="s">
        <v>26</v>
      </c>
      <c r="B54" s="1" t="s">
        <v>270</v>
      </c>
      <c r="C54" s="1" t="s">
        <v>377</v>
      </c>
      <c r="D54" s="1">
        <v>3.52358779E8</v>
      </c>
      <c r="E54" s="1" t="s">
        <v>65</v>
      </c>
      <c r="F54" s="1" t="s">
        <v>272</v>
      </c>
      <c r="G54" s="1" t="s">
        <v>378</v>
      </c>
      <c r="H54" s="1" t="s">
        <v>273</v>
      </c>
      <c r="I54" s="1">
        <v>326180.0</v>
      </c>
      <c r="J54" s="1" t="s">
        <v>379</v>
      </c>
      <c r="K54" s="1" t="s">
        <v>380</v>
      </c>
      <c r="L54" s="1">
        <v>899.0</v>
      </c>
      <c r="M54" s="1" t="s">
        <v>35</v>
      </c>
      <c r="N54" s="1" t="s">
        <v>36</v>
      </c>
      <c r="O54" s="1" t="s">
        <v>37</v>
      </c>
      <c r="P54" s="1">
        <v>1.95E8</v>
      </c>
      <c r="Q54" s="1">
        <v>2011.0</v>
      </c>
      <c r="R54" s="1">
        <v>894.0</v>
      </c>
      <c r="S54" s="1">
        <v>829.0</v>
      </c>
      <c r="T54" s="1">
        <v>581.0</v>
      </c>
      <c r="U54" s="1">
        <v>2593.0</v>
      </c>
      <c r="V54" s="1">
        <v>0.0</v>
      </c>
      <c r="W54" s="1">
        <v>46000.0</v>
      </c>
      <c r="X54" s="1">
        <v>2.0</v>
      </c>
      <c r="Y54" s="1">
        <v>2.35</v>
      </c>
      <c r="Z54" s="1">
        <v>6.3</v>
      </c>
    </row>
    <row r="55" ht="14.25" customHeight="1">
      <c r="A55" s="1" t="s">
        <v>26</v>
      </c>
      <c r="B55" s="1" t="s">
        <v>381</v>
      </c>
      <c r="C55" s="1" t="s">
        <v>382</v>
      </c>
      <c r="D55" s="1">
        <v>3.17011114E8</v>
      </c>
      <c r="E55" s="1" t="s">
        <v>40</v>
      </c>
      <c r="F55" s="1" t="s">
        <v>383</v>
      </c>
      <c r="G55" s="1" t="s">
        <v>384</v>
      </c>
      <c r="H55" s="1" t="s">
        <v>385</v>
      </c>
      <c r="I55" s="1">
        <v>333847.0</v>
      </c>
      <c r="J55" s="1" t="s">
        <v>386</v>
      </c>
      <c r="K55" s="1" t="s">
        <v>387</v>
      </c>
      <c r="L55" s="1">
        <v>2054.0</v>
      </c>
      <c r="M55" s="1" t="s">
        <v>35</v>
      </c>
      <c r="N55" s="1" t="s">
        <v>36</v>
      </c>
      <c r="O55" s="1" t="s">
        <v>37</v>
      </c>
      <c r="P55" s="1">
        <v>1.85E8</v>
      </c>
      <c r="Q55" s="1">
        <v>2008.0</v>
      </c>
      <c r="R55" s="1">
        <v>11000.0</v>
      </c>
      <c r="S55" s="1">
        <v>1000.0</v>
      </c>
      <c r="T55" s="1">
        <v>1000.0</v>
      </c>
      <c r="U55" s="1">
        <v>14959.0</v>
      </c>
      <c r="V55" s="1">
        <v>14000.0</v>
      </c>
      <c r="W55" s="1">
        <v>5000.0</v>
      </c>
      <c r="X55" s="1">
        <v>2.0</v>
      </c>
      <c r="Y55" s="1">
        <v>2.35</v>
      </c>
      <c r="Z55" s="1">
        <v>6.2</v>
      </c>
    </row>
    <row r="56" ht="14.25" customHeight="1">
      <c r="A56" s="1" t="s">
        <v>26</v>
      </c>
      <c r="B56" s="1" t="s">
        <v>388</v>
      </c>
      <c r="C56" s="1" t="s">
        <v>389</v>
      </c>
      <c r="D56" s="1">
        <v>2.37282182E8</v>
      </c>
      <c r="E56" s="1" t="s">
        <v>263</v>
      </c>
      <c r="F56" s="1" t="s">
        <v>390</v>
      </c>
      <c r="G56" s="1" t="s">
        <v>315</v>
      </c>
      <c r="H56" s="1" t="s">
        <v>391</v>
      </c>
      <c r="I56" s="1">
        <v>273556.0</v>
      </c>
      <c r="J56" s="1" t="s">
        <v>392</v>
      </c>
      <c r="K56" s="1" t="s">
        <v>393</v>
      </c>
      <c r="L56" s="1">
        <v>428.0</v>
      </c>
      <c r="M56" s="1" t="s">
        <v>35</v>
      </c>
      <c r="N56" s="1" t="s">
        <v>36</v>
      </c>
      <c r="O56" s="1" t="s">
        <v>87</v>
      </c>
      <c r="P56" s="1">
        <v>1.85E8</v>
      </c>
      <c r="Q56" s="1">
        <v>2012.0</v>
      </c>
      <c r="R56" s="1">
        <v>2000.0</v>
      </c>
      <c r="S56" s="1">
        <v>1000.0</v>
      </c>
      <c r="T56" s="1">
        <v>838.0</v>
      </c>
      <c r="U56" s="1">
        <v>5005.0</v>
      </c>
      <c r="V56" s="1">
        <v>56.0</v>
      </c>
      <c r="W56" s="1">
        <v>39000.0</v>
      </c>
      <c r="X56" s="1">
        <v>0.0</v>
      </c>
      <c r="Y56" s="1">
        <v>2.35</v>
      </c>
      <c r="Z56" s="1">
        <v>7.2</v>
      </c>
    </row>
    <row r="57" ht="14.25" customHeight="1">
      <c r="A57" s="1" t="s">
        <v>26</v>
      </c>
      <c r="B57" s="1" t="s">
        <v>394</v>
      </c>
      <c r="C57" s="1" t="s">
        <v>395</v>
      </c>
      <c r="D57" s="1">
        <v>1.30468626E8</v>
      </c>
      <c r="E57" s="1" t="s">
        <v>219</v>
      </c>
      <c r="F57" s="1" t="s">
        <v>396</v>
      </c>
      <c r="G57" s="1" t="s">
        <v>397</v>
      </c>
      <c r="H57" s="1" t="s">
        <v>398</v>
      </c>
      <c r="I57" s="1">
        <v>53607.0</v>
      </c>
      <c r="J57" s="1" t="s">
        <v>399</v>
      </c>
      <c r="K57" s="1" t="s">
        <v>400</v>
      </c>
      <c r="L57" s="1">
        <v>432.0</v>
      </c>
      <c r="M57" s="1" t="s">
        <v>35</v>
      </c>
      <c r="N57" s="1" t="s">
        <v>36</v>
      </c>
      <c r="O57" s="1" t="s">
        <v>37</v>
      </c>
      <c r="P57" s="1">
        <v>1.85E8</v>
      </c>
      <c r="Q57" s="1">
        <v>2016.0</v>
      </c>
      <c r="R57" s="1">
        <v>998.0</v>
      </c>
      <c r="S57" s="1">
        <v>119.0</v>
      </c>
      <c r="T57" s="1">
        <v>105.0</v>
      </c>
      <c r="U57" s="1">
        <v>1327.0</v>
      </c>
      <c r="V57" s="1">
        <v>681.0</v>
      </c>
      <c r="W57" s="1">
        <v>30000.0</v>
      </c>
      <c r="X57" s="1">
        <v>4.0</v>
      </c>
      <c r="Y57" s="1">
        <v>2.35</v>
      </c>
      <c r="Z57" s="1">
        <v>7.5</v>
      </c>
    </row>
    <row r="58" ht="14.25" customHeight="1">
      <c r="A58" s="1" t="s">
        <v>26</v>
      </c>
      <c r="B58" s="1" t="s">
        <v>63</v>
      </c>
      <c r="C58" s="1" t="s">
        <v>401</v>
      </c>
      <c r="D58" s="1">
        <v>2.23806889E8</v>
      </c>
      <c r="E58" s="1" t="s">
        <v>402</v>
      </c>
      <c r="F58" s="1" t="s">
        <v>315</v>
      </c>
      <c r="G58" s="1" t="s">
        <v>403</v>
      </c>
      <c r="H58" s="1" t="s">
        <v>404</v>
      </c>
      <c r="I58" s="1">
        <v>718837.0</v>
      </c>
      <c r="J58" s="1" t="s">
        <v>405</v>
      </c>
      <c r="K58" s="1" t="s">
        <v>406</v>
      </c>
      <c r="L58" s="1">
        <v>1043.0</v>
      </c>
      <c r="M58" s="1" t="s">
        <v>35</v>
      </c>
      <c r="N58" s="1" t="s">
        <v>36</v>
      </c>
      <c r="O58" s="1" t="s">
        <v>269</v>
      </c>
      <c r="P58" s="1">
        <v>1.8E8</v>
      </c>
      <c r="Q58" s="1">
        <v>2008.0</v>
      </c>
      <c r="R58" s="1">
        <v>1000.0</v>
      </c>
      <c r="S58" s="1">
        <v>729.0</v>
      </c>
      <c r="T58" s="1">
        <v>522.0</v>
      </c>
      <c r="U58" s="1">
        <v>2975.0</v>
      </c>
      <c r="V58" s="1">
        <v>475.0</v>
      </c>
      <c r="W58" s="1">
        <v>16000.0</v>
      </c>
      <c r="X58" s="1">
        <v>0.0</v>
      </c>
      <c r="Y58" s="1">
        <v>2.35</v>
      </c>
      <c r="Z58" s="1">
        <v>8.4</v>
      </c>
    </row>
    <row r="59" ht="14.25" customHeight="1">
      <c r="A59" s="1" t="s">
        <v>26</v>
      </c>
      <c r="B59" s="1" t="s">
        <v>252</v>
      </c>
      <c r="C59" s="1" t="s">
        <v>407</v>
      </c>
      <c r="D59" s="1">
        <v>1.4008085E8</v>
      </c>
      <c r="E59" s="1" t="s">
        <v>408</v>
      </c>
      <c r="F59" s="1" t="s">
        <v>409</v>
      </c>
      <c r="G59" s="1" t="s">
        <v>410</v>
      </c>
      <c r="H59" s="1" t="s">
        <v>411</v>
      </c>
      <c r="I59" s="1">
        <v>121084.0</v>
      </c>
      <c r="J59" s="1" t="s">
        <v>412</v>
      </c>
      <c r="K59" s="1" t="s">
        <v>413</v>
      </c>
      <c r="L59" s="1">
        <v>221.0</v>
      </c>
      <c r="M59" s="1" t="s">
        <v>35</v>
      </c>
      <c r="N59" s="1" t="s">
        <v>36</v>
      </c>
      <c r="O59" s="1" t="s">
        <v>37</v>
      </c>
      <c r="P59" s="1">
        <v>1.4E8</v>
      </c>
      <c r="Q59" s="1">
        <v>2007.0</v>
      </c>
      <c r="R59" s="1">
        <v>268.0</v>
      </c>
      <c r="S59" s="1">
        <v>268.0</v>
      </c>
      <c r="T59" s="1">
        <v>173.0</v>
      </c>
      <c r="U59" s="1">
        <v>1125.0</v>
      </c>
      <c r="V59" s="1">
        <v>420.0</v>
      </c>
      <c r="W59" s="1">
        <v>0.0</v>
      </c>
      <c r="X59" s="1">
        <v>2.0</v>
      </c>
      <c r="Y59" s="1">
        <v>2.35</v>
      </c>
      <c r="Z59" s="1">
        <v>6.2</v>
      </c>
    </row>
    <row r="60" ht="14.25" customHeight="1">
      <c r="A60" s="1" t="s">
        <v>26</v>
      </c>
      <c r="B60" s="1" t="s">
        <v>414</v>
      </c>
      <c r="C60" s="1">
        <v>2012.0</v>
      </c>
      <c r="D60" s="1">
        <v>1.66112167E8</v>
      </c>
      <c r="E60" s="1" t="s">
        <v>65</v>
      </c>
      <c r="F60" s="1" t="s">
        <v>415</v>
      </c>
      <c r="G60" s="1" t="s">
        <v>416</v>
      </c>
      <c r="H60" s="1" t="s">
        <v>417</v>
      </c>
      <c r="I60" s="1">
        <v>283418.0</v>
      </c>
      <c r="J60" s="1" t="s">
        <v>418</v>
      </c>
      <c r="K60" s="1" t="s">
        <v>419</v>
      </c>
      <c r="L60" s="1">
        <v>1055.0</v>
      </c>
      <c r="M60" s="1" t="s">
        <v>35</v>
      </c>
      <c r="N60" s="1" t="s">
        <v>36</v>
      </c>
      <c r="O60" s="1" t="s">
        <v>37</v>
      </c>
      <c r="P60" s="1">
        <v>2.0E8</v>
      </c>
      <c r="Q60" s="1">
        <v>2009.0</v>
      </c>
      <c r="R60" s="1">
        <v>1000.0</v>
      </c>
      <c r="S60" s="1">
        <v>468.0</v>
      </c>
      <c r="T60" s="1">
        <v>310.0</v>
      </c>
      <c r="U60" s="1">
        <v>2144.0</v>
      </c>
      <c r="V60" s="1">
        <v>776.0</v>
      </c>
      <c r="W60" s="1">
        <v>13000.0</v>
      </c>
      <c r="X60" s="1">
        <v>0.0</v>
      </c>
      <c r="Y60" s="1">
        <v>2.35</v>
      </c>
      <c r="Z60" s="1">
        <v>5.8</v>
      </c>
    </row>
    <row r="61" ht="14.25" customHeight="1">
      <c r="A61" s="1" t="s">
        <v>26</v>
      </c>
      <c r="B61" s="1" t="s">
        <v>420</v>
      </c>
      <c r="C61" s="1" t="s">
        <v>421</v>
      </c>
      <c r="D61" s="1">
        <v>1.37850096E8</v>
      </c>
      <c r="E61" s="1" t="s">
        <v>422</v>
      </c>
      <c r="F61" s="1" t="s">
        <v>423</v>
      </c>
      <c r="G61" s="1" t="s">
        <v>424</v>
      </c>
      <c r="H61" s="1" t="s">
        <v>425</v>
      </c>
      <c r="I61" s="1">
        <v>72809.0</v>
      </c>
      <c r="J61" s="1" t="s">
        <v>426</v>
      </c>
      <c r="K61" s="1" t="s">
        <v>427</v>
      </c>
      <c r="L61" s="1">
        <v>249.0</v>
      </c>
      <c r="M61" s="1" t="s">
        <v>35</v>
      </c>
      <c r="N61" s="1" t="s">
        <v>36</v>
      </c>
      <c r="O61" s="1" t="s">
        <v>87</v>
      </c>
      <c r="P61" s="1">
        <v>2.0E8</v>
      </c>
      <c r="Q61" s="1">
        <v>2009.0</v>
      </c>
      <c r="R61" s="1">
        <v>18000.0</v>
      </c>
      <c r="S61" s="1">
        <v>14000.0</v>
      </c>
      <c r="T61" s="1">
        <v>10000.0</v>
      </c>
      <c r="U61" s="1">
        <v>48878.0</v>
      </c>
      <c r="V61" s="1">
        <v>0.0</v>
      </c>
      <c r="W61" s="1">
        <v>0.0</v>
      </c>
      <c r="X61" s="1">
        <v>0.0</v>
      </c>
      <c r="Y61" s="1">
        <v>2.35</v>
      </c>
      <c r="Z61" s="1">
        <v>6.8</v>
      </c>
    </row>
    <row r="62" ht="14.25" customHeight="1">
      <c r="A62" s="1" t="s">
        <v>26</v>
      </c>
      <c r="B62" s="1" t="s">
        <v>428</v>
      </c>
      <c r="C62" s="1" t="s">
        <v>429</v>
      </c>
      <c r="D62" s="1">
        <v>4.7375327E7</v>
      </c>
      <c r="E62" s="1" t="s">
        <v>65</v>
      </c>
      <c r="F62" s="1" t="s">
        <v>430</v>
      </c>
      <c r="G62" s="1" t="s">
        <v>284</v>
      </c>
      <c r="H62" s="1" t="s">
        <v>431</v>
      </c>
      <c r="I62" s="1">
        <v>139593.0</v>
      </c>
      <c r="J62" s="1" t="s">
        <v>432</v>
      </c>
      <c r="K62" s="1" t="s">
        <v>433</v>
      </c>
      <c r="L62" s="1">
        <v>720.0</v>
      </c>
      <c r="M62" s="1" t="s">
        <v>35</v>
      </c>
      <c r="N62" s="1" t="s">
        <v>36</v>
      </c>
      <c r="O62" s="1" t="s">
        <v>37</v>
      </c>
      <c r="P62" s="1">
        <v>1.76E8</v>
      </c>
      <c r="Q62" s="1">
        <v>2015.0</v>
      </c>
      <c r="R62" s="1">
        <v>17000.0</v>
      </c>
      <c r="S62" s="1">
        <v>15000.0</v>
      </c>
      <c r="T62" s="1">
        <v>13000.0</v>
      </c>
      <c r="U62" s="1">
        <v>47334.0</v>
      </c>
      <c r="V62" s="1">
        <v>0.0</v>
      </c>
      <c r="W62" s="1">
        <v>44000.0</v>
      </c>
      <c r="X62" s="1">
        <v>1.0</v>
      </c>
      <c r="Y62" s="1">
        <v>2.35</v>
      </c>
      <c r="Z62" s="1">
        <v>5.4</v>
      </c>
    </row>
    <row r="63" ht="14.25" customHeight="1">
      <c r="A63" s="1" t="s">
        <v>26</v>
      </c>
      <c r="B63" s="1" t="s">
        <v>95</v>
      </c>
      <c r="C63" s="1" t="s">
        <v>434</v>
      </c>
      <c r="D63" s="1">
        <v>1.24051759E8</v>
      </c>
      <c r="E63" s="1" t="s">
        <v>199</v>
      </c>
      <c r="F63" s="1" t="s">
        <v>49</v>
      </c>
      <c r="G63" s="1" t="s">
        <v>221</v>
      </c>
      <c r="H63" s="1" t="s">
        <v>435</v>
      </c>
      <c r="I63" s="1">
        <v>42372.0</v>
      </c>
      <c r="J63" s="1" t="s">
        <v>436</v>
      </c>
      <c r="K63" s="1" t="s">
        <v>437</v>
      </c>
      <c r="L63" s="1">
        <v>239.0</v>
      </c>
      <c r="M63" s="1" t="s">
        <v>35</v>
      </c>
      <c r="N63" s="1" t="s">
        <v>36</v>
      </c>
      <c r="O63" s="1" t="s">
        <v>37</v>
      </c>
      <c r="P63" s="1">
        <v>1.8E8</v>
      </c>
      <c r="Q63" s="1">
        <v>2016.0</v>
      </c>
      <c r="R63" s="1">
        <v>11000.0</v>
      </c>
      <c r="S63" s="1">
        <v>10000.0</v>
      </c>
      <c r="T63" s="1">
        <v>103.0</v>
      </c>
      <c r="U63" s="1">
        <v>21175.0</v>
      </c>
      <c r="V63" s="1">
        <v>282.0</v>
      </c>
      <c r="W63" s="1">
        <v>29000.0</v>
      </c>
      <c r="X63" s="1">
        <v>2.0</v>
      </c>
      <c r="Y63" s="1">
        <v>2.35</v>
      </c>
      <c r="Z63" s="1">
        <v>6.6</v>
      </c>
    </row>
    <row r="64" ht="14.25" customHeight="1">
      <c r="A64" s="1" t="s">
        <v>26</v>
      </c>
      <c r="B64" s="1" t="s">
        <v>138</v>
      </c>
      <c r="C64" s="1" t="s">
        <v>438</v>
      </c>
      <c r="D64" s="1">
        <v>2.91709845E8</v>
      </c>
      <c r="E64" s="1" t="s">
        <v>192</v>
      </c>
      <c r="F64" s="1" t="s">
        <v>385</v>
      </c>
      <c r="G64" s="1" t="s">
        <v>439</v>
      </c>
      <c r="H64" s="1" t="s">
        <v>440</v>
      </c>
      <c r="I64" s="1">
        <v>286506.0</v>
      </c>
      <c r="J64" s="1" t="s">
        <v>441</v>
      </c>
      <c r="K64" s="1" t="s">
        <v>442</v>
      </c>
      <c r="L64" s="1">
        <v>1463.0</v>
      </c>
      <c r="M64" s="1" t="s">
        <v>35</v>
      </c>
      <c r="N64" s="1" t="s">
        <v>36</v>
      </c>
      <c r="O64" s="1" t="s">
        <v>87</v>
      </c>
      <c r="P64" s="1">
        <v>1.8E8</v>
      </c>
      <c r="Q64" s="1">
        <v>2005.0</v>
      </c>
      <c r="R64" s="1">
        <v>1000.0</v>
      </c>
      <c r="S64" s="1">
        <v>190.0</v>
      </c>
      <c r="T64" s="1">
        <v>82.0</v>
      </c>
      <c r="U64" s="1">
        <v>1317.0</v>
      </c>
      <c r="V64" s="1">
        <v>80.0</v>
      </c>
      <c r="W64" s="1">
        <v>0.0</v>
      </c>
      <c r="X64" s="1">
        <v>5.0</v>
      </c>
      <c r="Y64" s="1">
        <v>2.35</v>
      </c>
      <c r="Z64" s="1">
        <v>6.9</v>
      </c>
    </row>
    <row r="65" ht="14.25" customHeight="1">
      <c r="A65" s="1" t="s">
        <v>26</v>
      </c>
      <c r="B65" s="1" t="s">
        <v>110</v>
      </c>
      <c r="C65" s="1" t="s">
        <v>443</v>
      </c>
      <c r="D65" s="1">
        <v>1.54985087E8</v>
      </c>
      <c r="E65" s="1" t="s">
        <v>65</v>
      </c>
      <c r="F65" s="1" t="s">
        <v>340</v>
      </c>
      <c r="G65" s="1" t="s">
        <v>444</v>
      </c>
      <c r="H65" s="1" t="s">
        <v>445</v>
      </c>
      <c r="I65" s="1">
        <v>148379.0</v>
      </c>
      <c r="J65" s="1" t="s">
        <v>446</v>
      </c>
      <c r="K65" s="1" t="s">
        <v>447</v>
      </c>
      <c r="L65" s="1">
        <v>622.0</v>
      </c>
      <c r="M65" s="1" t="s">
        <v>35</v>
      </c>
      <c r="N65" s="1" t="s">
        <v>36</v>
      </c>
      <c r="O65" s="1" t="s">
        <v>37</v>
      </c>
      <c r="P65" s="1">
        <v>1.78E8</v>
      </c>
      <c r="Q65" s="1">
        <v>2016.0</v>
      </c>
      <c r="R65" s="1">
        <v>34000.0</v>
      </c>
      <c r="S65" s="1">
        <v>13000.0</v>
      </c>
      <c r="T65" s="1">
        <v>1000.0</v>
      </c>
      <c r="U65" s="1">
        <v>49684.0</v>
      </c>
      <c r="V65" s="1">
        <v>0.0</v>
      </c>
      <c r="W65" s="1">
        <v>54000.0</v>
      </c>
      <c r="X65" s="1">
        <v>6.0</v>
      </c>
      <c r="Y65" s="1">
        <v>2.35</v>
      </c>
      <c r="Z65" s="1">
        <v>7.3</v>
      </c>
    </row>
    <row r="66" ht="14.25" customHeight="1">
      <c r="A66" s="1" t="s">
        <v>26</v>
      </c>
      <c r="B66" s="1" t="s">
        <v>55</v>
      </c>
      <c r="C66" s="1" t="s">
        <v>448</v>
      </c>
      <c r="D66" s="1">
        <v>5.33316061E8</v>
      </c>
      <c r="E66" s="1" t="s">
        <v>449</v>
      </c>
      <c r="F66" s="1" t="s">
        <v>59</v>
      </c>
      <c r="G66" s="1" t="s">
        <v>450</v>
      </c>
      <c r="H66" s="1" t="s">
        <v>451</v>
      </c>
      <c r="I66" s="1">
        <v>1676169.0</v>
      </c>
      <c r="J66" s="1" t="s">
        <v>452</v>
      </c>
      <c r="K66" s="1" t="s">
        <v>453</v>
      </c>
      <c r="L66" s="1">
        <v>4667.0</v>
      </c>
      <c r="M66" s="1" t="s">
        <v>35</v>
      </c>
      <c r="N66" s="1" t="s">
        <v>36</v>
      </c>
      <c r="O66" s="1" t="s">
        <v>37</v>
      </c>
      <c r="P66" s="1">
        <v>1.85E8</v>
      </c>
      <c r="Q66" s="1">
        <v>2008.0</v>
      </c>
      <c r="R66" s="1">
        <v>23000.0</v>
      </c>
      <c r="S66" s="1">
        <v>13000.0</v>
      </c>
      <c r="T66" s="1">
        <v>11000.0</v>
      </c>
      <c r="U66" s="1">
        <v>57802.0</v>
      </c>
      <c r="V66" s="1">
        <v>22000.0</v>
      </c>
      <c r="W66" s="1">
        <v>37000.0</v>
      </c>
      <c r="X66" s="1">
        <v>0.0</v>
      </c>
      <c r="Y66" s="1">
        <v>2.35</v>
      </c>
      <c r="Z66" s="1">
        <v>9.0</v>
      </c>
    </row>
    <row r="67" ht="14.25" customHeight="1">
      <c r="A67" s="1" t="s">
        <v>26</v>
      </c>
      <c r="B67" s="1" t="s">
        <v>454</v>
      </c>
      <c r="C67" s="1" t="s">
        <v>455</v>
      </c>
      <c r="D67" s="1">
        <v>2.92979556E8</v>
      </c>
      <c r="E67" s="1" t="s">
        <v>456</v>
      </c>
      <c r="F67" s="1" t="s">
        <v>315</v>
      </c>
      <c r="G67" s="1" t="s">
        <v>457</v>
      </c>
      <c r="H67" s="1" t="s">
        <v>458</v>
      </c>
      <c r="I67" s="1">
        <v>665575.0</v>
      </c>
      <c r="J67" s="1" t="s">
        <v>459</v>
      </c>
      <c r="K67" s="1" t="s">
        <v>460</v>
      </c>
      <c r="L67" s="1">
        <v>704.0</v>
      </c>
      <c r="M67" s="1" t="s">
        <v>35</v>
      </c>
      <c r="N67" s="1" t="s">
        <v>36</v>
      </c>
      <c r="O67" s="1" t="s">
        <v>87</v>
      </c>
      <c r="P67" s="1">
        <v>1.75E8</v>
      </c>
      <c r="Q67" s="1">
        <v>2009.0</v>
      </c>
      <c r="R67" s="1">
        <v>1000.0</v>
      </c>
      <c r="S67" s="1">
        <v>848.0</v>
      </c>
      <c r="T67" s="1">
        <v>262.0</v>
      </c>
      <c r="U67" s="1">
        <v>2635.0</v>
      </c>
      <c r="V67" s="1">
        <v>0.0</v>
      </c>
      <c r="W67" s="1">
        <v>27000.0</v>
      </c>
      <c r="X67" s="1">
        <v>1.0</v>
      </c>
      <c r="Y67" s="1">
        <v>1.85</v>
      </c>
      <c r="Z67" s="1">
        <v>8.3</v>
      </c>
    </row>
    <row r="68" ht="14.25" customHeight="1">
      <c r="A68" s="1" t="s">
        <v>26</v>
      </c>
      <c r="B68" s="1" t="s">
        <v>461</v>
      </c>
      <c r="C68" s="1" t="s">
        <v>462</v>
      </c>
      <c r="D68" s="1">
        <v>1.98332128E8</v>
      </c>
      <c r="E68" s="1" t="s">
        <v>463</v>
      </c>
      <c r="F68" s="1" t="s">
        <v>464</v>
      </c>
      <c r="G68" s="1" t="s">
        <v>465</v>
      </c>
      <c r="H68" s="1" t="s">
        <v>466</v>
      </c>
      <c r="I68" s="1">
        <v>114553.0</v>
      </c>
      <c r="J68" s="1" t="s">
        <v>467</v>
      </c>
      <c r="K68" s="1" t="s">
        <v>468</v>
      </c>
      <c r="L68" s="1">
        <v>187.0</v>
      </c>
      <c r="M68" s="1" t="s">
        <v>35</v>
      </c>
      <c r="N68" s="1" t="s">
        <v>36</v>
      </c>
      <c r="O68" s="1" t="s">
        <v>87</v>
      </c>
      <c r="P68" s="1">
        <v>1.75E8</v>
      </c>
      <c r="Q68" s="1">
        <v>2009.0</v>
      </c>
      <c r="R68" s="1">
        <v>1000.0</v>
      </c>
      <c r="S68" s="1">
        <v>973.0</v>
      </c>
      <c r="T68" s="1">
        <v>459.0</v>
      </c>
      <c r="U68" s="1">
        <v>2579.0</v>
      </c>
      <c r="V68" s="1">
        <v>11.0</v>
      </c>
      <c r="W68" s="1">
        <v>0.0</v>
      </c>
      <c r="X68" s="1">
        <v>2.0</v>
      </c>
      <c r="Y68" s="1">
        <v>2.35</v>
      </c>
      <c r="Z68" s="1">
        <v>6.5</v>
      </c>
    </row>
    <row r="69" ht="14.25" customHeight="1">
      <c r="A69" s="1" t="s">
        <v>26</v>
      </c>
      <c r="B69" s="1" t="s">
        <v>243</v>
      </c>
      <c r="C69" s="1" t="s">
        <v>469</v>
      </c>
      <c r="D69" s="1">
        <v>3.1829818E8</v>
      </c>
      <c r="E69" s="1" t="s">
        <v>65</v>
      </c>
      <c r="F69" s="1" t="s">
        <v>91</v>
      </c>
      <c r="G69" s="1" t="s">
        <v>293</v>
      </c>
      <c r="H69" s="1" t="s">
        <v>243</v>
      </c>
      <c r="I69" s="1">
        <v>696338.0</v>
      </c>
      <c r="J69" s="1" t="s">
        <v>470</v>
      </c>
      <c r="K69" s="1" t="s">
        <v>471</v>
      </c>
      <c r="L69" s="1">
        <v>1055.0</v>
      </c>
      <c r="M69" s="1" t="s">
        <v>35</v>
      </c>
      <c r="N69" s="1" t="s">
        <v>36</v>
      </c>
      <c r="O69" s="1" t="s">
        <v>37</v>
      </c>
      <c r="P69" s="1">
        <v>1.4E8</v>
      </c>
      <c r="Q69" s="1">
        <v>2008.0</v>
      </c>
      <c r="R69" s="1">
        <v>21000.0</v>
      </c>
      <c r="S69" s="1">
        <v>12000.0</v>
      </c>
      <c r="T69" s="1">
        <v>4000.0</v>
      </c>
      <c r="U69" s="1">
        <v>39252.0</v>
      </c>
      <c r="V69" s="1">
        <v>4000.0</v>
      </c>
      <c r="W69" s="1">
        <v>10000.0</v>
      </c>
      <c r="X69" s="1">
        <v>3.0</v>
      </c>
      <c r="Y69" s="1">
        <v>2.35</v>
      </c>
      <c r="Z69" s="1">
        <v>7.9</v>
      </c>
    </row>
    <row r="70" ht="14.25" customHeight="1">
      <c r="A70" s="1" t="s">
        <v>26</v>
      </c>
      <c r="B70" s="1" t="s">
        <v>472</v>
      </c>
      <c r="C70" s="1" t="s">
        <v>473</v>
      </c>
      <c r="D70" s="1">
        <v>7.3820094E7</v>
      </c>
      <c r="E70" s="1" t="s">
        <v>474</v>
      </c>
      <c r="F70" s="1" t="s">
        <v>475</v>
      </c>
      <c r="G70" s="1" t="s">
        <v>193</v>
      </c>
      <c r="H70" s="1" t="s">
        <v>384</v>
      </c>
      <c r="I70" s="1">
        <v>245333.0</v>
      </c>
      <c r="J70" s="1" t="s">
        <v>476</v>
      </c>
      <c r="K70" s="1" t="s">
        <v>477</v>
      </c>
      <c r="L70" s="1">
        <v>678.0</v>
      </c>
      <c r="M70" s="1" t="s">
        <v>35</v>
      </c>
      <c r="N70" s="1" t="s">
        <v>36</v>
      </c>
      <c r="O70" s="1" t="s">
        <v>87</v>
      </c>
      <c r="P70" s="1">
        <v>1.7E8</v>
      </c>
      <c r="Q70" s="1">
        <v>2011.0</v>
      </c>
      <c r="R70" s="1">
        <v>17000.0</v>
      </c>
      <c r="S70" s="1">
        <v>16000.0</v>
      </c>
      <c r="T70" s="1">
        <v>1000.0</v>
      </c>
      <c r="U70" s="1">
        <v>36017.0</v>
      </c>
      <c r="V70" s="1">
        <v>17000.0</v>
      </c>
      <c r="W70" s="1">
        <v>42000.0</v>
      </c>
      <c r="X70" s="1">
        <v>0.0</v>
      </c>
      <c r="Y70" s="1">
        <v>1.85</v>
      </c>
      <c r="Z70" s="1">
        <v>7.5</v>
      </c>
    </row>
    <row r="71" ht="14.25" customHeight="1">
      <c r="A71" s="1" t="s">
        <v>26</v>
      </c>
      <c r="B71" s="1" t="s">
        <v>155</v>
      </c>
      <c r="C71" s="1" t="s">
        <v>478</v>
      </c>
      <c r="D71" s="1">
        <v>1.13745408E8</v>
      </c>
      <c r="E71" s="1" t="s">
        <v>479</v>
      </c>
      <c r="F71" s="1" t="s">
        <v>158</v>
      </c>
      <c r="G71" s="1" t="s">
        <v>480</v>
      </c>
      <c r="H71" s="1" t="s">
        <v>481</v>
      </c>
      <c r="I71" s="1">
        <v>129601.0</v>
      </c>
      <c r="J71" s="1" t="s">
        <v>482</v>
      </c>
      <c r="K71" s="1" t="s">
        <v>483</v>
      </c>
      <c r="L71" s="1">
        <v>648.0</v>
      </c>
      <c r="M71" s="1" t="s">
        <v>35</v>
      </c>
      <c r="N71" s="1" t="s">
        <v>36</v>
      </c>
      <c r="O71" s="1" t="s">
        <v>37</v>
      </c>
      <c r="P71" s="1">
        <v>1.7E8</v>
      </c>
      <c r="Q71" s="1">
        <v>1999.0</v>
      </c>
      <c r="R71" s="1">
        <v>10000.0</v>
      </c>
      <c r="S71" s="1">
        <v>4000.0</v>
      </c>
      <c r="T71" s="1">
        <v>582.0</v>
      </c>
      <c r="U71" s="1">
        <v>15870.0</v>
      </c>
      <c r="V71" s="1">
        <v>188.0</v>
      </c>
      <c r="W71" s="1">
        <v>0.0</v>
      </c>
      <c r="X71" s="1">
        <v>2.0</v>
      </c>
      <c r="Y71" s="1">
        <v>1.85</v>
      </c>
      <c r="Z71" s="1">
        <v>4.8</v>
      </c>
    </row>
    <row r="72" ht="14.25" customHeight="1">
      <c r="A72" s="1" t="s">
        <v>26</v>
      </c>
      <c r="B72" s="1" t="s">
        <v>484</v>
      </c>
      <c r="C72" s="1" t="s">
        <v>485</v>
      </c>
      <c r="D72" s="1">
        <v>1.02176165E8</v>
      </c>
      <c r="E72" s="1" t="s">
        <v>486</v>
      </c>
      <c r="F72" s="1" t="s">
        <v>487</v>
      </c>
      <c r="G72" s="1" t="s">
        <v>488</v>
      </c>
      <c r="H72" s="1" t="s">
        <v>489</v>
      </c>
      <c r="I72" s="1">
        <v>117927.0</v>
      </c>
      <c r="J72" s="1" t="s">
        <v>490</v>
      </c>
      <c r="K72" s="1" t="s">
        <v>491</v>
      </c>
      <c r="L72" s="1">
        <v>501.0</v>
      </c>
      <c r="M72" s="1" t="s">
        <v>35</v>
      </c>
      <c r="N72" s="1" t="s">
        <v>36</v>
      </c>
      <c r="O72" s="1" t="s">
        <v>37</v>
      </c>
      <c r="P72" s="1">
        <v>1.45E8</v>
      </c>
      <c r="Q72" s="1">
        <v>2008.0</v>
      </c>
      <c r="R72" s="1">
        <v>5000.0</v>
      </c>
      <c r="S72" s="1">
        <v>3000.0</v>
      </c>
      <c r="T72" s="1">
        <v>595.0</v>
      </c>
      <c r="U72" s="1">
        <v>9131.0</v>
      </c>
      <c r="V72" s="1">
        <v>357.0</v>
      </c>
      <c r="W72" s="1">
        <v>0.0</v>
      </c>
      <c r="X72" s="1">
        <v>2.0</v>
      </c>
      <c r="Y72" s="1">
        <v>2.35</v>
      </c>
      <c r="Z72" s="1">
        <v>5.2</v>
      </c>
    </row>
    <row r="73" ht="14.25" customHeight="1">
      <c r="A73" s="1" t="s">
        <v>26</v>
      </c>
      <c r="B73" s="1" t="s">
        <v>492</v>
      </c>
      <c r="C73" s="1" t="s">
        <v>493</v>
      </c>
      <c r="D73" s="1">
        <v>1.61087183E8</v>
      </c>
      <c r="E73" s="1" t="s">
        <v>494</v>
      </c>
      <c r="F73" s="1" t="s">
        <v>158</v>
      </c>
      <c r="G73" s="1" t="s">
        <v>495</v>
      </c>
      <c r="H73" s="1" t="s">
        <v>496</v>
      </c>
      <c r="I73" s="1">
        <v>118992.0</v>
      </c>
      <c r="J73" s="1" t="s">
        <v>497</v>
      </c>
      <c r="K73" s="1" t="s">
        <v>498</v>
      </c>
      <c r="L73" s="1">
        <v>971.0</v>
      </c>
      <c r="M73" s="1" t="s">
        <v>35</v>
      </c>
      <c r="N73" s="1" t="s">
        <v>36</v>
      </c>
      <c r="O73" s="1" t="s">
        <v>37</v>
      </c>
      <c r="P73" s="1">
        <v>1.75E8</v>
      </c>
      <c r="Q73" s="1">
        <v>2016.0</v>
      </c>
      <c r="R73" s="1">
        <v>10000.0</v>
      </c>
      <c r="S73" s="1">
        <v>336.0</v>
      </c>
      <c r="T73" s="1">
        <v>329.0</v>
      </c>
      <c r="U73" s="1">
        <v>11287.0</v>
      </c>
      <c r="V73" s="1">
        <v>452.0</v>
      </c>
      <c r="W73" s="1">
        <v>80000.0</v>
      </c>
      <c r="X73" s="1">
        <v>8.0</v>
      </c>
      <c r="Y73" s="1">
        <v>2.35</v>
      </c>
      <c r="Z73" s="1">
        <v>6.9</v>
      </c>
    </row>
    <row r="74" ht="14.25" customHeight="1">
      <c r="A74" s="1" t="s">
        <v>26</v>
      </c>
      <c r="B74" s="1" t="s">
        <v>499</v>
      </c>
      <c r="C74" s="1" t="s">
        <v>500</v>
      </c>
      <c r="D74" s="1">
        <v>1.0028969E8</v>
      </c>
      <c r="E74" s="1" t="s">
        <v>501</v>
      </c>
      <c r="F74" s="1" t="s">
        <v>502</v>
      </c>
      <c r="G74" s="1" t="s">
        <v>451</v>
      </c>
      <c r="H74" s="1" t="s">
        <v>503</v>
      </c>
      <c r="I74" s="1">
        <v>115099.0</v>
      </c>
      <c r="J74" s="1" t="s">
        <v>504</v>
      </c>
      <c r="K74" s="1" t="s">
        <v>505</v>
      </c>
      <c r="L74" s="1">
        <v>257.0</v>
      </c>
      <c r="M74" s="1" t="s">
        <v>35</v>
      </c>
      <c r="N74" s="1" t="s">
        <v>36</v>
      </c>
      <c r="O74" s="1" t="s">
        <v>87</v>
      </c>
      <c r="P74" s="1">
        <v>1.75E8</v>
      </c>
      <c r="Q74" s="1">
        <v>2007.0</v>
      </c>
      <c r="R74" s="1">
        <v>87000.0</v>
      </c>
      <c r="S74" s="1">
        <v>11000.0</v>
      </c>
      <c r="T74" s="1">
        <v>7000.0</v>
      </c>
      <c r="U74" s="1">
        <v>108016.0</v>
      </c>
      <c r="V74" s="1">
        <v>293.0</v>
      </c>
      <c r="W74" s="1">
        <v>2000.0</v>
      </c>
      <c r="X74" s="1">
        <v>0.0</v>
      </c>
      <c r="Y74" s="1">
        <v>2.35</v>
      </c>
      <c r="Z74" s="1">
        <v>5.4</v>
      </c>
    </row>
    <row r="75" ht="14.25" customHeight="1">
      <c r="A75" s="1" t="s">
        <v>26</v>
      </c>
      <c r="B75" s="1" t="s">
        <v>506</v>
      </c>
      <c r="C75" s="1" t="s">
        <v>507</v>
      </c>
      <c r="D75" s="1">
        <v>1.00189501E8</v>
      </c>
      <c r="E75" s="1" t="s">
        <v>65</v>
      </c>
      <c r="F75" s="1" t="s">
        <v>508</v>
      </c>
      <c r="G75" s="1" t="s">
        <v>509</v>
      </c>
      <c r="H75" s="1" t="s">
        <v>510</v>
      </c>
      <c r="I75" s="1">
        <v>431620.0</v>
      </c>
      <c r="J75" s="1" t="s">
        <v>511</v>
      </c>
      <c r="K75" s="1" t="s">
        <v>512</v>
      </c>
      <c r="L75" s="1">
        <v>741.0</v>
      </c>
      <c r="M75" s="1" t="s">
        <v>35</v>
      </c>
      <c r="N75" s="1" t="s">
        <v>36</v>
      </c>
      <c r="O75" s="1" t="s">
        <v>37</v>
      </c>
      <c r="P75" s="1">
        <v>1.78E8</v>
      </c>
      <c r="Q75" s="1">
        <v>2014.0</v>
      </c>
      <c r="R75" s="1">
        <v>10000.0</v>
      </c>
      <c r="S75" s="1">
        <v>854.0</v>
      </c>
      <c r="T75" s="1">
        <v>509.0</v>
      </c>
      <c r="U75" s="1">
        <v>12652.0</v>
      </c>
      <c r="V75" s="1">
        <v>218.0</v>
      </c>
      <c r="W75" s="1">
        <v>77000.0</v>
      </c>
      <c r="X75" s="1">
        <v>1.0</v>
      </c>
      <c r="Y75" s="1">
        <v>2.35</v>
      </c>
      <c r="Z75" s="1">
        <v>7.9</v>
      </c>
    </row>
    <row r="76" ht="14.25" customHeight="1">
      <c r="A76" s="1" t="s">
        <v>26</v>
      </c>
      <c r="B76" s="1" t="s">
        <v>513</v>
      </c>
      <c r="C76" s="1" t="s">
        <v>514</v>
      </c>
      <c r="D76" s="1">
        <v>8.824622E7</v>
      </c>
      <c r="E76" s="1" t="s">
        <v>219</v>
      </c>
      <c r="F76" s="1" t="s">
        <v>515</v>
      </c>
      <c r="G76" s="1" t="s">
        <v>516</v>
      </c>
      <c r="H76" s="1" t="s">
        <v>517</v>
      </c>
      <c r="I76" s="1">
        <v>144337.0</v>
      </c>
      <c r="J76" s="1" t="s">
        <v>518</v>
      </c>
      <c r="K76" s="1" t="s">
        <v>519</v>
      </c>
      <c r="L76" s="1">
        <v>309.0</v>
      </c>
      <c r="M76" s="1" t="s">
        <v>35</v>
      </c>
      <c r="N76" s="1" t="s">
        <v>36</v>
      </c>
      <c r="O76" s="1" t="s">
        <v>37</v>
      </c>
      <c r="P76" s="1">
        <v>1.75E8</v>
      </c>
      <c r="Q76" s="1">
        <v>1995.0</v>
      </c>
      <c r="R76" s="1">
        <v>711.0</v>
      </c>
      <c r="S76" s="1">
        <v>60.0</v>
      </c>
      <c r="T76" s="1">
        <v>60.0</v>
      </c>
      <c r="U76" s="1">
        <v>1004.0</v>
      </c>
      <c r="V76" s="1">
        <v>58.0</v>
      </c>
      <c r="W76" s="1">
        <v>0.0</v>
      </c>
      <c r="X76" s="1">
        <v>0.0</v>
      </c>
      <c r="Y76" s="1">
        <v>1.85</v>
      </c>
      <c r="Z76" s="1">
        <v>6.1</v>
      </c>
    </row>
    <row r="77" ht="14.25" customHeight="1">
      <c r="A77" s="1" t="s">
        <v>26</v>
      </c>
      <c r="B77" s="1" t="s">
        <v>520</v>
      </c>
      <c r="C77" s="1" t="s">
        <v>521</v>
      </c>
      <c r="D77" s="1">
        <v>1.5016763E8</v>
      </c>
      <c r="E77" s="1" t="s">
        <v>219</v>
      </c>
      <c r="F77" s="1" t="s">
        <v>60</v>
      </c>
      <c r="G77" s="1" t="s">
        <v>522</v>
      </c>
      <c r="H77" s="1" t="s">
        <v>523</v>
      </c>
      <c r="I77" s="1">
        <v>174578.0</v>
      </c>
      <c r="J77" s="1" t="s">
        <v>524</v>
      </c>
      <c r="K77" s="1" t="s">
        <v>525</v>
      </c>
      <c r="L77" s="1">
        <v>534.0</v>
      </c>
      <c r="M77" s="1" t="s">
        <v>35</v>
      </c>
      <c r="N77" s="1" t="s">
        <v>36</v>
      </c>
      <c r="O77" s="1" t="s">
        <v>37</v>
      </c>
      <c r="P77" s="1">
        <v>1.75E8</v>
      </c>
      <c r="Q77" s="1">
        <v>2009.0</v>
      </c>
      <c r="R77" s="1">
        <v>23000.0</v>
      </c>
      <c r="S77" s="1">
        <v>2000.0</v>
      </c>
      <c r="T77" s="1">
        <v>570.0</v>
      </c>
      <c r="U77" s="1">
        <v>26683.0</v>
      </c>
      <c r="V77" s="1">
        <v>208.0</v>
      </c>
      <c r="W77" s="1">
        <v>0.0</v>
      </c>
      <c r="X77" s="1">
        <v>4.0</v>
      </c>
      <c r="Y77" s="1">
        <v>2.35</v>
      </c>
      <c r="Z77" s="1">
        <v>5.8</v>
      </c>
    </row>
    <row r="78" ht="14.25" customHeight="1">
      <c r="A78" s="1" t="s">
        <v>26</v>
      </c>
      <c r="B78" s="1" t="s">
        <v>454</v>
      </c>
      <c r="C78" s="1" t="s">
        <v>526</v>
      </c>
      <c r="D78" s="1">
        <v>3.56454367E8</v>
      </c>
      <c r="E78" s="1" t="s">
        <v>527</v>
      </c>
      <c r="F78" s="1" t="s">
        <v>464</v>
      </c>
      <c r="G78" s="1" t="s">
        <v>528</v>
      </c>
      <c r="H78" s="1" t="s">
        <v>529</v>
      </c>
      <c r="I78" s="1">
        <v>345198.0</v>
      </c>
      <c r="J78" s="1" t="s">
        <v>530</v>
      </c>
      <c r="K78" s="1" t="s">
        <v>531</v>
      </c>
      <c r="L78" s="1">
        <v>773.0</v>
      </c>
      <c r="M78" s="1" t="s">
        <v>35</v>
      </c>
      <c r="N78" s="1" t="s">
        <v>36</v>
      </c>
      <c r="O78" s="1" t="s">
        <v>87</v>
      </c>
      <c r="P78" s="1">
        <v>1.75E8</v>
      </c>
      <c r="Q78" s="1">
        <v>2015.0</v>
      </c>
      <c r="R78" s="1">
        <v>1000.0</v>
      </c>
      <c r="S78" s="1">
        <v>767.0</v>
      </c>
      <c r="T78" s="1">
        <v>384.0</v>
      </c>
      <c r="U78" s="1">
        <v>2944.0</v>
      </c>
      <c r="V78" s="1">
        <v>0.0</v>
      </c>
      <c r="W78" s="1">
        <v>118000.0</v>
      </c>
      <c r="X78" s="1">
        <v>1.0</v>
      </c>
      <c r="Y78" s="1">
        <v>1.85</v>
      </c>
      <c r="Z78" s="1">
        <v>8.3</v>
      </c>
    </row>
    <row r="79" ht="14.25" customHeight="1">
      <c r="A79" s="1" t="s">
        <v>26</v>
      </c>
      <c r="B79" s="1" t="s">
        <v>243</v>
      </c>
      <c r="C79" s="1" t="s">
        <v>532</v>
      </c>
      <c r="D79" s="1">
        <v>3.62645141E8</v>
      </c>
      <c r="E79" s="1" t="s">
        <v>533</v>
      </c>
      <c r="F79" s="1" t="s">
        <v>92</v>
      </c>
      <c r="G79" s="1" t="s">
        <v>534</v>
      </c>
      <c r="H79" s="1" t="s">
        <v>535</v>
      </c>
      <c r="I79" s="1">
        <v>106072.0</v>
      </c>
      <c r="J79" s="1" t="s">
        <v>536</v>
      </c>
      <c r="K79" s="1" t="s">
        <v>537</v>
      </c>
      <c r="L79" s="1">
        <v>398.0</v>
      </c>
      <c r="M79" s="1" t="s">
        <v>35</v>
      </c>
      <c r="N79" s="1" t="s">
        <v>54</v>
      </c>
      <c r="O79" s="1" t="s">
        <v>87</v>
      </c>
      <c r="P79" s="1">
        <v>1.75E8</v>
      </c>
      <c r="Q79" s="1">
        <v>2016.0</v>
      </c>
      <c r="R79" s="1">
        <v>19000.0</v>
      </c>
      <c r="S79" s="1">
        <v>13000.0</v>
      </c>
      <c r="T79" s="1">
        <v>591.0</v>
      </c>
      <c r="U79" s="1">
        <v>32921.0</v>
      </c>
      <c r="V79" s="1">
        <v>4000.0</v>
      </c>
      <c r="W79" s="1">
        <v>65000.0</v>
      </c>
      <c r="X79" s="1">
        <v>0.0</v>
      </c>
      <c r="Y79" s="1">
        <v>1.85</v>
      </c>
      <c r="Z79" s="1">
        <v>7.8</v>
      </c>
    </row>
    <row r="80" ht="14.25" customHeight="1">
      <c r="A80" s="1" t="s">
        <v>26</v>
      </c>
      <c r="B80" s="1" t="s">
        <v>243</v>
      </c>
      <c r="C80" s="1" t="s">
        <v>538</v>
      </c>
      <c r="D80" s="1">
        <v>3.12057433E8</v>
      </c>
      <c r="E80" s="1" t="s">
        <v>65</v>
      </c>
      <c r="F80" s="1" t="s">
        <v>91</v>
      </c>
      <c r="G80" s="1" t="s">
        <v>92</v>
      </c>
      <c r="H80" s="1" t="s">
        <v>243</v>
      </c>
      <c r="I80" s="1">
        <v>522371.0</v>
      </c>
      <c r="J80" s="1" t="s">
        <v>539</v>
      </c>
      <c r="K80" s="1" t="s">
        <v>540</v>
      </c>
      <c r="L80" s="1">
        <v>723.0</v>
      </c>
      <c r="M80" s="1" t="s">
        <v>35</v>
      </c>
      <c r="N80" s="1" t="s">
        <v>36</v>
      </c>
      <c r="O80" s="1" t="s">
        <v>37</v>
      </c>
      <c r="P80" s="1">
        <v>2.0E8</v>
      </c>
      <c r="Q80" s="1">
        <v>2010.0</v>
      </c>
      <c r="R80" s="1">
        <v>21000.0</v>
      </c>
      <c r="S80" s="1">
        <v>19000.0</v>
      </c>
      <c r="T80" s="1">
        <v>4000.0</v>
      </c>
      <c r="U80" s="1">
        <v>48638.0</v>
      </c>
      <c r="V80" s="1">
        <v>4000.0</v>
      </c>
      <c r="W80" s="1">
        <v>18000.0</v>
      </c>
      <c r="X80" s="1">
        <v>4.0</v>
      </c>
      <c r="Y80" s="1">
        <v>2.35</v>
      </c>
      <c r="Z80" s="1">
        <v>7.0</v>
      </c>
    </row>
    <row r="81" ht="14.25" customHeight="1">
      <c r="A81" s="1" t="s">
        <v>26</v>
      </c>
      <c r="B81" s="1" t="s">
        <v>541</v>
      </c>
      <c r="C81" s="1" t="s">
        <v>542</v>
      </c>
      <c r="D81" s="1">
        <v>1.55111815E8</v>
      </c>
      <c r="E81" s="1" t="s">
        <v>543</v>
      </c>
      <c r="F81" s="1" t="s">
        <v>90</v>
      </c>
      <c r="G81" s="1" t="s">
        <v>544</v>
      </c>
      <c r="H81" s="1" t="s">
        <v>151</v>
      </c>
      <c r="I81" s="1">
        <v>228554.0</v>
      </c>
      <c r="J81" s="1" t="s">
        <v>545</v>
      </c>
      <c r="K81" s="1" t="s">
        <v>546</v>
      </c>
      <c r="L81" s="1">
        <v>710.0</v>
      </c>
      <c r="M81" s="1" t="s">
        <v>35</v>
      </c>
      <c r="N81" s="1" t="s">
        <v>36</v>
      </c>
      <c r="O81" s="1" t="s">
        <v>37</v>
      </c>
      <c r="P81" s="1">
        <v>1.7E8</v>
      </c>
      <c r="Q81" s="1">
        <v>2012.0</v>
      </c>
      <c r="R81" s="1">
        <v>26000.0</v>
      </c>
      <c r="S81" s="1">
        <v>17000.0</v>
      </c>
      <c r="T81" s="1">
        <v>11000.0</v>
      </c>
      <c r="U81" s="1">
        <v>72881.0</v>
      </c>
      <c r="V81" s="1">
        <v>274.0</v>
      </c>
      <c r="W81" s="1">
        <v>53000.0</v>
      </c>
      <c r="X81" s="1">
        <v>0.0</v>
      </c>
      <c r="Y81" s="1">
        <v>2.35</v>
      </c>
      <c r="Z81" s="1">
        <v>6.1</v>
      </c>
    </row>
    <row r="82" ht="14.25" customHeight="1">
      <c r="A82" s="1" t="s">
        <v>26</v>
      </c>
      <c r="B82" s="1" t="s">
        <v>547</v>
      </c>
      <c r="C82" s="1" t="s">
        <v>548</v>
      </c>
      <c r="D82" s="1">
        <v>2.41407328E8</v>
      </c>
      <c r="E82" s="1" t="s">
        <v>549</v>
      </c>
      <c r="F82" s="1" t="s">
        <v>550</v>
      </c>
      <c r="G82" s="1" t="s">
        <v>551</v>
      </c>
      <c r="H82" s="1" t="s">
        <v>552</v>
      </c>
      <c r="I82" s="1">
        <v>252257.0</v>
      </c>
      <c r="J82" s="1" t="s">
        <v>553</v>
      </c>
      <c r="K82" s="1" t="s">
        <v>554</v>
      </c>
      <c r="L82" s="1">
        <v>634.0</v>
      </c>
      <c r="M82" s="1" t="s">
        <v>35</v>
      </c>
      <c r="N82" s="1" t="s">
        <v>36</v>
      </c>
      <c r="O82" s="1" t="s">
        <v>87</v>
      </c>
      <c r="P82" s="1">
        <v>1.8E8</v>
      </c>
      <c r="Q82" s="1">
        <v>2014.0</v>
      </c>
      <c r="R82" s="1">
        <v>11000.0</v>
      </c>
      <c r="S82" s="1">
        <v>2000.0</v>
      </c>
      <c r="T82" s="1">
        <v>846.0</v>
      </c>
      <c r="U82" s="1">
        <v>15516.0</v>
      </c>
      <c r="V82" s="1">
        <v>171.0</v>
      </c>
      <c r="W82" s="1">
        <v>89000.0</v>
      </c>
      <c r="X82" s="1">
        <v>2.0</v>
      </c>
      <c r="Y82" s="1">
        <v>2.35</v>
      </c>
      <c r="Z82" s="1">
        <v>7.0</v>
      </c>
    </row>
    <row r="83" ht="14.25" customHeight="1">
      <c r="A83" s="1" t="s">
        <v>26</v>
      </c>
      <c r="B83" s="1" t="s">
        <v>555</v>
      </c>
      <c r="C83" s="1" t="s">
        <v>556</v>
      </c>
      <c r="D83" s="1">
        <v>2.08543795E8</v>
      </c>
      <c r="E83" s="1" t="s">
        <v>557</v>
      </c>
      <c r="F83" s="1" t="s">
        <v>425</v>
      </c>
      <c r="G83" s="1" t="s">
        <v>228</v>
      </c>
      <c r="H83" s="1" t="s">
        <v>558</v>
      </c>
      <c r="I83" s="1">
        <v>317542.0</v>
      </c>
      <c r="J83" s="1" t="s">
        <v>559</v>
      </c>
      <c r="K83" s="1" t="s">
        <v>560</v>
      </c>
      <c r="L83" s="1">
        <v>620.0</v>
      </c>
      <c r="M83" s="1" t="s">
        <v>35</v>
      </c>
      <c r="N83" s="1" t="s">
        <v>36</v>
      </c>
      <c r="O83" s="1" t="s">
        <v>37</v>
      </c>
      <c r="P83" s="1">
        <v>1.7E8</v>
      </c>
      <c r="Q83" s="1">
        <v>2014.0</v>
      </c>
      <c r="R83" s="1">
        <v>10000.0</v>
      </c>
      <c r="S83" s="1">
        <v>2000.0</v>
      </c>
      <c r="T83" s="1">
        <v>884.0</v>
      </c>
      <c r="U83" s="1">
        <v>14363.0</v>
      </c>
      <c r="V83" s="1">
        <v>198.0</v>
      </c>
      <c r="W83" s="1">
        <v>45000.0</v>
      </c>
      <c r="X83" s="1">
        <v>0.0</v>
      </c>
      <c r="Y83" s="1">
        <v>1.85</v>
      </c>
      <c r="Z83" s="1">
        <v>7.6</v>
      </c>
    </row>
    <row r="84" ht="14.25" customHeight="1">
      <c r="A84" s="1" t="s">
        <v>26</v>
      </c>
      <c r="B84" s="1" t="s">
        <v>561</v>
      </c>
      <c r="C84" s="1" t="s">
        <v>562</v>
      </c>
      <c r="D84" s="1">
        <v>3.8297305E7</v>
      </c>
      <c r="E84" s="1" t="s">
        <v>543</v>
      </c>
      <c r="F84" s="1" t="s">
        <v>563</v>
      </c>
      <c r="G84" s="1" t="s">
        <v>564</v>
      </c>
      <c r="H84" s="1" t="s">
        <v>565</v>
      </c>
      <c r="I84" s="1">
        <v>116994.0</v>
      </c>
      <c r="J84" s="1" t="s">
        <v>566</v>
      </c>
      <c r="K84" s="1" t="s">
        <v>567</v>
      </c>
      <c r="L84" s="1">
        <v>324.0</v>
      </c>
      <c r="M84" s="1" t="s">
        <v>35</v>
      </c>
      <c r="N84" s="1" t="s">
        <v>36</v>
      </c>
      <c r="O84" s="1" t="s">
        <v>37</v>
      </c>
      <c r="P84" s="1">
        <v>1.75E8</v>
      </c>
      <c r="Q84" s="1">
        <v>2013.0</v>
      </c>
      <c r="R84" s="1">
        <v>18000.0</v>
      </c>
      <c r="S84" s="1">
        <v>1000.0</v>
      </c>
      <c r="T84" s="1">
        <v>982.0</v>
      </c>
      <c r="U84" s="1">
        <v>20965.0</v>
      </c>
      <c r="V84" s="1">
        <v>47.0</v>
      </c>
      <c r="W84" s="1">
        <v>35000.0</v>
      </c>
      <c r="X84" s="1">
        <v>2.0</v>
      </c>
      <c r="Y84" s="1">
        <v>2.35</v>
      </c>
      <c r="Z84" s="1">
        <v>6.3</v>
      </c>
    </row>
    <row r="85" ht="14.25" customHeight="1">
      <c r="A85" s="1" t="s">
        <v>26</v>
      </c>
      <c r="B85" s="1" t="s">
        <v>212</v>
      </c>
      <c r="C85" s="1" t="s">
        <v>568</v>
      </c>
      <c r="D85" s="1">
        <v>2.59746958E8</v>
      </c>
      <c r="E85" s="1" t="s">
        <v>65</v>
      </c>
      <c r="F85" s="1" t="s">
        <v>92</v>
      </c>
      <c r="G85" s="1" t="s">
        <v>214</v>
      </c>
      <c r="H85" s="1" t="s">
        <v>569</v>
      </c>
      <c r="I85" s="1">
        <v>496749.0</v>
      </c>
      <c r="J85" s="1" t="s">
        <v>570</v>
      </c>
      <c r="K85" s="1" t="s">
        <v>571</v>
      </c>
      <c r="L85" s="1">
        <v>742.0</v>
      </c>
      <c r="M85" s="1" t="s">
        <v>35</v>
      </c>
      <c r="N85" s="1" t="s">
        <v>36</v>
      </c>
      <c r="O85" s="1" t="s">
        <v>37</v>
      </c>
      <c r="P85" s="1">
        <v>1.7E8</v>
      </c>
      <c r="Q85" s="1">
        <v>2014.0</v>
      </c>
      <c r="R85" s="1">
        <v>19000.0</v>
      </c>
      <c r="S85" s="1">
        <v>11000.0</v>
      </c>
      <c r="T85" s="1">
        <v>2000.0</v>
      </c>
      <c r="U85" s="1">
        <v>36188.0</v>
      </c>
      <c r="V85" s="1">
        <v>94.0</v>
      </c>
      <c r="W85" s="1">
        <v>55000.0</v>
      </c>
      <c r="X85" s="1">
        <v>1.0</v>
      </c>
      <c r="Y85" s="1">
        <v>2.35</v>
      </c>
      <c r="Z85" s="1">
        <v>7.8</v>
      </c>
    </row>
    <row r="86" ht="14.25" customHeight="1">
      <c r="A86" s="1" t="s">
        <v>26</v>
      </c>
      <c r="B86" s="1" t="s">
        <v>572</v>
      </c>
      <c r="C86" s="1" t="s">
        <v>573</v>
      </c>
      <c r="D86" s="1">
        <v>2.38371987E8</v>
      </c>
      <c r="E86" s="1" t="s">
        <v>263</v>
      </c>
      <c r="F86" s="1" t="s">
        <v>574</v>
      </c>
      <c r="G86" s="1" t="s">
        <v>575</v>
      </c>
      <c r="H86" s="1" t="s">
        <v>576</v>
      </c>
      <c r="I86" s="1">
        <v>138661.0</v>
      </c>
      <c r="J86" s="1" t="s">
        <v>577</v>
      </c>
      <c r="K86" s="1" t="s">
        <v>578</v>
      </c>
      <c r="L86" s="1">
        <v>173.0</v>
      </c>
      <c r="M86" s="1" t="s">
        <v>35</v>
      </c>
      <c r="N86" s="1" t="s">
        <v>36</v>
      </c>
      <c r="O86" s="1" t="s">
        <v>87</v>
      </c>
      <c r="P86" s="1">
        <v>1.65E8</v>
      </c>
      <c r="Q86" s="1">
        <v>2010.0</v>
      </c>
      <c r="R86" s="1">
        <v>4000.0</v>
      </c>
      <c r="S86" s="1">
        <v>225.0</v>
      </c>
      <c r="T86" s="1">
        <v>213.0</v>
      </c>
      <c r="U86" s="1">
        <v>4628.0</v>
      </c>
      <c r="V86" s="1">
        <v>31.0</v>
      </c>
      <c r="W86" s="1">
        <v>0.0</v>
      </c>
      <c r="X86" s="1">
        <v>2.0</v>
      </c>
      <c r="Y86" s="1">
        <v>2.35</v>
      </c>
      <c r="Z86" s="1">
        <v>6.4</v>
      </c>
    </row>
    <row r="87" ht="14.25" customHeight="1">
      <c r="A87" s="1" t="s">
        <v>26</v>
      </c>
      <c r="B87" s="1" t="s">
        <v>579</v>
      </c>
      <c r="C87" s="1" t="s">
        <v>580</v>
      </c>
      <c r="D87" s="1">
        <v>9.3417865E7</v>
      </c>
      <c r="E87" s="1" t="s">
        <v>581</v>
      </c>
      <c r="F87" s="1" t="s">
        <v>228</v>
      </c>
      <c r="G87" s="1" t="s">
        <v>582</v>
      </c>
      <c r="H87" s="1" t="s">
        <v>583</v>
      </c>
      <c r="I87" s="1">
        <v>128306.0</v>
      </c>
      <c r="J87" s="1" t="s">
        <v>584</v>
      </c>
      <c r="K87" s="1" t="s">
        <v>585</v>
      </c>
      <c r="L87" s="1">
        <v>497.0</v>
      </c>
      <c r="M87" s="1" t="s">
        <v>35</v>
      </c>
      <c r="N87" s="1" t="s">
        <v>36</v>
      </c>
      <c r="O87" s="1" t="s">
        <v>87</v>
      </c>
      <c r="P87" s="1">
        <v>1.9E8</v>
      </c>
      <c r="Q87" s="1">
        <v>2015.0</v>
      </c>
      <c r="R87" s="1">
        <v>2000.0</v>
      </c>
      <c r="S87" s="1">
        <v>638.0</v>
      </c>
      <c r="T87" s="1">
        <v>604.0</v>
      </c>
      <c r="U87" s="1">
        <v>5046.0</v>
      </c>
      <c r="V87" s="1">
        <v>663.0</v>
      </c>
      <c r="W87" s="1">
        <v>37000.0</v>
      </c>
      <c r="X87" s="1">
        <v>2.0</v>
      </c>
      <c r="Y87" s="1">
        <v>2.2</v>
      </c>
      <c r="Z87" s="1">
        <v>6.5</v>
      </c>
    </row>
    <row r="88" ht="14.25" customHeight="1">
      <c r="A88" s="1" t="s">
        <v>26</v>
      </c>
      <c r="B88" s="1" t="s">
        <v>586</v>
      </c>
      <c r="C88" s="1" t="s">
        <v>587</v>
      </c>
      <c r="D88" s="1">
        <v>2.22487711E8</v>
      </c>
      <c r="E88" s="1" t="s">
        <v>588</v>
      </c>
      <c r="F88" s="1" t="s">
        <v>589</v>
      </c>
      <c r="G88" s="1" t="s">
        <v>590</v>
      </c>
      <c r="H88" s="1" t="s">
        <v>591</v>
      </c>
      <c r="I88" s="1">
        <v>279093.0</v>
      </c>
      <c r="J88" s="1" t="s">
        <v>592</v>
      </c>
      <c r="K88" s="1" t="s">
        <v>593</v>
      </c>
      <c r="L88" s="1">
        <v>433.0</v>
      </c>
      <c r="M88" s="1" t="s">
        <v>35</v>
      </c>
      <c r="N88" s="1" t="s">
        <v>36</v>
      </c>
      <c r="O88" s="1" t="s">
        <v>87</v>
      </c>
      <c r="P88" s="1">
        <v>1.65E8</v>
      </c>
      <c r="Q88" s="1">
        <v>2014.0</v>
      </c>
      <c r="R88" s="1">
        <v>756.0</v>
      </c>
      <c r="S88" s="1">
        <v>719.0</v>
      </c>
      <c r="T88" s="1">
        <v>562.0</v>
      </c>
      <c r="U88" s="1">
        <v>2963.0</v>
      </c>
      <c r="V88" s="1">
        <v>38.0</v>
      </c>
      <c r="W88" s="1">
        <v>41000.0</v>
      </c>
      <c r="X88" s="1">
        <v>0.0</v>
      </c>
      <c r="Y88" s="1">
        <v>2.39</v>
      </c>
      <c r="Z88" s="1">
        <v>7.9</v>
      </c>
    </row>
    <row r="89" ht="14.25" customHeight="1">
      <c r="A89" s="1" t="s">
        <v>26</v>
      </c>
      <c r="B89" s="1" t="s">
        <v>594</v>
      </c>
      <c r="C89" s="1" t="s">
        <v>595</v>
      </c>
      <c r="D89" s="1">
        <v>1.89412677E8</v>
      </c>
      <c r="E89" s="1" t="s">
        <v>596</v>
      </c>
      <c r="F89" s="1" t="s">
        <v>597</v>
      </c>
      <c r="G89" s="1" t="s">
        <v>598</v>
      </c>
      <c r="H89" s="1" t="s">
        <v>599</v>
      </c>
      <c r="I89" s="1">
        <v>272534.0</v>
      </c>
      <c r="J89" s="1" t="s">
        <v>600</v>
      </c>
      <c r="K89" s="1" t="s">
        <v>601</v>
      </c>
      <c r="L89" s="1">
        <v>345.0</v>
      </c>
      <c r="M89" s="1" t="s">
        <v>35</v>
      </c>
      <c r="N89" s="1" t="s">
        <v>36</v>
      </c>
      <c r="O89" s="1" t="s">
        <v>87</v>
      </c>
      <c r="P89" s="1">
        <v>1.65E8</v>
      </c>
      <c r="Q89" s="1">
        <v>2012.0</v>
      </c>
      <c r="R89" s="1">
        <v>975.0</v>
      </c>
      <c r="S89" s="1">
        <v>931.0</v>
      </c>
      <c r="T89" s="1">
        <v>833.0</v>
      </c>
      <c r="U89" s="1">
        <v>4451.0</v>
      </c>
      <c r="V89" s="1">
        <v>66.0</v>
      </c>
      <c r="W89" s="1">
        <v>40000.0</v>
      </c>
      <c r="X89" s="1">
        <v>1.0</v>
      </c>
      <c r="Y89" s="1">
        <v>2.35</v>
      </c>
      <c r="Z89" s="1">
        <v>7.8</v>
      </c>
    </row>
    <row r="90" ht="14.25" customHeight="1">
      <c r="A90" s="1" t="s">
        <v>26</v>
      </c>
      <c r="B90" s="1" t="s">
        <v>420</v>
      </c>
      <c r="C90" s="1" t="s">
        <v>602</v>
      </c>
      <c r="D90" s="1">
        <v>665426.0</v>
      </c>
      <c r="E90" s="1" t="s">
        <v>603</v>
      </c>
      <c r="F90" s="1" t="s">
        <v>314</v>
      </c>
      <c r="G90" s="1" t="s">
        <v>604</v>
      </c>
      <c r="H90" s="1" t="s">
        <v>605</v>
      </c>
      <c r="I90" s="1">
        <v>120798.0</v>
      </c>
      <c r="J90" s="1" t="s">
        <v>606</v>
      </c>
      <c r="K90" s="1" t="s">
        <v>607</v>
      </c>
      <c r="L90" s="1">
        <v>444.0</v>
      </c>
      <c r="M90" s="1" t="s">
        <v>35</v>
      </c>
      <c r="N90" s="1" t="s">
        <v>36</v>
      </c>
      <c r="O90" s="1" t="s">
        <v>269</v>
      </c>
      <c r="P90" s="1">
        <v>1.65E8</v>
      </c>
      <c r="Q90" s="1">
        <v>2004.0</v>
      </c>
      <c r="R90" s="1">
        <v>15000.0</v>
      </c>
      <c r="S90" s="1">
        <v>726.0</v>
      </c>
      <c r="T90" s="1">
        <v>267.0</v>
      </c>
      <c r="U90" s="1">
        <v>16264.0</v>
      </c>
      <c r="V90" s="1">
        <v>0.0</v>
      </c>
      <c r="W90" s="1">
        <v>10000.0</v>
      </c>
      <c r="X90" s="1">
        <v>0.0</v>
      </c>
      <c r="Y90" s="1">
        <v>2.35</v>
      </c>
      <c r="Z90" s="1">
        <v>6.6</v>
      </c>
    </row>
    <row r="91" ht="14.25" customHeight="1">
      <c r="A91" s="1" t="s">
        <v>26</v>
      </c>
      <c r="B91" s="1" t="s">
        <v>414</v>
      </c>
      <c r="C91" s="1" t="s">
        <v>608</v>
      </c>
      <c r="D91" s="1">
        <v>1.02315545E8</v>
      </c>
      <c r="E91" s="1" t="s">
        <v>65</v>
      </c>
      <c r="F91" s="1" t="s">
        <v>609</v>
      </c>
      <c r="G91" s="1" t="s">
        <v>610</v>
      </c>
      <c r="H91" s="1" t="s">
        <v>611</v>
      </c>
      <c r="I91" s="1">
        <v>58137.0</v>
      </c>
      <c r="J91" s="1" t="s">
        <v>612</v>
      </c>
      <c r="K91" s="1" t="s">
        <v>613</v>
      </c>
      <c r="L91" s="1">
        <v>520.0</v>
      </c>
      <c r="M91" s="1" t="s">
        <v>35</v>
      </c>
      <c r="N91" s="1" t="s">
        <v>36</v>
      </c>
      <c r="O91" s="1" t="s">
        <v>37</v>
      </c>
      <c r="P91" s="1">
        <v>1.65E8</v>
      </c>
      <c r="Q91" s="1">
        <v>2016.0</v>
      </c>
      <c r="R91" s="1">
        <v>890.0</v>
      </c>
      <c r="S91" s="1">
        <v>812.0</v>
      </c>
      <c r="T91" s="1">
        <v>535.0</v>
      </c>
      <c r="U91" s="1">
        <v>3233.0</v>
      </c>
      <c r="V91" s="1">
        <v>776.0</v>
      </c>
      <c r="W91" s="1">
        <v>67000.0</v>
      </c>
      <c r="X91" s="1">
        <v>0.0</v>
      </c>
      <c r="Y91" s="1">
        <v>2.35</v>
      </c>
      <c r="Z91" s="1">
        <v>5.5</v>
      </c>
    </row>
    <row r="92" ht="14.25" customHeight="1">
      <c r="A92" s="1" t="s">
        <v>26</v>
      </c>
      <c r="B92" s="1" t="s">
        <v>614</v>
      </c>
      <c r="C92" s="1" t="s">
        <v>615</v>
      </c>
      <c r="D92" s="1">
        <v>2.17387997E8</v>
      </c>
      <c r="E92" s="1" t="s">
        <v>603</v>
      </c>
      <c r="F92" s="1" t="s">
        <v>616</v>
      </c>
      <c r="G92" s="1" t="s">
        <v>617</v>
      </c>
      <c r="H92" s="1" t="s">
        <v>618</v>
      </c>
      <c r="I92" s="1">
        <v>485430.0</v>
      </c>
      <c r="J92" s="1" t="s">
        <v>619</v>
      </c>
      <c r="K92" s="1" t="s">
        <v>620</v>
      </c>
      <c r="L92" s="1">
        <v>492.0</v>
      </c>
      <c r="M92" s="1" t="s">
        <v>35</v>
      </c>
      <c r="N92" s="1" t="s">
        <v>36</v>
      </c>
      <c r="O92" s="1" t="s">
        <v>87</v>
      </c>
      <c r="P92" s="1">
        <v>1.65E8</v>
      </c>
      <c r="Q92" s="1">
        <v>2010.0</v>
      </c>
      <c r="R92" s="1">
        <v>18000.0</v>
      </c>
      <c r="S92" s="1">
        <v>953.0</v>
      </c>
      <c r="T92" s="1">
        <v>759.0</v>
      </c>
      <c r="U92" s="1">
        <v>20453.0</v>
      </c>
      <c r="V92" s="1">
        <v>255.0</v>
      </c>
      <c r="W92" s="1">
        <v>33000.0</v>
      </c>
      <c r="X92" s="1">
        <v>0.0</v>
      </c>
      <c r="Y92" s="1">
        <v>2.35</v>
      </c>
      <c r="Z92" s="1">
        <v>8.2</v>
      </c>
    </row>
    <row r="93" ht="14.25" customHeight="1">
      <c r="A93" s="1" t="s">
        <v>26</v>
      </c>
      <c r="B93" s="1" t="s">
        <v>621</v>
      </c>
      <c r="C93" s="1" t="s">
        <v>622</v>
      </c>
      <c r="D93" s="1">
        <v>1.50350192E8</v>
      </c>
      <c r="E93" s="1" t="s">
        <v>623</v>
      </c>
      <c r="F93" s="1" t="s">
        <v>624</v>
      </c>
      <c r="G93" s="1" t="s">
        <v>84</v>
      </c>
      <c r="H93" s="1" t="s">
        <v>625</v>
      </c>
      <c r="I93" s="1">
        <v>305340.0</v>
      </c>
      <c r="J93" s="1" t="s">
        <v>626</v>
      </c>
      <c r="K93" s="1" t="s">
        <v>627</v>
      </c>
      <c r="L93" s="1">
        <v>1676.0</v>
      </c>
      <c r="M93" s="1" t="s">
        <v>35</v>
      </c>
      <c r="N93" s="1" t="s">
        <v>36</v>
      </c>
      <c r="O93" s="1" t="s">
        <v>628</v>
      </c>
      <c r="P93" s="1">
        <v>2.0E8</v>
      </c>
      <c r="Q93" s="1">
        <v>2003.0</v>
      </c>
      <c r="R93" s="1">
        <v>648.0</v>
      </c>
      <c r="S93" s="1">
        <v>284.0</v>
      </c>
      <c r="T93" s="1">
        <v>191.0</v>
      </c>
      <c r="U93" s="1">
        <v>1769.0</v>
      </c>
      <c r="V93" s="1">
        <v>84.0</v>
      </c>
      <c r="W93" s="1">
        <v>0.0</v>
      </c>
      <c r="X93" s="1">
        <v>0.0</v>
      </c>
      <c r="Y93" s="1">
        <v>2.35</v>
      </c>
      <c r="Z93" s="1">
        <v>6.4</v>
      </c>
    </row>
    <row r="94" ht="14.25" customHeight="1">
      <c r="A94" s="1" t="s">
        <v>26</v>
      </c>
      <c r="B94" s="1" t="s">
        <v>629</v>
      </c>
      <c r="C94" s="1" t="s">
        <v>630</v>
      </c>
      <c r="D94" s="1">
        <v>3.33130696E8</v>
      </c>
      <c r="E94" s="1" t="s">
        <v>65</v>
      </c>
      <c r="F94" s="1" t="s">
        <v>631</v>
      </c>
      <c r="G94" s="1" t="s">
        <v>329</v>
      </c>
      <c r="H94" s="1" t="s">
        <v>632</v>
      </c>
      <c r="I94" s="1">
        <v>682155.0</v>
      </c>
      <c r="J94" s="1" t="s">
        <v>633</v>
      </c>
      <c r="K94" s="1" t="s">
        <v>634</v>
      </c>
      <c r="L94" s="1">
        <v>1097.0</v>
      </c>
      <c r="M94" s="1" t="s">
        <v>35</v>
      </c>
      <c r="N94" s="1" t="s">
        <v>36</v>
      </c>
      <c r="O94" s="1" t="s">
        <v>37</v>
      </c>
      <c r="P94" s="1">
        <v>1.7E8</v>
      </c>
      <c r="Q94" s="1">
        <v>2014.0</v>
      </c>
      <c r="R94" s="1">
        <v>14000.0</v>
      </c>
      <c r="S94" s="1">
        <v>14000.0</v>
      </c>
      <c r="T94" s="1">
        <v>3000.0</v>
      </c>
      <c r="U94" s="1">
        <v>32438.0</v>
      </c>
      <c r="V94" s="1">
        <v>571.0</v>
      </c>
      <c r="W94" s="1">
        <v>96000.0</v>
      </c>
      <c r="X94" s="1">
        <v>3.0</v>
      </c>
      <c r="Y94" s="1">
        <v>2.35</v>
      </c>
      <c r="Z94" s="1">
        <v>8.1</v>
      </c>
    </row>
    <row r="95" ht="14.25" customHeight="1">
      <c r="A95" s="1" t="s">
        <v>26</v>
      </c>
      <c r="B95" s="1" t="s">
        <v>55</v>
      </c>
      <c r="C95" s="1" t="s">
        <v>635</v>
      </c>
      <c r="D95" s="1">
        <v>1.87991439E8</v>
      </c>
      <c r="E95" s="1" t="s">
        <v>636</v>
      </c>
      <c r="F95" s="1" t="s">
        <v>637</v>
      </c>
      <c r="G95" s="1" t="s">
        <v>249</v>
      </c>
      <c r="H95" s="1" t="s">
        <v>638</v>
      </c>
      <c r="I95" s="1">
        <v>928227.0</v>
      </c>
      <c r="J95" s="1" t="s">
        <v>639</v>
      </c>
      <c r="K95" s="1" t="s">
        <v>640</v>
      </c>
      <c r="L95" s="1">
        <v>2725.0</v>
      </c>
      <c r="M95" s="1" t="s">
        <v>35</v>
      </c>
      <c r="N95" s="1" t="s">
        <v>36</v>
      </c>
      <c r="O95" s="1" t="s">
        <v>37</v>
      </c>
      <c r="P95" s="1">
        <v>1.65E8</v>
      </c>
      <c r="Q95" s="1">
        <v>2014.0</v>
      </c>
      <c r="R95" s="1">
        <v>11000.0</v>
      </c>
      <c r="S95" s="1">
        <v>11000.0</v>
      </c>
      <c r="T95" s="1">
        <v>6000.0</v>
      </c>
      <c r="U95" s="1">
        <v>31488.0</v>
      </c>
      <c r="V95" s="1">
        <v>22000.0</v>
      </c>
      <c r="W95" s="1">
        <v>349000.0</v>
      </c>
      <c r="X95" s="1">
        <v>1.0</v>
      </c>
      <c r="Y95" s="1">
        <v>2.35</v>
      </c>
      <c r="Z95" s="1">
        <v>8.6</v>
      </c>
    </row>
    <row r="96" ht="14.25" customHeight="1">
      <c r="A96" s="1" t="s">
        <v>26</v>
      </c>
      <c r="B96" s="1" t="s">
        <v>55</v>
      </c>
      <c r="C96" s="1" t="s">
        <v>641</v>
      </c>
      <c r="D96" s="1">
        <v>2.92568851E8</v>
      </c>
      <c r="E96" s="1" t="s">
        <v>219</v>
      </c>
      <c r="F96" s="1" t="s">
        <v>207</v>
      </c>
      <c r="G96" s="1" t="s">
        <v>58</v>
      </c>
      <c r="H96" s="1" t="s">
        <v>60</v>
      </c>
      <c r="I96" s="1">
        <v>1468200.0</v>
      </c>
      <c r="J96" s="1" t="s">
        <v>642</v>
      </c>
      <c r="K96" s="1" t="s">
        <v>643</v>
      </c>
      <c r="L96" s="1">
        <v>2803.0</v>
      </c>
      <c r="M96" s="1" t="s">
        <v>35</v>
      </c>
      <c r="N96" s="1" t="s">
        <v>36</v>
      </c>
      <c r="O96" s="1" t="s">
        <v>37</v>
      </c>
      <c r="P96" s="1">
        <v>1.6E8</v>
      </c>
      <c r="Q96" s="1">
        <v>2010.0</v>
      </c>
      <c r="R96" s="1">
        <v>29000.0</v>
      </c>
      <c r="S96" s="1">
        <v>27000.0</v>
      </c>
      <c r="T96" s="1">
        <v>23000.0</v>
      </c>
      <c r="U96" s="1">
        <v>81115.0</v>
      </c>
      <c r="V96" s="1">
        <v>22000.0</v>
      </c>
      <c r="W96" s="1">
        <v>175000.0</v>
      </c>
      <c r="X96" s="1">
        <v>0.0</v>
      </c>
      <c r="Y96" s="1">
        <v>2.35</v>
      </c>
      <c r="Z96" s="1">
        <v>8.8</v>
      </c>
    </row>
    <row r="97" ht="14.25" customHeight="1">
      <c r="A97" s="1" t="s">
        <v>26</v>
      </c>
      <c r="B97" s="1" t="s">
        <v>484</v>
      </c>
      <c r="C97" s="1" t="s">
        <v>644</v>
      </c>
      <c r="D97" s="1">
        <v>1.4451231E8</v>
      </c>
      <c r="E97" s="1" t="s">
        <v>326</v>
      </c>
      <c r="F97" s="1" t="s">
        <v>328</v>
      </c>
      <c r="G97" s="1" t="s">
        <v>329</v>
      </c>
      <c r="H97" s="1" t="s">
        <v>645</v>
      </c>
      <c r="I97" s="1">
        <v>272223.0</v>
      </c>
      <c r="J97" s="1" t="s">
        <v>646</v>
      </c>
      <c r="K97" s="1" t="s">
        <v>647</v>
      </c>
      <c r="L97" s="1">
        <v>988.0</v>
      </c>
      <c r="M97" s="1" t="s">
        <v>35</v>
      </c>
      <c r="N97" s="1" t="s">
        <v>36</v>
      </c>
      <c r="O97" s="1" t="s">
        <v>37</v>
      </c>
      <c r="P97" s="1">
        <v>3.8E7</v>
      </c>
      <c r="Q97" s="1">
        <v>2001.0</v>
      </c>
      <c r="R97" s="1">
        <v>23000.0</v>
      </c>
      <c r="S97" s="1">
        <v>14000.0</v>
      </c>
      <c r="T97" s="1">
        <v>4000.0</v>
      </c>
      <c r="U97" s="1">
        <v>45327.0</v>
      </c>
      <c r="V97" s="1">
        <v>357.0</v>
      </c>
      <c r="W97" s="1">
        <v>14000.0</v>
      </c>
      <c r="X97" s="1">
        <v>2.0</v>
      </c>
      <c r="Y97" s="1">
        <v>2.35</v>
      </c>
      <c r="Z97" s="1">
        <v>6.7</v>
      </c>
    </row>
    <row r="98" ht="14.25" customHeight="1">
      <c r="A98" s="1" t="s">
        <v>26</v>
      </c>
      <c r="B98" s="1" t="s">
        <v>648</v>
      </c>
      <c r="C98" s="1" t="s">
        <v>649</v>
      </c>
      <c r="D98" s="1">
        <v>1.27490802E8</v>
      </c>
      <c r="E98" s="1" t="s">
        <v>650</v>
      </c>
      <c r="F98" s="1" t="s">
        <v>335</v>
      </c>
      <c r="G98" s="1" t="s">
        <v>651</v>
      </c>
      <c r="H98" s="1" t="s">
        <v>652</v>
      </c>
      <c r="I98" s="1">
        <v>459346.0</v>
      </c>
      <c r="J98" s="1" t="s">
        <v>653</v>
      </c>
      <c r="K98" s="1" t="s">
        <v>654</v>
      </c>
      <c r="L98" s="1">
        <v>822.0</v>
      </c>
      <c r="M98" s="1" t="s">
        <v>35</v>
      </c>
      <c r="N98" s="1" t="s">
        <v>36</v>
      </c>
      <c r="O98" s="1" t="s">
        <v>37</v>
      </c>
      <c r="P98" s="1">
        <v>1.5E8</v>
      </c>
      <c r="Q98" s="1">
        <v>2008.0</v>
      </c>
      <c r="R98" s="1">
        <v>11000.0</v>
      </c>
      <c r="S98" s="1">
        <v>1000.0</v>
      </c>
      <c r="T98" s="1">
        <v>919.0</v>
      </c>
      <c r="U98" s="1">
        <v>13333.0</v>
      </c>
      <c r="V98" s="1">
        <v>21000.0</v>
      </c>
      <c r="W98" s="1">
        <v>23000.0</v>
      </c>
      <c r="X98" s="1">
        <v>2.0</v>
      </c>
      <c r="Y98" s="1">
        <v>2.35</v>
      </c>
      <c r="Z98" s="1">
        <v>7.8</v>
      </c>
    </row>
    <row r="99" ht="14.25" customHeight="1">
      <c r="A99" s="1" t="s">
        <v>26</v>
      </c>
      <c r="B99" s="1" t="s">
        <v>655</v>
      </c>
      <c r="C99" s="1" t="s">
        <v>656</v>
      </c>
      <c r="D99" s="1">
        <v>1.46405371E8</v>
      </c>
      <c r="E99" s="1" t="s">
        <v>65</v>
      </c>
      <c r="F99" s="1" t="s">
        <v>340</v>
      </c>
      <c r="G99" s="1" t="s">
        <v>444</v>
      </c>
      <c r="H99" s="1" t="s">
        <v>415</v>
      </c>
      <c r="I99" s="1">
        <v>518537.0</v>
      </c>
      <c r="J99" s="1" t="s">
        <v>657</v>
      </c>
      <c r="K99" s="1" t="s">
        <v>658</v>
      </c>
      <c r="L99" s="1">
        <v>698.0</v>
      </c>
      <c r="M99" s="1" t="s">
        <v>35</v>
      </c>
      <c r="N99" s="1" t="s">
        <v>36</v>
      </c>
      <c r="O99" s="1" t="s">
        <v>37</v>
      </c>
      <c r="P99" s="1">
        <v>1.6E8</v>
      </c>
      <c r="Q99" s="1">
        <v>2011.0</v>
      </c>
      <c r="R99" s="1">
        <v>34000.0</v>
      </c>
      <c r="S99" s="1">
        <v>13000.0</v>
      </c>
      <c r="T99" s="1">
        <v>1000.0</v>
      </c>
      <c r="U99" s="1">
        <v>50983.0</v>
      </c>
      <c r="V99" s="1">
        <v>905.0</v>
      </c>
      <c r="W99" s="1">
        <v>54000.0</v>
      </c>
      <c r="X99" s="1">
        <v>3.0</v>
      </c>
      <c r="Y99" s="1">
        <v>2.35</v>
      </c>
      <c r="Z99" s="1">
        <v>7.8</v>
      </c>
    </row>
    <row r="100" ht="14.25" customHeight="1">
      <c r="A100" s="1" t="s">
        <v>26</v>
      </c>
      <c r="B100" s="1" t="s">
        <v>659</v>
      </c>
      <c r="C100" s="1" t="s">
        <v>660</v>
      </c>
      <c r="D100" s="1">
        <v>2.81666058E8</v>
      </c>
      <c r="E100" s="1" t="s">
        <v>661</v>
      </c>
      <c r="F100" s="1" t="s">
        <v>340</v>
      </c>
      <c r="G100" s="1" t="s">
        <v>662</v>
      </c>
      <c r="H100" s="1" t="s">
        <v>663</v>
      </c>
      <c r="I100" s="1">
        <v>166137.0</v>
      </c>
      <c r="J100" s="1" t="s">
        <v>664</v>
      </c>
      <c r="K100" s="1" t="s">
        <v>665</v>
      </c>
      <c r="L100" s="1">
        <v>383.0</v>
      </c>
      <c r="M100" s="1" t="s">
        <v>35</v>
      </c>
      <c r="N100" s="1" t="s">
        <v>36</v>
      </c>
      <c r="O100" s="1" t="s">
        <v>37</v>
      </c>
      <c r="P100" s="1">
        <v>1.6E8</v>
      </c>
      <c r="Q100" s="1">
        <v>2015.0</v>
      </c>
      <c r="R100" s="1">
        <v>34000.0</v>
      </c>
      <c r="S100" s="1">
        <v>22000.0</v>
      </c>
      <c r="T100" s="1">
        <v>14000.0</v>
      </c>
      <c r="U100" s="1">
        <v>81385.0</v>
      </c>
      <c r="V100" s="1">
        <v>508.0</v>
      </c>
      <c r="W100" s="1">
        <v>38000.0</v>
      </c>
      <c r="X100" s="1">
        <v>1.0</v>
      </c>
      <c r="Y100" s="1">
        <v>2.35</v>
      </c>
      <c r="Z100" s="1">
        <v>6.6</v>
      </c>
    </row>
    <row r="101" ht="14.25" customHeight="1">
      <c r="A101" s="1" t="s">
        <v>26</v>
      </c>
      <c r="B101" s="1" t="s">
        <v>666</v>
      </c>
      <c r="C101" s="1" t="s">
        <v>667</v>
      </c>
      <c r="D101" s="1">
        <v>6.3143812E7</v>
      </c>
      <c r="E101" s="1" t="s">
        <v>140</v>
      </c>
      <c r="F101" s="1" t="s">
        <v>668</v>
      </c>
      <c r="G101" s="1" t="s">
        <v>669</v>
      </c>
      <c r="H101" s="1" t="s">
        <v>670</v>
      </c>
      <c r="I101" s="1">
        <v>124185.0</v>
      </c>
      <c r="J101" s="1" t="s">
        <v>671</v>
      </c>
      <c r="K101" s="1" t="s">
        <v>672</v>
      </c>
      <c r="L101" s="1">
        <v>238.0</v>
      </c>
      <c r="M101" s="1" t="s">
        <v>35</v>
      </c>
      <c r="N101" s="1" t="s">
        <v>36</v>
      </c>
      <c r="O101" s="1" t="s">
        <v>87</v>
      </c>
      <c r="P101" s="1">
        <v>1.5E8</v>
      </c>
      <c r="Q101" s="1">
        <v>2010.0</v>
      </c>
      <c r="R101" s="1">
        <v>12000.0</v>
      </c>
      <c r="S101" s="1">
        <v>418.0</v>
      </c>
      <c r="T101" s="1">
        <v>370.0</v>
      </c>
      <c r="U101" s="1">
        <v>13388.0</v>
      </c>
      <c r="V101" s="1">
        <v>226.0</v>
      </c>
      <c r="W101" s="1">
        <v>11000.0</v>
      </c>
      <c r="X101" s="1">
        <v>0.0</v>
      </c>
      <c r="Y101" s="1">
        <v>2.35</v>
      </c>
      <c r="Z101" s="1">
        <v>6.1</v>
      </c>
    </row>
    <row r="102" ht="14.25" customHeight="1">
      <c r="A102" s="1" t="s">
        <v>26</v>
      </c>
      <c r="B102" s="1" t="s">
        <v>673</v>
      </c>
      <c r="C102" s="1" t="s">
        <v>674</v>
      </c>
      <c r="D102" s="1">
        <v>6.0655503E7</v>
      </c>
      <c r="E102" s="1" t="s">
        <v>675</v>
      </c>
      <c r="F102" s="1" t="s">
        <v>502</v>
      </c>
      <c r="G102" s="1" t="s">
        <v>676</v>
      </c>
      <c r="H102" s="1" t="s">
        <v>677</v>
      </c>
      <c r="I102" s="1">
        <v>82380.0</v>
      </c>
      <c r="J102" s="1" t="s">
        <v>678</v>
      </c>
      <c r="K102" s="1" t="s">
        <v>679</v>
      </c>
      <c r="L102" s="1">
        <v>629.0</v>
      </c>
      <c r="M102" s="1" t="s">
        <v>35</v>
      </c>
      <c r="N102" s="1" t="s">
        <v>36</v>
      </c>
      <c r="O102" s="1" t="s">
        <v>37</v>
      </c>
      <c r="P102" s="1">
        <v>1.6E8</v>
      </c>
      <c r="Q102" s="1">
        <v>2006.0</v>
      </c>
      <c r="R102" s="1">
        <v>87000.0</v>
      </c>
      <c r="S102" s="1">
        <v>2000.0</v>
      </c>
      <c r="T102" s="1">
        <v>702.0</v>
      </c>
      <c r="U102" s="1">
        <v>92456.0</v>
      </c>
      <c r="V102" s="1">
        <v>249.0</v>
      </c>
      <c r="W102" s="1">
        <v>0.0</v>
      </c>
      <c r="X102" s="1">
        <v>0.0</v>
      </c>
      <c r="Y102" s="1">
        <v>2.35</v>
      </c>
      <c r="Z102" s="1">
        <v>5.6</v>
      </c>
    </row>
    <row r="103" ht="14.25" customHeight="1">
      <c r="A103" s="1" t="s">
        <v>26</v>
      </c>
      <c r="B103" s="1" t="s">
        <v>680</v>
      </c>
      <c r="C103" s="1" t="s">
        <v>681</v>
      </c>
      <c r="D103" s="1">
        <v>7.6846624E7</v>
      </c>
      <c r="E103" s="1" t="s">
        <v>192</v>
      </c>
      <c r="F103" s="1" t="s">
        <v>41</v>
      </c>
      <c r="G103" s="1" t="s">
        <v>98</v>
      </c>
      <c r="H103" s="1" t="s">
        <v>249</v>
      </c>
      <c r="I103" s="1">
        <v>21352.0</v>
      </c>
      <c r="J103" s="1" t="s">
        <v>682</v>
      </c>
      <c r="K103" s="1" t="s">
        <v>683</v>
      </c>
      <c r="L103" s="1">
        <v>131.0</v>
      </c>
      <c r="M103" s="1" t="s">
        <v>35</v>
      </c>
      <c r="N103" s="1" t="s">
        <v>36</v>
      </c>
      <c r="O103" s="1" t="s">
        <v>87</v>
      </c>
      <c r="P103" s="1">
        <v>1.7E8</v>
      </c>
      <c r="Q103" s="1">
        <v>2016.0</v>
      </c>
      <c r="R103" s="1">
        <v>40000.0</v>
      </c>
      <c r="S103" s="1">
        <v>25000.0</v>
      </c>
      <c r="T103" s="1">
        <v>11000.0</v>
      </c>
      <c r="U103" s="1">
        <v>80806.0</v>
      </c>
      <c r="V103" s="1">
        <v>33.0</v>
      </c>
      <c r="W103" s="1">
        <v>30000.0</v>
      </c>
      <c r="X103" s="1">
        <v>1.0</v>
      </c>
      <c r="Y103" s="1">
        <v>1.85</v>
      </c>
      <c r="Z103" s="1">
        <v>6.4</v>
      </c>
    </row>
    <row r="104" ht="14.25" customHeight="1">
      <c r="A104" s="1" t="s">
        <v>26</v>
      </c>
      <c r="B104" s="1" t="s">
        <v>684</v>
      </c>
      <c r="C104" s="1" t="s">
        <v>685</v>
      </c>
      <c r="D104" s="1">
        <v>3.20706665E8</v>
      </c>
      <c r="E104" s="1" t="s">
        <v>263</v>
      </c>
      <c r="F104" s="1" t="s">
        <v>686</v>
      </c>
      <c r="G104" s="1" t="s">
        <v>687</v>
      </c>
      <c r="H104" s="1" t="s">
        <v>688</v>
      </c>
      <c r="I104" s="1">
        <v>211971.0</v>
      </c>
      <c r="J104" s="1" t="s">
        <v>689</v>
      </c>
      <c r="K104" s="1" t="s">
        <v>690</v>
      </c>
      <c r="L104" s="1">
        <v>326.0</v>
      </c>
      <c r="M104" s="1" t="s">
        <v>35</v>
      </c>
      <c r="N104" s="1" t="s">
        <v>36</v>
      </c>
      <c r="O104" s="1" t="s">
        <v>87</v>
      </c>
      <c r="P104" s="1">
        <v>1.6E8</v>
      </c>
      <c r="Q104" s="1">
        <v>2007.0</v>
      </c>
      <c r="R104" s="1">
        <v>3000.0</v>
      </c>
      <c r="S104" s="1">
        <v>795.0</v>
      </c>
      <c r="T104" s="1">
        <v>692.0</v>
      </c>
      <c r="U104" s="1">
        <v>4705.0</v>
      </c>
      <c r="V104" s="1">
        <v>50.0</v>
      </c>
      <c r="W104" s="1">
        <v>0.0</v>
      </c>
      <c r="X104" s="1">
        <v>2.0</v>
      </c>
      <c r="Y104" s="1">
        <v>1.85</v>
      </c>
      <c r="Z104" s="1">
        <v>6.1</v>
      </c>
    </row>
    <row r="105" ht="14.25" customHeight="1">
      <c r="A105" s="1" t="s">
        <v>26</v>
      </c>
      <c r="B105" s="1" t="s">
        <v>691</v>
      </c>
      <c r="C105" s="1" t="s">
        <v>692</v>
      </c>
      <c r="D105" s="1">
        <v>4.6978995E7</v>
      </c>
      <c r="E105" s="1" t="s">
        <v>40</v>
      </c>
      <c r="F105" s="1" t="s">
        <v>693</v>
      </c>
      <c r="G105" s="1" t="s">
        <v>694</v>
      </c>
      <c r="H105" s="1" t="s">
        <v>695</v>
      </c>
      <c r="I105" s="1">
        <v>111609.0</v>
      </c>
      <c r="J105" s="1" t="s">
        <v>696</v>
      </c>
      <c r="K105" s="1" t="s">
        <v>697</v>
      </c>
      <c r="L105" s="1">
        <v>781.0</v>
      </c>
      <c r="M105" s="1" t="s">
        <v>35</v>
      </c>
      <c r="N105" s="1" t="s">
        <v>36</v>
      </c>
      <c r="O105" s="1" t="s">
        <v>37</v>
      </c>
      <c r="P105" s="1">
        <v>1.6E8</v>
      </c>
      <c r="Q105" s="1">
        <v>2016.0</v>
      </c>
      <c r="R105" s="1">
        <v>3000.0</v>
      </c>
      <c r="S105" s="1">
        <v>716.0</v>
      </c>
      <c r="T105" s="1">
        <v>648.0</v>
      </c>
      <c r="U105" s="1">
        <v>5505.0</v>
      </c>
      <c r="V105" s="1">
        <v>0.0</v>
      </c>
      <c r="W105" s="1">
        <v>89000.0</v>
      </c>
      <c r="X105" s="1">
        <v>0.0</v>
      </c>
      <c r="Y105" s="1">
        <v>2.35</v>
      </c>
      <c r="Z105" s="1">
        <v>7.3</v>
      </c>
    </row>
    <row r="106" ht="14.25" customHeight="1">
      <c r="A106" s="1" t="s">
        <v>26</v>
      </c>
      <c r="B106" s="1" t="s">
        <v>698</v>
      </c>
      <c r="C106" s="1" t="s">
        <v>699</v>
      </c>
      <c r="D106" s="1">
        <v>8.9732035E7</v>
      </c>
      <c r="E106" s="1" t="s">
        <v>65</v>
      </c>
      <c r="F106" s="1" t="s">
        <v>74</v>
      </c>
      <c r="G106" s="1" t="s">
        <v>700</v>
      </c>
      <c r="H106" s="1" t="s">
        <v>701</v>
      </c>
      <c r="I106" s="1">
        <v>188457.0</v>
      </c>
      <c r="J106" s="1" t="s">
        <v>702</v>
      </c>
      <c r="K106" s="1" t="s">
        <v>703</v>
      </c>
      <c r="L106" s="1">
        <v>867.0</v>
      </c>
      <c r="M106" s="1" t="s">
        <v>35</v>
      </c>
      <c r="N106" s="1" t="s">
        <v>36</v>
      </c>
      <c r="O106" s="1" t="s">
        <v>37</v>
      </c>
      <c r="P106" s="1">
        <v>1.55E8</v>
      </c>
      <c r="Q106" s="1">
        <v>2015.0</v>
      </c>
      <c r="R106" s="1">
        <v>24000.0</v>
      </c>
      <c r="S106" s="1">
        <v>10000.0</v>
      </c>
      <c r="T106" s="1">
        <v>2000.0</v>
      </c>
      <c r="U106" s="1">
        <v>38873.0</v>
      </c>
      <c r="V106" s="1">
        <v>230.0</v>
      </c>
      <c r="W106" s="1">
        <v>82000.0</v>
      </c>
      <c r="X106" s="1">
        <v>2.0</v>
      </c>
      <c r="Y106" s="1">
        <v>2.35</v>
      </c>
      <c r="Z106" s="1">
        <v>6.6</v>
      </c>
    </row>
    <row r="107" ht="14.25" customHeight="1">
      <c r="A107" s="1" t="s">
        <v>26</v>
      </c>
      <c r="B107" s="1" t="s">
        <v>704</v>
      </c>
      <c r="C107" s="1" t="s">
        <v>705</v>
      </c>
      <c r="D107" s="1">
        <v>1.04383624E8</v>
      </c>
      <c r="E107" s="1" t="s">
        <v>192</v>
      </c>
      <c r="F107" s="1" t="s">
        <v>706</v>
      </c>
      <c r="G107" s="1" t="s">
        <v>440</v>
      </c>
      <c r="H107" s="1" t="s">
        <v>707</v>
      </c>
      <c r="I107" s="1">
        <v>106446.0</v>
      </c>
      <c r="J107" s="1" t="s">
        <v>708</v>
      </c>
      <c r="K107" s="1" t="s">
        <v>709</v>
      </c>
      <c r="L107" s="1">
        <v>227.0</v>
      </c>
      <c r="M107" s="1" t="s">
        <v>35</v>
      </c>
      <c r="N107" s="1" t="s">
        <v>36</v>
      </c>
      <c r="O107" s="1" t="s">
        <v>87</v>
      </c>
      <c r="P107" s="1">
        <v>1.55E8</v>
      </c>
      <c r="Q107" s="1">
        <v>2010.0</v>
      </c>
      <c r="R107" s="1">
        <v>531.0</v>
      </c>
      <c r="S107" s="1">
        <v>82.0</v>
      </c>
      <c r="T107" s="1">
        <v>59.0</v>
      </c>
      <c r="U107" s="1">
        <v>764.0</v>
      </c>
      <c r="V107" s="1">
        <v>150.0</v>
      </c>
      <c r="W107" s="1">
        <v>11000.0</v>
      </c>
      <c r="X107" s="1">
        <v>4.0</v>
      </c>
      <c r="Y107" s="1">
        <v>1.78</v>
      </c>
      <c r="Z107" s="1">
        <v>6.3</v>
      </c>
    </row>
    <row r="108" ht="14.25" customHeight="1">
      <c r="A108" s="1" t="s">
        <v>710</v>
      </c>
      <c r="B108" s="1" t="s">
        <v>270</v>
      </c>
      <c r="C108" s="1" t="s">
        <v>711</v>
      </c>
      <c r="D108" s="1">
        <v>1.98539855E8</v>
      </c>
      <c r="E108" s="1" t="s">
        <v>712</v>
      </c>
      <c r="F108" s="1" t="s">
        <v>713</v>
      </c>
      <c r="G108" s="1" t="s">
        <v>714</v>
      </c>
      <c r="H108" s="1" t="s">
        <v>715</v>
      </c>
      <c r="I108" s="1">
        <v>254111.0</v>
      </c>
      <c r="J108" s="1" t="s">
        <v>716</v>
      </c>
      <c r="K108" s="1" t="s">
        <v>717</v>
      </c>
      <c r="L108" s="1">
        <v>1999.0</v>
      </c>
      <c r="M108" s="1" t="s">
        <v>35</v>
      </c>
      <c r="N108" s="1" t="s">
        <v>36</v>
      </c>
      <c r="O108" s="1" t="s">
        <v>37</v>
      </c>
      <c r="P108" s="1">
        <v>1.4E8</v>
      </c>
      <c r="Q108" s="1">
        <v>2001.0</v>
      </c>
      <c r="R108" s="1">
        <v>3000.0</v>
      </c>
      <c r="S108" s="1">
        <v>961.0</v>
      </c>
      <c r="T108" s="1">
        <v>691.0</v>
      </c>
      <c r="U108" s="1">
        <v>5401.0</v>
      </c>
      <c r="V108" s="1">
        <v>0.0</v>
      </c>
      <c r="W108" s="1">
        <v>0.0</v>
      </c>
      <c r="X108" s="1">
        <v>0.0</v>
      </c>
      <c r="Y108" s="1">
        <v>2.35</v>
      </c>
      <c r="Z108" s="1">
        <v>6.1</v>
      </c>
    </row>
    <row r="109" ht="14.25" customHeight="1">
      <c r="A109" s="1" t="s">
        <v>26</v>
      </c>
      <c r="B109" s="1" t="s">
        <v>270</v>
      </c>
      <c r="C109" s="1" t="s">
        <v>718</v>
      </c>
      <c r="D109" s="1">
        <v>3.18759914E8</v>
      </c>
      <c r="E109" s="1" t="s">
        <v>65</v>
      </c>
      <c r="F109" s="1" t="s">
        <v>719</v>
      </c>
      <c r="G109" s="1" t="s">
        <v>720</v>
      </c>
      <c r="H109" s="1" t="s">
        <v>273</v>
      </c>
      <c r="I109" s="1">
        <v>513158.0</v>
      </c>
      <c r="J109" s="1" t="s">
        <v>721</v>
      </c>
      <c r="K109" s="1" t="s">
        <v>722</v>
      </c>
      <c r="L109" s="1">
        <v>1782.0</v>
      </c>
      <c r="M109" s="1" t="s">
        <v>35</v>
      </c>
      <c r="N109" s="1" t="s">
        <v>36</v>
      </c>
      <c r="O109" s="1" t="s">
        <v>37</v>
      </c>
      <c r="P109" s="1">
        <v>1.5E8</v>
      </c>
      <c r="Q109" s="1">
        <v>2007.0</v>
      </c>
      <c r="R109" s="1">
        <v>662.0</v>
      </c>
      <c r="S109" s="1">
        <v>599.0</v>
      </c>
      <c r="T109" s="1">
        <v>581.0</v>
      </c>
      <c r="U109" s="1">
        <v>2333.0</v>
      </c>
      <c r="V109" s="1">
        <v>0.0</v>
      </c>
      <c r="W109" s="1">
        <v>8000.0</v>
      </c>
      <c r="X109" s="1">
        <v>0.0</v>
      </c>
      <c r="Y109" s="1">
        <v>2.35</v>
      </c>
      <c r="Z109" s="1">
        <v>7.1</v>
      </c>
    </row>
    <row r="110" ht="14.25" customHeight="1">
      <c r="A110" s="1" t="s">
        <v>26</v>
      </c>
      <c r="B110" s="1" t="s">
        <v>723</v>
      </c>
      <c r="C110" s="1" t="s">
        <v>724</v>
      </c>
      <c r="D110" s="1">
        <v>3.4293771E7</v>
      </c>
      <c r="E110" s="1" t="s">
        <v>725</v>
      </c>
      <c r="F110" s="1" t="s">
        <v>726</v>
      </c>
      <c r="G110" s="1" t="s">
        <v>550</v>
      </c>
      <c r="H110" s="1" t="s">
        <v>727</v>
      </c>
      <c r="I110" s="1">
        <v>138863.0</v>
      </c>
      <c r="J110" s="1" t="s">
        <v>728</v>
      </c>
      <c r="K110" s="1" t="s">
        <v>729</v>
      </c>
      <c r="L110" s="1">
        <v>1390.0</v>
      </c>
      <c r="M110" s="1" t="s">
        <v>35</v>
      </c>
      <c r="N110" s="1" t="s">
        <v>730</v>
      </c>
      <c r="O110" s="1" t="s">
        <v>628</v>
      </c>
      <c r="P110" s="1">
        <v>1.55E8</v>
      </c>
      <c r="Q110" s="1">
        <v>2004.0</v>
      </c>
      <c r="R110" s="1">
        <v>12000.0</v>
      </c>
      <c r="S110" s="1">
        <v>11000.0</v>
      </c>
      <c r="T110" s="1">
        <v>591.0</v>
      </c>
      <c r="U110" s="1">
        <v>24598.0</v>
      </c>
      <c r="V110" s="1">
        <v>0.0</v>
      </c>
      <c r="W110" s="1">
        <v>0.0</v>
      </c>
      <c r="X110" s="1">
        <v>3.0</v>
      </c>
      <c r="Y110" s="1">
        <v>2.35</v>
      </c>
      <c r="Z110" s="1">
        <v>5.5</v>
      </c>
    </row>
    <row r="111" ht="14.25" customHeight="1">
      <c r="A111" s="1" t="s">
        <v>26</v>
      </c>
      <c r="B111" s="1" t="s">
        <v>95</v>
      </c>
      <c r="C111" s="1" t="s">
        <v>731</v>
      </c>
      <c r="D111" s="1">
        <v>2.92000866E8</v>
      </c>
      <c r="E111" s="1" t="s">
        <v>97</v>
      </c>
      <c r="F111" s="1" t="s">
        <v>732</v>
      </c>
      <c r="G111" s="1" t="s">
        <v>99</v>
      </c>
      <c r="H111" s="1" t="s">
        <v>733</v>
      </c>
      <c r="I111" s="1">
        <v>355137.0</v>
      </c>
      <c r="J111" s="1" t="s">
        <v>734</v>
      </c>
      <c r="K111" s="1" t="s">
        <v>735</v>
      </c>
      <c r="L111" s="1">
        <v>1108.0</v>
      </c>
      <c r="M111" s="1" t="s">
        <v>35</v>
      </c>
      <c r="N111" s="1" t="s">
        <v>54</v>
      </c>
      <c r="O111" s="1" t="s">
        <v>37</v>
      </c>
      <c r="P111" s="1">
        <v>1.5E8</v>
      </c>
      <c r="Q111" s="1">
        <v>2007.0</v>
      </c>
      <c r="R111" s="1">
        <v>21000.0</v>
      </c>
      <c r="S111" s="1">
        <v>11000.0</v>
      </c>
      <c r="T111" s="1">
        <v>687.0</v>
      </c>
      <c r="U111" s="1">
        <v>33433.0</v>
      </c>
      <c r="V111" s="1">
        <v>282.0</v>
      </c>
      <c r="W111" s="1">
        <v>0.0</v>
      </c>
      <c r="X111" s="1">
        <v>3.0</v>
      </c>
      <c r="Y111" s="1">
        <v>2.35</v>
      </c>
      <c r="Z111" s="1">
        <v>7.5</v>
      </c>
    </row>
    <row r="112" ht="14.25" customHeight="1">
      <c r="A112" s="1" t="s">
        <v>26</v>
      </c>
      <c r="B112" s="1" t="s">
        <v>363</v>
      </c>
      <c r="C112" s="1" t="s">
        <v>736</v>
      </c>
      <c r="D112" s="1">
        <v>2.89994397E8</v>
      </c>
      <c r="E112" s="1" t="s">
        <v>97</v>
      </c>
      <c r="F112" s="1" t="s">
        <v>732</v>
      </c>
      <c r="G112" s="1" t="s">
        <v>99</v>
      </c>
      <c r="H112" s="1" t="s">
        <v>100</v>
      </c>
      <c r="I112" s="1">
        <v>385670.0</v>
      </c>
      <c r="J112" s="1" t="s">
        <v>737</v>
      </c>
      <c r="K112" s="1" t="s">
        <v>738</v>
      </c>
      <c r="L112" s="1">
        <v>1896.0</v>
      </c>
      <c r="M112" s="1" t="s">
        <v>35</v>
      </c>
      <c r="N112" s="1" t="s">
        <v>54</v>
      </c>
      <c r="O112" s="1" t="s">
        <v>37</v>
      </c>
      <c r="P112" s="1">
        <v>1.5E8</v>
      </c>
      <c r="Q112" s="1">
        <v>2005.0</v>
      </c>
      <c r="R112" s="1">
        <v>21000.0</v>
      </c>
      <c r="S112" s="1">
        <v>11000.0</v>
      </c>
      <c r="T112" s="1">
        <v>10000.0</v>
      </c>
      <c r="U112" s="1">
        <v>53413.0</v>
      </c>
      <c r="V112" s="1">
        <v>179.0</v>
      </c>
      <c r="W112" s="1">
        <v>0.0</v>
      </c>
      <c r="X112" s="1">
        <v>1.0</v>
      </c>
      <c r="Y112" s="1">
        <v>2.35</v>
      </c>
      <c r="Z112" s="1">
        <v>7.6</v>
      </c>
    </row>
    <row r="113" ht="14.25" customHeight="1">
      <c r="A113" s="1" t="s">
        <v>26</v>
      </c>
      <c r="B113" s="1" t="s">
        <v>217</v>
      </c>
      <c r="C113" s="1" t="s">
        <v>739</v>
      </c>
      <c r="D113" s="1">
        <v>2.27946274E8</v>
      </c>
      <c r="E113" s="1" t="s">
        <v>740</v>
      </c>
      <c r="F113" s="1" t="s">
        <v>158</v>
      </c>
      <c r="G113" s="1" t="s">
        <v>741</v>
      </c>
      <c r="H113" s="1" t="s">
        <v>351</v>
      </c>
      <c r="I113" s="1">
        <v>343648.0</v>
      </c>
      <c r="J113" s="1" t="s">
        <v>742</v>
      </c>
      <c r="K113" s="1" t="s">
        <v>743</v>
      </c>
      <c r="L113" s="1">
        <v>590.0</v>
      </c>
      <c r="M113" s="1" t="s">
        <v>35</v>
      </c>
      <c r="N113" s="1" t="s">
        <v>36</v>
      </c>
      <c r="O113" s="1" t="s">
        <v>37</v>
      </c>
      <c r="P113" s="1">
        <v>1.5E8</v>
      </c>
      <c r="Q113" s="1">
        <v>2008.0</v>
      </c>
      <c r="R113" s="1">
        <v>10000.0</v>
      </c>
      <c r="S113" s="1">
        <v>9000.0</v>
      </c>
      <c r="T113" s="1">
        <v>979.0</v>
      </c>
      <c r="U113" s="1">
        <v>21584.0</v>
      </c>
      <c r="V113" s="1">
        <v>532.0</v>
      </c>
      <c r="W113" s="1">
        <v>0.0</v>
      </c>
      <c r="X113" s="1">
        <v>0.0</v>
      </c>
      <c r="Y113" s="1">
        <v>2.35</v>
      </c>
      <c r="Z113" s="1">
        <v>6.4</v>
      </c>
    </row>
    <row r="114" ht="14.25" customHeight="1">
      <c r="A114" s="1" t="s">
        <v>26</v>
      </c>
      <c r="B114" s="1" t="s">
        <v>659</v>
      </c>
      <c r="C114" s="1" t="s">
        <v>744</v>
      </c>
      <c r="D114" s="1">
        <v>2.56386216E8</v>
      </c>
      <c r="E114" s="1" t="s">
        <v>745</v>
      </c>
      <c r="F114" s="1" t="s">
        <v>158</v>
      </c>
      <c r="G114" s="1" t="s">
        <v>746</v>
      </c>
      <c r="H114" s="1" t="s">
        <v>747</v>
      </c>
      <c r="I114" s="1">
        <v>530870.0</v>
      </c>
      <c r="J114" s="1" t="s">
        <v>748</v>
      </c>
      <c r="K114" s="1" t="s">
        <v>749</v>
      </c>
      <c r="L114" s="1">
        <v>1413.0</v>
      </c>
      <c r="M114" s="1" t="s">
        <v>35</v>
      </c>
      <c r="N114" s="1" t="s">
        <v>36</v>
      </c>
      <c r="O114" s="1" t="s">
        <v>37</v>
      </c>
      <c r="P114" s="1">
        <v>1.5E8</v>
      </c>
      <c r="Q114" s="1">
        <v>2007.0</v>
      </c>
      <c r="R114" s="1">
        <v>10000.0</v>
      </c>
      <c r="S114" s="1">
        <v>1000.0</v>
      </c>
      <c r="T114" s="1">
        <v>558.0</v>
      </c>
      <c r="U114" s="1">
        <v>13076.0</v>
      </c>
      <c r="V114" s="1">
        <v>508.0</v>
      </c>
      <c r="W114" s="1">
        <v>11000.0</v>
      </c>
      <c r="X114" s="1">
        <v>0.0</v>
      </c>
      <c r="Y114" s="1">
        <v>2.35</v>
      </c>
      <c r="Z114" s="1">
        <v>7.2</v>
      </c>
    </row>
    <row r="115" ht="14.25" customHeight="1">
      <c r="A115" s="1" t="s">
        <v>26</v>
      </c>
      <c r="B115" s="1" t="s">
        <v>247</v>
      </c>
      <c r="C115" s="1" t="s">
        <v>750</v>
      </c>
      <c r="D115" s="1">
        <v>2.06456431E8</v>
      </c>
      <c r="E115" s="1" t="s">
        <v>751</v>
      </c>
      <c r="F115" s="1" t="s">
        <v>41</v>
      </c>
      <c r="G115" s="1" t="s">
        <v>193</v>
      </c>
      <c r="H115" s="1" t="s">
        <v>752</v>
      </c>
      <c r="I115" s="1">
        <v>320284.0</v>
      </c>
      <c r="J115" s="1" t="s">
        <v>753</v>
      </c>
      <c r="K115" s="1" t="s">
        <v>754</v>
      </c>
      <c r="L115" s="1">
        <v>1361.0</v>
      </c>
      <c r="M115" s="1" t="s">
        <v>35</v>
      </c>
      <c r="N115" s="1" t="s">
        <v>36</v>
      </c>
      <c r="O115" s="1" t="s">
        <v>87</v>
      </c>
      <c r="P115" s="1">
        <v>1.5E8</v>
      </c>
      <c r="Q115" s="1">
        <v>2005.0</v>
      </c>
      <c r="R115" s="1">
        <v>40000.0</v>
      </c>
      <c r="S115" s="1">
        <v>16000.0</v>
      </c>
      <c r="T115" s="1">
        <v>588.0</v>
      </c>
      <c r="U115" s="1">
        <v>57844.0</v>
      </c>
      <c r="V115" s="1">
        <v>13000.0</v>
      </c>
      <c r="W115" s="1">
        <v>0.0</v>
      </c>
      <c r="X115" s="1">
        <v>3.0</v>
      </c>
      <c r="Y115" s="1">
        <v>1.85</v>
      </c>
      <c r="Z115" s="1">
        <v>6.7</v>
      </c>
    </row>
    <row r="116" ht="14.25" customHeight="1">
      <c r="A116" s="1" t="s">
        <v>26</v>
      </c>
      <c r="B116" s="1" t="s">
        <v>579</v>
      </c>
      <c r="C116" s="1" t="s">
        <v>755</v>
      </c>
      <c r="D116" s="1">
        <v>2.06435493E8</v>
      </c>
      <c r="E116" s="1" t="s">
        <v>756</v>
      </c>
      <c r="F116" s="1" t="s">
        <v>757</v>
      </c>
      <c r="G116" s="1" t="s">
        <v>315</v>
      </c>
      <c r="H116" s="1" t="s">
        <v>758</v>
      </c>
      <c r="I116" s="1">
        <v>473887.0</v>
      </c>
      <c r="J116" s="1" t="s">
        <v>759</v>
      </c>
      <c r="K116" s="1" t="s">
        <v>760</v>
      </c>
      <c r="L116" s="1">
        <v>626.0</v>
      </c>
      <c r="M116" s="1" t="s">
        <v>35</v>
      </c>
      <c r="N116" s="1" t="s">
        <v>36</v>
      </c>
      <c r="O116" s="1" t="s">
        <v>269</v>
      </c>
      <c r="P116" s="1">
        <v>1.5E8</v>
      </c>
      <c r="Q116" s="1">
        <v>2007.0</v>
      </c>
      <c r="R116" s="1">
        <v>1000.0</v>
      </c>
      <c r="S116" s="1">
        <v>1000.0</v>
      </c>
      <c r="T116" s="1">
        <v>954.0</v>
      </c>
      <c r="U116" s="1">
        <v>4764.0</v>
      </c>
      <c r="V116" s="1">
        <v>663.0</v>
      </c>
      <c r="W116" s="1">
        <v>10000.0</v>
      </c>
      <c r="X116" s="1">
        <v>0.0</v>
      </c>
      <c r="Y116" s="1">
        <v>2.35</v>
      </c>
      <c r="Z116" s="1">
        <v>8.0</v>
      </c>
    </row>
    <row r="117" ht="14.25" customHeight="1">
      <c r="A117" s="1" t="s">
        <v>26</v>
      </c>
      <c r="B117" s="1" t="s">
        <v>55</v>
      </c>
      <c r="C117" s="1" t="s">
        <v>761</v>
      </c>
      <c r="D117" s="1">
        <v>2.05343774E8</v>
      </c>
      <c r="E117" s="1" t="s">
        <v>119</v>
      </c>
      <c r="F117" s="1" t="s">
        <v>59</v>
      </c>
      <c r="G117" s="1" t="s">
        <v>220</v>
      </c>
      <c r="H117" s="1" t="s">
        <v>451</v>
      </c>
      <c r="I117" s="1">
        <v>980946.0</v>
      </c>
      <c r="J117" s="1" t="s">
        <v>762</v>
      </c>
      <c r="K117" s="1" t="s">
        <v>763</v>
      </c>
      <c r="L117" s="1">
        <v>2685.0</v>
      </c>
      <c r="M117" s="1" t="s">
        <v>35</v>
      </c>
      <c r="N117" s="1" t="s">
        <v>36</v>
      </c>
      <c r="O117" s="1" t="s">
        <v>37</v>
      </c>
      <c r="P117" s="1">
        <v>1.5E8</v>
      </c>
      <c r="Q117" s="1">
        <v>2005.0</v>
      </c>
      <c r="R117" s="1">
        <v>23000.0</v>
      </c>
      <c r="S117" s="1">
        <v>14000.0</v>
      </c>
      <c r="T117" s="1">
        <v>11000.0</v>
      </c>
      <c r="U117" s="1">
        <v>59558.0</v>
      </c>
      <c r="V117" s="1">
        <v>22000.0</v>
      </c>
      <c r="W117" s="1">
        <v>15000.0</v>
      </c>
      <c r="X117" s="1">
        <v>0.0</v>
      </c>
      <c r="Y117" s="1">
        <v>2.35</v>
      </c>
      <c r="Z117" s="1">
        <v>8.3</v>
      </c>
    </row>
    <row r="118" ht="14.25" customHeight="1">
      <c r="A118" s="1" t="s">
        <v>26</v>
      </c>
      <c r="B118" s="1" t="s">
        <v>764</v>
      </c>
      <c r="C118" s="1" t="s">
        <v>765</v>
      </c>
      <c r="D118" s="1">
        <v>1.79982968E8</v>
      </c>
      <c r="E118" s="1" t="s">
        <v>766</v>
      </c>
      <c r="F118" s="1" t="s">
        <v>767</v>
      </c>
      <c r="G118" s="1" t="s">
        <v>768</v>
      </c>
      <c r="H118" s="1" t="s">
        <v>769</v>
      </c>
      <c r="I118" s="1">
        <v>146019.0</v>
      </c>
      <c r="J118" s="1" t="s">
        <v>770</v>
      </c>
      <c r="K118" s="1" t="s">
        <v>771</v>
      </c>
      <c r="L118" s="1">
        <v>119.0</v>
      </c>
      <c r="M118" s="1" t="s">
        <v>35</v>
      </c>
      <c r="N118" s="1" t="s">
        <v>36</v>
      </c>
      <c r="O118" s="1" t="s">
        <v>87</v>
      </c>
      <c r="P118" s="1">
        <v>1.5E8</v>
      </c>
      <c r="Q118" s="1">
        <v>2008.0</v>
      </c>
      <c r="R118" s="1">
        <v>1000.0</v>
      </c>
      <c r="S118" s="1">
        <v>851.0</v>
      </c>
      <c r="T118" s="1">
        <v>436.0</v>
      </c>
      <c r="U118" s="1">
        <v>3285.0</v>
      </c>
      <c r="V118" s="1">
        <v>35.0</v>
      </c>
      <c r="W118" s="1">
        <v>0.0</v>
      </c>
      <c r="X118" s="1">
        <v>0.0</v>
      </c>
      <c r="Y118" s="1">
        <v>1.85</v>
      </c>
      <c r="Z118" s="1">
        <v>6.7</v>
      </c>
    </row>
    <row r="119" ht="14.25" customHeight="1">
      <c r="A119" s="1" t="s">
        <v>26</v>
      </c>
      <c r="B119" s="1" t="s">
        <v>772</v>
      </c>
      <c r="C119" s="1" t="s">
        <v>773</v>
      </c>
      <c r="D119" s="1">
        <v>1.77243721E8</v>
      </c>
      <c r="E119" s="1" t="s">
        <v>751</v>
      </c>
      <c r="F119" s="1" t="s">
        <v>774</v>
      </c>
      <c r="G119" s="1" t="s">
        <v>775</v>
      </c>
      <c r="H119" s="1" t="s">
        <v>776</v>
      </c>
      <c r="I119" s="1">
        <v>130272.0</v>
      </c>
      <c r="J119" s="1" t="s">
        <v>777</v>
      </c>
      <c r="K119" s="1" t="s">
        <v>778</v>
      </c>
      <c r="L119" s="1">
        <v>209.0</v>
      </c>
      <c r="M119" s="1" t="s">
        <v>35</v>
      </c>
      <c r="N119" s="1" t="s">
        <v>36</v>
      </c>
      <c r="O119" s="1" t="s">
        <v>87</v>
      </c>
      <c r="P119" s="1">
        <v>1.5E8</v>
      </c>
      <c r="Q119" s="1">
        <v>2009.0</v>
      </c>
      <c r="R119" s="1">
        <v>49000.0</v>
      </c>
      <c r="S119" s="1">
        <v>3000.0</v>
      </c>
      <c r="T119" s="1">
        <v>1000.0</v>
      </c>
      <c r="U119" s="1">
        <v>54039.0</v>
      </c>
      <c r="V119" s="1">
        <v>189.0</v>
      </c>
      <c r="W119" s="1">
        <v>2000.0</v>
      </c>
      <c r="X119" s="1">
        <v>2.0</v>
      </c>
      <c r="Y119" s="1">
        <v>2.35</v>
      </c>
      <c r="Z119" s="1">
        <v>5.9</v>
      </c>
    </row>
    <row r="120" ht="14.25" customHeight="1">
      <c r="A120" s="1" t="s">
        <v>26</v>
      </c>
      <c r="B120" s="1" t="s">
        <v>779</v>
      </c>
      <c r="C120" s="1" t="s">
        <v>780</v>
      </c>
      <c r="D120" s="1">
        <v>1.79883016E8</v>
      </c>
      <c r="E120" s="1" t="s">
        <v>254</v>
      </c>
      <c r="F120" s="1" t="s">
        <v>255</v>
      </c>
      <c r="G120" s="1" t="s">
        <v>307</v>
      </c>
      <c r="H120" s="1" t="s">
        <v>781</v>
      </c>
      <c r="I120" s="1">
        <v>361924.0</v>
      </c>
      <c r="J120" s="1" t="s">
        <v>782</v>
      </c>
      <c r="K120" s="1" t="s">
        <v>783</v>
      </c>
      <c r="L120" s="1">
        <v>641.0</v>
      </c>
      <c r="M120" s="1" t="s">
        <v>35</v>
      </c>
      <c r="N120" s="1" t="s">
        <v>36</v>
      </c>
      <c r="O120" s="1" t="s">
        <v>37</v>
      </c>
      <c r="P120" s="1">
        <v>1.5E8</v>
      </c>
      <c r="Q120" s="1">
        <v>2009.0</v>
      </c>
      <c r="R120" s="1">
        <v>20000.0</v>
      </c>
      <c r="S120" s="1">
        <v>16000.0</v>
      </c>
      <c r="T120" s="1">
        <v>2000.0</v>
      </c>
      <c r="U120" s="1">
        <v>40054.0</v>
      </c>
      <c r="V120" s="1">
        <v>151.0</v>
      </c>
      <c r="W120" s="1">
        <v>0.0</v>
      </c>
      <c r="X120" s="1">
        <v>0.0</v>
      </c>
      <c r="Y120" s="1">
        <v>2.35</v>
      </c>
      <c r="Z120" s="1">
        <v>6.7</v>
      </c>
    </row>
    <row r="121" ht="14.25" customHeight="1">
      <c r="A121" s="1" t="s">
        <v>26</v>
      </c>
      <c r="B121" s="1" t="s">
        <v>428</v>
      </c>
      <c r="C121" s="1" t="s">
        <v>784</v>
      </c>
      <c r="D121" s="1">
        <v>1.39259759E8</v>
      </c>
      <c r="E121" s="1" t="s">
        <v>623</v>
      </c>
      <c r="F121" s="1" t="s">
        <v>785</v>
      </c>
      <c r="G121" s="1" t="s">
        <v>786</v>
      </c>
      <c r="H121" s="1" t="s">
        <v>787</v>
      </c>
      <c r="I121" s="1">
        <v>364948.0</v>
      </c>
      <c r="J121" s="1" t="s">
        <v>788</v>
      </c>
      <c r="K121" s="1" t="s">
        <v>789</v>
      </c>
      <c r="L121" s="1">
        <v>2121.0</v>
      </c>
      <c r="M121" s="1" t="s">
        <v>35</v>
      </c>
      <c r="N121" s="1" t="s">
        <v>362</v>
      </c>
      <c r="O121" s="1" t="s">
        <v>628</v>
      </c>
      <c r="P121" s="1">
        <v>1.5E8</v>
      </c>
      <c r="Q121" s="1">
        <v>2003.0</v>
      </c>
      <c r="R121" s="1">
        <v>309.0</v>
      </c>
      <c r="S121" s="1">
        <v>269.0</v>
      </c>
      <c r="T121" s="1">
        <v>233.0</v>
      </c>
      <c r="U121" s="1">
        <v>1062.0</v>
      </c>
      <c r="V121" s="1">
        <v>0.0</v>
      </c>
      <c r="W121" s="1">
        <v>0.0</v>
      </c>
      <c r="X121" s="1">
        <v>0.0</v>
      </c>
      <c r="Y121" s="1">
        <v>2.35</v>
      </c>
      <c r="Z121" s="1">
        <v>6.7</v>
      </c>
    </row>
    <row r="122" ht="14.25" customHeight="1">
      <c r="A122" s="1" t="s">
        <v>26</v>
      </c>
      <c r="B122" s="1" t="s">
        <v>790</v>
      </c>
      <c r="C122" s="1" t="s">
        <v>791</v>
      </c>
      <c r="D122" s="1">
        <v>4.007366E8</v>
      </c>
      <c r="E122" s="1" t="s">
        <v>792</v>
      </c>
      <c r="F122" s="1" t="s">
        <v>793</v>
      </c>
      <c r="G122" s="1" t="s">
        <v>794</v>
      </c>
      <c r="H122" s="1" t="s">
        <v>795</v>
      </c>
      <c r="I122" s="1">
        <v>421658.0</v>
      </c>
      <c r="J122" s="1" t="s">
        <v>796</v>
      </c>
      <c r="K122" s="1" t="s">
        <v>797</v>
      </c>
      <c r="L122" s="1">
        <v>904.0</v>
      </c>
      <c r="M122" s="1" t="s">
        <v>35</v>
      </c>
      <c r="N122" s="1" t="s">
        <v>36</v>
      </c>
      <c r="O122" s="1" t="s">
        <v>87</v>
      </c>
      <c r="P122" s="1">
        <v>1.5E8</v>
      </c>
      <c r="Q122" s="1">
        <v>2013.0</v>
      </c>
      <c r="R122" s="1">
        <v>1000.0</v>
      </c>
      <c r="S122" s="1">
        <v>523.0</v>
      </c>
      <c r="T122" s="1">
        <v>490.0</v>
      </c>
      <c r="U122" s="1">
        <v>2582.0</v>
      </c>
      <c r="V122" s="1">
        <v>69.0</v>
      </c>
      <c r="W122" s="1">
        <v>58000.0</v>
      </c>
      <c r="X122" s="1">
        <v>0.0</v>
      </c>
      <c r="Y122" s="1">
        <v>2.24</v>
      </c>
      <c r="Z122" s="1">
        <v>7.6</v>
      </c>
    </row>
    <row r="123" ht="14.25" customHeight="1">
      <c r="A123" s="1" t="s">
        <v>26</v>
      </c>
      <c r="B123" s="1" t="s">
        <v>428</v>
      </c>
      <c r="C123" s="1" t="s">
        <v>798</v>
      </c>
      <c r="D123" s="1">
        <v>2.81492479E8</v>
      </c>
      <c r="E123" s="1" t="s">
        <v>623</v>
      </c>
      <c r="F123" s="1" t="s">
        <v>799</v>
      </c>
      <c r="G123" s="1" t="s">
        <v>800</v>
      </c>
      <c r="H123" s="1" t="s">
        <v>801</v>
      </c>
      <c r="I123" s="1">
        <v>421818.0</v>
      </c>
      <c r="J123" s="1" t="s">
        <v>802</v>
      </c>
      <c r="K123" s="1" t="s">
        <v>803</v>
      </c>
      <c r="L123" s="1">
        <v>2789.0</v>
      </c>
      <c r="M123" s="1" t="s">
        <v>35</v>
      </c>
      <c r="N123" s="1" t="s">
        <v>36</v>
      </c>
      <c r="O123" s="1" t="s">
        <v>628</v>
      </c>
      <c r="P123" s="1">
        <v>1.5E8</v>
      </c>
      <c r="Q123" s="1">
        <v>2003.0</v>
      </c>
      <c r="R123" s="1">
        <v>234.0</v>
      </c>
      <c r="S123" s="1">
        <v>198.0</v>
      </c>
      <c r="T123" s="1">
        <v>30.0</v>
      </c>
      <c r="U123" s="1">
        <v>534.0</v>
      </c>
      <c r="V123" s="1">
        <v>0.0</v>
      </c>
      <c r="W123" s="1">
        <v>0.0</v>
      </c>
      <c r="X123" s="1">
        <v>0.0</v>
      </c>
      <c r="Y123" s="1">
        <v>2.35</v>
      </c>
      <c r="Z123" s="1">
        <v>7.2</v>
      </c>
    </row>
    <row r="124" ht="14.25" customHeight="1">
      <c r="A124" s="1" t="s">
        <v>26</v>
      </c>
      <c r="B124" s="1" t="s">
        <v>698</v>
      </c>
      <c r="C124" s="1" t="s">
        <v>804</v>
      </c>
      <c r="D124" s="1">
        <v>2.06360018E8</v>
      </c>
      <c r="E124" s="1" t="s">
        <v>40</v>
      </c>
      <c r="F124" s="1" t="s">
        <v>90</v>
      </c>
      <c r="G124" s="1" t="s">
        <v>805</v>
      </c>
      <c r="H124" s="1" t="s">
        <v>726</v>
      </c>
      <c r="I124" s="1">
        <v>414070.0</v>
      </c>
      <c r="J124" s="1" t="s">
        <v>806</v>
      </c>
      <c r="K124" s="1" t="s">
        <v>807</v>
      </c>
      <c r="L124" s="1">
        <v>532.0</v>
      </c>
      <c r="M124" s="1" t="s">
        <v>35</v>
      </c>
      <c r="N124" s="1" t="s">
        <v>36</v>
      </c>
      <c r="O124" s="1" t="s">
        <v>37</v>
      </c>
      <c r="P124" s="1">
        <v>1.7E8</v>
      </c>
      <c r="Q124" s="1">
        <v>2013.0</v>
      </c>
      <c r="R124" s="1">
        <v>26000.0</v>
      </c>
      <c r="S124" s="1">
        <v>20000.0</v>
      </c>
      <c r="T124" s="1">
        <v>12000.0</v>
      </c>
      <c r="U124" s="1">
        <v>59803.0</v>
      </c>
      <c r="V124" s="1">
        <v>230.0</v>
      </c>
      <c r="W124" s="1">
        <v>63000.0</v>
      </c>
      <c r="X124" s="1">
        <v>3.0</v>
      </c>
      <c r="Y124" s="1">
        <v>2.35</v>
      </c>
      <c r="Z124" s="1">
        <v>7.1</v>
      </c>
    </row>
    <row r="125" ht="14.25" customHeight="1">
      <c r="A125" s="1" t="s">
        <v>26</v>
      </c>
      <c r="B125" s="1" t="s">
        <v>808</v>
      </c>
      <c r="C125" s="1" t="s">
        <v>809</v>
      </c>
      <c r="D125" s="1">
        <v>1.53629485E8</v>
      </c>
      <c r="E125" s="1" t="s">
        <v>219</v>
      </c>
      <c r="F125" s="1" t="s">
        <v>58</v>
      </c>
      <c r="G125" s="1" t="s">
        <v>741</v>
      </c>
      <c r="H125" s="1" t="s">
        <v>810</v>
      </c>
      <c r="I125" s="1">
        <v>552503.0</v>
      </c>
      <c r="J125" s="1" t="s">
        <v>811</v>
      </c>
      <c r="K125" s="1" t="s">
        <v>812</v>
      </c>
      <c r="L125" s="1">
        <v>1588.0</v>
      </c>
      <c r="M125" s="1" t="s">
        <v>35</v>
      </c>
      <c r="N125" s="1" t="s">
        <v>362</v>
      </c>
      <c r="O125" s="1" t="s">
        <v>628</v>
      </c>
      <c r="P125" s="1">
        <v>1.5E8</v>
      </c>
      <c r="Q125" s="1">
        <v>2015.0</v>
      </c>
      <c r="R125" s="1">
        <v>27000.0</v>
      </c>
      <c r="S125" s="1">
        <v>9000.0</v>
      </c>
      <c r="T125" s="1">
        <v>943.0</v>
      </c>
      <c r="U125" s="1">
        <v>40025.0</v>
      </c>
      <c r="V125" s="1">
        <v>750.0</v>
      </c>
      <c r="W125" s="1">
        <v>191000.0</v>
      </c>
      <c r="X125" s="1">
        <v>0.0</v>
      </c>
      <c r="Y125" s="1">
        <v>2.35</v>
      </c>
      <c r="Z125" s="1">
        <v>8.1</v>
      </c>
    </row>
    <row r="126" ht="14.25" customHeight="1">
      <c r="A126" s="1" t="s">
        <v>26</v>
      </c>
      <c r="B126" s="1" t="s">
        <v>813</v>
      </c>
      <c r="C126" s="1" t="s">
        <v>814</v>
      </c>
      <c r="D126" s="1">
        <v>1.33375846E8</v>
      </c>
      <c r="E126" s="1" t="s">
        <v>815</v>
      </c>
      <c r="F126" s="1" t="s">
        <v>314</v>
      </c>
      <c r="G126" s="1" t="s">
        <v>816</v>
      </c>
      <c r="H126" s="1" t="s">
        <v>817</v>
      </c>
      <c r="I126" s="1">
        <v>207839.0</v>
      </c>
      <c r="J126" s="1" t="s">
        <v>818</v>
      </c>
      <c r="K126" s="1" t="s">
        <v>819</v>
      </c>
      <c r="L126" s="1">
        <v>435.0</v>
      </c>
      <c r="M126" s="1" t="s">
        <v>35</v>
      </c>
      <c r="N126" s="1" t="s">
        <v>36</v>
      </c>
      <c r="O126" s="1" t="s">
        <v>37</v>
      </c>
      <c r="P126" s="1">
        <v>1.5E8</v>
      </c>
      <c r="Q126" s="1">
        <v>2009.0</v>
      </c>
      <c r="R126" s="1">
        <v>15000.0</v>
      </c>
      <c r="S126" s="1">
        <v>745.0</v>
      </c>
      <c r="T126" s="1">
        <v>294.0</v>
      </c>
      <c r="U126" s="1">
        <v>16948.0</v>
      </c>
      <c r="V126" s="1">
        <v>2000.0</v>
      </c>
      <c r="W126" s="1">
        <v>0.0</v>
      </c>
      <c r="X126" s="1">
        <v>2.0</v>
      </c>
      <c r="Y126" s="1">
        <v>2.35</v>
      </c>
      <c r="Z126" s="1">
        <v>6.7</v>
      </c>
    </row>
    <row r="127" ht="14.25" customHeight="1">
      <c r="A127" s="1" t="s">
        <v>26</v>
      </c>
      <c r="B127" s="1" t="s">
        <v>820</v>
      </c>
      <c r="C127" s="1" t="s">
        <v>821</v>
      </c>
      <c r="D127" s="1">
        <v>1.81015141E8</v>
      </c>
      <c r="E127" s="1" t="s">
        <v>40</v>
      </c>
      <c r="F127" s="1" t="s">
        <v>90</v>
      </c>
      <c r="G127" s="1" t="s">
        <v>805</v>
      </c>
      <c r="H127" s="1" t="s">
        <v>726</v>
      </c>
      <c r="I127" s="1">
        <v>536314.0</v>
      </c>
      <c r="J127" s="1" t="s">
        <v>822</v>
      </c>
      <c r="K127" s="1" t="s">
        <v>823</v>
      </c>
      <c r="L127" s="1">
        <v>738.0</v>
      </c>
      <c r="M127" s="1" t="s">
        <v>35</v>
      </c>
      <c r="N127" s="1" t="s">
        <v>36</v>
      </c>
      <c r="O127" s="1" t="s">
        <v>37</v>
      </c>
      <c r="P127" s="1">
        <v>1.5E8</v>
      </c>
      <c r="Q127" s="1">
        <v>2011.0</v>
      </c>
      <c r="R127" s="1">
        <v>26000.0</v>
      </c>
      <c r="S127" s="1">
        <v>20000.0</v>
      </c>
      <c r="T127" s="1">
        <v>12000.0</v>
      </c>
      <c r="U127" s="1">
        <v>60059.0</v>
      </c>
      <c r="V127" s="1">
        <v>0.0</v>
      </c>
      <c r="W127" s="1">
        <v>63000.0</v>
      </c>
      <c r="X127" s="1">
        <v>1.0</v>
      </c>
      <c r="Y127" s="1">
        <v>2.35</v>
      </c>
      <c r="Z127" s="1">
        <v>7.0</v>
      </c>
    </row>
    <row r="128" ht="14.25" customHeight="1">
      <c r="A128" s="1" t="s">
        <v>26</v>
      </c>
      <c r="B128" s="1" t="s">
        <v>824</v>
      </c>
      <c r="C128" s="1" t="s">
        <v>825</v>
      </c>
      <c r="D128" s="1">
        <v>1.14053579E8</v>
      </c>
      <c r="E128" s="1" t="s">
        <v>826</v>
      </c>
      <c r="F128" s="1" t="s">
        <v>475</v>
      </c>
      <c r="G128" s="1" t="s">
        <v>827</v>
      </c>
      <c r="H128" s="1" t="s">
        <v>828</v>
      </c>
      <c r="I128" s="1">
        <v>146766.0</v>
      </c>
      <c r="J128" s="1" t="s">
        <v>829</v>
      </c>
      <c r="K128" s="1" t="s">
        <v>830</v>
      </c>
      <c r="L128" s="1">
        <v>178.0</v>
      </c>
      <c r="M128" s="1" t="s">
        <v>35</v>
      </c>
      <c r="N128" s="1" t="s">
        <v>36</v>
      </c>
      <c r="O128" s="1" t="s">
        <v>87</v>
      </c>
      <c r="P128" s="1">
        <v>1.5E8</v>
      </c>
      <c r="Q128" s="1">
        <v>2008.0</v>
      </c>
      <c r="R128" s="1">
        <v>17000.0</v>
      </c>
      <c r="S128" s="1">
        <v>759.0</v>
      </c>
      <c r="T128" s="1">
        <v>699.0</v>
      </c>
      <c r="U128" s="1">
        <v>20007.0</v>
      </c>
      <c r="V128" s="1">
        <v>59.0</v>
      </c>
      <c r="W128" s="1">
        <v>0.0</v>
      </c>
      <c r="X128" s="1">
        <v>0.0</v>
      </c>
      <c r="Y128" s="1">
        <v>1.85</v>
      </c>
      <c r="Z128" s="1">
        <v>6.9</v>
      </c>
    </row>
    <row r="129" ht="14.25" customHeight="1">
      <c r="A129" s="1" t="s">
        <v>26</v>
      </c>
      <c r="B129" s="1" t="s">
        <v>831</v>
      </c>
      <c r="C129" s="1" t="s">
        <v>832</v>
      </c>
      <c r="D129" s="1">
        <v>1.19420252E8</v>
      </c>
      <c r="E129" s="1" t="s">
        <v>833</v>
      </c>
      <c r="F129" s="1" t="s">
        <v>834</v>
      </c>
      <c r="G129" s="1" t="s">
        <v>835</v>
      </c>
      <c r="H129" s="1" t="s">
        <v>836</v>
      </c>
      <c r="I129" s="1">
        <v>33042.0</v>
      </c>
      <c r="J129" s="1" t="s">
        <v>837</v>
      </c>
      <c r="K129" s="1" t="s">
        <v>838</v>
      </c>
      <c r="L129" s="1">
        <v>90.0</v>
      </c>
      <c r="M129" s="1" t="s">
        <v>35</v>
      </c>
      <c r="N129" s="1" t="s">
        <v>36</v>
      </c>
      <c r="O129" s="1" t="s">
        <v>87</v>
      </c>
      <c r="P129" s="1">
        <v>1.5E8</v>
      </c>
      <c r="Q129" s="1">
        <v>2009.0</v>
      </c>
      <c r="R129" s="1">
        <v>730.0</v>
      </c>
      <c r="S129" s="1">
        <v>607.0</v>
      </c>
      <c r="T129" s="1">
        <v>182.0</v>
      </c>
      <c r="U129" s="1">
        <v>2217.0</v>
      </c>
      <c r="V129" s="1">
        <v>12.0</v>
      </c>
      <c r="W129" s="1">
        <v>0.0</v>
      </c>
      <c r="X129" s="1">
        <v>0.0</v>
      </c>
      <c r="Y129" s="1">
        <v>2.35</v>
      </c>
      <c r="Z129" s="1">
        <v>5.1</v>
      </c>
    </row>
    <row r="130" ht="14.25" customHeight="1">
      <c r="A130" s="1" t="s">
        <v>26</v>
      </c>
      <c r="B130" s="1" t="s">
        <v>839</v>
      </c>
      <c r="C130" s="1" t="s">
        <v>840</v>
      </c>
      <c r="D130" s="1">
        <v>8.3640426E7</v>
      </c>
      <c r="E130" s="1" t="s">
        <v>40</v>
      </c>
      <c r="F130" s="1" t="s">
        <v>220</v>
      </c>
      <c r="G130" s="1" t="s">
        <v>841</v>
      </c>
      <c r="H130" s="1" t="s">
        <v>842</v>
      </c>
      <c r="I130" s="1">
        <v>152826.0</v>
      </c>
      <c r="J130" s="1" t="s">
        <v>843</v>
      </c>
      <c r="K130" s="1" t="s">
        <v>844</v>
      </c>
      <c r="L130" s="1">
        <v>253.0</v>
      </c>
      <c r="M130" s="1" t="s">
        <v>35</v>
      </c>
      <c r="N130" s="1" t="s">
        <v>36</v>
      </c>
      <c r="O130" s="1" t="s">
        <v>37</v>
      </c>
      <c r="P130" s="1">
        <v>1.5E8</v>
      </c>
      <c r="Q130" s="1">
        <v>2012.0</v>
      </c>
      <c r="R130" s="1">
        <v>14000.0</v>
      </c>
      <c r="S130" s="1">
        <v>897.0</v>
      </c>
      <c r="T130" s="1">
        <v>502.0</v>
      </c>
      <c r="U130" s="1">
        <v>16184.0</v>
      </c>
      <c r="V130" s="1">
        <v>473.0</v>
      </c>
      <c r="W130" s="1">
        <v>19000.0</v>
      </c>
      <c r="X130" s="1">
        <v>0.0</v>
      </c>
      <c r="Y130" s="1">
        <v>1.85</v>
      </c>
      <c r="Z130" s="1">
        <v>5.8</v>
      </c>
    </row>
    <row r="131" ht="14.25" customHeight="1">
      <c r="A131" s="1" t="s">
        <v>26</v>
      </c>
      <c r="B131" s="1" t="s">
        <v>247</v>
      </c>
      <c r="C131" s="1" t="s">
        <v>845</v>
      </c>
      <c r="D131" s="1">
        <v>7.9711678E7</v>
      </c>
      <c r="E131" s="1" t="s">
        <v>846</v>
      </c>
      <c r="F131" s="1" t="s">
        <v>41</v>
      </c>
      <c r="G131" s="1" t="s">
        <v>475</v>
      </c>
      <c r="H131" s="1" t="s">
        <v>193</v>
      </c>
      <c r="I131" s="1">
        <v>199039.0</v>
      </c>
      <c r="J131" s="1" t="s">
        <v>847</v>
      </c>
      <c r="K131" s="1" t="s">
        <v>848</v>
      </c>
      <c r="L131" s="1">
        <v>479.0</v>
      </c>
      <c r="M131" s="1" t="s">
        <v>35</v>
      </c>
      <c r="N131" s="1" t="s">
        <v>36</v>
      </c>
      <c r="O131" s="1" t="s">
        <v>37</v>
      </c>
      <c r="P131" s="1">
        <v>1.0E8</v>
      </c>
      <c r="Q131" s="1">
        <v>2012.0</v>
      </c>
      <c r="R131" s="1">
        <v>40000.0</v>
      </c>
      <c r="S131" s="1">
        <v>17000.0</v>
      </c>
      <c r="T131" s="1">
        <v>16000.0</v>
      </c>
      <c r="U131" s="1">
        <v>80849.0</v>
      </c>
      <c r="V131" s="1">
        <v>13000.0</v>
      </c>
      <c r="W131" s="1">
        <v>82000.0</v>
      </c>
      <c r="X131" s="1">
        <v>7.0</v>
      </c>
      <c r="Y131" s="1">
        <v>1.85</v>
      </c>
      <c r="Z131" s="1">
        <v>6.2</v>
      </c>
    </row>
    <row r="132" ht="14.25" customHeight="1">
      <c r="A132" s="1" t="s">
        <v>26</v>
      </c>
      <c r="B132" s="1" t="s">
        <v>849</v>
      </c>
      <c r="C132" s="1" t="s">
        <v>850</v>
      </c>
      <c r="D132" s="1">
        <v>1.95000874E8</v>
      </c>
      <c r="E132" s="1" t="s">
        <v>48</v>
      </c>
      <c r="F132" s="1" t="s">
        <v>508</v>
      </c>
      <c r="G132" s="1" t="s">
        <v>851</v>
      </c>
      <c r="H132" s="1" t="s">
        <v>852</v>
      </c>
      <c r="I132" s="1">
        <v>232187.0</v>
      </c>
      <c r="J132" s="1" t="s">
        <v>853</v>
      </c>
      <c r="K132" s="1" t="s">
        <v>854</v>
      </c>
      <c r="L132" s="1">
        <v>440.0</v>
      </c>
      <c r="M132" s="1" t="s">
        <v>35</v>
      </c>
      <c r="N132" s="1" t="s">
        <v>855</v>
      </c>
      <c r="O132" s="1" t="s">
        <v>37</v>
      </c>
      <c r="P132" s="1">
        <v>1.5E8</v>
      </c>
      <c r="Q132" s="1">
        <v>2015.0</v>
      </c>
      <c r="R132" s="1">
        <v>10000.0</v>
      </c>
      <c r="S132" s="1">
        <v>10000.0</v>
      </c>
      <c r="T132" s="1">
        <v>641.0</v>
      </c>
      <c r="U132" s="1">
        <v>21840.0</v>
      </c>
      <c r="V132" s="1">
        <v>188.0</v>
      </c>
      <c r="W132" s="1">
        <v>47000.0</v>
      </c>
      <c r="X132" s="1">
        <v>0.0</v>
      </c>
      <c r="Y132" s="1">
        <v>2.35</v>
      </c>
      <c r="Z132" s="1">
        <v>7.4</v>
      </c>
    </row>
    <row r="133" ht="14.25" customHeight="1">
      <c r="A133" s="1" t="s">
        <v>26</v>
      </c>
      <c r="B133" s="1" t="s">
        <v>856</v>
      </c>
      <c r="C133" s="1" t="s">
        <v>857</v>
      </c>
      <c r="D133" s="1">
        <v>6.1937495E7</v>
      </c>
      <c r="E133" s="1" t="s">
        <v>858</v>
      </c>
      <c r="F133" s="1" t="s">
        <v>726</v>
      </c>
      <c r="G133" s="1" t="s">
        <v>859</v>
      </c>
      <c r="H133" s="1" t="s">
        <v>860</v>
      </c>
      <c r="I133" s="1">
        <v>89442.0</v>
      </c>
      <c r="J133" s="1" t="s">
        <v>861</v>
      </c>
      <c r="K133" s="1" t="s">
        <v>862</v>
      </c>
      <c r="L133" s="1">
        <v>432.0</v>
      </c>
      <c r="M133" s="1" t="s">
        <v>35</v>
      </c>
      <c r="N133" s="1" t="s">
        <v>36</v>
      </c>
      <c r="O133" s="1" t="s">
        <v>628</v>
      </c>
      <c r="P133" s="1">
        <v>1.5E8</v>
      </c>
      <c r="Q133" s="1">
        <v>2010.0</v>
      </c>
      <c r="R133" s="1">
        <v>12000.0</v>
      </c>
      <c r="S133" s="1">
        <v>490.0</v>
      </c>
      <c r="T133" s="1">
        <v>162.0</v>
      </c>
      <c r="U133" s="1">
        <v>13071.0</v>
      </c>
      <c r="V133" s="1">
        <v>394.0</v>
      </c>
      <c r="W133" s="1">
        <v>0.0</v>
      </c>
      <c r="X133" s="1">
        <v>0.0</v>
      </c>
      <c r="Y133" s="1">
        <v>1.85</v>
      </c>
      <c r="Z133" s="1">
        <v>5.8</v>
      </c>
    </row>
    <row r="134" ht="14.25" customHeight="1">
      <c r="A134" s="1" t="s">
        <v>26</v>
      </c>
      <c r="B134" s="1" t="s">
        <v>95</v>
      </c>
      <c r="C134" s="1" t="s">
        <v>434</v>
      </c>
      <c r="D134" s="1">
        <v>1.24051759E8</v>
      </c>
      <c r="E134" s="1" t="s">
        <v>199</v>
      </c>
      <c r="F134" s="1" t="s">
        <v>49</v>
      </c>
      <c r="G134" s="1" t="s">
        <v>221</v>
      </c>
      <c r="H134" s="1" t="s">
        <v>435</v>
      </c>
      <c r="I134" s="1">
        <v>42372.0</v>
      </c>
      <c r="J134" s="1" t="s">
        <v>436</v>
      </c>
      <c r="K134" s="1" t="s">
        <v>437</v>
      </c>
      <c r="L134" s="1">
        <v>239.0</v>
      </c>
      <c r="M134" s="1" t="s">
        <v>35</v>
      </c>
      <c r="N134" s="1" t="s">
        <v>36</v>
      </c>
      <c r="O134" s="1" t="s">
        <v>37</v>
      </c>
      <c r="P134" s="1">
        <v>1.8E8</v>
      </c>
      <c r="Q134" s="1">
        <v>2016.0</v>
      </c>
      <c r="R134" s="1">
        <v>11000.0</v>
      </c>
      <c r="S134" s="1">
        <v>10000.0</v>
      </c>
      <c r="T134" s="1">
        <v>103.0</v>
      </c>
      <c r="U134" s="1">
        <v>21175.0</v>
      </c>
      <c r="V134" s="1">
        <v>282.0</v>
      </c>
      <c r="W134" s="1">
        <v>29000.0</v>
      </c>
      <c r="X134" s="1">
        <v>2.0</v>
      </c>
      <c r="Y134" s="1">
        <v>2.35</v>
      </c>
      <c r="Z134" s="1">
        <v>6.6</v>
      </c>
    </row>
    <row r="135" ht="14.25" customHeight="1">
      <c r="A135" s="1" t="s">
        <v>26</v>
      </c>
      <c r="B135" s="1" t="s">
        <v>863</v>
      </c>
      <c r="C135" s="1" t="s">
        <v>864</v>
      </c>
      <c r="D135" s="1">
        <v>1.26597121E8</v>
      </c>
      <c r="E135" s="1" t="s">
        <v>456</v>
      </c>
      <c r="F135" s="1" t="s">
        <v>865</v>
      </c>
      <c r="G135" s="1" t="s">
        <v>866</v>
      </c>
      <c r="H135" s="1" t="s">
        <v>867</v>
      </c>
      <c r="I135" s="1">
        <v>105902.0</v>
      </c>
      <c r="J135" s="1" t="s">
        <v>868</v>
      </c>
      <c r="K135" s="1" t="s">
        <v>869</v>
      </c>
      <c r="L135" s="1">
        <v>206.0</v>
      </c>
      <c r="M135" s="1" t="s">
        <v>35</v>
      </c>
      <c r="N135" s="1" t="s">
        <v>36</v>
      </c>
      <c r="O135" s="1" t="s">
        <v>87</v>
      </c>
      <c r="P135" s="1">
        <v>1.5E8</v>
      </c>
      <c r="Q135" s="1">
        <v>2007.0</v>
      </c>
      <c r="R135" s="1">
        <v>2000.0</v>
      </c>
      <c r="S135" s="1">
        <v>852.0</v>
      </c>
      <c r="T135" s="1">
        <v>826.0</v>
      </c>
      <c r="U135" s="1">
        <v>6576.0</v>
      </c>
      <c r="V135" s="1">
        <v>58.0</v>
      </c>
      <c r="W135" s="1">
        <v>0.0</v>
      </c>
      <c r="X135" s="1">
        <v>0.0</v>
      </c>
      <c r="Y135" s="1">
        <v>1.85</v>
      </c>
      <c r="Z135" s="1">
        <v>6.2</v>
      </c>
    </row>
    <row r="136" ht="14.25" customHeight="1">
      <c r="A136" s="1" t="s">
        <v>26</v>
      </c>
      <c r="B136" s="1" t="s">
        <v>870</v>
      </c>
      <c r="C136" s="1" t="s">
        <v>871</v>
      </c>
      <c r="D136" s="1">
        <v>1.65230261E8</v>
      </c>
      <c r="E136" s="1" t="s">
        <v>766</v>
      </c>
      <c r="F136" s="1" t="s">
        <v>550</v>
      </c>
      <c r="G136" s="1" t="s">
        <v>425</v>
      </c>
      <c r="H136" s="1" t="s">
        <v>872</v>
      </c>
      <c r="I136" s="1">
        <v>182718.0</v>
      </c>
      <c r="J136" s="1" t="s">
        <v>873</v>
      </c>
      <c r="K136" s="1" t="s">
        <v>874</v>
      </c>
      <c r="L136" s="1">
        <v>209.0</v>
      </c>
      <c r="M136" s="1" t="s">
        <v>35</v>
      </c>
      <c r="N136" s="1" t="s">
        <v>36</v>
      </c>
      <c r="O136" s="1" t="s">
        <v>87</v>
      </c>
      <c r="P136" s="1">
        <v>1.5E8</v>
      </c>
      <c r="Q136" s="1">
        <v>2011.0</v>
      </c>
      <c r="R136" s="1">
        <v>11000.0</v>
      </c>
      <c r="S136" s="1">
        <v>10000.0</v>
      </c>
      <c r="T136" s="1">
        <v>15.0</v>
      </c>
      <c r="U136" s="1">
        <v>21015.0</v>
      </c>
      <c r="V136" s="1">
        <v>90.0</v>
      </c>
      <c r="W136" s="1">
        <v>20000.0</v>
      </c>
      <c r="X136" s="1">
        <v>0.0</v>
      </c>
      <c r="Y136" s="1">
        <v>2.35</v>
      </c>
      <c r="Z136" s="1">
        <v>7.3</v>
      </c>
    </row>
    <row r="137" ht="14.25" customHeight="1">
      <c r="A137" s="1" t="s">
        <v>26</v>
      </c>
      <c r="B137" s="1" t="s">
        <v>875</v>
      </c>
      <c r="C137" s="1" t="s">
        <v>876</v>
      </c>
      <c r="D137" s="1">
        <v>1.31564731E8</v>
      </c>
      <c r="E137" s="1" t="s">
        <v>140</v>
      </c>
      <c r="F137" s="1" t="s">
        <v>877</v>
      </c>
      <c r="G137" s="1" t="s">
        <v>878</v>
      </c>
      <c r="H137" s="1" t="s">
        <v>879</v>
      </c>
      <c r="I137" s="1">
        <v>118951.0</v>
      </c>
      <c r="J137" s="1" t="s">
        <v>880</v>
      </c>
      <c r="K137" s="1" t="s">
        <v>881</v>
      </c>
      <c r="L137" s="1">
        <v>1382.0</v>
      </c>
      <c r="M137" s="1" t="s">
        <v>35</v>
      </c>
      <c r="N137" s="1" t="s">
        <v>36</v>
      </c>
      <c r="O137" s="1" t="s">
        <v>87</v>
      </c>
      <c r="P137" s="1">
        <v>1.5E8</v>
      </c>
      <c r="Q137" s="1">
        <v>2010.0</v>
      </c>
      <c r="R137" s="1">
        <v>1000.0</v>
      </c>
      <c r="S137" s="1">
        <v>756.0</v>
      </c>
      <c r="T137" s="1">
        <v>346.0</v>
      </c>
      <c r="U137" s="1">
        <v>2857.0</v>
      </c>
      <c r="V137" s="1">
        <v>0.0</v>
      </c>
      <c r="W137" s="1">
        <v>18000.0</v>
      </c>
      <c r="X137" s="1">
        <v>0.0</v>
      </c>
      <c r="Y137" s="1">
        <v>2.35</v>
      </c>
      <c r="Z137" s="1">
        <v>4.2</v>
      </c>
    </row>
    <row r="138" ht="14.25" customHeight="1">
      <c r="A138" s="1" t="s">
        <v>26</v>
      </c>
      <c r="B138" s="1" t="s">
        <v>343</v>
      </c>
      <c r="C138" s="1" t="s">
        <v>882</v>
      </c>
      <c r="D138" s="1">
        <v>1.33382309E8</v>
      </c>
      <c r="E138" s="1" t="s">
        <v>48</v>
      </c>
      <c r="F138" s="1" t="s">
        <v>662</v>
      </c>
      <c r="G138" s="1" t="s">
        <v>508</v>
      </c>
      <c r="H138" s="1" t="s">
        <v>351</v>
      </c>
      <c r="I138" s="1">
        <v>256695.0</v>
      </c>
      <c r="J138" s="1" t="s">
        <v>883</v>
      </c>
      <c r="K138" s="1" t="s">
        <v>884</v>
      </c>
      <c r="L138" s="1">
        <v>871.0</v>
      </c>
      <c r="M138" s="1" t="s">
        <v>35</v>
      </c>
      <c r="N138" s="1" t="s">
        <v>36</v>
      </c>
      <c r="O138" s="1" t="s">
        <v>37</v>
      </c>
      <c r="P138" s="1">
        <v>1.5E8</v>
      </c>
      <c r="Q138" s="1">
        <v>2006.0</v>
      </c>
      <c r="R138" s="1">
        <v>22000.0</v>
      </c>
      <c r="S138" s="1">
        <v>10000.0</v>
      </c>
      <c r="T138" s="1">
        <v>979.0</v>
      </c>
      <c r="U138" s="1">
        <v>34817.0</v>
      </c>
      <c r="V138" s="1">
        <v>14000.0</v>
      </c>
      <c r="W138" s="1">
        <v>0.0</v>
      </c>
      <c r="X138" s="1">
        <v>0.0</v>
      </c>
      <c r="Y138" s="1">
        <v>2.35</v>
      </c>
      <c r="Z138" s="1">
        <v>6.9</v>
      </c>
    </row>
    <row r="139" ht="14.25" customHeight="1">
      <c r="A139" s="1" t="s">
        <v>26</v>
      </c>
      <c r="B139" s="1" t="s">
        <v>414</v>
      </c>
      <c r="C139" s="1" t="s">
        <v>885</v>
      </c>
      <c r="D139" s="1">
        <v>7.3103784E7</v>
      </c>
      <c r="E139" s="1" t="s">
        <v>886</v>
      </c>
      <c r="F139" s="1" t="s">
        <v>430</v>
      </c>
      <c r="G139" s="1" t="s">
        <v>887</v>
      </c>
      <c r="H139" s="1" t="s">
        <v>888</v>
      </c>
      <c r="I139" s="1">
        <v>164238.0</v>
      </c>
      <c r="J139" s="1" t="s">
        <v>889</v>
      </c>
      <c r="K139" s="1" t="s">
        <v>890</v>
      </c>
      <c r="L139" s="1">
        <v>434.0</v>
      </c>
      <c r="M139" s="1" t="s">
        <v>35</v>
      </c>
      <c r="N139" s="1" t="s">
        <v>36</v>
      </c>
      <c r="O139" s="1" t="s">
        <v>37</v>
      </c>
      <c r="P139" s="1">
        <v>1.5E8</v>
      </c>
      <c r="Q139" s="1">
        <v>2013.0</v>
      </c>
      <c r="R139" s="1">
        <v>17000.0</v>
      </c>
      <c r="S139" s="1">
        <v>551.0</v>
      </c>
      <c r="T139" s="1">
        <v>256.0</v>
      </c>
      <c r="U139" s="1">
        <v>18204.0</v>
      </c>
      <c r="V139" s="1">
        <v>776.0</v>
      </c>
      <c r="W139" s="1">
        <v>33000.0</v>
      </c>
      <c r="X139" s="1">
        <v>2.0</v>
      </c>
      <c r="Y139" s="1">
        <v>2.35</v>
      </c>
      <c r="Z139" s="1">
        <v>6.4</v>
      </c>
    </row>
    <row r="140" ht="14.25" customHeight="1">
      <c r="A140" s="1" t="s">
        <v>26</v>
      </c>
      <c r="B140" s="1" t="s">
        <v>891</v>
      </c>
      <c r="C140" s="1" t="s">
        <v>892</v>
      </c>
      <c r="D140" s="1">
        <v>2.1379315E7</v>
      </c>
      <c r="E140" s="1" t="s">
        <v>463</v>
      </c>
      <c r="F140" s="1" t="s">
        <v>893</v>
      </c>
      <c r="G140" s="1" t="s">
        <v>894</v>
      </c>
      <c r="H140" s="1" t="s">
        <v>895</v>
      </c>
      <c r="I140" s="1">
        <v>17590.0</v>
      </c>
      <c r="J140" s="1" t="s">
        <v>896</v>
      </c>
      <c r="K140" s="1" t="s">
        <v>897</v>
      </c>
      <c r="L140" s="1">
        <v>112.0</v>
      </c>
      <c r="M140" s="1" t="s">
        <v>35</v>
      </c>
      <c r="N140" s="1" t="s">
        <v>36</v>
      </c>
      <c r="O140" s="1" t="s">
        <v>87</v>
      </c>
      <c r="P140" s="1">
        <v>1.5E8</v>
      </c>
      <c r="Q140" s="1">
        <v>2011.0</v>
      </c>
      <c r="R140" s="1">
        <v>921.0</v>
      </c>
      <c r="S140" s="1">
        <v>562.0</v>
      </c>
      <c r="T140" s="1">
        <v>433.0</v>
      </c>
      <c r="U140" s="1">
        <v>2652.0</v>
      </c>
      <c r="V140" s="1">
        <v>25.0</v>
      </c>
      <c r="W140" s="1">
        <v>0.0</v>
      </c>
      <c r="X140" s="1">
        <v>0.0</v>
      </c>
      <c r="Y140" s="1">
        <v>2.35</v>
      </c>
      <c r="Z140" s="1">
        <v>5.4</v>
      </c>
    </row>
    <row r="141" ht="14.25" customHeight="1">
      <c r="A141" s="1" t="s">
        <v>26</v>
      </c>
      <c r="B141" s="1" t="s">
        <v>898</v>
      </c>
      <c r="C141" s="1" t="s">
        <v>899</v>
      </c>
      <c r="D141" s="1">
        <v>6.4459316E7</v>
      </c>
      <c r="E141" s="1" t="s">
        <v>456</v>
      </c>
      <c r="F141" s="1" t="s">
        <v>255</v>
      </c>
      <c r="G141" s="1" t="s">
        <v>208</v>
      </c>
      <c r="H141" s="1" t="s">
        <v>900</v>
      </c>
      <c r="I141" s="1">
        <v>85086.0</v>
      </c>
      <c r="J141" s="1" t="s">
        <v>901</v>
      </c>
      <c r="K141" s="1" t="s">
        <v>902</v>
      </c>
      <c r="L141" s="1">
        <v>122.0</v>
      </c>
      <c r="M141" s="1" t="s">
        <v>35</v>
      </c>
      <c r="N141" s="1" t="s">
        <v>54</v>
      </c>
      <c r="O141" s="1" t="s">
        <v>87</v>
      </c>
      <c r="P141" s="1">
        <v>1.49E8</v>
      </c>
      <c r="Q141" s="1">
        <v>2006.0</v>
      </c>
      <c r="R141" s="1">
        <v>20000.0</v>
      </c>
      <c r="S141" s="1">
        <v>14000.0</v>
      </c>
      <c r="T141" s="1">
        <v>586.0</v>
      </c>
      <c r="U141" s="1">
        <v>35161.0</v>
      </c>
      <c r="V141" s="1">
        <v>42.0</v>
      </c>
      <c r="W141" s="1">
        <v>0.0</v>
      </c>
      <c r="X141" s="1">
        <v>0.0</v>
      </c>
      <c r="Y141" s="1">
        <v>1.85</v>
      </c>
      <c r="Z141" s="1">
        <v>6.7</v>
      </c>
    </row>
    <row r="142" ht="14.25" customHeight="1">
      <c r="A142" s="1" t="s">
        <v>26</v>
      </c>
      <c r="B142" s="1" t="s">
        <v>903</v>
      </c>
      <c r="C142" s="1" t="s">
        <v>904</v>
      </c>
      <c r="D142" s="1">
        <v>3.4964818E7</v>
      </c>
      <c r="E142" s="1" t="s">
        <v>192</v>
      </c>
      <c r="F142" s="1" t="s">
        <v>255</v>
      </c>
      <c r="G142" s="1" t="s">
        <v>905</v>
      </c>
      <c r="H142" s="1" t="s">
        <v>906</v>
      </c>
      <c r="I142" s="1">
        <v>39956.0</v>
      </c>
      <c r="J142" s="1" t="s">
        <v>907</v>
      </c>
      <c r="K142" s="1" t="s">
        <v>908</v>
      </c>
      <c r="L142" s="1">
        <v>186.0</v>
      </c>
      <c r="M142" s="1" t="s">
        <v>35</v>
      </c>
      <c r="N142" s="1" t="s">
        <v>36</v>
      </c>
      <c r="O142" s="1" t="s">
        <v>87</v>
      </c>
      <c r="P142" s="1">
        <v>1.5E8</v>
      </c>
      <c r="Q142" s="1">
        <v>2015.0</v>
      </c>
      <c r="R142" s="1">
        <v>20000.0</v>
      </c>
      <c r="S142" s="1">
        <v>548.0</v>
      </c>
      <c r="T142" s="1">
        <v>394.0</v>
      </c>
      <c r="U142" s="1">
        <v>21393.0</v>
      </c>
      <c r="V142" s="1">
        <v>456.0</v>
      </c>
      <c r="W142" s="1">
        <v>24000.0</v>
      </c>
      <c r="X142" s="1">
        <v>4.0</v>
      </c>
      <c r="Y142" s="1">
        <v>2.35</v>
      </c>
      <c r="Z142" s="1">
        <v>5.8</v>
      </c>
    </row>
    <row r="143" ht="14.25" customHeight="1">
      <c r="A143" s="1" t="s">
        <v>26</v>
      </c>
      <c r="B143" s="1" t="s">
        <v>909</v>
      </c>
      <c r="C143" s="1" t="s">
        <v>910</v>
      </c>
      <c r="D143" s="1">
        <v>1.11505642E8</v>
      </c>
      <c r="E143" s="1" t="s">
        <v>596</v>
      </c>
      <c r="F143" s="1" t="s">
        <v>911</v>
      </c>
      <c r="G143" s="1" t="s">
        <v>912</v>
      </c>
      <c r="H143" s="1" t="s">
        <v>913</v>
      </c>
      <c r="I143" s="1">
        <v>47900.0</v>
      </c>
      <c r="J143" s="1" t="s">
        <v>914</v>
      </c>
      <c r="K143" s="1" t="s">
        <v>915</v>
      </c>
      <c r="L143" s="1">
        <v>130.0</v>
      </c>
      <c r="M143" s="1" t="s">
        <v>35</v>
      </c>
      <c r="N143" s="1" t="s">
        <v>36</v>
      </c>
      <c r="O143" s="1" t="s">
        <v>87</v>
      </c>
      <c r="P143" s="1">
        <v>1.45E8</v>
      </c>
      <c r="Q143" s="1">
        <v>2014.0</v>
      </c>
      <c r="R143" s="1">
        <v>3000.0</v>
      </c>
      <c r="S143" s="1">
        <v>1000.0</v>
      </c>
      <c r="T143" s="1">
        <v>517.0</v>
      </c>
      <c r="U143" s="1">
        <v>5810.0</v>
      </c>
      <c r="V143" s="1">
        <v>50.0</v>
      </c>
      <c r="W143" s="1">
        <v>11000.0</v>
      </c>
      <c r="X143" s="1">
        <v>2.0</v>
      </c>
      <c r="Y143" s="1">
        <v>1.85</v>
      </c>
      <c r="Z143" s="1">
        <v>6.9</v>
      </c>
    </row>
    <row r="144" ht="14.25" customHeight="1">
      <c r="A144" s="1" t="s">
        <v>26</v>
      </c>
      <c r="B144" s="1" t="s">
        <v>673</v>
      </c>
      <c r="C144" s="1" t="s">
        <v>916</v>
      </c>
      <c r="D144" s="1">
        <v>1.33228348E8</v>
      </c>
      <c r="E144" s="1" t="s">
        <v>917</v>
      </c>
      <c r="F144" s="1" t="s">
        <v>335</v>
      </c>
      <c r="G144" s="1" t="s">
        <v>42</v>
      </c>
      <c r="H144" s="1" t="s">
        <v>918</v>
      </c>
      <c r="I144" s="1">
        <v>381672.0</v>
      </c>
      <c r="J144" s="1" t="s">
        <v>919</v>
      </c>
      <c r="K144" s="1" t="s">
        <v>920</v>
      </c>
      <c r="L144" s="1">
        <v>1694.0</v>
      </c>
      <c r="M144" s="1" t="s">
        <v>35</v>
      </c>
      <c r="N144" s="1" t="s">
        <v>36</v>
      </c>
      <c r="O144" s="1" t="s">
        <v>628</v>
      </c>
      <c r="P144" s="1">
        <v>1.75E8</v>
      </c>
      <c r="Q144" s="1">
        <v>2004.0</v>
      </c>
      <c r="R144" s="1">
        <v>11000.0</v>
      </c>
      <c r="S144" s="1">
        <v>5000.0</v>
      </c>
      <c r="T144" s="1">
        <v>844.0</v>
      </c>
      <c r="U144" s="1">
        <v>17944.0</v>
      </c>
      <c r="V144" s="1">
        <v>249.0</v>
      </c>
      <c r="W144" s="1">
        <v>0.0</v>
      </c>
      <c r="X144" s="1">
        <v>2.0</v>
      </c>
      <c r="Y144" s="1">
        <v>2.35</v>
      </c>
      <c r="Z144" s="1">
        <v>7.2</v>
      </c>
    </row>
    <row r="145" ht="14.25" customHeight="1">
      <c r="A145" s="1" t="s">
        <v>26</v>
      </c>
      <c r="B145" s="1" t="s">
        <v>764</v>
      </c>
      <c r="C145" s="1" t="s">
        <v>921</v>
      </c>
      <c r="D145" s="1">
        <v>2.16366733E8</v>
      </c>
      <c r="E145" s="1" t="s">
        <v>456</v>
      </c>
      <c r="F145" s="1" t="s">
        <v>768</v>
      </c>
      <c r="G145" s="1" t="s">
        <v>922</v>
      </c>
      <c r="H145" s="1" t="s">
        <v>769</v>
      </c>
      <c r="I145" s="1">
        <v>119213.0</v>
      </c>
      <c r="J145" s="1" t="s">
        <v>923</v>
      </c>
      <c r="K145" s="1" t="s">
        <v>924</v>
      </c>
      <c r="L145" s="1">
        <v>154.0</v>
      </c>
      <c r="M145" s="1" t="s">
        <v>35</v>
      </c>
      <c r="N145" s="1" t="s">
        <v>36</v>
      </c>
      <c r="O145" s="1" t="s">
        <v>87</v>
      </c>
      <c r="P145" s="1">
        <v>1.45E8</v>
      </c>
      <c r="Q145" s="1">
        <v>2012.0</v>
      </c>
      <c r="R145" s="1">
        <v>851.0</v>
      </c>
      <c r="S145" s="1">
        <v>770.0</v>
      </c>
      <c r="T145" s="1">
        <v>436.0</v>
      </c>
      <c r="U145" s="1">
        <v>2444.0</v>
      </c>
      <c r="V145" s="1">
        <v>35.0</v>
      </c>
      <c r="W145" s="1">
        <v>17000.0</v>
      </c>
      <c r="X145" s="1">
        <v>0.0</v>
      </c>
      <c r="Y145" s="1">
        <v>1.85</v>
      </c>
      <c r="Z145" s="1">
        <v>6.9</v>
      </c>
    </row>
    <row r="146" ht="14.25" customHeight="1">
      <c r="A146" s="1" t="s">
        <v>710</v>
      </c>
      <c r="B146" s="1" t="s">
        <v>925</v>
      </c>
      <c r="C146" s="1" t="s">
        <v>926</v>
      </c>
      <c r="D146" s="1">
        <v>1.60201106E8</v>
      </c>
      <c r="E146" s="1" t="s">
        <v>48</v>
      </c>
      <c r="F146" s="1" t="s">
        <v>927</v>
      </c>
      <c r="G146" s="1" t="s">
        <v>928</v>
      </c>
      <c r="H146" s="1" t="s">
        <v>929</v>
      </c>
      <c r="I146" s="1">
        <v>169914.0</v>
      </c>
      <c r="J146" s="1" t="s">
        <v>930</v>
      </c>
      <c r="K146" s="1" t="s">
        <v>931</v>
      </c>
      <c r="L146" s="1">
        <v>1185.0</v>
      </c>
      <c r="M146" s="1" t="s">
        <v>35</v>
      </c>
      <c r="N146" s="1" t="s">
        <v>54</v>
      </c>
      <c r="O146" s="1" t="s">
        <v>37</v>
      </c>
      <c r="P146" s="1">
        <v>1.42E8</v>
      </c>
      <c r="Q146" s="1">
        <v>2002.0</v>
      </c>
      <c r="R146" s="1">
        <v>769.0</v>
      </c>
      <c r="S146" s="1">
        <v>766.0</v>
      </c>
      <c r="T146" s="1">
        <v>746.0</v>
      </c>
      <c r="U146" s="1">
        <v>2538.0</v>
      </c>
      <c r="V146" s="1">
        <v>93.0</v>
      </c>
      <c r="W146" s="1">
        <v>0.0</v>
      </c>
      <c r="X146" s="1">
        <v>0.0</v>
      </c>
      <c r="Y146" s="1">
        <v>2.35</v>
      </c>
      <c r="Z146" s="1">
        <v>6.1</v>
      </c>
    </row>
    <row r="147" ht="14.25" customHeight="1">
      <c r="A147" s="1" t="s">
        <v>26</v>
      </c>
      <c r="B147" s="1" t="s">
        <v>932</v>
      </c>
      <c r="C147" s="1" t="s">
        <v>933</v>
      </c>
      <c r="D147" s="1">
        <v>1.18099659E8</v>
      </c>
      <c r="E147" s="1" t="s">
        <v>934</v>
      </c>
      <c r="F147" s="1" t="s">
        <v>935</v>
      </c>
      <c r="G147" s="1" t="s">
        <v>936</v>
      </c>
      <c r="H147" s="1" t="s">
        <v>937</v>
      </c>
      <c r="I147" s="1">
        <v>69757.0</v>
      </c>
      <c r="J147" s="1" t="s">
        <v>938</v>
      </c>
      <c r="K147" s="1" t="s">
        <v>939</v>
      </c>
      <c r="L147" s="1">
        <v>1211.0</v>
      </c>
      <c r="M147" s="1" t="s">
        <v>35</v>
      </c>
      <c r="N147" s="1" t="s">
        <v>36</v>
      </c>
      <c r="O147" s="1" t="s">
        <v>37</v>
      </c>
      <c r="P147" s="1">
        <v>1.44E8</v>
      </c>
      <c r="Q147" s="1">
        <v>2016.0</v>
      </c>
      <c r="R147" s="1">
        <v>783.0</v>
      </c>
      <c r="S147" s="1">
        <v>370.0</v>
      </c>
      <c r="T147" s="1">
        <v>322.0</v>
      </c>
      <c r="U147" s="1">
        <v>2097.0</v>
      </c>
      <c r="V147" s="1">
        <v>176.0</v>
      </c>
      <c r="W147" s="1">
        <v>62000.0</v>
      </c>
      <c r="X147" s="1">
        <v>4.0</v>
      </c>
      <c r="Y147" s="1">
        <v>2.35</v>
      </c>
      <c r="Z147" s="1">
        <v>5.5</v>
      </c>
    </row>
    <row r="148" ht="14.25" customHeight="1">
      <c r="A148" s="1" t="s">
        <v>26</v>
      </c>
      <c r="B148" s="1" t="s">
        <v>270</v>
      </c>
      <c r="C148" s="1" t="s">
        <v>940</v>
      </c>
      <c r="D148" s="1">
        <v>2.01573391E8</v>
      </c>
      <c r="E148" s="1" t="s">
        <v>219</v>
      </c>
      <c r="F148" s="1" t="s">
        <v>941</v>
      </c>
      <c r="G148" s="1" t="s">
        <v>264</v>
      </c>
      <c r="H148" s="1" t="s">
        <v>942</v>
      </c>
      <c r="I148" s="1">
        <v>322395.0</v>
      </c>
      <c r="J148" s="1" t="s">
        <v>943</v>
      </c>
      <c r="K148" s="1" t="s">
        <v>944</v>
      </c>
      <c r="L148" s="1">
        <v>1171.0</v>
      </c>
      <c r="M148" s="1" t="s">
        <v>35</v>
      </c>
      <c r="N148" s="1" t="s">
        <v>36</v>
      </c>
      <c r="O148" s="1" t="s">
        <v>37</v>
      </c>
      <c r="P148" s="1">
        <v>1.4E8</v>
      </c>
      <c r="Q148" s="1">
        <v>1998.0</v>
      </c>
      <c r="R148" s="1">
        <v>13000.0</v>
      </c>
      <c r="S148" s="1">
        <v>12000.0</v>
      </c>
      <c r="T148" s="1">
        <v>537.0</v>
      </c>
      <c r="U148" s="1">
        <v>26029.0</v>
      </c>
      <c r="V148" s="1">
        <v>0.0</v>
      </c>
      <c r="W148" s="1">
        <v>11000.0</v>
      </c>
      <c r="X148" s="1">
        <v>0.0</v>
      </c>
      <c r="Y148" s="1">
        <v>2.35</v>
      </c>
      <c r="Z148" s="1">
        <v>6.6</v>
      </c>
    </row>
    <row r="149" ht="14.25" customHeight="1">
      <c r="A149" s="1" t="s">
        <v>26</v>
      </c>
      <c r="B149" s="1" t="s">
        <v>155</v>
      </c>
      <c r="C149" s="1" t="s">
        <v>945</v>
      </c>
      <c r="D149" s="1">
        <v>1.90418803E8</v>
      </c>
      <c r="E149" s="1" t="s">
        <v>946</v>
      </c>
      <c r="F149" s="1" t="s">
        <v>158</v>
      </c>
      <c r="G149" s="1" t="s">
        <v>947</v>
      </c>
      <c r="H149" s="1" t="s">
        <v>867</v>
      </c>
      <c r="I149" s="1">
        <v>270207.0</v>
      </c>
      <c r="J149" s="1" t="s">
        <v>948</v>
      </c>
      <c r="K149" s="1" t="s">
        <v>949</v>
      </c>
      <c r="L149" s="1">
        <v>606.0</v>
      </c>
      <c r="M149" s="1" t="s">
        <v>35</v>
      </c>
      <c r="N149" s="1" t="s">
        <v>36</v>
      </c>
      <c r="O149" s="1" t="s">
        <v>37</v>
      </c>
      <c r="P149" s="1">
        <v>1.4E8</v>
      </c>
      <c r="Q149" s="1">
        <v>2002.0</v>
      </c>
      <c r="R149" s="1">
        <v>10000.0</v>
      </c>
      <c r="S149" s="1">
        <v>3000.0</v>
      </c>
      <c r="T149" s="1">
        <v>826.0</v>
      </c>
      <c r="U149" s="1">
        <v>14823.0</v>
      </c>
      <c r="V149" s="1">
        <v>188.0</v>
      </c>
      <c r="W149" s="1">
        <v>2000.0</v>
      </c>
      <c r="X149" s="1">
        <v>2.0</v>
      </c>
      <c r="Y149" s="1">
        <v>1.85</v>
      </c>
      <c r="Z149" s="1">
        <v>6.1</v>
      </c>
    </row>
    <row r="150" ht="14.25" customHeight="1">
      <c r="A150" s="1" t="s">
        <v>26</v>
      </c>
      <c r="B150" s="1" t="s">
        <v>420</v>
      </c>
      <c r="C150" s="1" t="s">
        <v>950</v>
      </c>
      <c r="D150" s="1">
        <v>8.2161969E7</v>
      </c>
      <c r="E150" s="1" t="s">
        <v>951</v>
      </c>
      <c r="F150" s="1" t="s">
        <v>423</v>
      </c>
      <c r="G150" s="1" t="s">
        <v>726</v>
      </c>
      <c r="H150" s="1" t="s">
        <v>952</v>
      </c>
      <c r="I150" s="1">
        <v>142440.0</v>
      </c>
      <c r="J150" s="1" t="s">
        <v>953</v>
      </c>
      <c r="K150" s="1" t="s">
        <v>954</v>
      </c>
      <c r="L150" s="1">
        <v>505.0</v>
      </c>
      <c r="M150" s="1" t="s">
        <v>35</v>
      </c>
      <c r="N150" s="1" t="s">
        <v>36</v>
      </c>
      <c r="O150" s="1" t="s">
        <v>37</v>
      </c>
      <c r="P150" s="1">
        <v>1.5E8</v>
      </c>
      <c r="Q150" s="1">
        <v>2007.0</v>
      </c>
      <c r="R150" s="1">
        <v>18000.0</v>
      </c>
      <c r="S150" s="1">
        <v>12000.0</v>
      </c>
      <c r="T150" s="1">
        <v>964.0</v>
      </c>
      <c r="U150" s="1">
        <v>31523.0</v>
      </c>
      <c r="V150" s="1">
        <v>0.0</v>
      </c>
      <c r="W150" s="1">
        <v>3000.0</v>
      </c>
      <c r="X150" s="1">
        <v>1.0</v>
      </c>
      <c r="Y150" s="1">
        <v>2.35</v>
      </c>
      <c r="Z150" s="1">
        <v>6.3</v>
      </c>
    </row>
    <row r="151" ht="14.25" customHeight="1">
      <c r="A151" s="1" t="s">
        <v>26</v>
      </c>
      <c r="B151" s="1" t="s">
        <v>955</v>
      </c>
      <c r="C151" s="1" t="s">
        <v>956</v>
      </c>
      <c r="D151" s="1">
        <v>1.43523463E8</v>
      </c>
      <c r="E151" s="1" t="s">
        <v>766</v>
      </c>
      <c r="F151" s="1" t="s">
        <v>74</v>
      </c>
      <c r="G151" s="1" t="s">
        <v>550</v>
      </c>
      <c r="H151" s="1" t="s">
        <v>957</v>
      </c>
      <c r="I151" s="1">
        <v>64322.0</v>
      </c>
      <c r="J151" s="1" t="s">
        <v>958</v>
      </c>
      <c r="K151" s="1" t="s">
        <v>959</v>
      </c>
      <c r="L151" s="1">
        <v>145.0</v>
      </c>
      <c r="M151" s="1" t="s">
        <v>35</v>
      </c>
      <c r="N151" s="1" t="s">
        <v>36</v>
      </c>
      <c r="O151" s="1" t="s">
        <v>87</v>
      </c>
      <c r="P151" s="1">
        <v>1.45E8</v>
      </c>
      <c r="Q151" s="1">
        <v>2016.0</v>
      </c>
      <c r="R151" s="1">
        <v>24000.0</v>
      </c>
      <c r="S151" s="1">
        <v>11000.0</v>
      </c>
      <c r="T151" s="1">
        <v>967.0</v>
      </c>
      <c r="U151" s="1">
        <v>36095.0</v>
      </c>
      <c r="V151" s="1">
        <v>5.0</v>
      </c>
      <c r="W151" s="1">
        <v>24000.0</v>
      </c>
      <c r="X151" s="1">
        <v>0.0</v>
      </c>
      <c r="Y151" s="1">
        <v>2.35</v>
      </c>
      <c r="Z151" s="1">
        <v>7.2</v>
      </c>
    </row>
    <row r="152" ht="14.25" customHeight="1">
      <c r="A152" s="1" t="s">
        <v>26</v>
      </c>
      <c r="B152" s="1" t="s">
        <v>579</v>
      </c>
      <c r="C152" s="1" t="s">
        <v>960</v>
      </c>
      <c r="D152" s="1">
        <v>2.09364921E8</v>
      </c>
      <c r="E152" s="1" t="s">
        <v>48</v>
      </c>
      <c r="F152" s="1" t="s">
        <v>508</v>
      </c>
      <c r="G152" s="1" t="s">
        <v>851</v>
      </c>
      <c r="H152" s="1" t="s">
        <v>961</v>
      </c>
      <c r="I152" s="1">
        <v>365104.0</v>
      </c>
      <c r="J152" s="1" t="s">
        <v>962</v>
      </c>
      <c r="K152" s="1" t="s">
        <v>963</v>
      </c>
      <c r="L152" s="1">
        <v>512.0</v>
      </c>
      <c r="M152" s="1" t="s">
        <v>35</v>
      </c>
      <c r="N152" s="1" t="s">
        <v>36</v>
      </c>
      <c r="O152" s="1" t="s">
        <v>37</v>
      </c>
      <c r="P152" s="1">
        <v>1.45E8</v>
      </c>
      <c r="Q152" s="1">
        <v>2011.0</v>
      </c>
      <c r="R152" s="1">
        <v>10000.0</v>
      </c>
      <c r="S152" s="1">
        <v>10000.0</v>
      </c>
      <c r="T152" s="1">
        <v>690.0</v>
      </c>
      <c r="U152" s="1">
        <v>21768.0</v>
      </c>
      <c r="V152" s="1">
        <v>663.0</v>
      </c>
      <c r="W152" s="1">
        <v>35000.0</v>
      </c>
      <c r="X152" s="1">
        <v>3.0</v>
      </c>
      <c r="Y152" s="1">
        <v>2.35</v>
      </c>
      <c r="Z152" s="1">
        <v>7.4</v>
      </c>
    </row>
    <row r="153" ht="14.25" customHeight="1">
      <c r="A153" s="1" t="s">
        <v>26</v>
      </c>
      <c r="B153" s="1" t="s">
        <v>964</v>
      </c>
      <c r="C153" s="1" t="s">
        <v>965</v>
      </c>
      <c r="D153" s="1">
        <v>1.03400692E8</v>
      </c>
      <c r="E153" s="1" t="s">
        <v>603</v>
      </c>
      <c r="F153" s="1" t="s">
        <v>255</v>
      </c>
      <c r="G153" s="1" t="s">
        <v>966</v>
      </c>
      <c r="H153" s="1" t="s">
        <v>967</v>
      </c>
      <c r="I153" s="1">
        <v>123553.0</v>
      </c>
      <c r="J153" s="1" t="s">
        <v>968</v>
      </c>
      <c r="K153" s="1" t="s">
        <v>969</v>
      </c>
      <c r="L153" s="1">
        <v>174.0</v>
      </c>
      <c r="M153" s="1" t="s">
        <v>35</v>
      </c>
      <c r="N153" s="1" t="s">
        <v>36</v>
      </c>
      <c r="O153" s="1" t="s">
        <v>87</v>
      </c>
      <c r="P153" s="1">
        <v>1.45E8</v>
      </c>
      <c r="Q153" s="1">
        <v>2012.0</v>
      </c>
      <c r="R153" s="1">
        <v>20000.0</v>
      </c>
      <c r="S153" s="1">
        <v>315.0</v>
      </c>
      <c r="T153" s="1">
        <v>161.0</v>
      </c>
      <c r="U153" s="1">
        <v>20645.0</v>
      </c>
      <c r="V153" s="1">
        <v>52.0</v>
      </c>
      <c r="W153" s="1">
        <v>25000.0</v>
      </c>
      <c r="X153" s="1">
        <v>0.0</v>
      </c>
      <c r="Y153" s="1">
        <v>1.85</v>
      </c>
      <c r="Z153" s="1">
        <v>7.3</v>
      </c>
    </row>
    <row r="154" ht="14.25" customHeight="1">
      <c r="A154" s="1" t="s">
        <v>26</v>
      </c>
      <c r="B154" s="1" t="s">
        <v>970</v>
      </c>
      <c r="C154" s="1" t="s">
        <v>971</v>
      </c>
      <c r="D154" s="1">
        <v>1.10332737E8</v>
      </c>
      <c r="E154" s="1" t="s">
        <v>972</v>
      </c>
      <c r="F154" s="1" t="s">
        <v>973</v>
      </c>
      <c r="G154" s="1" t="s">
        <v>974</v>
      </c>
      <c r="H154" s="1" t="s">
        <v>975</v>
      </c>
      <c r="I154" s="1">
        <v>110788.0</v>
      </c>
      <c r="J154" s="1" t="s">
        <v>976</v>
      </c>
      <c r="K154" s="1" t="s">
        <v>977</v>
      </c>
      <c r="L154" s="1">
        <v>258.0</v>
      </c>
      <c r="M154" s="1" t="s">
        <v>35</v>
      </c>
      <c r="N154" s="1" t="s">
        <v>36</v>
      </c>
      <c r="O154" s="1" t="s">
        <v>37</v>
      </c>
      <c r="P154" s="1">
        <v>1.0E8</v>
      </c>
      <c r="Q154" s="1">
        <v>2005.0</v>
      </c>
      <c r="R154" s="1">
        <v>957.0</v>
      </c>
      <c r="S154" s="1">
        <v>550.0</v>
      </c>
      <c r="T154" s="1">
        <v>233.0</v>
      </c>
      <c r="U154" s="1">
        <v>1997.0</v>
      </c>
      <c r="V154" s="1">
        <v>23.0</v>
      </c>
      <c r="W154" s="1">
        <v>2000.0</v>
      </c>
      <c r="X154" s="1">
        <v>1.0</v>
      </c>
      <c r="Y154" s="1">
        <v>2.35</v>
      </c>
      <c r="Z154" s="1">
        <v>6.1</v>
      </c>
    </row>
    <row r="155" ht="14.25" customHeight="1">
      <c r="A155" s="1" t="s">
        <v>26</v>
      </c>
      <c r="B155" s="1" t="s">
        <v>978</v>
      </c>
      <c r="C155" s="1" t="s">
        <v>979</v>
      </c>
      <c r="D155" s="1">
        <v>1.11110575E8</v>
      </c>
      <c r="E155" s="1" t="s">
        <v>980</v>
      </c>
      <c r="F155" s="1" t="s">
        <v>508</v>
      </c>
      <c r="G155" s="1" t="s">
        <v>981</v>
      </c>
      <c r="H155" s="1" t="s">
        <v>982</v>
      </c>
      <c r="I155" s="1">
        <v>317166.0</v>
      </c>
      <c r="J155" s="1" t="s">
        <v>983</v>
      </c>
      <c r="K155" s="1" t="s">
        <v>984</v>
      </c>
      <c r="L155" s="1">
        <v>928.0</v>
      </c>
      <c r="M155" s="1" t="s">
        <v>35</v>
      </c>
      <c r="N155" s="1" t="s">
        <v>36</v>
      </c>
      <c r="O155" s="1" t="s">
        <v>628</v>
      </c>
      <c r="P155" s="1">
        <v>1.4E8</v>
      </c>
      <c r="Q155" s="1">
        <v>2003.0</v>
      </c>
      <c r="R155" s="1">
        <v>10000.0</v>
      </c>
      <c r="S155" s="1">
        <v>956.0</v>
      </c>
      <c r="T155" s="1">
        <v>445.0</v>
      </c>
      <c r="U155" s="1">
        <v>11945.0</v>
      </c>
      <c r="V155" s="1">
        <v>380.0</v>
      </c>
      <c r="W155" s="1">
        <v>0.0</v>
      </c>
      <c r="X155" s="1">
        <v>1.0</v>
      </c>
      <c r="Y155" s="1">
        <v>2.35</v>
      </c>
      <c r="Z155" s="1">
        <v>7.7</v>
      </c>
    </row>
    <row r="156" ht="14.25" customHeight="1">
      <c r="A156" s="1" t="s">
        <v>26</v>
      </c>
      <c r="B156" s="1" t="s">
        <v>179</v>
      </c>
      <c r="C156" s="1" t="s">
        <v>985</v>
      </c>
      <c r="D156" s="1">
        <v>6.5007045E7</v>
      </c>
      <c r="E156" s="1" t="s">
        <v>986</v>
      </c>
      <c r="F156" s="1" t="s">
        <v>59</v>
      </c>
      <c r="G156" s="1" t="s">
        <v>987</v>
      </c>
      <c r="H156" s="1" t="s">
        <v>988</v>
      </c>
      <c r="I156" s="1">
        <v>128682.0</v>
      </c>
      <c r="J156" s="1" t="s">
        <v>989</v>
      </c>
      <c r="K156" s="1" t="s">
        <v>990</v>
      </c>
      <c r="L156" s="1">
        <v>657.0</v>
      </c>
      <c r="M156" s="1" t="s">
        <v>35</v>
      </c>
      <c r="N156" s="1" t="s">
        <v>54</v>
      </c>
      <c r="O156" s="1" t="s">
        <v>37</v>
      </c>
      <c r="P156" s="1">
        <v>1.4E8</v>
      </c>
      <c r="Q156" s="1">
        <v>2014.0</v>
      </c>
      <c r="R156" s="1">
        <v>23000.0</v>
      </c>
      <c r="S156" s="1">
        <v>893.0</v>
      </c>
      <c r="T156" s="1">
        <v>748.0</v>
      </c>
      <c r="U156" s="1">
        <v>26490.0</v>
      </c>
      <c r="V156" s="1">
        <v>0.0</v>
      </c>
      <c r="W156" s="1">
        <v>51000.0</v>
      </c>
      <c r="X156" s="1">
        <v>0.0</v>
      </c>
      <c r="Y156" s="1">
        <v>2.35</v>
      </c>
      <c r="Z156" s="1">
        <v>6.1</v>
      </c>
    </row>
    <row r="157" ht="14.25" customHeight="1">
      <c r="A157" s="1" t="s">
        <v>26</v>
      </c>
      <c r="B157" s="1" t="s">
        <v>343</v>
      </c>
      <c r="C157" s="1" t="s">
        <v>991</v>
      </c>
      <c r="D157" s="1">
        <v>2.57704099E8</v>
      </c>
      <c r="E157" s="1" t="s">
        <v>65</v>
      </c>
      <c r="F157" s="1" t="s">
        <v>90</v>
      </c>
      <c r="G157" s="1" t="s">
        <v>992</v>
      </c>
      <c r="H157" s="1" t="s">
        <v>346</v>
      </c>
      <c r="I157" s="1">
        <v>504419.0</v>
      </c>
      <c r="J157" s="1" t="s">
        <v>993</v>
      </c>
      <c r="K157" s="1" t="s">
        <v>994</v>
      </c>
      <c r="L157" s="1">
        <v>1559.0</v>
      </c>
      <c r="M157" s="1" t="s">
        <v>35</v>
      </c>
      <c r="N157" s="1" t="s">
        <v>36</v>
      </c>
      <c r="O157" s="1" t="s">
        <v>37</v>
      </c>
      <c r="P157" s="1">
        <v>1.5E8</v>
      </c>
      <c r="Q157" s="1">
        <v>2009.0</v>
      </c>
      <c r="R157" s="1">
        <v>26000.0</v>
      </c>
      <c r="S157" s="1">
        <v>12000.0</v>
      </c>
      <c r="T157" s="1">
        <v>981.0</v>
      </c>
      <c r="U157" s="1">
        <v>39284.0</v>
      </c>
      <c r="V157" s="1">
        <v>14000.0</v>
      </c>
      <c r="W157" s="1">
        <v>19000.0</v>
      </c>
      <c r="X157" s="1">
        <v>0.0</v>
      </c>
      <c r="Y157" s="1">
        <v>2.35</v>
      </c>
      <c r="Z157" s="1">
        <v>8.0</v>
      </c>
    </row>
    <row r="158" ht="14.25" customHeight="1">
      <c r="A158" s="1" t="s">
        <v>26</v>
      </c>
      <c r="B158" s="1" t="s">
        <v>71</v>
      </c>
      <c r="C158" s="1" t="s">
        <v>995</v>
      </c>
      <c r="D158" s="1">
        <v>4.03706375E8</v>
      </c>
      <c r="E158" s="1" t="s">
        <v>238</v>
      </c>
      <c r="F158" s="1" t="s">
        <v>74</v>
      </c>
      <c r="G158" s="1" t="s">
        <v>75</v>
      </c>
      <c r="H158" s="1" t="s">
        <v>76</v>
      </c>
      <c r="I158" s="1">
        <v>544665.0</v>
      </c>
      <c r="J158" s="1" t="s">
        <v>996</v>
      </c>
      <c r="K158" s="1" t="s">
        <v>997</v>
      </c>
      <c r="L158" s="1">
        <v>2012.0</v>
      </c>
      <c r="M158" s="1" t="s">
        <v>35</v>
      </c>
      <c r="N158" s="1" t="s">
        <v>36</v>
      </c>
      <c r="O158" s="1" t="s">
        <v>37</v>
      </c>
      <c r="P158" s="1">
        <v>1.39E8</v>
      </c>
      <c r="Q158" s="1">
        <v>2002.0</v>
      </c>
      <c r="R158" s="1">
        <v>24000.0</v>
      </c>
      <c r="S158" s="1">
        <v>11000.0</v>
      </c>
      <c r="T158" s="1">
        <v>4000.0</v>
      </c>
      <c r="U158" s="1">
        <v>40484.0</v>
      </c>
      <c r="V158" s="1">
        <v>0.0</v>
      </c>
      <c r="W158" s="1">
        <v>5000.0</v>
      </c>
      <c r="X158" s="1">
        <v>0.0</v>
      </c>
      <c r="Y158" s="1">
        <v>1.85</v>
      </c>
      <c r="Z158" s="1">
        <v>7.3</v>
      </c>
    </row>
    <row r="159" ht="14.25" customHeight="1">
      <c r="A159" s="1" t="s">
        <v>26</v>
      </c>
      <c r="B159" s="1" t="s">
        <v>614</v>
      </c>
      <c r="C159" s="1" t="s">
        <v>998</v>
      </c>
      <c r="D159" s="1">
        <v>1.76997107E8</v>
      </c>
      <c r="E159" s="1" t="s">
        <v>999</v>
      </c>
      <c r="F159" s="1" t="s">
        <v>616</v>
      </c>
      <c r="G159" s="1" t="s">
        <v>632</v>
      </c>
      <c r="H159" s="1" t="s">
        <v>617</v>
      </c>
      <c r="I159" s="1">
        <v>221128.0</v>
      </c>
      <c r="J159" s="1" t="s">
        <v>1000</v>
      </c>
      <c r="K159" s="1" t="s">
        <v>1001</v>
      </c>
      <c r="L159" s="1">
        <v>343.0</v>
      </c>
      <c r="M159" s="1" t="s">
        <v>35</v>
      </c>
      <c r="N159" s="1" t="s">
        <v>36</v>
      </c>
      <c r="O159" s="1" t="s">
        <v>87</v>
      </c>
      <c r="P159" s="1">
        <v>1.45E8</v>
      </c>
      <c r="Q159" s="1">
        <v>2014.0</v>
      </c>
      <c r="R159" s="1">
        <v>18000.0</v>
      </c>
      <c r="S159" s="1">
        <v>3000.0</v>
      </c>
      <c r="T159" s="1">
        <v>953.0</v>
      </c>
      <c r="U159" s="1">
        <v>23378.0</v>
      </c>
      <c r="V159" s="1">
        <v>255.0</v>
      </c>
      <c r="W159" s="1">
        <v>46000.0</v>
      </c>
      <c r="X159" s="1">
        <v>5.0</v>
      </c>
      <c r="Y159" s="1">
        <v>2.35</v>
      </c>
      <c r="Z159" s="1">
        <v>7.9</v>
      </c>
    </row>
    <row r="160" ht="14.25" customHeight="1">
      <c r="A160" s="1" t="s">
        <v>26</v>
      </c>
      <c r="B160" s="1" t="s">
        <v>1002</v>
      </c>
      <c r="C160" s="1" t="s">
        <v>1003</v>
      </c>
      <c r="D160" s="1">
        <v>3.1141074E7</v>
      </c>
      <c r="E160" s="1" t="s">
        <v>40</v>
      </c>
      <c r="F160" s="1" t="s">
        <v>616</v>
      </c>
      <c r="G160" s="1" t="s">
        <v>1004</v>
      </c>
      <c r="H160" s="1" t="s">
        <v>1005</v>
      </c>
      <c r="I160" s="1">
        <v>51892.0</v>
      </c>
      <c r="J160" s="1" t="s">
        <v>1006</v>
      </c>
      <c r="K160" s="1" t="s">
        <v>1007</v>
      </c>
      <c r="L160" s="1">
        <v>273.0</v>
      </c>
      <c r="M160" s="1" t="s">
        <v>35</v>
      </c>
      <c r="N160" s="1" t="s">
        <v>36</v>
      </c>
      <c r="O160" s="1" t="s">
        <v>37</v>
      </c>
      <c r="P160" s="1">
        <v>1.4E8</v>
      </c>
      <c r="Q160" s="1">
        <v>2016.0</v>
      </c>
      <c r="R160" s="1">
        <v>18000.0</v>
      </c>
      <c r="S160" s="1">
        <v>934.0</v>
      </c>
      <c r="T160" s="1">
        <v>284.0</v>
      </c>
      <c r="U160" s="1">
        <v>19769.0</v>
      </c>
      <c r="V160" s="1">
        <v>295.0</v>
      </c>
      <c r="W160" s="1">
        <v>24000.0</v>
      </c>
      <c r="X160" s="1">
        <v>4.0</v>
      </c>
      <c r="Y160" s="1">
        <v>2.35</v>
      </c>
      <c r="Z160" s="1">
        <v>5.5</v>
      </c>
    </row>
    <row r="161" ht="14.25" customHeight="1">
      <c r="A161" s="1" t="s">
        <v>26</v>
      </c>
      <c r="B161" s="1" t="s">
        <v>484</v>
      </c>
      <c r="C161" s="1" t="s">
        <v>1008</v>
      </c>
      <c r="D161" s="1">
        <v>3.1704416E7</v>
      </c>
      <c r="E161" s="1" t="s">
        <v>219</v>
      </c>
      <c r="F161" s="1" t="s">
        <v>1009</v>
      </c>
      <c r="G161" s="1" t="s">
        <v>1010</v>
      </c>
      <c r="H161" s="1" t="s">
        <v>1011</v>
      </c>
      <c r="I161" s="1">
        <v>45455.0</v>
      </c>
      <c r="J161" s="1" t="s">
        <v>1012</v>
      </c>
      <c r="K161" s="1" t="s">
        <v>1013</v>
      </c>
      <c r="L161" s="1">
        <v>388.0</v>
      </c>
      <c r="M161" s="1" t="s">
        <v>35</v>
      </c>
      <c r="N161" s="1" t="s">
        <v>36</v>
      </c>
      <c r="O161" s="1" t="s">
        <v>37</v>
      </c>
      <c r="P161" s="1">
        <v>1.35E8</v>
      </c>
      <c r="Q161" s="1">
        <v>2005.0</v>
      </c>
      <c r="R161" s="1">
        <v>820.0</v>
      </c>
      <c r="S161" s="1">
        <v>780.0</v>
      </c>
      <c r="T161" s="1">
        <v>653.0</v>
      </c>
      <c r="U161" s="1">
        <v>2705.0</v>
      </c>
      <c r="V161" s="1">
        <v>357.0</v>
      </c>
      <c r="W161" s="1">
        <v>0.0</v>
      </c>
      <c r="X161" s="1">
        <v>0.0</v>
      </c>
      <c r="Y161" s="1">
        <v>2.35</v>
      </c>
      <c r="Z161" s="1">
        <v>5.0</v>
      </c>
    </row>
    <row r="162" ht="14.25" customHeight="1">
      <c r="A162" s="1" t="s">
        <v>26</v>
      </c>
      <c r="B162" s="1" t="s">
        <v>103</v>
      </c>
      <c r="C162" s="1" t="s">
        <v>1014</v>
      </c>
      <c r="D162" s="1">
        <v>1.07503316E8</v>
      </c>
      <c r="E162" s="1" t="s">
        <v>1015</v>
      </c>
      <c r="F162" s="1" t="s">
        <v>1016</v>
      </c>
      <c r="G162" s="1" t="s">
        <v>1017</v>
      </c>
      <c r="H162" s="1" t="s">
        <v>1018</v>
      </c>
      <c r="I162" s="1">
        <v>392474.0</v>
      </c>
      <c r="J162" s="1" t="s">
        <v>1019</v>
      </c>
      <c r="K162" s="1" t="s">
        <v>1020</v>
      </c>
      <c r="L162" s="1">
        <v>1229.0</v>
      </c>
      <c r="M162" s="1" t="s">
        <v>35</v>
      </c>
      <c r="N162" s="1" t="s">
        <v>36</v>
      </c>
      <c r="O162" s="1" t="s">
        <v>628</v>
      </c>
      <c r="P162" s="1">
        <v>1.3E8</v>
      </c>
      <c r="Q162" s="1">
        <v>2009.0</v>
      </c>
      <c r="R162" s="1">
        <v>986.0</v>
      </c>
      <c r="S162" s="1">
        <v>745.0</v>
      </c>
      <c r="T162" s="1">
        <v>413.0</v>
      </c>
      <c r="U162" s="1">
        <v>2530.0</v>
      </c>
      <c r="V162" s="1">
        <v>0.0</v>
      </c>
      <c r="W162" s="1">
        <v>18000.0</v>
      </c>
      <c r="X162" s="1">
        <v>1.0</v>
      </c>
      <c r="Y162" s="1">
        <v>2.35</v>
      </c>
      <c r="Z162" s="1">
        <v>7.7</v>
      </c>
    </row>
    <row r="163" ht="14.25" customHeight="1">
      <c r="A163" s="1" t="s">
        <v>26</v>
      </c>
      <c r="B163" s="1" t="s">
        <v>1021</v>
      </c>
      <c r="C163" s="1" t="s">
        <v>1022</v>
      </c>
      <c r="D163" s="1">
        <v>1.29734803E8</v>
      </c>
      <c r="E163" s="1" t="s">
        <v>326</v>
      </c>
      <c r="F163" s="1" t="s">
        <v>487</v>
      </c>
      <c r="G163" s="1" t="s">
        <v>1023</v>
      </c>
      <c r="H163" s="1" t="s">
        <v>1024</v>
      </c>
      <c r="I163" s="1">
        <v>127497.0</v>
      </c>
      <c r="J163" s="1" t="s">
        <v>1025</v>
      </c>
      <c r="K163" s="1" t="s">
        <v>1026</v>
      </c>
      <c r="L163" s="1">
        <v>287.0</v>
      </c>
      <c r="M163" s="1" t="s">
        <v>35</v>
      </c>
      <c r="N163" s="1" t="s">
        <v>36</v>
      </c>
      <c r="O163" s="1" t="s">
        <v>628</v>
      </c>
      <c r="P163" s="1">
        <v>1.4E8</v>
      </c>
      <c r="Q163" s="1">
        <v>1998.0</v>
      </c>
      <c r="R163" s="1">
        <v>5000.0</v>
      </c>
      <c r="S163" s="1">
        <v>808.0</v>
      </c>
      <c r="T163" s="1">
        <v>91.0</v>
      </c>
      <c r="U163" s="1">
        <v>6171.0</v>
      </c>
      <c r="V163" s="1">
        <v>503.0</v>
      </c>
      <c r="W163" s="1">
        <v>0.0</v>
      </c>
      <c r="X163" s="1">
        <v>2.0</v>
      </c>
      <c r="Y163" s="1">
        <v>2.35</v>
      </c>
      <c r="Z163" s="1">
        <v>6.6</v>
      </c>
    </row>
    <row r="164" ht="14.25" customHeight="1">
      <c r="A164" s="1" t="s">
        <v>26</v>
      </c>
      <c r="B164" s="1" t="s">
        <v>1027</v>
      </c>
      <c r="C164" s="1" t="s">
        <v>1028</v>
      </c>
      <c r="D164" s="1">
        <v>1.32122995E8</v>
      </c>
      <c r="E164" s="1" t="s">
        <v>623</v>
      </c>
      <c r="F164" s="1" t="s">
        <v>1029</v>
      </c>
      <c r="G164" s="1" t="s">
        <v>1030</v>
      </c>
      <c r="H164" s="1" t="s">
        <v>1031</v>
      </c>
      <c r="I164" s="1">
        <v>212106.0</v>
      </c>
      <c r="J164" s="1" t="s">
        <v>1032</v>
      </c>
      <c r="K164" s="1" t="s">
        <v>1033</v>
      </c>
      <c r="L164" s="1">
        <v>1445.0</v>
      </c>
      <c r="M164" s="1" t="s">
        <v>35</v>
      </c>
      <c r="N164" s="1" t="s">
        <v>36</v>
      </c>
      <c r="O164" s="1" t="s">
        <v>37</v>
      </c>
      <c r="P164" s="1">
        <v>1.37E8</v>
      </c>
      <c r="Q164" s="1">
        <v>2003.0</v>
      </c>
      <c r="R164" s="1">
        <v>820.0</v>
      </c>
      <c r="S164" s="1">
        <v>300.0</v>
      </c>
      <c r="T164" s="1">
        <v>258.0</v>
      </c>
      <c r="U164" s="1">
        <v>1814.0</v>
      </c>
      <c r="V164" s="1">
        <v>0.0</v>
      </c>
      <c r="W164" s="1">
        <v>0.0</v>
      </c>
      <c r="X164" s="1">
        <v>0.0</v>
      </c>
      <c r="Y164" s="1">
        <v>1.85</v>
      </c>
      <c r="Z164" s="1">
        <v>5.7</v>
      </c>
    </row>
    <row r="165" ht="14.25" customHeight="1">
      <c r="A165" s="1" t="s">
        <v>26</v>
      </c>
      <c r="B165" s="1" t="s">
        <v>1034</v>
      </c>
      <c r="C165" s="1" t="s">
        <v>1035</v>
      </c>
      <c r="D165" s="1">
        <v>1.22512052E8</v>
      </c>
      <c r="E165" s="1" t="s">
        <v>219</v>
      </c>
      <c r="F165" s="1" t="s">
        <v>430</v>
      </c>
      <c r="G165" s="1" t="s">
        <v>1036</v>
      </c>
      <c r="H165" s="1" t="s">
        <v>1004</v>
      </c>
      <c r="I165" s="1">
        <v>146352.0</v>
      </c>
      <c r="J165" s="1" t="s">
        <v>1037</v>
      </c>
      <c r="K165" s="1" t="s">
        <v>1038</v>
      </c>
      <c r="L165" s="1">
        <v>288.0</v>
      </c>
      <c r="M165" s="1" t="s">
        <v>35</v>
      </c>
      <c r="N165" s="1" t="s">
        <v>36</v>
      </c>
      <c r="O165" s="1" t="s">
        <v>37</v>
      </c>
      <c r="P165" s="1">
        <v>1.3E8</v>
      </c>
      <c r="Q165" s="1">
        <v>2013.0</v>
      </c>
      <c r="R165" s="1">
        <v>17000.0</v>
      </c>
      <c r="S165" s="1">
        <v>12000.0</v>
      </c>
      <c r="T165" s="1">
        <v>934.0</v>
      </c>
      <c r="U165" s="1">
        <v>31958.0</v>
      </c>
      <c r="V165" s="1">
        <v>209.0</v>
      </c>
      <c r="W165" s="1">
        <v>42000.0</v>
      </c>
      <c r="X165" s="1">
        <v>6.0</v>
      </c>
      <c r="Y165" s="1">
        <v>2.35</v>
      </c>
      <c r="Z165" s="1">
        <v>5.8</v>
      </c>
    </row>
    <row r="166" ht="14.25" customHeight="1">
      <c r="A166" s="1" t="s">
        <v>26</v>
      </c>
      <c r="B166" s="1" t="s">
        <v>1039</v>
      </c>
      <c r="C166" s="1" t="s">
        <v>1040</v>
      </c>
      <c r="D166" s="1">
        <v>6.8642452E7</v>
      </c>
      <c r="E166" s="1" t="s">
        <v>1041</v>
      </c>
      <c r="F166" s="1" t="s">
        <v>637</v>
      </c>
      <c r="G166" s="1" t="s">
        <v>465</v>
      </c>
      <c r="H166" s="1" t="s">
        <v>457</v>
      </c>
      <c r="I166" s="1">
        <v>77673.0</v>
      </c>
      <c r="J166" s="1" t="s">
        <v>1042</v>
      </c>
      <c r="K166" s="1" t="s">
        <v>1043</v>
      </c>
      <c r="L166" s="1">
        <v>463.0</v>
      </c>
      <c r="M166" s="1" t="s">
        <v>35</v>
      </c>
      <c r="N166" s="1" t="s">
        <v>54</v>
      </c>
      <c r="O166" s="1" t="s">
        <v>37</v>
      </c>
      <c r="P166" s="1">
        <v>1.3E8</v>
      </c>
      <c r="Q166" s="1">
        <v>2005.0</v>
      </c>
      <c r="R166" s="1">
        <v>11000.0</v>
      </c>
      <c r="S166" s="1">
        <v>973.0</v>
      </c>
      <c r="T166" s="1">
        <v>848.0</v>
      </c>
      <c r="U166" s="1">
        <v>13073.0</v>
      </c>
      <c r="V166" s="1">
        <v>42.0</v>
      </c>
      <c r="W166" s="1">
        <v>0.0</v>
      </c>
      <c r="X166" s="1">
        <v>3.0</v>
      </c>
      <c r="Y166" s="1">
        <v>2.35</v>
      </c>
      <c r="Z166" s="1">
        <v>6.0</v>
      </c>
    </row>
    <row r="167" ht="14.25" customHeight="1">
      <c r="A167" s="1" t="s">
        <v>26</v>
      </c>
      <c r="B167" s="1" t="s">
        <v>1044</v>
      </c>
      <c r="C167" s="1" t="s">
        <v>1045</v>
      </c>
      <c r="D167" s="1">
        <v>3.213183E7</v>
      </c>
      <c r="E167" s="1" t="s">
        <v>1046</v>
      </c>
      <c r="F167" s="1" t="s">
        <v>264</v>
      </c>
      <c r="G167" s="1" t="s">
        <v>1047</v>
      </c>
      <c r="H167" s="1" t="s">
        <v>1048</v>
      </c>
      <c r="I167" s="1">
        <v>72259.0</v>
      </c>
      <c r="J167" s="1" t="s">
        <v>1049</v>
      </c>
      <c r="K167" s="1" t="s">
        <v>1050</v>
      </c>
      <c r="L167" s="1">
        <v>788.0</v>
      </c>
      <c r="M167" s="1" t="s">
        <v>35</v>
      </c>
      <c r="N167" s="1" t="s">
        <v>36</v>
      </c>
      <c r="O167" s="1" t="s">
        <v>37</v>
      </c>
      <c r="P167" s="1">
        <v>1.37E8</v>
      </c>
      <c r="Q167" s="1">
        <v>2001.0</v>
      </c>
      <c r="R167" s="1">
        <v>12000.0</v>
      </c>
      <c r="S167" s="1">
        <v>2000.0</v>
      </c>
      <c r="T167" s="1">
        <v>422.0</v>
      </c>
      <c r="U167" s="1">
        <v>15015.0</v>
      </c>
      <c r="V167" s="1">
        <v>6.0</v>
      </c>
      <c r="W167" s="1">
        <v>0.0</v>
      </c>
      <c r="X167" s="1">
        <v>1.0</v>
      </c>
      <c r="Y167" s="1">
        <v>1.85</v>
      </c>
      <c r="Z167" s="1">
        <v>6.4</v>
      </c>
    </row>
    <row r="168" ht="14.25" customHeight="1">
      <c r="A168" s="1" t="s">
        <v>26</v>
      </c>
      <c r="B168" s="1" t="s">
        <v>856</v>
      </c>
      <c r="C168" s="1" t="s">
        <v>1051</v>
      </c>
      <c r="D168" s="1">
        <v>1.76636816E8</v>
      </c>
      <c r="E168" s="1" t="s">
        <v>65</v>
      </c>
      <c r="F168" s="1" t="s">
        <v>214</v>
      </c>
      <c r="G168" s="1" t="s">
        <v>693</v>
      </c>
      <c r="H168" s="1" t="s">
        <v>569</v>
      </c>
      <c r="I168" s="1">
        <v>508818.0</v>
      </c>
      <c r="J168" s="1" t="s">
        <v>1052</v>
      </c>
      <c r="K168" s="1" t="s">
        <v>1053</v>
      </c>
      <c r="L168" s="1">
        <v>679.0</v>
      </c>
      <c r="M168" s="1" t="s">
        <v>35</v>
      </c>
      <c r="N168" s="1" t="s">
        <v>36</v>
      </c>
      <c r="O168" s="1" t="s">
        <v>37</v>
      </c>
      <c r="P168" s="1">
        <v>1.4E8</v>
      </c>
      <c r="Q168" s="1">
        <v>2011.0</v>
      </c>
      <c r="R168" s="1">
        <v>11000.0</v>
      </c>
      <c r="S168" s="1">
        <v>3000.0</v>
      </c>
      <c r="T168" s="1">
        <v>2000.0</v>
      </c>
      <c r="U168" s="1">
        <v>19761.0</v>
      </c>
      <c r="V168" s="1">
        <v>394.0</v>
      </c>
      <c r="W168" s="1">
        <v>46000.0</v>
      </c>
      <c r="X168" s="1">
        <v>0.0</v>
      </c>
      <c r="Y168" s="1">
        <v>2.35</v>
      </c>
      <c r="Z168" s="1">
        <v>6.9</v>
      </c>
    </row>
    <row r="169" ht="14.25" customHeight="1">
      <c r="A169" s="1" t="s">
        <v>26</v>
      </c>
      <c r="B169" s="1" t="s">
        <v>704</v>
      </c>
      <c r="C169" s="1" t="s">
        <v>1054</v>
      </c>
      <c r="D169" s="1">
        <v>1.2693066E8</v>
      </c>
      <c r="E169" s="1" t="s">
        <v>48</v>
      </c>
      <c r="F169" s="1" t="s">
        <v>928</v>
      </c>
      <c r="G169" s="1" t="s">
        <v>1055</v>
      </c>
      <c r="H169" s="1" t="s">
        <v>1056</v>
      </c>
      <c r="I169" s="1">
        <v>157519.0</v>
      </c>
      <c r="J169" s="1" t="s">
        <v>1057</v>
      </c>
      <c r="K169" s="1" t="s">
        <v>1058</v>
      </c>
      <c r="L169" s="1">
        <v>683.0</v>
      </c>
      <c r="M169" s="1" t="s">
        <v>35</v>
      </c>
      <c r="N169" s="1" t="s">
        <v>54</v>
      </c>
      <c r="O169" s="1" t="s">
        <v>37</v>
      </c>
      <c r="P169" s="1">
        <v>1.35E8</v>
      </c>
      <c r="Q169" s="1">
        <v>1999.0</v>
      </c>
      <c r="R169" s="1">
        <v>766.0</v>
      </c>
      <c r="S169" s="1">
        <v>536.0</v>
      </c>
      <c r="T169" s="1">
        <v>244.0</v>
      </c>
      <c r="U169" s="1">
        <v>2037.0</v>
      </c>
      <c r="V169" s="1">
        <v>150.0</v>
      </c>
      <c r="W169" s="1">
        <v>2000.0</v>
      </c>
      <c r="X169" s="1">
        <v>2.0</v>
      </c>
      <c r="Y169" s="1">
        <v>2.35</v>
      </c>
      <c r="Z169" s="1">
        <v>6.4</v>
      </c>
    </row>
    <row r="170" ht="14.25" customHeight="1">
      <c r="A170" s="1" t="s">
        <v>26</v>
      </c>
      <c r="B170" s="1" t="s">
        <v>1059</v>
      </c>
      <c r="C170" s="1" t="s">
        <v>1060</v>
      </c>
      <c r="D170" s="1">
        <v>9.3926386E7</v>
      </c>
      <c r="E170" s="1" t="s">
        <v>1061</v>
      </c>
      <c r="F170" s="1" t="s">
        <v>1062</v>
      </c>
      <c r="G170" s="1" t="s">
        <v>1063</v>
      </c>
      <c r="H170" s="1" t="s">
        <v>1064</v>
      </c>
      <c r="I170" s="1">
        <v>168207.0</v>
      </c>
      <c r="J170" s="1" t="s">
        <v>1065</v>
      </c>
      <c r="K170" s="1" t="s">
        <v>1066</v>
      </c>
      <c r="L170" s="1">
        <v>684.0</v>
      </c>
      <c r="M170" s="1" t="s">
        <v>35</v>
      </c>
      <c r="N170" s="1" t="s">
        <v>36</v>
      </c>
      <c r="O170" s="1" t="s">
        <v>37</v>
      </c>
      <c r="P170" s="1">
        <v>1.5E8</v>
      </c>
      <c r="Q170" s="1">
        <v>2003.0</v>
      </c>
      <c r="R170" s="1">
        <v>613.0</v>
      </c>
      <c r="S170" s="1">
        <v>172.0</v>
      </c>
      <c r="T170" s="1">
        <v>168.0</v>
      </c>
      <c r="U170" s="1">
        <v>1205.0</v>
      </c>
      <c r="V170" s="1">
        <v>608.0</v>
      </c>
      <c r="W170" s="1">
        <v>0.0</v>
      </c>
      <c r="X170" s="1">
        <v>1.0</v>
      </c>
      <c r="Y170" s="1">
        <v>2.35</v>
      </c>
      <c r="Z170" s="1">
        <v>7.4</v>
      </c>
    </row>
    <row r="171" ht="14.25" customHeight="1">
      <c r="A171" s="1" t="s">
        <v>26</v>
      </c>
      <c r="B171" s="1" t="s">
        <v>1067</v>
      </c>
      <c r="C171" s="1" t="s">
        <v>1068</v>
      </c>
      <c r="D171" s="1">
        <v>2.92298923E8</v>
      </c>
      <c r="E171" s="1" t="s">
        <v>1069</v>
      </c>
      <c r="F171" s="1" t="s">
        <v>732</v>
      </c>
      <c r="G171" s="1" t="s">
        <v>544</v>
      </c>
      <c r="H171" s="1" t="s">
        <v>1070</v>
      </c>
      <c r="I171" s="1">
        <v>185394.0</v>
      </c>
      <c r="J171" s="1" t="s">
        <v>1071</v>
      </c>
      <c r="K171" s="1" t="s">
        <v>1072</v>
      </c>
      <c r="L171" s="1">
        <v>329.0</v>
      </c>
      <c r="M171" s="1" t="s">
        <v>35</v>
      </c>
      <c r="N171" s="1" t="s">
        <v>36</v>
      </c>
      <c r="O171" s="1" t="s">
        <v>37</v>
      </c>
      <c r="P171" s="1">
        <v>1.2E8</v>
      </c>
      <c r="Q171" s="1">
        <v>2012.0</v>
      </c>
      <c r="R171" s="1">
        <v>21000.0</v>
      </c>
      <c r="S171" s="1">
        <v>17000.0</v>
      </c>
      <c r="T171" s="1">
        <v>12000.0</v>
      </c>
      <c r="U171" s="1">
        <v>59177.0</v>
      </c>
      <c r="V171" s="1">
        <v>386.0</v>
      </c>
      <c r="W171" s="1">
        <v>65000.0</v>
      </c>
      <c r="X171" s="1">
        <v>3.0</v>
      </c>
      <c r="Y171" s="1">
        <v>2.35</v>
      </c>
      <c r="Z171" s="1">
        <v>5.5</v>
      </c>
    </row>
    <row r="172" ht="14.25" customHeight="1">
      <c r="A172" s="1" t="s">
        <v>26</v>
      </c>
      <c r="B172" s="1" t="s">
        <v>808</v>
      </c>
      <c r="C172" s="1" t="s">
        <v>1073</v>
      </c>
      <c r="D172" s="1">
        <v>6.3992328E7</v>
      </c>
      <c r="E172" s="1" t="s">
        <v>1074</v>
      </c>
      <c r="F172" s="1" t="s">
        <v>774</v>
      </c>
      <c r="G172" s="1" t="s">
        <v>335</v>
      </c>
      <c r="H172" s="1" t="s">
        <v>321</v>
      </c>
      <c r="I172" s="1">
        <v>32399.0</v>
      </c>
      <c r="J172" s="1" t="s">
        <v>1075</v>
      </c>
      <c r="K172" s="1" t="s">
        <v>1076</v>
      </c>
      <c r="L172" s="1">
        <v>79.0</v>
      </c>
      <c r="M172" s="1" t="s">
        <v>35</v>
      </c>
      <c r="N172" s="1" t="s">
        <v>362</v>
      </c>
      <c r="O172" s="1" t="s">
        <v>87</v>
      </c>
      <c r="P172" s="1">
        <v>1.35E8</v>
      </c>
      <c r="Q172" s="1">
        <v>2011.0</v>
      </c>
      <c r="R172" s="1">
        <v>49000.0</v>
      </c>
      <c r="S172" s="1">
        <v>11000.0</v>
      </c>
      <c r="T172" s="1">
        <v>988.0</v>
      </c>
      <c r="U172" s="1">
        <v>62644.0</v>
      </c>
      <c r="V172" s="1">
        <v>750.0</v>
      </c>
      <c r="W172" s="1">
        <v>0.0</v>
      </c>
      <c r="X172" s="1">
        <v>0.0</v>
      </c>
      <c r="Y172" s="1">
        <v>2.35</v>
      </c>
      <c r="Z172" s="1">
        <v>5.9</v>
      </c>
    </row>
    <row r="173" ht="14.25" customHeight="1">
      <c r="A173" s="1" t="s">
        <v>26</v>
      </c>
      <c r="B173" s="1" t="s">
        <v>1077</v>
      </c>
      <c r="C173" s="1" t="s">
        <v>1078</v>
      </c>
      <c r="D173" s="1">
        <v>1.3451839E8</v>
      </c>
      <c r="E173" s="1" t="s">
        <v>65</v>
      </c>
      <c r="F173" s="1" t="s">
        <v>911</v>
      </c>
      <c r="G173" s="1" t="s">
        <v>1079</v>
      </c>
      <c r="H173" s="1" t="s">
        <v>183</v>
      </c>
      <c r="I173" s="1">
        <v>326286.0</v>
      </c>
      <c r="J173" s="1" t="s">
        <v>1080</v>
      </c>
      <c r="K173" s="1" t="s">
        <v>1081</v>
      </c>
      <c r="L173" s="1">
        <v>643.0</v>
      </c>
      <c r="M173" s="1" t="s">
        <v>35</v>
      </c>
      <c r="N173" s="1" t="s">
        <v>36</v>
      </c>
      <c r="O173" s="1" t="s">
        <v>37</v>
      </c>
      <c r="P173" s="1">
        <v>1.5E8</v>
      </c>
      <c r="Q173" s="1">
        <v>2008.0</v>
      </c>
      <c r="R173" s="1">
        <v>3000.0</v>
      </c>
      <c r="S173" s="1">
        <v>1000.0</v>
      </c>
      <c r="T173" s="1">
        <v>882.0</v>
      </c>
      <c r="U173" s="1">
        <v>5811.0</v>
      </c>
      <c r="V173" s="1">
        <v>255.0</v>
      </c>
      <c r="W173" s="1">
        <v>0.0</v>
      </c>
      <c r="X173" s="1">
        <v>0.0</v>
      </c>
      <c r="Y173" s="1">
        <v>2.35</v>
      </c>
      <c r="Z173" s="1">
        <v>6.8</v>
      </c>
    </row>
    <row r="174" ht="14.25" customHeight="1">
      <c r="A174" s="1" t="s">
        <v>26</v>
      </c>
      <c r="B174" s="1" t="s">
        <v>381</v>
      </c>
      <c r="C174" s="1" t="s">
        <v>1082</v>
      </c>
      <c r="D174" s="1">
        <v>5.2792307E7</v>
      </c>
      <c r="E174" s="1" t="s">
        <v>192</v>
      </c>
      <c r="F174" s="1" t="s">
        <v>1083</v>
      </c>
      <c r="G174" s="1" t="s">
        <v>1084</v>
      </c>
      <c r="H174" s="1" t="s">
        <v>1085</v>
      </c>
      <c r="I174" s="1">
        <v>12572.0</v>
      </c>
      <c r="J174" s="1" t="s">
        <v>1086</v>
      </c>
      <c r="K174" s="1" t="s">
        <v>1087</v>
      </c>
      <c r="L174" s="1">
        <v>106.0</v>
      </c>
      <c r="M174" s="1" t="s">
        <v>35</v>
      </c>
      <c r="N174" s="1" t="s">
        <v>54</v>
      </c>
      <c r="O174" s="1" t="s">
        <v>87</v>
      </c>
      <c r="P174" s="1">
        <v>1.4E8</v>
      </c>
      <c r="Q174" s="1">
        <v>2016.0</v>
      </c>
      <c r="R174" s="1">
        <v>535.0</v>
      </c>
      <c r="S174" s="1">
        <v>400.0</v>
      </c>
      <c r="T174" s="1">
        <v>358.0</v>
      </c>
      <c r="U174" s="1">
        <v>1950.0</v>
      </c>
      <c r="V174" s="1">
        <v>14000.0</v>
      </c>
      <c r="W174" s="1">
        <v>27000.0</v>
      </c>
      <c r="X174" s="1">
        <v>0.0</v>
      </c>
      <c r="Y174" s="1">
        <v>2.35</v>
      </c>
      <c r="Z174" s="1">
        <v>6.8</v>
      </c>
    </row>
    <row r="175" ht="14.25" customHeight="1">
      <c r="A175" s="1" t="s">
        <v>26</v>
      </c>
      <c r="B175" s="1" t="s">
        <v>1088</v>
      </c>
      <c r="C175" s="1" t="s">
        <v>1089</v>
      </c>
      <c r="D175" s="1">
        <v>1.83635922E8</v>
      </c>
      <c r="E175" s="1" t="s">
        <v>1090</v>
      </c>
      <c r="F175" s="1" t="s">
        <v>207</v>
      </c>
      <c r="G175" s="1" t="s">
        <v>58</v>
      </c>
      <c r="H175" s="1" t="s">
        <v>1091</v>
      </c>
      <c r="I175" s="1">
        <v>406020.0</v>
      </c>
      <c r="J175" s="1" t="s">
        <v>1092</v>
      </c>
      <c r="K175" s="1" t="s">
        <v>1093</v>
      </c>
      <c r="L175" s="1">
        <v>1188.0</v>
      </c>
      <c r="M175" s="1" t="s">
        <v>35</v>
      </c>
      <c r="N175" s="1" t="s">
        <v>36</v>
      </c>
      <c r="O175" s="1" t="s">
        <v>628</v>
      </c>
      <c r="P175" s="1">
        <v>1.35E8</v>
      </c>
      <c r="Q175" s="1">
        <v>2015.0</v>
      </c>
      <c r="R175" s="1">
        <v>29000.0</v>
      </c>
      <c r="S175" s="1">
        <v>27000.0</v>
      </c>
      <c r="T175" s="1">
        <v>733.0</v>
      </c>
      <c r="U175" s="1">
        <v>57108.0</v>
      </c>
      <c r="V175" s="1">
        <v>0.0</v>
      </c>
      <c r="W175" s="1">
        <v>190000.0</v>
      </c>
      <c r="X175" s="1">
        <v>0.0</v>
      </c>
      <c r="Y175" s="1">
        <v>2.35</v>
      </c>
      <c r="Z175" s="1">
        <v>8.1</v>
      </c>
    </row>
    <row r="176" ht="14.25" customHeight="1">
      <c r="A176" s="1" t="s">
        <v>26</v>
      </c>
      <c r="B176" s="1" t="s">
        <v>1094</v>
      </c>
      <c r="C176" s="1" t="s">
        <v>1095</v>
      </c>
      <c r="D176" s="1">
        <v>8.30249E7</v>
      </c>
      <c r="E176" s="1" t="s">
        <v>300</v>
      </c>
      <c r="F176" s="1" t="s">
        <v>307</v>
      </c>
      <c r="G176" s="1" t="s">
        <v>1096</v>
      </c>
      <c r="H176" s="1" t="s">
        <v>1097</v>
      </c>
      <c r="I176" s="1">
        <v>62424.0</v>
      </c>
      <c r="J176" s="1" t="s">
        <v>1098</v>
      </c>
      <c r="K176" s="1" t="s">
        <v>1099</v>
      </c>
      <c r="L176" s="1">
        <v>90.0</v>
      </c>
      <c r="M176" s="1" t="s">
        <v>35</v>
      </c>
      <c r="N176" s="1" t="s">
        <v>36</v>
      </c>
      <c r="O176" s="1" t="s">
        <v>87</v>
      </c>
      <c r="P176" s="1">
        <v>1.35E8</v>
      </c>
      <c r="Q176" s="1">
        <v>2013.0</v>
      </c>
      <c r="R176" s="1">
        <v>16000.0</v>
      </c>
      <c r="S176" s="1">
        <v>881.0</v>
      </c>
      <c r="T176" s="1">
        <v>463.0</v>
      </c>
      <c r="U176" s="1">
        <v>17416.0</v>
      </c>
      <c r="V176" s="1">
        <v>13.0</v>
      </c>
      <c r="W176" s="1">
        <v>13000.0</v>
      </c>
      <c r="X176" s="1">
        <v>0.0</v>
      </c>
      <c r="Y176" s="1">
        <v>2.35</v>
      </c>
      <c r="Z176" s="1">
        <v>6.5</v>
      </c>
    </row>
    <row r="177" ht="14.25" customHeight="1">
      <c r="A177" s="1" t="s">
        <v>26</v>
      </c>
      <c r="B177" s="1" t="s">
        <v>38</v>
      </c>
      <c r="C177" s="1" t="s">
        <v>1100</v>
      </c>
      <c r="D177" s="1">
        <v>1.23207194E8</v>
      </c>
      <c r="E177" s="1" t="s">
        <v>1101</v>
      </c>
      <c r="F177" s="1" t="s">
        <v>41</v>
      </c>
      <c r="G177" s="1" t="s">
        <v>384</v>
      </c>
      <c r="H177" s="1" t="s">
        <v>1102</v>
      </c>
      <c r="I177" s="1">
        <v>183208.0</v>
      </c>
      <c r="J177" s="1" t="s">
        <v>1103</v>
      </c>
      <c r="K177" s="1" t="s">
        <v>1104</v>
      </c>
      <c r="L177" s="1">
        <v>337.0</v>
      </c>
      <c r="M177" s="1" t="s">
        <v>35</v>
      </c>
      <c r="N177" s="1" t="s">
        <v>36</v>
      </c>
      <c r="O177" s="1" t="s">
        <v>87</v>
      </c>
      <c r="P177" s="1">
        <v>1.35E8</v>
      </c>
      <c r="Q177" s="1">
        <v>2011.0</v>
      </c>
      <c r="R177" s="1">
        <v>40000.0</v>
      </c>
      <c r="S177" s="1">
        <v>1000.0</v>
      </c>
      <c r="T177" s="1">
        <v>939.0</v>
      </c>
      <c r="U177" s="1">
        <v>43291.0</v>
      </c>
      <c r="V177" s="1">
        <v>563.0</v>
      </c>
      <c r="W177" s="1">
        <v>26000.0</v>
      </c>
      <c r="X177" s="1">
        <v>0.0</v>
      </c>
      <c r="Y177" s="1">
        <v>2.35</v>
      </c>
      <c r="Z177" s="1">
        <v>7.2</v>
      </c>
    </row>
    <row r="178" ht="14.25" customHeight="1">
      <c r="A178" s="1" t="s">
        <v>26</v>
      </c>
      <c r="B178" s="1" t="s">
        <v>764</v>
      </c>
      <c r="C178" s="1" t="s">
        <v>1105</v>
      </c>
      <c r="D178" s="1">
        <v>8.334892E7</v>
      </c>
      <c r="E178" s="1" t="s">
        <v>456</v>
      </c>
      <c r="F178" s="1" t="s">
        <v>345</v>
      </c>
      <c r="G178" s="1" t="s">
        <v>1106</v>
      </c>
      <c r="H178" s="1" t="s">
        <v>1107</v>
      </c>
      <c r="I178" s="1">
        <v>60230.0</v>
      </c>
      <c r="J178" s="1" t="s">
        <v>1108</v>
      </c>
      <c r="K178" s="1" t="s">
        <v>1109</v>
      </c>
      <c r="L178" s="1">
        <v>118.0</v>
      </c>
      <c r="M178" s="1" t="s">
        <v>35</v>
      </c>
      <c r="N178" s="1" t="s">
        <v>36</v>
      </c>
      <c r="O178" s="1" t="s">
        <v>87</v>
      </c>
      <c r="P178" s="1">
        <v>1.32E8</v>
      </c>
      <c r="Q178" s="1">
        <v>2014.0</v>
      </c>
      <c r="R178" s="1">
        <v>19000.0</v>
      </c>
      <c r="S178" s="1">
        <v>411.0</v>
      </c>
      <c r="T178" s="1">
        <v>179.0</v>
      </c>
      <c r="U178" s="1">
        <v>19963.0</v>
      </c>
      <c r="V178" s="1">
        <v>35.0</v>
      </c>
      <c r="W178" s="1">
        <v>11000.0</v>
      </c>
      <c r="X178" s="1">
        <v>0.0</v>
      </c>
      <c r="Y178" s="1">
        <v>1.85</v>
      </c>
      <c r="Z178" s="1">
        <v>6.7</v>
      </c>
    </row>
    <row r="179" ht="14.25" customHeight="1">
      <c r="A179" s="1" t="s">
        <v>26</v>
      </c>
      <c r="B179" s="1" t="s">
        <v>1110</v>
      </c>
      <c r="C179" s="1" t="s">
        <v>1111</v>
      </c>
      <c r="D179" s="1">
        <v>2.2713709E8</v>
      </c>
      <c r="E179" s="1" t="s">
        <v>1112</v>
      </c>
      <c r="F179" s="1" t="s">
        <v>1113</v>
      </c>
      <c r="G179" s="1" t="s">
        <v>841</v>
      </c>
      <c r="H179" s="1" t="s">
        <v>233</v>
      </c>
      <c r="I179" s="1">
        <v>491077.0</v>
      </c>
      <c r="J179" s="1" t="s">
        <v>1114</v>
      </c>
      <c r="K179" s="1" t="s">
        <v>1115</v>
      </c>
      <c r="L179" s="1">
        <v>820.0</v>
      </c>
      <c r="M179" s="1" t="s">
        <v>35</v>
      </c>
      <c r="N179" s="1" t="s">
        <v>36</v>
      </c>
      <c r="O179" s="1" t="s">
        <v>37</v>
      </c>
      <c r="P179" s="1">
        <v>1.1E8</v>
      </c>
      <c r="Q179" s="1">
        <v>2007.0</v>
      </c>
      <c r="R179" s="1">
        <v>13000.0</v>
      </c>
      <c r="S179" s="1">
        <v>897.0</v>
      </c>
      <c r="T179" s="1">
        <v>883.0</v>
      </c>
      <c r="U179" s="1">
        <v>17369.0</v>
      </c>
      <c r="V179" s="1">
        <v>521.0</v>
      </c>
      <c r="W179" s="1">
        <v>0.0</v>
      </c>
      <c r="X179" s="1">
        <v>0.0</v>
      </c>
      <c r="Y179" s="1">
        <v>2.35</v>
      </c>
      <c r="Z179" s="1">
        <v>8.1</v>
      </c>
    </row>
    <row r="180" ht="14.25" customHeight="1">
      <c r="A180" s="1" t="s">
        <v>26</v>
      </c>
      <c r="B180" s="1" t="s">
        <v>1116</v>
      </c>
      <c r="C180" s="1" t="s">
        <v>1117</v>
      </c>
      <c r="D180" s="1">
        <v>2.15395021E8</v>
      </c>
      <c r="E180" s="1" t="s">
        <v>766</v>
      </c>
      <c r="F180" s="1" t="s">
        <v>550</v>
      </c>
      <c r="G180" s="1" t="s">
        <v>957</v>
      </c>
      <c r="H180" s="1" t="s">
        <v>894</v>
      </c>
      <c r="I180" s="1">
        <v>307029.0</v>
      </c>
      <c r="J180" s="1" t="s">
        <v>1118</v>
      </c>
      <c r="K180" s="1" t="s">
        <v>1119</v>
      </c>
      <c r="L180" s="1">
        <v>360.0</v>
      </c>
      <c r="M180" s="1" t="s">
        <v>35</v>
      </c>
      <c r="N180" s="1" t="s">
        <v>36</v>
      </c>
      <c r="O180" s="1" t="s">
        <v>87</v>
      </c>
      <c r="P180" s="1">
        <v>1.3E8</v>
      </c>
      <c r="Q180" s="1">
        <v>2008.0</v>
      </c>
      <c r="R180" s="1">
        <v>11000.0</v>
      </c>
      <c r="S180" s="1">
        <v>967.0</v>
      </c>
      <c r="T180" s="1">
        <v>562.0</v>
      </c>
      <c r="U180" s="1">
        <v>12754.0</v>
      </c>
      <c r="V180" s="1">
        <v>54.0</v>
      </c>
      <c r="W180" s="1">
        <v>6000.0</v>
      </c>
      <c r="X180" s="1">
        <v>0.0</v>
      </c>
      <c r="Y180" s="1">
        <v>2.35</v>
      </c>
      <c r="Z180" s="1">
        <v>7.6</v>
      </c>
    </row>
    <row r="181" ht="14.25" customHeight="1">
      <c r="A181" s="1" t="s">
        <v>26</v>
      </c>
      <c r="B181" s="1" t="s">
        <v>1120</v>
      </c>
      <c r="C181" s="1" t="s">
        <v>1121</v>
      </c>
      <c r="D181" s="1">
        <v>1.80191634E8</v>
      </c>
      <c r="E181" s="1" t="s">
        <v>494</v>
      </c>
      <c r="F181" s="1" t="s">
        <v>228</v>
      </c>
      <c r="G181" s="1" t="s">
        <v>569</v>
      </c>
      <c r="H181" s="1" t="s">
        <v>1122</v>
      </c>
      <c r="I181" s="1">
        <v>313866.0</v>
      </c>
      <c r="J181" s="1" t="s">
        <v>1123</v>
      </c>
      <c r="K181" s="1" t="s">
        <v>1124</v>
      </c>
      <c r="L181" s="1">
        <v>549.0</v>
      </c>
      <c r="M181" s="1" t="s">
        <v>35</v>
      </c>
      <c r="N181" s="1" t="s">
        <v>36</v>
      </c>
      <c r="O181" s="1" t="s">
        <v>37</v>
      </c>
      <c r="P181" s="1">
        <v>1.3E8</v>
      </c>
      <c r="Q181" s="1">
        <v>2015.0</v>
      </c>
      <c r="R181" s="1">
        <v>2000.0</v>
      </c>
      <c r="S181" s="1">
        <v>2000.0</v>
      </c>
      <c r="T181" s="1">
        <v>680.0</v>
      </c>
      <c r="U181" s="1">
        <v>5730.0</v>
      </c>
      <c r="V181" s="1">
        <v>235.0</v>
      </c>
      <c r="W181" s="1">
        <v>61000.0</v>
      </c>
      <c r="X181" s="1">
        <v>6.0</v>
      </c>
      <c r="Y181" s="1">
        <v>1.85</v>
      </c>
      <c r="Z181" s="1">
        <v>7.4</v>
      </c>
    </row>
    <row r="182" ht="14.25" customHeight="1">
      <c r="A182" s="1" t="s">
        <v>26</v>
      </c>
      <c r="B182" s="1" t="s">
        <v>659</v>
      </c>
      <c r="C182" s="1" t="s">
        <v>1125</v>
      </c>
      <c r="D182" s="1">
        <v>4.24645577E8</v>
      </c>
      <c r="E182" s="1" t="s">
        <v>1126</v>
      </c>
      <c r="F182" s="1" t="s">
        <v>340</v>
      </c>
      <c r="G182" s="1" t="s">
        <v>663</v>
      </c>
      <c r="H182" s="1" t="s">
        <v>1127</v>
      </c>
      <c r="I182" s="1">
        <v>498397.0</v>
      </c>
      <c r="J182" s="1" t="s">
        <v>1128</v>
      </c>
      <c r="K182" s="1" t="s">
        <v>1129</v>
      </c>
      <c r="L182" s="1">
        <v>706.0</v>
      </c>
      <c r="M182" s="1" t="s">
        <v>35</v>
      </c>
      <c r="N182" s="1" t="s">
        <v>36</v>
      </c>
      <c r="O182" s="1" t="s">
        <v>37</v>
      </c>
      <c r="P182" s="1">
        <v>1.3E8</v>
      </c>
      <c r="Q182" s="1">
        <v>2013.0</v>
      </c>
      <c r="R182" s="1">
        <v>34000.0</v>
      </c>
      <c r="S182" s="1">
        <v>14000.0</v>
      </c>
      <c r="T182" s="1">
        <v>523.0</v>
      </c>
      <c r="U182" s="1">
        <v>49355.0</v>
      </c>
      <c r="V182" s="1">
        <v>508.0</v>
      </c>
      <c r="W182" s="1">
        <v>82000.0</v>
      </c>
      <c r="X182" s="1">
        <v>1.0</v>
      </c>
      <c r="Y182" s="1">
        <v>2.35</v>
      </c>
      <c r="Z182" s="1">
        <v>7.6</v>
      </c>
    </row>
    <row r="183" ht="14.25" customHeight="1">
      <c r="A183" s="1" t="s">
        <v>26</v>
      </c>
      <c r="B183" s="1" t="s">
        <v>1067</v>
      </c>
      <c r="C183" s="1" t="s">
        <v>1068</v>
      </c>
      <c r="D183" s="1">
        <v>2.92298923E8</v>
      </c>
      <c r="E183" s="1" t="s">
        <v>1069</v>
      </c>
      <c r="F183" s="1" t="s">
        <v>732</v>
      </c>
      <c r="G183" s="1" t="s">
        <v>544</v>
      </c>
      <c r="H183" s="1" t="s">
        <v>1070</v>
      </c>
      <c r="I183" s="1">
        <v>185394.0</v>
      </c>
      <c r="J183" s="1" t="s">
        <v>1071</v>
      </c>
      <c r="K183" s="1" t="s">
        <v>1072</v>
      </c>
      <c r="L183" s="1">
        <v>329.0</v>
      </c>
      <c r="M183" s="1" t="s">
        <v>35</v>
      </c>
      <c r="N183" s="1" t="s">
        <v>36</v>
      </c>
      <c r="O183" s="1" t="s">
        <v>37</v>
      </c>
      <c r="P183" s="1">
        <v>1.2E8</v>
      </c>
      <c r="Q183" s="1">
        <v>2012.0</v>
      </c>
      <c r="R183" s="1">
        <v>21000.0</v>
      </c>
      <c r="S183" s="1">
        <v>17000.0</v>
      </c>
      <c r="T183" s="1">
        <v>12000.0</v>
      </c>
      <c r="U183" s="1">
        <v>59177.0</v>
      </c>
      <c r="V183" s="1">
        <v>386.0</v>
      </c>
      <c r="W183" s="1">
        <v>65000.0</v>
      </c>
      <c r="X183" s="1">
        <v>3.0</v>
      </c>
      <c r="Y183" s="1">
        <v>2.35</v>
      </c>
      <c r="Z183" s="1">
        <v>5.5</v>
      </c>
    </row>
    <row r="184" ht="14.25" customHeight="1">
      <c r="A184" s="1" t="s">
        <v>26</v>
      </c>
      <c r="B184" s="1" t="s">
        <v>1130</v>
      </c>
      <c r="C184" s="1" t="s">
        <v>1131</v>
      </c>
      <c r="D184" s="1">
        <v>1.77343675E8</v>
      </c>
      <c r="E184" s="1" t="s">
        <v>1132</v>
      </c>
      <c r="F184" s="1" t="s">
        <v>1133</v>
      </c>
      <c r="G184" s="1" t="s">
        <v>1134</v>
      </c>
      <c r="H184" s="1" t="s">
        <v>1135</v>
      </c>
      <c r="I184" s="1">
        <v>70121.0</v>
      </c>
      <c r="J184" s="1" t="s">
        <v>1136</v>
      </c>
      <c r="K184" s="1" t="s">
        <v>1137</v>
      </c>
      <c r="L184" s="1">
        <v>214.0</v>
      </c>
      <c r="M184" s="1" t="s">
        <v>35</v>
      </c>
      <c r="N184" s="1" t="s">
        <v>36</v>
      </c>
      <c r="O184" s="1" t="s">
        <v>87</v>
      </c>
      <c r="P184" s="1">
        <v>1.35E8</v>
      </c>
      <c r="Q184" s="1">
        <v>2015.0</v>
      </c>
      <c r="R184" s="1">
        <v>17000.0</v>
      </c>
      <c r="S184" s="1">
        <v>523.0</v>
      </c>
      <c r="T184" s="1">
        <v>183.0</v>
      </c>
      <c r="U184" s="1">
        <v>17883.0</v>
      </c>
      <c r="V184" s="1">
        <v>12.0</v>
      </c>
      <c r="W184" s="1">
        <v>26000.0</v>
      </c>
      <c r="X184" s="1">
        <v>0.0</v>
      </c>
      <c r="Y184" s="1">
        <v>1.85</v>
      </c>
      <c r="Z184" s="1">
        <v>6.7</v>
      </c>
    </row>
    <row r="185" ht="14.25" customHeight="1">
      <c r="A185" s="1" t="s">
        <v>26</v>
      </c>
      <c r="B185" s="1" t="s">
        <v>381</v>
      </c>
      <c r="C185" s="1" t="s">
        <v>1138</v>
      </c>
      <c r="D185" s="1">
        <v>2.34277056E8</v>
      </c>
      <c r="E185" s="1" t="s">
        <v>1126</v>
      </c>
      <c r="F185" s="1" t="s">
        <v>508</v>
      </c>
      <c r="G185" s="1" t="s">
        <v>1139</v>
      </c>
      <c r="H185" s="1" t="s">
        <v>1140</v>
      </c>
      <c r="I185" s="1">
        <v>334345.0</v>
      </c>
      <c r="J185" s="1" t="s">
        <v>1141</v>
      </c>
      <c r="K185" s="1" t="s">
        <v>1142</v>
      </c>
      <c r="L185" s="1">
        <v>2741.0</v>
      </c>
      <c r="M185" s="1" t="s">
        <v>35</v>
      </c>
      <c r="N185" s="1" t="s">
        <v>36</v>
      </c>
      <c r="O185" s="1" t="s">
        <v>37</v>
      </c>
      <c r="P185" s="1">
        <v>1.32E8</v>
      </c>
      <c r="Q185" s="1">
        <v>2005.0</v>
      </c>
      <c r="R185" s="1">
        <v>10000.0</v>
      </c>
      <c r="S185" s="1">
        <v>1000.0</v>
      </c>
      <c r="T185" s="1">
        <v>807.0</v>
      </c>
      <c r="U185" s="1">
        <v>12758.0</v>
      </c>
      <c r="V185" s="1">
        <v>14000.0</v>
      </c>
      <c r="W185" s="1">
        <v>0.0</v>
      </c>
      <c r="X185" s="1">
        <v>0.0</v>
      </c>
      <c r="Y185" s="1">
        <v>1.85</v>
      </c>
      <c r="Z185" s="1">
        <v>6.5</v>
      </c>
    </row>
    <row r="186" ht="14.25" customHeight="1">
      <c r="A186" s="1" t="s">
        <v>26</v>
      </c>
      <c r="B186" s="1" t="s">
        <v>270</v>
      </c>
      <c r="C186" s="1" t="s">
        <v>1143</v>
      </c>
      <c r="D186" s="1">
        <v>1.38396624E8</v>
      </c>
      <c r="E186" s="1" t="s">
        <v>408</v>
      </c>
      <c r="F186" s="1" t="s">
        <v>158</v>
      </c>
      <c r="G186" s="1" t="s">
        <v>1144</v>
      </c>
      <c r="H186" s="1" t="s">
        <v>1145</v>
      </c>
      <c r="I186" s="1">
        <v>178126.0</v>
      </c>
      <c r="J186" s="1" t="s">
        <v>1146</v>
      </c>
      <c r="K186" s="1" t="s">
        <v>1147</v>
      </c>
      <c r="L186" s="1">
        <v>511.0</v>
      </c>
      <c r="M186" s="1" t="s">
        <v>35</v>
      </c>
      <c r="N186" s="1" t="s">
        <v>36</v>
      </c>
      <c r="O186" s="1" t="s">
        <v>628</v>
      </c>
      <c r="P186" s="1">
        <v>1.3E8</v>
      </c>
      <c r="Q186" s="1">
        <v>2003.0</v>
      </c>
      <c r="R186" s="1">
        <v>10000.0</v>
      </c>
      <c r="S186" s="1">
        <v>898.0</v>
      </c>
      <c r="T186" s="1">
        <v>877.0</v>
      </c>
      <c r="U186" s="1">
        <v>12954.0</v>
      </c>
      <c r="V186" s="1">
        <v>0.0</v>
      </c>
      <c r="W186" s="1">
        <v>0.0</v>
      </c>
      <c r="X186" s="1">
        <v>1.0</v>
      </c>
      <c r="Y186" s="1">
        <v>2.35</v>
      </c>
      <c r="Z186" s="1">
        <v>6.6</v>
      </c>
    </row>
    <row r="187" ht="14.25" customHeight="1">
      <c r="A187" s="1" t="s">
        <v>26</v>
      </c>
      <c r="B187" s="1" t="s">
        <v>684</v>
      </c>
      <c r="C187" s="1" t="s">
        <v>1148</v>
      </c>
      <c r="D187" s="1">
        <v>1.49234747E8</v>
      </c>
      <c r="E187" s="1" t="s">
        <v>999</v>
      </c>
      <c r="F187" s="1" t="s">
        <v>480</v>
      </c>
      <c r="G187" s="1" t="s">
        <v>1149</v>
      </c>
      <c r="H187" s="1" t="s">
        <v>1150</v>
      </c>
      <c r="I187" s="1">
        <v>114287.0</v>
      </c>
      <c r="J187" s="1" t="s">
        <v>1151</v>
      </c>
      <c r="K187" s="1" t="s">
        <v>1152</v>
      </c>
      <c r="L187" s="1">
        <v>137.0</v>
      </c>
      <c r="M187" s="1" t="s">
        <v>35</v>
      </c>
      <c r="N187" s="1" t="s">
        <v>36</v>
      </c>
      <c r="O187" s="1" t="s">
        <v>87</v>
      </c>
      <c r="P187" s="1">
        <v>1.3E8</v>
      </c>
      <c r="Q187" s="1">
        <v>2011.0</v>
      </c>
      <c r="R187" s="1">
        <v>4000.0</v>
      </c>
      <c r="S187" s="1">
        <v>442.0</v>
      </c>
      <c r="T187" s="1">
        <v>397.0</v>
      </c>
      <c r="U187" s="1">
        <v>5046.0</v>
      </c>
      <c r="V187" s="1">
        <v>50.0</v>
      </c>
      <c r="W187" s="1">
        <v>16000.0</v>
      </c>
      <c r="X187" s="1">
        <v>0.0</v>
      </c>
      <c r="Y187" s="1">
        <v>2.35</v>
      </c>
      <c r="Z187" s="1">
        <v>6.7</v>
      </c>
    </row>
    <row r="188" ht="14.25" customHeight="1">
      <c r="A188" s="1" t="s">
        <v>26</v>
      </c>
      <c r="B188" s="1" t="s">
        <v>1153</v>
      </c>
      <c r="C188" s="1" t="s">
        <v>1154</v>
      </c>
      <c r="D188" s="1">
        <v>1.18311368E8</v>
      </c>
      <c r="E188" s="1" t="s">
        <v>1155</v>
      </c>
      <c r="F188" s="1" t="s">
        <v>550</v>
      </c>
      <c r="G188" s="1" t="s">
        <v>677</v>
      </c>
      <c r="H188" s="1" t="s">
        <v>1156</v>
      </c>
      <c r="I188" s="1">
        <v>245621.0</v>
      </c>
      <c r="J188" s="1" t="s">
        <v>1157</v>
      </c>
      <c r="K188" s="1" t="s">
        <v>1158</v>
      </c>
      <c r="L188" s="1">
        <v>514.0</v>
      </c>
      <c r="M188" s="1" t="s">
        <v>35</v>
      </c>
      <c r="N188" s="1" t="s">
        <v>36</v>
      </c>
      <c r="O188" s="1" t="s">
        <v>37</v>
      </c>
      <c r="P188" s="1">
        <v>1.1E8</v>
      </c>
      <c r="Q188" s="1">
        <v>2010.0</v>
      </c>
      <c r="R188" s="1">
        <v>11000.0</v>
      </c>
      <c r="S188" s="1">
        <v>702.0</v>
      </c>
      <c r="T188" s="1">
        <v>282.0</v>
      </c>
      <c r="U188" s="1">
        <v>12406.0</v>
      </c>
      <c r="V188" s="1">
        <v>176.0</v>
      </c>
      <c r="W188" s="1">
        <v>23000.0</v>
      </c>
      <c r="X188" s="1">
        <v>1.0</v>
      </c>
      <c r="Y188" s="1">
        <v>2.35</v>
      </c>
      <c r="Z188" s="1">
        <v>6.4</v>
      </c>
    </row>
    <row r="189" ht="14.25" customHeight="1">
      <c r="A189" s="1" t="s">
        <v>26</v>
      </c>
      <c r="B189" s="1" t="s">
        <v>1159</v>
      </c>
      <c r="C189" s="1" t="s">
        <v>1160</v>
      </c>
      <c r="D189" s="1">
        <v>1.01160529E8</v>
      </c>
      <c r="E189" s="1" t="s">
        <v>986</v>
      </c>
      <c r="F189" s="1" t="s">
        <v>726</v>
      </c>
      <c r="G189" s="1" t="s">
        <v>1161</v>
      </c>
      <c r="H189" s="1" t="s">
        <v>1162</v>
      </c>
      <c r="I189" s="1">
        <v>200022.0</v>
      </c>
      <c r="J189" s="1" t="s">
        <v>1163</v>
      </c>
      <c r="K189" s="1" t="s">
        <v>1164</v>
      </c>
      <c r="L189" s="1">
        <v>1240.0</v>
      </c>
      <c r="M189" s="1" t="s">
        <v>35</v>
      </c>
      <c r="N189" s="1" t="s">
        <v>36</v>
      </c>
      <c r="O189" s="1" t="s">
        <v>37</v>
      </c>
      <c r="P189" s="1">
        <v>1.25E8</v>
      </c>
      <c r="Q189" s="1">
        <v>2014.0</v>
      </c>
      <c r="R189" s="1">
        <v>12000.0</v>
      </c>
      <c r="S189" s="1">
        <v>9000.0</v>
      </c>
      <c r="T189" s="1">
        <v>8000.0</v>
      </c>
      <c r="U189" s="1">
        <v>32355.0</v>
      </c>
      <c r="V189" s="1">
        <v>0.0</v>
      </c>
      <c r="W189" s="1">
        <v>71000.0</v>
      </c>
      <c r="X189" s="1">
        <v>2.0</v>
      </c>
      <c r="Y189" s="1">
        <v>1.85</v>
      </c>
      <c r="Z189" s="1">
        <v>5.8</v>
      </c>
    </row>
    <row r="190" ht="14.25" customHeight="1">
      <c r="A190" s="1" t="s">
        <v>26</v>
      </c>
      <c r="B190" s="1" t="s">
        <v>381</v>
      </c>
      <c r="C190" s="1" t="s">
        <v>1165</v>
      </c>
      <c r="D190" s="1">
        <v>7.7564037E7</v>
      </c>
      <c r="E190" s="1" t="s">
        <v>1166</v>
      </c>
      <c r="F190" s="1" t="s">
        <v>1167</v>
      </c>
      <c r="G190" s="1" t="s">
        <v>1168</v>
      </c>
      <c r="H190" s="1" t="s">
        <v>1169</v>
      </c>
      <c r="I190" s="1">
        <v>177383.0</v>
      </c>
      <c r="J190" s="1" t="s">
        <v>1170</v>
      </c>
      <c r="K190" s="1" t="s">
        <v>1171</v>
      </c>
      <c r="L190" s="1">
        <v>447.0</v>
      </c>
      <c r="M190" s="1" t="s">
        <v>35</v>
      </c>
      <c r="N190" s="1" t="s">
        <v>36</v>
      </c>
      <c r="O190" s="1" t="s">
        <v>87</v>
      </c>
      <c r="P190" s="1">
        <v>1.35E8</v>
      </c>
      <c r="Q190" s="1">
        <v>2011.0</v>
      </c>
      <c r="R190" s="1">
        <v>2000.0</v>
      </c>
      <c r="S190" s="1">
        <v>871.0</v>
      </c>
      <c r="T190" s="1">
        <v>845.0</v>
      </c>
      <c r="U190" s="1">
        <v>4631.0</v>
      </c>
      <c r="V190" s="1">
        <v>14000.0</v>
      </c>
      <c r="W190" s="1">
        <v>44000.0</v>
      </c>
      <c r="X190" s="1">
        <v>1.0</v>
      </c>
      <c r="Y190" s="1">
        <v>2.35</v>
      </c>
      <c r="Z190" s="1">
        <v>7.4</v>
      </c>
    </row>
    <row r="191" ht="14.25" customHeight="1">
      <c r="A191" s="1" t="s">
        <v>26</v>
      </c>
      <c r="B191" s="1" t="s">
        <v>1172</v>
      </c>
      <c r="C191" s="1" t="s">
        <v>1173</v>
      </c>
      <c r="D191" s="1">
        <v>2.49358727E8</v>
      </c>
      <c r="E191" s="1" t="s">
        <v>97</v>
      </c>
      <c r="F191" s="1" t="s">
        <v>99</v>
      </c>
      <c r="G191" s="1" t="s">
        <v>425</v>
      </c>
      <c r="H191" s="1" t="s">
        <v>100</v>
      </c>
      <c r="I191" s="1">
        <v>382255.0</v>
      </c>
      <c r="J191" s="1" t="s">
        <v>1174</v>
      </c>
      <c r="K191" s="1" t="s">
        <v>1175</v>
      </c>
      <c r="L191" s="1">
        <v>1504.0</v>
      </c>
      <c r="M191" s="1" t="s">
        <v>35</v>
      </c>
      <c r="N191" s="1" t="s">
        <v>54</v>
      </c>
      <c r="O191" s="1" t="s">
        <v>87</v>
      </c>
      <c r="P191" s="1">
        <v>1.3E8</v>
      </c>
      <c r="Q191" s="1">
        <v>2004.0</v>
      </c>
      <c r="R191" s="1">
        <v>11000.0</v>
      </c>
      <c r="S191" s="1">
        <v>10000.0</v>
      </c>
      <c r="T191" s="1">
        <v>10000.0</v>
      </c>
      <c r="U191" s="1">
        <v>33284.0</v>
      </c>
      <c r="V191" s="1">
        <v>0.0</v>
      </c>
      <c r="W191" s="1">
        <v>11000.0</v>
      </c>
      <c r="X191" s="1">
        <v>3.0</v>
      </c>
      <c r="Y191" s="1">
        <v>2.35</v>
      </c>
      <c r="Z191" s="1">
        <v>7.8</v>
      </c>
    </row>
    <row r="192" ht="14.25" customHeight="1">
      <c r="A192" s="1" t="s">
        <v>26</v>
      </c>
      <c r="B192" s="1" t="s">
        <v>356</v>
      </c>
      <c r="C192" s="1" t="s">
        <v>362</v>
      </c>
      <c r="D192" s="1">
        <v>4.9551662E7</v>
      </c>
      <c r="E192" s="1" t="s">
        <v>1176</v>
      </c>
      <c r="F192" s="1" t="s">
        <v>785</v>
      </c>
      <c r="G192" s="1" t="s">
        <v>1005</v>
      </c>
      <c r="H192" s="1" t="s">
        <v>1177</v>
      </c>
      <c r="I192" s="1">
        <v>102338.0</v>
      </c>
      <c r="J192" s="1" t="s">
        <v>1178</v>
      </c>
      <c r="K192" s="1" t="s">
        <v>1179</v>
      </c>
      <c r="L192" s="1">
        <v>450.0</v>
      </c>
      <c r="M192" s="1" t="s">
        <v>35</v>
      </c>
      <c r="N192" s="1" t="s">
        <v>362</v>
      </c>
      <c r="O192" s="1" t="s">
        <v>37</v>
      </c>
      <c r="P192" s="1">
        <v>1.3E8</v>
      </c>
      <c r="Q192" s="1">
        <v>2008.0</v>
      </c>
      <c r="R192" s="1">
        <v>309.0</v>
      </c>
      <c r="S192" s="1">
        <v>284.0</v>
      </c>
      <c r="T192" s="1">
        <v>165.0</v>
      </c>
      <c r="U192" s="1">
        <v>921.0</v>
      </c>
      <c r="V192" s="1">
        <v>1000.0</v>
      </c>
      <c r="W192" s="1">
        <v>0.0</v>
      </c>
      <c r="X192" s="1">
        <v>0.0</v>
      </c>
      <c r="Y192" s="1">
        <v>2.35</v>
      </c>
      <c r="Z192" s="1">
        <v>6.6</v>
      </c>
    </row>
    <row r="193" ht="14.25" customHeight="1">
      <c r="A193" s="1" t="s">
        <v>26</v>
      </c>
      <c r="B193" s="1" t="s">
        <v>875</v>
      </c>
      <c r="C193" s="1" t="s">
        <v>1180</v>
      </c>
      <c r="D193" s="1">
        <v>6.0522097E7</v>
      </c>
      <c r="E193" s="1" t="s">
        <v>65</v>
      </c>
      <c r="F193" s="1" t="s">
        <v>158</v>
      </c>
      <c r="G193" s="1" t="s">
        <v>810</v>
      </c>
      <c r="H193" s="1" t="s">
        <v>272</v>
      </c>
      <c r="I193" s="1">
        <v>158720.0</v>
      </c>
      <c r="J193" s="1" t="s">
        <v>1181</v>
      </c>
      <c r="K193" s="1" t="s">
        <v>1182</v>
      </c>
      <c r="L193" s="1">
        <v>744.0</v>
      </c>
      <c r="M193" s="1" t="s">
        <v>35</v>
      </c>
      <c r="N193" s="1" t="s">
        <v>36</v>
      </c>
      <c r="O193" s="1" t="s">
        <v>37</v>
      </c>
      <c r="P193" s="1">
        <v>1.3E8</v>
      </c>
      <c r="Q193" s="1">
        <v>2013.0</v>
      </c>
      <c r="R193" s="1">
        <v>10000.0</v>
      </c>
      <c r="S193" s="1">
        <v>943.0</v>
      </c>
      <c r="T193" s="1">
        <v>894.0</v>
      </c>
      <c r="U193" s="1">
        <v>14168.0</v>
      </c>
      <c r="V193" s="1">
        <v>0.0</v>
      </c>
      <c r="W193" s="1">
        <v>37000.0</v>
      </c>
      <c r="X193" s="1">
        <v>0.0</v>
      </c>
      <c r="Y193" s="1">
        <v>2.35</v>
      </c>
      <c r="Z193" s="1">
        <v>4.9</v>
      </c>
    </row>
    <row r="194" ht="14.25" customHeight="1">
      <c r="A194" s="1" t="s">
        <v>26</v>
      </c>
      <c r="B194" s="1" t="s">
        <v>1183</v>
      </c>
      <c r="C194" s="1" t="s">
        <v>1184</v>
      </c>
      <c r="D194" s="1">
        <v>1.37748063E8</v>
      </c>
      <c r="E194" s="1" t="s">
        <v>1185</v>
      </c>
      <c r="F194" s="1" t="s">
        <v>1186</v>
      </c>
      <c r="G194" s="1" t="s">
        <v>1187</v>
      </c>
      <c r="H194" s="1" t="s">
        <v>1188</v>
      </c>
      <c r="I194" s="1">
        <v>38438.0</v>
      </c>
      <c r="J194" s="1" t="s">
        <v>1189</v>
      </c>
      <c r="K194" s="1" t="s">
        <v>1190</v>
      </c>
      <c r="L194" s="1">
        <v>241.0</v>
      </c>
      <c r="M194" s="1" t="s">
        <v>35</v>
      </c>
      <c r="N194" s="1" t="s">
        <v>36</v>
      </c>
      <c r="O194" s="1" t="s">
        <v>87</v>
      </c>
      <c r="P194" s="1">
        <v>1.275E8</v>
      </c>
      <c r="Q194" s="1">
        <v>2000.0</v>
      </c>
      <c r="R194" s="1">
        <v>1000.0</v>
      </c>
      <c r="S194" s="1">
        <v>558.0</v>
      </c>
      <c r="T194" s="1">
        <v>388.0</v>
      </c>
      <c r="U194" s="1">
        <v>2945.0</v>
      </c>
      <c r="V194" s="1">
        <v>0.0</v>
      </c>
      <c r="W194" s="1">
        <v>0.0</v>
      </c>
      <c r="X194" s="1">
        <v>1.0</v>
      </c>
      <c r="Y194" s="1">
        <v>1.85</v>
      </c>
      <c r="Z194" s="1">
        <v>6.5</v>
      </c>
    </row>
    <row r="195" ht="14.25" customHeight="1">
      <c r="A195" s="1" t="s">
        <v>26</v>
      </c>
      <c r="B195" s="1" t="s">
        <v>772</v>
      </c>
      <c r="C195" s="1" t="s">
        <v>1191</v>
      </c>
      <c r="D195" s="1">
        <v>1.13733726E8</v>
      </c>
      <c r="E195" s="1" t="s">
        <v>751</v>
      </c>
      <c r="F195" s="1" t="s">
        <v>774</v>
      </c>
      <c r="G195" s="1" t="s">
        <v>775</v>
      </c>
      <c r="H195" s="1" t="s">
        <v>776</v>
      </c>
      <c r="I195" s="1">
        <v>67223.0</v>
      </c>
      <c r="J195" s="1" t="s">
        <v>1192</v>
      </c>
      <c r="K195" s="1" t="s">
        <v>1193</v>
      </c>
      <c r="L195" s="1">
        <v>126.0</v>
      </c>
      <c r="M195" s="1" t="s">
        <v>35</v>
      </c>
      <c r="N195" s="1" t="s">
        <v>36</v>
      </c>
      <c r="O195" s="1" t="s">
        <v>87</v>
      </c>
      <c r="P195" s="1">
        <v>1.27E8</v>
      </c>
      <c r="Q195" s="1">
        <v>2014.0</v>
      </c>
      <c r="R195" s="1">
        <v>49000.0</v>
      </c>
      <c r="S195" s="1">
        <v>3000.0</v>
      </c>
      <c r="T195" s="1">
        <v>1000.0</v>
      </c>
      <c r="U195" s="1">
        <v>53587.0</v>
      </c>
      <c r="V195" s="1">
        <v>189.0</v>
      </c>
      <c r="W195" s="1">
        <v>11000.0</v>
      </c>
      <c r="X195" s="1">
        <v>7.0</v>
      </c>
      <c r="Y195" s="1">
        <v>1.85</v>
      </c>
      <c r="Z195" s="1">
        <v>6.2</v>
      </c>
    </row>
    <row r="196" ht="14.25" customHeight="1">
      <c r="A196" s="1" t="s">
        <v>26</v>
      </c>
      <c r="B196" s="1" t="s">
        <v>1194</v>
      </c>
      <c r="C196" s="1" t="s">
        <v>1195</v>
      </c>
      <c r="D196" s="1">
        <v>1.48337537E8</v>
      </c>
      <c r="E196" s="1" t="s">
        <v>1196</v>
      </c>
      <c r="F196" s="1" t="s">
        <v>74</v>
      </c>
      <c r="G196" s="1" t="s">
        <v>335</v>
      </c>
      <c r="H196" s="1" t="s">
        <v>1197</v>
      </c>
      <c r="I196" s="1">
        <v>172754.0</v>
      </c>
      <c r="J196" s="1" t="s">
        <v>1198</v>
      </c>
      <c r="K196" s="1" t="s">
        <v>1199</v>
      </c>
      <c r="L196" s="1">
        <v>187.0</v>
      </c>
      <c r="M196" s="1" t="s">
        <v>35</v>
      </c>
      <c r="N196" s="1" t="s">
        <v>36</v>
      </c>
      <c r="O196" s="1" t="s">
        <v>87</v>
      </c>
      <c r="P196" s="1">
        <v>1.3E8</v>
      </c>
      <c r="Q196" s="1">
        <v>2010.0</v>
      </c>
      <c r="R196" s="1">
        <v>24000.0</v>
      </c>
      <c r="S196" s="1">
        <v>11000.0</v>
      </c>
      <c r="T196" s="1">
        <v>8000.0</v>
      </c>
      <c r="U196" s="1">
        <v>46120.0</v>
      </c>
      <c r="V196" s="1">
        <v>96.0</v>
      </c>
      <c r="W196" s="1">
        <v>13000.0</v>
      </c>
      <c r="X196" s="1">
        <v>3.0</v>
      </c>
      <c r="Y196" s="1">
        <v>2.35</v>
      </c>
      <c r="Z196" s="1">
        <v>7.3</v>
      </c>
    </row>
    <row r="197" ht="14.25" customHeight="1">
      <c r="A197" s="1" t="s">
        <v>26</v>
      </c>
      <c r="B197" s="1" t="s">
        <v>1200</v>
      </c>
      <c r="C197" s="1" t="s">
        <v>1201</v>
      </c>
      <c r="D197" s="1">
        <v>3.17557891E8</v>
      </c>
      <c r="E197" s="1" t="s">
        <v>192</v>
      </c>
      <c r="F197" s="1" t="s">
        <v>99</v>
      </c>
      <c r="G197" s="1" t="s">
        <v>733</v>
      </c>
      <c r="H197" s="1" t="s">
        <v>1202</v>
      </c>
      <c r="I197" s="1">
        <v>444683.0</v>
      </c>
      <c r="J197" s="1" t="s">
        <v>1203</v>
      </c>
      <c r="K197" s="1" t="s">
        <v>1204</v>
      </c>
      <c r="L197" s="1">
        <v>1571.0</v>
      </c>
      <c r="M197" s="1" t="s">
        <v>35</v>
      </c>
      <c r="N197" s="1" t="s">
        <v>54</v>
      </c>
      <c r="O197" s="1" t="s">
        <v>87</v>
      </c>
      <c r="P197" s="1">
        <v>1.25E8</v>
      </c>
      <c r="Q197" s="1">
        <v>2001.0</v>
      </c>
      <c r="R197" s="1">
        <v>11000.0</v>
      </c>
      <c r="S197" s="1">
        <v>687.0</v>
      </c>
      <c r="T197" s="1">
        <v>645.0</v>
      </c>
      <c r="U197" s="1">
        <v>13191.0</v>
      </c>
      <c r="V197" s="1">
        <v>0.0</v>
      </c>
      <c r="W197" s="1">
        <v>16000.0</v>
      </c>
      <c r="X197" s="1">
        <v>4.0</v>
      </c>
      <c r="Y197" s="1">
        <v>2.35</v>
      </c>
      <c r="Z197" s="1">
        <v>7.5</v>
      </c>
    </row>
    <row r="198" ht="14.25" customHeight="1">
      <c r="A198" s="1" t="s">
        <v>26</v>
      </c>
      <c r="B198" s="1" t="s">
        <v>1205</v>
      </c>
      <c r="C198" s="1" t="s">
        <v>1206</v>
      </c>
      <c r="D198" s="1">
        <v>3.3592415E7</v>
      </c>
      <c r="E198" s="1" t="s">
        <v>1207</v>
      </c>
      <c r="F198" s="1" t="s">
        <v>307</v>
      </c>
      <c r="G198" s="1" t="s">
        <v>293</v>
      </c>
      <c r="H198" s="1" t="s">
        <v>1208</v>
      </c>
      <c r="I198" s="1">
        <v>91640.0</v>
      </c>
      <c r="J198" s="1" t="s">
        <v>1209</v>
      </c>
      <c r="K198" s="1" t="s">
        <v>1210</v>
      </c>
      <c r="L198" s="1">
        <v>210.0</v>
      </c>
      <c r="M198" s="1" t="s">
        <v>35</v>
      </c>
      <c r="N198" s="1" t="s">
        <v>36</v>
      </c>
      <c r="O198" s="1" t="s">
        <v>37</v>
      </c>
      <c r="P198" s="1">
        <v>1.3E8</v>
      </c>
      <c r="Q198" s="1">
        <v>2013.0</v>
      </c>
      <c r="R198" s="1">
        <v>16000.0</v>
      </c>
      <c r="S198" s="1">
        <v>12000.0</v>
      </c>
      <c r="T198" s="1">
        <v>1000.0</v>
      </c>
      <c r="U198" s="1">
        <v>31549.0</v>
      </c>
      <c r="V198" s="1">
        <v>124.0</v>
      </c>
      <c r="W198" s="1">
        <v>20000.0</v>
      </c>
      <c r="X198" s="1">
        <v>2.0</v>
      </c>
      <c r="Y198" s="1">
        <v>2.35</v>
      </c>
      <c r="Z198" s="1">
        <v>5.6</v>
      </c>
    </row>
    <row r="199" ht="14.25" customHeight="1">
      <c r="A199" s="1" t="s">
        <v>26</v>
      </c>
      <c r="B199" s="1" t="s">
        <v>38</v>
      </c>
      <c r="C199" s="1" t="s">
        <v>1211</v>
      </c>
      <c r="D199" s="1">
        <v>3.05388685E8</v>
      </c>
      <c r="E199" s="1" t="s">
        <v>40</v>
      </c>
      <c r="F199" s="1" t="s">
        <v>41</v>
      </c>
      <c r="G199" s="1" t="s">
        <v>42</v>
      </c>
      <c r="H199" s="1" t="s">
        <v>43</v>
      </c>
      <c r="I199" s="1">
        <v>809474.0</v>
      </c>
      <c r="J199" s="1" t="s">
        <v>1212</v>
      </c>
      <c r="K199" s="1" t="s">
        <v>1213</v>
      </c>
      <c r="L199" s="1">
        <v>2113.0</v>
      </c>
      <c r="M199" s="1" t="s">
        <v>35</v>
      </c>
      <c r="N199" s="1" t="s">
        <v>36</v>
      </c>
      <c r="O199" s="1" t="s">
        <v>37</v>
      </c>
      <c r="P199" s="1">
        <v>1.4E8</v>
      </c>
      <c r="Q199" s="1">
        <v>2003.0</v>
      </c>
      <c r="R199" s="1">
        <v>40000.0</v>
      </c>
      <c r="S199" s="1">
        <v>5000.0</v>
      </c>
      <c r="T199" s="1">
        <v>1000.0</v>
      </c>
      <c r="U199" s="1">
        <v>48184.0</v>
      </c>
      <c r="V199" s="1">
        <v>563.0</v>
      </c>
      <c r="W199" s="1">
        <v>10000.0</v>
      </c>
      <c r="X199" s="1">
        <v>3.0</v>
      </c>
      <c r="Y199" s="1">
        <v>2.35</v>
      </c>
      <c r="Z199" s="1">
        <v>8.1</v>
      </c>
    </row>
    <row r="200" ht="14.25" customHeight="1">
      <c r="A200" s="1" t="s">
        <v>26</v>
      </c>
      <c r="B200" s="1" t="s">
        <v>659</v>
      </c>
      <c r="C200" s="1" t="s">
        <v>1214</v>
      </c>
      <c r="D200" s="1">
        <v>3.37103873E8</v>
      </c>
      <c r="E200" s="1" t="s">
        <v>1126</v>
      </c>
      <c r="F200" s="1" t="s">
        <v>340</v>
      </c>
      <c r="G200" s="1" t="s">
        <v>662</v>
      </c>
      <c r="H200" s="1" t="s">
        <v>663</v>
      </c>
      <c r="I200" s="1">
        <v>305008.0</v>
      </c>
      <c r="J200" s="1" t="s">
        <v>1215</v>
      </c>
      <c r="K200" s="1" t="s">
        <v>1216</v>
      </c>
      <c r="L200" s="1">
        <v>591.0</v>
      </c>
      <c r="M200" s="1" t="s">
        <v>35</v>
      </c>
      <c r="N200" s="1" t="s">
        <v>36</v>
      </c>
      <c r="O200" s="1" t="s">
        <v>37</v>
      </c>
      <c r="P200" s="1">
        <v>1.25E8</v>
      </c>
      <c r="Q200" s="1">
        <v>2014.0</v>
      </c>
      <c r="R200" s="1">
        <v>34000.0</v>
      </c>
      <c r="S200" s="1">
        <v>22000.0</v>
      </c>
      <c r="T200" s="1">
        <v>14000.0</v>
      </c>
      <c r="U200" s="1">
        <v>81385.0</v>
      </c>
      <c r="V200" s="1">
        <v>508.0</v>
      </c>
      <c r="W200" s="1">
        <v>52000.0</v>
      </c>
      <c r="X200" s="1">
        <v>1.0</v>
      </c>
      <c r="Y200" s="1">
        <v>2.35</v>
      </c>
      <c r="Z200" s="1">
        <v>6.7</v>
      </c>
    </row>
    <row r="201" ht="14.25" customHeight="1">
      <c r="A201" s="1" t="s">
        <v>26</v>
      </c>
      <c r="B201" s="1" t="s">
        <v>813</v>
      </c>
      <c r="C201" s="1" t="s">
        <v>1217</v>
      </c>
      <c r="D201" s="1">
        <v>2.17536138E8</v>
      </c>
      <c r="E201" s="1" t="s">
        <v>815</v>
      </c>
      <c r="F201" s="1" t="s">
        <v>314</v>
      </c>
      <c r="G201" s="1" t="s">
        <v>1218</v>
      </c>
      <c r="H201" s="1" t="s">
        <v>1219</v>
      </c>
      <c r="I201" s="1">
        <v>314253.0</v>
      </c>
      <c r="J201" s="1" t="s">
        <v>1220</v>
      </c>
      <c r="K201" s="1" t="s">
        <v>1221</v>
      </c>
      <c r="L201" s="1">
        <v>1966.0</v>
      </c>
      <c r="M201" s="1" t="s">
        <v>35</v>
      </c>
      <c r="N201" s="1" t="s">
        <v>36</v>
      </c>
      <c r="O201" s="1" t="s">
        <v>37</v>
      </c>
      <c r="P201" s="1">
        <v>1.25E8</v>
      </c>
      <c r="Q201" s="1">
        <v>2006.0</v>
      </c>
      <c r="R201" s="1">
        <v>15000.0</v>
      </c>
      <c r="S201" s="1">
        <v>574.0</v>
      </c>
      <c r="T201" s="1">
        <v>362.0</v>
      </c>
      <c r="U201" s="1">
        <v>16008.0</v>
      </c>
      <c r="V201" s="1">
        <v>2000.0</v>
      </c>
      <c r="W201" s="1">
        <v>0.0</v>
      </c>
      <c r="X201" s="1">
        <v>2.0</v>
      </c>
      <c r="Y201" s="1">
        <v>2.35</v>
      </c>
      <c r="Z201" s="1">
        <v>6.6</v>
      </c>
    </row>
    <row r="202" ht="14.25" customHeight="1">
      <c r="A202" s="1" t="s">
        <v>26</v>
      </c>
      <c r="B202" s="1" t="s">
        <v>1222</v>
      </c>
      <c r="C202" s="1" t="s">
        <v>1223</v>
      </c>
      <c r="D202" s="1">
        <v>1.31536019E8</v>
      </c>
      <c r="E202" s="1" t="s">
        <v>1224</v>
      </c>
      <c r="F202" s="1" t="s">
        <v>1225</v>
      </c>
      <c r="G202" s="1" t="s">
        <v>1226</v>
      </c>
      <c r="H202" s="1" t="s">
        <v>1227</v>
      </c>
      <c r="I202" s="1">
        <v>58498.0</v>
      </c>
      <c r="J202" s="1" t="s">
        <v>1228</v>
      </c>
      <c r="K202" s="1" t="s">
        <v>1229</v>
      </c>
      <c r="L202" s="1">
        <v>99.0</v>
      </c>
      <c r="M202" s="1" t="s">
        <v>35</v>
      </c>
      <c r="N202" s="1" t="s">
        <v>36</v>
      </c>
      <c r="O202" s="1" t="s">
        <v>269</v>
      </c>
      <c r="P202" s="1">
        <v>1.03E8</v>
      </c>
      <c r="Q202" s="1">
        <v>2014.0</v>
      </c>
      <c r="R202" s="1">
        <v>688.0</v>
      </c>
      <c r="S202" s="1">
        <v>237.0</v>
      </c>
      <c r="T202" s="1">
        <v>56.0</v>
      </c>
      <c r="U202" s="1">
        <v>1031.0</v>
      </c>
      <c r="V202" s="1">
        <v>107.0</v>
      </c>
      <c r="W202" s="1">
        <v>0.0</v>
      </c>
      <c r="X202" s="1">
        <v>0.0</v>
      </c>
      <c r="Y202" s="1">
        <v>2.35</v>
      </c>
      <c r="Z202" s="1">
        <v>6.4</v>
      </c>
    </row>
    <row r="203" ht="14.25" customHeight="1">
      <c r="A203" s="1" t="s">
        <v>26</v>
      </c>
      <c r="B203" s="1" t="s">
        <v>110</v>
      </c>
      <c r="C203" s="1" t="s">
        <v>1230</v>
      </c>
      <c r="D203" s="1">
        <v>2.1494878E8</v>
      </c>
      <c r="E203" s="1" t="s">
        <v>254</v>
      </c>
      <c r="F203" s="1" t="s">
        <v>255</v>
      </c>
      <c r="G203" s="1" t="s">
        <v>1231</v>
      </c>
      <c r="H203" s="1" t="s">
        <v>1232</v>
      </c>
      <c r="I203" s="1">
        <v>405973.0</v>
      </c>
      <c r="J203" s="1" t="s">
        <v>1233</v>
      </c>
      <c r="K203" s="1" t="s">
        <v>1234</v>
      </c>
      <c r="L203" s="1">
        <v>1055.0</v>
      </c>
      <c r="M203" s="1" t="s">
        <v>35</v>
      </c>
      <c r="N203" s="1" t="s">
        <v>260</v>
      </c>
      <c r="O203" s="1" t="s">
        <v>37</v>
      </c>
      <c r="P203" s="1">
        <v>1.1E8</v>
      </c>
      <c r="Q203" s="1">
        <v>2003.0</v>
      </c>
      <c r="R203" s="1">
        <v>20000.0</v>
      </c>
      <c r="S203" s="1">
        <v>505.0</v>
      </c>
      <c r="T203" s="1">
        <v>346.0</v>
      </c>
      <c r="U203" s="1">
        <v>20952.0</v>
      </c>
      <c r="V203" s="1">
        <v>0.0</v>
      </c>
      <c r="W203" s="1">
        <v>0.0</v>
      </c>
      <c r="X203" s="1">
        <v>4.0</v>
      </c>
      <c r="Y203" s="1">
        <v>2.35</v>
      </c>
      <c r="Z203" s="1">
        <v>7.5</v>
      </c>
    </row>
    <row r="204" ht="14.25" customHeight="1">
      <c r="A204" s="1" t="s">
        <v>26</v>
      </c>
      <c r="B204" s="1" t="s">
        <v>394</v>
      </c>
      <c r="C204" s="1" t="s">
        <v>1235</v>
      </c>
      <c r="D204" s="1">
        <v>2.09805005E8</v>
      </c>
      <c r="E204" s="1" t="s">
        <v>326</v>
      </c>
      <c r="F204" s="1" t="s">
        <v>328</v>
      </c>
      <c r="G204" s="1" t="s">
        <v>329</v>
      </c>
      <c r="H204" s="1" t="s">
        <v>1036</v>
      </c>
      <c r="I204" s="1">
        <v>284792.0</v>
      </c>
      <c r="J204" s="1" t="s">
        <v>1236</v>
      </c>
      <c r="K204" s="1" t="s">
        <v>1237</v>
      </c>
      <c r="L204" s="1">
        <v>366.0</v>
      </c>
      <c r="M204" s="1" t="s">
        <v>35</v>
      </c>
      <c r="N204" s="1" t="s">
        <v>36</v>
      </c>
      <c r="O204" s="1" t="s">
        <v>37</v>
      </c>
      <c r="P204" s="1">
        <v>1.25E8</v>
      </c>
      <c r="Q204" s="1">
        <v>2011.0</v>
      </c>
      <c r="R204" s="1">
        <v>23000.0</v>
      </c>
      <c r="S204" s="1">
        <v>14000.0</v>
      </c>
      <c r="T204" s="1">
        <v>12000.0</v>
      </c>
      <c r="U204" s="1">
        <v>55345.0</v>
      </c>
      <c r="V204" s="1">
        <v>681.0</v>
      </c>
      <c r="W204" s="1">
        <v>54000.0</v>
      </c>
      <c r="X204" s="1">
        <v>3.0</v>
      </c>
      <c r="Y204" s="1">
        <v>2.35</v>
      </c>
      <c r="Z204" s="1">
        <v>7.3</v>
      </c>
    </row>
    <row r="205" ht="14.25" customHeight="1">
      <c r="A205" s="1" t="s">
        <v>26</v>
      </c>
      <c r="B205" s="1" t="s">
        <v>1238</v>
      </c>
      <c r="C205" s="1" t="s">
        <v>1239</v>
      </c>
      <c r="D205" s="1">
        <v>1.86830669E8</v>
      </c>
      <c r="E205" s="1" t="s">
        <v>1240</v>
      </c>
      <c r="F205" s="1" t="s">
        <v>91</v>
      </c>
      <c r="G205" s="1" t="s">
        <v>351</v>
      </c>
      <c r="H205" s="1" t="s">
        <v>1241</v>
      </c>
      <c r="I205" s="1">
        <v>338635.0</v>
      </c>
      <c r="J205" s="1" t="s">
        <v>1242</v>
      </c>
      <c r="K205" s="1" t="s">
        <v>1243</v>
      </c>
      <c r="L205" s="1">
        <v>412.0</v>
      </c>
      <c r="M205" s="1" t="s">
        <v>35</v>
      </c>
      <c r="N205" s="1" t="s">
        <v>36</v>
      </c>
      <c r="O205" s="1" t="s">
        <v>37</v>
      </c>
      <c r="P205" s="1">
        <v>1.25E8</v>
      </c>
      <c r="Q205" s="1">
        <v>2011.0</v>
      </c>
      <c r="R205" s="1">
        <v>21000.0</v>
      </c>
      <c r="S205" s="1">
        <v>979.0</v>
      </c>
      <c r="T205" s="1">
        <v>154.0</v>
      </c>
      <c r="U205" s="1">
        <v>22403.0</v>
      </c>
      <c r="V205" s="1">
        <v>0.0</v>
      </c>
      <c r="W205" s="1">
        <v>39000.0</v>
      </c>
      <c r="X205" s="1">
        <v>2.0</v>
      </c>
      <c r="Y205" s="1">
        <v>2.35</v>
      </c>
      <c r="Z205" s="1">
        <v>7.5</v>
      </c>
    </row>
    <row r="206" ht="14.25" customHeight="1">
      <c r="A206" s="1" t="s">
        <v>26</v>
      </c>
      <c r="B206" s="1" t="s">
        <v>1077</v>
      </c>
      <c r="C206" s="1" t="s">
        <v>1244</v>
      </c>
      <c r="D206" s="1">
        <v>1.63192114E8</v>
      </c>
      <c r="E206" s="1" t="s">
        <v>40</v>
      </c>
      <c r="F206" s="1" t="s">
        <v>220</v>
      </c>
      <c r="G206" s="1" t="s">
        <v>651</v>
      </c>
      <c r="H206" s="1" t="s">
        <v>1245</v>
      </c>
      <c r="I206" s="1">
        <v>229679.0</v>
      </c>
      <c r="J206" s="1" t="s">
        <v>1246</v>
      </c>
      <c r="K206" s="1" t="s">
        <v>1247</v>
      </c>
      <c r="L206" s="1">
        <v>637.0</v>
      </c>
      <c r="M206" s="1" t="s">
        <v>35</v>
      </c>
      <c r="N206" s="1" t="s">
        <v>36</v>
      </c>
      <c r="O206" s="1" t="s">
        <v>37</v>
      </c>
      <c r="P206" s="1">
        <v>1.25E8</v>
      </c>
      <c r="Q206" s="1">
        <v>2010.0</v>
      </c>
      <c r="R206" s="1">
        <v>14000.0</v>
      </c>
      <c r="S206" s="1">
        <v>1000.0</v>
      </c>
      <c r="T206" s="1">
        <v>850.0</v>
      </c>
      <c r="U206" s="1">
        <v>18003.0</v>
      </c>
      <c r="V206" s="1">
        <v>255.0</v>
      </c>
      <c r="W206" s="1">
        <v>15000.0</v>
      </c>
      <c r="X206" s="1">
        <v>0.0</v>
      </c>
      <c r="Y206" s="1">
        <v>2.35</v>
      </c>
      <c r="Z206" s="1">
        <v>5.8</v>
      </c>
    </row>
    <row r="207" ht="14.25" customHeight="1">
      <c r="A207" s="1" t="s">
        <v>26</v>
      </c>
      <c r="B207" s="1" t="s">
        <v>1248</v>
      </c>
      <c r="C207" s="1" t="s">
        <v>1249</v>
      </c>
      <c r="D207" s="1">
        <v>1.19412921E8</v>
      </c>
      <c r="E207" s="1" t="s">
        <v>623</v>
      </c>
      <c r="F207" s="1" t="s">
        <v>1250</v>
      </c>
      <c r="G207" s="1" t="s">
        <v>1251</v>
      </c>
      <c r="H207" s="1" t="s">
        <v>1252</v>
      </c>
      <c r="I207" s="1">
        <v>240241.0</v>
      </c>
      <c r="J207" s="1" t="s">
        <v>1253</v>
      </c>
      <c r="K207" s="1" t="s">
        <v>1254</v>
      </c>
      <c r="L207" s="1">
        <v>391.0</v>
      </c>
      <c r="M207" s="1" t="s">
        <v>35</v>
      </c>
      <c r="N207" s="1" t="s">
        <v>36</v>
      </c>
      <c r="O207" s="1" t="s">
        <v>628</v>
      </c>
      <c r="P207" s="1">
        <v>6.5E7</v>
      </c>
      <c r="Q207" s="1">
        <v>1990.0</v>
      </c>
      <c r="R207" s="1">
        <v>605.0</v>
      </c>
      <c r="S207" s="1">
        <v>308.0</v>
      </c>
      <c r="T207" s="1">
        <v>217.0</v>
      </c>
      <c r="U207" s="1">
        <v>1441.0</v>
      </c>
      <c r="V207" s="1">
        <v>719.0</v>
      </c>
      <c r="W207" s="1">
        <v>0.0</v>
      </c>
      <c r="X207" s="1">
        <v>0.0</v>
      </c>
      <c r="Y207" s="1">
        <v>1.85</v>
      </c>
      <c r="Z207" s="1">
        <v>7.5</v>
      </c>
    </row>
    <row r="208" ht="14.25" customHeight="1">
      <c r="A208" s="1" t="s">
        <v>26</v>
      </c>
      <c r="B208" s="1" t="s">
        <v>1255</v>
      </c>
      <c r="C208" s="1" t="s">
        <v>1256</v>
      </c>
      <c r="D208" s="1">
        <v>3.2694788E7</v>
      </c>
      <c r="E208" s="1" t="s">
        <v>1257</v>
      </c>
      <c r="F208" s="1" t="s">
        <v>1169</v>
      </c>
      <c r="G208" s="1" t="s">
        <v>1258</v>
      </c>
      <c r="H208" s="1" t="s">
        <v>1259</v>
      </c>
      <c r="I208" s="1">
        <v>101411.0</v>
      </c>
      <c r="J208" s="1" t="s">
        <v>1260</v>
      </c>
      <c r="K208" s="1" t="s">
        <v>1261</v>
      </c>
      <c r="L208" s="1">
        <v>546.0</v>
      </c>
      <c r="M208" s="1" t="s">
        <v>35</v>
      </c>
      <c r="N208" s="1" t="s">
        <v>36</v>
      </c>
      <c r="O208" s="1" t="s">
        <v>628</v>
      </c>
      <c r="P208" s="1">
        <v>8.5E7</v>
      </c>
      <c r="Q208" s="1">
        <v>1999.0</v>
      </c>
      <c r="R208" s="1">
        <v>845.0</v>
      </c>
      <c r="S208" s="1">
        <v>372.0</v>
      </c>
      <c r="T208" s="1">
        <v>241.0</v>
      </c>
      <c r="U208" s="1">
        <v>1815.0</v>
      </c>
      <c r="V208" s="1">
        <v>323.0</v>
      </c>
      <c r="W208" s="1">
        <v>0.0</v>
      </c>
      <c r="X208" s="1">
        <v>1.0</v>
      </c>
      <c r="Y208" s="1">
        <v>2.35</v>
      </c>
      <c r="Z208" s="1">
        <v>6.6</v>
      </c>
    </row>
    <row r="209" ht="14.25" customHeight="1">
      <c r="A209" s="1" t="s">
        <v>26</v>
      </c>
      <c r="B209" s="1" t="s">
        <v>1262</v>
      </c>
      <c r="C209" s="1" t="s">
        <v>1263</v>
      </c>
      <c r="D209" s="1">
        <v>1.13165635E8</v>
      </c>
      <c r="E209" s="1" t="s">
        <v>48</v>
      </c>
      <c r="F209" s="1" t="s">
        <v>851</v>
      </c>
      <c r="G209" s="1" t="s">
        <v>1264</v>
      </c>
      <c r="H209" s="1" t="s">
        <v>1265</v>
      </c>
      <c r="I209" s="1">
        <v>229823.0</v>
      </c>
      <c r="J209" s="1" t="s">
        <v>1266</v>
      </c>
      <c r="K209" s="1" t="s">
        <v>1267</v>
      </c>
      <c r="L209" s="1">
        <v>504.0</v>
      </c>
      <c r="M209" s="1" t="s">
        <v>35</v>
      </c>
      <c r="N209" s="1" t="s">
        <v>36</v>
      </c>
      <c r="O209" s="1" t="s">
        <v>37</v>
      </c>
      <c r="P209" s="1">
        <v>1.25E8</v>
      </c>
      <c r="Q209" s="1">
        <v>2012.0</v>
      </c>
      <c r="R209" s="1">
        <v>10000.0</v>
      </c>
      <c r="S209" s="1">
        <v>826.0</v>
      </c>
      <c r="T209" s="1">
        <v>602.0</v>
      </c>
      <c r="U209" s="1">
        <v>12175.0</v>
      </c>
      <c r="V209" s="1">
        <v>209.0</v>
      </c>
      <c r="W209" s="1">
        <v>31000.0</v>
      </c>
      <c r="X209" s="1">
        <v>0.0</v>
      </c>
      <c r="Y209" s="1">
        <v>2.35</v>
      </c>
      <c r="Z209" s="1">
        <v>6.7</v>
      </c>
    </row>
    <row r="210" ht="14.25" customHeight="1">
      <c r="A210" s="1" t="s">
        <v>26</v>
      </c>
      <c r="B210" s="1" t="s">
        <v>1268</v>
      </c>
      <c r="C210" s="1" t="s">
        <v>1269</v>
      </c>
      <c r="D210" s="1">
        <v>1.07285004E8</v>
      </c>
      <c r="E210" s="1" t="s">
        <v>1270</v>
      </c>
      <c r="F210" s="1" t="s">
        <v>1271</v>
      </c>
      <c r="G210" s="1" t="s">
        <v>609</v>
      </c>
      <c r="H210" s="1" t="s">
        <v>1272</v>
      </c>
      <c r="I210" s="1">
        <v>189855.0</v>
      </c>
      <c r="J210" s="1" t="s">
        <v>1273</v>
      </c>
      <c r="K210" s="1" t="s">
        <v>1274</v>
      </c>
      <c r="L210" s="1">
        <v>1018.0</v>
      </c>
      <c r="M210" s="1" t="s">
        <v>35</v>
      </c>
      <c r="N210" s="1" t="s">
        <v>36</v>
      </c>
      <c r="O210" s="1" t="s">
        <v>37</v>
      </c>
      <c r="P210" s="1">
        <v>1.25E8</v>
      </c>
      <c r="Q210" s="1">
        <v>1997.0</v>
      </c>
      <c r="R210" s="1">
        <v>920.0</v>
      </c>
      <c r="S210" s="1">
        <v>890.0</v>
      </c>
      <c r="T210" s="1">
        <v>409.0</v>
      </c>
      <c r="U210" s="1">
        <v>2699.0</v>
      </c>
      <c r="V210" s="1">
        <v>541.0</v>
      </c>
      <c r="W210" s="1">
        <v>0.0</v>
      </c>
      <c r="X210" s="1">
        <v>3.0</v>
      </c>
      <c r="Y210" s="1">
        <v>1.85</v>
      </c>
      <c r="Z210" s="1">
        <v>3.7</v>
      </c>
    </row>
    <row r="211" ht="14.25" customHeight="1">
      <c r="A211" s="1" t="s">
        <v>26</v>
      </c>
      <c r="B211" s="1" t="s">
        <v>813</v>
      </c>
      <c r="C211" s="1" t="s">
        <v>1275</v>
      </c>
      <c r="D211" s="1">
        <v>2.60031035E8</v>
      </c>
      <c r="E211" s="1" t="s">
        <v>501</v>
      </c>
      <c r="F211" s="1" t="s">
        <v>1276</v>
      </c>
      <c r="G211" s="1" t="s">
        <v>1277</v>
      </c>
      <c r="H211" s="1" t="s">
        <v>1278</v>
      </c>
      <c r="I211" s="1">
        <v>141414.0</v>
      </c>
      <c r="J211" s="1" t="s">
        <v>1279</v>
      </c>
      <c r="K211" s="1" t="s">
        <v>1280</v>
      </c>
      <c r="L211" s="1">
        <v>482.0</v>
      </c>
      <c r="M211" s="1" t="s">
        <v>35</v>
      </c>
      <c r="N211" s="1" t="s">
        <v>36</v>
      </c>
      <c r="O211" s="1" t="s">
        <v>87</v>
      </c>
      <c r="P211" s="1">
        <v>1.23E8</v>
      </c>
      <c r="Q211" s="1">
        <v>2000.0</v>
      </c>
      <c r="R211" s="1">
        <v>1000.0</v>
      </c>
      <c r="S211" s="1">
        <v>722.0</v>
      </c>
      <c r="T211" s="1">
        <v>636.0</v>
      </c>
      <c r="U211" s="1">
        <v>4146.0</v>
      </c>
      <c r="V211" s="1">
        <v>2000.0</v>
      </c>
      <c r="W211" s="1">
        <v>0.0</v>
      </c>
      <c r="X211" s="1">
        <v>0.0</v>
      </c>
      <c r="Y211" s="1">
        <v>1.85</v>
      </c>
      <c r="Z211" s="1">
        <v>6.0</v>
      </c>
    </row>
    <row r="212" ht="14.25" customHeight="1">
      <c r="A212" s="1" t="s">
        <v>26</v>
      </c>
      <c r="B212" s="1" t="s">
        <v>414</v>
      </c>
      <c r="C212" s="1" t="s">
        <v>1281</v>
      </c>
      <c r="D212" s="1">
        <v>1.86739919E8</v>
      </c>
      <c r="E212" s="1" t="s">
        <v>219</v>
      </c>
      <c r="F212" s="1" t="s">
        <v>365</v>
      </c>
      <c r="G212" s="1" t="s">
        <v>522</v>
      </c>
      <c r="H212" s="1" t="s">
        <v>610</v>
      </c>
      <c r="I212" s="1">
        <v>333248.0</v>
      </c>
      <c r="J212" s="1" t="s">
        <v>1282</v>
      </c>
      <c r="K212" s="1" t="s">
        <v>1283</v>
      </c>
      <c r="L212" s="1">
        <v>1159.0</v>
      </c>
      <c r="M212" s="1" t="s">
        <v>35</v>
      </c>
      <c r="N212" s="1" t="s">
        <v>36</v>
      </c>
      <c r="O212" s="1" t="s">
        <v>37</v>
      </c>
      <c r="P212" s="1">
        <v>1.25E8</v>
      </c>
      <c r="Q212" s="1">
        <v>2004.0</v>
      </c>
      <c r="R212" s="1">
        <v>15000.0</v>
      </c>
      <c r="S212" s="1">
        <v>2000.0</v>
      </c>
      <c r="T212" s="1">
        <v>812.0</v>
      </c>
      <c r="U212" s="1">
        <v>20553.0</v>
      </c>
      <c r="V212" s="1">
        <v>776.0</v>
      </c>
      <c r="W212" s="1">
        <v>19000.0</v>
      </c>
      <c r="X212" s="1">
        <v>0.0</v>
      </c>
      <c r="Y212" s="1">
        <v>2.35</v>
      </c>
      <c r="Z212" s="1">
        <v>6.4</v>
      </c>
    </row>
    <row r="213" ht="14.25" customHeight="1">
      <c r="A213" s="1" t="s">
        <v>26</v>
      </c>
      <c r="B213" s="1" t="s">
        <v>1284</v>
      </c>
      <c r="C213" s="1" t="s">
        <v>1285</v>
      </c>
      <c r="D213" s="1">
        <v>2.15397307E8</v>
      </c>
      <c r="E213" s="1" t="s">
        <v>48</v>
      </c>
      <c r="F213" s="1" t="s">
        <v>508</v>
      </c>
      <c r="G213" s="1" t="s">
        <v>1286</v>
      </c>
      <c r="H213" s="1" t="s">
        <v>1011</v>
      </c>
      <c r="I213" s="1">
        <v>242188.0</v>
      </c>
      <c r="J213" s="1" t="s">
        <v>1287</v>
      </c>
      <c r="K213" s="1" t="s">
        <v>1288</v>
      </c>
      <c r="L213" s="1">
        <v>1426.0</v>
      </c>
      <c r="M213" s="1" t="s">
        <v>35</v>
      </c>
      <c r="N213" s="1" t="s">
        <v>36</v>
      </c>
      <c r="O213" s="1" t="s">
        <v>37</v>
      </c>
      <c r="P213" s="1">
        <v>1.25E8</v>
      </c>
      <c r="Q213" s="1">
        <v>2000.0</v>
      </c>
      <c r="R213" s="1">
        <v>10000.0</v>
      </c>
      <c r="S213" s="1">
        <v>794.0</v>
      </c>
      <c r="T213" s="1">
        <v>653.0</v>
      </c>
      <c r="U213" s="1">
        <v>11930.0</v>
      </c>
      <c r="V213" s="1">
        <v>610.0</v>
      </c>
      <c r="W213" s="1">
        <v>0.0</v>
      </c>
      <c r="X213" s="1">
        <v>0.0</v>
      </c>
      <c r="Y213" s="1">
        <v>2.35</v>
      </c>
      <c r="Z213" s="1">
        <v>6.1</v>
      </c>
    </row>
    <row r="214" ht="14.25" customHeight="1">
      <c r="A214" s="1" t="s">
        <v>26</v>
      </c>
      <c r="B214" s="1" t="s">
        <v>673</v>
      </c>
      <c r="C214" s="1" t="s">
        <v>1289</v>
      </c>
      <c r="D214" s="1">
        <v>1.82618434E8</v>
      </c>
      <c r="E214" s="1" t="s">
        <v>675</v>
      </c>
      <c r="F214" s="1" t="s">
        <v>1290</v>
      </c>
      <c r="G214" s="1" t="s">
        <v>1291</v>
      </c>
      <c r="H214" s="1" t="s">
        <v>1292</v>
      </c>
      <c r="I214" s="1">
        <v>133076.0</v>
      </c>
      <c r="J214" s="1" t="s">
        <v>1293</v>
      </c>
      <c r="K214" s="1" t="s">
        <v>1294</v>
      </c>
      <c r="L214" s="1">
        <v>779.0</v>
      </c>
      <c r="M214" s="1" t="s">
        <v>35</v>
      </c>
      <c r="N214" s="1" t="s">
        <v>36</v>
      </c>
      <c r="O214" s="1" t="s">
        <v>37</v>
      </c>
      <c r="P214" s="1">
        <v>1.4E8</v>
      </c>
      <c r="Q214" s="1">
        <v>2000.0</v>
      </c>
      <c r="R214" s="1">
        <v>784.0</v>
      </c>
      <c r="S214" s="1">
        <v>638.0</v>
      </c>
      <c r="T214" s="1">
        <v>461.0</v>
      </c>
      <c r="U214" s="1">
        <v>2684.0</v>
      </c>
      <c r="V214" s="1">
        <v>249.0</v>
      </c>
      <c r="W214" s="1">
        <v>0.0</v>
      </c>
      <c r="X214" s="1">
        <v>0.0</v>
      </c>
      <c r="Y214" s="1">
        <v>2.35</v>
      </c>
      <c r="Z214" s="1">
        <v>6.4</v>
      </c>
    </row>
    <row r="215" ht="14.25" customHeight="1">
      <c r="A215" s="1" t="s">
        <v>26</v>
      </c>
      <c r="B215" s="1" t="s">
        <v>1295</v>
      </c>
      <c r="C215" s="1" t="s">
        <v>1296</v>
      </c>
      <c r="D215" s="1">
        <v>1.31920333E8</v>
      </c>
      <c r="E215" s="1" t="s">
        <v>219</v>
      </c>
      <c r="F215" s="1" t="s">
        <v>214</v>
      </c>
      <c r="G215" s="1" t="s">
        <v>1297</v>
      </c>
      <c r="H215" s="1" t="s">
        <v>677</v>
      </c>
      <c r="I215" s="1">
        <v>213275.0</v>
      </c>
      <c r="J215" s="1" t="s">
        <v>1298</v>
      </c>
      <c r="K215" s="1" t="s">
        <v>1299</v>
      </c>
      <c r="L215" s="1">
        <v>436.0</v>
      </c>
      <c r="M215" s="1" t="s">
        <v>35</v>
      </c>
      <c r="N215" s="1" t="s">
        <v>36</v>
      </c>
      <c r="O215" s="1" t="s">
        <v>87</v>
      </c>
      <c r="P215" s="1">
        <v>1.3E8</v>
      </c>
      <c r="Q215" s="1">
        <v>2007.0</v>
      </c>
      <c r="R215" s="1">
        <v>11000.0</v>
      </c>
      <c r="S215" s="1">
        <v>2000.0</v>
      </c>
      <c r="T215" s="1">
        <v>702.0</v>
      </c>
      <c r="U215" s="1">
        <v>15302.0</v>
      </c>
      <c r="V215" s="1">
        <v>167.0</v>
      </c>
      <c r="W215" s="1">
        <v>0.0</v>
      </c>
      <c r="X215" s="1">
        <v>3.0</v>
      </c>
      <c r="Y215" s="1">
        <v>2.35</v>
      </c>
      <c r="Z215" s="1">
        <v>5.6</v>
      </c>
    </row>
    <row r="216" ht="14.25" customHeight="1">
      <c r="A216" s="1" t="s">
        <v>26</v>
      </c>
      <c r="B216" s="1" t="s">
        <v>1027</v>
      </c>
      <c r="C216" s="1" t="s">
        <v>1300</v>
      </c>
      <c r="D216" s="1">
        <v>1.24976634E8</v>
      </c>
      <c r="E216" s="1" t="s">
        <v>1301</v>
      </c>
      <c r="F216" s="1" t="s">
        <v>1302</v>
      </c>
      <c r="G216" s="1" t="s">
        <v>1085</v>
      </c>
      <c r="H216" s="1" t="s">
        <v>1303</v>
      </c>
      <c r="I216" s="1">
        <v>440084.0</v>
      </c>
      <c r="J216" s="1" t="s">
        <v>1304</v>
      </c>
      <c r="K216" s="1" t="s">
        <v>1305</v>
      </c>
      <c r="L216" s="1">
        <v>755.0</v>
      </c>
      <c r="M216" s="1" t="s">
        <v>35</v>
      </c>
      <c r="N216" s="1" t="s">
        <v>36</v>
      </c>
      <c r="O216" s="1" t="s">
        <v>87</v>
      </c>
      <c r="P216" s="1">
        <v>1.2E8</v>
      </c>
      <c r="Q216" s="1">
        <v>2012.0</v>
      </c>
      <c r="R216" s="1">
        <v>774.0</v>
      </c>
      <c r="S216" s="1">
        <v>358.0</v>
      </c>
      <c r="T216" s="1">
        <v>341.0</v>
      </c>
      <c r="U216" s="1">
        <v>2121.0</v>
      </c>
      <c r="V216" s="1">
        <v>0.0</v>
      </c>
      <c r="W216" s="1">
        <v>122000.0</v>
      </c>
      <c r="X216" s="1">
        <v>0.0</v>
      </c>
      <c r="Y216" s="1">
        <v>1.85</v>
      </c>
      <c r="Z216" s="1">
        <v>8.0</v>
      </c>
    </row>
    <row r="217" ht="14.25" customHeight="1">
      <c r="A217" s="1" t="s">
        <v>26</v>
      </c>
      <c r="B217" s="1" t="s">
        <v>1306</v>
      </c>
      <c r="C217" s="1" t="s">
        <v>1307</v>
      </c>
      <c r="D217" s="1">
        <v>1.15802596E8</v>
      </c>
      <c r="E217" s="1" t="s">
        <v>1308</v>
      </c>
      <c r="F217" s="1" t="s">
        <v>668</v>
      </c>
      <c r="G217" s="1" t="s">
        <v>1309</v>
      </c>
      <c r="H217" s="1" t="s">
        <v>1310</v>
      </c>
      <c r="I217" s="1">
        <v>182661.0</v>
      </c>
      <c r="J217" s="1" t="s">
        <v>1311</v>
      </c>
      <c r="K217" s="1" t="s">
        <v>1312</v>
      </c>
      <c r="L217" s="1">
        <v>681.0</v>
      </c>
      <c r="M217" s="1" t="s">
        <v>35</v>
      </c>
      <c r="N217" s="1" t="s">
        <v>36</v>
      </c>
      <c r="O217" s="1" t="s">
        <v>37</v>
      </c>
      <c r="P217" s="1">
        <v>1.1E8</v>
      </c>
      <c r="Q217" s="1">
        <v>2007.0</v>
      </c>
      <c r="R217" s="1">
        <v>12000.0</v>
      </c>
      <c r="S217" s="1">
        <v>701.0</v>
      </c>
      <c r="T217" s="1">
        <v>402.0</v>
      </c>
      <c r="U217" s="1">
        <v>14017.0</v>
      </c>
      <c r="V217" s="1">
        <v>160.0</v>
      </c>
      <c r="W217" s="1">
        <v>0.0</v>
      </c>
      <c r="X217" s="1">
        <v>1.0</v>
      </c>
      <c r="Y217" s="1">
        <v>2.35</v>
      </c>
      <c r="Z217" s="1">
        <v>5.2</v>
      </c>
    </row>
    <row r="218" ht="14.25" customHeight="1">
      <c r="A218" s="1" t="s">
        <v>26</v>
      </c>
      <c r="B218" s="1" t="s">
        <v>1110</v>
      </c>
      <c r="C218" s="1" t="s">
        <v>1313</v>
      </c>
      <c r="D218" s="1">
        <v>1.08521835E8</v>
      </c>
      <c r="E218" s="1" t="s">
        <v>57</v>
      </c>
      <c r="F218" s="1" t="s">
        <v>1113</v>
      </c>
      <c r="G218" s="1" t="s">
        <v>1314</v>
      </c>
      <c r="H218" s="1" t="s">
        <v>1315</v>
      </c>
      <c r="I218" s="1">
        <v>40123.0</v>
      </c>
      <c r="J218" s="1" t="s">
        <v>1316</v>
      </c>
      <c r="K218" s="1" t="s">
        <v>1317</v>
      </c>
      <c r="L218" s="1">
        <v>297.0</v>
      </c>
      <c r="M218" s="1" t="s">
        <v>35</v>
      </c>
      <c r="N218" s="1" t="s">
        <v>54</v>
      </c>
      <c r="O218" s="1" t="s">
        <v>37</v>
      </c>
      <c r="P218" s="1">
        <v>1.2E8</v>
      </c>
      <c r="Q218" s="1">
        <v>2016.0</v>
      </c>
      <c r="R218" s="1">
        <v>13000.0</v>
      </c>
      <c r="S218" s="1">
        <v>365.0</v>
      </c>
      <c r="T218" s="1">
        <v>265.0</v>
      </c>
      <c r="U218" s="1">
        <v>13752.0</v>
      </c>
      <c r="V218" s="1">
        <v>521.0</v>
      </c>
      <c r="W218" s="1">
        <v>31000.0</v>
      </c>
      <c r="X218" s="1">
        <v>0.0</v>
      </c>
      <c r="Y218" s="1">
        <v>2.35</v>
      </c>
      <c r="Z218" s="1">
        <v>7.1</v>
      </c>
    </row>
    <row r="219" ht="14.25" customHeight="1">
      <c r="A219" s="1" t="s">
        <v>26</v>
      </c>
      <c r="B219" s="1" t="s">
        <v>319</v>
      </c>
      <c r="C219" s="1" t="s">
        <v>1318</v>
      </c>
      <c r="D219" s="1">
        <v>1.0068588E8</v>
      </c>
      <c r="E219" s="1" t="s">
        <v>1319</v>
      </c>
      <c r="F219" s="1" t="s">
        <v>1320</v>
      </c>
      <c r="G219" s="1" t="s">
        <v>767</v>
      </c>
      <c r="H219" s="1" t="s">
        <v>1321</v>
      </c>
      <c r="I219" s="1">
        <v>100821.0</v>
      </c>
      <c r="J219" s="1" t="s">
        <v>1322</v>
      </c>
      <c r="K219" s="1" t="s">
        <v>1323</v>
      </c>
      <c r="L219" s="1">
        <v>554.0</v>
      </c>
      <c r="M219" s="1" t="s">
        <v>35</v>
      </c>
      <c r="N219" s="1" t="s">
        <v>36</v>
      </c>
      <c r="O219" s="1" t="s">
        <v>37</v>
      </c>
      <c r="P219" s="1">
        <v>1.2E8</v>
      </c>
      <c r="Q219" s="1">
        <v>2003.0</v>
      </c>
      <c r="R219" s="1">
        <v>2000.0</v>
      </c>
      <c r="S219" s="1">
        <v>1000.0</v>
      </c>
      <c r="T219" s="1">
        <v>1000.0</v>
      </c>
      <c r="U219" s="1">
        <v>4046.0</v>
      </c>
      <c r="V219" s="1">
        <v>368.0</v>
      </c>
      <c r="W219" s="1">
        <v>0.0</v>
      </c>
      <c r="X219" s="1">
        <v>0.0</v>
      </c>
      <c r="Y219" s="1">
        <v>2.35</v>
      </c>
      <c r="Z219" s="1">
        <v>4.8</v>
      </c>
    </row>
    <row r="220" ht="14.25" customHeight="1">
      <c r="A220" s="1" t="s">
        <v>26</v>
      </c>
      <c r="B220" s="1" t="s">
        <v>179</v>
      </c>
      <c r="C220" s="1" t="s">
        <v>1324</v>
      </c>
      <c r="D220" s="1">
        <v>1.26464904E8</v>
      </c>
      <c r="E220" s="1" t="s">
        <v>1325</v>
      </c>
      <c r="F220" s="1" t="s">
        <v>444</v>
      </c>
      <c r="G220" s="1" t="s">
        <v>741</v>
      </c>
      <c r="H220" s="1" t="s">
        <v>852</v>
      </c>
      <c r="I220" s="1">
        <v>456260.0</v>
      </c>
      <c r="J220" s="1" t="s">
        <v>1326</v>
      </c>
      <c r="K220" s="1" t="s">
        <v>1327</v>
      </c>
      <c r="L220" s="1">
        <v>2326.0</v>
      </c>
      <c r="M220" s="1" t="s">
        <v>35</v>
      </c>
      <c r="N220" s="1" t="s">
        <v>36</v>
      </c>
      <c r="O220" s="1" t="s">
        <v>628</v>
      </c>
      <c r="P220" s="1">
        <v>1.3E8</v>
      </c>
      <c r="Q220" s="1">
        <v>2012.0</v>
      </c>
      <c r="R220" s="1">
        <v>13000.0</v>
      </c>
      <c r="S220" s="1">
        <v>9000.0</v>
      </c>
      <c r="T220" s="1">
        <v>641.0</v>
      </c>
      <c r="U220" s="1">
        <v>24098.0</v>
      </c>
      <c r="V220" s="1">
        <v>0.0</v>
      </c>
      <c r="W220" s="1">
        <v>97000.0</v>
      </c>
      <c r="X220" s="1">
        <v>0.0</v>
      </c>
      <c r="Y220" s="1">
        <v>2.35</v>
      </c>
      <c r="Z220" s="1">
        <v>7.0</v>
      </c>
    </row>
    <row r="221" ht="14.25" customHeight="1">
      <c r="A221" s="1" t="s">
        <v>26</v>
      </c>
      <c r="B221" s="1" t="s">
        <v>909</v>
      </c>
      <c r="C221" s="1" t="s">
        <v>1328</v>
      </c>
      <c r="D221" s="1">
        <v>6.4736114E7</v>
      </c>
      <c r="E221" s="1" t="s">
        <v>263</v>
      </c>
      <c r="F221" s="1" t="s">
        <v>1329</v>
      </c>
      <c r="G221" s="1" t="s">
        <v>82</v>
      </c>
      <c r="H221" s="1" t="s">
        <v>1330</v>
      </c>
      <c r="I221" s="1">
        <v>36471.0</v>
      </c>
      <c r="J221" s="1" t="s">
        <v>1331</v>
      </c>
      <c r="K221" s="1" t="s">
        <v>1332</v>
      </c>
      <c r="L221" s="1">
        <v>69.0</v>
      </c>
      <c r="M221" s="1" t="s">
        <v>35</v>
      </c>
      <c r="N221" s="1" t="s">
        <v>36</v>
      </c>
      <c r="O221" s="1" t="s">
        <v>87</v>
      </c>
      <c r="P221" s="1">
        <v>1.2E8</v>
      </c>
      <c r="Q221" s="1">
        <v>2002.0</v>
      </c>
      <c r="R221" s="1">
        <v>886.0</v>
      </c>
      <c r="S221" s="1">
        <v>799.0</v>
      </c>
      <c r="T221" s="1">
        <v>537.0</v>
      </c>
      <c r="U221" s="1">
        <v>2682.0</v>
      </c>
      <c r="V221" s="1">
        <v>50.0</v>
      </c>
      <c r="W221" s="1">
        <v>459.0</v>
      </c>
      <c r="X221" s="1">
        <v>0.0</v>
      </c>
      <c r="Y221" s="1">
        <v>1.85</v>
      </c>
      <c r="Z221" s="1">
        <v>5.4</v>
      </c>
    </row>
    <row r="222" ht="14.25" customHeight="1">
      <c r="A222" s="1" t="s">
        <v>26</v>
      </c>
      <c r="B222" s="1" t="s">
        <v>1333</v>
      </c>
      <c r="C222" s="1" t="s">
        <v>1334</v>
      </c>
      <c r="D222" s="1">
        <v>9.3050117E7</v>
      </c>
      <c r="E222" s="1" t="s">
        <v>1335</v>
      </c>
      <c r="F222" s="1" t="s">
        <v>1113</v>
      </c>
      <c r="G222" s="1" t="s">
        <v>551</v>
      </c>
      <c r="H222" s="1" t="s">
        <v>746</v>
      </c>
      <c r="I222" s="1">
        <v>338087.0</v>
      </c>
      <c r="J222" s="1" t="s">
        <v>1336</v>
      </c>
      <c r="K222" s="1" t="s">
        <v>1337</v>
      </c>
      <c r="L222" s="1">
        <v>814.0</v>
      </c>
      <c r="M222" s="1" t="s">
        <v>35</v>
      </c>
      <c r="N222" s="1" t="s">
        <v>36</v>
      </c>
      <c r="O222" s="1" t="s">
        <v>628</v>
      </c>
      <c r="P222" s="1">
        <v>1.15E8</v>
      </c>
      <c r="Q222" s="1">
        <v>2013.0</v>
      </c>
      <c r="R222" s="1">
        <v>13000.0</v>
      </c>
      <c r="S222" s="1">
        <v>2000.0</v>
      </c>
      <c r="T222" s="1">
        <v>1000.0</v>
      </c>
      <c r="U222" s="1">
        <v>17689.0</v>
      </c>
      <c r="V222" s="1">
        <v>662.0</v>
      </c>
      <c r="W222" s="1">
        <v>61000.0</v>
      </c>
      <c r="X222" s="1">
        <v>0.0</v>
      </c>
      <c r="Y222" s="1">
        <v>2.35</v>
      </c>
      <c r="Z222" s="1">
        <v>6.6</v>
      </c>
    </row>
    <row r="223" ht="14.25" customHeight="1">
      <c r="A223" s="1" t="s">
        <v>26</v>
      </c>
      <c r="B223" s="1" t="s">
        <v>1338</v>
      </c>
      <c r="C223" s="1" t="s">
        <v>1339</v>
      </c>
      <c r="D223" s="1">
        <v>5.7637485E7</v>
      </c>
      <c r="E223" s="1" t="s">
        <v>219</v>
      </c>
      <c r="F223" s="1" t="s">
        <v>329</v>
      </c>
      <c r="G223" s="1" t="s">
        <v>1245</v>
      </c>
      <c r="H223" s="1" t="s">
        <v>1340</v>
      </c>
      <c r="I223" s="1">
        <v>183909.0</v>
      </c>
      <c r="J223" s="1" t="s">
        <v>1341</v>
      </c>
      <c r="K223" s="1" t="s">
        <v>1342</v>
      </c>
      <c r="L223" s="1">
        <v>666.0</v>
      </c>
      <c r="M223" s="1" t="s">
        <v>35</v>
      </c>
      <c r="N223" s="1" t="s">
        <v>36</v>
      </c>
      <c r="O223" s="1" t="s">
        <v>37</v>
      </c>
      <c r="P223" s="1">
        <v>1.05E8</v>
      </c>
      <c r="Q223" s="1">
        <v>2004.0</v>
      </c>
      <c r="R223" s="1">
        <v>14000.0</v>
      </c>
      <c r="S223" s="1">
        <v>850.0</v>
      </c>
      <c r="T223" s="1">
        <v>567.0</v>
      </c>
      <c r="U223" s="1">
        <v>17159.0</v>
      </c>
      <c r="V223" s="1">
        <v>123.0</v>
      </c>
      <c r="W223" s="1">
        <v>0.0</v>
      </c>
      <c r="X223" s="1">
        <v>0.0</v>
      </c>
      <c r="Y223" s="1">
        <v>2.35</v>
      </c>
      <c r="Z223" s="1">
        <v>6.7</v>
      </c>
    </row>
    <row r="224" ht="14.25" customHeight="1">
      <c r="A224" s="1" t="s">
        <v>26</v>
      </c>
      <c r="B224" s="1" t="s">
        <v>1343</v>
      </c>
      <c r="C224" s="1" t="s">
        <v>1344</v>
      </c>
      <c r="D224" s="1">
        <v>5.8607007E7</v>
      </c>
      <c r="E224" s="1" t="s">
        <v>1345</v>
      </c>
      <c r="F224" s="1" t="s">
        <v>425</v>
      </c>
      <c r="G224" s="1" t="s">
        <v>1346</v>
      </c>
      <c r="H224" s="1" t="s">
        <v>1347</v>
      </c>
      <c r="I224" s="1">
        <v>182899.0</v>
      </c>
      <c r="J224" s="1" t="s">
        <v>1348</v>
      </c>
      <c r="K224" s="1" t="s">
        <v>1349</v>
      </c>
      <c r="L224" s="1">
        <v>630.0</v>
      </c>
      <c r="M224" s="1" t="s">
        <v>35</v>
      </c>
      <c r="N224" s="1" t="s">
        <v>36</v>
      </c>
      <c r="O224" s="1" t="s">
        <v>37</v>
      </c>
      <c r="P224" s="1">
        <v>1.0E8</v>
      </c>
      <c r="Q224" s="1">
        <v>2014.0</v>
      </c>
      <c r="R224" s="1">
        <v>10000.0</v>
      </c>
      <c r="S224" s="1">
        <v>2000.0</v>
      </c>
      <c r="T224" s="1">
        <v>1000.0</v>
      </c>
      <c r="U224" s="1">
        <v>14161.0</v>
      </c>
      <c r="V224" s="1">
        <v>294.0</v>
      </c>
      <c r="W224" s="1">
        <v>60000.0</v>
      </c>
      <c r="X224" s="1">
        <v>0.0</v>
      </c>
      <c r="Y224" s="1">
        <v>2.35</v>
      </c>
      <c r="Z224" s="1">
        <v>6.2</v>
      </c>
    </row>
    <row r="225" ht="14.25" customHeight="1">
      <c r="A225" s="1" t="s">
        <v>26</v>
      </c>
      <c r="B225" s="1" t="s">
        <v>428</v>
      </c>
      <c r="C225" s="1" t="s">
        <v>1350</v>
      </c>
      <c r="D225" s="1">
        <v>4.3929341E7</v>
      </c>
      <c r="E225" s="1" t="s">
        <v>1351</v>
      </c>
      <c r="F225" s="1" t="s">
        <v>1352</v>
      </c>
      <c r="G225" s="1" t="s">
        <v>1353</v>
      </c>
      <c r="H225" s="1" t="s">
        <v>1354</v>
      </c>
      <c r="I225" s="1">
        <v>57873.0</v>
      </c>
      <c r="J225" s="1" t="s">
        <v>1355</v>
      </c>
      <c r="K225" s="1" t="s">
        <v>1356</v>
      </c>
      <c r="L225" s="1">
        <v>414.0</v>
      </c>
      <c r="M225" s="1" t="s">
        <v>35</v>
      </c>
      <c r="N225" s="1" t="s">
        <v>36</v>
      </c>
      <c r="O225" s="1" t="s">
        <v>87</v>
      </c>
      <c r="P225" s="1">
        <v>1.2E8</v>
      </c>
      <c r="Q225" s="1">
        <v>2008.0</v>
      </c>
      <c r="R225" s="1">
        <v>690.0</v>
      </c>
      <c r="S225" s="1">
        <v>107.0</v>
      </c>
      <c r="T225" s="1">
        <v>87.0</v>
      </c>
      <c r="U225" s="1">
        <v>902.0</v>
      </c>
      <c r="V225" s="1">
        <v>0.0</v>
      </c>
      <c r="W225" s="1">
        <v>0.0</v>
      </c>
      <c r="X225" s="1">
        <v>0.0</v>
      </c>
      <c r="Y225" s="1">
        <v>2.35</v>
      </c>
      <c r="Z225" s="1">
        <v>6.1</v>
      </c>
    </row>
    <row r="226" ht="14.25" customHeight="1">
      <c r="A226" s="1" t="s">
        <v>26</v>
      </c>
      <c r="B226" s="1" t="s">
        <v>1357</v>
      </c>
      <c r="C226" s="1" t="s">
        <v>1358</v>
      </c>
      <c r="D226" s="1">
        <v>3.021262E7</v>
      </c>
      <c r="E226" s="1" t="s">
        <v>1359</v>
      </c>
      <c r="F226" s="1" t="s">
        <v>1360</v>
      </c>
      <c r="G226" s="1" t="s">
        <v>1361</v>
      </c>
      <c r="H226" s="1" t="s">
        <v>1362</v>
      </c>
      <c r="I226" s="1">
        <v>35066.0</v>
      </c>
      <c r="J226" s="1" t="s">
        <v>1363</v>
      </c>
      <c r="K226" s="1" t="s">
        <v>1364</v>
      </c>
      <c r="L226" s="1">
        <v>196.0</v>
      </c>
      <c r="M226" s="1" t="s">
        <v>35</v>
      </c>
      <c r="N226" s="1" t="s">
        <v>36</v>
      </c>
      <c r="O226" s="1" t="s">
        <v>37</v>
      </c>
      <c r="P226" s="1">
        <v>1.2E8</v>
      </c>
      <c r="Q226" s="1">
        <v>2010.0</v>
      </c>
      <c r="R226" s="1">
        <v>273.0</v>
      </c>
      <c r="S226" s="1">
        <v>216.0</v>
      </c>
      <c r="T226" s="1">
        <v>157.0</v>
      </c>
      <c r="U226" s="1">
        <v>993.0</v>
      </c>
      <c r="V226" s="1">
        <v>274.0</v>
      </c>
      <c r="W226" s="1">
        <v>0.0</v>
      </c>
      <c r="X226" s="1">
        <v>4.0</v>
      </c>
      <c r="Y226" s="1">
        <v>1.85</v>
      </c>
      <c r="Z226" s="1">
        <v>5.3</v>
      </c>
    </row>
    <row r="227" ht="14.25" customHeight="1">
      <c r="A227" s="1" t="s">
        <v>26</v>
      </c>
      <c r="B227" s="1" t="s">
        <v>1365</v>
      </c>
      <c r="C227" s="1" t="s">
        <v>1366</v>
      </c>
      <c r="D227" s="1">
        <v>7.6418654E7</v>
      </c>
      <c r="E227" s="1" t="s">
        <v>1367</v>
      </c>
      <c r="F227" s="1" t="s">
        <v>508</v>
      </c>
      <c r="G227" s="1" t="s">
        <v>1368</v>
      </c>
      <c r="H227" s="1" t="s">
        <v>1145</v>
      </c>
      <c r="I227" s="1">
        <v>148280.0</v>
      </c>
      <c r="J227" s="1" t="s">
        <v>1369</v>
      </c>
      <c r="K227" s="1" t="s">
        <v>1370</v>
      </c>
      <c r="L227" s="1">
        <v>348.0</v>
      </c>
      <c r="M227" s="1" t="s">
        <v>35</v>
      </c>
      <c r="N227" s="1" t="s">
        <v>36</v>
      </c>
      <c r="O227" s="1" t="s">
        <v>37</v>
      </c>
      <c r="P227" s="1">
        <v>1.17E8</v>
      </c>
      <c r="Q227" s="1">
        <v>2010.0</v>
      </c>
      <c r="R227" s="1">
        <v>10000.0</v>
      </c>
      <c r="S227" s="1">
        <v>973.0</v>
      </c>
      <c r="T227" s="1">
        <v>877.0</v>
      </c>
      <c r="U227" s="1">
        <v>12731.0</v>
      </c>
      <c r="V227" s="1">
        <v>446.0</v>
      </c>
      <c r="W227" s="1">
        <v>11000.0</v>
      </c>
      <c r="X227" s="1">
        <v>0.0</v>
      </c>
      <c r="Y227" s="1">
        <v>2.35</v>
      </c>
      <c r="Z227" s="1">
        <v>6.3</v>
      </c>
    </row>
    <row r="228" ht="14.25" customHeight="1">
      <c r="A228" s="1" t="s">
        <v>26</v>
      </c>
      <c r="B228" s="1" t="s">
        <v>291</v>
      </c>
      <c r="C228" s="1" t="s">
        <v>1371</v>
      </c>
      <c r="D228" s="1">
        <v>8.9021735E7</v>
      </c>
      <c r="E228" s="1" t="s">
        <v>1372</v>
      </c>
      <c r="F228" s="1" t="s">
        <v>451</v>
      </c>
      <c r="G228" s="1" t="s">
        <v>508</v>
      </c>
      <c r="H228" s="1" t="s">
        <v>1373</v>
      </c>
      <c r="I228" s="1">
        <v>387436.0</v>
      </c>
      <c r="J228" s="1" t="s">
        <v>1374</v>
      </c>
      <c r="K228" s="1" t="s">
        <v>1375</v>
      </c>
      <c r="L228" s="1">
        <v>892.0</v>
      </c>
      <c r="M228" s="1" t="s">
        <v>35</v>
      </c>
      <c r="N228" s="1" t="s">
        <v>36</v>
      </c>
      <c r="O228" s="1" t="s">
        <v>37</v>
      </c>
      <c r="P228" s="1">
        <v>1.2E8</v>
      </c>
      <c r="Q228" s="1">
        <v>2013.0</v>
      </c>
      <c r="R228" s="1">
        <v>11000.0</v>
      </c>
      <c r="S228" s="1">
        <v>10000.0</v>
      </c>
      <c r="T228" s="1">
        <v>1000.0</v>
      </c>
      <c r="U228" s="1">
        <v>22004.0</v>
      </c>
      <c r="V228" s="1">
        <v>364.0</v>
      </c>
      <c r="W228" s="1">
        <v>71000.0</v>
      </c>
      <c r="X228" s="1">
        <v>0.0</v>
      </c>
      <c r="Y228" s="1">
        <v>2.35</v>
      </c>
      <c r="Z228" s="1">
        <v>7.0</v>
      </c>
    </row>
    <row r="229" ht="14.25" customHeight="1">
      <c r="A229" s="1" t="s">
        <v>26</v>
      </c>
      <c r="B229" s="1" t="s">
        <v>1376</v>
      </c>
      <c r="C229" s="1" t="s">
        <v>1377</v>
      </c>
      <c r="D229" s="1">
        <v>3.80262555E8</v>
      </c>
      <c r="E229" s="1" t="s">
        <v>29</v>
      </c>
      <c r="F229" s="1" t="s">
        <v>805</v>
      </c>
      <c r="G229" s="1" t="s">
        <v>193</v>
      </c>
      <c r="H229" s="1" t="s">
        <v>1378</v>
      </c>
      <c r="I229" s="1">
        <v>520104.0</v>
      </c>
      <c r="J229" s="1" t="s">
        <v>1379</v>
      </c>
      <c r="K229" s="1" t="s">
        <v>1380</v>
      </c>
      <c r="L229" s="1">
        <v>3286.0</v>
      </c>
      <c r="M229" s="1" t="s">
        <v>35</v>
      </c>
      <c r="N229" s="1" t="s">
        <v>36</v>
      </c>
      <c r="O229" s="1" t="s">
        <v>37</v>
      </c>
      <c r="P229" s="1">
        <v>1.13E8</v>
      </c>
      <c r="Q229" s="1">
        <v>2005.0</v>
      </c>
      <c r="R229" s="1">
        <v>20000.0</v>
      </c>
      <c r="S229" s="1">
        <v>16000.0</v>
      </c>
      <c r="T229" s="1">
        <v>4000.0</v>
      </c>
      <c r="U229" s="1">
        <v>44042.0</v>
      </c>
      <c r="V229" s="1">
        <v>0.0</v>
      </c>
      <c r="W229" s="1">
        <v>10000.0</v>
      </c>
      <c r="X229" s="1">
        <v>4.0</v>
      </c>
      <c r="Y229" s="1">
        <v>2.35</v>
      </c>
      <c r="Z229" s="1">
        <v>7.6</v>
      </c>
    </row>
    <row r="230" ht="14.25" customHeight="1">
      <c r="A230" s="1" t="s">
        <v>26</v>
      </c>
      <c r="B230" s="1" t="s">
        <v>1376</v>
      </c>
      <c r="C230" s="1" t="s">
        <v>1381</v>
      </c>
      <c r="D230" s="1">
        <v>3.10675583E8</v>
      </c>
      <c r="E230" s="1" t="s">
        <v>29</v>
      </c>
      <c r="F230" s="1" t="s">
        <v>805</v>
      </c>
      <c r="G230" s="1" t="s">
        <v>193</v>
      </c>
      <c r="H230" s="1" t="s">
        <v>1378</v>
      </c>
      <c r="I230" s="1">
        <v>464310.0</v>
      </c>
      <c r="J230" s="1" t="s">
        <v>1382</v>
      </c>
      <c r="K230" s="1" t="s">
        <v>1383</v>
      </c>
      <c r="L230" s="1">
        <v>3516.0</v>
      </c>
      <c r="M230" s="1" t="s">
        <v>35</v>
      </c>
      <c r="N230" s="1" t="s">
        <v>36</v>
      </c>
      <c r="O230" s="1" t="s">
        <v>87</v>
      </c>
      <c r="P230" s="1">
        <v>1.15E8</v>
      </c>
      <c r="Q230" s="1">
        <v>2002.0</v>
      </c>
      <c r="R230" s="1">
        <v>20000.0</v>
      </c>
      <c r="S230" s="1">
        <v>16000.0</v>
      </c>
      <c r="T230" s="1">
        <v>4000.0</v>
      </c>
      <c r="U230" s="1">
        <v>42990.0</v>
      </c>
      <c r="V230" s="1">
        <v>0.0</v>
      </c>
      <c r="W230" s="1">
        <v>0.0</v>
      </c>
      <c r="X230" s="1">
        <v>3.0</v>
      </c>
      <c r="Y230" s="1">
        <v>1.78</v>
      </c>
      <c r="Z230" s="1">
        <v>6.7</v>
      </c>
    </row>
    <row r="231" ht="14.25" customHeight="1">
      <c r="A231" s="1" t="s">
        <v>26</v>
      </c>
      <c r="B231" s="1" t="s">
        <v>454</v>
      </c>
      <c r="C231" s="1" t="s">
        <v>1384</v>
      </c>
      <c r="D231" s="1">
        <v>2.89907418E8</v>
      </c>
      <c r="E231" s="1" t="s">
        <v>263</v>
      </c>
      <c r="F231" s="1" t="s">
        <v>264</v>
      </c>
      <c r="G231" s="1" t="s">
        <v>315</v>
      </c>
      <c r="H231" s="1" t="s">
        <v>1385</v>
      </c>
      <c r="I231" s="1">
        <v>585659.0</v>
      </c>
      <c r="J231" s="1" t="s">
        <v>1386</v>
      </c>
      <c r="K231" s="1" t="s">
        <v>1387</v>
      </c>
      <c r="L231" s="1">
        <v>593.0</v>
      </c>
      <c r="M231" s="1" t="s">
        <v>35</v>
      </c>
      <c r="N231" s="1" t="s">
        <v>36</v>
      </c>
      <c r="O231" s="1" t="s">
        <v>269</v>
      </c>
      <c r="P231" s="1">
        <v>1.15E8</v>
      </c>
      <c r="Q231" s="1">
        <v>2001.0</v>
      </c>
      <c r="R231" s="1">
        <v>12000.0</v>
      </c>
      <c r="S231" s="1">
        <v>1000.0</v>
      </c>
      <c r="T231" s="1">
        <v>773.0</v>
      </c>
      <c r="U231" s="1">
        <v>15013.0</v>
      </c>
      <c r="V231" s="1">
        <v>0.0</v>
      </c>
      <c r="W231" s="1">
        <v>0.0</v>
      </c>
      <c r="X231" s="1">
        <v>0.0</v>
      </c>
      <c r="Y231" s="1">
        <v>1.85</v>
      </c>
      <c r="Z231" s="1">
        <v>8.1</v>
      </c>
    </row>
    <row r="232" ht="14.25" customHeight="1">
      <c r="A232" s="1" t="s">
        <v>26</v>
      </c>
      <c r="B232" s="1" t="s">
        <v>1365</v>
      </c>
      <c r="C232" s="1" t="s">
        <v>1388</v>
      </c>
      <c r="D232" s="1">
        <v>1.3255096E8</v>
      </c>
      <c r="E232" s="1" t="s">
        <v>219</v>
      </c>
      <c r="F232" s="1" t="s">
        <v>255</v>
      </c>
      <c r="G232" s="1" t="s">
        <v>1389</v>
      </c>
      <c r="H232" s="1" t="s">
        <v>1390</v>
      </c>
      <c r="I232" s="1">
        <v>328067.0</v>
      </c>
      <c r="J232" s="1" t="s">
        <v>1391</v>
      </c>
      <c r="K232" s="1" t="s">
        <v>1392</v>
      </c>
      <c r="L232" s="1">
        <v>533.0</v>
      </c>
      <c r="M232" s="1" t="s">
        <v>35</v>
      </c>
      <c r="N232" s="1" t="s">
        <v>36</v>
      </c>
      <c r="O232" s="1" t="s">
        <v>37</v>
      </c>
      <c r="P232" s="1">
        <v>1.2E8</v>
      </c>
      <c r="Q232" s="1">
        <v>2013.0</v>
      </c>
      <c r="R232" s="1">
        <v>20000.0</v>
      </c>
      <c r="S232" s="1">
        <v>992.0</v>
      </c>
      <c r="T232" s="1">
        <v>929.0</v>
      </c>
      <c r="U232" s="1">
        <v>23755.0</v>
      </c>
      <c r="V232" s="1">
        <v>446.0</v>
      </c>
      <c r="W232" s="1">
        <v>68000.0</v>
      </c>
      <c r="X232" s="1">
        <v>1.0</v>
      </c>
      <c r="Y232" s="1">
        <v>2.35</v>
      </c>
      <c r="Z232" s="1">
        <v>6.7</v>
      </c>
    </row>
    <row r="233" ht="14.25" customHeight="1">
      <c r="A233" s="1" t="s">
        <v>26</v>
      </c>
      <c r="B233" s="1" t="s">
        <v>1376</v>
      </c>
      <c r="C233" s="1" t="s">
        <v>1393</v>
      </c>
      <c r="D233" s="1">
        <v>4.74544677E8</v>
      </c>
      <c r="E233" s="1" t="s">
        <v>29</v>
      </c>
      <c r="F233" s="1" t="s">
        <v>805</v>
      </c>
      <c r="G233" s="1" t="s">
        <v>220</v>
      </c>
      <c r="H233" s="1" t="s">
        <v>1394</v>
      </c>
      <c r="I233" s="1">
        <v>534658.0</v>
      </c>
      <c r="J233" s="1" t="s">
        <v>1395</v>
      </c>
      <c r="K233" s="1" t="s">
        <v>1396</v>
      </c>
      <c r="L233" s="1">
        <v>3597.0</v>
      </c>
      <c r="M233" s="1" t="s">
        <v>35</v>
      </c>
      <c r="N233" s="1" t="s">
        <v>36</v>
      </c>
      <c r="O233" s="1" t="s">
        <v>87</v>
      </c>
      <c r="P233" s="1">
        <v>1.15E8</v>
      </c>
      <c r="Q233" s="1">
        <v>1999.0</v>
      </c>
      <c r="R233" s="1">
        <v>20000.0</v>
      </c>
      <c r="S233" s="1">
        <v>14000.0</v>
      </c>
      <c r="T233" s="1">
        <v>1000.0</v>
      </c>
      <c r="U233" s="1">
        <v>37723.0</v>
      </c>
      <c r="V233" s="1">
        <v>0.0</v>
      </c>
      <c r="W233" s="1">
        <v>13000.0</v>
      </c>
      <c r="X233" s="1">
        <v>1.0</v>
      </c>
      <c r="Y233" s="1">
        <v>2.35</v>
      </c>
      <c r="Z233" s="1">
        <v>6.5</v>
      </c>
    </row>
    <row r="234" ht="14.25" customHeight="1">
      <c r="A234" s="1" t="s">
        <v>26</v>
      </c>
      <c r="B234" s="1" t="s">
        <v>1397</v>
      </c>
      <c r="C234" s="1" t="s">
        <v>1398</v>
      </c>
      <c r="D234" s="1">
        <v>1.87165546E8</v>
      </c>
      <c r="E234" s="1" t="s">
        <v>263</v>
      </c>
      <c r="F234" s="1" t="s">
        <v>307</v>
      </c>
      <c r="G234" s="1" t="s">
        <v>174</v>
      </c>
      <c r="H234" s="1" t="s">
        <v>668</v>
      </c>
      <c r="I234" s="1">
        <v>150618.0</v>
      </c>
      <c r="J234" s="1" t="s">
        <v>1399</v>
      </c>
      <c r="K234" s="1" t="s">
        <v>1400</v>
      </c>
      <c r="L234" s="1">
        <v>195.0</v>
      </c>
      <c r="M234" s="1" t="s">
        <v>35</v>
      </c>
      <c r="N234" s="1" t="s">
        <v>36</v>
      </c>
      <c r="O234" s="1" t="s">
        <v>87</v>
      </c>
      <c r="P234" s="1">
        <v>1.35E8</v>
      </c>
      <c r="Q234" s="1">
        <v>2013.0</v>
      </c>
      <c r="R234" s="1">
        <v>16000.0</v>
      </c>
      <c r="S234" s="1">
        <v>15000.0</v>
      </c>
      <c r="T234" s="1">
        <v>12000.0</v>
      </c>
      <c r="U234" s="1">
        <v>43286.0</v>
      </c>
      <c r="V234" s="1">
        <v>16.0</v>
      </c>
      <c r="W234" s="1">
        <v>28000.0</v>
      </c>
      <c r="X234" s="1">
        <v>3.0</v>
      </c>
      <c r="Y234" s="1">
        <v>2.35</v>
      </c>
      <c r="Z234" s="1">
        <v>7.3</v>
      </c>
    </row>
    <row r="235" ht="14.25" customHeight="1">
      <c r="A235" s="1" t="s">
        <v>26</v>
      </c>
      <c r="B235" s="1" t="s">
        <v>1284</v>
      </c>
      <c r="C235" s="1" t="s">
        <v>1401</v>
      </c>
      <c r="D235" s="1">
        <v>4.091183E7</v>
      </c>
      <c r="E235" s="1" t="s">
        <v>1402</v>
      </c>
      <c r="F235" s="1" t="s">
        <v>668</v>
      </c>
      <c r="G235" s="1" t="s">
        <v>1403</v>
      </c>
      <c r="H235" s="1" t="s">
        <v>1404</v>
      </c>
      <c r="I235" s="1">
        <v>55994.0</v>
      </c>
      <c r="J235" s="1" t="s">
        <v>1405</v>
      </c>
      <c r="K235" s="1" t="s">
        <v>1406</v>
      </c>
      <c r="L235" s="1">
        <v>454.0</v>
      </c>
      <c r="M235" s="1" t="s">
        <v>35</v>
      </c>
      <c r="N235" s="1" t="s">
        <v>36</v>
      </c>
      <c r="O235" s="1" t="s">
        <v>628</v>
      </c>
      <c r="P235" s="1">
        <v>1.15E8</v>
      </c>
      <c r="Q235" s="1">
        <v>2002.0</v>
      </c>
      <c r="R235" s="1">
        <v>12000.0</v>
      </c>
      <c r="S235" s="1">
        <v>836.0</v>
      </c>
      <c r="T235" s="1">
        <v>617.0</v>
      </c>
      <c r="U235" s="1">
        <v>15046.0</v>
      </c>
      <c r="V235" s="1">
        <v>610.0</v>
      </c>
      <c r="W235" s="1">
        <v>0.0</v>
      </c>
      <c r="X235" s="1">
        <v>0.0</v>
      </c>
      <c r="Y235" s="1">
        <v>2.35</v>
      </c>
      <c r="Z235" s="1">
        <v>6.0</v>
      </c>
    </row>
    <row r="236" ht="14.25" customHeight="1">
      <c r="A236" s="1" t="s">
        <v>26</v>
      </c>
      <c r="B236" s="1" t="s">
        <v>1407</v>
      </c>
      <c r="C236" s="1" t="s">
        <v>1408</v>
      </c>
      <c r="D236" s="1">
        <v>4.795202E7</v>
      </c>
      <c r="E236" s="1" t="s">
        <v>543</v>
      </c>
      <c r="F236" s="1" t="s">
        <v>90</v>
      </c>
      <c r="G236" s="1" t="s">
        <v>151</v>
      </c>
      <c r="H236" s="1" t="s">
        <v>741</v>
      </c>
      <c r="I236" s="1">
        <v>37750.0</v>
      </c>
      <c r="J236" s="1" t="s">
        <v>1409</v>
      </c>
      <c r="K236" s="1" t="s">
        <v>1410</v>
      </c>
      <c r="L236" s="1">
        <v>134.0</v>
      </c>
      <c r="M236" s="1" t="s">
        <v>35</v>
      </c>
      <c r="N236" s="1" t="s">
        <v>36</v>
      </c>
      <c r="O236" s="1" t="s">
        <v>37</v>
      </c>
      <c r="P236" s="1">
        <v>1.15E8</v>
      </c>
      <c r="Q236" s="1">
        <v>2016.0</v>
      </c>
      <c r="R236" s="1">
        <v>26000.0</v>
      </c>
      <c r="S236" s="1">
        <v>11000.0</v>
      </c>
      <c r="T236" s="1">
        <v>9000.0</v>
      </c>
      <c r="U236" s="1">
        <v>46719.0</v>
      </c>
      <c r="V236" s="1">
        <v>19.0</v>
      </c>
      <c r="W236" s="1">
        <v>16000.0</v>
      </c>
      <c r="X236" s="1">
        <v>2.0</v>
      </c>
      <c r="Y236" s="1">
        <v>2.35</v>
      </c>
      <c r="Z236" s="1">
        <v>6.1</v>
      </c>
    </row>
    <row r="237" ht="14.25" customHeight="1">
      <c r="A237" s="1" t="s">
        <v>26</v>
      </c>
      <c r="B237" s="1" t="s">
        <v>839</v>
      </c>
      <c r="C237" s="1" t="s">
        <v>1411</v>
      </c>
      <c r="D237" s="1">
        <v>1.9087124E8</v>
      </c>
      <c r="E237" s="1" t="s">
        <v>494</v>
      </c>
      <c r="F237" s="1" t="s">
        <v>1412</v>
      </c>
      <c r="G237" s="1" t="s">
        <v>1413</v>
      </c>
      <c r="H237" s="1" t="s">
        <v>1414</v>
      </c>
      <c r="I237" s="1">
        <v>167085.0</v>
      </c>
      <c r="J237" s="1" t="s">
        <v>1415</v>
      </c>
      <c r="K237" s="1" t="s">
        <v>1416</v>
      </c>
      <c r="L237" s="1">
        <v>491.0</v>
      </c>
      <c r="M237" s="1" t="s">
        <v>35</v>
      </c>
      <c r="N237" s="1" t="s">
        <v>36</v>
      </c>
      <c r="O237" s="1" t="s">
        <v>37</v>
      </c>
      <c r="P237" s="1">
        <v>1.25E8</v>
      </c>
      <c r="Q237" s="1">
        <v>2014.0</v>
      </c>
      <c r="R237" s="1">
        <v>833.0</v>
      </c>
      <c r="S237" s="1">
        <v>809.0</v>
      </c>
      <c r="T237" s="1">
        <v>429.0</v>
      </c>
      <c r="U237" s="1">
        <v>2690.0</v>
      </c>
      <c r="V237" s="1">
        <v>473.0</v>
      </c>
      <c r="W237" s="1">
        <v>62000.0</v>
      </c>
      <c r="X237" s="1">
        <v>0.0</v>
      </c>
      <c r="Y237" s="1">
        <v>2.35</v>
      </c>
      <c r="Z237" s="1">
        <v>5.9</v>
      </c>
    </row>
    <row r="238" ht="14.25" customHeight="1">
      <c r="A238" s="1" t="s">
        <v>26</v>
      </c>
      <c r="B238" s="1" t="s">
        <v>1172</v>
      </c>
      <c r="C238" s="1" t="s">
        <v>1417</v>
      </c>
      <c r="D238" s="1">
        <v>2.74084951E8</v>
      </c>
      <c r="E238" s="1" t="s">
        <v>1418</v>
      </c>
      <c r="F238" s="1" t="s">
        <v>1419</v>
      </c>
      <c r="G238" s="1" t="s">
        <v>1420</v>
      </c>
      <c r="H238" s="1" t="s">
        <v>1421</v>
      </c>
      <c r="I238" s="1">
        <v>582917.0</v>
      </c>
      <c r="J238" s="1" t="s">
        <v>1422</v>
      </c>
      <c r="K238" s="1" t="s">
        <v>1423</v>
      </c>
      <c r="L238" s="1">
        <v>1885.0</v>
      </c>
      <c r="M238" s="1" t="s">
        <v>35</v>
      </c>
      <c r="N238" s="1" t="s">
        <v>54</v>
      </c>
      <c r="O238" s="1" t="s">
        <v>37</v>
      </c>
      <c r="P238" s="1">
        <v>1.0E8</v>
      </c>
      <c r="Q238" s="1">
        <v>2013.0</v>
      </c>
      <c r="R238" s="1">
        <v>39.0</v>
      </c>
      <c r="S238" s="1">
        <v>23.0</v>
      </c>
      <c r="T238" s="1">
        <v>13.0</v>
      </c>
      <c r="U238" s="1">
        <v>87.0</v>
      </c>
      <c r="V238" s="1">
        <v>0.0</v>
      </c>
      <c r="W238" s="1">
        <v>147000.0</v>
      </c>
      <c r="X238" s="1">
        <v>0.0</v>
      </c>
      <c r="Y238" s="1">
        <v>2.35</v>
      </c>
      <c r="Z238" s="1">
        <v>7.8</v>
      </c>
    </row>
    <row r="239" ht="14.25" customHeight="1">
      <c r="A239" s="1" t="s">
        <v>26</v>
      </c>
      <c r="B239" s="1" t="s">
        <v>1424</v>
      </c>
      <c r="C239" s="1" t="s">
        <v>1425</v>
      </c>
      <c r="D239" s="1">
        <v>6.7155742E7</v>
      </c>
      <c r="E239" s="1" t="s">
        <v>48</v>
      </c>
      <c r="F239" s="1" t="s">
        <v>1426</v>
      </c>
      <c r="G239" s="1" t="s">
        <v>1427</v>
      </c>
      <c r="H239" s="1" t="s">
        <v>409</v>
      </c>
      <c r="I239" s="1">
        <v>62271.0</v>
      </c>
      <c r="J239" s="1" t="s">
        <v>1428</v>
      </c>
      <c r="K239" s="1" t="s">
        <v>1429</v>
      </c>
      <c r="L239" s="1">
        <v>277.0</v>
      </c>
      <c r="M239" s="1" t="s">
        <v>35</v>
      </c>
      <c r="N239" s="1" t="s">
        <v>36</v>
      </c>
      <c r="O239" s="1" t="s">
        <v>37</v>
      </c>
      <c r="P239" s="1">
        <v>1.16E8</v>
      </c>
      <c r="Q239" s="1">
        <v>1997.0</v>
      </c>
      <c r="R239" s="1">
        <v>650.0</v>
      </c>
      <c r="S239" s="1">
        <v>293.0</v>
      </c>
      <c r="T239" s="1">
        <v>268.0</v>
      </c>
      <c r="U239" s="1">
        <v>1569.0</v>
      </c>
      <c r="V239" s="1">
        <v>79.0</v>
      </c>
      <c r="W239" s="1">
        <v>0.0</v>
      </c>
      <c r="X239" s="1">
        <v>1.0</v>
      </c>
      <c r="Y239" s="1">
        <v>2.35</v>
      </c>
      <c r="Z239" s="1">
        <v>5.8</v>
      </c>
    </row>
    <row r="240" ht="14.25" customHeight="1">
      <c r="A240" s="1" t="s">
        <v>26</v>
      </c>
      <c r="B240" s="1" t="s">
        <v>1430</v>
      </c>
      <c r="C240" s="1" t="s">
        <v>1431</v>
      </c>
      <c r="D240" s="1">
        <v>5.6114221E7</v>
      </c>
      <c r="E240" s="1" t="s">
        <v>65</v>
      </c>
      <c r="F240" s="1" t="s">
        <v>1432</v>
      </c>
      <c r="G240" s="1" t="s">
        <v>1433</v>
      </c>
      <c r="H240" s="1" t="s">
        <v>1434</v>
      </c>
      <c r="I240" s="1">
        <v>110486.0</v>
      </c>
      <c r="J240" s="1" t="s">
        <v>1435</v>
      </c>
      <c r="K240" s="1" t="s">
        <v>1436</v>
      </c>
      <c r="L240" s="1">
        <v>695.0</v>
      </c>
      <c r="M240" s="1" t="s">
        <v>35</v>
      </c>
      <c r="N240" s="1" t="s">
        <v>36</v>
      </c>
      <c r="O240" s="1" t="s">
        <v>37</v>
      </c>
      <c r="P240" s="1">
        <v>1.2E8</v>
      </c>
      <c r="Q240" s="1">
        <v>2015.0</v>
      </c>
      <c r="R240" s="1">
        <v>596.0</v>
      </c>
      <c r="S240" s="1">
        <v>360.0</v>
      </c>
      <c r="T240" s="1">
        <v>78.0</v>
      </c>
      <c r="U240" s="1">
        <v>1261.0</v>
      </c>
      <c r="V240" s="1">
        <v>128.0</v>
      </c>
      <c r="W240" s="1">
        <v>41000.0</v>
      </c>
      <c r="X240" s="1">
        <v>3.0</v>
      </c>
      <c r="Y240" s="1">
        <v>2.35</v>
      </c>
      <c r="Z240" s="1">
        <v>4.3</v>
      </c>
    </row>
    <row r="241" ht="14.25" customHeight="1">
      <c r="A241" s="1" t="s">
        <v>26</v>
      </c>
      <c r="B241" s="1" t="s">
        <v>772</v>
      </c>
      <c r="C241" s="1" t="s">
        <v>1437</v>
      </c>
      <c r="D241" s="1">
        <v>2.50863268E8</v>
      </c>
      <c r="E241" s="1" t="s">
        <v>1438</v>
      </c>
      <c r="F241" s="1" t="s">
        <v>774</v>
      </c>
      <c r="G241" s="1" t="s">
        <v>775</v>
      </c>
      <c r="H241" s="1" t="s">
        <v>776</v>
      </c>
      <c r="I241" s="1">
        <v>234480.0</v>
      </c>
      <c r="J241" s="1" t="s">
        <v>1439</v>
      </c>
      <c r="K241" s="1" t="s">
        <v>1440</v>
      </c>
      <c r="L241" s="1">
        <v>444.0</v>
      </c>
      <c r="M241" s="1" t="s">
        <v>35</v>
      </c>
      <c r="N241" s="1" t="s">
        <v>36</v>
      </c>
      <c r="O241" s="1" t="s">
        <v>87</v>
      </c>
      <c r="P241" s="1">
        <v>1.1E8</v>
      </c>
      <c r="Q241" s="1">
        <v>2006.0</v>
      </c>
      <c r="R241" s="1">
        <v>49000.0</v>
      </c>
      <c r="S241" s="1">
        <v>3000.0</v>
      </c>
      <c r="T241" s="1">
        <v>1000.0</v>
      </c>
      <c r="U241" s="1">
        <v>55486.0</v>
      </c>
      <c r="V241" s="1">
        <v>189.0</v>
      </c>
      <c r="W241" s="1">
        <v>3000.0</v>
      </c>
      <c r="X241" s="1">
        <v>2.0</v>
      </c>
      <c r="Y241" s="1">
        <v>1.85</v>
      </c>
      <c r="Z241" s="1">
        <v>6.4</v>
      </c>
    </row>
    <row r="242" ht="14.25" customHeight="1">
      <c r="A242" s="1" t="s">
        <v>26</v>
      </c>
      <c r="B242" s="1" t="s">
        <v>1441</v>
      </c>
      <c r="C242" s="1" t="s">
        <v>1442</v>
      </c>
      <c r="D242" s="1">
        <v>1.55181732E8</v>
      </c>
      <c r="E242" s="1" t="s">
        <v>675</v>
      </c>
      <c r="F242" s="1" t="s">
        <v>1036</v>
      </c>
      <c r="G242" s="1" t="s">
        <v>1297</v>
      </c>
      <c r="H242" s="1" t="s">
        <v>1443</v>
      </c>
      <c r="I242" s="1">
        <v>147497.0</v>
      </c>
      <c r="J242" s="1" t="s">
        <v>1444</v>
      </c>
      <c r="K242" s="1" t="s">
        <v>1445</v>
      </c>
      <c r="L242" s="1">
        <v>499.0</v>
      </c>
      <c r="M242" s="1" t="s">
        <v>35</v>
      </c>
      <c r="N242" s="1" t="s">
        <v>36</v>
      </c>
      <c r="O242" s="1" t="s">
        <v>37</v>
      </c>
      <c r="P242" s="1">
        <v>1.1E8</v>
      </c>
      <c r="Q242" s="1">
        <v>2015.0</v>
      </c>
      <c r="R242" s="1">
        <v>12000.0</v>
      </c>
      <c r="S242" s="1">
        <v>2000.0</v>
      </c>
      <c r="T242" s="1">
        <v>884.0</v>
      </c>
      <c r="U242" s="1">
        <v>16718.0</v>
      </c>
      <c r="V242" s="1">
        <v>62.0</v>
      </c>
      <c r="W242" s="1">
        <v>52000.0</v>
      </c>
      <c r="X242" s="1">
        <v>0.0</v>
      </c>
      <c r="Y242" s="1">
        <v>2.35</v>
      </c>
      <c r="Z242" s="1">
        <v>6.1</v>
      </c>
    </row>
    <row r="243" ht="14.25" customHeight="1">
      <c r="A243" s="1" t="s">
        <v>26</v>
      </c>
      <c r="B243" s="1" t="s">
        <v>1446</v>
      </c>
      <c r="C243" s="1" t="s">
        <v>1447</v>
      </c>
      <c r="D243" s="1">
        <v>1.25332007E8</v>
      </c>
      <c r="E243" s="1" t="s">
        <v>48</v>
      </c>
      <c r="F243" s="1" t="s">
        <v>1448</v>
      </c>
      <c r="G243" s="1" t="s">
        <v>928</v>
      </c>
      <c r="H243" s="1" t="s">
        <v>1449</v>
      </c>
      <c r="I243" s="1">
        <v>149680.0</v>
      </c>
      <c r="J243" s="1" t="s">
        <v>1450</v>
      </c>
      <c r="K243" s="1" t="s">
        <v>1451</v>
      </c>
      <c r="L243" s="1">
        <v>328.0</v>
      </c>
      <c r="M243" s="1" t="s">
        <v>35</v>
      </c>
      <c r="N243" s="1" t="s">
        <v>54</v>
      </c>
      <c r="O243" s="1" t="s">
        <v>37</v>
      </c>
      <c r="P243" s="1">
        <v>1.1E8</v>
      </c>
      <c r="Q243" s="1">
        <v>1997.0</v>
      </c>
      <c r="R243" s="1">
        <v>811.0</v>
      </c>
      <c r="S243" s="1">
        <v>766.0</v>
      </c>
      <c r="T243" s="1">
        <v>387.0</v>
      </c>
      <c r="U243" s="1">
        <v>2958.0</v>
      </c>
      <c r="V243" s="1">
        <v>55.0</v>
      </c>
      <c r="W243" s="1">
        <v>0.0</v>
      </c>
      <c r="X243" s="1">
        <v>3.0</v>
      </c>
      <c r="Y243" s="1">
        <v>2.35</v>
      </c>
      <c r="Z243" s="1">
        <v>6.5</v>
      </c>
    </row>
    <row r="244" ht="14.25" customHeight="1">
      <c r="A244" s="1" t="s">
        <v>26</v>
      </c>
      <c r="B244" s="1" t="s">
        <v>414</v>
      </c>
      <c r="C244" s="1" t="s">
        <v>1452</v>
      </c>
      <c r="D244" s="1">
        <v>1.13330342E8</v>
      </c>
      <c r="E244" s="1" t="s">
        <v>980</v>
      </c>
      <c r="F244" s="1" t="s">
        <v>450</v>
      </c>
      <c r="G244" s="1" t="s">
        <v>1453</v>
      </c>
      <c r="H244" s="1" t="s">
        <v>130</v>
      </c>
      <c r="I244" s="1">
        <v>207613.0</v>
      </c>
      <c r="J244" s="1" t="s">
        <v>1454</v>
      </c>
      <c r="K244" s="1" t="s">
        <v>1455</v>
      </c>
      <c r="L244" s="1">
        <v>1144.0</v>
      </c>
      <c r="M244" s="1" t="s">
        <v>35</v>
      </c>
      <c r="N244" s="1" t="s">
        <v>36</v>
      </c>
      <c r="O244" s="1" t="s">
        <v>628</v>
      </c>
      <c r="P244" s="1">
        <v>1.1E8</v>
      </c>
      <c r="Q244" s="1">
        <v>2000.0</v>
      </c>
      <c r="R244" s="1">
        <v>13000.0</v>
      </c>
      <c r="S244" s="1">
        <v>2000.0</v>
      </c>
      <c r="T244" s="1">
        <v>1000.0</v>
      </c>
      <c r="U244" s="1">
        <v>19454.0</v>
      </c>
      <c r="V244" s="1">
        <v>776.0</v>
      </c>
      <c r="W244" s="1">
        <v>4000.0</v>
      </c>
      <c r="X244" s="1">
        <v>1.0</v>
      </c>
      <c r="Y244" s="1">
        <v>2.35</v>
      </c>
      <c r="Z244" s="1">
        <v>7.1</v>
      </c>
    </row>
    <row r="245" ht="14.25" customHeight="1">
      <c r="A245" s="1" t="s">
        <v>26</v>
      </c>
      <c r="B245" s="1" t="s">
        <v>1456</v>
      </c>
      <c r="C245" s="1" t="s">
        <v>1457</v>
      </c>
      <c r="D245" s="1">
        <v>1.25531634E8</v>
      </c>
      <c r="E245" s="1" t="s">
        <v>1458</v>
      </c>
      <c r="F245" s="1" t="s">
        <v>335</v>
      </c>
      <c r="G245" s="1" t="s">
        <v>1459</v>
      </c>
      <c r="H245" s="1" t="s">
        <v>1460</v>
      </c>
      <c r="I245" s="1">
        <v>284852.0</v>
      </c>
      <c r="J245" s="1" t="s">
        <v>1461</v>
      </c>
      <c r="K245" s="1" t="s">
        <v>1462</v>
      </c>
      <c r="L245" s="1">
        <v>627.0</v>
      </c>
      <c r="M245" s="1" t="s">
        <v>35</v>
      </c>
      <c r="N245" s="1" t="s">
        <v>36</v>
      </c>
      <c r="O245" s="1" t="s">
        <v>37</v>
      </c>
      <c r="P245" s="1">
        <v>1.1E8</v>
      </c>
      <c r="Q245" s="1">
        <v>2004.0</v>
      </c>
      <c r="R245" s="1">
        <v>11000.0</v>
      </c>
      <c r="S245" s="1">
        <v>8000.0</v>
      </c>
      <c r="T245" s="1">
        <v>350.0</v>
      </c>
      <c r="U245" s="1">
        <v>19359.0</v>
      </c>
      <c r="V245" s="1">
        <v>0.0</v>
      </c>
      <c r="W245" s="1">
        <v>0.0</v>
      </c>
      <c r="X245" s="1">
        <v>0.0</v>
      </c>
      <c r="Y245" s="1">
        <v>2.35</v>
      </c>
      <c r="Z245" s="1">
        <v>6.4</v>
      </c>
    </row>
    <row r="246" ht="14.25" customHeight="1">
      <c r="A246" s="1" t="s">
        <v>26</v>
      </c>
      <c r="B246" s="1" t="s">
        <v>506</v>
      </c>
      <c r="C246" s="1" t="s">
        <v>1463</v>
      </c>
      <c r="D246" s="1">
        <v>1.86336103E8</v>
      </c>
      <c r="E246" s="1" t="s">
        <v>1464</v>
      </c>
      <c r="F246" s="1" t="s">
        <v>335</v>
      </c>
      <c r="G246" s="1" t="s">
        <v>550</v>
      </c>
      <c r="H246" s="1" t="s">
        <v>1465</v>
      </c>
      <c r="I246" s="1">
        <v>348861.0</v>
      </c>
      <c r="J246" s="1" t="s">
        <v>1466</v>
      </c>
      <c r="K246" s="1" t="s">
        <v>1467</v>
      </c>
      <c r="L246" s="1">
        <v>798.0</v>
      </c>
      <c r="M246" s="1" t="s">
        <v>35</v>
      </c>
      <c r="N246" s="1" t="s">
        <v>36</v>
      </c>
      <c r="O246" s="1" t="s">
        <v>37</v>
      </c>
      <c r="P246" s="1">
        <v>1.2E8</v>
      </c>
      <c r="Q246" s="1">
        <v>2005.0</v>
      </c>
      <c r="R246" s="1">
        <v>11000.0</v>
      </c>
      <c r="S246" s="1">
        <v>11000.0</v>
      </c>
      <c r="T246" s="1">
        <v>322.0</v>
      </c>
      <c r="U246" s="1">
        <v>22722.0</v>
      </c>
      <c r="V246" s="1">
        <v>218.0</v>
      </c>
      <c r="W246" s="1">
        <v>0.0</v>
      </c>
      <c r="X246" s="1">
        <v>2.0</v>
      </c>
      <c r="Y246" s="1">
        <v>2.35</v>
      </c>
      <c r="Z246" s="1">
        <v>6.5</v>
      </c>
    </row>
    <row r="247" ht="14.25" customHeight="1">
      <c r="A247" s="1" t="s">
        <v>26</v>
      </c>
      <c r="B247" s="1" t="s">
        <v>1205</v>
      </c>
      <c r="C247" s="1" t="s">
        <v>1468</v>
      </c>
      <c r="D247" s="1">
        <v>1.29995817E8</v>
      </c>
      <c r="E247" s="1" t="s">
        <v>1126</v>
      </c>
      <c r="F247" s="1" t="s">
        <v>208</v>
      </c>
      <c r="G247" s="1" t="s">
        <v>1469</v>
      </c>
      <c r="H247" s="1" t="s">
        <v>1470</v>
      </c>
      <c r="I247" s="1">
        <v>154621.0</v>
      </c>
      <c r="J247" s="1" t="s">
        <v>1471</v>
      </c>
      <c r="K247" s="1" t="s">
        <v>1472</v>
      </c>
      <c r="L247" s="1">
        <v>258.0</v>
      </c>
      <c r="M247" s="1" t="s">
        <v>35</v>
      </c>
      <c r="N247" s="1" t="s">
        <v>36</v>
      </c>
      <c r="O247" s="1" t="s">
        <v>37</v>
      </c>
      <c r="P247" s="1">
        <v>1.1E8</v>
      </c>
      <c r="Q247" s="1">
        <v>2015.0</v>
      </c>
      <c r="R247" s="1">
        <v>14000.0</v>
      </c>
      <c r="S247" s="1">
        <v>5000.0</v>
      </c>
      <c r="T247" s="1">
        <v>1000.0</v>
      </c>
      <c r="U247" s="1">
        <v>22622.0</v>
      </c>
      <c r="V247" s="1">
        <v>124.0</v>
      </c>
      <c r="W247" s="1">
        <v>27000.0</v>
      </c>
      <c r="X247" s="1">
        <v>0.0</v>
      </c>
      <c r="Y247" s="1">
        <v>2.35</v>
      </c>
      <c r="Z247" s="1">
        <v>6.3</v>
      </c>
    </row>
    <row r="248" ht="14.25" customHeight="1">
      <c r="A248" s="1" t="s">
        <v>710</v>
      </c>
      <c r="B248" s="1" t="s">
        <v>472</v>
      </c>
      <c r="C248" s="1" t="s">
        <v>1473</v>
      </c>
      <c r="D248" s="1">
        <v>1.02608827E8</v>
      </c>
      <c r="E248" s="1" t="s">
        <v>1474</v>
      </c>
      <c r="F248" s="1" t="s">
        <v>207</v>
      </c>
      <c r="G248" s="1" t="s">
        <v>1475</v>
      </c>
      <c r="H248" s="1" t="s">
        <v>1476</v>
      </c>
      <c r="I248" s="1">
        <v>264318.0</v>
      </c>
      <c r="J248" s="1" t="s">
        <v>1477</v>
      </c>
      <c r="K248" s="1" t="s">
        <v>1478</v>
      </c>
      <c r="L248" s="1">
        <v>799.0</v>
      </c>
      <c r="M248" s="1" t="s">
        <v>35</v>
      </c>
      <c r="N248" s="1" t="s">
        <v>36</v>
      </c>
      <c r="O248" s="1" t="s">
        <v>37</v>
      </c>
      <c r="P248" s="1">
        <v>1.1E8</v>
      </c>
      <c r="Q248" s="1">
        <v>2004.0</v>
      </c>
      <c r="R248" s="1">
        <v>29000.0</v>
      </c>
      <c r="S248" s="1">
        <v>3000.0</v>
      </c>
      <c r="T248" s="1">
        <v>827.0</v>
      </c>
      <c r="U248" s="1">
        <v>34582.0</v>
      </c>
      <c r="V248" s="1">
        <v>17000.0</v>
      </c>
      <c r="W248" s="1">
        <v>0.0</v>
      </c>
      <c r="X248" s="1">
        <v>0.0</v>
      </c>
      <c r="Y248" s="1">
        <v>2.35</v>
      </c>
      <c r="Z248" s="1">
        <v>7.5</v>
      </c>
    </row>
    <row r="249" ht="14.25" customHeight="1">
      <c r="A249" s="1" t="s">
        <v>26</v>
      </c>
      <c r="B249" s="1" t="s">
        <v>461</v>
      </c>
      <c r="C249" s="1" t="s">
        <v>1479</v>
      </c>
      <c r="D249" s="1">
        <v>4.2776259E7</v>
      </c>
      <c r="E249" s="1" t="s">
        <v>751</v>
      </c>
      <c r="F249" s="1" t="s">
        <v>1480</v>
      </c>
      <c r="G249" s="1" t="s">
        <v>1481</v>
      </c>
      <c r="H249" s="1" t="s">
        <v>1482</v>
      </c>
      <c r="I249" s="1">
        <v>53160.0</v>
      </c>
      <c r="J249" s="1" t="s">
        <v>1483</v>
      </c>
      <c r="K249" s="1" t="s">
        <v>1484</v>
      </c>
      <c r="L249" s="1">
        <v>121.0</v>
      </c>
      <c r="M249" s="1" t="s">
        <v>35</v>
      </c>
      <c r="N249" s="1" t="s">
        <v>36</v>
      </c>
      <c r="O249" s="1" t="s">
        <v>87</v>
      </c>
      <c r="P249" s="1">
        <v>1.12E8</v>
      </c>
      <c r="Q249" s="1">
        <v>2010.0</v>
      </c>
      <c r="R249" s="1">
        <v>480.0</v>
      </c>
      <c r="S249" s="1">
        <v>392.0</v>
      </c>
      <c r="T249" s="1">
        <v>116.0</v>
      </c>
      <c r="U249" s="1">
        <v>1173.0</v>
      </c>
      <c r="V249" s="1">
        <v>11.0</v>
      </c>
      <c r="W249" s="1">
        <v>0.0</v>
      </c>
      <c r="X249" s="1">
        <v>1.0</v>
      </c>
      <c r="Y249" s="1">
        <v>2.35</v>
      </c>
      <c r="Z249" s="1">
        <v>4.9</v>
      </c>
    </row>
    <row r="250" ht="14.25" customHeight="1">
      <c r="A250" s="1" t="s">
        <v>26</v>
      </c>
      <c r="B250" s="1" t="s">
        <v>1485</v>
      </c>
      <c r="C250" s="1" t="s">
        <v>1486</v>
      </c>
      <c r="D250" s="1">
        <v>9.8780042E7</v>
      </c>
      <c r="E250" s="1" t="s">
        <v>1487</v>
      </c>
      <c r="F250" s="1" t="s">
        <v>49</v>
      </c>
      <c r="G250" s="1" t="s">
        <v>130</v>
      </c>
      <c r="H250" s="1" t="s">
        <v>1488</v>
      </c>
      <c r="I250" s="1">
        <v>136019.0</v>
      </c>
      <c r="J250" s="1" t="s">
        <v>1489</v>
      </c>
      <c r="K250" s="1" t="s">
        <v>1490</v>
      </c>
      <c r="L250" s="1">
        <v>443.0</v>
      </c>
      <c r="M250" s="1" t="s">
        <v>35</v>
      </c>
      <c r="N250" s="1" t="s">
        <v>36</v>
      </c>
      <c r="O250" s="1" t="s">
        <v>37</v>
      </c>
      <c r="P250" s="1">
        <v>1.2E8</v>
      </c>
      <c r="Q250" s="1">
        <v>2011.0</v>
      </c>
      <c r="R250" s="1">
        <v>11000.0</v>
      </c>
      <c r="S250" s="1">
        <v>1000.0</v>
      </c>
      <c r="T250" s="1">
        <v>741.0</v>
      </c>
      <c r="U250" s="1">
        <v>13391.0</v>
      </c>
      <c r="V250" s="1">
        <v>1000.0</v>
      </c>
      <c r="W250" s="1">
        <v>14000.0</v>
      </c>
      <c r="X250" s="1">
        <v>0.0</v>
      </c>
      <c r="Y250" s="1">
        <v>2.35</v>
      </c>
      <c r="Z250" s="1">
        <v>5.8</v>
      </c>
    </row>
    <row r="251" ht="14.25" customHeight="1">
      <c r="A251" s="1" t="s">
        <v>26</v>
      </c>
      <c r="B251" s="1" t="s">
        <v>1491</v>
      </c>
      <c r="C251" s="1" t="s">
        <v>1492</v>
      </c>
      <c r="D251" s="1">
        <v>1.06369117E8</v>
      </c>
      <c r="E251" s="1" t="s">
        <v>1493</v>
      </c>
      <c r="F251" s="1" t="s">
        <v>194</v>
      </c>
      <c r="G251" s="1" t="s">
        <v>1494</v>
      </c>
      <c r="H251" s="1" t="s">
        <v>1079</v>
      </c>
      <c r="I251" s="1">
        <v>225273.0</v>
      </c>
      <c r="J251" s="1" t="s">
        <v>1495</v>
      </c>
      <c r="K251" s="1" t="s">
        <v>1496</v>
      </c>
      <c r="L251" s="1">
        <v>523.0</v>
      </c>
      <c r="M251" s="1" t="s">
        <v>35</v>
      </c>
      <c r="N251" s="1" t="s">
        <v>36</v>
      </c>
      <c r="O251" s="1" t="s">
        <v>628</v>
      </c>
      <c r="P251" s="1">
        <v>1.1E8</v>
      </c>
      <c r="Q251" s="1">
        <v>2014.0</v>
      </c>
      <c r="R251" s="1">
        <v>6000.0</v>
      </c>
      <c r="S251" s="1">
        <v>1000.0</v>
      </c>
      <c r="T251" s="1">
        <v>1000.0</v>
      </c>
      <c r="U251" s="1">
        <v>10583.0</v>
      </c>
      <c r="V251" s="1">
        <v>263.0</v>
      </c>
      <c r="W251" s="1">
        <v>71000.0</v>
      </c>
      <c r="X251" s="1">
        <v>0.0</v>
      </c>
      <c r="Y251" s="1">
        <v>2.35</v>
      </c>
      <c r="Z251" s="1">
        <v>6.2</v>
      </c>
    </row>
    <row r="252" ht="14.25" customHeight="1">
      <c r="A252" s="1" t="s">
        <v>26</v>
      </c>
      <c r="B252" s="1" t="s">
        <v>1497</v>
      </c>
      <c r="C252" s="1" t="s">
        <v>1498</v>
      </c>
      <c r="D252" s="1">
        <v>1.42614158E8</v>
      </c>
      <c r="E252" s="1" t="s">
        <v>263</v>
      </c>
      <c r="F252" s="1" t="s">
        <v>1499</v>
      </c>
      <c r="G252" s="1" t="s">
        <v>1500</v>
      </c>
      <c r="H252" s="1" t="s">
        <v>1501</v>
      </c>
      <c r="I252" s="1">
        <v>66593.0</v>
      </c>
      <c r="J252" s="1" t="s">
        <v>1502</v>
      </c>
      <c r="K252" s="1" t="s">
        <v>1503</v>
      </c>
      <c r="L252" s="1">
        <v>153.0</v>
      </c>
      <c r="M252" s="1" t="s">
        <v>35</v>
      </c>
      <c r="N252" s="1" t="s">
        <v>36</v>
      </c>
      <c r="O252" s="1" t="s">
        <v>87</v>
      </c>
      <c r="P252" s="1">
        <v>1.1E8</v>
      </c>
      <c r="Q252" s="1">
        <v>2011.0</v>
      </c>
      <c r="R252" s="1">
        <v>383.0</v>
      </c>
      <c r="S252" s="1">
        <v>113.0</v>
      </c>
      <c r="T252" s="1">
        <v>111.0</v>
      </c>
      <c r="U252" s="1">
        <v>692.0</v>
      </c>
      <c r="V252" s="1">
        <v>67.0</v>
      </c>
      <c r="W252" s="1">
        <v>31000.0</v>
      </c>
      <c r="X252" s="1">
        <v>3.0</v>
      </c>
      <c r="Y252" s="1">
        <v>1.78</v>
      </c>
      <c r="Z252" s="1">
        <v>5.5</v>
      </c>
    </row>
    <row r="253" ht="14.25" customHeight="1">
      <c r="A253" s="1" t="s">
        <v>26</v>
      </c>
      <c r="B253" s="1" t="s">
        <v>1504</v>
      </c>
      <c r="C253" s="1" t="s">
        <v>1505</v>
      </c>
      <c r="D253" s="1">
        <v>5.0026353E7</v>
      </c>
      <c r="E253" s="1" t="s">
        <v>1506</v>
      </c>
      <c r="F253" s="1" t="s">
        <v>264</v>
      </c>
      <c r="G253" s="1" t="s">
        <v>1507</v>
      </c>
      <c r="H253" s="1" t="s">
        <v>1508</v>
      </c>
      <c r="I253" s="1">
        <v>13581.0</v>
      </c>
      <c r="J253" s="1" t="s">
        <v>1509</v>
      </c>
      <c r="K253" s="1" t="s">
        <v>1510</v>
      </c>
      <c r="L253" s="1">
        <v>88.0</v>
      </c>
      <c r="M253" s="1" t="s">
        <v>35</v>
      </c>
      <c r="N253" s="1" t="s">
        <v>36</v>
      </c>
      <c r="O253" s="1" t="s">
        <v>87</v>
      </c>
      <c r="P253" s="1">
        <v>1.1E8</v>
      </c>
      <c r="Q253" s="1">
        <v>2004.0</v>
      </c>
      <c r="R253" s="1">
        <v>12000.0</v>
      </c>
      <c r="S253" s="1">
        <v>513.0</v>
      </c>
      <c r="T253" s="1">
        <v>421.0</v>
      </c>
      <c r="U253" s="1">
        <v>13607.0</v>
      </c>
      <c r="V253" s="1">
        <v>6.0</v>
      </c>
      <c r="W253" s="1">
        <v>304.0</v>
      </c>
      <c r="X253" s="1">
        <v>0.0</v>
      </c>
      <c r="Y253" s="1">
        <v>1.78</v>
      </c>
      <c r="Z253" s="1">
        <v>5.4</v>
      </c>
    </row>
    <row r="254" ht="14.25" customHeight="1">
      <c r="A254" s="1" t="s">
        <v>26</v>
      </c>
      <c r="B254" s="1" t="s">
        <v>1205</v>
      </c>
      <c r="C254" s="1" t="s">
        <v>1511</v>
      </c>
      <c r="D254" s="1">
        <v>6.6002193E7</v>
      </c>
      <c r="E254" s="1" t="s">
        <v>1512</v>
      </c>
      <c r="F254" s="1" t="s">
        <v>200</v>
      </c>
      <c r="G254" s="1" t="s">
        <v>1469</v>
      </c>
      <c r="H254" s="1" t="s">
        <v>810</v>
      </c>
      <c r="I254" s="1">
        <v>44296.0</v>
      </c>
      <c r="J254" s="1" t="s">
        <v>1513</v>
      </c>
      <c r="K254" s="1" t="s">
        <v>1514</v>
      </c>
      <c r="L254" s="1">
        <v>144.0</v>
      </c>
      <c r="M254" s="1" t="s">
        <v>35</v>
      </c>
      <c r="N254" s="1" t="s">
        <v>36</v>
      </c>
      <c r="O254" s="1" t="s">
        <v>37</v>
      </c>
      <c r="P254" s="1">
        <v>1.1E8</v>
      </c>
      <c r="Q254" s="1">
        <v>2016.0</v>
      </c>
      <c r="R254" s="1">
        <v>6000.0</v>
      </c>
      <c r="S254" s="1">
        <v>5000.0</v>
      </c>
      <c r="T254" s="1">
        <v>943.0</v>
      </c>
      <c r="U254" s="1">
        <v>12452.0</v>
      </c>
      <c r="V254" s="1">
        <v>124.0</v>
      </c>
      <c r="W254" s="1">
        <v>12000.0</v>
      </c>
      <c r="X254" s="1">
        <v>3.0</v>
      </c>
      <c r="Y254" s="1">
        <v>2.35</v>
      </c>
      <c r="Z254" s="1">
        <v>5.8</v>
      </c>
    </row>
    <row r="255" ht="14.25" customHeight="1">
      <c r="A255" s="1" t="s">
        <v>26</v>
      </c>
      <c r="B255" s="1" t="s">
        <v>772</v>
      </c>
      <c r="C255" s="1" t="s">
        <v>1515</v>
      </c>
      <c r="D255" s="1">
        <v>8.5463309E7</v>
      </c>
      <c r="E255" s="1" t="s">
        <v>1516</v>
      </c>
      <c r="F255" s="1" t="s">
        <v>255</v>
      </c>
      <c r="G255" s="1" t="s">
        <v>1517</v>
      </c>
      <c r="H255" s="1" t="s">
        <v>1518</v>
      </c>
      <c r="I255" s="1">
        <v>254841.0</v>
      </c>
      <c r="J255" s="1" t="s">
        <v>1519</v>
      </c>
      <c r="K255" s="1" t="s">
        <v>1520</v>
      </c>
      <c r="L255" s="1">
        <v>426.0</v>
      </c>
      <c r="M255" s="1" t="s">
        <v>35</v>
      </c>
      <c r="N255" s="1" t="s">
        <v>36</v>
      </c>
      <c r="O255" s="1" t="s">
        <v>37</v>
      </c>
      <c r="P255" s="1">
        <v>1.1E8</v>
      </c>
      <c r="Q255" s="1">
        <v>2011.0</v>
      </c>
      <c r="R255" s="1">
        <v>20000.0</v>
      </c>
      <c r="S255" s="1">
        <v>929.0</v>
      </c>
      <c r="T255" s="1">
        <v>544.0</v>
      </c>
      <c r="U255" s="1">
        <v>22254.0</v>
      </c>
      <c r="V255" s="1">
        <v>189.0</v>
      </c>
      <c r="W255" s="1">
        <v>36000.0</v>
      </c>
      <c r="X255" s="1">
        <v>1.0</v>
      </c>
      <c r="Y255" s="1">
        <v>2.35</v>
      </c>
      <c r="Z255" s="1">
        <v>7.1</v>
      </c>
    </row>
    <row r="256" ht="14.25" customHeight="1">
      <c r="A256" s="1" t="s">
        <v>26</v>
      </c>
      <c r="B256" s="1" t="s">
        <v>1497</v>
      </c>
      <c r="C256" s="1" t="s">
        <v>1521</v>
      </c>
      <c r="D256" s="1">
        <v>7.1017784E7</v>
      </c>
      <c r="E256" s="1" t="s">
        <v>263</v>
      </c>
      <c r="F256" s="1" t="s">
        <v>1522</v>
      </c>
      <c r="G256" s="1" t="s">
        <v>1523</v>
      </c>
      <c r="H256" s="1" t="s">
        <v>1524</v>
      </c>
      <c r="I256" s="1">
        <v>27257.0</v>
      </c>
      <c r="J256" s="1" t="s">
        <v>1525</v>
      </c>
      <c r="K256" s="1" t="s">
        <v>1526</v>
      </c>
      <c r="L256" s="1">
        <v>59.0</v>
      </c>
      <c r="M256" s="1" t="s">
        <v>35</v>
      </c>
      <c r="N256" s="1" t="s">
        <v>36</v>
      </c>
      <c r="O256" s="1" t="s">
        <v>87</v>
      </c>
      <c r="P256" s="1">
        <v>1.05E8</v>
      </c>
      <c r="Q256" s="1">
        <v>2013.0</v>
      </c>
      <c r="R256" s="1">
        <v>681.0</v>
      </c>
      <c r="S256" s="1">
        <v>71.0</v>
      </c>
      <c r="T256" s="1">
        <v>40.0</v>
      </c>
      <c r="U256" s="1">
        <v>914.0</v>
      </c>
      <c r="V256" s="1">
        <v>67.0</v>
      </c>
      <c r="W256" s="1">
        <v>0.0</v>
      </c>
      <c r="X256" s="1">
        <v>3.0</v>
      </c>
      <c r="Y256" s="1">
        <v>1.85</v>
      </c>
      <c r="Z256" s="1">
        <v>5.4</v>
      </c>
    </row>
    <row r="257" ht="14.25" customHeight="1">
      <c r="A257" s="1" t="s">
        <v>26</v>
      </c>
      <c r="B257" s="1" t="s">
        <v>1527</v>
      </c>
      <c r="C257" s="1" t="s">
        <v>1528</v>
      </c>
      <c r="D257" s="1">
        <v>4.8068396E7</v>
      </c>
      <c r="E257" s="1" t="s">
        <v>1529</v>
      </c>
      <c r="F257" s="1" t="s">
        <v>1530</v>
      </c>
      <c r="G257" s="1" t="s">
        <v>308</v>
      </c>
      <c r="H257" s="1" t="s">
        <v>1531</v>
      </c>
      <c r="I257" s="1">
        <v>60573.0</v>
      </c>
      <c r="J257" s="1" t="s">
        <v>1532</v>
      </c>
      <c r="K257" s="1" t="s">
        <v>1533</v>
      </c>
      <c r="L257" s="1">
        <v>248.0</v>
      </c>
      <c r="M257" s="1" t="s">
        <v>35</v>
      </c>
      <c r="N257" s="1" t="s">
        <v>36</v>
      </c>
      <c r="O257" s="1" t="s">
        <v>37</v>
      </c>
      <c r="P257" s="1">
        <v>1.6E8</v>
      </c>
      <c r="Q257" s="1">
        <v>1997.0</v>
      </c>
      <c r="R257" s="1">
        <v>673.0</v>
      </c>
      <c r="S257" s="1">
        <v>368.0</v>
      </c>
      <c r="T257" s="1">
        <v>202.0</v>
      </c>
      <c r="U257" s="1">
        <v>2027.0</v>
      </c>
      <c r="V257" s="1">
        <v>101.0</v>
      </c>
      <c r="W257" s="1">
        <v>894.0</v>
      </c>
      <c r="X257" s="1">
        <v>0.0</v>
      </c>
      <c r="Y257" s="1">
        <v>2.35</v>
      </c>
      <c r="Z257" s="1">
        <v>3.7</v>
      </c>
    </row>
    <row r="258" ht="14.25" customHeight="1">
      <c r="A258" s="1" t="s">
        <v>26</v>
      </c>
      <c r="B258" s="1" t="s">
        <v>779</v>
      </c>
      <c r="C258" s="1" t="s">
        <v>1534</v>
      </c>
      <c r="D258" s="1">
        <v>6.1656849E7</v>
      </c>
      <c r="E258" s="1" t="s">
        <v>623</v>
      </c>
      <c r="F258" s="1" t="s">
        <v>383</v>
      </c>
      <c r="G258" s="1" t="s">
        <v>1535</v>
      </c>
      <c r="H258" s="1" t="s">
        <v>1536</v>
      </c>
      <c r="I258" s="1">
        <v>184561.0</v>
      </c>
      <c r="J258" s="1" t="s">
        <v>1537</v>
      </c>
      <c r="K258" s="1" t="s">
        <v>1538</v>
      </c>
      <c r="L258" s="1">
        <v>554.0</v>
      </c>
      <c r="M258" s="1" t="s">
        <v>35</v>
      </c>
      <c r="N258" s="1" t="s">
        <v>36</v>
      </c>
      <c r="O258" s="1" t="s">
        <v>37</v>
      </c>
      <c r="P258" s="1">
        <v>1.1E8</v>
      </c>
      <c r="Q258" s="1">
        <v>2013.0</v>
      </c>
      <c r="R258" s="1">
        <v>11000.0</v>
      </c>
      <c r="S258" s="1">
        <v>635.0</v>
      </c>
      <c r="T258" s="1">
        <v>430.0</v>
      </c>
      <c r="U258" s="1">
        <v>12908.0</v>
      </c>
      <c r="V258" s="1">
        <v>151.0</v>
      </c>
      <c r="W258" s="1">
        <v>123000.0</v>
      </c>
      <c r="X258" s="1">
        <v>4.0</v>
      </c>
      <c r="Y258" s="1">
        <v>2.35</v>
      </c>
      <c r="Z258" s="1">
        <v>6.7</v>
      </c>
    </row>
    <row r="259" ht="14.25" customHeight="1">
      <c r="A259" s="1" t="s">
        <v>26</v>
      </c>
      <c r="B259" s="1" t="s">
        <v>1539</v>
      </c>
      <c r="C259" s="1" t="s">
        <v>1540</v>
      </c>
      <c r="D259" s="1">
        <v>1.34520804E8</v>
      </c>
      <c r="E259" s="1" t="s">
        <v>48</v>
      </c>
      <c r="F259" s="1" t="s">
        <v>941</v>
      </c>
      <c r="G259" s="1" t="s">
        <v>1541</v>
      </c>
      <c r="H259" s="1" t="s">
        <v>1542</v>
      </c>
      <c r="I259" s="1">
        <v>336235.0</v>
      </c>
      <c r="J259" s="1" t="s">
        <v>1543</v>
      </c>
      <c r="K259" s="1" t="s">
        <v>1544</v>
      </c>
      <c r="L259" s="1">
        <v>782.0</v>
      </c>
      <c r="M259" s="1" t="s">
        <v>35</v>
      </c>
      <c r="N259" s="1" t="s">
        <v>36</v>
      </c>
      <c r="O259" s="1" t="s">
        <v>37</v>
      </c>
      <c r="P259" s="1">
        <v>1.1E8</v>
      </c>
      <c r="Q259" s="1">
        <v>2007.0</v>
      </c>
      <c r="R259" s="1">
        <v>13000.0</v>
      </c>
      <c r="S259" s="1">
        <v>300.0</v>
      </c>
      <c r="T259" s="1">
        <v>297.0</v>
      </c>
      <c r="U259" s="1">
        <v>13961.0</v>
      </c>
      <c r="V259" s="1">
        <v>235.0</v>
      </c>
      <c r="W259" s="1">
        <v>0.0</v>
      </c>
      <c r="X259" s="1">
        <v>1.0</v>
      </c>
      <c r="Y259" s="1">
        <v>2.35</v>
      </c>
      <c r="Z259" s="1">
        <v>7.2</v>
      </c>
    </row>
    <row r="260" ht="14.25" customHeight="1">
      <c r="A260" s="1" t="s">
        <v>26</v>
      </c>
      <c r="B260" s="1" t="s">
        <v>163</v>
      </c>
      <c r="C260" s="1" t="s">
        <v>1545</v>
      </c>
      <c r="D260" s="1">
        <v>3.13837577E8</v>
      </c>
      <c r="E260" s="1" t="s">
        <v>543</v>
      </c>
      <c r="F260" s="1" t="s">
        <v>193</v>
      </c>
      <c r="G260" s="1" t="s">
        <v>42</v>
      </c>
      <c r="H260" s="1" t="s">
        <v>1546</v>
      </c>
      <c r="I260" s="1">
        <v>1238746.0</v>
      </c>
      <c r="J260" s="1" t="s">
        <v>1547</v>
      </c>
      <c r="K260" s="1" t="s">
        <v>1548</v>
      </c>
      <c r="L260" s="1">
        <v>5060.0</v>
      </c>
      <c r="M260" s="1" t="s">
        <v>35</v>
      </c>
      <c r="N260" s="1" t="s">
        <v>171</v>
      </c>
      <c r="O260" s="1" t="s">
        <v>37</v>
      </c>
      <c r="P260" s="1">
        <v>9.3E7</v>
      </c>
      <c r="Q260" s="1">
        <v>2001.0</v>
      </c>
      <c r="R260" s="1">
        <v>16000.0</v>
      </c>
      <c r="S260" s="1">
        <v>5000.0</v>
      </c>
      <c r="T260" s="1">
        <v>857.0</v>
      </c>
      <c r="U260" s="1">
        <v>22342.0</v>
      </c>
      <c r="V260" s="1">
        <v>0.0</v>
      </c>
      <c r="W260" s="1">
        <v>21000.0</v>
      </c>
      <c r="X260" s="1">
        <v>2.0</v>
      </c>
      <c r="Y260" s="1">
        <v>2.35</v>
      </c>
      <c r="Z260" s="1">
        <v>8.8</v>
      </c>
    </row>
    <row r="261" ht="14.25" customHeight="1">
      <c r="A261" s="1" t="s">
        <v>26</v>
      </c>
      <c r="B261" s="1" t="s">
        <v>1549</v>
      </c>
      <c r="C261" s="1" t="s">
        <v>1550</v>
      </c>
      <c r="D261" s="1">
        <v>2.4004159E7</v>
      </c>
      <c r="E261" s="1" t="s">
        <v>1551</v>
      </c>
      <c r="F261" s="1" t="s">
        <v>385</v>
      </c>
      <c r="G261" s="1" t="s">
        <v>776</v>
      </c>
      <c r="H261" s="1" t="s">
        <v>1552</v>
      </c>
      <c r="I261" s="1">
        <v>68720.0</v>
      </c>
      <c r="J261" s="1" t="s">
        <v>1553</v>
      </c>
      <c r="K261" s="1" t="s">
        <v>1554</v>
      </c>
      <c r="L261" s="1">
        <v>191.0</v>
      </c>
      <c r="M261" s="1" t="s">
        <v>35</v>
      </c>
      <c r="N261" s="1" t="s">
        <v>36</v>
      </c>
      <c r="O261" s="1" t="s">
        <v>87</v>
      </c>
      <c r="P261" s="1">
        <v>1.1E8</v>
      </c>
      <c r="Q261" s="1">
        <v>2004.0</v>
      </c>
      <c r="R261" s="1">
        <v>1000.0</v>
      </c>
      <c r="S261" s="1">
        <v>1000.0</v>
      </c>
      <c r="T261" s="1">
        <v>447.0</v>
      </c>
      <c r="U261" s="1">
        <v>3175.0</v>
      </c>
      <c r="V261" s="1">
        <v>153.0</v>
      </c>
      <c r="W261" s="1">
        <v>0.0</v>
      </c>
      <c r="X261" s="1">
        <v>0.0</v>
      </c>
      <c r="Y261" s="1">
        <v>2.35</v>
      </c>
      <c r="Z261" s="1">
        <v>5.8</v>
      </c>
    </row>
    <row r="262" ht="14.25" customHeight="1">
      <c r="A262" s="1" t="s">
        <v>710</v>
      </c>
      <c r="B262" s="1" t="s">
        <v>1555</v>
      </c>
      <c r="C262" s="1" t="s">
        <v>1556</v>
      </c>
      <c r="D262" s="1">
        <v>5.8183966E7</v>
      </c>
      <c r="E262" s="1" t="s">
        <v>1557</v>
      </c>
      <c r="F262" s="1" t="s">
        <v>158</v>
      </c>
      <c r="G262" s="1" t="s">
        <v>768</v>
      </c>
      <c r="H262" s="1" t="s">
        <v>1010</v>
      </c>
      <c r="I262" s="1">
        <v>79186.0</v>
      </c>
      <c r="J262" s="1" t="s">
        <v>1558</v>
      </c>
      <c r="K262" s="1" t="s">
        <v>1559</v>
      </c>
      <c r="L262" s="1">
        <v>386.0</v>
      </c>
      <c r="M262" s="1" t="s">
        <v>35</v>
      </c>
      <c r="N262" s="1" t="s">
        <v>36</v>
      </c>
      <c r="O262" s="1" t="s">
        <v>628</v>
      </c>
      <c r="P262" s="1">
        <v>1.07E8</v>
      </c>
      <c r="Q262" s="1">
        <v>2001.0</v>
      </c>
      <c r="R262" s="1">
        <v>10000.0</v>
      </c>
      <c r="S262" s="1">
        <v>851.0</v>
      </c>
      <c r="T262" s="1">
        <v>780.0</v>
      </c>
      <c r="U262" s="1">
        <v>14196.0</v>
      </c>
      <c r="V262" s="1">
        <v>0.0</v>
      </c>
      <c r="W262" s="1">
        <v>0.0</v>
      </c>
      <c r="X262" s="1">
        <v>1.0</v>
      </c>
      <c r="Y262" s="1">
        <v>2.35</v>
      </c>
      <c r="Z262" s="1">
        <v>6.8</v>
      </c>
    </row>
    <row r="263" ht="14.25" customHeight="1">
      <c r="A263" s="1" t="s">
        <v>26</v>
      </c>
      <c r="B263" s="1" t="s">
        <v>1560</v>
      </c>
      <c r="C263" s="1" t="s">
        <v>1561</v>
      </c>
      <c r="D263" s="1">
        <v>1.00446895E8</v>
      </c>
      <c r="E263" s="1" t="s">
        <v>751</v>
      </c>
      <c r="F263" s="1" t="s">
        <v>266</v>
      </c>
      <c r="G263" s="1" t="s">
        <v>1562</v>
      </c>
      <c r="H263" s="1" t="s">
        <v>1563</v>
      </c>
      <c r="I263" s="1">
        <v>36033.0</v>
      </c>
      <c r="J263" s="1" t="s">
        <v>1564</v>
      </c>
      <c r="K263" s="1" t="s">
        <v>1565</v>
      </c>
      <c r="L263" s="1">
        <v>456.0</v>
      </c>
      <c r="M263" s="1" t="s">
        <v>35</v>
      </c>
      <c r="N263" s="1" t="s">
        <v>36</v>
      </c>
      <c r="O263" s="1" t="s">
        <v>87</v>
      </c>
      <c r="P263" s="1">
        <v>1.09E8</v>
      </c>
      <c r="Q263" s="1">
        <v>2003.0</v>
      </c>
      <c r="R263" s="1">
        <v>760.0</v>
      </c>
      <c r="S263" s="1">
        <v>743.0</v>
      </c>
      <c r="T263" s="1">
        <v>434.0</v>
      </c>
      <c r="U263" s="1">
        <v>2762.0</v>
      </c>
      <c r="V263" s="1">
        <v>34.0</v>
      </c>
      <c r="W263" s="1">
        <v>946.0</v>
      </c>
      <c r="X263" s="1">
        <v>1.0</v>
      </c>
      <c r="Y263" s="1">
        <v>1.85</v>
      </c>
      <c r="Z263" s="1">
        <v>3.8</v>
      </c>
    </row>
    <row r="264" ht="14.25" customHeight="1">
      <c r="A264" s="1" t="s">
        <v>26</v>
      </c>
      <c r="B264" s="1" t="s">
        <v>1002</v>
      </c>
      <c r="C264" s="1" t="s">
        <v>1566</v>
      </c>
      <c r="D264" s="1">
        <v>1.4479535E8</v>
      </c>
      <c r="E264" s="1" t="s">
        <v>1567</v>
      </c>
      <c r="F264" s="1" t="s">
        <v>158</v>
      </c>
      <c r="G264" s="1" t="s">
        <v>346</v>
      </c>
      <c r="H264" s="1" t="s">
        <v>1568</v>
      </c>
      <c r="I264" s="1">
        <v>387632.0</v>
      </c>
      <c r="J264" s="1" t="s">
        <v>1569</v>
      </c>
      <c r="K264" s="1" t="s">
        <v>1570</v>
      </c>
      <c r="L264" s="1">
        <v>789.0</v>
      </c>
      <c r="M264" s="1" t="s">
        <v>35</v>
      </c>
      <c r="N264" s="1" t="s">
        <v>36</v>
      </c>
      <c r="O264" s="1" t="s">
        <v>37</v>
      </c>
      <c r="P264" s="1">
        <v>1.2E8</v>
      </c>
      <c r="Q264" s="1">
        <v>2004.0</v>
      </c>
      <c r="R264" s="1">
        <v>10000.0</v>
      </c>
      <c r="S264" s="1">
        <v>981.0</v>
      </c>
      <c r="T264" s="1">
        <v>466.0</v>
      </c>
      <c r="U264" s="1">
        <v>12068.0</v>
      </c>
      <c r="V264" s="1">
        <v>295.0</v>
      </c>
      <c r="W264" s="1">
        <v>0.0</v>
      </c>
      <c r="X264" s="1">
        <v>1.0</v>
      </c>
      <c r="Y264" s="1">
        <v>2.35</v>
      </c>
      <c r="Z264" s="1">
        <v>7.1</v>
      </c>
    </row>
    <row r="265" ht="14.25" customHeight="1">
      <c r="A265" s="1" t="s">
        <v>26</v>
      </c>
      <c r="B265" s="1" t="s">
        <v>179</v>
      </c>
      <c r="C265" s="1" t="s">
        <v>1571</v>
      </c>
      <c r="D265" s="1">
        <v>4.7396698E7</v>
      </c>
      <c r="E265" s="1" t="s">
        <v>1061</v>
      </c>
      <c r="F265" s="1" t="s">
        <v>220</v>
      </c>
      <c r="G265" s="1" t="s">
        <v>42</v>
      </c>
      <c r="H265" s="1" t="s">
        <v>1572</v>
      </c>
      <c r="I265" s="1">
        <v>217373.0</v>
      </c>
      <c r="J265" s="1" t="s">
        <v>1573</v>
      </c>
      <c r="K265" s="1" t="s">
        <v>1574</v>
      </c>
      <c r="L265" s="1">
        <v>942.0</v>
      </c>
      <c r="M265" s="1" t="s">
        <v>35</v>
      </c>
      <c r="N265" s="1" t="s">
        <v>36</v>
      </c>
      <c r="O265" s="1" t="s">
        <v>628</v>
      </c>
      <c r="P265" s="1">
        <v>1.3E8</v>
      </c>
      <c r="Q265" s="1">
        <v>2005.0</v>
      </c>
      <c r="R265" s="1">
        <v>14000.0</v>
      </c>
      <c r="S265" s="1">
        <v>5000.0</v>
      </c>
      <c r="T265" s="1">
        <v>195.0</v>
      </c>
      <c r="U265" s="1">
        <v>19600.0</v>
      </c>
      <c r="V265" s="1">
        <v>0.0</v>
      </c>
      <c r="W265" s="1">
        <v>0.0</v>
      </c>
      <c r="X265" s="1">
        <v>1.0</v>
      </c>
      <c r="Y265" s="1">
        <v>2.35</v>
      </c>
      <c r="Z265" s="1">
        <v>7.2</v>
      </c>
    </row>
    <row r="266" ht="14.25" customHeight="1">
      <c r="A266" s="1" t="s">
        <v>26</v>
      </c>
      <c r="B266" s="1" t="s">
        <v>909</v>
      </c>
      <c r="C266" s="1" t="s">
        <v>1575</v>
      </c>
      <c r="D266" s="1">
        <v>1.40015224E8</v>
      </c>
      <c r="E266" s="1" t="s">
        <v>751</v>
      </c>
      <c r="F266" s="1" t="s">
        <v>1576</v>
      </c>
      <c r="G266" s="1" t="s">
        <v>1329</v>
      </c>
      <c r="H266" s="1" t="s">
        <v>1577</v>
      </c>
      <c r="I266" s="1">
        <v>94172.0</v>
      </c>
      <c r="J266" s="1" t="s">
        <v>1578</v>
      </c>
      <c r="K266" s="1" t="s">
        <v>1579</v>
      </c>
      <c r="L266" s="1">
        <v>179.0</v>
      </c>
      <c r="M266" s="1" t="s">
        <v>35</v>
      </c>
      <c r="N266" s="1" t="s">
        <v>730</v>
      </c>
      <c r="O266" s="1" t="s">
        <v>87</v>
      </c>
      <c r="P266" s="1">
        <v>1.33E8</v>
      </c>
      <c r="Q266" s="1">
        <v>1999.0</v>
      </c>
      <c r="R266" s="1">
        <v>979.0</v>
      </c>
      <c r="S266" s="1">
        <v>886.0</v>
      </c>
      <c r="T266" s="1">
        <v>692.0</v>
      </c>
      <c r="U266" s="1">
        <v>3382.0</v>
      </c>
      <c r="V266" s="1">
        <v>50.0</v>
      </c>
      <c r="W266" s="1">
        <v>0.0</v>
      </c>
      <c r="X266" s="1">
        <v>0.0</v>
      </c>
      <c r="Y266" s="1">
        <v>1.85</v>
      </c>
      <c r="Z266" s="1">
        <v>5.9</v>
      </c>
    </row>
    <row r="267" ht="14.25" customHeight="1">
      <c r="A267" s="1" t="s">
        <v>26</v>
      </c>
      <c r="B267" s="1" t="s">
        <v>1580</v>
      </c>
      <c r="C267" s="1" t="s">
        <v>1581</v>
      </c>
      <c r="D267" s="1">
        <v>1.04374107E8</v>
      </c>
      <c r="E267" s="1" t="s">
        <v>1582</v>
      </c>
      <c r="F267" s="1" t="s">
        <v>866</v>
      </c>
      <c r="G267" s="1" t="s">
        <v>1583</v>
      </c>
      <c r="H267" s="1" t="s">
        <v>1584</v>
      </c>
      <c r="I267" s="1">
        <v>89351.0</v>
      </c>
      <c r="J267" s="1" t="s">
        <v>1585</v>
      </c>
      <c r="K267" s="1" t="s">
        <v>1586</v>
      </c>
      <c r="L267" s="1">
        <v>214.0</v>
      </c>
      <c r="M267" s="1" t="s">
        <v>35</v>
      </c>
      <c r="N267" s="1" t="s">
        <v>36</v>
      </c>
      <c r="O267" s="1" t="s">
        <v>269</v>
      </c>
      <c r="P267" s="1">
        <v>1.05E8</v>
      </c>
      <c r="Q267" s="1">
        <v>2009.0</v>
      </c>
      <c r="R267" s="1">
        <v>852.0</v>
      </c>
      <c r="S267" s="1">
        <v>578.0</v>
      </c>
      <c r="T267" s="1">
        <v>525.0</v>
      </c>
      <c r="U267" s="1">
        <v>2480.0</v>
      </c>
      <c r="V267" s="1">
        <v>63.0</v>
      </c>
      <c r="W267" s="1">
        <v>5000.0</v>
      </c>
      <c r="X267" s="1">
        <v>0.0</v>
      </c>
      <c r="Y267" s="1">
        <v>1.85</v>
      </c>
      <c r="Z267" s="1">
        <v>7.1</v>
      </c>
    </row>
    <row r="268" ht="14.25" customHeight="1">
      <c r="A268" s="1" t="s">
        <v>26</v>
      </c>
      <c r="B268" s="1" t="s">
        <v>179</v>
      </c>
      <c r="C268" s="1" t="s">
        <v>1587</v>
      </c>
      <c r="D268" s="1">
        <v>2.28430993E8</v>
      </c>
      <c r="E268" s="1" t="s">
        <v>636</v>
      </c>
      <c r="F268" s="1" t="s">
        <v>1113</v>
      </c>
      <c r="G268" s="1" t="s">
        <v>1588</v>
      </c>
      <c r="H268" s="1" t="s">
        <v>1589</v>
      </c>
      <c r="I268" s="1">
        <v>472488.0</v>
      </c>
      <c r="J268" s="1" t="s">
        <v>1590</v>
      </c>
      <c r="K268" s="1" t="s">
        <v>1591</v>
      </c>
      <c r="L268" s="1">
        <v>1023.0</v>
      </c>
      <c r="M268" s="1" t="s">
        <v>35</v>
      </c>
      <c r="N268" s="1" t="s">
        <v>36</v>
      </c>
      <c r="O268" s="1" t="s">
        <v>37</v>
      </c>
      <c r="P268" s="1">
        <v>1.08E8</v>
      </c>
      <c r="Q268" s="1">
        <v>2015.0</v>
      </c>
      <c r="R268" s="1">
        <v>13000.0</v>
      </c>
      <c r="S268" s="1">
        <v>801.0</v>
      </c>
      <c r="T268" s="1">
        <v>372.0</v>
      </c>
      <c r="U268" s="1">
        <v>14831.0</v>
      </c>
      <c r="V268" s="1">
        <v>0.0</v>
      </c>
      <c r="W268" s="1">
        <v>153000.0</v>
      </c>
      <c r="X268" s="1">
        <v>1.0</v>
      </c>
      <c r="Y268" s="1">
        <v>2.35</v>
      </c>
      <c r="Z268" s="1">
        <v>8.1</v>
      </c>
    </row>
    <row r="269" ht="14.25" customHeight="1">
      <c r="A269" s="1" t="s">
        <v>26</v>
      </c>
      <c r="B269" s="1" t="s">
        <v>270</v>
      </c>
      <c r="C269" s="1" t="s">
        <v>1592</v>
      </c>
      <c r="D269" s="1">
        <v>3.5799026E7</v>
      </c>
      <c r="E269" s="1" t="s">
        <v>1593</v>
      </c>
      <c r="F269" s="1" t="s">
        <v>92</v>
      </c>
      <c r="G269" s="1" t="s">
        <v>264</v>
      </c>
      <c r="H269" s="1" t="s">
        <v>632</v>
      </c>
      <c r="I269" s="1">
        <v>263329.0</v>
      </c>
      <c r="J269" s="1" t="s">
        <v>1594</v>
      </c>
      <c r="K269" s="1" t="s">
        <v>1595</v>
      </c>
      <c r="L269" s="1">
        <v>899.0</v>
      </c>
      <c r="M269" s="1" t="s">
        <v>35</v>
      </c>
      <c r="N269" s="1" t="s">
        <v>36</v>
      </c>
      <c r="O269" s="1" t="s">
        <v>37</v>
      </c>
      <c r="P269" s="1">
        <v>1.26E8</v>
      </c>
      <c r="Q269" s="1">
        <v>2005.0</v>
      </c>
      <c r="R269" s="1">
        <v>19000.0</v>
      </c>
      <c r="S269" s="1">
        <v>12000.0</v>
      </c>
      <c r="T269" s="1">
        <v>3000.0</v>
      </c>
      <c r="U269" s="1">
        <v>34839.0</v>
      </c>
      <c r="V269" s="1">
        <v>0.0</v>
      </c>
      <c r="W269" s="1">
        <v>0.0</v>
      </c>
      <c r="X269" s="1">
        <v>1.0</v>
      </c>
      <c r="Y269" s="1">
        <v>2.35</v>
      </c>
      <c r="Z269" s="1">
        <v>6.9</v>
      </c>
    </row>
    <row r="270" ht="14.25" customHeight="1">
      <c r="A270" s="1" t="s">
        <v>26</v>
      </c>
      <c r="B270" s="1" t="s">
        <v>1596</v>
      </c>
      <c r="C270" s="1" t="s">
        <v>1597</v>
      </c>
      <c r="D270" s="1">
        <v>6712451.0</v>
      </c>
      <c r="E270" s="1" t="s">
        <v>1598</v>
      </c>
      <c r="F270" s="1" t="s">
        <v>1599</v>
      </c>
      <c r="G270" s="1" t="s">
        <v>1600</v>
      </c>
      <c r="H270" s="1" t="s">
        <v>535</v>
      </c>
      <c r="I270" s="1">
        <v>4102.0</v>
      </c>
      <c r="J270" s="1" t="s">
        <v>1601</v>
      </c>
      <c r="K270" s="1" t="s">
        <v>1602</v>
      </c>
      <c r="L270" s="1">
        <v>89.0</v>
      </c>
      <c r="M270" s="1" t="s">
        <v>35</v>
      </c>
      <c r="N270" s="1" t="s">
        <v>1603</v>
      </c>
      <c r="O270" s="1" t="s">
        <v>628</v>
      </c>
      <c r="P270" s="1">
        <v>9.0E7</v>
      </c>
      <c r="Q270" s="1">
        <v>2001.0</v>
      </c>
      <c r="R270" s="1">
        <v>752.0</v>
      </c>
      <c r="S270" s="1">
        <v>631.0</v>
      </c>
      <c r="T270" s="1">
        <v>591.0</v>
      </c>
      <c r="U270" s="1">
        <v>3133.0</v>
      </c>
      <c r="V270" s="1">
        <v>23.0</v>
      </c>
      <c r="W270" s="1">
        <v>53.0</v>
      </c>
      <c r="X270" s="1">
        <v>0.0</v>
      </c>
      <c r="Y270" s="1">
        <v>1.85</v>
      </c>
      <c r="Z270" s="1">
        <v>4.4</v>
      </c>
    </row>
    <row r="271" ht="14.25" customHeight="1">
      <c r="A271" s="1" t="s">
        <v>26</v>
      </c>
      <c r="B271" s="1" t="s">
        <v>1604</v>
      </c>
      <c r="C271" s="1" t="s">
        <v>1605</v>
      </c>
      <c r="D271" s="1">
        <v>1.01643008E8</v>
      </c>
      <c r="E271" s="1" t="s">
        <v>326</v>
      </c>
      <c r="F271" s="1" t="s">
        <v>668</v>
      </c>
      <c r="G271" s="1" t="s">
        <v>550</v>
      </c>
      <c r="H271" s="1" t="s">
        <v>1606</v>
      </c>
      <c r="I271" s="1">
        <v>218341.0</v>
      </c>
      <c r="J271" s="1" t="s">
        <v>1607</v>
      </c>
      <c r="K271" s="1" t="s">
        <v>1608</v>
      </c>
      <c r="L271" s="1">
        <v>498.0</v>
      </c>
      <c r="M271" s="1" t="s">
        <v>35</v>
      </c>
      <c r="N271" s="1" t="s">
        <v>36</v>
      </c>
      <c r="O271" s="1" t="s">
        <v>37</v>
      </c>
      <c r="P271" s="1">
        <v>9.0E7</v>
      </c>
      <c r="Q271" s="1">
        <v>2000.0</v>
      </c>
      <c r="R271" s="1">
        <v>12000.0</v>
      </c>
      <c r="S271" s="1">
        <v>11000.0</v>
      </c>
      <c r="T271" s="1">
        <v>3000.0</v>
      </c>
      <c r="U271" s="1">
        <v>29069.0</v>
      </c>
      <c r="V271" s="1">
        <v>57.0</v>
      </c>
      <c r="W271" s="1">
        <v>0.0</v>
      </c>
      <c r="X271" s="1">
        <v>1.0</v>
      </c>
      <c r="Y271" s="1">
        <v>2.35</v>
      </c>
      <c r="Z271" s="1">
        <v>6.5</v>
      </c>
    </row>
    <row r="272" ht="14.25" customHeight="1">
      <c r="A272" s="1" t="s">
        <v>26</v>
      </c>
      <c r="B272" s="1" t="s">
        <v>179</v>
      </c>
      <c r="C272" s="1" t="s">
        <v>1609</v>
      </c>
      <c r="D272" s="1">
        <v>1.87670866E8</v>
      </c>
      <c r="E272" s="1" t="s">
        <v>1610</v>
      </c>
      <c r="F272" s="1" t="s">
        <v>632</v>
      </c>
      <c r="G272" s="1" t="s">
        <v>1611</v>
      </c>
      <c r="H272" s="1" t="s">
        <v>1612</v>
      </c>
      <c r="I272" s="1">
        <v>982637.0</v>
      </c>
      <c r="J272" s="1" t="s">
        <v>1613</v>
      </c>
      <c r="K272" s="1" t="s">
        <v>1614</v>
      </c>
      <c r="L272" s="1">
        <v>2368.0</v>
      </c>
      <c r="M272" s="1" t="s">
        <v>35</v>
      </c>
      <c r="N272" s="1" t="s">
        <v>36</v>
      </c>
      <c r="O272" s="1" t="s">
        <v>628</v>
      </c>
      <c r="P272" s="1">
        <v>1.03E8</v>
      </c>
      <c r="Q272" s="1">
        <v>2000.0</v>
      </c>
      <c r="R272" s="1">
        <v>3000.0</v>
      </c>
      <c r="S272" s="1">
        <v>933.0</v>
      </c>
      <c r="T272" s="1">
        <v>695.0</v>
      </c>
      <c r="U272" s="1">
        <v>6521.0</v>
      </c>
      <c r="V272" s="1">
        <v>0.0</v>
      </c>
      <c r="W272" s="1">
        <v>21000.0</v>
      </c>
      <c r="X272" s="1">
        <v>0.0</v>
      </c>
      <c r="Y272" s="1">
        <v>2.35</v>
      </c>
      <c r="Z272" s="1">
        <v>8.5</v>
      </c>
    </row>
    <row r="273" ht="14.25" customHeight="1">
      <c r="A273" s="1" t="s">
        <v>26</v>
      </c>
      <c r="B273" s="1" t="s">
        <v>381</v>
      </c>
      <c r="C273" s="1" t="s">
        <v>1615</v>
      </c>
      <c r="D273" s="1">
        <v>1.32014112E8</v>
      </c>
      <c r="E273" s="1" t="s">
        <v>1567</v>
      </c>
      <c r="F273" s="1" t="s">
        <v>508</v>
      </c>
      <c r="G273" s="1" t="s">
        <v>1616</v>
      </c>
      <c r="H273" s="1" t="s">
        <v>1617</v>
      </c>
      <c r="I273" s="1">
        <v>399651.0</v>
      </c>
      <c r="J273" s="1" t="s">
        <v>1618</v>
      </c>
      <c r="K273" s="1" t="s">
        <v>1619</v>
      </c>
      <c r="L273" s="1">
        <v>1331.0</v>
      </c>
      <c r="M273" s="1" t="s">
        <v>35</v>
      </c>
      <c r="N273" s="1" t="s">
        <v>36</v>
      </c>
      <c r="O273" s="1" t="s">
        <v>37</v>
      </c>
      <c r="P273" s="1">
        <v>1.02E8</v>
      </c>
      <c r="Q273" s="1">
        <v>2002.0</v>
      </c>
      <c r="R273" s="1">
        <v>10000.0</v>
      </c>
      <c r="S273" s="1">
        <v>798.0</v>
      </c>
      <c r="T273" s="1">
        <v>533.0</v>
      </c>
      <c r="U273" s="1">
        <v>12546.0</v>
      </c>
      <c r="V273" s="1">
        <v>14000.0</v>
      </c>
      <c r="W273" s="1">
        <v>0.0</v>
      </c>
      <c r="X273" s="1">
        <v>0.0</v>
      </c>
      <c r="Y273" s="1">
        <v>2.35</v>
      </c>
      <c r="Z273" s="1">
        <v>7.7</v>
      </c>
    </row>
    <row r="274" ht="14.25" customHeight="1">
      <c r="A274" s="1" t="s">
        <v>26</v>
      </c>
      <c r="B274" s="1" t="s">
        <v>1200</v>
      </c>
      <c r="C274" s="1" t="s">
        <v>1620</v>
      </c>
      <c r="D274" s="1">
        <v>2.61970615E8</v>
      </c>
      <c r="E274" s="1" t="s">
        <v>97</v>
      </c>
      <c r="F274" s="1" t="s">
        <v>99</v>
      </c>
      <c r="G274" s="1" t="s">
        <v>100</v>
      </c>
      <c r="H274" s="1" t="s">
        <v>1161</v>
      </c>
      <c r="I274" s="1">
        <v>387616.0</v>
      </c>
      <c r="J274" s="1" t="s">
        <v>1621</v>
      </c>
      <c r="K274" s="1" t="s">
        <v>1622</v>
      </c>
      <c r="L274" s="1">
        <v>858.0</v>
      </c>
      <c r="M274" s="1" t="s">
        <v>35</v>
      </c>
      <c r="N274" s="1" t="s">
        <v>54</v>
      </c>
      <c r="O274" s="1" t="s">
        <v>87</v>
      </c>
      <c r="P274" s="1">
        <v>1.0E8</v>
      </c>
      <c r="Q274" s="1">
        <v>2002.0</v>
      </c>
      <c r="R274" s="1">
        <v>11000.0</v>
      </c>
      <c r="S274" s="1">
        <v>10000.0</v>
      </c>
      <c r="T274" s="1">
        <v>9000.0</v>
      </c>
      <c r="U274" s="1">
        <v>35672.0</v>
      </c>
      <c r="V274" s="1">
        <v>0.0</v>
      </c>
      <c r="W274" s="1">
        <v>0.0</v>
      </c>
      <c r="X274" s="1">
        <v>1.0</v>
      </c>
      <c r="Y274" s="1">
        <v>2.35</v>
      </c>
      <c r="Z274" s="1">
        <v>7.4</v>
      </c>
    </row>
    <row r="275" ht="14.25" customHeight="1">
      <c r="A275" s="1" t="s">
        <v>710</v>
      </c>
      <c r="B275" s="1" t="s">
        <v>305</v>
      </c>
      <c r="C275" s="1" t="s">
        <v>1623</v>
      </c>
      <c r="D275" s="1">
        <v>1.67007184E8</v>
      </c>
      <c r="E275" s="1" t="s">
        <v>48</v>
      </c>
      <c r="F275" s="1" t="s">
        <v>194</v>
      </c>
      <c r="G275" s="1" t="s">
        <v>1624</v>
      </c>
      <c r="H275" s="1" t="s">
        <v>1625</v>
      </c>
      <c r="I275" s="1">
        <v>470483.0</v>
      </c>
      <c r="J275" s="1" t="s">
        <v>1626</v>
      </c>
      <c r="K275" s="1" t="s">
        <v>1627</v>
      </c>
      <c r="L275" s="1">
        <v>2301.0</v>
      </c>
      <c r="M275" s="1" t="s">
        <v>35</v>
      </c>
      <c r="N275" s="1" t="s">
        <v>54</v>
      </c>
      <c r="O275" s="1" t="s">
        <v>37</v>
      </c>
      <c r="P275" s="1">
        <v>1.5E8</v>
      </c>
      <c r="Q275" s="1">
        <v>2006.0</v>
      </c>
      <c r="R275" s="1">
        <v>6000.0</v>
      </c>
      <c r="S275" s="1">
        <v>1000.0</v>
      </c>
      <c r="T275" s="1">
        <v>834.0</v>
      </c>
      <c r="U275" s="1">
        <v>9125.0</v>
      </c>
      <c r="V275" s="1">
        <v>258.0</v>
      </c>
      <c r="W275" s="1">
        <v>0.0</v>
      </c>
      <c r="X275" s="1">
        <v>1.0</v>
      </c>
      <c r="Y275" s="1">
        <v>2.35</v>
      </c>
      <c r="Z275" s="1">
        <v>8.0</v>
      </c>
    </row>
    <row r="276" ht="14.25" customHeight="1">
      <c r="A276" s="1" t="s">
        <v>26</v>
      </c>
      <c r="B276" s="1" t="s">
        <v>247</v>
      </c>
      <c r="C276" s="1" t="s">
        <v>1628</v>
      </c>
      <c r="D276" s="1">
        <v>1.8001174E8</v>
      </c>
      <c r="E276" s="1" t="s">
        <v>219</v>
      </c>
      <c r="F276" s="1" t="s">
        <v>564</v>
      </c>
      <c r="G276" s="1" t="s">
        <v>1629</v>
      </c>
      <c r="H276" s="1" t="s">
        <v>1630</v>
      </c>
      <c r="I276" s="1">
        <v>177725.0</v>
      </c>
      <c r="J276" s="1" t="s">
        <v>1631</v>
      </c>
      <c r="K276" s="1" t="s">
        <v>1632</v>
      </c>
      <c r="L276" s="1">
        <v>1368.0</v>
      </c>
      <c r="M276" s="1" t="s">
        <v>35</v>
      </c>
      <c r="N276" s="1" t="s">
        <v>36</v>
      </c>
      <c r="O276" s="1" t="s">
        <v>37</v>
      </c>
      <c r="P276" s="1">
        <v>1.0E8</v>
      </c>
      <c r="Q276" s="1">
        <v>2001.0</v>
      </c>
      <c r="R276" s="1">
        <v>1000.0</v>
      </c>
      <c r="S276" s="1">
        <v>658.0</v>
      </c>
      <c r="T276" s="1">
        <v>567.0</v>
      </c>
      <c r="U276" s="1">
        <v>2776.0</v>
      </c>
      <c r="V276" s="1">
        <v>13000.0</v>
      </c>
      <c r="W276" s="1">
        <v>0.0</v>
      </c>
      <c r="X276" s="1">
        <v>0.0</v>
      </c>
      <c r="Y276" s="1">
        <v>2.35</v>
      </c>
      <c r="Z276" s="1">
        <v>5.7</v>
      </c>
    </row>
    <row r="277" ht="14.25" customHeight="1">
      <c r="A277" s="1" t="s">
        <v>26</v>
      </c>
      <c r="B277" s="1" t="s">
        <v>27</v>
      </c>
      <c r="C277" s="1" t="s">
        <v>1633</v>
      </c>
      <c r="D277" s="1">
        <v>2.0484335E8</v>
      </c>
      <c r="E277" s="1" t="s">
        <v>623</v>
      </c>
      <c r="F277" s="1" t="s">
        <v>1010</v>
      </c>
      <c r="G277" s="1" t="s">
        <v>1634</v>
      </c>
      <c r="H277" s="1" t="s">
        <v>1635</v>
      </c>
      <c r="I277" s="1">
        <v>744891.0</v>
      </c>
      <c r="J277" s="1" t="s">
        <v>1636</v>
      </c>
      <c r="K277" s="1" t="s">
        <v>1637</v>
      </c>
      <c r="L277" s="1">
        <v>983.0</v>
      </c>
      <c r="M277" s="1" t="s">
        <v>35</v>
      </c>
      <c r="N277" s="1" t="s">
        <v>36</v>
      </c>
      <c r="O277" s="1" t="s">
        <v>628</v>
      </c>
      <c r="P277" s="1">
        <v>1.02E8</v>
      </c>
      <c r="Q277" s="1">
        <v>1991.0</v>
      </c>
      <c r="R277" s="1">
        <v>780.0</v>
      </c>
      <c r="S277" s="1">
        <v>604.0</v>
      </c>
      <c r="T277" s="1">
        <v>539.0</v>
      </c>
      <c r="U277" s="1">
        <v>2829.0</v>
      </c>
      <c r="V277" s="1">
        <v>0.0</v>
      </c>
      <c r="W277" s="1">
        <v>13000.0</v>
      </c>
      <c r="X277" s="1">
        <v>0.0</v>
      </c>
      <c r="Y277" s="1">
        <v>2.35</v>
      </c>
      <c r="Z277" s="1">
        <v>8.5</v>
      </c>
    </row>
    <row r="278" ht="14.25" customHeight="1">
      <c r="A278" s="1" t="s">
        <v>26</v>
      </c>
      <c r="B278" s="1" t="s">
        <v>1555</v>
      </c>
      <c r="C278" s="1" t="s">
        <v>1638</v>
      </c>
      <c r="D278" s="1">
        <v>9.7030725E7</v>
      </c>
      <c r="E278" s="1" t="s">
        <v>1639</v>
      </c>
      <c r="F278" s="1" t="s">
        <v>41</v>
      </c>
      <c r="G278" s="1" t="s">
        <v>59</v>
      </c>
      <c r="H278" s="1" t="s">
        <v>152</v>
      </c>
      <c r="I278" s="1">
        <v>230931.0</v>
      </c>
      <c r="J278" s="1" t="s">
        <v>1640</v>
      </c>
      <c r="K278" s="1" t="s">
        <v>1641</v>
      </c>
      <c r="L278" s="1">
        <v>585.0</v>
      </c>
      <c r="M278" s="1" t="s">
        <v>35</v>
      </c>
      <c r="N278" s="1" t="s">
        <v>36</v>
      </c>
      <c r="O278" s="1" t="s">
        <v>628</v>
      </c>
      <c r="P278" s="1">
        <v>1.0E8</v>
      </c>
      <c r="Q278" s="1">
        <v>2009.0</v>
      </c>
      <c r="R278" s="1">
        <v>40000.0</v>
      </c>
      <c r="S278" s="1">
        <v>23000.0</v>
      </c>
      <c r="T278" s="1">
        <v>1000.0</v>
      </c>
      <c r="U278" s="1">
        <v>64599.0</v>
      </c>
      <c r="V278" s="1">
        <v>0.0</v>
      </c>
      <c r="W278" s="1">
        <v>0.0</v>
      </c>
      <c r="X278" s="1">
        <v>1.0</v>
      </c>
      <c r="Y278" s="1">
        <v>2.35</v>
      </c>
      <c r="Z278" s="1">
        <v>7.0</v>
      </c>
    </row>
    <row r="279" ht="14.25" customHeight="1">
      <c r="A279" s="1" t="s">
        <v>26</v>
      </c>
      <c r="B279" s="1" t="s">
        <v>179</v>
      </c>
      <c r="C279" s="1" t="s">
        <v>1642</v>
      </c>
      <c r="D279" s="1">
        <v>1.3012762E8</v>
      </c>
      <c r="E279" s="1" t="s">
        <v>1643</v>
      </c>
      <c r="F279" s="1" t="s">
        <v>1644</v>
      </c>
      <c r="G279" s="1" t="s">
        <v>1645</v>
      </c>
      <c r="H279" s="1" t="s">
        <v>1646</v>
      </c>
      <c r="I279" s="1">
        <v>324671.0</v>
      </c>
      <c r="J279" s="1" t="s">
        <v>1647</v>
      </c>
      <c r="K279" s="1" t="s">
        <v>1648</v>
      </c>
      <c r="L279" s="1">
        <v>458.0</v>
      </c>
      <c r="M279" s="1" t="s">
        <v>35</v>
      </c>
      <c r="N279" s="1" t="s">
        <v>36</v>
      </c>
      <c r="O279" s="1" t="s">
        <v>628</v>
      </c>
      <c r="P279" s="1">
        <v>1.0E8</v>
      </c>
      <c r="Q279" s="1">
        <v>2007.0</v>
      </c>
      <c r="R279" s="1">
        <v>18000.0</v>
      </c>
      <c r="S279" s="1">
        <v>782.0</v>
      </c>
      <c r="T279" s="1">
        <v>561.0</v>
      </c>
      <c r="U279" s="1">
        <v>20354.0</v>
      </c>
      <c r="V279" s="1">
        <v>0.0</v>
      </c>
      <c r="W279" s="1">
        <v>0.0</v>
      </c>
      <c r="X279" s="1">
        <v>0.0</v>
      </c>
      <c r="Y279" s="1">
        <v>1.85</v>
      </c>
      <c r="Z279" s="1">
        <v>7.8</v>
      </c>
    </row>
    <row r="280" ht="14.25" customHeight="1">
      <c r="A280" s="1" t="s">
        <v>26</v>
      </c>
      <c r="B280" s="1" t="s">
        <v>27</v>
      </c>
      <c r="C280" s="1" t="s">
        <v>1649</v>
      </c>
      <c r="D280" s="1">
        <v>1.46282411E8</v>
      </c>
      <c r="E280" s="1" t="s">
        <v>1650</v>
      </c>
      <c r="F280" s="1" t="s">
        <v>1651</v>
      </c>
      <c r="G280" s="1" t="s">
        <v>1652</v>
      </c>
      <c r="H280" s="1" t="s">
        <v>1653</v>
      </c>
      <c r="I280" s="1">
        <v>190439.0</v>
      </c>
      <c r="J280" s="1" t="s">
        <v>1654</v>
      </c>
      <c r="K280" s="1" t="s">
        <v>1655</v>
      </c>
      <c r="L280" s="1">
        <v>351.0</v>
      </c>
      <c r="M280" s="1" t="s">
        <v>35</v>
      </c>
      <c r="N280" s="1" t="s">
        <v>36</v>
      </c>
      <c r="O280" s="1" t="s">
        <v>628</v>
      </c>
      <c r="P280" s="1">
        <v>1.15E8</v>
      </c>
      <c r="Q280" s="1">
        <v>1994.0</v>
      </c>
      <c r="R280" s="1">
        <v>2000.0</v>
      </c>
      <c r="S280" s="1">
        <v>1000.0</v>
      </c>
      <c r="T280" s="1">
        <v>618.0</v>
      </c>
      <c r="U280" s="1">
        <v>4528.0</v>
      </c>
      <c r="V280" s="1">
        <v>0.0</v>
      </c>
      <c r="W280" s="1">
        <v>0.0</v>
      </c>
      <c r="X280" s="1">
        <v>0.0</v>
      </c>
      <c r="Y280" s="1">
        <v>2.35</v>
      </c>
      <c r="Z280" s="1">
        <v>7.2</v>
      </c>
    </row>
    <row r="281" ht="14.25" customHeight="1">
      <c r="A281" s="1" t="s">
        <v>26</v>
      </c>
      <c r="B281" s="1" t="s">
        <v>1656</v>
      </c>
      <c r="C281" s="1" t="s">
        <v>1657</v>
      </c>
      <c r="D281" s="1">
        <v>6.5452312E7</v>
      </c>
      <c r="E281" s="1" t="s">
        <v>326</v>
      </c>
      <c r="F281" s="1" t="s">
        <v>1644</v>
      </c>
      <c r="G281" s="1" t="s">
        <v>274</v>
      </c>
      <c r="H281" s="1" t="s">
        <v>1658</v>
      </c>
      <c r="I281" s="1">
        <v>149998.0</v>
      </c>
      <c r="J281" s="1" t="s">
        <v>1659</v>
      </c>
      <c r="K281" s="1" t="s">
        <v>1660</v>
      </c>
      <c r="L281" s="1">
        <v>285.0</v>
      </c>
      <c r="M281" s="1" t="s">
        <v>35</v>
      </c>
      <c r="N281" s="1" t="s">
        <v>36</v>
      </c>
      <c r="O281" s="1" t="s">
        <v>628</v>
      </c>
      <c r="P281" s="1">
        <v>1.0E8</v>
      </c>
      <c r="Q281" s="1">
        <v>2009.0</v>
      </c>
      <c r="R281" s="1">
        <v>18000.0</v>
      </c>
      <c r="S281" s="1">
        <v>464.0</v>
      </c>
      <c r="T281" s="1">
        <v>385.0</v>
      </c>
      <c r="U281" s="1">
        <v>19906.0</v>
      </c>
      <c r="V281" s="1">
        <v>12000.0</v>
      </c>
      <c r="W281" s="1">
        <v>0.0</v>
      </c>
      <c r="X281" s="1">
        <v>1.0</v>
      </c>
      <c r="Y281" s="1">
        <v>2.35</v>
      </c>
      <c r="Z281" s="1">
        <v>6.4</v>
      </c>
    </row>
    <row r="282" ht="14.25" customHeight="1">
      <c r="A282" s="1" t="s">
        <v>26</v>
      </c>
      <c r="B282" s="1" t="s">
        <v>1661</v>
      </c>
      <c r="C282" s="1" t="s">
        <v>1662</v>
      </c>
      <c r="D282" s="1">
        <v>1.4838378E8</v>
      </c>
      <c r="E282" s="1" t="s">
        <v>1598</v>
      </c>
      <c r="F282" s="1" t="s">
        <v>1663</v>
      </c>
      <c r="G282" s="1" t="s">
        <v>1664</v>
      </c>
      <c r="H282" s="1" t="s">
        <v>1665</v>
      </c>
      <c r="I282" s="1">
        <v>85531.0</v>
      </c>
      <c r="J282" s="1" t="s">
        <v>1666</v>
      </c>
      <c r="K282" s="1" t="s">
        <v>1667</v>
      </c>
      <c r="L282" s="1">
        <v>152.0</v>
      </c>
      <c r="M282" s="1" t="s">
        <v>35</v>
      </c>
      <c r="N282" s="1" t="s">
        <v>36</v>
      </c>
      <c r="O282" s="1" t="s">
        <v>37</v>
      </c>
      <c r="P282" s="1">
        <v>1.0E8</v>
      </c>
      <c r="Q282" s="1">
        <v>2010.0</v>
      </c>
      <c r="R282" s="1">
        <v>22000.0</v>
      </c>
      <c r="S282" s="1">
        <v>713.0</v>
      </c>
      <c r="T282" s="1">
        <v>708.0</v>
      </c>
      <c r="U282" s="1">
        <v>24082.0</v>
      </c>
      <c r="V282" s="1">
        <v>80.0</v>
      </c>
      <c r="W282" s="1">
        <v>0.0</v>
      </c>
      <c r="X282" s="1">
        <v>10.0</v>
      </c>
      <c r="Y282" s="1">
        <v>1.85</v>
      </c>
      <c r="Z282" s="1">
        <v>5.5</v>
      </c>
    </row>
    <row r="283" ht="14.25" customHeight="1">
      <c r="A283" s="1" t="s">
        <v>26</v>
      </c>
      <c r="B283" s="1" t="s">
        <v>1668</v>
      </c>
      <c r="C283" s="1" t="s">
        <v>1669</v>
      </c>
      <c r="D283" s="1">
        <v>1.19219978E8</v>
      </c>
      <c r="E283" s="1" t="s">
        <v>1670</v>
      </c>
      <c r="F283" s="1" t="s">
        <v>1036</v>
      </c>
      <c r="G283" s="1" t="s">
        <v>1197</v>
      </c>
      <c r="H283" s="1" t="s">
        <v>1671</v>
      </c>
      <c r="I283" s="1">
        <v>189806.0</v>
      </c>
      <c r="J283" s="1" t="s">
        <v>1672</v>
      </c>
      <c r="K283" s="1" t="s">
        <v>1673</v>
      </c>
      <c r="L283" s="1">
        <v>316.0</v>
      </c>
      <c r="M283" s="1" t="s">
        <v>35</v>
      </c>
      <c r="N283" s="1" t="s">
        <v>36</v>
      </c>
      <c r="O283" s="1" t="s">
        <v>37</v>
      </c>
      <c r="P283" s="1">
        <v>1.0E8</v>
      </c>
      <c r="Q283" s="1">
        <v>2010.0</v>
      </c>
      <c r="R283" s="1">
        <v>12000.0</v>
      </c>
      <c r="S283" s="1">
        <v>8000.0</v>
      </c>
      <c r="T283" s="1">
        <v>107.0</v>
      </c>
      <c r="U283" s="1">
        <v>20233.0</v>
      </c>
      <c r="V283" s="1">
        <v>285.0</v>
      </c>
      <c r="W283" s="1">
        <v>16000.0</v>
      </c>
      <c r="X283" s="1">
        <v>2.0</v>
      </c>
      <c r="Y283" s="1">
        <v>2.35</v>
      </c>
      <c r="Z283" s="1">
        <v>6.7</v>
      </c>
    </row>
    <row r="284" ht="14.25" customHeight="1">
      <c r="A284" s="1" t="s">
        <v>26</v>
      </c>
      <c r="B284" s="1" t="s">
        <v>1674</v>
      </c>
      <c r="C284" s="1" t="s">
        <v>1675</v>
      </c>
      <c r="D284" s="1">
        <v>1.0122812E8</v>
      </c>
      <c r="E284" s="1" t="s">
        <v>1676</v>
      </c>
      <c r="F284" s="1" t="s">
        <v>1677</v>
      </c>
      <c r="G284" s="1" t="s">
        <v>1385</v>
      </c>
      <c r="H284" s="1" t="s">
        <v>1678</v>
      </c>
      <c r="I284" s="1">
        <v>84424.0</v>
      </c>
      <c r="J284" s="1" t="s">
        <v>1679</v>
      </c>
      <c r="K284" s="1" t="s">
        <v>1680</v>
      </c>
      <c r="L284" s="1">
        <v>131.0</v>
      </c>
      <c r="M284" s="1" t="s">
        <v>35</v>
      </c>
      <c r="N284" s="1" t="s">
        <v>36</v>
      </c>
      <c r="O284" s="1" t="s">
        <v>628</v>
      </c>
      <c r="P284" s="1">
        <v>1.0E8</v>
      </c>
      <c r="Q284" s="1">
        <v>1996.0</v>
      </c>
      <c r="R284" s="1">
        <v>1000.0</v>
      </c>
      <c r="S284" s="1">
        <v>773.0</v>
      </c>
      <c r="T284" s="1">
        <v>383.0</v>
      </c>
      <c r="U284" s="1">
        <v>3454.0</v>
      </c>
      <c r="V284" s="1">
        <v>55.0</v>
      </c>
      <c r="W284" s="1">
        <v>0.0</v>
      </c>
      <c r="X284" s="1">
        <v>1.0</v>
      </c>
      <c r="Y284" s="1">
        <v>2.35</v>
      </c>
      <c r="Z284" s="1">
        <v>6.1</v>
      </c>
    </row>
    <row r="285" ht="14.25" customHeight="1">
      <c r="A285" s="1" t="s">
        <v>26</v>
      </c>
      <c r="B285" s="1" t="s">
        <v>1681</v>
      </c>
      <c r="C285" s="1" t="s">
        <v>1682</v>
      </c>
      <c r="D285" s="1">
        <v>1.62804648E8</v>
      </c>
      <c r="E285" s="1" t="s">
        <v>1683</v>
      </c>
      <c r="F285" s="1" t="s">
        <v>207</v>
      </c>
      <c r="G285" s="1" t="s">
        <v>49</v>
      </c>
      <c r="H285" s="1" t="s">
        <v>1315</v>
      </c>
      <c r="I285" s="1">
        <v>955174.0</v>
      </c>
      <c r="J285" s="1" t="s">
        <v>1684</v>
      </c>
      <c r="K285" s="1" t="s">
        <v>1685</v>
      </c>
      <c r="L285" s="1">
        <v>1193.0</v>
      </c>
      <c r="M285" s="1" t="s">
        <v>35</v>
      </c>
      <c r="N285" s="1" t="s">
        <v>36</v>
      </c>
      <c r="O285" s="1" t="s">
        <v>628</v>
      </c>
      <c r="P285" s="1">
        <v>1.0E8</v>
      </c>
      <c r="Q285" s="1">
        <v>2012.0</v>
      </c>
      <c r="R285" s="1">
        <v>29000.0</v>
      </c>
      <c r="S285" s="1">
        <v>11000.0</v>
      </c>
      <c r="T285" s="1">
        <v>265.0</v>
      </c>
      <c r="U285" s="1">
        <v>40978.0</v>
      </c>
      <c r="V285" s="1">
        <v>16000.0</v>
      </c>
      <c r="W285" s="1">
        <v>199000.0</v>
      </c>
      <c r="X285" s="1">
        <v>1.0</v>
      </c>
      <c r="Y285" s="1">
        <v>2.35</v>
      </c>
      <c r="Z285" s="1">
        <v>8.5</v>
      </c>
    </row>
    <row r="286" ht="14.25" customHeight="1">
      <c r="A286" s="1" t="s">
        <v>26</v>
      </c>
      <c r="B286" s="1" t="s">
        <v>1686</v>
      </c>
      <c r="C286" s="1" t="s">
        <v>1687</v>
      </c>
      <c r="D286" s="1">
        <v>1.00117603E8</v>
      </c>
      <c r="E286" s="1" t="s">
        <v>1688</v>
      </c>
      <c r="F286" s="1" t="s">
        <v>1320</v>
      </c>
      <c r="G286" s="1" t="s">
        <v>1689</v>
      </c>
      <c r="H286" s="1" t="s">
        <v>1690</v>
      </c>
      <c r="I286" s="1">
        <v>102933.0</v>
      </c>
      <c r="J286" s="1" t="s">
        <v>1691</v>
      </c>
      <c r="K286" s="1" t="s">
        <v>1692</v>
      </c>
      <c r="L286" s="1">
        <v>230.0</v>
      </c>
      <c r="M286" s="1" t="s">
        <v>35</v>
      </c>
      <c r="N286" s="1" t="s">
        <v>36</v>
      </c>
      <c r="O286" s="1" t="s">
        <v>269</v>
      </c>
      <c r="P286" s="1">
        <v>1.0E8</v>
      </c>
      <c r="Q286" s="1">
        <v>1996.0</v>
      </c>
      <c r="R286" s="1">
        <v>2000.0</v>
      </c>
      <c r="S286" s="1">
        <v>700.0</v>
      </c>
      <c r="T286" s="1">
        <v>542.0</v>
      </c>
      <c r="U286" s="1">
        <v>4842.0</v>
      </c>
      <c r="V286" s="1">
        <v>21.0</v>
      </c>
      <c r="W286" s="1">
        <v>0.0</v>
      </c>
      <c r="X286" s="1">
        <v>0.0</v>
      </c>
      <c r="Y286" s="1">
        <v>1.78</v>
      </c>
      <c r="Z286" s="1">
        <v>6.9</v>
      </c>
    </row>
    <row r="287" ht="14.25" customHeight="1">
      <c r="A287" s="1" t="s">
        <v>26</v>
      </c>
      <c r="B287" s="1" t="s">
        <v>1693</v>
      </c>
      <c r="C287" s="1" t="s">
        <v>1694</v>
      </c>
      <c r="D287" s="1">
        <v>8.9296573E7</v>
      </c>
      <c r="E287" s="1" t="s">
        <v>263</v>
      </c>
      <c r="F287" s="1" t="s">
        <v>1695</v>
      </c>
      <c r="G287" s="1" t="s">
        <v>1696</v>
      </c>
      <c r="H287" s="1" t="s">
        <v>1697</v>
      </c>
      <c r="I287" s="1">
        <v>128285.0</v>
      </c>
      <c r="J287" s="1" t="s">
        <v>1698</v>
      </c>
      <c r="K287" s="1" t="s">
        <v>1699</v>
      </c>
      <c r="L287" s="1">
        <v>297.0</v>
      </c>
      <c r="M287" s="1" t="s">
        <v>35</v>
      </c>
      <c r="N287" s="1" t="s">
        <v>36</v>
      </c>
      <c r="O287" s="1" t="s">
        <v>269</v>
      </c>
      <c r="P287" s="1">
        <v>1.0E8</v>
      </c>
      <c r="Q287" s="1">
        <v>2000.0</v>
      </c>
      <c r="R287" s="1">
        <v>558.0</v>
      </c>
      <c r="S287" s="1">
        <v>452.0</v>
      </c>
      <c r="T287" s="1">
        <v>253.0</v>
      </c>
      <c r="U287" s="1">
        <v>2039.0</v>
      </c>
      <c r="V287" s="1">
        <v>10.0</v>
      </c>
      <c r="W287" s="1">
        <v>0.0</v>
      </c>
      <c r="X287" s="1">
        <v>1.0</v>
      </c>
      <c r="Y287" s="1">
        <v>1.66</v>
      </c>
      <c r="Z287" s="1">
        <v>7.3</v>
      </c>
    </row>
    <row r="288" ht="14.25" customHeight="1">
      <c r="A288" s="1" t="s">
        <v>26</v>
      </c>
      <c r="B288" s="1" t="s">
        <v>1700</v>
      </c>
      <c r="C288" s="1" t="s">
        <v>1701</v>
      </c>
      <c r="D288" s="1">
        <v>8.5017401E7</v>
      </c>
      <c r="E288" s="1" t="s">
        <v>48</v>
      </c>
      <c r="F288" s="1" t="s">
        <v>327</v>
      </c>
      <c r="G288" s="1" t="s">
        <v>1702</v>
      </c>
      <c r="H288" s="1" t="s">
        <v>941</v>
      </c>
      <c r="I288" s="1">
        <v>246803.0</v>
      </c>
      <c r="J288" s="1" t="s">
        <v>1703</v>
      </c>
      <c r="K288" s="1" t="s">
        <v>1704</v>
      </c>
      <c r="L288" s="1">
        <v>474.0</v>
      </c>
      <c r="M288" s="1" t="s">
        <v>35</v>
      </c>
      <c r="N288" s="1" t="s">
        <v>36</v>
      </c>
      <c r="O288" s="1" t="s">
        <v>628</v>
      </c>
      <c r="P288" s="1">
        <v>9.2E7</v>
      </c>
      <c r="Q288" s="1">
        <v>2012.0</v>
      </c>
      <c r="R288" s="1">
        <v>26000.0</v>
      </c>
      <c r="S288" s="1">
        <v>13000.0</v>
      </c>
      <c r="T288" s="1">
        <v>13000.0</v>
      </c>
      <c r="U288" s="1">
        <v>57881.0</v>
      </c>
      <c r="V288" s="1">
        <v>165.0</v>
      </c>
      <c r="W288" s="1">
        <v>108000.0</v>
      </c>
      <c r="X288" s="1">
        <v>3.0</v>
      </c>
      <c r="Y288" s="1">
        <v>2.35</v>
      </c>
      <c r="Z288" s="1">
        <v>6.7</v>
      </c>
    </row>
    <row r="289" ht="14.25" customHeight="1">
      <c r="A289" s="1" t="s">
        <v>26</v>
      </c>
      <c r="B289" s="1" t="s">
        <v>666</v>
      </c>
      <c r="C289" s="1" t="s">
        <v>1705</v>
      </c>
      <c r="D289" s="1">
        <v>1.73005002E8</v>
      </c>
      <c r="E289" s="1" t="s">
        <v>1706</v>
      </c>
      <c r="F289" s="1" t="s">
        <v>668</v>
      </c>
      <c r="G289" s="1" t="s">
        <v>1707</v>
      </c>
      <c r="H289" s="1" t="s">
        <v>1708</v>
      </c>
      <c r="I289" s="1">
        <v>255447.0</v>
      </c>
      <c r="J289" s="1" t="s">
        <v>1709</v>
      </c>
      <c r="K289" s="1" t="s">
        <v>1710</v>
      </c>
      <c r="L289" s="1">
        <v>692.0</v>
      </c>
      <c r="M289" s="1" t="s">
        <v>35</v>
      </c>
      <c r="N289" s="1" t="s">
        <v>36</v>
      </c>
      <c r="O289" s="1" t="s">
        <v>87</v>
      </c>
      <c r="P289" s="1">
        <v>1.0E8</v>
      </c>
      <c r="Q289" s="1">
        <v>2004.0</v>
      </c>
      <c r="R289" s="1">
        <v>12000.0</v>
      </c>
      <c r="S289" s="1">
        <v>625.0</v>
      </c>
      <c r="T289" s="1">
        <v>341.0</v>
      </c>
      <c r="U289" s="1">
        <v>13679.0</v>
      </c>
      <c r="V289" s="1">
        <v>226.0</v>
      </c>
      <c r="W289" s="1">
        <v>0.0</v>
      </c>
      <c r="X289" s="1">
        <v>0.0</v>
      </c>
      <c r="Y289" s="1">
        <v>2.35</v>
      </c>
      <c r="Z289" s="1">
        <v>6.9</v>
      </c>
    </row>
    <row r="290" ht="14.25" customHeight="1">
      <c r="A290" s="1" t="s">
        <v>710</v>
      </c>
      <c r="B290" s="1" t="s">
        <v>1711</v>
      </c>
      <c r="C290" s="1" t="s">
        <v>1712</v>
      </c>
      <c r="D290" s="1">
        <v>7.5030163E7</v>
      </c>
      <c r="E290" s="1" t="s">
        <v>140</v>
      </c>
      <c r="F290" s="1" t="s">
        <v>632</v>
      </c>
      <c r="G290" s="1" t="s">
        <v>1713</v>
      </c>
      <c r="H290" s="1" t="s">
        <v>1714</v>
      </c>
      <c r="I290" s="1">
        <v>108076.0</v>
      </c>
      <c r="J290" s="1" t="s">
        <v>1715</v>
      </c>
      <c r="K290" s="1" t="s">
        <v>1716</v>
      </c>
      <c r="L290" s="1">
        <v>1690.0</v>
      </c>
      <c r="M290" s="1" t="s">
        <v>35</v>
      </c>
      <c r="N290" s="1" t="s">
        <v>36</v>
      </c>
      <c r="O290" s="1" t="s">
        <v>87</v>
      </c>
      <c r="P290" s="1">
        <v>1.0E8</v>
      </c>
      <c r="Q290" s="1">
        <v>2006.0</v>
      </c>
      <c r="R290" s="1">
        <v>3000.0</v>
      </c>
      <c r="S290" s="1">
        <v>762.0</v>
      </c>
      <c r="T290" s="1">
        <v>203.0</v>
      </c>
      <c r="U290" s="1">
        <v>4487.0</v>
      </c>
      <c r="V290" s="1">
        <v>14.0</v>
      </c>
      <c r="W290" s="1">
        <v>0.0</v>
      </c>
      <c r="X290" s="1">
        <v>0.0</v>
      </c>
      <c r="Y290" s="1">
        <v>2.35</v>
      </c>
      <c r="Z290" s="1">
        <v>5.1</v>
      </c>
    </row>
    <row r="291" ht="14.25" customHeight="1">
      <c r="A291" s="1" t="s">
        <v>26</v>
      </c>
      <c r="B291" s="1" t="s">
        <v>1717</v>
      </c>
      <c r="C291" s="1" t="s">
        <v>1718</v>
      </c>
      <c r="D291" s="1">
        <v>7.7222184E7</v>
      </c>
      <c r="E291" s="1" t="s">
        <v>533</v>
      </c>
      <c r="F291" s="1" t="s">
        <v>1719</v>
      </c>
      <c r="G291" s="1" t="s">
        <v>1720</v>
      </c>
      <c r="H291" s="1" t="s">
        <v>1721</v>
      </c>
      <c r="I291" s="1">
        <v>87677.0</v>
      </c>
      <c r="J291" s="1" t="s">
        <v>1722</v>
      </c>
      <c r="K291" s="1" t="s">
        <v>1723</v>
      </c>
      <c r="L291" s="1">
        <v>388.0</v>
      </c>
      <c r="M291" s="1" t="s">
        <v>35</v>
      </c>
      <c r="N291" s="1" t="s">
        <v>730</v>
      </c>
      <c r="O291" s="1" t="s">
        <v>87</v>
      </c>
      <c r="P291" s="1">
        <v>1.0E8</v>
      </c>
      <c r="Q291" s="1">
        <v>2009.0</v>
      </c>
      <c r="R291" s="1">
        <v>925.0</v>
      </c>
      <c r="S291" s="1">
        <v>468.0</v>
      </c>
      <c r="T291" s="1">
        <v>279.0</v>
      </c>
      <c r="U291" s="1">
        <v>1738.0</v>
      </c>
      <c r="V291" s="1">
        <v>0.0</v>
      </c>
      <c r="W291" s="1">
        <v>11000.0</v>
      </c>
      <c r="X291" s="1">
        <v>0.0</v>
      </c>
      <c r="Y291" s="1">
        <v>2.35</v>
      </c>
      <c r="Z291" s="1">
        <v>6.8</v>
      </c>
    </row>
    <row r="292" ht="14.25" customHeight="1">
      <c r="A292" s="1" t="s">
        <v>26</v>
      </c>
      <c r="B292" s="1" t="s">
        <v>903</v>
      </c>
      <c r="C292" s="1" t="s">
        <v>904</v>
      </c>
      <c r="D292" s="1">
        <v>3.4964818E7</v>
      </c>
      <c r="E292" s="1" t="s">
        <v>192</v>
      </c>
      <c r="F292" s="1" t="s">
        <v>255</v>
      </c>
      <c r="G292" s="1" t="s">
        <v>905</v>
      </c>
      <c r="H292" s="1" t="s">
        <v>906</v>
      </c>
      <c r="I292" s="1">
        <v>39956.0</v>
      </c>
      <c r="J292" s="1" t="s">
        <v>907</v>
      </c>
      <c r="K292" s="1" t="s">
        <v>908</v>
      </c>
      <c r="L292" s="1">
        <v>186.0</v>
      </c>
      <c r="M292" s="1" t="s">
        <v>35</v>
      </c>
      <c r="N292" s="1" t="s">
        <v>36</v>
      </c>
      <c r="O292" s="1" t="s">
        <v>87</v>
      </c>
      <c r="P292" s="1">
        <v>1.5E8</v>
      </c>
      <c r="Q292" s="1">
        <v>2015.0</v>
      </c>
      <c r="R292" s="1">
        <v>20000.0</v>
      </c>
      <c r="S292" s="1">
        <v>548.0</v>
      </c>
      <c r="T292" s="1">
        <v>394.0</v>
      </c>
      <c r="U292" s="1">
        <v>21393.0</v>
      </c>
      <c r="V292" s="1">
        <v>456.0</v>
      </c>
      <c r="W292" s="1">
        <v>24000.0</v>
      </c>
      <c r="X292" s="1">
        <v>4.0</v>
      </c>
      <c r="Y292" s="1">
        <v>2.35</v>
      </c>
      <c r="Z292" s="1">
        <v>5.8</v>
      </c>
    </row>
    <row r="293" ht="14.25" customHeight="1">
      <c r="A293" s="1" t="s">
        <v>26</v>
      </c>
      <c r="B293" s="1" t="s">
        <v>1724</v>
      </c>
      <c r="C293" s="1" t="s">
        <v>1725</v>
      </c>
      <c r="D293" s="1">
        <v>1.07515297E8</v>
      </c>
      <c r="E293" s="1" t="s">
        <v>603</v>
      </c>
      <c r="F293" s="1" t="s">
        <v>663</v>
      </c>
      <c r="G293" s="1" t="s">
        <v>1726</v>
      </c>
      <c r="H293" s="1" t="s">
        <v>1727</v>
      </c>
      <c r="I293" s="1">
        <v>85833.0</v>
      </c>
      <c r="J293" s="1" t="s">
        <v>1728</v>
      </c>
      <c r="K293" s="1" t="s">
        <v>1729</v>
      </c>
      <c r="L293" s="1">
        <v>113.0</v>
      </c>
      <c r="M293" s="1" t="s">
        <v>35</v>
      </c>
      <c r="N293" s="1" t="s">
        <v>36</v>
      </c>
      <c r="O293" s="1" t="s">
        <v>87</v>
      </c>
      <c r="P293" s="1">
        <v>1.0E8</v>
      </c>
      <c r="Q293" s="1">
        <v>2013.0</v>
      </c>
      <c r="R293" s="1">
        <v>14000.0</v>
      </c>
      <c r="S293" s="1">
        <v>151.0</v>
      </c>
      <c r="T293" s="1">
        <v>120.0</v>
      </c>
      <c r="U293" s="1">
        <v>14552.0</v>
      </c>
      <c r="V293" s="1">
        <v>77.0</v>
      </c>
      <c r="W293" s="1">
        <v>17000.0</v>
      </c>
      <c r="X293" s="1">
        <v>2.0</v>
      </c>
      <c r="Y293" s="1">
        <v>2.35</v>
      </c>
      <c r="Z293" s="1">
        <v>6.7</v>
      </c>
    </row>
    <row r="294" ht="14.25" customHeight="1">
      <c r="A294" s="1" t="s">
        <v>26</v>
      </c>
      <c r="B294" s="1" t="s">
        <v>1730</v>
      </c>
      <c r="C294" s="1" t="s">
        <v>1731</v>
      </c>
      <c r="D294" s="1">
        <v>6.7631157E7</v>
      </c>
      <c r="E294" s="1" t="s">
        <v>1732</v>
      </c>
      <c r="F294" s="1" t="s">
        <v>41</v>
      </c>
      <c r="G294" s="1" t="s">
        <v>550</v>
      </c>
      <c r="H294" s="1" t="s">
        <v>1733</v>
      </c>
      <c r="I294" s="1">
        <v>176598.0</v>
      </c>
      <c r="J294" s="1" t="s">
        <v>1734</v>
      </c>
      <c r="K294" s="1" t="s">
        <v>1735</v>
      </c>
      <c r="L294" s="1">
        <v>374.0</v>
      </c>
      <c r="M294" s="1" t="s">
        <v>35</v>
      </c>
      <c r="N294" s="1" t="s">
        <v>36</v>
      </c>
      <c r="O294" s="1" t="s">
        <v>37</v>
      </c>
      <c r="P294" s="1">
        <v>1.0E8</v>
      </c>
      <c r="Q294" s="1">
        <v>2010.0</v>
      </c>
      <c r="R294" s="1">
        <v>40000.0</v>
      </c>
      <c r="S294" s="1">
        <v>11000.0</v>
      </c>
      <c r="T294" s="1">
        <v>3000.0</v>
      </c>
      <c r="U294" s="1">
        <v>55175.0</v>
      </c>
      <c r="V294" s="1">
        <v>207.0</v>
      </c>
      <c r="W294" s="1">
        <v>25000.0</v>
      </c>
      <c r="X294" s="1">
        <v>0.0</v>
      </c>
      <c r="Y294" s="1">
        <v>2.35</v>
      </c>
      <c r="Z294" s="1">
        <v>6.0</v>
      </c>
    </row>
    <row r="295" ht="14.25" customHeight="1">
      <c r="A295" s="1" t="s">
        <v>26</v>
      </c>
      <c r="B295" s="1" t="s">
        <v>1736</v>
      </c>
      <c r="C295" s="1" t="s">
        <v>1737</v>
      </c>
      <c r="D295" s="1">
        <v>6.6862068E7</v>
      </c>
      <c r="E295" s="1" t="s">
        <v>1738</v>
      </c>
      <c r="F295" s="1" t="s">
        <v>30</v>
      </c>
      <c r="G295" s="1" t="s">
        <v>1739</v>
      </c>
      <c r="H295" s="1" t="s">
        <v>1740</v>
      </c>
      <c r="I295" s="1">
        <v>89509.0</v>
      </c>
      <c r="J295" s="1" t="s">
        <v>1741</v>
      </c>
      <c r="K295" s="1" t="s">
        <v>1742</v>
      </c>
      <c r="L295" s="1">
        <v>524.0</v>
      </c>
      <c r="M295" s="1" t="s">
        <v>35</v>
      </c>
      <c r="N295" s="1" t="s">
        <v>36</v>
      </c>
      <c r="O295" s="1" t="s">
        <v>628</v>
      </c>
      <c r="P295" s="1">
        <v>8.3E7</v>
      </c>
      <c r="Q295" s="1">
        <v>1999.0</v>
      </c>
      <c r="R295" s="1">
        <v>1000.0</v>
      </c>
      <c r="S295" s="1">
        <v>1000.0</v>
      </c>
      <c r="T295" s="1">
        <v>595.0</v>
      </c>
      <c r="U295" s="1">
        <v>3903.0</v>
      </c>
      <c r="V295" s="1">
        <v>0.0</v>
      </c>
      <c r="W295" s="1">
        <v>2000.0</v>
      </c>
      <c r="X295" s="1">
        <v>0.0</v>
      </c>
      <c r="Y295" s="1">
        <v>2.35</v>
      </c>
      <c r="Z295" s="1">
        <v>5.7</v>
      </c>
    </row>
    <row r="296" ht="14.25" customHeight="1">
      <c r="A296" s="1" t="s">
        <v>26</v>
      </c>
      <c r="B296" s="1" t="s">
        <v>978</v>
      </c>
      <c r="C296" s="1" t="s">
        <v>1743</v>
      </c>
      <c r="D296" s="1">
        <v>5.7366262E7</v>
      </c>
      <c r="E296" s="1" t="s">
        <v>1744</v>
      </c>
      <c r="F296" s="1" t="s">
        <v>207</v>
      </c>
      <c r="G296" s="1" t="s">
        <v>632</v>
      </c>
      <c r="H296" s="1" t="s">
        <v>1745</v>
      </c>
      <c r="I296" s="1">
        <v>400292.0</v>
      </c>
      <c r="J296" s="1" t="s">
        <v>1746</v>
      </c>
      <c r="K296" s="1" t="s">
        <v>1747</v>
      </c>
      <c r="L296" s="1">
        <v>657.0</v>
      </c>
      <c r="M296" s="1" t="s">
        <v>35</v>
      </c>
      <c r="N296" s="1" t="s">
        <v>730</v>
      </c>
      <c r="O296" s="1" t="s">
        <v>628</v>
      </c>
      <c r="P296" s="1">
        <v>1.0E8</v>
      </c>
      <c r="Q296" s="1">
        <v>2006.0</v>
      </c>
      <c r="R296" s="1">
        <v>29000.0</v>
      </c>
      <c r="S296" s="1">
        <v>3000.0</v>
      </c>
      <c r="T296" s="1">
        <v>452.0</v>
      </c>
      <c r="U296" s="1">
        <v>33160.0</v>
      </c>
      <c r="V296" s="1">
        <v>380.0</v>
      </c>
      <c r="W296" s="1">
        <v>14000.0</v>
      </c>
      <c r="X296" s="1">
        <v>0.0</v>
      </c>
      <c r="Y296" s="1">
        <v>2.35</v>
      </c>
      <c r="Z296" s="1">
        <v>8.0</v>
      </c>
    </row>
    <row r="297" ht="14.25" customHeight="1">
      <c r="A297" s="1" t="s">
        <v>26</v>
      </c>
      <c r="B297" s="1" t="s">
        <v>472</v>
      </c>
      <c r="C297" s="1" t="s">
        <v>1748</v>
      </c>
      <c r="D297" s="1">
        <v>1.16866727E8</v>
      </c>
      <c r="E297" s="1" t="s">
        <v>1749</v>
      </c>
      <c r="F297" s="1" t="s">
        <v>207</v>
      </c>
      <c r="G297" s="1" t="s">
        <v>637</v>
      </c>
      <c r="H297" s="1" t="s">
        <v>243</v>
      </c>
      <c r="I297" s="1">
        <v>780588.0</v>
      </c>
      <c r="J297" s="1" t="s">
        <v>1750</v>
      </c>
      <c r="K297" s="1" t="s">
        <v>1751</v>
      </c>
      <c r="L297" s="1">
        <v>1138.0</v>
      </c>
      <c r="M297" s="1" t="s">
        <v>35</v>
      </c>
      <c r="N297" s="1" t="s">
        <v>36</v>
      </c>
      <c r="O297" s="1" t="s">
        <v>628</v>
      </c>
      <c r="P297" s="1">
        <v>1.0E8</v>
      </c>
      <c r="Q297" s="1">
        <v>2013.0</v>
      </c>
      <c r="R297" s="1">
        <v>29000.0</v>
      </c>
      <c r="S297" s="1">
        <v>11000.0</v>
      </c>
      <c r="T297" s="1">
        <v>4000.0</v>
      </c>
      <c r="U297" s="1">
        <v>46057.0</v>
      </c>
      <c r="V297" s="1">
        <v>17000.0</v>
      </c>
      <c r="W297" s="1">
        <v>138000.0</v>
      </c>
      <c r="X297" s="1">
        <v>3.0</v>
      </c>
      <c r="Y297" s="1">
        <v>2.35</v>
      </c>
      <c r="Z297" s="1">
        <v>8.2</v>
      </c>
    </row>
    <row r="298" ht="14.25" customHeight="1">
      <c r="A298" s="1" t="s">
        <v>26</v>
      </c>
      <c r="B298" s="1" t="s">
        <v>1268</v>
      </c>
      <c r="C298" s="1" t="s">
        <v>1752</v>
      </c>
      <c r="D298" s="1">
        <v>1.84031112E8</v>
      </c>
      <c r="E298" s="1" t="s">
        <v>40</v>
      </c>
      <c r="F298" s="1" t="s">
        <v>1271</v>
      </c>
      <c r="G298" s="1" t="s">
        <v>1753</v>
      </c>
      <c r="H298" s="1" t="s">
        <v>1754</v>
      </c>
      <c r="I298" s="1">
        <v>190786.0</v>
      </c>
      <c r="J298" s="1" t="s">
        <v>1755</v>
      </c>
      <c r="K298" s="1" t="s">
        <v>1756</v>
      </c>
      <c r="L298" s="1">
        <v>539.0</v>
      </c>
      <c r="M298" s="1" t="s">
        <v>35</v>
      </c>
      <c r="N298" s="1" t="s">
        <v>36</v>
      </c>
      <c r="O298" s="1" t="s">
        <v>37</v>
      </c>
      <c r="P298" s="1">
        <v>1.0E8</v>
      </c>
      <c r="Q298" s="1">
        <v>1995.0</v>
      </c>
      <c r="R298" s="1">
        <v>920.0</v>
      </c>
      <c r="S298" s="1">
        <v>710.0</v>
      </c>
      <c r="T298" s="1">
        <v>680.0</v>
      </c>
      <c r="U298" s="1">
        <v>2880.0</v>
      </c>
      <c r="V298" s="1">
        <v>541.0</v>
      </c>
      <c r="W298" s="1">
        <v>0.0</v>
      </c>
      <c r="X298" s="1">
        <v>4.0</v>
      </c>
      <c r="Y298" s="1">
        <v>1.85</v>
      </c>
      <c r="Z298" s="1">
        <v>5.4</v>
      </c>
    </row>
    <row r="299" ht="14.25" customHeight="1">
      <c r="A299" s="1" t="s">
        <v>26</v>
      </c>
      <c r="B299" s="1" t="s">
        <v>1248</v>
      </c>
      <c r="C299" s="1" t="s">
        <v>1757</v>
      </c>
      <c r="D299" s="1">
        <v>5.4700065E7</v>
      </c>
      <c r="E299" s="1" t="s">
        <v>1758</v>
      </c>
      <c r="F299" s="1" t="s">
        <v>1759</v>
      </c>
      <c r="G299" s="1" t="s">
        <v>1760</v>
      </c>
      <c r="H299" s="1" t="s">
        <v>1761</v>
      </c>
      <c r="I299" s="1">
        <v>221521.0</v>
      </c>
      <c r="J299" s="1" t="s">
        <v>1762</v>
      </c>
      <c r="K299" s="1" t="s">
        <v>1763</v>
      </c>
      <c r="L299" s="1">
        <v>1049.0</v>
      </c>
      <c r="M299" s="1" t="s">
        <v>35</v>
      </c>
      <c r="N299" s="1" t="s">
        <v>36</v>
      </c>
      <c r="O299" s="1" t="s">
        <v>628</v>
      </c>
      <c r="P299" s="1">
        <v>1.05E8</v>
      </c>
      <c r="Q299" s="1">
        <v>1997.0</v>
      </c>
      <c r="R299" s="1">
        <v>660.0</v>
      </c>
      <c r="S299" s="1">
        <v>475.0</v>
      </c>
      <c r="T299" s="1">
        <v>423.0</v>
      </c>
      <c r="U299" s="1">
        <v>2031.0</v>
      </c>
      <c r="V299" s="1">
        <v>719.0</v>
      </c>
      <c r="W299" s="1">
        <v>0.0</v>
      </c>
      <c r="X299" s="1">
        <v>0.0</v>
      </c>
      <c r="Y299" s="1">
        <v>1.85</v>
      </c>
      <c r="Z299" s="1">
        <v>7.2</v>
      </c>
    </row>
    <row r="300" ht="14.25" customHeight="1">
      <c r="A300" s="1" t="s">
        <v>26</v>
      </c>
      <c r="B300" s="1" t="s">
        <v>1764</v>
      </c>
      <c r="C300" s="1" t="s">
        <v>1765</v>
      </c>
      <c r="D300" s="1">
        <v>2.709858E7</v>
      </c>
      <c r="E300" s="1" t="s">
        <v>1766</v>
      </c>
      <c r="F300" s="1" t="s">
        <v>314</v>
      </c>
      <c r="G300" s="1" t="s">
        <v>1767</v>
      </c>
      <c r="H300" s="1" t="s">
        <v>385</v>
      </c>
      <c r="I300" s="1">
        <v>284825.0</v>
      </c>
      <c r="J300" s="1" t="s">
        <v>1768</v>
      </c>
      <c r="K300" s="1" t="s">
        <v>1769</v>
      </c>
      <c r="L300" s="1">
        <v>828.0</v>
      </c>
      <c r="M300" s="1" t="s">
        <v>35</v>
      </c>
      <c r="N300" s="1" t="s">
        <v>730</v>
      </c>
      <c r="O300" s="1" t="s">
        <v>628</v>
      </c>
      <c r="P300" s="1">
        <v>1.02E8</v>
      </c>
      <c r="Q300" s="1">
        <v>2012.0</v>
      </c>
      <c r="R300" s="1">
        <v>15000.0</v>
      </c>
      <c r="S300" s="1">
        <v>5000.0</v>
      </c>
      <c r="T300" s="1">
        <v>1000.0</v>
      </c>
      <c r="U300" s="1">
        <v>22686.0</v>
      </c>
      <c r="V300" s="1">
        <v>670.0</v>
      </c>
      <c r="W300" s="1">
        <v>124000.0</v>
      </c>
      <c r="X300" s="1">
        <v>5.0</v>
      </c>
      <c r="Y300" s="1">
        <v>2.35</v>
      </c>
      <c r="Z300" s="1">
        <v>7.5</v>
      </c>
    </row>
    <row r="301" ht="14.25" customHeight="1">
      <c r="A301" s="1" t="s">
        <v>26</v>
      </c>
      <c r="B301" s="1" t="s">
        <v>103</v>
      </c>
      <c r="C301" s="1" t="s">
        <v>1770</v>
      </c>
      <c r="D301" s="1">
        <v>5.5673333E7</v>
      </c>
      <c r="E301" s="1" t="s">
        <v>1771</v>
      </c>
      <c r="F301" s="1" t="s">
        <v>1346</v>
      </c>
      <c r="G301" s="1" t="s">
        <v>1011</v>
      </c>
      <c r="H301" s="1" t="s">
        <v>1772</v>
      </c>
      <c r="I301" s="1">
        <v>65785.0</v>
      </c>
      <c r="J301" s="1" t="s">
        <v>1773</v>
      </c>
      <c r="K301" s="1" t="s">
        <v>1774</v>
      </c>
      <c r="L301" s="1">
        <v>160.0</v>
      </c>
      <c r="M301" s="1" t="s">
        <v>35</v>
      </c>
      <c r="N301" s="1" t="s">
        <v>36</v>
      </c>
      <c r="O301" s="1" t="s">
        <v>87</v>
      </c>
      <c r="P301" s="1">
        <v>8.0E7</v>
      </c>
      <c r="Q301" s="1">
        <v>2010.0</v>
      </c>
      <c r="R301" s="1">
        <v>2000.0</v>
      </c>
      <c r="S301" s="1">
        <v>653.0</v>
      </c>
      <c r="T301" s="1">
        <v>577.0</v>
      </c>
      <c r="U301" s="1">
        <v>4286.0</v>
      </c>
      <c r="V301" s="1">
        <v>0.0</v>
      </c>
      <c r="W301" s="1">
        <v>16000.0</v>
      </c>
      <c r="X301" s="1">
        <v>1.0</v>
      </c>
      <c r="Y301" s="1">
        <v>2.35</v>
      </c>
      <c r="Z301" s="1">
        <v>7.0</v>
      </c>
    </row>
    <row r="302" ht="14.25" customHeight="1">
      <c r="A302" s="1" t="s">
        <v>26</v>
      </c>
      <c r="B302" s="1" t="s">
        <v>1775</v>
      </c>
      <c r="C302" s="1" t="s">
        <v>1776</v>
      </c>
      <c r="D302" s="1">
        <v>4.019871E7</v>
      </c>
      <c r="E302" s="1" t="s">
        <v>1777</v>
      </c>
      <c r="F302" s="1" t="s">
        <v>1476</v>
      </c>
      <c r="G302" s="1" t="s">
        <v>1778</v>
      </c>
      <c r="H302" s="1" t="s">
        <v>1779</v>
      </c>
      <c r="I302" s="1">
        <v>87451.0</v>
      </c>
      <c r="J302" s="1" t="s">
        <v>1780</v>
      </c>
      <c r="K302" s="1" t="s">
        <v>1781</v>
      </c>
      <c r="L302" s="1">
        <v>660.0</v>
      </c>
      <c r="M302" s="1" t="s">
        <v>35</v>
      </c>
      <c r="N302" s="1" t="s">
        <v>36</v>
      </c>
      <c r="O302" s="1" t="s">
        <v>37</v>
      </c>
      <c r="P302" s="1">
        <v>1.0E8</v>
      </c>
      <c r="Q302" s="1">
        <v>2004.0</v>
      </c>
      <c r="R302" s="1">
        <v>827.0</v>
      </c>
      <c r="S302" s="1">
        <v>825.0</v>
      </c>
      <c r="T302" s="1">
        <v>566.0</v>
      </c>
      <c r="U302" s="1">
        <v>3144.0</v>
      </c>
      <c r="V302" s="1">
        <v>26.0</v>
      </c>
      <c r="W302" s="1">
        <v>0.0</v>
      </c>
      <c r="X302" s="1">
        <v>0.0</v>
      </c>
      <c r="Y302" s="1">
        <v>2.35</v>
      </c>
      <c r="Z302" s="1">
        <v>3.3</v>
      </c>
    </row>
    <row r="303" ht="14.25" customHeight="1">
      <c r="A303" s="1" t="s">
        <v>26</v>
      </c>
      <c r="B303" s="1" t="s">
        <v>252</v>
      </c>
      <c r="C303" s="1" t="s">
        <v>1782</v>
      </c>
      <c r="D303" s="1">
        <v>7.2660029E7</v>
      </c>
      <c r="E303" s="1" t="s">
        <v>119</v>
      </c>
      <c r="F303" s="1" t="s">
        <v>1036</v>
      </c>
      <c r="G303" s="1" t="s">
        <v>1733</v>
      </c>
      <c r="H303" s="1" t="s">
        <v>1783</v>
      </c>
      <c r="I303" s="1">
        <v>115687.0</v>
      </c>
      <c r="J303" s="1" t="s">
        <v>1784</v>
      </c>
      <c r="K303" s="1" t="s">
        <v>1785</v>
      </c>
      <c r="L303" s="1">
        <v>269.0</v>
      </c>
      <c r="M303" s="1" t="s">
        <v>35</v>
      </c>
      <c r="N303" s="1" t="s">
        <v>36</v>
      </c>
      <c r="O303" s="1" t="s">
        <v>37</v>
      </c>
      <c r="P303" s="1">
        <v>1.0E8</v>
      </c>
      <c r="Q303" s="1">
        <v>2014.0</v>
      </c>
      <c r="R303" s="1">
        <v>12000.0</v>
      </c>
      <c r="S303" s="1">
        <v>3000.0</v>
      </c>
      <c r="T303" s="1">
        <v>467.0</v>
      </c>
      <c r="U303" s="1">
        <v>16235.0</v>
      </c>
      <c r="V303" s="1">
        <v>420.0</v>
      </c>
      <c r="W303" s="1">
        <v>21000.0</v>
      </c>
      <c r="X303" s="1">
        <v>0.0</v>
      </c>
      <c r="Y303" s="1">
        <v>2.35</v>
      </c>
      <c r="Z303" s="1">
        <v>6.0</v>
      </c>
    </row>
    <row r="304" ht="14.25" customHeight="1">
      <c r="A304" s="1" t="s">
        <v>26</v>
      </c>
      <c r="B304" s="1" t="s">
        <v>1580</v>
      </c>
      <c r="C304" s="1" t="s">
        <v>1786</v>
      </c>
      <c r="D304" s="1">
        <v>3.8120554E7</v>
      </c>
      <c r="E304" s="1" t="s">
        <v>402</v>
      </c>
      <c r="F304" s="1" t="s">
        <v>60</v>
      </c>
      <c r="G304" s="1" t="s">
        <v>922</v>
      </c>
      <c r="H304" s="1" t="s">
        <v>1787</v>
      </c>
      <c r="I304" s="1">
        <v>71527.0</v>
      </c>
      <c r="J304" s="1" t="s">
        <v>1788</v>
      </c>
      <c r="K304" s="1" t="s">
        <v>1789</v>
      </c>
      <c r="L304" s="1">
        <v>217.0</v>
      </c>
      <c r="M304" s="1" t="s">
        <v>35</v>
      </c>
      <c r="N304" s="1" t="s">
        <v>36</v>
      </c>
      <c r="O304" s="1" t="s">
        <v>87</v>
      </c>
      <c r="P304" s="1">
        <v>1.4E8</v>
      </c>
      <c r="Q304" s="1">
        <v>2002.0</v>
      </c>
      <c r="R304" s="1">
        <v>23000.0</v>
      </c>
      <c r="S304" s="1">
        <v>770.0</v>
      </c>
      <c r="T304" s="1">
        <v>720.0</v>
      </c>
      <c r="U304" s="1">
        <v>26940.0</v>
      </c>
      <c r="V304" s="1">
        <v>63.0</v>
      </c>
      <c r="W304" s="1">
        <v>0.0</v>
      </c>
      <c r="X304" s="1">
        <v>0.0</v>
      </c>
      <c r="Y304" s="1">
        <v>1.5</v>
      </c>
      <c r="Z304" s="1">
        <v>7.1</v>
      </c>
    </row>
    <row r="305" ht="14.25" customHeight="1">
      <c r="A305" s="1" t="s">
        <v>26</v>
      </c>
      <c r="B305" s="1" t="s">
        <v>1790</v>
      </c>
      <c r="C305" s="1" t="s">
        <v>1791</v>
      </c>
      <c r="D305" s="1">
        <v>4.9392095E7</v>
      </c>
      <c r="E305" s="1" t="s">
        <v>1792</v>
      </c>
      <c r="F305" s="1" t="s">
        <v>1197</v>
      </c>
      <c r="G305" s="1" t="s">
        <v>1793</v>
      </c>
      <c r="H305" s="1" t="s">
        <v>1794</v>
      </c>
      <c r="I305" s="1">
        <v>52029.0</v>
      </c>
      <c r="J305" s="1" t="s">
        <v>1795</v>
      </c>
      <c r="K305" s="1" t="s">
        <v>1796</v>
      </c>
      <c r="L305" s="1">
        <v>224.0</v>
      </c>
      <c r="M305" s="1" t="s">
        <v>35</v>
      </c>
      <c r="N305" s="1" t="s">
        <v>36</v>
      </c>
      <c r="O305" s="1" t="s">
        <v>37</v>
      </c>
      <c r="P305" s="1">
        <v>1.0E8</v>
      </c>
      <c r="Q305" s="1">
        <v>2009.0</v>
      </c>
      <c r="R305" s="1">
        <v>8000.0</v>
      </c>
      <c r="S305" s="1">
        <v>735.0</v>
      </c>
      <c r="T305" s="1">
        <v>526.0</v>
      </c>
      <c r="U305" s="1">
        <v>10552.0</v>
      </c>
      <c r="V305" s="1">
        <v>52.0</v>
      </c>
      <c r="W305" s="1">
        <v>0.0</v>
      </c>
      <c r="X305" s="1">
        <v>1.0</v>
      </c>
      <c r="Y305" s="1">
        <v>1.85</v>
      </c>
      <c r="Z305" s="1">
        <v>5.4</v>
      </c>
    </row>
    <row r="306" ht="14.25" customHeight="1">
      <c r="A306" s="1" t="s">
        <v>26</v>
      </c>
      <c r="B306" s="1" t="s">
        <v>1797</v>
      </c>
      <c r="C306" s="1" t="s">
        <v>1798</v>
      </c>
      <c r="D306" s="1">
        <v>3.9292022E7</v>
      </c>
      <c r="E306" s="1" t="s">
        <v>48</v>
      </c>
      <c r="F306" s="1" t="s">
        <v>327</v>
      </c>
      <c r="G306" s="1" t="s">
        <v>1702</v>
      </c>
      <c r="H306" s="1" t="s">
        <v>383</v>
      </c>
      <c r="I306" s="1">
        <v>127258.0</v>
      </c>
      <c r="J306" s="1" t="s">
        <v>1799</v>
      </c>
      <c r="K306" s="1" t="s">
        <v>1800</v>
      </c>
      <c r="L306" s="1">
        <v>351.0</v>
      </c>
      <c r="M306" s="1" t="s">
        <v>35</v>
      </c>
      <c r="N306" s="1" t="s">
        <v>36</v>
      </c>
      <c r="O306" s="1" t="s">
        <v>37</v>
      </c>
      <c r="P306" s="1">
        <v>9.0E7</v>
      </c>
      <c r="Q306" s="1">
        <v>2014.0</v>
      </c>
      <c r="R306" s="1">
        <v>26000.0</v>
      </c>
      <c r="S306" s="1">
        <v>13000.0</v>
      </c>
      <c r="T306" s="1">
        <v>11000.0</v>
      </c>
      <c r="U306" s="1">
        <v>52610.0</v>
      </c>
      <c r="V306" s="1">
        <v>385.0</v>
      </c>
      <c r="W306" s="1">
        <v>56000.0</v>
      </c>
      <c r="X306" s="1">
        <v>15.0</v>
      </c>
      <c r="Y306" s="1">
        <v>2.35</v>
      </c>
      <c r="Z306" s="1">
        <v>6.1</v>
      </c>
    </row>
    <row r="307" ht="14.25" customHeight="1">
      <c r="A307" s="1" t="s">
        <v>26</v>
      </c>
      <c r="B307" s="1" t="s">
        <v>1801</v>
      </c>
      <c r="C307" s="1" t="s">
        <v>1802</v>
      </c>
      <c r="D307" s="1">
        <v>2.8772222E7</v>
      </c>
      <c r="E307" s="1" t="s">
        <v>1803</v>
      </c>
      <c r="F307" s="1" t="s">
        <v>384</v>
      </c>
      <c r="G307" s="1" t="s">
        <v>841</v>
      </c>
      <c r="H307" s="1" t="s">
        <v>457</v>
      </c>
      <c r="I307" s="1">
        <v>33953.0</v>
      </c>
      <c r="J307" s="1" t="s">
        <v>1804</v>
      </c>
      <c r="K307" s="1" t="s">
        <v>1805</v>
      </c>
      <c r="L307" s="1">
        <v>163.0</v>
      </c>
      <c r="M307" s="1" t="s">
        <v>35</v>
      </c>
      <c r="N307" s="1" t="s">
        <v>36</v>
      </c>
      <c r="O307" s="1" t="s">
        <v>37</v>
      </c>
      <c r="P307" s="1">
        <v>1.05E8</v>
      </c>
      <c r="Q307" s="1">
        <v>2015.0</v>
      </c>
      <c r="R307" s="1">
        <v>1000.0</v>
      </c>
      <c r="S307" s="1">
        <v>897.0</v>
      </c>
      <c r="T307" s="1">
        <v>848.0</v>
      </c>
      <c r="U307" s="1">
        <v>3962.0</v>
      </c>
      <c r="V307" s="1">
        <v>19.0</v>
      </c>
      <c r="W307" s="1">
        <v>37000.0</v>
      </c>
      <c r="X307" s="1">
        <v>1.0</v>
      </c>
      <c r="Y307" s="1">
        <v>2.35</v>
      </c>
      <c r="Z307" s="1">
        <v>5.3</v>
      </c>
    </row>
    <row r="308" ht="14.25" customHeight="1">
      <c r="A308" s="1" t="s">
        <v>26</v>
      </c>
      <c r="B308" s="1" t="s">
        <v>1806</v>
      </c>
      <c r="C308" s="1" t="s">
        <v>1807</v>
      </c>
      <c r="D308" s="1">
        <v>1.7010646E7</v>
      </c>
      <c r="E308" s="1" t="s">
        <v>501</v>
      </c>
      <c r="F308" s="1" t="s">
        <v>1808</v>
      </c>
      <c r="G308" s="1" t="s">
        <v>1809</v>
      </c>
      <c r="H308" s="1" t="s">
        <v>1810</v>
      </c>
      <c r="I308" s="1">
        <v>40751.0</v>
      </c>
      <c r="J308" s="1" t="s">
        <v>1811</v>
      </c>
      <c r="K308" s="1" t="s">
        <v>1812</v>
      </c>
      <c r="L308" s="1">
        <v>239.0</v>
      </c>
      <c r="M308" s="1" t="s">
        <v>35</v>
      </c>
      <c r="N308" s="1" t="s">
        <v>36</v>
      </c>
      <c r="O308" s="1" t="s">
        <v>87</v>
      </c>
      <c r="P308" s="1">
        <v>8.4E7</v>
      </c>
      <c r="Q308" s="1">
        <v>2005.0</v>
      </c>
      <c r="R308" s="1">
        <v>490.0</v>
      </c>
      <c r="S308" s="1">
        <v>294.0</v>
      </c>
      <c r="T308" s="1">
        <v>227.0</v>
      </c>
      <c r="U308" s="1">
        <v>1195.0</v>
      </c>
      <c r="V308" s="1">
        <v>6.0</v>
      </c>
      <c r="W308" s="1">
        <v>881.0</v>
      </c>
      <c r="X308" s="1">
        <v>0.0</v>
      </c>
      <c r="Y308" s="1">
        <v>1.85</v>
      </c>
      <c r="Z308" s="1">
        <v>2.2</v>
      </c>
    </row>
    <row r="309" ht="14.25" customHeight="1">
      <c r="A309" s="1" t="s">
        <v>26</v>
      </c>
      <c r="B309" s="1" t="s">
        <v>813</v>
      </c>
      <c r="C309" s="1" t="s">
        <v>1813</v>
      </c>
      <c r="D309" s="1">
        <v>2.4985612E7</v>
      </c>
      <c r="E309" s="1" t="s">
        <v>1814</v>
      </c>
      <c r="F309" s="1" t="s">
        <v>90</v>
      </c>
      <c r="G309" s="1" t="s">
        <v>1815</v>
      </c>
      <c r="H309" s="1" t="s">
        <v>1816</v>
      </c>
      <c r="I309" s="1">
        <v>71782.0</v>
      </c>
      <c r="J309" s="1" t="s">
        <v>1817</v>
      </c>
      <c r="K309" s="1" t="s">
        <v>1818</v>
      </c>
      <c r="L309" s="1">
        <v>161.0</v>
      </c>
      <c r="M309" s="1" t="s">
        <v>35</v>
      </c>
      <c r="N309" s="1" t="s">
        <v>36</v>
      </c>
      <c r="O309" s="1" t="s">
        <v>37</v>
      </c>
      <c r="P309" s="1">
        <v>1.0E8</v>
      </c>
      <c r="Q309" s="1">
        <v>2015.0</v>
      </c>
      <c r="R309" s="1">
        <v>26000.0</v>
      </c>
      <c r="S309" s="1">
        <v>911.0</v>
      </c>
      <c r="T309" s="1">
        <v>571.0</v>
      </c>
      <c r="U309" s="1">
        <v>28328.0</v>
      </c>
      <c r="V309" s="1">
        <v>2000.0</v>
      </c>
      <c r="W309" s="1">
        <v>27000.0</v>
      </c>
      <c r="X309" s="1">
        <v>0.0</v>
      </c>
      <c r="Y309" s="1">
        <v>1.85</v>
      </c>
      <c r="Z309" s="1">
        <v>7.0</v>
      </c>
    </row>
    <row r="310" ht="14.25" customHeight="1">
      <c r="A310" s="1" t="s">
        <v>26</v>
      </c>
      <c r="B310" s="1" t="s">
        <v>1819</v>
      </c>
      <c r="C310" s="1" t="s">
        <v>1820</v>
      </c>
      <c r="D310" s="1">
        <v>4411102.0</v>
      </c>
      <c r="E310" s="1" t="s">
        <v>1821</v>
      </c>
      <c r="F310" s="1" t="s">
        <v>947</v>
      </c>
      <c r="G310" s="1" t="s">
        <v>1822</v>
      </c>
      <c r="H310" s="1" t="s">
        <v>1823</v>
      </c>
      <c r="I310" s="1">
        <v>20295.0</v>
      </c>
      <c r="J310" s="1" t="s">
        <v>1824</v>
      </c>
      <c r="K310" s="1" t="s">
        <v>1825</v>
      </c>
      <c r="L310" s="1">
        <v>164.0</v>
      </c>
      <c r="M310" s="1" t="s">
        <v>35</v>
      </c>
      <c r="N310" s="1" t="s">
        <v>36</v>
      </c>
      <c r="O310" s="1" t="s">
        <v>37</v>
      </c>
      <c r="P310" s="1">
        <v>1.0E8</v>
      </c>
      <c r="Q310" s="1">
        <v>2002.0</v>
      </c>
      <c r="R310" s="1">
        <v>3000.0</v>
      </c>
      <c r="S310" s="1">
        <v>695.0</v>
      </c>
      <c r="T310" s="1">
        <v>683.0</v>
      </c>
      <c r="U310" s="1">
        <v>6161.0</v>
      </c>
      <c r="V310" s="1">
        <v>31.0</v>
      </c>
      <c r="W310" s="1">
        <v>416.0</v>
      </c>
      <c r="X310" s="1">
        <v>1.0</v>
      </c>
      <c r="Y310" s="1">
        <v>1.85</v>
      </c>
      <c r="Z310" s="1">
        <v>3.8</v>
      </c>
    </row>
    <row r="311" ht="14.25" customHeight="1">
      <c r="A311" s="1" t="s">
        <v>26</v>
      </c>
      <c r="B311" s="1" t="s">
        <v>1110</v>
      </c>
      <c r="C311" s="1" t="s">
        <v>1826</v>
      </c>
      <c r="D311" s="1">
        <v>3.5024475E7</v>
      </c>
      <c r="E311" s="1" t="s">
        <v>1827</v>
      </c>
      <c r="F311" s="1" t="s">
        <v>1113</v>
      </c>
      <c r="G311" s="1" t="s">
        <v>1828</v>
      </c>
      <c r="H311" s="1" t="s">
        <v>1829</v>
      </c>
      <c r="I311" s="1">
        <v>110364.0</v>
      </c>
      <c r="J311" s="1" t="s">
        <v>1830</v>
      </c>
      <c r="K311" s="1" t="s">
        <v>1831</v>
      </c>
      <c r="L311" s="1">
        <v>261.0</v>
      </c>
      <c r="M311" s="1" t="s">
        <v>35</v>
      </c>
      <c r="N311" s="1" t="s">
        <v>1832</v>
      </c>
      <c r="O311" s="1" t="s">
        <v>628</v>
      </c>
      <c r="P311" s="1">
        <v>1.0E8</v>
      </c>
      <c r="Q311" s="1">
        <v>2010.0</v>
      </c>
      <c r="R311" s="1">
        <v>13000.0</v>
      </c>
      <c r="S311" s="1">
        <v>537.0</v>
      </c>
      <c r="T311" s="1">
        <v>95.0</v>
      </c>
      <c r="U311" s="1">
        <v>13761.0</v>
      </c>
      <c r="V311" s="1">
        <v>521.0</v>
      </c>
      <c r="W311" s="1">
        <v>0.0</v>
      </c>
      <c r="X311" s="1">
        <v>1.0</v>
      </c>
      <c r="Y311" s="1">
        <v>2.35</v>
      </c>
      <c r="Z311" s="1">
        <v>6.9</v>
      </c>
    </row>
    <row r="312" ht="14.25" customHeight="1">
      <c r="A312" s="1" t="s">
        <v>26</v>
      </c>
      <c r="B312" s="1" t="s">
        <v>1833</v>
      </c>
      <c r="C312" s="1" t="s">
        <v>1834</v>
      </c>
      <c r="D312" s="1">
        <v>1.30174897E8</v>
      </c>
      <c r="E312" s="1" t="s">
        <v>456</v>
      </c>
      <c r="F312" s="1" t="s">
        <v>1835</v>
      </c>
      <c r="G312" s="1" t="s">
        <v>1836</v>
      </c>
      <c r="H312" s="1" t="s">
        <v>1837</v>
      </c>
      <c r="I312" s="1">
        <v>27918.0</v>
      </c>
      <c r="J312" s="1" t="s">
        <v>1838</v>
      </c>
      <c r="K312" s="1" t="s">
        <v>1839</v>
      </c>
      <c r="L312" s="1">
        <v>155.0</v>
      </c>
      <c r="M312" s="1" t="s">
        <v>35</v>
      </c>
      <c r="N312" s="1" t="s">
        <v>36</v>
      </c>
      <c r="O312" s="1" t="s">
        <v>269</v>
      </c>
      <c r="P312" s="1">
        <v>9.9E7</v>
      </c>
      <c r="Q312" s="1">
        <v>2015.0</v>
      </c>
      <c r="R312" s="1">
        <v>144.0</v>
      </c>
      <c r="S312" s="1">
        <v>42.0</v>
      </c>
      <c r="T312" s="1">
        <v>36.0</v>
      </c>
      <c r="U312" s="1">
        <v>309.0</v>
      </c>
      <c r="V312" s="1">
        <v>20.0</v>
      </c>
      <c r="W312" s="1">
        <v>33000.0</v>
      </c>
      <c r="X312" s="1">
        <v>0.0</v>
      </c>
      <c r="Y312" s="1">
        <v>1.85</v>
      </c>
      <c r="Z312" s="1">
        <v>7.2</v>
      </c>
    </row>
    <row r="313" ht="14.25" customHeight="1">
      <c r="A313" s="1" t="s">
        <v>26</v>
      </c>
      <c r="B313" s="1" t="s">
        <v>1840</v>
      </c>
      <c r="C313" s="1" t="s">
        <v>1841</v>
      </c>
      <c r="D313" s="1">
        <v>1.02E7</v>
      </c>
      <c r="E313" s="1" t="s">
        <v>1842</v>
      </c>
      <c r="F313" s="1" t="s">
        <v>1843</v>
      </c>
      <c r="G313" s="1" t="s">
        <v>1844</v>
      </c>
      <c r="H313" s="1" t="s">
        <v>1845</v>
      </c>
      <c r="I313" s="1">
        <v>18697.0</v>
      </c>
      <c r="J313" s="1" t="s">
        <v>1846</v>
      </c>
      <c r="K313" s="1" t="s">
        <v>1847</v>
      </c>
      <c r="L313" s="1">
        <v>263.0</v>
      </c>
      <c r="M313" s="1" t="s">
        <v>35</v>
      </c>
      <c r="N313" s="1" t="s">
        <v>36</v>
      </c>
      <c r="O313" s="1" t="s">
        <v>87</v>
      </c>
      <c r="P313" s="1">
        <v>1.0E7</v>
      </c>
      <c r="Q313" s="1">
        <v>1997.0</v>
      </c>
      <c r="R313" s="1">
        <v>623.0</v>
      </c>
      <c r="S313" s="1">
        <v>508.0</v>
      </c>
      <c r="T313" s="1">
        <v>393.0</v>
      </c>
      <c r="U313" s="1">
        <v>1722.0</v>
      </c>
      <c r="V313" s="1">
        <v>342.0</v>
      </c>
      <c r="W313" s="1">
        <v>578.0</v>
      </c>
      <c r="X313" s="1">
        <v>0.0</v>
      </c>
      <c r="Y313" s="1">
        <v>1.85</v>
      </c>
      <c r="Z313" s="1">
        <v>7.3</v>
      </c>
    </row>
    <row r="314" ht="14.25" customHeight="1">
      <c r="A314" s="1" t="s">
        <v>26</v>
      </c>
      <c r="B314" s="1" t="s">
        <v>520</v>
      </c>
      <c r="C314" s="1" t="s">
        <v>1848</v>
      </c>
      <c r="D314" s="1">
        <v>2.0200764E8</v>
      </c>
      <c r="E314" s="1" t="s">
        <v>1849</v>
      </c>
      <c r="F314" s="1" t="s">
        <v>1036</v>
      </c>
      <c r="G314" s="1" t="s">
        <v>488</v>
      </c>
      <c r="H314" s="1" t="s">
        <v>1850</v>
      </c>
      <c r="I314" s="1">
        <v>248045.0</v>
      </c>
      <c r="J314" s="1" t="s">
        <v>1851</v>
      </c>
      <c r="K314" s="1" t="s">
        <v>1852</v>
      </c>
      <c r="L314" s="1">
        <v>890.0</v>
      </c>
      <c r="M314" s="1" t="s">
        <v>35</v>
      </c>
      <c r="N314" s="1" t="s">
        <v>36</v>
      </c>
      <c r="O314" s="1" t="s">
        <v>37</v>
      </c>
      <c r="P314" s="1">
        <v>9.8E7</v>
      </c>
      <c r="Q314" s="1">
        <v>2001.0</v>
      </c>
      <c r="R314" s="1">
        <v>12000.0</v>
      </c>
      <c r="S314" s="1">
        <v>3000.0</v>
      </c>
      <c r="T314" s="1">
        <v>591.0</v>
      </c>
      <c r="U314" s="1">
        <v>15972.0</v>
      </c>
      <c r="V314" s="1">
        <v>208.0</v>
      </c>
      <c r="W314" s="1">
        <v>0.0</v>
      </c>
      <c r="X314" s="1">
        <v>5.0</v>
      </c>
      <c r="Y314" s="1">
        <v>2.35</v>
      </c>
      <c r="Z314" s="1">
        <v>6.3</v>
      </c>
    </row>
    <row r="315" ht="14.25" customHeight="1">
      <c r="A315" s="1" t="s">
        <v>26</v>
      </c>
      <c r="B315" s="1" t="s">
        <v>472</v>
      </c>
      <c r="C315" s="1" t="s">
        <v>1853</v>
      </c>
      <c r="D315" s="1">
        <v>7.7679638E7</v>
      </c>
      <c r="E315" s="1" t="s">
        <v>1854</v>
      </c>
      <c r="F315" s="1" t="s">
        <v>207</v>
      </c>
      <c r="G315" s="1" t="s">
        <v>220</v>
      </c>
      <c r="H315" s="1" t="s">
        <v>385</v>
      </c>
      <c r="I315" s="1">
        <v>314033.0</v>
      </c>
      <c r="J315" s="1" t="s">
        <v>1855</v>
      </c>
      <c r="K315" s="1" t="s">
        <v>1856</v>
      </c>
      <c r="L315" s="1">
        <v>1166.0</v>
      </c>
      <c r="M315" s="1" t="s">
        <v>35</v>
      </c>
      <c r="N315" s="1" t="s">
        <v>36</v>
      </c>
      <c r="O315" s="1" t="s">
        <v>628</v>
      </c>
      <c r="P315" s="1">
        <v>1.0E8</v>
      </c>
      <c r="Q315" s="1">
        <v>2002.0</v>
      </c>
      <c r="R315" s="1">
        <v>29000.0</v>
      </c>
      <c r="S315" s="1">
        <v>14000.0</v>
      </c>
      <c r="T315" s="1">
        <v>1000.0</v>
      </c>
      <c r="U315" s="1">
        <v>47657.0</v>
      </c>
      <c r="V315" s="1">
        <v>17000.0</v>
      </c>
      <c r="W315" s="1">
        <v>0.0</v>
      </c>
      <c r="X315" s="1">
        <v>3.0</v>
      </c>
      <c r="Y315" s="1">
        <v>2.35</v>
      </c>
      <c r="Z315" s="1">
        <v>7.5</v>
      </c>
    </row>
    <row r="316" ht="14.25" customHeight="1">
      <c r="A316" s="1" t="s">
        <v>26</v>
      </c>
      <c r="B316" s="1" t="s">
        <v>1857</v>
      </c>
      <c r="C316" s="1" t="s">
        <v>1858</v>
      </c>
      <c r="D316" s="1">
        <v>9213.0</v>
      </c>
      <c r="E316" s="1" t="s">
        <v>1859</v>
      </c>
      <c r="F316" s="1" t="s">
        <v>59</v>
      </c>
      <c r="G316" s="1" t="s">
        <v>1860</v>
      </c>
      <c r="H316" s="1" t="s">
        <v>1861</v>
      </c>
      <c r="I316" s="1">
        <v>38690.0</v>
      </c>
      <c r="J316" s="1" t="s">
        <v>1862</v>
      </c>
      <c r="K316" s="1" t="s">
        <v>1863</v>
      </c>
      <c r="L316" s="1">
        <v>130.0</v>
      </c>
      <c r="M316" s="1" t="s">
        <v>1864</v>
      </c>
      <c r="N316" s="1" t="s">
        <v>855</v>
      </c>
      <c r="O316" s="1" t="s">
        <v>628</v>
      </c>
      <c r="P316" s="1">
        <v>9.4E7</v>
      </c>
      <c r="Q316" s="1">
        <v>2011.0</v>
      </c>
      <c r="R316" s="1">
        <v>23000.0</v>
      </c>
      <c r="S316" s="1">
        <v>196.0</v>
      </c>
      <c r="T316" s="1">
        <v>28.0</v>
      </c>
      <c r="U316" s="1">
        <v>23240.0</v>
      </c>
      <c r="V316" s="1">
        <v>611.0</v>
      </c>
      <c r="W316" s="1">
        <v>13000.0</v>
      </c>
      <c r="X316" s="1">
        <v>2.0</v>
      </c>
      <c r="Y316" s="1">
        <v>2.35</v>
      </c>
      <c r="Z316" s="1">
        <v>7.6</v>
      </c>
    </row>
    <row r="317" ht="14.25" customHeight="1">
      <c r="A317" s="1" t="s">
        <v>26</v>
      </c>
      <c r="B317" s="1" t="s">
        <v>1865</v>
      </c>
      <c r="C317" s="1" t="s">
        <v>1866</v>
      </c>
      <c r="D317" s="1">
        <v>5.8867694E7</v>
      </c>
      <c r="E317" s="1" t="s">
        <v>1867</v>
      </c>
      <c r="F317" s="1" t="s">
        <v>293</v>
      </c>
      <c r="G317" s="1" t="s">
        <v>1868</v>
      </c>
      <c r="H317" s="1" t="s">
        <v>1869</v>
      </c>
      <c r="I317" s="1">
        <v>54077.0</v>
      </c>
      <c r="J317" s="1" t="s">
        <v>1870</v>
      </c>
      <c r="K317" s="1" t="s">
        <v>1871</v>
      </c>
      <c r="L317" s="1">
        <v>112.0</v>
      </c>
      <c r="M317" s="1" t="s">
        <v>35</v>
      </c>
      <c r="N317" s="1" t="s">
        <v>36</v>
      </c>
      <c r="O317" s="1" t="s">
        <v>87</v>
      </c>
      <c r="P317" s="1">
        <v>1.0E8</v>
      </c>
      <c r="Q317" s="1">
        <v>2007.0</v>
      </c>
      <c r="R317" s="1">
        <v>12000.0</v>
      </c>
      <c r="S317" s="1">
        <v>11000.0</v>
      </c>
      <c r="T317" s="1">
        <v>970.0</v>
      </c>
      <c r="U317" s="1">
        <v>25590.0</v>
      </c>
      <c r="V317" s="1">
        <v>9.0</v>
      </c>
      <c r="W317" s="1">
        <v>0.0</v>
      </c>
      <c r="X317" s="1">
        <v>0.0</v>
      </c>
      <c r="Y317" s="1">
        <v>1.85</v>
      </c>
      <c r="Z317" s="1">
        <v>6.8</v>
      </c>
    </row>
    <row r="318" ht="14.25" customHeight="1">
      <c r="A318" s="1" t="s">
        <v>26</v>
      </c>
      <c r="B318" s="1" t="s">
        <v>1872</v>
      </c>
      <c r="C318" s="1" t="s">
        <v>1873</v>
      </c>
      <c r="D318" s="1">
        <v>5.9475623E7</v>
      </c>
      <c r="E318" s="1" t="s">
        <v>1874</v>
      </c>
      <c r="F318" s="1" t="s">
        <v>1875</v>
      </c>
      <c r="G318" s="1" t="s">
        <v>865</v>
      </c>
      <c r="H318" s="1" t="s">
        <v>1876</v>
      </c>
      <c r="I318" s="1">
        <v>49739.0</v>
      </c>
      <c r="J318" s="1" t="s">
        <v>1877</v>
      </c>
      <c r="K318" s="1" t="s">
        <v>1878</v>
      </c>
      <c r="L318" s="1">
        <v>407.0</v>
      </c>
      <c r="M318" s="1" t="s">
        <v>35</v>
      </c>
      <c r="N318" s="1" t="s">
        <v>36</v>
      </c>
      <c r="O318" s="1" t="s">
        <v>37</v>
      </c>
      <c r="P318" s="1">
        <v>9.0E7</v>
      </c>
      <c r="Q318" s="1">
        <v>2004.0</v>
      </c>
      <c r="R318" s="1">
        <v>11000.0</v>
      </c>
      <c r="S318" s="1">
        <v>2000.0</v>
      </c>
      <c r="T318" s="1">
        <v>465.0</v>
      </c>
      <c r="U318" s="1">
        <v>13748.0</v>
      </c>
      <c r="V318" s="1">
        <v>0.0</v>
      </c>
      <c r="W318" s="1">
        <v>0.0</v>
      </c>
      <c r="X318" s="1">
        <v>1.0</v>
      </c>
      <c r="Y318" s="1">
        <v>1.85</v>
      </c>
      <c r="Z318" s="1">
        <v>5.2</v>
      </c>
    </row>
    <row r="319" ht="14.25" customHeight="1">
      <c r="A319" s="1" t="s">
        <v>26</v>
      </c>
      <c r="B319" s="1" t="s">
        <v>179</v>
      </c>
      <c r="C319" s="1" t="s">
        <v>1879</v>
      </c>
      <c r="D319" s="1">
        <v>1.08638745E8</v>
      </c>
      <c r="E319" s="1" t="s">
        <v>1880</v>
      </c>
      <c r="F319" s="1" t="s">
        <v>1297</v>
      </c>
      <c r="G319" s="1" t="s">
        <v>1009</v>
      </c>
      <c r="H319" s="1" t="s">
        <v>352</v>
      </c>
      <c r="I319" s="1">
        <v>292022.0</v>
      </c>
      <c r="J319" s="1" t="s">
        <v>1881</v>
      </c>
      <c r="K319" s="1" t="s">
        <v>1882</v>
      </c>
      <c r="L319" s="1">
        <v>1103.0</v>
      </c>
      <c r="M319" s="1" t="s">
        <v>35</v>
      </c>
      <c r="N319" s="1" t="s">
        <v>36</v>
      </c>
      <c r="O319" s="1" t="s">
        <v>628</v>
      </c>
      <c r="P319" s="1">
        <v>9.2E7</v>
      </c>
      <c r="Q319" s="1">
        <v>2001.0</v>
      </c>
      <c r="R319" s="1">
        <v>2000.0</v>
      </c>
      <c r="S319" s="1">
        <v>820.0</v>
      </c>
      <c r="T319" s="1">
        <v>557.0</v>
      </c>
      <c r="U319" s="1">
        <v>4270.0</v>
      </c>
      <c r="V319" s="1">
        <v>0.0</v>
      </c>
      <c r="W319" s="1">
        <v>10000.0</v>
      </c>
      <c r="X319" s="1">
        <v>0.0</v>
      </c>
      <c r="Y319" s="1">
        <v>2.35</v>
      </c>
      <c r="Z319" s="1">
        <v>7.7</v>
      </c>
    </row>
    <row r="320" ht="14.25" customHeight="1">
      <c r="A320" s="1" t="s">
        <v>26</v>
      </c>
      <c r="B320" s="1" t="s">
        <v>1883</v>
      </c>
      <c r="C320" s="1" t="s">
        <v>1884</v>
      </c>
      <c r="D320" s="1">
        <v>8.6897182E7</v>
      </c>
      <c r="E320" s="1" t="s">
        <v>1885</v>
      </c>
      <c r="F320" s="1" t="s">
        <v>1197</v>
      </c>
      <c r="G320" s="1" t="s">
        <v>1886</v>
      </c>
      <c r="H320" s="1" t="s">
        <v>1887</v>
      </c>
      <c r="I320" s="1">
        <v>106790.0</v>
      </c>
      <c r="J320" s="1" t="s">
        <v>1888</v>
      </c>
      <c r="K320" s="1" t="s">
        <v>1889</v>
      </c>
      <c r="L320" s="1">
        <v>177.0</v>
      </c>
      <c r="M320" s="1" t="s">
        <v>35</v>
      </c>
      <c r="N320" s="1" t="s">
        <v>36</v>
      </c>
      <c r="O320" s="1" t="s">
        <v>628</v>
      </c>
      <c r="P320" s="1">
        <v>9.5E7</v>
      </c>
      <c r="Q320" s="1">
        <v>2012.0</v>
      </c>
      <c r="R320" s="1">
        <v>8000.0</v>
      </c>
      <c r="S320" s="1">
        <v>331.0</v>
      </c>
      <c r="T320" s="1">
        <v>329.0</v>
      </c>
      <c r="U320" s="1">
        <v>9271.0</v>
      </c>
      <c r="V320" s="1">
        <v>116.0</v>
      </c>
      <c r="W320" s="1">
        <v>18000.0</v>
      </c>
      <c r="X320" s="1">
        <v>0.0</v>
      </c>
      <c r="Y320" s="1">
        <v>1.85</v>
      </c>
      <c r="Z320" s="1">
        <v>6.2</v>
      </c>
    </row>
    <row r="321" ht="14.25" customHeight="1">
      <c r="A321" s="1" t="s">
        <v>26</v>
      </c>
      <c r="B321" s="1" t="s">
        <v>1890</v>
      </c>
      <c r="C321" s="1" t="s">
        <v>1891</v>
      </c>
      <c r="D321" s="1">
        <v>6.354002E7</v>
      </c>
      <c r="E321" s="1" t="s">
        <v>65</v>
      </c>
      <c r="F321" s="1" t="s">
        <v>1892</v>
      </c>
      <c r="G321" s="1" t="s">
        <v>941</v>
      </c>
      <c r="H321" s="1" t="s">
        <v>425</v>
      </c>
      <c r="I321" s="1">
        <v>343274.0</v>
      </c>
      <c r="J321" s="1" t="s">
        <v>1893</v>
      </c>
      <c r="K321" s="1" t="s">
        <v>1894</v>
      </c>
      <c r="L321" s="1">
        <v>742.0</v>
      </c>
      <c r="M321" s="1" t="s">
        <v>35</v>
      </c>
      <c r="N321" s="1" t="s">
        <v>1832</v>
      </c>
      <c r="O321" s="1" t="s">
        <v>37</v>
      </c>
      <c r="P321" s="1">
        <v>9.3E7</v>
      </c>
      <c r="Q321" s="1">
        <v>1997.0</v>
      </c>
      <c r="R321" s="1">
        <v>14000.0</v>
      </c>
      <c r="S321" s="1">
        <v>13000.0</v>
      </c>
      <c r="T321" s="1">
        <v>10000.0</v>
      </c>
      <c r="U321" s="1">
        <v>39319.0</v>
      </c>
      <c r="V321" s="1">
        <v>0.0</v>
      </c>
      <c r="W321" s="1">
        <v>18000.0</v>
      </c>
      <c r="X321" s="1">
        <v>2.0</v>
      </c>
      <c r="Y321" s="1">
        <v>2.35</v>
      </c>
      <c r="Z321" s="1">
        <v>7.7</v>
      </c>
    </row>
    <row r="322" ht="14.25" customHeight="1">
      <c r="A322" s="1" t="s">
        <v>26</v>
      </c>
      <c r="B322" s="1" t="s">
        <v>1895</v>
      </c>
      <c r="C322" s="1" t="s">
        <v>1896</v>
      </c>
      <c r="D322" s="1">
        <v>9.5328937E7</v>
      </c>
      <c r="E322" s="1" t="s">
        <v>1359</v>
      </c>
      <c r="F322" s="1" t="s">
        <v>1897</v>
      </c>
      <c r="G322" s="1" t="s">
        <v>1898</v>
      </c>
      <c r="H322" s="1" t="s">
        <v>1899</v>
      </c>
      <c r="I322" s="1">
        <v>59581.0</v>
      </c>
      <c r="J322" s="1" t="s">
        <v>1900</v>
      </c>
      <c r="K322" s="1" t="s">
        <v>1901</v>
      </c>
      <c r="L322" s="1">
        <v>293.0</v>
      </c>
      <c r="M322" s="1" t="s">
        <v>35</v>
      </c>
      <c r="N322" s="1" t="s">
        <v>36</v>
      </c>
      <c r="O322" s="1" t="s">
        <v>628</v>
      </c>
      <c r="P322" s="1">
        <v>1.0E8</v>
      </c>
      <c r="Q322" s="1">
        <v>2010.0</v>
      </c>
      <c r="R322" s="1">
        <v>962.0</v>
      </c>
      <c r="S322" s="1">
        <v>740.0</v>
      </c>
      <c r="T322" s="1">
        <v>722.0</v>
      </c>
      <c r="U322" s="1">
        <v>4555.0</v>
      </c>
      <c r="V322" s="1">
        <v>127.0</v>
      </c>
      <c r="W322" s="1">
        <v>0.0</v>
      </c>
      <c r="X322" s="1">
        <v>4.0</v>
      </c>
      <c r="Y322" s="1">
        <v>1.85</v>
      </c>
      <c r="Z322" s="1">
        <v>4.3</v>
      </c>
    </row>
    <row r="323" ht="14.25" customHeight="1">
      <c r="A323" s="1" t="s">
        <v>26</v>
      </c>
      <c r="B323" s="1" t="s">
        <v>1902</v>
      </c>
      <c r="C323" s="1" t="s">
        <v>1903</v>
      </c>
      <c r="D323" s="1">
        <v>5.0802661E7</v>
      </c>
      <c r="E323" s="1" t="s">
        <v>1904</v>
      </c>
      <c r="F323" s="1" t="s">
        <v>1905</v>
      </c>
      <c r="G323" s="1" t="s">
        <v>1906</v>
      </c>
      <c r="H323" s="1" t="s">
        <v>1907</v>
      </c>
      <c r="I323" s="1">
        <v>58300.0</v>
      </c>
      <c r="J323" s="1" t="s">
        <v>1908</v>
      </c>
      <c r="K323" s="1" t="s">
        <v>1909</v>
      </c>
      <c r="L323" s="1">
        <v>139.0</v>
      </c>
      <c r="M323" s="1" t="s">
        <v>35</v>
      </c>
      <c r="N323" s="1" t="s">
        <v>36</v>
      </c>
      <c r="O323" s="1" t="s">
        <v>87</v>
      </c>
      <c r="P323" s="1">
        <v>9.5E7</v>
      </c>
      <c r="Q323" s="1">
        <v>2000.0</v>
      </c>
      <c r="R323" s="1">
        <v>2000.0</v>
      </c>
      <c r="S323" s="1">
        <v>919.0</v>
      </c>
      <c r="T323" s="1">
        <v>442.0</v>
      </c>
      <c r="U323" s="1">
        <v>3372.0</v>
      </c>
      <c r="V323" s="1">
        <v>10.0</v>
      </c>
      <c r="W323" s="1">
        <v>0.0</v>
      </c>
      <c r="X323" s="1">
        <v>1.0</v>
      </c>
      <c r="Y323" s="1">
        <v>1.85</v>
      </c>
      <c r="Z323" s="1">
        <v>6.9</v>
      </c>
    </row>
    <row r="324" ht="14.25" customHeight="1">
      <c r="A324" s="1" t="s">
        <v>26</v>
      </c>
      <c r="B324" s="1" t="s">
        <v>1833</v>
      </c>
      <c r="C324" s="1" t="s">
        <v>1910</v>
      </c>
      <c r="D324" s="1">
        <v>1.61317423E8</v>
      </c>
      <c r="E324" s="1" t="s">
        <v>456</v>
      </c>
      <c r="F324" s="1" t="s">
        <v>141</v>
      </c>
      <c r="G324" s="1" t="s">
        <v>793</v>
      </c>
      <c r="H324" s="1" t="s">
        <v>1911</v>
      </c>
      <c r="I324" s="1">
        <v>145321.0</v>
      </c>
      <c r="J324" s="1" t="s">
        <v>1912</v>
      </c>
      <c r="K324" s="1" t="s">
        <v>1913</v>
      </c>
      <c r="L324" s="1">
        <v>139.0</v>
      </c>
      <c r="M324" s="1" t="s">
        <v>35</v>
      </c>
      <c r="N324" s="1" t="s">
        <v>36</v>
      </c>
      <c r="O324" s="1" t="s">
        <v>87</v>
      </c>
      <c r="P324" s="1">
        <v>9.5E7</v>
      </c>
      <c r="Q324" s="1">
        <v>2012.0</v>
      </c>
      <c r="R324" s="1">
        <v>22000.0</v>
      </c>
      <c r="S324" s="1">
        <v>1000.0</v>
      </c>
      <c r="T324" s="1">
        <v>916.0</v>
      </c>
      <c r="U324" s="1">
        <v>25354.0</v>
      </c>
      <c r="V324" s="1">
        <v>20.0</v>
      </c>
      <c r="W324" s="1">
        <v>14000.0</v>
      </c>
      <c r="X324" s="1">
        <v>0.0</v>
      </c>
      <c r="Y324" s="1">
        <v>2.35</v>
      </c>
      <c r="Z324" s="1">
        <v>6.6</v>
      </c>
    </row>
    <row r="325" ht="14.25" customHeight="1">
      <c r="A325" s="1" t="s">
        <v>26</v>
      </c>
      <c r="B325" s="1" t="s">
        <v>820</v>
      </c>
      <c r="C325" s="1" t="s">
        <v>1914</v>
      </c>
      <c r="D325" s="1">
        <v>2.01148159E8</v>
      </c>
      <c r="E325" s="1" t="s">
        <v>1915</v>
      </c>
      <c r="F325" s="1" t="s">
        <v>569</v>
      </c>
      <c r="G325" s="1" t="s">
        <v>1916</v>
      </c>
      <c r="H325" s="1" t="s">
        <v>842</v>
      </c>
      <c r="I325" s="1">
        <v>103737.0</v>
      </c>
      <c r="J325" s="1" t="s">
        <v>1917</v>
      </c>
      <c r="K325" s="1" t="s">
        <v>1918</v>
      </c>
      <c r="L325" s="1">
        <v>322.0</v>
      </c>
      <c r="M325" s="1" t="s">
        <v>35</v>
      </c>
      <c r="N325" s="1" t="s">
        <v>36</v>
      </c>
      <c r="O325" s="1" t="s">
        <v>87</v>
      </c>
      <c r="P325" s="1">
        <v>9.5E7</v>
      </c>
      <c r="Q325" s="1">
        <v>2015.0</v>
      </c>
      <c r="R325" s="1">
        <v>2000.0</v>
      </c>
      <c r="S325" s="1">
        <v>520.0</v>
      </c>
      <c r="T325" s="1">
        <v>502.0</v>
      </c>
      <c r="U325" s="1">
        <v>4671.0</v>
      </c>
      <c r="V325" s="1">
        <v>0.0</v>
      </c>
      <c r="W325" s="1">
        <v>56000.0</v>
      </c>
      <c r="X325" s="1">
        <v>1.0</v>
      </c>
      <c r="Y325" s="1">
        <v>2.35</v>
      </c>
      <c r="Z325" s="1">
        <v>7.0</v>
      </c>
    </row>
    <row r="326" ht="14.25" customHeight="1">
      <c r="A326" s="1" t="s">
        <v>26</v>
      </c>
      <c r="B326" s="1" t="s">
        <v>163</v>
      </c>
      <c r="C326" s="1" t="s">
        <v>1919</v>
      </c>
      <c r="D326" s="1">
        <v>4.3982842E7</v>
      </c>
      <c r="E326" s="1" t="s">
        <v>1920</v>
      </c>
      <c r="F326" s="1" t="s">
        <v>1921</v>
      </c>
      <c r="G326" s="1" t="s">
        <v>1922</v>
      </c>
      <c r="H326" s="1" t="s">
        <v>417</v>
      </c>
      <c r="I326" s="1">
        <v>125109.0</v>
      </c>
      <c r="J326" s="1" t="s">
        <v>1923</v>
      </c>
      <c r="K326" s="1" t="s">
        <v>1924</v>
      </c>
      <c r="L326" s="1">
        <v>593.0</v>
      </c>
      <c r="M326" s="1" t="s">
        <v>35</v>
      </c>
      <c r="N326" s="1" t="s">
        <v>36</v>
      </c>
      <c r="O326" s="1" t="s">
        <v>37</v>
      </c>
      <c r="P326" s="1">
        <v>6.5E7</v>
      </c>
      <c r="Q326" s="1">
        <v>2009.0</v>
      </c>
      <c r="R326" s="1">
        <v>873.0</v>
      </c>
      <c r="S326" s="1">
        <v>560.0</v>
      </c>
      <c r="T326" s="1">
        <v>310.0</v>
      </c>
      <c r="U326" s="1">
        <v>2370.0</v>
      </c>
      <c r="V326" s="1">
        <v>0.0</v>
      </c>
      <c r="W326" s="1">
        <v>16000.0</v>
      </c>
      <c r="X326" s="1">
        <v>1.0</v>
      </c>
      <c r="Y326" s="1">
        <v>2.35</v>
      </c>
      <c r="Z326" s="1">
        <v>6.7</v>
      </c>
    </row>
    <row r="327" ht="14.25" customHeight="1">
      <c r="A327" s="1" t="s">
        <v>26</v>
      </c>
      <c r="B327" s="1" t="s">
        <v>63</v>
      </c>
      <c r="C327" s="1" t="s">
        <v>1925</v>
      </c>
      <c r="D327" s="1">
        <v>3.8083887E8</v>
      </c>
      <c r="E327" s="1" t="s">
        <v>456</v>
      </c>
      <c r="F327" s="1" t="s">
        <v>1926</v>
      </c>
      <c r="G327" s="1" t="s">
        <v>1102</v>
      </c>
      <c r="H327" s="1" t="s">
        <v>82</v>
      </c>
      <c r="I327" s="1">
        <v>692482.0</v>
      </c>
      <c r="J327" s="1" t="s">
        <v>1927</v>
      </c>
      <c r="K327" s="1" t="s">
        <v>1928</v>
      </c>
      <c r="L327" s="1">
        <v>866.0</v>
      </c>
      <c r="M327" s="1" t="s">
        <v>35</v>
      </c>
      <c r="N327" s="1" t="s">
        <v>36</v>
      </c>
      <c r="O327" s="1" t="s">
        <v>269</v>
      </c>
      <c r="P327" s="1">
        <v>9.4E7</v>
      </c>
      <c r="Q327" s="1">
        <v>2003.0</v>
      </c>
      <c r="R327" s="1">
        <v>1000.0</v>
      </c>
      <c r="S327" s="1">
        <v>939.0</v>
      </c>
      <c r="T327" s="1">
        <v>799.0</v>
      </c>
      <c r="U327" s="1">
        <v>5641.0</v>
      </c>
      <c r="V327" s="1">
        <v>475.0</v>
      </c>
      <c r="W327" s="1">
        <v>11000.0</v>
      </c>
      <c r="X327" s="1">
        <v>0.0</v>
      </c>
      <c r="Y327" s="1">
        <v>1.85</v>
      </c>
      <c r="Z327" s="1">
        <v>8.2</v>
      </c>
    </row>
    <row r="328" ht="14.25" customHeight="1">
      <c r="A328" s="1" t="s">
        <v>26</v>
      </c>
      <c r="B328" s="1" t="s">
        <v>163</v>
      </c>
      <c r="C328" s="1" t="s">
        <v>1929</v>
      </c>
      <c r="D328" s="1">
        <v>3.77019252E8</v>
      </c>
      <c r="E328" s="1" t="s">
        <v>543</v>
      </c>
      <c r="F328" s="1" t="s">
        <v>42</v>
      </c>
      <c r="G328" s="1" t="s">
        <v>1546</v>
      </c>
      <c r="H328" s="1" t="s">
        <v>1930</v>
      </c>
      <c r="I328" s="1">
        <v>1215718.0</v>
      </c>
      <c r="J328" s="1" t="s">
        <v>1931</v>
      </c>
      <c r="K328" s="1" t="s">
        <v>1932</v>
      </c>
      <c r="L328" s="1">
        <v>3189.0</v>
      </c>
      <c r="M328" s="1" t="s">
        <v>35</v>
      </c>
      <c r="N328" s="1" t="s">
        <v>36</v>
      </c>
      <c r="O328" s="1" t="s">
        <v>37</v>
      </c>
      <c r="P328" s="1">
        <v>9.4E7</v>
      </c>
      <c r="Q328" s="1">
        <v>2003.0</v>
      </c>
      <c r="R328" s="1">
        <v>5000.0</v>
      </c>
      <c r="S328" s="1">
        <v>857.0</v>
      </c>
      <c r="T328" s="1">
        <v>416.0</v>
      </c>
      <c r="U328" s="1">
        <v>6434.0</v>
      </c>
      <c r="V328" s="1">
        <v>0.0</v>
      </c>
      <c r="W328" s="1">
        <v>16000.0</v>
      </c>
      <c r="X328" s="1">
        <v>2.0</v>
      </c>
      <c r="Y328" s="1">
        <v>2.35</v>
      </c>
      <c r="Z328" s="1">
        <v>8.9</v>
      </c>
    </row>
    <row r="329" ht="14.25" customHeight="1">
      <c r="A329" s="1" t="s">
        <v>26</v>
      </c>
      <c r="B329" s="1" t="s">
        <v>163</v>
      </c>
      <c r="C329" s="1" t="s">
        <v>1933</v>
      </c>
      <c r="D329" s="1">
        <v>3.40478898E8</v>
      </c>
      <c r="E329" s="1" t="s">
        <v>543</v>
      </c>
      <c r="F329" s="1" t="s">
        <v>193</v>
      </c>
      <c r="G329" s="1" t="s">
        <v>42</v>
      </c>
      <c r="H329" s="1" t="s">
        <v>1546</v>
      </c>
      <c r="I329" s="1">
        <v>1100446.0</v>
      </c>
      <c r="J329" s="1" t="s">
        <v>1934</v>
      </c>
      <c r="K329" s="1" t="s">
        <v>1935</v>
      </c>
      <c r="L329" s="1">
        <v>2417.0</v>
      </c>
      <c r="M329" s="1" t="s">
        <v>35</v>
      </c>
      <c r="N329" s="1" t="s">
        <v>36</v>
      </c>
      <c r="O329" s="1" t="s">
        <v>37</v>
      </c>
      <c r="P329" s="1">
        <v>9.4E7</v>
      </c>
      <c r="Q329" s="1">
        <v>2002.0</v>
      </c>
      <c r="R329" s="1">
        <v>16000.0</v>
      </c>
      <c r="S329" s="1">
        <v>5000.0</v>
      </c>
      <c r="T329" s="1">
        <v>857.0</v>
      </c>
      <c r="U329" s="1">
        <v>23052.0</v>
      </c>
      <c r="V329" s="1">
        <v>0.0</v>
      </c>
      <c r="W329" s="1">
        <v>10000.0</v>
      </c>
      <c r="X329" s="1">
        <v>1.0</v>
      </c>
      <c r="Y329" s="1">
        <v>2.35</v>
      </c>
      <c r="Z329" s="1">
        <v>8.7</v>
      </c>
    </row>
    <row r="330" ht="14.25" customHeight="1">
      <c r="A330" s="1" t="s">
        <v>26</v>
      </c>
      <c r="B330" s="1" t="s">
        <v>1936</v>
      </c>
      <c r="C330" s="1" t="s">
        <v>1937</v>
      </c>
      <c r="D330" s="1">
        <v>1.71769E7</v>
      </c>
      <c r="E330" s="1" t="s">
        <v>40</v>
      </c>
      <c r="F330" s="1" t="s">
        <v>293</v>
      </c>
      <c r="G330" s="1" t="s">
        <v>632</v>
      </c>
      <c r="H330" s="1" t="s">
        <v>1938</v>
      </c>
      <c r="I330" s="1">
        <v>54501.0</v>
      </c>
      <c r="J330" s="1" t="s">
        <v>1939</v>
      </c>
      <c r="K330" s="1" t="s">
        <v>1940</v>
      </c>
      <c r="L330" s="1">
        <v>154.0</v>
      </c>
      <c r="M330" s="1" t="s">
        <v>35</v>
      </c>
      <c r="N330" s="1" t="s">
        <v>36</v>
      </c>
      <c r="O330" s="1" t="s">
        <v>37</v>
      </c>
      <c r="P330" s="1">
        <v>9.5E7</v>
      </c>
      <c r="Q330" s="1">
        <v>2014.0</v>
      </c>
      <c r="R330" s="1">
        <v>12000.0</v>
      </c>
      <c r="S330" s="1">
        <v>3000.0</v>
      </c>
      <c r="T330" s="1">
        <v>766.0</v>
      </c>
      <c r="U330" s="1">
        <v>17098.0</v>
      </c>
      <c r="V330" s="1">
        <v>44.0</v>
      </c>
      <c r="W330" s="1">
        <v>16000.0</v>
      </c>
      <c r="X330" s="1">
        <v>4.0</v>
      </c>
      <c r="Y330" s="1">
        <v>2.35</v>
      </c>
      <c r="Z330" s="1">
        <v>5.5</v>
      </c>
    </row>
    <row r="331" ht="14.25" customHeight="1">
      <c r="A331" s="1" t="s">
        <v>26</v>
      </c>
      <c r="B331" s="1" t="s">
        <v>1700</v>
      </c>
      <c r="C331" s="1" t="s">
        <v>1941</v>
      </c>
      <c r="D331" s="1">
        <v>1.31144183E8</v>
      </c>
      <c r="E331" s="1" t="s">
        <v>1849</v>
      </c>
      <c r="F331" s="1" t="s">
        <v>550</v>
      </c>
      <c r="G331" s="1" t="s">
        <v>510</v>
      </c>
      <c r="H331" s="1" t="s">
        <v>1942</v>
      </c>
      <c r="I331" s="1">
        <v>157016.0</v>
      </c>
      <c r="J331" s="1" t="s">
        <v>1943</v>
      </c>
      <c r="K331" s="1" t="s">
        <v>1944</v>
      </c>
      <c r="L331" s="1">
        <v>824.0</v>
      </c>
      <c r="M331" s="1" t="s">
        <v>35</v>
      </c>
      <c r="N331" s="1" t="s">
        <v>36</v>
      </c>
      <c r="O331" s="1" t="s">
        <v>37</v>
      </c>
      <c r="P331" s="1">
        <v>1.15E8</v>
      </c>
      <c r="Q331" s="1">
        <v>2001.0</v>
      </c>
      <c r="R331" s="1">
        <v>11000.0</v>
      </c>
      <c r="S331" s="1">
        <v>509.0</v>
      </c>
      <c r="T331" s="1">
        <v>240.0</v>
      </c>
      <c r="U331" s="1">
        <v>12150.0</v>
      </c>
      <c r="V331" s="1">
        <v>165.0</v>
      </c>
      <c r="W331" s="1">
        <v>0.0</v>
      </c>
      <c r="X331" s="1">
        <v>1.0</v>
      </c>
      <c r="Y331" s="1">
        <v>2.35</v>
      </c>
      <c r="Z331" s="1">
        <v>5.7</v>
      </c>
    </row>
    <row r="332" ht="14.25" customHeight="1">
      <c r="A332" s="1" t="s">
        <v>26</v>
      </c>
      <c r="B332" s="1" t="s">
        <v>1945</v>
      </c>
      <c r="C332" s="1" t="s">
        <v>1946</v>
      </c>
      <c r="D332" s="1">
        <v>2.3014504E7</v>
      </c>
      <c r="E332" s="1" t="s">
        <v>1947</v>
      </c>
      <c r="F332" s="1" t="s">
        <v>41</v>
      </c>
      <c r="G332" s="1" t="s">
        <v>451</v>
      </c>
      <c r="H332" s="1" t="s">
        <v>373</v>
      </c>
      <c r="I332" s="1">
        <v>172707.0</v>
      </c>
      <c r="J332" s="1" t="s">
        <v>1948</v>
      </c>
      <c r="K332" s="1" t="s">
        <v>1949</v>
      </c>
      <c r="L332" s="1">
        <v>462.0</v>
      </c>
      <c r="M332" s="1" t="s">
        <v>35</v>
      </c>
      <c r="N332" s="1" t="s">
        <v>54</v>
      </c>
      <c r="O332" s="1" t="s">
        <v>37</v>
      </c>
      <c r="P332" s="1">
        <v>1.0E8</v>
      </c>
      <c r="Q332" s="1">
        <v>2014.0</v>
      </c>
      <c r="R332" s="1">
        <v>40000.0</v>
      </c>
      <c r="S332" s="1">
        <v>11000.0</v>
      </c>
      <c r="T332" s="1">
        <v>968.0</v>
      </c>
      <c r="U332" s="1">
        <v>54031.0</v>
      </c>
      <c r="V332" s="1">
        <v>0.0</v>
      </c>
      <c r="W332" s="1">
        <v>37000.0</v>
      </c>
      <c r="X332" s="1">
        <v>1.0</v>
      </c>
      <c r="Y332" s="1">
        <v>2.35</v>
      </c>
      <c r="Z332" s="1">
        <v>6.3</v>
      </c>
    </row>
    <row r="333" ht="14.25" customHeight="1">
      <c r="A333" s="1" t="s">
        <v>26</v>
      </c>
      <c r="B333" s="1" t="s">
        <v>856</v>
      </c>
      <c r="C333" s="1" t="s">
        <v>1950</v>
      </c>
      <c r="D333" s="1">
        <v>1.81166115E8</v>
      </c>
      <c r="E333" s="1" t="s">
        <v>219</v>
      </c>
      <c r="F333" s="1" t="s">
        <v>1951</v>
      </c>
      <c r="G333" s="1" t="s">
        <v>1952</v>
      </c>
      <c r="H333" s="1" t="s">
        <v>1953</v>
      </c>
      <c r="I333" s="1">
        <v>219501.0</v>
      </c>
      <c r="J333" s="1" t="s">
        <v>1954</v>
      </c>
      <c r="K333" s="1" t="s">
        <v>1955</v>
      </c>
      <c r="L333" s="1">
        <v>1236.0</v>
      </c>
      <c r="M333" s="1" t="s">
        <v>35</v>
      </c>
      <c r="N333" s="1" t="s">
        <v>36</v>
      </c>
      <c r="O333" s="1" t="s">
        <v>37</v>
      </c>
      <c r="P333" s="1">
        <v>9.3E7</v>
      </c>
      <c r="Q333" s="1">
        <v>2001.0</v>
      </c>
      <c r="R333" s="1">
        <v>693.0</v>
      </c>
      <c r="S333" s="1">
        <v>595.0</v>
      </c>
      <c r="T333" s="1">
        <v>527.0</v>
      </c>
      <c r="U333" s="1">
        <v>2574.0</v>
      </c>
      <c r="V333" s="1">
        <v>394.0</v>
      </c>
      <c r="W333" s="1">
        <v>0.0</v>
      </c>
      <c r="X333" s="1">
        <v>0.0</v>
      </c>
      <c r="Y333" s="1">
        <v>1.85</v>
      </c>
      <c r="Z333" s="1">
        <v>5.9</v>
      </c>
    </row>
    <row r="334" ht="14.25" customHeight="1">
      <c r="A334" s="1" t="s">
        <v>26</v>
      </c>
      <c r="B334" s="1" t="s">
        <v>1956</v>
      </c>
      <c r="C334" s="1" t="s">
        <v>1957</v>
      </c>
      <c r="D334" s="1">
        <v>1.7674065E8</v>
      </c>
      <c r="E334" s="1" t="s">
        <v>1335</v>
      </c>
      <c r="F334" s="1" t="s">
        <v>75</v>
      </c>
      <c r="G334" s="1" t="s">
        <v>1958</v>
      </c>
      <c r="H334" s="1" t="s">
        <v>265</v>
      </c>
      <c r="I334" s="1">
        <v>403836.0</v>
      </c>
      <c r="J334" s="1" t="s">
        <v>1959</v>
      </c>
      <c r="K334" s="1" t="s">
        <v>1960</v>
      </c>
      <c r="L334" s="1">
        <v>646.0</v>
      </c>
      <c r="M334" s="1" t="s">
        <v>35</v>
      </c>
      <c r="N334" s="1" t="s">
        <v>36</v>
      </c>
      <c r="O334" s="1" t="s">
        <v>37</v>
      </c>
      <c r="P334" s="1">
        <v>9.3E7</v>
      </c>
      <c r="Q334" s="1">
        <v>2011.0</v>
      </c>
      <c r="R334" s="1">
        <v>11000.0</v>
      </c>
      <c r="S334" s="1">
        <v>1000.0</v>
      </c>
      <c r="T334" s="1">
        <v>779.0</v>
      </c>
      <c r="U334" s="1">
        <v>13118.0</v>
      </c>
      <c r="V334" s="1">
        <v>81.0</v>
      </c>
      <c r="W334" s="1">
        <v>47000.0</v>
      </c>
      <c r="X334" s="1">
        <v>0.0</v>
      </c>
      <c r="Y334" s="1">
        <v>2.35</v>
      </c>
      <c r="Z334" s="1">
        <v>7.6</v>
      </c>
    </row>
    <row r="335" ht="14.25" customHeight="1">
      <c r="A335" s="1" t="s">
        <v>26</v>
      </c>
      <c r="B335" s="1" t="s">
        <v>1961</v>
      </c>
      <c r="C335" s="1" t="s">
        <v>1962</v>
      </c>
      <c r="D335" s="1">
        <v>7.1148699E7</v>
      </c>
      <c r="E335" s="1" t="s">
        <v>192</v>
      </c>
      <c r="F335" s="1" t="s">
        <v>922</v>
      </c>
      <c r="G335" s="1" t="s">
        <v>1963</v>
      </c>
      <c r="H335" s="1" t="s">
        <v>1964</v>
      </c>
      <c r="I335" s="1">
        <v>68935.0</v>
      </c>
      <c r="J335" s="1" t="s">
        <v>1965</v>
      </c>
      <c r="K335" s="1" t="s">
        <v>1966</v>
      </c>
      <c r="L335" s="1">
        <v>125.0</v>
      </c>
      <c r="M335" s="1" t="s">
        <v>35</v>
      </c>
      <c r="N335" s="1" t="s">
        <v>36</v>
      </c>
      <c r="O335" s="1" t="s">
        <v>87</v>
      </c>
      <c r="P335" s="1">
        <v>9.0E7</v>
      </c>
      <c r="Q335" s="1">
        <v>2008.0</v>
      </c>
      <c r="R335" s="1">
        <v>770.0</v>
      </c>
      <c r="S335" s="1">
        <v>419.0</v>
      </c>
      <c r="T335" s="1">
        <v>330.0</v>
      </c>
      <c r="U335" s="1">
        <v>1614.0</v>
      </c>
      <c r="V335" s="1">
        <v>70.0</v>
      </c>
      <c r="W335" s="1">
        <v>0.0</v>
      </c>
      <c r="X335" s="1">
        <v>0.0</v>
      </c>
      <c r="Y335" s="1">
        <v>2.35</v>
      </c>
      <c r="Z335" s="1">
        <v>6.6</v>
      </c>
    </row>
    <row r="336" ht="14.25" customHeight="1">
      <c r="A336" s="1" t="s">
        <v>26</v>
      </c>
      <c r="B336" s="1" t="s">
        <v>1967</v>
      </c>
      <c r="C336" s="1" t="s">
        <v>1968</v>
      </c>
      <c r="D336" s="1">
        <v>6.7344392E7</v>
      </c>
      <c r="E336" s="1" t="s">
        <v>57</v>
      </c>
      <c r="F336" s="1" t="s">
        <v>941</v>
      </c>
      <c r="G336" s="1" t="s">
        <v>1969</v>
      </c>
      <c r="H336" s="1" t="s">
        <v>1970</v>
      </c>
      <c r="I336" s="1">
        <v>165618.0</v>
      </c>
      <c r="J336" s="1" t="s">
        <v>1971</v>
      </c>
      <c r="K336" s="1" t="s">
        <v>1972</v>
      </c>
      <c r="L336" s="1">
        <v>503.0</v>
      </c>
      <c r="M336" s="1" t="s">
        <v>35</v>
      </c>
      <c r="N336" s="1" t="s">
        <v>36</v>
      </c>
      <c r="O336" s="1" t="s">
        <v>628</v>
      </c>
      <c r="P336" s="1">
        <v>9.2E7</v>
      </c>
      <c r="Q336" s="1">
        <v>2013.0</v>
      </c>
      <c r="R336" s="1">
        <v>13000.0</v>
      </c>
      <c r="S336" s="1">
        <v>787.0</v>
      </c>
      <c r="T336" s="1">
        <v>476.0</v>
      </c>
      <c r="U336" s="1">
        <v>15481.0</v>
      </c>
      <c r="V336" s="1">
        <v>212.0</v>
      </c>
      <c r="W336" s="1">
        <v>66000.0</v>
      </c>
      <c r="X336" s="1">
        <v>2.0</v>
      </c>
      <c r="Y336" s="1">
        <v>1.85</v>
      </c>
      <c r="Z336" s="1">
        <v>5.3</v>
      </c>
    </row>
    <row r="337" ht="14.25" customHeight="1">
      <c r="A337" s="1" t="s">
        <v>26</v>
      </c>
      <c r="B337" s="1" t="s">
        <v>1973</v>
      </c>
      <c r="C337" s="1" t="s">
        <v>1974</v>
      </c>
      <c r="D337" s="1">
        <v>2.2406362E7</v>
      </c>
      <c r="E337" s="1" t="s">
        <v>1975</v>
      </c>
      <c r="F337" s="1" t="s">
        <v>522</v>
      </c>
      <c r="G337" s="1" t="s">
        <v>1368</v>
      </c>
      <c r="H337" s="1" t="s">
        <v>1145</v>
      </c>
      <c r="I337" s="1">
        <v>16832.0</v>
      </c>
      <c r="J337" s="1" t="s">
        <v>1976</v>
      </c>
      <c r="K337" s="1" t="s">
        <v>1977</v>
      </c>
      <c r="L337" s="1">
        <v>267.0</v>
      </c>
      <c r="M337" s="1" t="s">
        <v>35</v>
      </c>
      <c r="N337" s="1" t="s">
        <v>36</v>
      </c>
      <c r="O337" s="1" t="s">
        <v>37</v>
      </c>
      <c r="P337" s="1">
        <v>1.07E8</v>
      </c>
      <c r="Q337" s="1">
        <v>2004.0</v>
      </c>
      <c r="R337" s="1">
        <v>2000.0</v>
      </c>
      <c r="S337" s="1">
        <v>973.0</v>
      </c>
      <c r="T337" s="1">
        <v>877.0</v>
      </c>
      <c r="U337" s="1">
        <v>5780.0</v>
      </c>
      <c r="V337" s="1">
        <v>102.0</v>
      </c>
      <c r="W337" s="1">
        <v>701.0</v>
      </c>
      <c r="X337" s="1">
        <v>0.0</v>
      </c>
      <c r="Y337" s="1">
        <v>2.35</v>
      </c>
      <c r="Z337" s="1">
        <v>6.0</v>
      </c>
    </row>
    <row r="338" ht="14.25" customHeight="1">
      <c r="A338" s="1" t="s">
        <v>26</v>
      </c>
      <c r="B338" s="1" t="s">
        <v>579</v>
      </c>
      <c r="C338" s="1" t="s">
        <v>1978</v>
      </c>
      <c r="D338" s="1">
        <v>2.61437578E8</v>
      </c>
      <c r="E338" s="1" t="s">
        <v>1979</v>
      </c>
      <c r="F338" s="1" t="s">
        <v>1980</v>
      </c>
      <c r="G338" s="1" t="s">
        <v>1981</v>
      </c>
      <c r="H338" s="1" t="s">
        <v>1982</v>
      </c>
      <c r="I338" s="1">
        <v>479166.0</v>
      </c>
      <c r="J338" s="1" t="s">
        <v>1983</v>
      </c>
      <c r="K338" s="1" t="s">
        <v>1984</v>
      </c>
      <c r="L338" s="1">
        <v>815.0</v>
      </c>
      <c r="M338" s="1" t="s">
        <v>35</v>
      </c>
      <c r="N338" s="1" t="s">
        <v>36</v>
      </c>
      <c r="O338" s="1" t="s">
        <v>87</v>
      </c>
      <c r="P338" s="1">
        <v>9.2E7</v>
      </c>
      <c r="Q338" s="1">
        <v>2004.0</v>
      </c>
      <c r="R338" s="1">
        <v>1000.0</v>
      </c>
      <c r="S338" s="1">
        <v>723.0</v>
      </c>
      <c r="T338" s="1">
        <v>55.0</v>
      </c>
      <c r="U338" s="1">
        <v>1901.0</v>
      </c>
      <c r="V338" s="1">
        <v>663.0</v>
      </c>
      <c r="W338" s="1">
        <v>0.0</v>
      </c>
      <c r="X338" s="1">
        <v>0.0</v>
      </c>
      <c r="Y338" s="1">
        <v>2.35</v>
      </c>
      <c r="Z338" s="1">
        <v>8.0</v>
      </c>
    </row>
    <row r="339" ht="14.25" customHeight="1">
      <c r="A339" s="1" t="s">
        <v>26</v>
      </c>
      <c r="B339" s="1" t="s">
        <v>1985</v>
      </c>
      <c r="C339" s="1" t="s">
        <v>1986</v>
      </c>
      <c r="D339" s="1">
        <v>1.1E7</v>
      </c>
      <c r="E339" s="1" t="s">
        <v>1551</v>
      </c>
      <c r="F339" s="1" t="s">
        <v>1987</v>
      </c>
      <c r="G339" s="1" t="s">
        <v>114</v>
      </c>
      <c r="H339" s="1" t="s">
        <v>1988</v>
      </c>
      <c r="I339" s="1">
        <v>21102.0</v>
      </c>
      <c r="J339" s="1" t="s">
        <v>1989</v>
      </c>
      <c r="K339" s="1" t="s">
        <v>1990</v>
      </c>
      <c r="L339" s="1">
        <v>169.0</v>
      </c>
      <c r="M339" s="1" t="s">
        <v>35</v>
      </c>
      <c r="N339" s="1" t="s">
        <v>36</v>
      </c>
      <c r="O339" s="1" t="s">
        <v>37</v>
      </c>
      <c r="P339" s="1">
        <v>9.8E7</v>
      </c>
      <c r="Q339" s="1">
        <v>1995.0</v>
      </c>
      <c r="R339" s="1">
        <v>1000.0</v>
      </c>
      <c r="S339" s="1">
        <v>903.0</v>
      </c>
      <c r="T339" s="1">
        <v>810.0</v>
      </c>
      <c r="U339" s="1">
        <v>3611.0</v>
      </c>
      <c r="V339" s="1">
        <v>212.0</v>
      </c>
      <c r="W339" s="1">
        <v>1000.0</v>
      </c>
      <c r="X339" s="1">
        <v>3.0</v>
      </c>
      <c r="Y339" s="1">
        <v>2.35</v>
      </c>
      <c r="Z339" s="1">
        <v>5.6</v>
      </c>
    </row>
    <row r="340" ht="14.25" customHeight="1">
      <c r="A340" s="1" t="s">
        <v>26</v>
      </c>
      <c r="B340" s="1" t="s">
        <v>1200</v>
      </c>
      <c r="C340" s="1" t="s">
        <v>1991</v>
      </c>
      <c r="D340" s="1">
        <v>8.876172E7</v>
      </c>
      <c r="E340" s="1" t="s">
        <v>192</v>
      </c>
      <c r="F340" s="1" t="s">
        <v>1162</v>
      </c>
      <c r="G340" s="1" t="s">
        <v>947</v>
      </c>
      <c r="H340" s="1" t="s">
        <v>776</v>
      </c>
      <c r="I340" s="1">
        <v>141179.0</v>
      </c>
      <c r="J340" s="1" t="s">
        <v>1992</v>
      </c>
      <c r="K340" s="1" t="s">
        <v>1993</v>
      </c>
      <c r="L340" s="1">
        <v>419.0</v>
      </c>
      <c r="M340" s="1" t="s">
        <v>35</v>
      </c>
      <c r="N340" s="1" t="s">
        <v>54</v>
      </c>
      <c r="O340" s="1" t="s">
        <v>87</v>
      </c>
      <c r="P340" s="1">
        <v>9.5E7</v>
      </c>
      <c r="Q340" s="1">
        <v>2010.0</v>
      </c>
      <c r="R340" s="1">
        <v>8000.0</v>
      </c>
      <c r="S340" s="1">
        <v>3000.0</v>
      </c>
      <c r="T340" s="1">
        <v>1000.0</v>
      </c>
      <c r="U340" s="1">
        <v>14024.0</v>
      </c>
      <c r="V340" s="1">
        <v>0.0</v>
      </c>
      <c r="W340" s="1">
        <v>9000.0</v>
      </c>
      <c r="X340" s="1">
        <v>0.0</v>
      </c>
      <c r="Y340" s="1">
        <v>2.35</v>
      </c>
      <c r="Z340" s="1">
        <v>5.9</v>
      </c>
    </row>
    <row r="341" ht="14.25" customHeight="1">
      <c r="A341" s="1" t="s">
        <v>26</v>
      </c>
      <c r="B341" s="1" t="s">
        <v>155</v>
      </c>
      <c r="C341" s="1" t="s">
        <v>1994</v>
      </c>
      <c r="D341" s="1">
        <v>2.50147615E8</v>
      </c>
      <c r="E341" s="1" t="s">
        <v>1995</v>
      </c>
      <c r="F341" s="1" t="s">
        <v>158</v>
      </c>
      <c r="G341" s="1" t="s">
        <v>867</v>
      </c>
      <c r="H341" s="1" t="s">
        <v>1996</v>
      </c>
      <c r="I341" s="1">
        <v>403014.0</v>
      </c>
      <c r="J341" s="1" t="s">
        <v>1997</v>
      </c>
      <c r="K341" s="1" t="s">
        <v>1998</v>
      </c>
      <c r="L341" s="1">
        <v>289.0</v>
      </c>
      <c r="M341" s="1" t="s">
        <v>35</v>
      </c>
      <c r="N341" s="1" t="s">
        <v>36</v>
      </c>
      <c r="O341" s="1" t="s">
        <v>37</v>
      </c>
      <c r="P341" s="1">
        <v>9.0E7</v>
      </c>
      <c r="Q341" s="1">
        <v>1997.0</v>
      </c>
      <c r="R341" s="1">
        <v>10000.0</v>
      </c>
      <c r="S341" s="1">
        <v>826.0</v>
      </c>
      <c r="T341" s="1">
        <v>602.0</v>
      </c>
      <c r="U341" s="1">
        <v>12998.0</v>
      </c>
      <c r="V341" s="1">
        <v>188.0</v>
      </c>
      <c r="W341" s="1">
        <v>0.0</v>
      </c>
      <c r="X341" s="1">
        <v>0.0</v>
      </c>
      <c r="Y341" s="1">
        <v>1.85</v>
      </c>
      <c r="Z341" s="1">
        <v>7.3</v>
      </c>
    </row>
    <row r="342" ht="14.25" customHeight="1">
      <c r="A342" s="1" t="s">
        <v>26</v>
      </c>
      <c r="B342" s="1" t="s">
        <v>298</v>
      </c>
      <c r="C342" s="1" t="s">
        <v>1999</v>
      </c>
      <c r="D342" s="1">
        <v>2.45823397E8</v>
      </c>
      <c r="E342" s="1" t="s">
        <v>263</v>
      </c>
      <c r="F342" s="1" t="s">
        <v>314</v>
      </c>
      <c r="G342" s="1" t="s">
        <v>315</v>
      </c>
      <c r="H342" s="1" t="s">
        <v>957</v>
      </c>
      <c r="I342" s="1">
        <v>385871.0</v>
      </c>
      <c r="J342" s="1" t="s">
        <v>2000</v>
      </c>
      <c r="K342" s="1" t="s">
        <v>2001</v>
      </c>
      <c r="L342" s="1">
        <v>515.0</v>
      </c>
      <c r="M342" s="1" t="s">
        <v>35</v>
      </c>
      <c r="N342" s="1" t="s">
        <v>36</v>
      </c>
      <c r="O342" s="1" t="s">
        <v>269</v>
      </c>
      <c r="P342" s="1">
        <v>9.0E7</v>
      </c>
      <c r="Q342" s="1">
        <v>1999.0</v>
      </c>
      <c r="R342" s="1">
        <v>15000.0</v>
      </c>
      <c r="S342" s="1">
        <v>1000.0</v>
      </c>
      <c r="T342" s="1">
        <v>967.0</v>
      </c>
      <c r="U342" s="1">
        <v>21275.0</v>
      </c>
      <c r="V342" s="1">
        <v>487.0</v>
      </c>
      <c r="W342" s="1">
        <v>0.0</v>
      </c>
      <c r="X342" s="1">
        <v>2.0</v>
      </c>
      <c r="Y342" s="1">
        <v>1.85</v>
      </c>
      <c r="Z342" s="1">
        <v>7.9</v>
      </c>
    </row>
    <row r="343" ht="14.25" customHeight="1">
      <c r="A343" s="1" t="s">
        <v>26</v>
      </c>
      <c r="B343" s="1" t="s">
        <v>1656</v>
      </c>
      <c r="C343" s="1" t="s">
        <v>2002</v>
      </c>
      <c r="D343" s="1">
        <v>8.1557479E7</v>
      </c>
      <c r="E343" s="1" t="s">
        <v>57</v>
      </c>
      <c r="F343" s="1" t="s">
        <v>1644</v>
      </c>
      <c r="G343" s="1" t="s">
        <v>947</v>
      </c>
      <c r="H343" s="1" t="s">
        <v>2003</v>
      </c>
      <c r="I343" s="1">
        <v>149947.0</v>
      </c>
      <c r="J343" s="1" t="s">
        <v>2004</v>
      </c>
      <c r="K343" s="1" t="s">
        <v>2005</v>
      </c>
      <c r="L343" s="1">
        <v>326.0</v>
      </c>
      <c r="M343" s="1" t="s">
        <v>35</v>
      </c>
      <c r="N343" s="1" t="s">
        <v>36</v>
      </c>
      <c r="O343" s="1" t="s">
        <v>37</v>
      </c>
      <c r="P343" s="1">
        <v>1.0E8</v>
      </c>
      <c r="Q343" s="1">
        <v>2010.0</v>
      </c>
      <c r="R343" s="1">
        <v>18000.0</v>
      </c>
      <c r="S343" s="1">
        <v>3000.0</v>
      </c>
      <c r="T343" s="1">
        <v>1000.0</v>
      </c>
      <c r="U343" s="1">
        <v>25780.0</v>
      </c>
      <c r="V343" s="1">
        <v>12000.0</v>
      </c>
      <c r="W343" s="1">
        <v>18000.0</v>
      </c>
      <c r="X343" s="1">
        <v>1.0</v>
      </c>
      <c r="Y343" s="1">
        <v>2.35</v>
      </c>
      <c r="Z343" s="1">
        <v>6.8</v>
      </c>
    </row>
    <row r="344" ht="14.25" customHeight="1">
      <c r="A344" s="1" t="s">
        <v>26</v>
      </c>
      <c r="B344" s="1" t="s">
        <v>252</v>
      </c>
      <c r="C344" s="1" t="s">
        <v>2006</v>
      </c>
      <c r="D344" s="1">
        <v>2.26138454E8</v>
      </c>
      <c r="E344" s="1" t="s">
        <v>408</v>
      </c>
      <c r="F344" s="1" t="s">
        <v>2007</v>
      </c>
      <c r="G344" s="1" t="s">
        <v>2008</v>
      </c>
      <c r="H344" s="1" t="s">
        <v>2009</v>
      </c>
      <c r="I344" s="1">
        <v>160440.0</v>
      </c>
      <c r="J344" s="1" t="s">
        <v>2010</v>
      </c>
      <c r="K344" s="1" t="s">
        <v>2011</v>
      </c>
      <c r="L344" s="1">
        <v>394.0</v>
      </c>
      <c r="M344" s="1" t="s">
        <v>35</v>
      </c>
      <c r="N344" s="1" t="s">
        <v>36</v>
      </c>
      <c r="O344" s="1" t="s">
        <v>37</v>
      </c>
      <c r="P344" s="1">
        <v>9.0E7</v>
      </c>
      <c r="Q344" s="1">
        <v>2001.0</v>
      </c>
      <c r="R344" s="1">
        <v>191.0</v>
      </c>
      <c r="S344" s="1">
        <v>165.0</v>
      </c>
      <c r="T344" s="1">
        <v>141.0</v>
      </c>
      <c r="U344" s="1">
        <v>664.0</v>
      </c>
      <c r="V344" s="1">
        <v>420.0</v>
      </c>
      <c r="W344" s="1">
        <v>0.0</v>
      </c>
      <c r="X344" s="1">
        <v>2.0</v>
      </c>
      <c r="Y344" s="1">
        <v>2.35</v>
      </c>
      <c r="Z344" s="1">
        <v>6.6</v>
      </c>
    </row>
    <row r="345" ht="14.25" customHeight="1">
      <c r="A345" s="1" t="s">
        <v>26</v>
      </c>
      <c r="B345" s="1" t="s">
        <v>420</v>
      </c>
      <c r="C345" s="1" t="s">
        <v>2012</v>
      </c>
      <c r="D345" s="1">
        <v>1.55370362E8</v>
      </c>
      <c r="E345" s="1" t="s">
        <v>2013</v>
      </c>
      <c r="F345" s="1" t="s">
        <v>383</v>
      </c>
      <c r="G345" s="1" t="s">
        <v>2014</v>
      </c>
      <c r="H345" s="1" t="s">
        <v>2015</v>
      </c>
      <c r="I345" s="1">
        <v>98403.0</v>
      </c>
      <c r="J345" s="1" t="s">
        <v>2016</v>
      </c>
      <c r="K345" s="1" t="s">
        <v>2017</v>
      </c>
      <c r="L345" s="1">
        <v>683.0</v>
      </c>
      <c r="M345" s="1" t="s">
        <v>35</v>
      </c>
      <c r="N345" s="1" t="s">
        <v>36</v>
      </c>
      <c r="O345" s="1" t="s">
        <v>37</v>
      </c>
      <c r="P345" s="1">
        <v>1.0E8</v>
      </c>
      <c r="Q345" s="1">
        <v>2000.0</v>
      </c>
      <c r="R345" s="1">
        <v>11000.0</v>
      </c>
      <c r="S345" s="1">
        <v>627.0</v>
      </c>
      <c r="T345" s="1">
        <v>568.0</v>
      </c>
      <c r="U345" s="1">
        <v>12890.0</v>
      </c>
      <c r="V345" s="1">
        <v>0.0</v>
      </c>
      <c r="W345" s="1">
        <v>0.0</v>
      </c>
      <c r="X345" s="1">
        <v>0.0</v>
      </c>
      <c r="Y345" s="1">
        <v>2.35</v>
      </c>
      <c r="Z345" s="1">
        <v>6.6</v>
      </c>
    </row>
    <row r="346" ht="14.25" customHeight="1">
      <c r="A346" s="1" t="s">
        <v>26</v>
      </c>
      <c r="B346" s="1" t="s">
        <v>2018</v>
      </c>
      <c r="C346" s="1" t="s">
        <v>2019</v>
      </c>
      <c r="D346" s="1">
        <v>1.24870275E8</v>
      </c>
      <c r="E346" s="1" t="s">
        <v>2020</v>
      </c>
      <c r="F346" s="1" t="s">
        <v>2021</v>
      </c>
      <c r="G346" s="1" t="s">
        <v>1794</v>
      </c>
      <c r="H346" s="1" t="s">
        <v>2022</v>
      </c>
      <c r="I346" s="1">
        <v>152601.0</v>
      </c>
      <c r="J346" s="1" t="s">
        <v>2023</v>
      </c>
      <c r="K346" s="1" t="s">
        <v>2024</v>
      </c>
      <c r="L346" s="1">
        <v>156.0</v>
      </c>
      <c r="M346" s="1" t="s">
        <v>35</v>
      </c>
      <c r="N346" s="1" t="s">
        <v>36</v>
      </c>
      <c r="O346" s="1" t="s">
        <v>87</v>
      </c>
      <c r="P346" s="1">
        <v>1.0E8</v>
      </c>
      <c r="Q346" s="1">
        <v>2009.0</v>
      </c>
      <c r="R346" s="1">
        <v>622.0</v>
      </c>
      <c r="S346" s="1">
        <v>526.0</v>
      </c>
      <c r="T346" s="1">
        <v>56.0</v>
      </c>
      <c r="U346" s="1">
        <v>1227.0</v>
      </c>
      <c r="V346" s="1">
        <v>97.0</v>
      </c>
      <c r="W346" s="1">
        <v>0.0</v>
      </c>
      <c r="X346" s="1">
        <v>1.0</v>
      </c>
      <c r="Y346" s="1">
        <v>2.35</v>
      </c>
      <c r="Z346" s="1">
        <v>7.0</v>
      </c>
    </row>
    <row r="347" ht="14.25" customHeight="1">
      <c r="A347" s="1" t="s">
        <v>26</v>
      </c>
      <c r="B347" s="1" t="s">
        <v>1222</v>
      </c>
      <c r="C347" s="1" t="s">
        <v>2025</v>
      </c>
      <c r="D347" s="1">
        <v>1.96573705E8</v>
      </c>
      <c r="E347" s="1" t="s">
        <v>766</v>
      </c>
      <c r="F347" s="1" t="s">
        <v>2026</v>
      </c>
      <c r="G347" s="1" t="s">
        <v>2027</v>
      </c>
      <c r="H347" s="1" t="s">
        <v>2028</v>
      </c>
      <c r="I347" s="1">
        <v>166791.0</v>
      </c>
      <c r="J347" s="1" t="s">
        <v>2029</v>
      </c>
      <c r="K347" s="1" t="s">
        <v>2030</v>
      </c>
      <c r="L347" s="1">
        <v>132.0</v>
      </c>
      <c r="M347" s="1" t="s">
        <v>35</v>
      </c>
      <c r="N347" s="1" t="s">
        <v>36</v>
      </c>
      <c r="O347" s="1" t="s">
        <v>87</v>
      </c>
      <c r="P347" s="1">
        <v>9.0E7</v>
      </c>
      <c r="Q347" s="1">
        <v>2009.0</v>
      </c>
      <c r="R347" s="1">
        <v>835.0</v>
      </c>
      <c r="S347" s="1">
        <v>256.0</v>
      </c>
      <c r="T347" s="1">
        <v>117.0</v>
      </c>
      <c r="U347" s="1">
        <v>1258.0</v>
      </c>
      <c r="V347" s="1">
        <v>107.0</v>
      </c>
      <c r="W347" s="1">
        <v>0.0</v>
      </c>
      <c r="X347" s="1">
        <v>0.0</v>
      </c>
      <c r="Y347" s="1">
        <v>1.85</v>
      </c>
      <c r="Z347" s="1">
        <v>7.0</v>
      </c>
    </row>
    <row r="348" ht="14.25" customHeight="1">
      <c r="A348" s="1" t="s">
        <v>26</v>
      </c>
      <c r="B348" s="1" t="s">
        <v>2031</v>
      </c>
      <c r="C348" s="1" t="s">
        <v>2032</v>
      </c>
      <c r="D348" s="1">
        <v>5.822912E7</v>
      </c>
      <c r="E348" s="1" t="s">
        <v>2033</v>
      </c>
      <c r="F348" s="1" t="s">
        <v>1475</v>
      </c>
      <c r="G348" s="1" t="s">
        <v>2034</v>
      </c>
      <c r="H348" s="1" t="s">
        <v>2035</v>
      </c>
      <c r="I348" s="1">
        <v>236421.0</v>
      </c>
      <c r="J348" s="1" t="s">
        <v>2036</v>
      </c>
      <c r="K348" s="1" t="s">
        <v>2037</v>
      </c>
      <c r="L348" s="1">
        <v>515.0</v>
      </c>
      <c r="M348" s="1" t="s">
        <v>35</v>
      </c>
      <c r="N348" s="1" t="s">
        <v>36</v>
      </c>
      <c r="O348" s="1" t="s">
        <v>87</v>
      </c>
      <c r="P348" s="1">
        <v>9.0E7</v>
      </c>
      <c r="Q348" s="1">
        <v>2013.0</v>
      </c>
      <c r="R348" s="1">
        <v>3000.0</v>
      </c>
      <c r="S348" s="1">
        <v>806.0</v>
      </c>
      <c r="T348" s="1">
        <v>423.0</v>
      </c>
      <c r="U348" s="1">
        <v>5095.0</v>
      </c>
      <c r="V348" s="1">
        <v>0.0</v>
      </c>
      <c r="W348" s="1">
        <v>70000.0</v>
      </c>
      <c r="X348" s="1">
        <v>1.0</v>
      </c>
      <c r="Y348" s="1">
        <v>2.35</v>
      </c>
      <c r="Z348" s="1">
        <v>7.3</v>
      </c>
    </row>
    <row r="349" ht="14.25" customHeight="1">
      <c r="A349" s="1" t="s">
        <v>26</v>
      </c>
      <c r="B349" s="1" t="s">
        <v>319</v>
      </c>
      <c r="C349" s="1" t="s">
        <v>2038</v>
      </c>
      <c r="D349" s="1">
        <v>1.25305545E8</v>
      </c>
      <c r="E349" s="1" t="s">
        <v>2039</v>
      </c>
      <c r="F349" s="1" t="s">
        <v>534</v>
      </c>
      <c r="G349" s="1" t="s">
        <v>2040</v>
      </c>
      <c r="H349" s="1" t="s">
        <v>2041</v>
      </c>
      <c r="I349" s="1">
        <v>145350.0</v>
      </c>
      <c r="J349" s="1" t="s">
        <v>2042</v>
      </c>
      <c r="K349" s="1" t="s">
        <v>2043</v>
      </c>
      <c r="L349" s="1">
        <v>643.0</v>
      </c>
      <c r="M349" s="1" t="s">
        <v>35</v>
      </c>
      <c r="N349" s="1" t="s">
        <v>36</v>
      </c>
      <c r="O349" s="1" t="s">
        <v>37</v>
      </c>
      <c r="P349" s="1">
        <v>9.2E7</v>
      </c>
      <c r="Q349" s="1">
        <v>2000.0</v>
      </c>
      <c r="R349" s="1">
        <v>13000.0</v>
      </c>
      <c r="S349" s="1">
        <v>1000.0</v>
      </c>
      <c r="T349" s="1">
        <v>466.0</v>
      </c>
      <c r="U349" s="1">
        <v>15419.0</v>
      </c>
      <c r="V349" s="1">
        <v>368.0</v>
      </c>
      <c r="W349" s="1">
        <v>0.0</v>
      </c>
      <c r="X349" s="1">
        <v>0.0</v>
      </c>
      <c r="Y349" s="1">
        <v>2.35</v>
      </c>
      <c r="Z349" s="1">
        <v>5.5</v>
      </c>
    </row>
    <row r="350" ht="14.25" customHeight="1">
      <c r="A350" s="1" t="s">
        <v>26</v>
      </c>
      <c r="B350" s="1" t="s">
        <v>472</v>
      </c>
      <c r="C350" s="1" t="s">
        <v>2044</v>
      </c>
      <c r="D350" s="1">
        <v>1.32373442E8</v>
      </c>
      <c r="E350" s="1" t="s">
        <v>2045</v>
      </c>
      <c r="F350" s="1" t="s">
        <v>207</v>
      </c>
      <c r="G350" s="1" t="s">
        <v>1113</v>
      </c>
      <c r="H350" s="1" t="s">
        <v>384</v>
      </c>
      <c r="I350" s="1">
        <v>873649.0</v>
      </c>
      <c r="J350" s="1" t="s">
        <v>2046</v>
      </c>
      <c r="K350" s="1" t="s">
        <v>2047</v>
      </c>
      <c r="L350" s="1">
        <v>2054.0</v>
      </c>
      <c r="M350" s="1" t="s">
        <v>35</v>
      </c>
      <c r="N350" s="1" t="s">
        <v>36</v>
      </c>
      <c r="O350" s="1" t="s">
        <v>628</v>
      </c>
      <c r="P350" s="1">
        <v>9.0E7</v>
      </c>
      <c r="Q350" s="1">
        <v>2006.0</v>
      </c>
      <c r="R350" s="1">
        <v>29000.0</v>
      </c>
      <c r="S350" s="1">
        <v>13000.0</v>
      </c>
      <c r="T350" s="1">
        <v>1000.0</v>
      </c>
      <c r="U350" s="1">
        <v>45648.0</v>
      </c>
      <c r="V350" s="1">
        <v>17000.0</v>
      </c>
      <c r="W350" s="1">
        <v>29000.0</v>
      </c>
      <c r="X350" s="1">
        <v>0.0</v>
      </c>
      <c r="Y350" s="1">
        <v>2.35</v>
      </c>
      <c r="Z350" s="1">
        <v>8.5</v>
      </c>
    </row>
    <row r="351" ht="14.25" customHeight="1">
      <c r="A351" s="1" t="s">
        <v>26</v>
      </c>
      <c r="B351" s="1" t="s">
        <v>2048</v>
      </c>
      <c r="C351" s="1" t="s">
        <v>2049</v>
      </c>
      <c r="D351" s="1">
        <v>1.20618403E8</v>
      </c>
      <c r="E351" s="1" t="s">
        <v>2050</v>
      </c>
      <c r="F351" s="1" t="s">
        <v>1047</v>
      </c>
      <c r="G351" s="1" t="s">
        <v>2051</v>
      </c>
      <c r="H351" s="1" t="s">
        <v>2052</v>
      </c>
      <c r="I351" s="1">
        <v>171792.0</v>
      </c>
      <c r="J351" s="1" t="s">
        <v>2053</v>
      </c>
      <c r="K351" s="1" t="s">
        <v>2054</v>
      </c>
      <c r="L351" s="1">
        <v>222.0</v>
      </c>
      <c r="M351" s="1" t="s">
        <v>35</v>
      </c>
      <c r="N351" s="1" t="s">
        <v>36</v>
      </c>
      <c r="O351" s="1" t="s">
        <v>269</v>
      </c>
      <c r="P351" s="1">
        <v>9.0E7</v>
      </c>
      <c r="Q351" s="1">
        <v>1998.0</v>
      </c>
      <c r="R351" s="1">
        <v>2000.0</v>
      </c>
      <c r="S351" s="1">
        <v>500.0</v>
      </c>
      <c r="T351" s="1">
        <v>484.0</v>
      </c>
      <c r="U351" s="1">
        <v>4478.0</v>
      </c>
      <c r="V351" s="1">
        <v>7.0</v>
      </c>
      <c r="W351" s="1">
        <v>12000.0</v>
      </c>
      <c r="X351" s="1">
        <v>0.0</v>
      </c>
      <c r="Y351" s="1">
        <v>1.66</v>
      </c>
      <c r="Z351" s="1">
        <v>7.5</v>
      </c>
    </row>
    <row r="352" ht="14.25" customHeight="1">
      <c r="A352" s="1" t="s">
        <v>26</v>
      </c>
      <c r="B352" s="1" t="s">
        <v>2031</v>
      </c>
      <c r="C352" s="1" t="s">
        <v>2055</v>
      </c>
      <c r="D352" s="1">
        <v>1.10416702E8</v>
      </c>
      <c r="E352" s="1" t="s">
        <v>2056</v>
      </c>
      <c r="F352" s="1" t="s">
        <v>91</v>
      </c>
      <c r="G352" s="1" t="s">
        <v>776</v>
      </c>
      <c r="H352" s="1" t="s">
        <v>2057</v>
      </c>
      <c r="I352" s="1">
        <v>307539.0</v>
      </c>
      <c r="J352" s="1" t="s">
        <v>2058</v>
      </c>
      <c r="K352" s="1" t="s">
        <v>2059</v>
      </c>
      <c r="L352" s="1">
        <v>577.0</v>
      </c>
      <c r="M352" s="1" t="s">
        <v>35</v>
      </c>
      <c r="N352" s="1" t="s">
        <v>36</v>
      </c>
      <c r="O352" s="1" t="s">
        <v>628</v>
      </c>
      <c r="P352" s="1">
        <v>9.2E7</v>
      </c>
      <c r="Q352" s="1">
        <v>2008.0</v>
      </c>
      <c r="R352" s="1">
        <v>21000.0</v>
      </c>
      <c r="S352" s="1">
        <v>1000.0</v>
      </c>
      <c r="T352" s="1">
        <v>918.0</v>
      </c>
      <c r="U352" s="1">
        <v>23484.0</v>
      </c>
      <c r="V352" s="1">
        <v>0.0</v>
      </c>
      <c r="W352" s="1">
        <v>0.0</v>
      </c>
      <c r="X352" s="1">
        <v>3.0</v>
      </c>
      <c r="Y352" s="1">
        <v>2.35</v>
      </c>
      <c r="Z352" s="1">
        <v>7.0</v>
      </c>
    </row>
    <row r="353" ht="14.25" customHeight="1">
      <c r="A353" s="1" t="s">
        <v>26</v>
      </c>
      <c r="B353" s="1" t="s">
        <v>648</v>
      </c>
      <c r="C353" s="1" t="s">
        <v>2060</v>
      </c>
      <c r="D353" s="1">
        <v>1.02515793E8</v>
      </c>
      <c r="E353" s="1" t="s">
        <v>2061</v>
      </c>
      <c r="F353" s="1" t="s">
        <v>423</v>
      </c>
      <c r="G353" s="1" t="s">
        <v>2062</v>
      </c>
      <c r="H353" s="1" t="s">
        <v>2063</v>
      </c>
      <c r="I353" s="1">
        <v>330152.0</v>
      </c>
      <c r="J353" s="1" t="s">
        <v>2064</v>
      </c>
      <c r="K353" s="1" t="s">
        <v>2065</v>
      </c>
      <c r="L353" s="1">
        <v>632.0</v>
      </c>
      <c r="M353" s="1" t="s">
        <v>35</v>
      </c>
      <c r="N353" s="1" t="s">
        <v>36</v>
      </c>
      <c r="O353" s="1" t="s">
        <v>628</v>
      </c>
      <c r="P353" s="1">
        <v>9.0E7</v>
      </c>
      <c r="Q353" s="1">
        <v>2011.0</v>
      </c>
      <c r="R353" s="1">
        <v>18000.0</v>
      </c>
      <c r="S353" s="1">
        <v>1000.0</v>
      </c>
      <c r="T353" s="1">
        <v>585.0</v>
      </c>
      <c r="U353" s="1">
        <v>20388.0</v>
      </c>
      <c r="V353" s="1">
        <v>21000.0</v>
      </c>
      <c r="W353" s="1">
        <v>54000.0</v>
      </c>
      <c r="X353" s="1">
        <v>1.0</v>
      </c>
      <c r="Y353" s="1">
        <v>2.35</v>
      </c>
      <c r="Z353" s="1">
        <v>7.8</v>
      </c>
    </row>
    <row r="354" ht="14.25" customHeight="1">
      <c r="A354" s="1" t="s">
        <v>26</v>
      </c>
      <c r="B354" s="1" t="s">
        <v>1255</v>
      </c>
      <c r="C354" s="1" t="s">
        <v>2066</v>
      </c>
      <c r="D354" s="1">
        <v>1.000125E8</v>
      </c>
      <c r="E354" s="1" t="s">
        <v>48</v>
      </c>
      <c r="F354" s="1" t="s">
        <v>941</v>
      </c>
      <c r="G354" s="1" t="s">
        <v>2067</v>
      </c>
      <c r="H354" s="1" t="s">
        <v>2068</v>
      </c>
      <c r="I354" s="1">
        <v>299258.0</v>
      </c>
      <c r="J354" s="1" t="s">
        <v>2069</v>
      </c>
      <c r="K354" s="1" t="s">
        <v>2070</v>
      </c>
      <c r="L354" s="1">
        <v>346.0</v>
      </c>
      <c r="M354" s="1" t="s">
        <v>35</v>
      </c>
      <c r="N354" s="1" t="s">
        <v>36</v>
      </c>
      <c r="O354" s="1" t="s">
        <v>628</v>
      </c>
      <c r="P354" s="1">
        <v>9.0E7</v>
      </c>
      <c r="Q354" s="1">
        <v>1995.0</v>
      </c>
      <c r="R354" s="1">
        <v>13000.0</v>
      </c>
      <c r="S354" s="1">
        <v>559.0</v>
      </c>
      <c r="T354" s="1">
        <v>489.0</v>
      </c>
      <c r="U354" s="1">
        <v>14274.0</v>
      </c>
      <c r="V354" s="1">
        <v>323.0</v>
      </c>
      <c r="W354" s="1">
        <v>0.0</v>
      </c>
      <c r="X354" s="1">
        <v>1.0</v>
      </c>
      <c r="Y354" s="1">
        <v>2.35</v>
      </c>
      <c r="Z354" s="1">
        <v>7.6</v>
      </c>
    </row>
    <row r="355" ht="14.25" customHeight="1">
      <c r="A355" s="1" t="s">
        <v>26</v>
      </c>
      <c r="B355" s="1" t="s">
        <v>1238</v>
      </c>
      <c r="C355" s="1" t="s">
        <v>2071</v>
      </c>
      <c r="D355" s="1">
        <v>2.09019489E8</v>
      </c>
      <c r="E355" s="1" t="s">
        <v>1240</v>
      </c>
      <c r="F355" s="1" t="s">
        <v>91</v>
      </c>
      <c r="G355" s="1" t="s">
        <v>351</v>
      </c>
      <c r="H355" s="1" t="s">
        <v>2072</v>
      </c>
      <c r="I355" s="1">
        <v>477300.0</v>
      </c>
      <c r="J355" s="1" t="s">
        <v>2073</v>
      </c>
      <c r="K355" s="1" t="s">
        <v>2074</v>
      </c>
      <c r="L355" s="1">
        <v>621.0</v>
      </c>
      <c r="M355" s="1" t="s">
        <v>35</v>
      </c>
      <c r="N355" s="1" t="s">
        <v>36</v>
      </c>
      <c r="O355" s="1" t="s">
        <v>37</v>
      </c>
      <c r="P355" s="1">
        <v>9.0E7</v>
      </c>
      <c r="Q355" s="1">
        <v>2009.0</v>
      </c>
      <c r="R355" s="1">
        <v>21000.0</v>
      </c>
      <c r="S355" s="1">
        <v>979.0</v>
      </c>
      <c r="T355" s="1">
        <v>727.0</v>
      </c>
      <c r="U355" s="1">
        <v>23996.0</v>
      </c>
      <c r="V355" s="1">
        <v>0.0</v>
      </c>
      <c r="W355" s="1">
        <v>20000.0</v>
      </c>
      <c r="X355" s="1">
        <v>3.0</v>
      </c>
      <c r="Y355" s="1">
        <v>1.85</v>
      </c>
      <c r="Z355" s="1">
        <v>7.6</v>
      </c>
    </row>
    <row r="356" ht="14.25" customHeight="1">
      <c r="A356" s="1" t="s">
        <v>26</v>
      </c>
      <c r="B356" s="1" t="s">
        <v>1686</v>
      </c>
      <c r="C356" s="1" t="s">
        <v>2075</v>
      </c>
      <c r="D356" s="1">
        <v>8.4037039E7</v>
      </c>
      <c r="E356" s="1" t="s">
        <v>2076</v>
      </c>
      <c r="F356" s="1" t="s">
        <v>992</v>
      </c>
      <c r="G356" s="1" t="s">
        <v>2077</v>
      </c>
      <c r="H356" s="1" t="s">
        <v>2078</v>
      </c>
      <c r="I356" s="1">
        <v>72591.0</v>
      </c>
      <c r="J356" s="1" t="s">
        <v>2079</v>
      </c>
      <c r="K356" s="1" t="s">
        <v>2080</v>
      </c>
      <c r="L356" s="1">
        <v>289.0</v>
      </c>
      <c r="M356" s="1" t="s">
        <v>35</v>
      </c>
      <c r="N356" s="1" t="s">
        <v>36</v>
      </c>
      <c r="O356" s="1" t="s">
        <v>87</v>
      </c>
      <c r="P356" s="1">
        <v>1.2E8</v>
      </c>
      <c r="Q356" s="1">
        <v>2001.0</v>
      </c>
      <c r="R356" s="1">
        <v>12000.0</v>
      </c>
      <c r="S356" s="1">
        <v>802.0</v>
      </c>
      <c r="T356" s="1">
        <v>503.0</v>
      </c>
      <c r="U356" s="1">
        <v>15237.0</v>
      </c>
      <c r="V356" s="1">
        <v>21.0</v>
      </c>
      <c r="W356" s="1">
        <v>0.0</v>
      </c>
      <c r="X356" s="1">
        <v>0.0</v>
      </c>
      <c r="Y356" s="1">
        <v>2.35</v>
      </c>
      <c r="Z356" s="1">
        <v>6.8</v>
      </c>
    </row>
    <row r="357" ht="14.25" customHeight="1">
      <c r="A357" s="1" t="s">
        <v>26</v>
      </c>
      <c r="B357" s="1" t="s">
        <v>2081</v>
      </c>
      <c r="C357" s="1" t="s">
        <v>2082</v>
      </c>
      <c r="D357" s="1">
        <v>8.5884815E7</v>
      </c>
      <c r="E357" s="1" t="s">
        <v>2083</v>
      </c>
      <c r="F357" s="1" t="s">
        <v>2084</v>
      </c>
      <c r="G357" s="1" t="s">
        <v>2085</v>
      </c>
      <c r="H357" s="1" t="s">
        <v>2086</v>
      </c>
      <c r="I357" s="1">
        <v>9418.0</v>
      </c>
      <c r="J357" s="1" t="s">
        <v>2087</v>
      </c>
      <c r="K357" s="1" t="s">
        <v>2088</v>
      </c>
      <c r="L357" s="1">
        <v>53.0</v>
      </c>
      <c r="M357" s="1" t="s">
        <v>35</v>
      </c>
      <c r="N357" s="1" t="s">
        <v>36</v>
      </c>
      <c r="O357" s="1" t="s">
        <v>87</v>
      </c>
      <c r="P357" s="1">
        <v>9.0E7</v>
      </c>
      <c r="Q357" s="1">
        <v>2015.0</v>
      </c>
      <c r="R357" s="1">
        <v>35000.0</v>
      </c>
      <c r="S357" s="1">
        <v>1000.0</v>
      </c>
      <c r="T357" s="1">
        <v>1000.0</v>
      </c>
      <c r="U357" s="1">
        <v>38450.0</v>
      </c>
      <c r="V357" s="1">
        <v>12.0</v>
      </c>
      <c r="W357" s="1">
        <v>0.0</v>
      </c>
      <c r="X357" s="1">
        <v>0.0</v>
      </c>
      <c r="Y357" s="1">
        <v>1.85</v>
      </c>
      <c r="Z357" s="1">
        <v>5.0</v>
      </c>
    </row>
    <row r="358" ht="14.25" customHeight="1">
      <c r="A358" s="1" t="s">
        <v>26</v>
      </c>
      <c r="B358" s="1" t="s">
        <v>110</v>
      </c>
      <c r="C358" s="1" t="s">
        <v>2089</v>
      </c>
      <c r="D358" s="1">
        <v>8.307747E7</v>
      </c>
      <c r="E358" s="1" t="s">
        <v>2090</v>
      </c>
      <c r="F358" s="1" t="s">
        <v>508</v>
      </c>
      <c r="G358" s="1" t="s">
        <v>130</v>
      </c>
      <c r="H358" s="1" t="s">
        <v>201</v>
      </c>
      <c r="I358" s="1">
        <v>183247.0</v>
      </c>
      <c r="J358" s="1" t="s">
        <v>2091</v>
      </c>
      <c r="K358" s="1" t="s">
        <v>2092</v>
      </c>
      <c r="L358" s="1">
        <v>440.0</v>
      </c>
      <c r="M358" s="1" t="s">
        <v>35</v>
      </c>
      <c r="N358" s="1" t="s">
        <v>36</v>
      </c>
      <c r="O358" s="1" t="s">
        <v>37</v>
      </c>
      <c r="P358" s="1">
        <v>7.5E7</v>
      </c>
      <c r="Q358" s="1">
        <v>2008.0</v>
      </c>
      <c r="R358" s="1">
        <v>10000.0</v>
      </c>
      <c r="S358" s="1">
        <v>1000.0</v>
      </c>
      <c r="T358" s="1">
        <v>919.0</v>
      </c>
      <c r="U358" s="1">
        <v>14165.0</v>
      </c>
      <c r="V358" s="1">
        <v>0.0</v>
      </c>
      <c r="W358" s="1">
        <v>0.0</v>
      </c>
      <c r="X358" s="1">
        <v>0.0</v>
      </c>
      <c r="Y358" s="1">
        <v>1.85</v>
      </c>
      <c r="Z358" s="1">
        <v>7.1</v>
      </c>
    </row>
    <row r="359" ht="14.25" customHeight="1">
      <c r="A359" s="1" t="s">
        <v>26</v>
      </c>
      <c r="B359" s="1" t="s">
        <v>2093</v>
      </c>
      <c r="C359" s="1" t="s">
        <v>2094</v>
      </c>
      <c r="D359" s="1">
        <v>1.00018837E8</v>
      </c>
      <c r="E359" s="1" t="s">
        <v>2056</v>
      </c>
      <c r="F359" s="1" t="s">
        <v>2095</v>
      </c>
      <c r="G359" s="1" t="s">
        <v>2096</v>
      </c>
      <c r="H359" s="1" t="s">
        <v>2097</v>
      </c>
      <c r="I359" s="1">
        <v>156348.0</v>
      </c>
      <c r="J359" s="1" t="s">
        <v>2098</v>
      </c>
      <c r="K359" s="1" t="s">
        <v>2099</v>
      </c>
      <c r="L359" s="1">
        <v>380.0</v>
      </c>
      <c r="M359" s="1" t="s">
        <v>35</v>
      </c>
      <c r="N359" s="1" t="s">
        <v>36</v>
      </c>
      <c r="O359" s="1" t="s">
        <v>37</v>
      </c>
      <c r="P359" s="1">
        <v>9.0E7</v>
      </c>
      <c r="Q359" s="1">
        <v>2008.0</v>
      </c>
      <c r="R359" s="1">
        <v>11000.0</v>
      </c>
      <c r="S359" s="1">
        <v>600.0</v>
      </c>
      <c r="T359" s="1">
        <v>503.0</v>
      </c>
      <c r="U359" s="1">
        <v>13446.0</v>
      </c>
      <c r="V359" s="1">
        <v>221.0</v>
      </c>
      <c r="W359" s="1">
        <v>0.0</v>
      </c>
      <c r="X359" s="1">
        <v>0.0</v>
      </c>
      <c r="Y359" s="1">
        <v>1.85</v>
      </c>
      <c r="Z359" s="1">
        <v>5.5</v>
      </c>
    </row>
    <row r="360" ht="14.25" customHeight="1">
      <c r="A360" s="1" t="s">
        <v>26</v>
      </c>
      <c r="B360" s="1" t="s">
        <v>1200</v>
      </c>
      <c r="C360" s="1" t="s">
        <v>2100</v>
      </c>
      <c r="D360" s="1">
        <v>7.8747585E7</v>
      </c>
      <c r="E360" s="1" t="s">
        <v>2101</v>
      </c>
      <c r="F360" s="1" t="s">
        <v>141</v>
      </c>
      <c r="G360" s="1" t="s">
        <v>2095</v>
      </c>
      <c r="H360" s="1" t="s">
        <v>793</v>
      </c>
      <c r="I360" s="1">
        <v>89770.0</v>
      </c>
      <c r="J360" s="1" t="s">
        <v>2102</v>
      </c>
      <c r="K360" s="1" t="s">
        <v>2103</v>
      </c>
      <c r="L360" s="1">
        <v>342.0</v>
      </c>
      <c r="M360" s="1" t="s">
        <v>35</v>
      </c>
      <c r="N360" s="1" t="s">
        <v>36</v>
      </c>
      <c r="O360" s="1" t="s">
        <v>37</v>
      </c>
      <c r="P360" s="1">
        <v>8.8E7</v>
      </c>
      <c r="Q360" s="1">
        <v>2015.0</v>
      </c>
      <c r="R360" s="1">
        <v>22000.0</v>
      </c>
      <c r="S360" s="1">
        <v>11000.0</v>
      </c>
      <c r="T360" s="1">
        <v>1000.0</v>
      </c>
      <c r="U360" s="1">
        <v>35367.0</v>
      </c>
      <c r="V360" s="1">
        <v>0.0</v>
      </c>
      <c r="W360" s="1">
        <v>39000.0</v>
      </c>
      <c r="X360" s="1">
        <v>0.0</v>
      </c>
      <c r="Y360" s="1">
        <v>2.35</v>
      </c>
      <c r="Z360" s="1">
        <v>5.6</v>
      </c>
    </row>
    <row r="361" ht="14.25" customHeight="1">
      <c r="A361" s="1" t="s">
        <v>26</v>
      </c>
      <c r="B361" s="1" t="s">
        <v>381</v>
      </c>
      <c r="C361" s="1" t="s">
        <v>2104</v>
      </c>
      <c r="D361" s="1">
        <v>7.8616689E7</v>
      </c>
      <c r="E361" s="1" t="s">
        <v>636</v>
      </c>
      <c r="F361" s="1" t="s">
        <v>2105</v>
      </c>
      <c r="G361" s="1" t="s">
        <v>183</v>
      </c>
      <c r="H361" s="1" t="s">
        <v>2106</v>
      </c>
      <c r="I361" s="1">
        <v>238747.0</v>
      </c>
      <c r="J361" s="1" t="s">
        <v>2107</v>
      </c>
      <c r="K361" s="1" t="s">
        <v>2108</v>
      </c>
      <c r="L361" s="1">
        <v>2153.0</v>
      </c>
      <c r="M361" s="1" t="s">
        <v>35</v>
      </c>
      <c r="N361" s="1" t="s">
        <v>36</v>
      </c>
      <c r="O361" s="1" t="s">
        <v>37</v>
      </c>
      <c r="P361" s="1">
        <v>1.0E8</v>
      </c>
      <c r="Q361" s="1">
        <v>2001.0</v>
      </c>
      <c r="R361" s="1">
        <v>3000.0</v>
      </c>
      <c r="S361" s="1">
        <v>882.0</v>
      </c>
      <c r="T361" s="1">
        <v>681.0</v>
      </c>
      <c r="U361" s="1">
        <v>6217.0</v>
      </c>
      <c r="V361" s="1">
        <v>14000.0</v>
      </c>
      <c r="W361" s="1">
        <v>11000.0</v>
      </c>
      <c r="X361" s="1">
        <v>0.0</v>
      </c>
      <c r="Y361" s="1">
        <v>1.85</v>
      </c>
      <c r="Z361" s="1">
        <v>7.1</v>
      </c>
    </row>
    <row r="362" ht="14.25" customHeight="1">
      <c r="A362" s="1" t="s">
        <v>26</v>
      </c>
      <c r="B362" s="1" t="s">
        <v>909</v>
      </c>
      <c r="C362" s="1" t="s">
        <v>2109</v>
      </c>
      <c r="D362" s="1">
        <v>7.5817994E7</v>
      </c>
      <c r="E362" s="1" t="s">
        <v>2110</v>
      </c>
      <c r="F362" s="1" t="s">
        <v>2111</v>
      </c>
      <c r="G362" s="1" t="s">
        <v>2112</v>
      </c>
      <c r="H362" s="1" t="s">
        <v>2113</v>
      </c>
      <c r="I362" s="1">
        <v>32049.0</v>
      </c>
      <c r="J362" s="1" t="s">
        <v>2114</v>
      </c>
      <c r="K362" s="1" t="s">
        <v>2115</v>
      </c>
      <c r="L362" s="1">
        <v>179.0</v>
      </c>
      <c r="M362" s="1" t="s">
        <v>35</v>
      </c>
      <c r="N362" s="1" t="s">
        <v>36</v>
      </c>
      <c r="O362" s="1" t="s">
        <v>87</v>
      </c>
      <c r="P362" s="1">
        <v>9.0E7</v>
      </c>
      <c r="Q362" s="1">
        <v>2003.0</v>
      </c>
      <c r="R362" s="1">
        <v>691.0</v>
      </c>
      <c r="S362" s="1">
        <v>569.0</v>
      </c>
      <c r="T362" s="1">
        <v>441.0</v>
      </c>
      <c r="U362" s="1">
        <v>2622.0</v>
      </c>
      <c r="V362" s="1">
        <v>50.0</v>
      </c>
      <c r="W362" s="1">
        <v>988.0</v>
      </c>
      <c r="X362" s="1">
        <v>0.0</v>
      </c>
      <c r="Y362" s="1">
        <v>2.35</v>
      </c>
      <c r="Z362" s="1">
        <v>4.9</v>
      </c>
    </row>
    <row r="363" ht="14.25" customHeight="1">
      <c r="A363" s="1" t="s">
        <v>26</v>
      </c>
      <c r="B363" s="1" t="s">
        <v>420</v>
      </c>
      <c r="C363" s="1" t="s">
        <v>2116</v>
      </c>
      <c r="D363" s="1">
        <v>1.00853835E8</v>
      </c>
      <c r="E363" s="1" t="s">
        <v>2117</v>
      </c>
      <c r="F363" s="1" t="s">
        <v>637</v>
      </c>
      <c r="G363" s="1" t="s">
        <v>2118</v>
      </c>
      <c r="H363" s="1" t="s">
        <v>2119</v>
      </c>
      <c r="I363" s="1">
        <v>200556.0</v>
      </c>
      <c r="J363" s="1" t="s">
        <v>2120</v>
      </c>
      <c r="K363" s="1" t="s">
        <v>2121</v>
      </c>
      <c r="L363" s="1">
        <v>611.0</v>
      </c>
      <c r="M363" s="1" t="s">
        <v>35</v>
      </c>
      <c r="N363" s="1" t="s">
        <v>36</v>
      </c>
      <c r="O363" s="1" t="s">
        <v>87</v>
      </c>
      <c r="P363" s="1">
        <v>9.0E7</v>
      </c>
      <c r="Q363" s="1">
        <v>1997.0</v>
      </c>
      <c r="R363" s="1">
        <v>11000.0</v>
      </c>
      <c r="S363" s="1">
        <v>1000.0</v>
      </c>
      <c r="T363" s="1">
        <v>135.0</v>
      </c>
      <c r="U363" s="1">
        <v>12289.0</v>
      </c>
      <c r="V363" s="1">
        <v>0.0</v>
      </c>
      <c r="W363" s="1">
        <v>15000.0</v>
      </c>
      <c r="X363" s="1">
        <v>2.0</v>
      </c>
      <c r="Y363" s="1">
        <v>2.35</v>
      </c>
      <c r="Z363" s="1">
        <v>7.4</v>
      </c>
    </row>
    <row r="364" ht="14.25" customHeight="1">
      <c r="A364" s="1" t="s">
        <v>26</v>
      </c>
      <c r="B364" s="1" t="s">
        <v>1248</v>
      </c>
      <c r="C364" s="1" t="s">
        <v>2122</v>
      </c>
      <c r="D364" s="1">
        <v>7.320934E7</v>
      </c>
      <c r="E364" s="1" t="s">
        <v>2123</v>
      </c>
      <c r="F364" s="1" t="s">
        <v>2124</v>
      </c>
      <c r="G364" s="1" t="s">
        <v>2125</v>
      </c>
      <c r="H364" s="1" t="s">
        <v>2035</v>
      </c>
      <c r="I364" s="1">
        <v>101834.0</v>
      </c>
      <c r="J364" s="1" t="s">
        <v>2126</v>
      </c>
      <c r="K364" s="1" t="s">
        <v>2127</v>
      </c>
      <c r="L364" s="1">
        <v>628.0</v>
      </c>
      <c r="M364" s="1" t="s">
        <v>35</v>
      </c>
      <c r="N364" s="1" t="s">
        <v>36</v>
      </c>
      <c r="O364" s="1" t="s">
        <v>628</v>
      </c>
      <c r="P364" s="1">
        <v>9.5E7</v>
      </c>
      <c r="Q364" s="1">
        <v>2000.0</v>
      </c>
      <c r="R364" s="1">
        <v>833.0</v>
      </c>
      <c r="S364" s="1">
        <v>624.0</v>
      </c>
      <c r="T364" s="1">
        <v>423.0</v>
      </c>
      <c r="U364" s="1">
        <v>2356.0</v>
      </c>
      <c r="V364" s="1">
        <v>719.0</v>
      </c>
      <c r="W364" s="1">
        <v>0.0</v>
      </c>
      <c r="X364" s="1">
        <v>0.0</v>
      </c>
      <c r="Y364" s="1">
        <v>1.85</v>
      </c>
      <c r="Z364" s="1">
        <v>5.7</v>
      </c>
    </row>
    <row r="365" ht="14.25" customHeight="1">
      <c r="A365" s="1" t="s">
        <v>26</v>
      </c>
      <c r="B365" s="1" t="s">
        <v>2128</v>
      </c>
      <c r="C365" s="1" t="s">
        <v>2129</v>
      </c>
      <c r="D365" s="1">
        <v>7.251536E7</v>
      </c>
      <c r="E365" s="1" t="s">
        <v>2130</v>
      </c>
      <c r="F365" s="1" t="s">
        <v>2131</v>
      </c>
      <c r="G365" s="1" t="s">
        <v>2132</v>
      </c>
      <c r="H365" s="1" t="s">
        <v>2133</v>
      </c>
      <c r="I365" s="1">
        <v>86152.0</v>
      </c>
      <c r="J365" s="1" t="s">
        <v>2134</v>
      </c>
      <c r="K365" s="1" t="s">
        <v>2135</v>
      </c>
      <c r="L365" s="1">
        <v>411.0</v>
      </c>
      <c r="M365" s="1" t="s">
        <v>2136</v>
      </c>
      <c r="N365" s="1" t="s">
        <v>54</v>
      </c>
      <c r="O365" s="1" t="s">
        <v>37</v>
      </c>
      <c r="P365" s="1">
        <v>8.0E7</v>
      </c>
      <c r="Q365" s="1">
        <v>2005.0</v>
      </c>
      <c r="R365" s="1">
        <v>591.0</v>
      </c>
      <c r="S365" s="1">
        <v>249.0</v>
      </c>
      <c r="T365" s="1">
        <v>249.0</v>
      </c>
      <c r="U365" s="1">
        <v>2100.0</v>
      </c>
      <c r="V365" s="1">
        <v>521.0</v>
      </c>
      <c r="W365" s="1">
        <v>0.0</v>
      </c>
      <c r="X365" s="1">
        <v>1.0</v>
      </c>
      <c r="Y365" s="1">
        <v>2.35</v>
      </c>
      <c r="Z365" s="1">
        <v>6.4</v>
      </c>
    </row>
    <row r="366" ht="14.25" customHeight="1">
      <c r="A366" s="1" t="s">
        <v>26</v>
      </c>
      <c r="B366" s="1" t="s">
        <v>2137</v>
      </c>
      <c r="C366" s="1" t="s">
        <v>2138</v>
      </c>
      <c r="D366" s="1">
        <v>6.8558662E7</v>
      </c>
      <c r="E366" s="1" t="s">
        <v>192</v>
      </c>
      <c r="F366" s="1" t="s">
        <v>1162</v>
      </c>
      <c r="G366" s="1" t="s">
        <v>2139</v>
      </c>
      <c r="H366" s="1" t="s">
        <v>2057</v>
      </c>
      <c r="I366" s="1">
        <v>86627.0</v>
      </c>
      <c r="J366" s="1" t="s">
        <v>2140</v>
      </c>
      <c r="K366" s="1" t="s">
        <v>2141</v>
      </c>
      <c r="L366" s="1">
        <v>204.0</v>
      </c>
      <c r="M366" s="1" t="s">
        <v>35</v>
      </c>
      <c r="N366" s="1" t="s">
        <v>36</v>
      </c>
      <c r="O366" s="1" t="s">
        <v>87</v>
      </c>
      <c r="P366" s="1">
        <v>9.0E7</v>
      </c>
      <c r="Q366" s="1">
        <v>2013.0</v>
      </c>
      <c r="R366" s="1">
        <v>8000.0</v>
      </c>
      <c r="S366" s="1">
        <v>956.0</v>
      </c>
      <c r="T366" s="1">
        <v>918.0</v>
      </c>
      <c r="U366" s="1">
        <v>10882.0</v>
      </c>
      <c r="V366" s="1">
        <v>87.0</v>
      </c>
      <c r="W366" s="1">
        <v>28000.0</v>
      </c>
      <c r="X366" s="1">
        <v>0.0</v>
      </c>
      <c r="Y366" s="1">
        <v>2.35</v>
      </c>
      <c r="Z366" s="1">
        <v>5.9</v>
      </c>
    </row>
    <row r="367" ht="14.25" customHeight="1">
      <c r="A367" s="1" t="s">
        <v>26</v>
      </c>
      <c r="B367" s="1" t="s">
        <v>1527</v>
      </c>
      <c r="C367" s="1" t="s">
        <v>2142</v>
      </c>
      <c r="D367" s="1">
        <v>6.5653758E7</v>
      </c>
      <c r="E367" s="1" t="s">
        <v>40</v>
      </c>
      <c r="F367" s="1" t="s">
        <v>616</v>
      </c>
      <c r="G367" s="1" t="s">
        <v>550</v>
      </c>
      <c r="H367" s="1" t="s">
        <v>632</v>
      </c>
      <c r="I367" s="1">
        <v>102747.0</v>
      </c>
      <c r="J367" s="1" t="s">
        <v>2143</v>
      </c>
      <c r="K367" s="1" t="s">
        <v>2144</v>
      </c>
      <c r="L367" s="1">
        <v>316.0</v>
      </c>
      <c r="M367" s="1" t="s">
        <v>35</v>
      </c>
      <c r="N367" s="1" t="s">
        <v>36</v>
      </c>
      <c r="O367" s="1" t="s">
        <v>37</v>
      </c>
      <c r="P367" s="1">
        <v>9.5E7</v>
      </c>
      <c r="Q367" s="1">
        <v>2003.0</v>
      </c>
      <c r="R367" s="1">
        <v>18000.0</v>
      </c>
      <c r="S367" s="1">
        <v>11000.0</v>
      </c>
      <c r="T367" s="1">
        <v>3000.0</v>
      </c>
      <c r="U367" s="1">
        <v>33154.0</v>
      </c>
      <c r="V367" s="1">
        <v>101.0</v>
      </c>
      <c r="W367" s="1">
        <v>0.0</v>
      </c>
      <c r="X367" s="1">
        <v>1.0</v>
      </c>
      <c r="Y367" s="1">
        <v>2.35</v>
      </c>
      <c r="Z367" s="1">
        <v>5.5</v>
      </c>
    </row>
    <row r="368" ht="14.25" customHeight="1">
      <c r="A368" s="1" t="s">
        <v>26</v>
      </c>
      <c r="B368" s="1" t="s">
        <v>1034</v>
      </c>
      <c r="C368" s="1" t="s">
        <v>2145</v>
      </c>
      <c r="D368" s="1">
        <v>6.4685359E7</v>
      </c>
      <c r="E368" s="1" t="s">
        <v>2146</v>
      </c>
      <c r="F368" s="1" t="s">
        <v>99</v>
      </c>
      <c r="G368" s="1" t="s">
        <v>451</v>
      </c>
      <c r="H368" s="1" t="s">
        <v>2147</v>
      </c>
      <c r="I368" s="1">
        <v>40862.0</v>
      </c>
      <c r="J368" s="1" t="s">
        <v>2148</v>
      </c>
      <c r="K368" s="1" t="s">
        <v>2149</v>
      </c>
      <c r="L368" s="1">
        <v>139.0</v>
      </c>
      <c r="M368" s="1" t="s">
        <v>35</v>
      </c>
      <c r="N368" s="1" t="s">
        <v>36</v>
      </c>
      <c r="O368" s="1" t="s">
        <v>37</v>
      </c>
      <c r="P368" s="1">
        <v>9.0E7</v>
      </c>
      <c r="Q368" s="1">
        <v>2016.0</v>
      </c>
      <c r="R368" s="1">
        <v>11000.0</v>
      </c>
      <c r="S368" s="1">
        <v>11000.0</v>
      </c>
      <c r="T368" s="1">
        <v>886.0</v>
      </c>
      <c r="U368" s="1">
        <v>23031.0</v>
      </c>
      <c r="V368" s="1">
        <v>209.0</v>
      </c>
      <c r="W368" s="1">
        <v>15000.0</v>
      </c>
      <c r="X368" s="1">
        <v>6.0</v>
      </c>
      <c r="Y368" s="1">
        <v>2.35</v>
      </c>
      <c r="Z368" s="1">
        <v>6.9</v>
      </c>
    </row>
    <row r="369" ht="14.25" customHeight="1">
      <c r="A369" s="1" t="s">
        <v>26</v>
      </c>
      <c r="B369" s="1" t="s">
        <v>1153</v>
      </c>
      <c r="C369" s="1" t="s">
        <v>2150</v>
      </c>
      <c r="D369" s="1">
        <v>6.1355436E7</v>
      </c>
      <c r="E369" s="1" t="s">
        <v>1593</v>
      </c>
      <c r="F369" s="1" t="s">
        <v>2151</v>
      </c>
      <c r="G369" s="1" t="s">
        <v>2152</v>
      </c>
      <c r="H369" s="1" t="s">
        <v>2153</v>
      </c>
      <c r="I369" s="1">
        <v>52136.0</v>
      </c>
      <c r="J369" s="1" t="s">
        <v>2154</v>
      </c>
      <c r="K369" s="1" t="s">
        <v>2155</v>
      </c>
      <c r="L369" s="1">
        <v>184.0</v>
      </c>
      <c r="M369" s="1" t="s">
        <v>35</v>
      </c>
      <c r="N369" s="1" t="s">
        <v>36</v>
      </c>
      <c r="O369" s="1" t="s">
        <v>37</v>
      </c>
      <c r="P369" s="1">
        <v>6.8E7</v>
      </c>
      <c r="Q369" s="1">
        <v>1997.0</v>
      </c>
      <c r="R369" s="1">
        <v>192.0</v>
      </c>
      <c r="S369" s="1">
        <v>117.0</v>
      </c>
      <c r="T369" s="1">
        <v>84.0</v>
      </c>
      <c r="U369" s="1">
        <v>475.0</v>
      </c>
      <c r="V369" s="1">
        <v>176.0</v>
      </c>
      <c r="W369" s="1">
        <v>0.0</v>
      </c>
      <c r="X369" s="1">
        <v>0.0</v>
      </c>
      <c r="Y369" s="1">
        <v>2.35</v>
      </c>
      <c r="Z369" s="1">
        <v>6.2</v>
      </c>
    </row>
    <row r="370" ht="14.25" customHeight="1">
      <c r="A370" s="1" t="s">
        <v>26</v>
      </c>
      <c r="B370" s="1" t="s">
        <v>1656</v>
      </c>
      <c r="C370" s="1" t="s">
        <v>2156</v>
      </c>
      <c r="D370" s="1">
        <v>26871.0</v>
      </c>
      <c r="E370" s="1" t="s">
        <v>326</v>
      </c>
      <c r="F370" s="1" t="s">
        <v>335</v>
      </c>
      <c r="G370" s="1" t="s">
        <v>2157</v>
      </c>
      <c r="H370" s="1" t="s">
        <v>2158</v>
      </c>
      <c r="I370" s="1">
        <v>121259.0</v>
      </c>
      <c r="J370" s="1" t="s">
        <v>2159</v>
      </c>
      <c r="K370" s="1" t="s">
        <v>2160</v>
      </c>
      <c r="L370" s="1">
        <v>361.0</v>
      </c>
      <c r="M370" s="1" t="s">
        <v>35</v>
      </c>
      <c r="N370" s="1" t="s">
        <v>730</v>
      </c>
      <c r="O370" s="1" t="s">
        <v>628</v>
      </c>
      <c r="P370" s="1">
        <v>9.2E7</v>
      </c>
      <c r="Q370" s="1">
        <v>2001.0</v>
      </c>
      <c r="R370" s="1">
        <v>11000.0</v>
      </c>
      <c r="S370" s="1">
        <v>577.0</v>
      </c>
      <c r="T370" s="1">
        <v>307.0</v>
      </c>
      <c r="U370" s="1">
        <v>12499.0</v>
      </c>
      <c r="V370" s="1">
        <v>12000.0</v>
      </c>
      <c r="W370" s="1">
        <v>0.0</v>
      </c>
      <c r="X370" s="1">
        <v>2.0</v>
      </c>
      <c r="Y370" s="1">
        <v>2.35</v>
      </c>
      <c r="Z370" s="1">
        <v>7.0</v>
      </c>
    </row>
    <row r="371" ht="14.25" customHeight="1">
      <c r="A371" s="1" t="s">
        <v>26</v>
      </c>
      <c r="B371" s="1" t="s">
        <v>2161</v>
      </c>
      <c r="C371" s="1" t="s">
        <v>2162</v>
      </c>
      <c r="D371" s="1">
        <v>6.0874615E7</v>
      </c>
      <c r="E371" s="1" t="s">
        <v>1126</v>
      </c>
      <c r="F371" s="1" t="s">
        <v>244</v>
      </c>
      <c r="G371" s="1" t="s">
        <v>1611</v>
      </c>
      <c r="H371" s="1" t="s">
        <v>2163</v>
      </c>
      <c r="I371" s="1">
        <v>60467.0</v>
      </c>
      <c r="J371" s="1" t="s">
        <v>2164</v>
      </c>
      <c r="K371" s="1" t="s">
        <v>2165</v>
      </c>
      <c r="L371" s="1">
        <v>949.0</v>
      </c>
      <c r="M371" s="1" t="s">
        <v>35</v>
      </c>
      <c r="N371" s="1" t="s">
        <v>36</v>
      </c>
      <c r="O371" s="1" t="s">
        <v>87</v>
      </c>
      <c r="P371" s="1">
        <v>9.0E7</v>
      </c>
      <c r="Q371" s="1">
        <v>2000.0</v>
      </c>
      <c r="R371" s="1">
        <v>3000.0</v>
      </c>
      <c r="S371" s="1">
        <v>933.0</v>
      </c>
      <c r="T371" s="1">
        <v>281.0</v>
      </c>
      <c r="U371" s="1">
        <v>4902.0</v>
      </c>
      <c r="V371" s="1">
        <v>0.0</v>
      </c>
      <c r="W371" s="1">
        <v>0.0</v>
      </c>
      <c r="X371" s="1">
        <v>0.0</v>
      </c>
      <c r="Y371" s="1">
        <v>2.35</v>
      </c>
      <c r="Z371" s="1">
        <v>5.6</v>
      </c>
    </row>
    <row r="372" ht="14.25" customHeight="1">
      <c r="A372" s="1" t="s">
        <v>26</v>
      </c>
      <c r="B372" s="1" t="s">
        <v>1222</v>
      </c>
      <c r="C372" s="1" t="s">
        <v>2166</v>
      </c>
      <c r="D372" s="1">
        <v>1.43618384E8</v>
      </c>
      <c r="E372" s="1" t="s">
        <v>1224</v>
      </c>
      <c r="F372" s="1" t="s">
        <v>249</v>
      </c>
      <c r="G372" s="1" t="s">
        <v>2167</v>
      </c>
      <c r="H372" s="1" t="s">
        <v>2168</v>
      </c>
      <c r="I372" s="1">
        <v>165333.0</v>
      </c>
      <c r="J372" s="1" t="s">
        <v>2169</v>
      </c>
      <c r="K372" s="1" t="s">
        <v>2170</v>
      </c>
      <c r="L372" s="1">
        <v>186.0</v>
      </c>
      <c r="M372" s="1" t="s">
        <v>35</v>
      </c>
      <c r="N372" s="1" t="s">
        <v>36</v>
      </c>
      <c r="O372" s="1" t="s">
        <v>269</v>
      </c>
      <c r="P372" s="1">
        <v>9.0E7</v>
      </c>
      <c r="Q372" s="1">
        <v>2011.0</v>
      </c>
      <c r="R372" s="1">
        <v>11000.0</v>
      </c>
      <c r="S372" s="1">
        <v>560.0</v>
      </c>
      <c r="T372" s="1">
        <v>350.0</v>
      </c>
      <c r="U372" s="1">
        <v>12071.0</v>
      </c>
      <c r="V372" s="1">
        <v>107.0</v>
      </c>
      <c r="W372" s="1">
        <v>19000.0</v>
      </c>
      <c r="X372" s="1">
        <v>0.0</v>
      </c>
      <c r="Y372" s="1">
        <v>2.35</v>
      </c>
      <c r="Z372" s="1">
        <v>7.0</v>
      </c>
    </row>
    <row r="373" ht="14.25" customHeight="1">
      <c r="A373" s="1" t="s">
        <v>26</v>
      </c>
      <c r="B373" s="1" t="s">
        <v>1200</v>
      </c>
      <c r="C373" s="1" t="s">
        <v>2171</v>
      </c>
      <c r="D373" s="1">
        <v>5.8220776E7</v>
      </c>
      <c r="E373" s="1" t="s">
        <v>2172</v>
      </c>
      <c r="F373" s="1" t="s">
        <v>774</v>
      </c>
      <c r="G373" s="1" t="s">
        <v>415</v>
      </c>
      <c r="H373" s="1" t="s">
        <v>973</v>
      </c>
      <c r="I373" s="1">
        <v>87785.0</v>
      </c>
      <c r="J373" s="1" t="s">
        <v>2173</v>
      </c>
      <c r="K373" s="1" t="s">
        <v>2174</v>
      </c>
      <c r="L373" s="1">
        <v>362.0</v>
      </c>
      <c r="M373" s="1" t="s">
        <v>35</v>
      </c>
      <c r="N373" s="1" t="s">
        <v>36</v>
      </c>
      <c r="O373" s="1" t="s">
        <v>87</v>
      </c>
      <c r="P373" s="1">
        <v>1.0E8</v>
      </c>
      <c r="Q373" s="1">
        <v>1999.0</v>
      </c>
      <c r="R373" s="1">
        <v>49000.0</v>
      </c>
      <c r="S373" s="1">
        <v>1000.0</v>
      </c>
      <c r="T373" s="1">
        <v>957.0</v>
      </c>
      <c r="U373" s="1">
        <v>55254.0</v>
      </c>
      <c r="V373" s="1">
        <v>0.0</v>
      </c>
      <c r="W373" s="1">
        <v>0.0</v>
      </c>
      <c r="X373" s="1">
        <v>0.0</v>
      </c>
      <c r="Y373" s="1">
        <v>1.85</v>
      </c>
      <c r="Z373" s="1">
        <v>6.8</v>
      </c>
    </row>
    <row r="374" ht="14.25" customHeight="1">
      <c r="A374" s="1" t="s">
        <v>26</v>
      </c>
      <c r="B374" s="1" t="s">
        <v>2175</v>
      </c>
      <c r="C374" s="1" t="s">
        <v>2176</v>
      </c>
      <c r="D374" s="1">
        <v>4.7474112E7</v>
      </c>
      <c r="E374" s="1" t="s">
        <v>1335</v>
      </c>
      <c r="F374" s="1" t="s">
        <v>244</v>
      </c>
      <c r="G374" s="1" t="s">
        <v>2177</v>
      </c>
      <c r="H374" s="1" t="s">
        <v>2178</v>
      </c>
      <c r="I374" s="1">
        <v>58227.0</v>
      </c>
      <c r="J374" s="1" t="s">
        <v>2179</v>
      </c>
      <c r="K374" s="1" t="s">
        <v>2180</v>
      </c>
      <c r="L374" s="1">
        <v>181.0</v>
      </c>
      <c r="M374" s="1" t="s">
        <v>35</v>
      </c>
      <c r="N374" s="1" t="s">
        <v>36</v>
      </c>
      <c r="O374" s="1" t="s">
        <v>37</v>
      </c>
      <c r="P374" s="1">
        <v>9.0E7</v>
      </c>
      <c r="Q374" s="1">
        <v>1997.0</v>
      </c>
      <c r="R374" s="1">
        <v>3000.0</v>
      </c>
      <c r="S374" s="1">
        <v>643.0</v>
      </c>
      <c r="T374" s="1">
        <v>612.0</v>
      </c>
      <c r="U374" s="1">
        <v>5062.0</v>
      </c>
      <c r="V374" s="1">
        <v>81.0</v>
      </c>
      <c r="W374" s="1">
        <v>2000.0</v>
      </c>
      <c r="X374" s="1">
        <v>0.0</v>
      </c>
      <c r="Y374" s="1">
        <v>1.85</v>
      </c>
      <c r="Z374" s="1">
        <v>5.4</v>
      </c>
    </row>
    <row r="375" ht="14.25" customHeight="1">
      <c r="A375" s="1" t="s">
        <v>26</v>
      </c>
      <c r="B375" s="1" t="s">
        <v>2181</v>
      </c>
      <c r="C375" s="1" t="s">
        <v>2182</v>
      </c>
      <c r="D375" s="1">
        <v>4.2877165E7</v>
      </c>
      <c r="E375" s="1" t="s">
        <v>449</v>
      </c>
      <c r="F375" s="1" t="s">
        <v>383</v>
      </c>
      <c r="G375" s="1" t="s">
        <v>335</v>
      </c>
      <c r="H375" s="1" t="s">
        <v>2183</v>
      </c>
      <c r="I375" s="1">
        <v>45602.0</v>
      </c>
      <c r="J375" s="1" t="s">
        <v>2184</v>
      </c>
      <c r="K375" s="1" t="s">
        <v>2185</v>
      </c>
      <c r="L375" s="1">
        <v>114.0</v>
      </c>
      <c r="M375" s="1" t="s">
        <v>35</v>
      </c>
      <c r="N375" s="1" t="s">
        <v>36</v>
      </c>
      <c r="O375" s="1" t="s">
        <v>628</v>
      </c>
      <c r="P375" s="1">
        <v>8.6E7</v>
      </c>
      <c r="Q375" s="1">
        <v>1997.0</v>
      </c>
      <c r="R375" s="1">
        <v>11000.0</v>
      </c>
      <c r="S375" s="1">
        <v>11000.0</v>
      </c>
      <c r="T375" s="1">
        <v>2000.0</v>
      </c>
      <c r="U375" s="1">
        <v>26088.0</v>
      </c>
      <c r="V375" s="1">
        <v>79.0</v>
      </c>
      <c r="W375" s="1">
        <v>979.0</v>
      </c>
      <c r="X375" s="1">
        <v>0.0</v>
      </c>
      <c r="Y375" s="1">
        <v>2.35</v>
      </c>
      <c r="Z375" s="1">
        <v>6.1</v>
      </c>
    </row>
    <row r="376" ht="14.25" customHeight="1">
      <c r="A376" s="1" t="s">
        <v>26</v>
      </c>
      <c r="B376" s="1" t="s">
        <v>2186</v>
      </c>
      <c r="C376" s="1" t="s">
        <v>2187</v>
      </c>
      <c r="D376" s="1">
        <v>3.5168677E7</v>
      </c>
      <c r="E376" s="1" t="s">
        <v>2090</v>
      </c>
      <c r="F376" s="1" t="s">
        <v>220</v>
      </c>
      <c r="G376" s="1" t="s">
        <v>2188</v>
      </c>
      <c r="H376" s="1" t="s">
        <v>2189</v>
      </c>
      <c r="I376" s="1">
        <v>49311.0</v>
      </c>
      <c r="J376" s="1" t="s">
        <v>2190</v>
      </c>
      <c r="K376" s="1" t="s">
        <v>2191</v>
      </c>
      <c r="L376" s="1">
        <v>278.0</v>
      </c>
      <c r="M376" s="1" t="s">
        <v>35</v>
      </c>
      <c r="N376" s="1" t="s">
        <v>54</v>
      </c>
      <c r="O376" s="1" t="s">
        <v>37</v>
      </c>
      <c r="P376" s="1">
        <v>1.0E8</v>
      </c>
      <c r="Q376" s="1">
        <v>2002.0</v>
      </c>
      <c r="R376" s="1">
        <v>14000.0</v>
      </c>
      <c r="S376" s="1">
        <v>602.0</v>
      </c>
      <c r="T376" s="1">
        <v>123.0</v>
      </c>
      <c r="U376" s="1">
        <v>15149.0</v>
      </c>
      <c r="V376" s="1">
        <v>0.0</v>
      </c>
      <c r="W376" s="1">
        <v>0.0</v>
      </c>
      <c r="X376" s="1">
        <v>1.0</v>
      </c>
      <c r="Y376" s="1">
        <v>2.35</v>
      </c>
      <c r="Z376" s="1">
        <v>6.7</v>
      </c>
    </row>
    <row r="377" ht="14.25" customHeight="1">
      <c r="A377" s="1" t="s">
        <v>26</v>
      </c>
      <c r="B377" s="1" t="s">
        <v>1430</v>
      </c>
      <c r="C377" s="1" t="s">
        <v>1431</v>
      </c>
      <c r="D377" s="1">
        <v>5.6114221E7</v>
      </c>
      <c r="E377" s="1" t="s">
        <v>65</v>
      </c>
      <c r="F377" s="1" t="s">
        <v>1432</v>
      </c>
      <c r="G377" s="1" t="s">
        <v>1433</v>
      </c>
      <c r="H377" s="1" t="s">
        <v>1434</v>
      </c>
      <c r="I377" s="1">
        <v>110486.0</v>
      </c>
      <c r="J377" s="1" t="s">
        <v>1435</v>
      </c>
      <c r="K377" s="1" t="s">
        <v>1436</v>
      </c>
      <c r="L377" s="1">
        <v>695.0</v>
      </c>
      <c r="M377" s="1" t="s">
        <v>35</v>
      </c>
      <c r="N377" s="1" t="s">
        <v>36</v>
      </c>
      <c r="O377" s="1" t="s">
        <v>37</v>
      </c>
      <c r="P377" s="1">
        <v>1.2E8</v>
      </c>
      <c r="Q377" s="1">
        <v>2015.0</v>
      </c>
      <c r="R377" s="1">
        <v>596.0</v>
      </c>
      <c r="S377" s="1">
        <v>360.0</v>
      </c>
      <c r="T377" s="1">
        <v>78.0</v>
      </c>
      <c r="U377" s="1">
        <v>1261.0</v>
      </c>
      <c r="V377" s="1">
        <v>128.0</v>
      </c>
      <c r="W377" s="1">
        <v>41000.0</v>
      </c>
      <c r="X377" s="1">
        <v>3.0</v>
      </c>
      <c r="Y377" s="1">
        <v>2.35</v>
      </c>
      <c r="Z377" s="1">
        <v>4.3</v>
      </c>
    </row>
    <row r="378" ht="14.25" customHeight="1">
      <c r="A378" s="1" t="s">
        <v>26</v>
      </c>
      <c r="B378" s="1" t="s">
        <v>2192</v>
      </c>
      <c r="C378" s="1" t="s">
        <v>2193</v>
      </c>
      <c r="D378" s="1">
        <v>3.756744E7</v>
      </c>
      <c r="E378" s="1" t="s">
        <v>165</v>
      </c>
      <c r="F378" s="1" t="s">
        <v>2194</v>
      </c>
      <c r="G378" s="1" t="s">
        <v>715</v>
      </c>
      <c r="H378" s="1" t="s">
        <v>2195</v>
      </c>
      <c r="I378" s="1">
        <v>113065.0</v>
      </c>
      <c r="J378" s="1" t="s">
        <v>2196</v>
      </c>
      <c r="K378" s="1" t="s">
        <v>2197</v>
      </c>
      <c r="L378" s="1">
        <v>337.0</v>
      </c>
      <c r="M378" s="1" t="s">
        <v>35</v>
      </c>
      <c r="N378" s="1" t="s">
        <v>36</v>
      </c>
      <c r="O378" s="1" t="s">
        <v>628</v>
      </c>
      <c r="P378" s="1">
        <v>2.0E7</v>
      </c>
      <c r="Q378" s="1">
        <v>1982.0</v>
      </c>
      <c r="R378" s="1">
        <v>919.0</v>
      </c>
      <c r="S378" s="1">
        <v>691.0</v>
      </c>
      <c r="T378" s="1">
        <v>183.0</v>
      </c>
      <c r="U378" s="1">
        <v>2024.0</v>
      </c>
      <c r="V378" s="1">
        <v>468.0</v>
      </c>
      <c r="W378" s="1">
        <v>0.0</v>
      </c>
      <c r="X378" s="1">
        <v>0.0</v>
      </c>
      <c r="Y378" s="1">
        <v>2.35</v>
      </c>
      <c r="Z378" s="1">
        <v>6.9</v>
      </c>
    </row>
    <row r="379" ht="14.25" customHeight="1">
      <c r="A379" s="1" t="s">
        <v>26</v>
      </c>
      <c r="B379" s="1" t="s">
        <v>813</v>
      </c>
      <c r="C379" s="1" t="s">
        <v>2198</v>
      </c>
      <c r="D379" s="1">
        <v>6.1644321E7</v>
      </c>
      <c r="E379" s="1" t="s">
        <v>1557</v>
      </c>
      <c r="F379" s="1" t="s">
        <v>2199</v>
      </c>
      <c r="G379" s="1" t="s">
        <v>2200</v>
      </c>
      <c r="H379" s="1" t="s">
        <v>2201</v>
      </c>
      <c r="I379" s="1">
        <v>148238.0</v>
      </c>
      <c r="J379" s="1" t="s">
        <v>2202</v>
      </c>
      <c r="K379" s="1" t="s">
        <v>2203</v>
      </c>
      <c r="L379" s="1">
        <v>529.0</v>
      </c>
      <c r="M379" s="1" t="s">
        <v>35</v>
      </c>
      <c r="N379" s="1" t="s">
        <v>36</v>
      </c>
      <c r="O379" s="1" t="s">
        <v>37</v>
      </c>
      <c r="P379" s="1">
        <v>8.8E7</v>
      </c>
      <c r="Q379" s="1">
        <v>2005.0</v>
      </c>
      <c r="R379" s="1">
        <v>680.0</v>
      </c>
      <c r="S379" s="1">
        <v>655.0</v>
      </c>
      <c r="T379" s="1">
        <v>537.0</v>
      </c>
      <c r="U379" s="1">
        <v>2523.0</v>
      </c>
      <c r="V379" s="1">
        <v>2000.0</v>
      </c>
      <c r="W379" s="1">
        <v>0.0</v>
      </c>
      <c r="X379" s="1">
        <v>0.0</v>
      </c>
      <c r="Y379" s="1">
        <v>2.35</v>
      </c>
      <c r="Z379" s="1">
        <v>8.0</v>
      </c>
    </row>
    <row r="380" ht="14.25" customHeight="1">
      <c r="A380" s="1" t="s">
        <v>26</v>
      </c>
      <c r="B380" s="1" t="s">
        <v>2204</v>
      </c>
      <c r="C380" s="1" t="s">
        <v>2205</v>
      </c>
      <c r="D380" s="1">
        <v>190562.0</v>
      </c>
      <c r="E380" s="1" t="s">
        <v>2206</v>
      </c>
      <c r="F380" s="1" t="s">
        <v>2207</v>
      </c>
      <c r="G380" s="1" t="s">
        <v>1329</v>
      </c>
      <c r="H380" s="1" t="s">
        <v>2208</v>
      </c>
      <c r="I380" s="1">
        <v>2508.0</v>
      </c>
      <c r="J380" s="1" t="s">
        <v>2209</v>
      </c>
      <c r="K380" s="1" t="s">
        <v>2210</v>
      </c>
      <c r="L380" s="1">
        <v>24.0</v>
      </c>
      <c r="M380" s="1" t="s">
        <v>35</v>
      </c>
      <c r="N380" s="1" t="s">
        <v>54</v>
      </c>
      <c r="O380" s="1" t="s">
        <v>87</v>
      </c>
      <c r="P380" s="1">
        <v>9.0E7</v>
      </c>
      <c r="Q380" s="1">
        <v>2010.0</v>
      </c>
      <c r="R380" s="1">
        <v>887.0</v>
      </c>
      <c r="S380" s="1">
        <v>886.0</v>
      </c>
      <c r="T380" s="1">
        <v>554.0</v>
      </c>
      <c r="U380" s="1">
        <v>2728.0</v>
      </c>
      <c r="V380" s="1">
        <v>96.0</v>
      </c>
      <c r="W380" s="1">
        <v>788.0</v>
      </c>
      <c r="X380" s="1">
        <v>0.0</v>
      </c>
      <c r="Y380" s="1">
        <v>2.35</v>
      </c>
      <c r="Z380" s="1">
        <v>4.4</v>
      </c>
    </row>
    <row r="381" ht="14.25" customHeight="1">
      <c r="A381" s="1" t="s">
        <v>710</v>
      </c>
      <c r="B381" s="1" t="s">
        <v>2211</v>
      </c>
      <c r="C381" s="1" t="s">
        <v>2212</v>
      </c>
      <c r="D381" s="1">
        <v>1.20147445E8</v>
      </c>
      <c r="E381" s="1" t="s">
        <v>2213</v>
      </c>
      <c r="F381" s="1" t="s">
        <v>293</v>
      </c>
      <c r="G381" s="1" t="s">
        <v>2214</v>
      </c>
      <c r="H381" s="1" t="s">
        <v>720</v>
      </c>
      <c r="I381" s="1">
        <v>57661.0</v>
      </c>
      <c r="J381" s="1" t="s">
        <v>2215</v>
      </c>
      <c r="K381" s="1" t="s">
        <v>2216</v>
      </c>
      <c r="L381" s="1">
        <v>455.0</v>
      </c>
      <c r="M381" s="1" t="s">
        <v>35</v>
      </c>
      <c r="N381" s="1" t="s">
        <v>36</v>
      </c>
      <c r="O381" s="1" t="s">
        <v>37</v>
      </c>
      <c r="P381" s="1">
        <v>8.7E7</v>
      </c>
      <c r="Q381" s="1">
        <v>2003.0</v>
      </c>
      <c r="R381" s="1">
        <v>12000.0</v>
      </c>
      <c r="S381" s="1">
        <v>947.0</v>
      </c>
      <c r="T381" s="1">
        <v>599.0</v>
      </c>
      <c r="U381" s="1">
        <v>13808.0</v>
      </c>
      <c r="V381" s="1">
        <v>378.0</v>
      </c>
      <c r="W381" s="1">
        <v>0.0</v>
      </c>
      <c r="X381" s="1">
        <v>0.0</v>
      </c>
      <c r="Y381" s="1">
        <v>2.35</v>
      </c>
      <c r="Z381" s="1">
        <v>7.3</v>
      </c>
    </row>
    <row r="382" ht="14.25" customHeight="1">
      <c r="A382" s="1" t="s">
        <v>26</v>
      </c>
      <c r="B382" s="1" t="s">
        <v>1527</v>
      </c>
      <c r="C382" s="1" t="s">
        <v>2217</v>
      </c>
      <c r="D382" s="1">
        <v>2.41688385E8</v>
      </c>
      <c r="E382" s="1" t="s">
        <v>675</v>
      </c>
      <c r="F382" s="1" t="s">
        <v>662</v>
      </c>
      <c r="G382" s="1" t="s">
        <v>2218</v>
      </c>
      <c r="H382" s="1" t="s">
        <v>2219</v>
      </c>
      <c r="I382" s="1">
        <v>144053.0</v>
      </c>
      <c r="J382" s="1" t="s">
        <v>2220</v>
      </c>
      <c r="K382" s="1" t="s">
        <v>2221</v>
      </c>
      <c r="L382" s="1">
        <v>395.0</v>
      </c>
      <c r="M382" s="1" t="s">
        <v>35</v>
      </c>
      <c r="N382" s="1" t="s">
        <v>36</v>
      </c>
      <c r="O382" s="1" t="s">
        <v>37</v>
      </c>
      <c r="P382" s="1">
        <v>9.2E7</v>
      </c>
      <c r="Q382" s="1">
        <v>1996.0</v>
      </c>
      <c r="R382" s="1">
        <v>22000.0</v>
      </c>
      <c r="S382" s="1">
        <v>946.0</v>
      </c>
      <c r="T382" s="1">
        <v>848.0</v>
      </c>
      <c r="U382" s="1">
        <v>26239.0</v>
      </c>
      <c r="V382" s="1">
        <v>101.0</v>
      </c>
      <c r="W382" s="1">
        <v>0.0</v>
      </c>
      <c r="X382" s="1">
        <v>0.0</v>
      </c>
      <c r="Y382" s="1">
        <v>2.35</v>
      </c>
      <c r="Z382" s="1">
        <v>6.3</v>
      </c>
    </row>
    <row r="383" ht="14.25" customHeight="1">
      <c r="A383" s="1" t="s">
        <v>26</v>
      </c>
      <c r="B383" s="1" t="s">
        <v>484</v>
      </c>
      <c r="C383" s="1" t="s">
        <v>644</v>
      </c>
      <c r="D383" s="1">
        <v>1.4451231E8</v>
      </c>
      <c r="E383" s="1" t="s">
        <v>326</v>
      </c>
      <c r="F383" s="1" t="s">
        <v>328</v>
      </c>
      <c r="G383" s="1" t="s">
        <v>329</v>
      </c>
      <c r="H383" s="1" t="s">
        <v>645</v>
      </c>
      <c r="I383" s="1">
        <v>272223.0</v>
      </c>
      <c r="J383" s="1" t="s">
        <v>646</v>
      </c>
      <c r="K383" s="1" t="s">
        <v>647</v>
      </c>
      <c r="L383" s="1">
        <v>988.0</v>
      </c>
      <c r="M383" s="1" t="s">
        <v>35</v>
      </c>
      <c r="N383" s="1" t="s">
        <v>36</v>
      </c>
      <c r="O383" s="1" t="s">
        <v>37</v>
      </c>
      <c r="P383" s="1">
        <v>3.8E7</v>
      </c>
      <c r="Q383" s="1">
        <v>2001.0</v>
      </c>
      <c r="R383" s="1">
        <v>23000.0</v>
      </c>
      <c r="S383" s="1">
        <v>14000.0</v>
      </c>
      <c r="T383" s="1">
        <v>4000.0</v>
      </c>
      <c r="U383" s="1">
        <v>45327.0</v>
      </c>
      <c r="V383" s="1">
        <v>357.0</v>
      </c>
      <c r="W383" s="1">
        <v>14000.0</v>
      </c>
      <c r="X383" s="1">
        <v>2.0</v>
      </c>
      <c r="Y383" s="1">
        <v>2.35</v>
      </c>
      <c r="Z383" s="1">
        <v>6.7</v>
      </c>
    </row>
    <row r="384" ht="14.25" customHeight="1">
      <c r="A384" s="1" t="s">
        <v>26</v>
      </c>
      <c r="B384" s="1" t="s">
        <v>420</v>
      </c>
      <c r="C384" s="1" t="s">
        <v>2222</v>
      </c>
      <c r="D384" s="1">
        <v>2.33630478E8</v>
      </c>
      <c r="E384" s="1" t="s">
        <v>2223</v>
      </c>
      <c r="F384" s="1" t="s">
        <v>314</v>
      </c>
      <c r="G384" s="1" t="s">
        <v>2224</v>
      </c>
      <c r="H384" s="1" t="s">
        <v>2225</v>
      </c>
      <c r="I384" s="1">
        <v>394317.0</v>
      </c>
      <c r="J384" s="1" t="s">
        <v>2226</v>
      </c>
      <c r="K384" s="1" t="s">
        <v>2227</v>
      </c>
      <c r="L384" s="1">
        <v>1051.0</v>
      </c>
      <c r="M384" s="1" t="s">
        <v>35</v>
      </c>
      <c r="N384" s="1" t="s">
        <v>36</v>
      </c>
      <c r="O384" s="1" t="s">
        <v>37</v>
      </c>
      <c r="P384" s="1">
        <v>9.0E7</v>
      </c>
      <c r="Q384" s="1">
        <v>2000.0</v>
      </c>
      <c r="R384" s="1">
        <v>15000.0</v>
      </c>
      <c r="S384" s="1">
        <v>410.0</v>
      </c>
      <c r="T384" s="1">
        <v>272.0</v>
      </c>
      <c r="U384" s="1">
        <v>15838.0</v>
      </c>
      <c r="V384" s="1">
        <v>0.0</v>
      </c>
      <c r="W384" s="1">
        <v>23000.0</v>
      </c>
      <c r="X384" s="1">
        <v>1.0</v>
      </c>
      <c r="Y384" s="1">
        <v>1.85</v>
      </c>
      <c r="Z384" s="1">
        <v>7.7</v>
      </c>
    </row>
    <row r="385" ht="14.25" customHeight="1">
      <c r="A385" s="1" t="s">
        <v>26</v>
      </c>
      <c r="B385" s="1" t="s">
        <v>808</v>
      </c>
      <c r="C385" s="1" t="s">
        <v>2228</v>
      </c>
      <c r="D385" s="1">
        <v>1.97992827E8</v>
      </c>
      <c r="E385" s="1" t="s">
        <v>2229</v>
      </c>
      <c r="F385" s="1" t="s">
        <v>774</v>
      </c>
      <c r="G385" s="1" t="s">
        <v>255</v>
      </c>
      <c r="H385" s="1" t="s">
        <v>2230</v>
      </c>
      <c r="I385" s="1">
        <v>132501.0</v>
      </c>
      <c r="J385" s="1" t="s">
        <v>2231</v>
      </c>
      <c r="K385" s="1" t="s">
        <v>2232</v>
      </c>
      <c r="L385" s="1">
        <v>548.0</v>
      </c>
      <c r="M385" s="1" t="s">
        <v>35</v>
      </c>
      <c r="N385" s="1" t="s">
        <v>36</v>
      </c>
      <c r="O385" s="1" t="s">
        <v>87</v>
      </c>
      <c r="P385" s="1">
        <v>1.0E8</v>
      </c>
      <c r="Q385" s="1">
        <v>2006.0</v>
      </c>
      <c r="R385" s="1">
        <v>49000.0</v>
      </c>
      <c r="S385" s="1">
        <v>20000.0</v>
      </c>
      <c r="T385" s="1">
        <v>971.0</v>
      </c>
      <c r="U385" s="1">
        <v>70996.0</v>
      </c>
      <c r="V385" s="1">
        <v>750.0</v>
      </c>
      <c r="W385" s="1">
        <v>0.0</v>
      </c>
      <c r="X385" s="1">
        <v>0.0</v>
      </c>
      <c r="Y385" s="1">
        <v>2.35</v>
      </c>
      <c r="Z385" s="1">
        <v>6.5</v>
      </c>
    </row>
    <row r="386" ht="14.25" customHeight="1">
      <c r="A386" s="1" t="s">
        <v>26</v>
      </c>
      <c r="B386" s="1" t="s">
        <v>1110</v>
      </c>
      <c r="C386" s="1" t="s">
        <v>2233</v>
      </c>
      <c r="D386" s="1">
        <v>1.7604913E8</v>
      </c>
      <c r="E386" s="1" t="s">
        <v>1112</v>
      </c>
      <c r="F386" s="1" t="s">
        <v>1113</v>
      </c>
      <c r="G386" s="1" t="s">
        <v>2234</v>
      </c>
      <c r="H386" s="1" t="s">
        <v>2235</v>
      </c>
      <c r="I386" s="1">
        <v>348232.0</v>
      </c>
      <c r="J386" s="1" t="s">
        <v>2236</v>
      </c>
      <c r="K386" s="1" t="s">
        <v>2237</v>
      </c>
      <c r="L386" s="1">
        <v>806.0</v>
      </c>
      <c r="M386" s="1" t="s">
        <v>35</v>
      </c>
      <c r="N386" s="1" t="s">
        <v>36</v>
      </c>
      <c r="O386" s="1" t="s">
        <v>37</v>
      </c>
      <c r="P386" s="1">
        <v>7.5E7</v>
      </c>
      <c r="Q386" s="1">
        <v>2004.0</v>
      </c>
      <c r="R386" s="1">
        <v>13000.0</v>
      </c>
      <c r="S386" s="1">
        <v>805.0</v>
      </c>
      <c r="T386" s="1">
        <v>129.0</v>
      </c>
      <c r="U386" s="1">
        <v>14161.0</v>
      </c>
      <c r="V386" s="1">
        <v>521.0</v>
      </c>
      <c r="W386" s="1">
        <v>0.0</v>
      </c>
      <c r="X386" s="1">
        <v>1.0</v>
      </c>
      <c r="Y386" s="1">
        <v>2.35</v>
      </c>
      <c r="Z386" s="1">
        <v>7.8</v>
      </c>
    </row>
    <row r="387" ht="14.25" customHeight="1">
      <c r="A387" s="1" t="s">
        <v>26</v>
      </c>
      <c r="B387" s="1" t="s">
        <v>673</v>
      </c>
      <c r="C387" s="1" t="s">
        <v>2238</v>
      </c>
      <c r="D387" s="1">
        <v>1.72620724E8</v>
      </c>
      <c r="E387" s="1" t="s">
        <v>675</v>
      </c>
      <c r="F387" s="1" t="s">
        <v>383</v>
      </c>
      <c r="G387" s="1" t="s">
        <v>425</v>
      </c>
      <c r="H387" s="1" t="s">
        <v>2239</v>
      </c>
      <c r="I387" s="1">
        <v>146134.0</v>
      </c>
      <c r="J387" s="1" t="s">
        <v>2240</v>
      </c>
      <c r="K387" s="1" t="s">
        <v>2241</v>
      </c>
      <c r="L387" s="1">
        <v>393.0</v>
      </c>
      <c r="M387" s="1" t="s">
        <v>35</v>
      </c>
      <c r="N387" s="1" t="s">
        <v>36</v>
      </c>
      <c r="O387" s="1" t="s">
        <v>628</v>
      </c>
      <c r="P387" s="1">
        <v>8.5E7</v>
      </c>
      <c r="Q387" s="1">
        <v>1997.0</v>
      </c>
      <c r="R387" s="1">
        <v>11000.0</v>
      </c>
      <c r="S387" s="1">
        <v>10000.0</v>
      </c>
      <c r="T387" s="1">
        <v>936.0</v>
      </c>
      <c r="U387" s="1">
        <v>23603.0</v>
      </c>
      <c r="V387" s="1">
        <v>249.0</v>
      </c>
      <c r="W387" s="1">
        <v>0.0</v>
      </c>
      <c r="X387" s="1">
        <v>1.0</v>
      </c>
      <c r="Y387" s="1">
        <v>2.35</v>
      </c>
      <c r="Z387" s="1">
        <v>6.4</v>
      </c>
    </row>
    <row r="388" ht="14.25" customHeight="1">
      <c r="A388" s="1" t="s">
        <v>26</v>
      </c>
      <c r="B388" s="1" t="s">
        <v>1456</v>
      </c>
      <c r="C388" s="1" t="s">
        <v>2242</v>
      </c>
      <c r="D388" s="1">
        <v>1.83405771E8</v>
      </c>
      <c r="E388" s="1" t="s">
        <v>1458</v>
      </c>
      <c r="F388" s="1" t="s">
        <v>335</v>
      </c>
      <c r="G388" s="1" t="s">
        <v>767</v>
      </c>
      <c r="H388" s="1" t="s">
        <v>2243</v>
      </c>
      <c r="I388" s="1">
        <v>402645.0</v>
      </c>
      <c r="J388" s="1" t="s">
        <v>2244</v>
      </c>
      <c r="K388" s="1" t="s">
        <v>2245</v>
      </c>
      <c r="L388" s="1">
        <v>845.0</v>
      </c>
      <c r="M388" s="1" t="s">
        <v>35</v>
      </c>
      <c r="N388" s="1" t="s">
        <v>36</v>
      </c>
      <c r="O388" s="1" t="s">
        <v>37</v>
      </c>
      <c r="P388" s="1">
        <v>8.5E7</v>
      </c>
      <c r="Q388" s="1">
        <v>2001.0</v>
      </c>
      <c r="R388" s="1">
        <v>11000.0</v>
      </c>
      <c r="S388" s="1">
        <v>1000.0</v>
      </c>
      <c r="T388" s="1">
        <v>471.0</v>
      </c>
      <c r="U388" s="1">
        <v>13028.0</v>
      </c>
      <c r="V388" s="1">
        <v>0.0</v>
      </c>
      <c r="W388" s="1">
        <v>0.0</v>
      </c>
      <c r="X388" s="1">
        <v>4.0</v>
      </c>
      <c r="Y388" s="1">
        <v>2.35</v>
      </c>
      <c r="Z388" s="1">
        <v>7.8</v>
      </c>
    </row>
    <row r="389" ht="14.25" customHeight="1">
      <c r="A389" s="1" t="s">
        <v>26</v>
      </c>
      <c r="B389" s="1" t="s">
        <v>2246</v>
      </c>
      <c r="C389" s="1" t="s">
        <v>2247</v>
      </c>
      <c r="D389" s="1">
        <v>2.0315324E7</v>
      </c>
      <c r="E389" s="1" t="s">
        <v>73</v>
      </c>
      <c r="F389" s="1" t="s">
        <v>1892</v>
      </c>
      <c r="G389" s="1" t="s">
        <v>1162</v>
      </c>
      <c r="H389" s="1" t="s">
        <v>42</v>
      </c>
      <c r="I389" s="1">
        <v>88542.0</v>
      </c>
      <c r="J389" s="1" t="s">
        <v>2248</v>
      </c>
      <c r="K389" s="1" t="s">
        <v>2249</v>
      </c>
      <c r="L389" s="1">
        <v>254.0</v>
      </c>
      <c r="M389" s="1" t="s">
        <v>35</v>
      </c>
      <c r="N389" s="1" t="s">
        <v>730</v>
      </c>
      <c r="O389" s="1" t="s">
        <v>37</v>
      </c>
      <c r="P389" s="1">
        <v>7.5E7</v>
      </c>
      <c r="Q389" s="1">
        <v>2011.0</v>
      </c>
      <c r="R389" s="1">
        <v>14000.0</v>
      </c>
      <c r="S389" s="1">
        <v>8000.0</v>
      </c>
      <c r="T389" s="1">
        <v>5000.0</v>
      </c>
      <c r="U389" s="1">
        <v>27694.0</v>
      </c>
      <c r="V389" s="1">
        <v>545.0</v>
      </c>
      <c r="W389" s="1">
        <v>19000.0</v>
      </c>
      <c r="X389" s="1">
        <v>8.0</v>
      </c>
      <c r="Y389" s="1">
        <v>2.35</v>
      </c>
      <c r="Z389" s="1">
        <v>5.8</v>
      </c>
    </row>
    <row r="390" ht="14.25" customHeight="1">
      <c r="A390" s="1" t="s">
        <v>26</v>
      </c>
      <c r="B390" s="1" t="s">
        <v>2250</v>
      </c>
      <c r="C390" s="1" t="s">
        <v>2251</v>
      </c>
      <c r="D390" s="1">
        <v>1.48313048E8</v>
      </c>
      <c r="E390" s="1" t="s">
        <v>756</v>
      </c>
      <c r="F390" s="1" t="s">
        <v>264</v>
      </c>
      <c r="G390" s="1" t="s">
        <v>2095</v>
      </c>
      <c r="H390" s="1" t="s">
        <v>1875</v>
      </c>
      <c r="I390" s="1">
        <v>164148.0</v>
      </c>
      <c r="J390" s="1" t="s">
        <v>2252</v>
      </c>
      <c r="K390" s="1" t="s">
        <v>2253</v>
      </c>
      <c r="L390" s="1">
        <v>168.0</v>
      </c>
      <c r="M390" s="1" t="s">
        <v>35</v>
      </c>
      <c r="N390" s="1" t="s">
        <v>36</v>
      </c>
      <c r="O390" s="1" t="s">
        <v>87</v>
      </c>
      <c r="P390" s="1">
        <v>8.5E7</v>
      </c>
      <c r="Q390" s="1">
        <v>2012.0</v>
      </c>
      <c r="R390" s="1">
        <v>12000.0</v>
      </c>
      <c r="S390" s="1">
        <v>11000.0</v>
      </c>
      <c r="T390" s="1">
        <v>11000.0</v>
      </c>
      <c r="U390" s="1">
        <v>37142.0</v>
      </c>
      <c r="V390" s="1">
        <v>266.0</v>
      </c>
      <c r="W390" s="1">
        <v>28000.0</v>
      </c>
      <c r="X390" s="1">
        <v>2.0</v>
      </c>
      <c r="Y390" s="1">
        <v>1.85</v>
      </c>
      <c r="Z390" s="1">
        <v>7.1</v>
      </c>
    </row>
    <row r="391" ht="14.25" customHeight="1">
      <c r="A391" s="1" t="s">
        <v>26</v>
      </c>
      <c r="B391" s="1" t="s">
        <v>2254</v>
      </c>
      <c r="C391" s="1" t="s">
        <v>2255</v>
      </c>
      <c r="D391" s="1">
        <v>1.27706877E8</v>
      </c>
      <c r="E391" s="1" t="s">
        <v>2256</v>
      </c>
      <c r="F391" s="1" t="s">
        <v>2257</v>
      </c>
      <c r="G391" s="1" t="s">
        <v>2258</v>
      </c>
      <c r="H391" s="1" t="s">
        <v>2259</v>
      </c>
      <c r="I391" s="1">
        <v>142496.0</v>
      </c>
      <c r="J391" s="1" t="s">
        <v>2260</v>
      </c>
      <c r="K391" s="1" t="s">
        <v>2261</v>
      </c>
      <c r="L391" s="1">
        <v>399.0</v>
      </c>
      <c r="M391" s="1" t="s">
        <v>35</v>
      </c>
      <c r="N391" s="1" t="s">
        <v>36</v>
      </c>
      <c r="O391" s="1" t="s">
        <v>87</v>
      </c>
      <c r="P391" s="1">
        <v>8.5E7</v>
      </c>
      <c r="Q391" s="1">
        <v>2007.0</v>
      </c>
      <c r="R391" s="1">
        <v>283.0</v>
      </c>
      <c r="S391" s="1">
        <v>142.0</v>
      </c>
      <c r="T391" s="1">
        <v>118.0</v>
      </c>
      <c r="U391" s="1">
        <v>662.0</v>
      </c>
      <c r="V391" s="1">
        <v>36.0</v>
      </c>
      <c r="W391" s="1">
        <v>0.0</v>
      </c>
      <c r="X391" s="1">
        <v>2.0</v>
      </c>
      <c r="Y391" s="1">
        <v>2.35</v>
      </c>
      <c r="Z391" s="1">
        <v>7.1</v>
      </c>
    </row>
    <row r="392" ht="14.25" customHeight="1">
      <c r="A392" s="1" t="s">
        <v>26</v>
      </c>
      <c r="B392" s="1" t="s">
        <v>2262</v>
      </c>
      <c r="C392" s="1" t="s">
        <v>2263</v>
      </c>
      <c r="D392" s="1">
        <v>1.26149655E8</v>
      </c>
      <c r="E392" s="1" t="s">
        <v>1155</v>
      </c>
      <c r="F392" s="1" t="s">
        <v>1644</v>
      </c>
      <c r="G392" s="1" t="s">
        <v>307</v>
      </c>
      <c r="H392" s="1" t="s">
        <v>1009</v>
      </c>
      <c r="I392" s="1">
        <v>166693.0</v>
      </c>
      <c r="J392" s="1" t="s">
        <v>2264</v>
      </c>
      <c r="K392" s="1" t="s">
        <v>2265</v>
      </c>
      <c r="L392" s="1">
        <v>276.0</v>
      </c>
      <c r="M392" s="1" t="s">
        <v>35</v>
      </c>
      <c r="N392" s="1" t="s">
        <v>36</v>
      </c>
      <c r="O392" s="1" t="s">
        <v>628</v>
      </c>
      <c r="P392" s="1">
        <v>8.5E7</v>
      </c>
      <c r="Q392" s="1">
        <v>2012.0</v>
      </c>
      <c r="R392" s="1">
        <v>18000.0</v>
      </c>
      <c r="S392" s="1">
        <v>16000.0</v>
      </c>
      <c r="T392" s="1">
        <v>820.0</v>
      </c>
      <c r="U392" s="1">
        <v>36237.0</v>
      </c>
      <c r="V392" s="1">
        <v>79.0</v>
      </c>
      <c r="W392" s="1">
        <v>19000.0</v>
      </c>
      <c r="X392" s="1">
        <v>1.0</v>
      </c>
      <c r="Y392" s="1">
        <v>2.35</v>
      </c>
      <c r="Z392" s="1">
        <v>6.8</v>
      </c>
    </row>
    <row r="393" ht="14.25" customHeight="1">
      <c r="A393" s="1" t="s">
        <v>26</v>
      </c>
      <c r="B393" s="1" t="s">
        <v>2254</v>
      </c>
      <c r="C393" s="1" t="s">
        <v>2266</v>
      </c>
      <c r="D393" s="1">
        <v>6.6941559E7</v>
      </c>
      <c r="E393" s="1" t="s">
        <v>2267</v>
      </c>
      <c r="F393" s="1" t="s">
        <v>1297</v>
      </c>
      <c r="G393" s="1" t="s">
        <v>687</v>
      </c>
      <c r="H393" s="1" t="s">
        <v>2268</v>
      </c>
      <c r="I393" s="1">
        <v>26413.0</v>
      </c>
      <c r="J393" s="1" t="s">
        <v>2269</v>
      </c>
      <c r="K393" s="1" t="s">
        <v>2270</v>
      </c>
      <c r="L393" s="1">
        <v>77.0</v>
      </c>
      <c r="M393" s="1" t="s">
        <v>35</v>
      </c>
      <c r="N393" s="1" t="s">
        <v>36</v>
      </c>
      <c r="O393" s="1" t="s">
        <v>269</v>
      </c>
      <c r="P393" s="1">
        <v>8.5E7</v>
      </c>
      <c r="Q393" s="1">
        <v>2000.0</v>
      </c>
      <c r="R393" s="1">
        <v>2000.0</v>
      </c>
      <c r="S393" s="1">
        <v>795.0</v>
      </c>
      <c r="T393" s="1">
        <v>439.0</v>
      </c>
      <c r="U393" s="1">
        <v>4182.0</v>
      </c>
      <c r="V393" s="1">
        <v>36.0</v>
      </c>
      <c r="W393" s="1">
        <v>372.0</v>
      </c>
      <c r="X393" s="1">
        <v>1.0</v>
      </c>
      <c r="Y393" s="1">
        <v>1.85</v>
      </c>
      <c r="Z393" s="1">
        <v>4.8</v>
      </c>
    </row>
    <row r="394" ht="14.25" customHeight="1">
      <c r="A394" s="1" t="s">
        <v>26</v>
      </c>
      <c r="B394" s="1" t="s">
        <v>252</v>
      </c>
      <c r="C394" s="1" t="s">
        <v>2271</v>
      </c>
      <c r="D394" s="1">
        <v>7.8009155E7</v>
      </c>
      <c r="E394" s="1" t="s">
        <v>1670</v>
      </c>
      <c r="F394" s="1" t="s">
        <v>865</v>
      </c>
      <c r="G394" s="1" t="s">
        <v>2272</v>
      </c>
      <c r="H394" s="1" t="s">
        <v>611</v>
      </c>
      <c r="I394" s="1">
        <v>110073.0</v>
      </c>
      <c r="J394" s="1" t="s">
        <v>2273</v>
      </c>
      <c r="K394" s="1" t="s">
        <v>2274</v>
      </c>
      <c r="L394" s="1">
        <v>194.0</v>
      </c>
      <c r="M394" s="1" t="s">
        <v>35</v>
      </c>
      <c r="N394" s="1" t="s">
        <v>36</v>
      </c>
      <c r="O394" s="1" t="s">
        <v>37</v>
      </c>
      <c r="P394" s="1">
        <v>7.5E7</v>
      </c>
      <c r="Q394" s="1">
        <v>2011.0</v>
      </c>
      <c r="R394" s="1">
        <v>2000.0</v>
      </c>
      <c r="S394" s="1">
        <v>906.0</v>
      </c>
      <c r="T394" s="1">
        <v>535.0</v>
      </c>
      <c r="U394" s="1">
        <v>3768.0</v>
      </c>
      <c r="V394" s="1">
        <v>420.0</v>
      </c>
      <c r="W394" s="1">
        <v>0.0</v>
      </c>
      <c r="X394" s="1">
        <v>5.0</v>
      </c>
      <c r="Y394" s="1">
        <v>2.35</v>
      </c>
      <c r="Z394" s="1">
        <v>6.2</v>
      </c>
    </row>
    <row r="395" ht="14.25" customHeight="1">
      <c r="A395" s="1" t="s">
        <v>26</v>
      </c>
      <c r="B395" s="1" t="s">
        <v>2275</v>
      </c>
      <c r="C395" s="1" t="s">
        <v>2276</v>
      </c>
      <c r="D395" s="1">
        <v>6.3224849E7</v>
      </c>
      <c r="E395" s="1" t="s">
        <v>1598</v>
      </c>
      <c r="F395" s="1" t="s">
        <v>208</v>
      </c>
      <c r="G395" s="1" t="s">
        <v>1733</v>
      </c>
      <c r="H395" s="1" t="s">
        <v>2277</v>
      </c>
      <c r="I395" s="1">
        <v>182757.0</v>
      </c>
      <c r="J395" s="1" t="s">
        <v>2278</v>
      </c>
      <c r="K395" s="1" t="s">
        <v>2279</v>
      </c>
      <c r="L395" s="1">
        <v>483.0</v>
      </c>
      <c r="M395" s="1" t="s">
        <v>35</v>
      </c>
      <c r="N395" s="1" t="s">
        <v>36</v>
      </c>
      <c r="O395" s="1" t="s">
        <v>37</v>
      </c>
      <c r="P395" s="1">
        <v>8.5E7</v>
      </c>
      <c r="Q395" s="1">
        <v>2006.0</v>
      </c>
      <c r="R395" s="1">
        <v>14000.0</v>
      </c>
      <c r="S395" s="1">
        <v>3000.0</v>
      </c>
      <c r="T395" s="1">
        <v>213.0</v>
      </c>
      <c r="U395" s="1">
        <v>17423.0</v>
      </c>
      <c r="V395" s="1">
        <v>278.0</v>
      </c>
      <c r="W395" s="1">
        <v>19000.0</v>
      </c>
      <c r="X395" s="1">
        <v>3.0</v>
      </c>
      <c r="Y395" s="1">
        <v>1.85</v>
      </c>
      <c r="Z395" s="1">
        <v>6.9</v>
      </c>
    </row>
    <row r="396" ht="14.25" customHeight="1">
      <c r="A396" s="1" t="s">
        <v>26</v>
      </c>
      <c r="B396" s="1" t="s">
        <v>1656</v>
      </c>
      <c r="C396" s="1" t="s">
        <v>2280</v>
      </c>
      <c r="D396" s="1">
        <v>1.11544445E8</v>
      </c>
      <c r="E396" s="1" t="s">
        <v>2281</v>
      </c>
      <c r="F396" s="1" t="s">
        <v>158</v>
      </c>
      <c r="G396" s="1" t="s">
        <v>1759</v>
      </c>
      <c r="H396" s="1" t="s">
        <v>2282</v>
      </c>
      <c r="I396" s="1">
        <v>188116.0</v>
      </c>
      <c r="J396" s="1" t="s">
        <v>2283</v>
      </c>
      <c r="K396" s="1" t="s">
        <v>2284</v>
      </c>
      <c r="L396" s="1">
        <v>415.0</v>
      </c>
      <c r="M396" s="1" t="s">
        <v>35</v>
      </c>
      <c r="N396" s="1" t="s">
        <v>36</v>
      </c>
      <c r="O396" s="1" t="s">
        <v>628</v>
      </c>
      <c r="P396" s="1">
        <v>9.0E7</v>
      </c>
      <c r="Q396" s="1">
        <v>1998.0</v>
      </c>
      <c r="R396" s="1">
        <v>10000.0</v>
      </c>
      <c r="S396" s="1">
        <v>660.0</v>
      </c>
      <c r="T396" s="1">
        <v>619.0</v>
      </c>
      <c r="U396" s="1">
        <v>11951.0</v>
      </c>
      <c r="V396" s="1">
        <v>12000.0</v>
      </c>
      <c r="W396" s="1">
        <v>0.0</v>
      </c>
      <c r="X396" s="1">
        <v>4.0</v>
      </c>
      <c r="Y396" s="1">
        <v>2.35</v>
      </c>
      <c r="Z396" s="1">
        <v>7.3</v>
      </c>
    </row>
    <row r="397" ht="14.25" customHeight="1">
      <c r="A397" s="1" t="s">
        <v>26</v>
      </c>
      <c r="B397" s="1" t="s">
        <v>2275</v>
      </c>
      <c r="C397" s="1" t="s">
        <v>2285</v>
      </c>
      <c r="D397" s="1">
        <v>1.1270347E8</v>
      </c>
      <c r="E397" s="1" t="s">
        <v>1359</v>
      </c>
      <c r="F397" s="1" t="s">
        <v>2286</v>
      </c>
      <c r="G397" s="1" t="s">
        <v>2287</v>
      </c>
      <c r="H397" s="1" t="s">
        <v>2288</v>
      </c>
      <c r="I397" s="1">
        <v>69860.0</v>
      </c>
      <c r="J397" s="1" t="s">
        <v>2289</v>
      </c>
      <c r="K397" s="1" t="s">
        <v>2290</v>
      </c>
      <c r="L397" s="1">
        <v>214.0</v>
      </c>
      <c r="M397" s="1" t="s">
        <v>35</v>
      </c>
      <c r="N397" s="1" t="s">
        <v>36</v>
      </c>
      <c r="O397" s="1" t="s">
        <v>628</v>
      </c>
      <c r="P397" s="1">
        <v>8.5E7</v>
      </c>
      <c r="Q397" s="1">
        <v>2009.0</v>
      </c>
      <c r="R397" s="1">
        <v>11000.0</v>
      </c>
      <c r="S397" s="1">
        <v>2000.0</v>
      </c>
      <c r="T397" s="1">
        <v>963.0</v>
      </c>
      <c r="U397" s="1">
        <v>15226.0</v>
      </c>
      <c r="V397" s="1">
        <v>278.0</v>
      </c>
      <c r="W397" s="1">
        <v>0.0</v>
      </c>
      <c r="X397" s="1">
        <v>2.0</v>
      </c>
      <c r="Y397" s="1">
        <v>1.85</v>
      </c>
      <c r="Z397" s="1">
        <v>6.6</v>
      </c>
    </row>
    <row r="398" ht="14.25" customHeight="1">
      <c r="A398" s="1" t="s">
        <v>26</v>
      </c>
      <c r="B398" s="1" t="s">
        <v>1456</v>
      </c>
      <c r="C398" s="1" t="s">
        <v>2291</v>
      </c>
      <c r="D398" s="1">
        <v>1.17144465E8</v>
      </c>
      <c r="E398" s="1" t="s">
        <v>1458</v>
      </c>
      <c r="F398" s="1" t="s">
        <v>2292</v>
      </c>
      <c r="G398" s="1" t="s">
        <v>1113</v>
      </c>
      <c r="H398" s="1" t="s">
        <v>335</v>
      </c>
      <c r="I398" s="1">
        <v>256928.0</v>
      </c>
      <c r="J398" s="1" t="s">
        <v>2293</v>
      </c>
      <c r="K398" s="1" t="s">
        <v>2294</v>
      </c>
      <c r="L398" s="1">
        <v>288.0</v>
      </c>
      <c r="M398" s="1" t="s">
        <v>35</v>
      </c>
      <c r="N398" s="1" t="s">
        <v>36</v>
      </c>
      <c r="O398" s="1" t="s">
        <v>37</v>
      </c>
      <c r="P398" s="1">
        <v>8.5E7</v>
      </c>
      <c r="Q398" s="1">
        <v>2007.0</v>
      </c>
      <c r="R398" s="1">
        <v>14000.0</v>
      </c>
      <c r="S398" s="1">
        <v>13000.0</v>
      </c>
      <c r="T398" s="1">
        <v>11000.0</v>
      </c>
      <c r="U398" s="1">
        <v>43499.0</v>
      </c>
      <c r="V398" s="1">
        <v>0.0</v>
      </c>
      <c r="W398" s="1">
        <v>0.0</v>
      </c>
      <c r="X398" s="1">
        <v>3.0</v>
      </c>
      <c r="Y398" s="1">
        <v>2.35</v>
      </c>
      <c r="Z398" s="1">
        <v>6.9</v>
      </c>
    </row>
    <row r="399" ht="14.25" customHeight="1">
      <c r="A399" s="1" t="s">
        <v>26</v>
      </c>
      <c r="B399" s="1" t="s">
        <v>2295</v>
      </c>
      <c r="C399" s="1" t="s">
        <v>2296</v>
      </c>
      <c r="D399" s="1">
        <v>8.4303558E7</v>
      </c>
      <c r="E399" s="1" t="s">
        <v>456</v>
      </c>
      <c r="F399" s="1" t="s">
        <v>243</v>
      </c>
      <c r="G399" s="1" t="s">
        <v>2297</v>
      </c>
      <c r="H399" s="1" t="s">
        <v>2298</v>
      </c>
      <c r="I399" s="1">
        <v>65270.0</v>
      </c>
      <c r="J399" s="1" t="s">
        <v>2299</v>
      </c>
      <c r="K399" s="1" t="s">
        <v>2300</v>
      </c>
      <c r="L399" s="1">
        <v>100.0</v>
      </c>
      <c r="M399" s="1" t="s">
        <v>35</v>
      </c>
      <c r="N399" s="1" t="s">
        <v>36</v>
      </c>
      <c r="O399" s="1" t="s">
        <v>87</v>
      </c>
      <c r="P399" s="1">
        <v>8.5E7</v>
      </c>
      <c r="Q399" s="1">
        <v>2006.0</v>
      </c>
      <c r="R399" s="1">
        <v>4000.0</v>
      </c>
      <c r="S399" s="1">
        <v>650.0</v>
      </c>
      <c r="T399" s="1">
        <v>624.0</v>
      </c>
      <c r="U399" s="1">
        <v>6081.0</v>
      </c>
      <c r="V399" s="1">
        <v>28.0</v>
      </c>
      <c r="W399" s="1">
        <v>863.0</v>
      </c>
      <c r="X399" s="1">
        <v>1.0</v>
      </c>
      <c r="Y399" s="1">
        <v>1.85</v>
      </c>
      <c r="Z399" s="1">
        <v>6.2</v>
      </c>
    </row>
    <row r="400" ht="14.25" customHeight="1">
      <c r="A400" s="1" t="s">
        <v>26</v>
      </c>
      <c r="B400" s="1" t="s">
        <v>2301</v>
      </c>
      <c r="C400" s="1" t="s">
        <v>2302</v>
      </c>
      <c r="D400" s="1">
        <v>1.50832203E8</v>
      </c>
      <c r="E400" s="1" t="s">
        <v>1325</v>
      </c>
      <c r="F400" s="1" t="s">
        <v>208</v>
      </c>
      <c r="G400" s="1" t="s">
        <v>1469</v>
      </c>
      <c r="H400" s="1" t="s">
        <v>1470</v>
      </c>
      <c r="I400" s="1">
        <v>341058.0</v>
      </c>
      <c r="J400" s="1" t="s">
        <v>2303</v>
      </c>
      <c r="K400" s="1" t="s">
        <v>2304</v>
      </c>
      <c r="L400" s="1">
        <v>713.0</v>
      </c>
      <c r="M400" s="1" t="s">
        <v>35</v>
      </c>
      <c r="N400" s="1" t="s">
        <v>36</v>
      </c>
      <c r="O400" s="1" t="s">
        <v>37</v>
      </c>
      <c r="P400" s="1">
        <v>8.5E7</v>
      </c>
      <c r="Q400" s="1">
        <v>2014.0</v>
      </c>
      <c r="R400" s="1">
        <v>14000.0</v>
      </c>
      <c r="S400" s="1">
        <v>5000.0</v>
      </c>
      <c r="T400" s="1">
        <v>1000.0</v>
      </c>
      <c r="U400" s="1">
        <v>22226.0</v>
      </c>
      <c r="V400" s="1">
        <v>168.0</v>
      </c>
      <c r="W400" s="1">
        <v>49000.0</v>
      </c>
      <c r="X400" s="1">
        <v>2.0</v>
      </c>
      <c r="Y400" s="1">
        <v>2.35</v>
      </c>
      <c r="Z400" s="1">
        <v>6.7</v>
      </c>
    </row>
    <row r="401" ht="14.25" customHeight="1">
      <c r="A401" s="1" t="s">
        <v>26</v>
      </c>
      <c r="B401" s="1" t="s">
        <v>2305</v>
      </c>
      <c r="C401" s="1" t="s">
        <v>2306</v>
      </c>
      <c r="D401" s="1">
        <v>5.1396781E7</v>
      </c>
      <c r="E401" s="1" t="s">
        <v>1880</v>
      </c>
      <c r="F401" s="1" t="s">
        <v>2307</v>
      </c>
      <c r="G401" s="1" t="s">
        <v>2308</v>
      </c>
      <c r="H401" s="1" t="s">
        <v>2309</v>
      </c>
      <c r="I401" s="1">
        <v>188887.0</v>
      </c>
      <c r="J401" s="1" t="s">
        <v>2310</v>
      </c>
      <c r="K401" s="1" t="s">
        <v>2311</v>
      </c>
      <c r="L401" s="1">
        <v>662.0</v>
      </c>
      <c r="M401" s="1" t="s">
        <v>35</v>
      </c>
      <c r="N401" s="1" t="s">
        <v>36</v>
      </c>
      <c r="O401" s="1" t="s">
        <v>628</v>
      </c>
      <c r="P401" s="1">
        <v>6.8E7</v>
      </c>
      <c r="Q401" s="1">
        <v>2001.0</v>
      </c>
      <c r="R401" s="1">
        <v>5000.0</v>
      </c>
      <c r="S401" s="1">
        <v>35.0</v>
      </c>
      <c r="T401" s="1">
        <v>29.0</v>
      </c>
      <c r="U401" s="1">
        <v>5103.0</v>
      </c>
      <c r="V401" s="1">
        <v>218.0</v>
      </c>
      <c r="W401" s="1">
        <v>0.0</v>
      </c>
      <c r="X401" s="1">
        <v>1.0</v>
      </c>
      <c r="Y401" s="1">
        <v>2.35</v>
      </c>
      <c r="Z401" s="1">
        <v>7.6</v>
      </c>
    </row>
    <row r="402" ht="14.25" customHeight="1">
      <c r="A402" s="1" t="s">
        <v>26</v>
      </c>
      <c r="B402" s="1" t="s">
        <v>217</v>
      </c>
      <c r="C402" s="1" t="s">
        <v>2312</v>
      </c>
      <c r="D402" s="1">
        <v>4.7592825E7</v>
      </c>
      <c r="E402" s="1" t="s">
        <v>1041</v>
      </c>
      <c r="F402" s="1" t="s">
        <v>1036</v>
      </c>
      <c r="G402" s="1" t="s">
        <v>947</v>
      </c>
      <c r="H402" s="1" t="s">
        <v>352</v>
      </c>
      <c r="I402" s="1">
        <v>82731.0</v>
      </c>
      <c r="J402" s="1" t="s">
        <v>2313</v>
      </c>
      <c r="K402" s="1" t="s">
        <v>2314</v>
      </c>
      <c r="L402" s="1">
        <v>255.0</v>
      </c>
      <c r="M402" s="1" t="s">
        <v>35</v>
      </c>
      <c r="N402" s="1" t="s">
        <v>36</v>
      </c>
      <c r="O402" s="1" t="s">
        <v>37</v>
      </c>
      <c r="P402" s="1">
        <v>8.5E7</v>
      </c>
      <c r="Q402" s="1">
        <v>2003.0</v>
      </c>
      <c r="R402" s="1">
        <v>12000.0</v>
      </c>
      <c r="S402" s="1">
        <v>3000.0</v>
      </c>
      <c r="T402" s="1">
        <v>557.0</v>
      </c>
      <c r="U402" s="1">
        <v>16930.0</v>
      </c>
      <c r="V402" s="1">
        <v>532.0</v>
      </c>
      <c r="W402" s="1">
        <v>0.0</v>
      </c>
      <c r="X402" s="1">
        <v>1.0</v>
      </c>
      <c r="Y402" s="1">
        <v>2.35</v>
      </c>
      <c r="Z402" s="1">
        <v>6.7</v>
      </c>
    </row>
    <row r="403" ht="14.25" customHeight="1">
      <c r="A403" s="1" t="s">
        <v>26</v>
      </c>
      <c r="B403" s="1" t="s">
        <v>1255</v>
      </c>
      <c r="C403" s="1" t="s">
        <v>2315</v>
      </c>
      <c r="D403" s="1">
        <v>5.0016394E7</v>
      </c>
      <c r="E403" s="1" t="s">
        <v>2316</v>
      </c>
      <c r="F403" s="1" t="s">
        <v>2317</v>
      </c>
      <c r="G403" s="1" t="s">
        <v>2318</v>
      </c>
      <c r="H403" s="1" t="s">
        <v>1964</v>
      </c>
      <c r="I403" s="1">
        <v>106528.0</v>
      </c>
      <c r="J403" s="1" t="s">
        <v>2319</v>
      </c>
      <c r="K403" s="1" t="s">
        <v>2320</v>
      </c>
      <c r="L403" s="1">
        <v>257.0</v>
      </c>
      <c r="M403" s="1" t="s">
        <v>35</v>
      </c>
      <c r="N403" s="1" t="s">
        <v>36</v>
      </c>
      <c r="O403" s="1" t="s">
        <v>37</v>
      </c>
      <c r="P403" s="1">
        <v>7.0E7</v>
      </c>
      <c r="Q403" s="1">
        <v>1993.0</v>
      </c>
      <c r="R403" s="1">
        <v>670.0</v>
      </c>
      <c r="S403" s="1">
        <v>442.0</v>
      </c>
      <c r="T403" s="1">
        <v>330.0</v>
      </c>
      <c r="U403" s="1">
        <v>2407.0</v>
      </c>
      <c r="V403" s="1">
        <v>323.0</v>
      </c>
      <c r="W403" s="1">
        <v>0.0</v>
      </c>
      <c r="X403" s="1">
        <v>1.0</v>
      </c>
      <c r="Y403" s="1">
        <v>2.35</v>
      </c>
      <c r="Z403" s="1">
        <v>6.2</v>
      </c>
    </row>
    <row r="404" ht="14.25" customHeight="1">
      <c r="A404" s="1" t="s">
        <v>26</v>
      </c>
      <c r="B404" s="1" t="s">
        <v>149</v>
      </c>
      <c r="C404" s="1" t="s">
        <v>2321</v>
      </c>
      <c r="D404" s="1">
        <v>5.7010853E7</v>
      </c>
      <c r="E404" s="1" t="s">
        <v>206</v>
      </c>
      <c r="F404" s="1" t="s">
        <v>2322</v>
      </c>
      <c r="G404" s="1" t="s">
        <v>715</v>
      </c>
      <c r="H404" s="1" t="s">
        <v>2323</v>
      </c>
      <c r="I404" s="1">
        <v>119286.0</v>
      </c>
      <c r="J404" s="1" t="s">
        <v>2324</v>
      </c>
      <c r="K404" s="1" t="s">
        <v>2325</v>
      </c>
      <c r="L404" s="1">
        <v>548.0</v>
      </c>
      <c r="M404" s="1" t="s">
        <v>35</v>
      </c>
      <c r="N404" s="1" t="s">
        <v>36</v>
      </c>
      <c r="O404" s="1" t="s">
        <v>37</v>
      </c>
      <c r="P404" s="1">
        <v>8.5E7</v>
      </c>
      <c r="Q404" s="1">
        <v>2005.0</v>
      </c>
      <c r="R404" s="1">
        <v>879.0</v>
      </c>
      <c r="S404" s="1">
        <v>691.0</v>
      </c>
      <c r="T404" s="1">
        <v>210.0</v>
      </c>
      <c r="U404" s="1">
        <v>2380.0</v>
      </c>
      <c r="V404" s="1">
        <v>252.0</v>
      </c>
      <c r="W404" s="1">
        <v>0.0</v>
      </c>
      <c r="X404" s="1">
        <v>1.0</v>
      </c>
      <c r="Y404" s="1">
        <v>2.35</v>
      </c>
      <c r="Z404" s="1">
        <v>7.3</v>
      </c>
    </row>
    <row r="405" ht="14.25" customHeight="1">
      <c r="A405" s="1" t="s">
        <v>26</v>
      </c>
      <c r="B405" s="1" t="s">
        <v>394</v>
      </c>
      <c r="C405" s="1" t="s">
        <v>2326</v>
      </c>
      <c r="D405" s="1">
        <v>6.2494975E7</v>
      </c>
      <c r="E405" s="1" t="s">
        <v>326</v>
      </c>
      <c r="F405" s="1" t="s">
        <v>2327</v>
      </c>
      <c r="G405" s="1" t="s">
        <v>2328</v>
      </c>
      <c r="H405" s="1" t="s">
        <v>2329</v>
      </c>
      <c r="I405" s="1">
        <v>179500.0</v>
      </c>
      <c r="J405" s="1" t="s">
        <v>2330</v>
      </c>
      <c r="K405" s="1" t="s">
        <v>2331</v>
      </c>
      <c r="L405" s="1">
        <v>378.0</v>
      </c>
      <c r="M405" s="1" t="s">
        <v>35</v>
      </c>
      <c r="N405" s="1" t="s">
        <v>36</v>
      </c>
      <c r="O405" s="1" t="s">
        <v>37</v>
      </c>
      <c r="P405" s="1">
        <v>8.5E7</v>
      </c>
      <c r="Q405" s="1">
        <v>2006.0</v>
      </c>
      <c r="R405" s="1">
        <v>584.0</v>
      </c>
      <c r="S405" s="1">
        <v>227.0</v>
      </c>
      <c r="T405" s="1">
        <v>159.0</v>
      </c>
      <c r="U405" s="1">
        <v>1235.0</v>
      </c>
      <c r="V405" s="1">
        <v>681.0</v>
      </c>
      <c r="W405" s="1">
        <v>0.0</v>
      </c>
      <c r="X405" s="1">
        <v>5.0</v>
      </c>
      <c r="Y405" s="1">
        <v>2.35</v>
      </c>
      <c r="Z405" s="1">
        <v>6.0</v>
      </c>
    </row>
    <row r="406" ht="14.25" customHeight="1">
      <c r="A406" s="1" t="s">
        <v>26</v>
      </c>
      <c r="B406" s="1" t="s">
        <v>2332</v>
      </c>
      <c r="C406" s="1" t="s">
        <v>2333</v>
      </c>
      <c r="D406" s="1">
        <v>4.6440491E7</v>
      </c>
      <c r="E406" s="1" t="s">
        <v>263</v>
      </c>
      <c r="F406" s="1" t="s">
        <v>385</v>
      </c>
      <c r="G406" s="1" t="s">
        <v>2334</v>
      </c>
      <c r="H406" s="1" t="s">
        <v>2335</v>
      </c>
      <c r="I406" s="1">
        <v>35446.0</v>
      </c>
      <c r="J406" s="1" t="s">
        <v>2336</v>
      </c>
      <c r="K406" s="1" t="s">
        <v>2337</v>
      </c>
      <c r="L406" s="1">
        <v>78.0</v>
      </c>
      <c r="M406" s="1" t="s">
        <v>35</v>
      </c>
      <c r="N406" s="1" t="s">
        <v>54</v>
      </c>
      <c r="O406" s="1" t="s">
        <v>87</v>
      </c>
      <c r="P406" s="1">
        <v>1.0E8</v>
      </c>
      <c r="Q406" s="1">
        <v>2011.0</v>
      </c>
      <c r="R406" s="1">
        <v>1000.0</v>
      </c>
      <c r="S406" s="1">
        <v>579.0</v>
      </c>
      <c r="T406" s="1">
        <v>561.0</v>
      </c>
      <c r="U406" s="1">
        <v>2707.0</v>
      </c>
      <c r="V406" s="1">
        <v>6.0</v>
      </c>
      <c r="W406" s="1">
        <v>0.0</v>
      </c>
      <c r="X406" s="1">
        <v>1.0</v>
      </c>
      <c r="Y406" s="1">
        <v>1.85</v>
      </c>
      <c r="Z406" s="1">
        <v>7.1</v>
      </c>
    </row>
    <row r="407" ht="14.25" customHeight="1">
      <c r="A407" s="1" t="s">
        <v>26</v>
      </c>
      <c r="B407" s="1" t="s">
        <v>2338</v>
      </c>
      <c r="C407" s="1" t="s">
        <v>2339</v>
      </c>
      <c r="D407" s="1">
        <v>4.4606335E7</v>
      </c>
      <c r="E407" s="1" t="s">
        <v>650</v>
      </c>
      <c r="F407" s="1" t="s">
        <v>726</v>
      </c>
      <c r="G407" s="1" t="s">
        <v>335</v>
      </c>
      <c r="H407" s="1" t="s">
        <v>887</v>
      </c>
      <c r="I407" s="1">
        <v>169023.0</v>
      </c>
      <c r="J407" s="1" t="s">
        <v>2340</v>
      </c>
      <c r="K407" s="1" t="s">
        <v>2341</v>
      </c>
      <c r="L407" s="1">
        <v>703.0</v>
      </c>
      <c r="M407" s="1" t="s">
        <v>35</v>
      </c>
      <c r="N407" s="1" t="s">
        <v>36</v>
      </c>
      <c r="O407" s="1" t="s">
        <v>37</v>
      </c>
      <c r="P407" s="1">
        <v>9.0E7</v>
      </c>
      <c r="Q407" s="1">
        <v>1998.0</v>
      </c>
      <c r="R407" s="1">
        <v>12000.0</v>
      </c>
      <c r="S407" s="1">
        <v>11000.0</v>
      </c>
      <c r="T407" s="1">
        <v>551.0</v>
      </c>
      <c r="U407" s="1">
        <v>23950.0</v>
      </c>
      <c r="V407" s="1">
        <v>102.0</v>
      </c>
      <c r="W407" s="1">
        <v>10000.0</v>
      </c>
      <c r="X407" s="1">
        <v>0.0</v>
      </c>
      <c r="Y407" s="1">
        <v>1.85</v>
      </c>
      <c r="Z407" s="1">
        <v>7.1</v>
      </c>
    </row>
    <row r="408" ht="14.25" customHeight="1">
      <c r="A408" s="1" t="s">
        <v>26</v>
      </c>
      <c r="B408" s="1" t="s">
        <v>2342</v>
      </c>
      <c r="C408" s="1" t="s">
        <v>2343</v>
      </c>
      <c r="D408" s="1">
        <v>4.0048332E7</v>
      </c>
      <c r="E408" s="1" t="s">
        <v>886</v>
      </c>
      <c r="F408" s="1" t="s">
        <v>2344</v>
      </c>
      <c r="G408" s="1" t="s">
        <v>2345</v>
      </c>
      <c r="H408" s="1" t="s">
        <v>2346</v>
      </c>
      <c r="I408" s="1">
        <v>61417.0</v>
      </c>
      <c r="J408" s="1" t="s">
        <v>2347</v>
      </c>
      <c r="K408" s="1" t="s">
        <v>2348</v>
      </c>
      <c r="L408" s="1">
        <v>339.0</v>
      </c>
      <c r="M408" s="1" t="s">
        <v>35</v>
      </c>
      <c r="N408" s="1" t="s">
        <v>36</v>
      </c>
      <c r="O408" s="1" t="s">
        <v>628</v>
      </c>
      <c r="P408" s="1">
        <v>8.5E7</v>
      </c>
      <c r="Q408" s="1">
        <v>2002.0</v>
      </c>
      <c r="R408" s="1">
        <v>672.0</v>
      </c>
      <c r="S408" s="1">
        <v>174.0</v>
      </c>
      <c r="T408" s="1">
        <v>172.0</v>
      </c>
      <c r="U408" s="1">
        <v>1460.0</v>
      </c>
      <c r="V408" s="1">
        <v>99.0</v>
      </c>
      <c r="W408" s="1">
        <v>941.0</v>
      </c>
      <c r="X408" s="1">
        <v>1.0</v>
      </c>
      <c r="Y408" s="1">
        <v>1.85</v>
      </c>
      <c r="Z408" s="1">
        <v>5.5</v>
      </c>
    </row>
    <row r="409" ht="14.25" customHeight="1">
      <c r="A409" s="1" t="s">
        <v>26</v>
      </c>
      <c r="B409" s="1" t="s">
        <v>2349</v>
      </c>
      <c r="C409" s="1" t="s">
        <v>2350</v>
      </c>
      <c r="D409" s="1">
        <v>6.493367E7</v>
      </c>
      <c r="E409" s="1" t="s">
        <v>2351</v>
      </c>
      <c r="F409" s="1" t="s">
        <v>1459</v>
      </c>
      <c r="G409" s="1" t="s">
        <v>1329</v>
      </c>
      <c r="H409" s="1" t="s">
        <v>1413</v>
      </c>
      <c r="I409" s="1">
        <v>70838.0</v>
      </c>
      <c r="J409" s="1" t="s">
        <v>2352</v>
      </c>
      <c r="K409" s="1" t="s">
        <v>2353</v>
      </c>
      <c r="L409" s="1">
        <v>208.0</v>
      </c>
      <c r="M409" s="1" t="s">
        <v>35</v>
      </c>
      <c r="N409" s="1" t="s">
        <v>36</v>
      </c>
      <c r="O409" s="1" t="s">
        <v>87</v>
      </c>
      <c r="P409" s="1">
        <v>8.5E7</v>
      </c>
      <c r="Q409" s="1">
        <v>2012.0</v>
      </c>
      <c r="R409" s="1">
        <v>8000.0</v>
      </c>
      <c r="S409" s="1">
        <v>886.0</v>
      </c>
      <c r="T409" s="1">
        <v>809.0</v>
      </c>
      <c r="U409" s="1">
        <v>11454.0</v>
      </c>
      <c r="V409" s="1">
        <v>763.0</v>
      </c>
      <c r="W409" s="1">
        <v>18000.0</v>
      </c>
      <c r="X409" s="1">
        <v>1.0</v>
      </c>
      <c r="Y409" s="1">
        <v>1.85</v>
      </c>
      <c r="Z409" s="1">
        <v>5.6</v>
      </c>
    </row>
    <row r="410" ht="14.25" customHeight="1">
      <c r="A410" s="1" t="s">
        <v>26</v>
      </c>
      <c r="B410" s="1" t="s">
        <v>2354</v>
      </c>
      <c r="C410" s="1" t="s">
        <v>2355</v>
      </c>
      <c r="D410" s="1">
        <v>3.149427E7</v>
      </c>
      <c r="E410" s="1" t="s">
        <v>2356</v>
      </c>
      <c r="F410" s="1" t="s">
        <v>2357</v>
      </c>
      <c r="G410" s="1" t="s">
        <v>2358</v>
      </c>
      <c r="H410" s="1" t="s">
        <v>2359</v>
      </c>
      <c r="I410" s="1">
        <v>273921.0</v>
      </c>
      <c r="J410" s="1" t="s">
        <v>2360</v>
      </c>
      <c r="K410" s="1" t="s">
        <v>2361</v>
      </c>
      <c r="L410" s="1">
        <v>522.0</v>
      </c>
      <c r="M410" s="1" t="s">
        <v>35</v>
      </c>
      <c r="N410" s="1" t="s">
        <v>36</v>
      </c>
      <c r="O410" s="1" t="s">
        <v>37</v>
      </c>
      <c r="P410" s="1">
        <v>6.0E7</v>
      </c>
      <c r="Q410" s="1">
        <v>2010.0</v>
      </c>
      <c r="R410" s="1">
        <v>10000.0</v>
      </c>
      <c r="S410" s="1">
        <v>1000.0</v>
      </c>
      <c r="T410" s="1">
        <v>719.0</v>
      </c>
      <c r="U410" s="1">
        <v>12687.0</v>
      </c>
      <c r="V410" s="1">
        <v>1000.0</v>
      </c>
      <c r="W410" s="1">
        <v>36000.0</v>
      </c>
      <c r="X410" s="1">
        <v>0.0</v>
      </c>
      <c r="Y410" s="1">
        <v>1.85</v>
      </c>
      <c r="Z410" s="1">
        <v>7.5</v>
      </c>
    </row>
    <row r="411" ht="14.25" customHeight="1">
      <c r="A411" s="1" t="s">
        <v>26</v>
      </c>
      <c r="B411" s="1" t="s">
        <v>2362</v>
      </c>
      <c r="C411" s="1" t="s">
        <v>2363</v>
      </c>
      <c r="D411" s="1">
        <v>3.111126E7</v>
      </c>
      <c r="E411" s="1" t="s">
        <v>219</v>
      </c>
      <c r="F411" s="1" t="s">
        <v>272</v>
      </c>
      <c r="G411" s="1" t="s">
        <v>2364</v>
      </c>
      <c r="H411" s="1" t="s">
        <v>2365</v>
      </c>
      <c r="I411" s="1">
        <v>77029.0</v>
      </c>
      <c r="J411" s="1" t="s">
        <v>2366</v>
      </c>
      <c r="K411" s="1" t="s">
        <v>2367</v>
      </c>
      <c r="L411" s="1">
        <v>466.0</v>
      </c>
      <c r="M411" s="1" t="s">
        <v>35</v>
      </c>
      <c r="N411" s="1" t="s">
        <v>36</v>
      </c>
      <c r="O411" s="1" t="s">
        <v>37</v>
      </c>
      <c r="P411" s="1">
        <v>6.0E7</v>
      </c>
      <c r="Q411" s="1">
        <v>2003.0</v>
      </c>
      <c r="R411" s="1">
        <v>894.0</v>
      </c>
      <c r="S411" s="1">
        <v>345.0</v>
      </c>
      <c r="T411" s="1">
        <v>106.0</v>
      </c>
      <c r="U411" s="1">
        <v>1439.0</v>
      </c>
      <c r="V411" s="1">
        <v>36.0</v>
      </c>
      <c r="W411" s="1">
        <v>0.0</v>
      </c>
      <c r="X411" s="1">
        <v>0.0</v>
      </c>
      <c r="Y411" s="1">
        <v>2.35</v>
      </c>
      <c r="Z411" s="1">
        <v>5.4</v>
      </c>
    </row>
    <row r="412" ht="14.25" customHeight="1">
      <c r="A412" s="1" t="s">
        <v>26</v>
      </c>
      <c r="B412" s="1" t="s">
        <v>2368</v>
      </c>
      <c r="C412" s="1" t="s">
        <v>2369</v>
      </c>
      <c r="D412" s="1">
        <v>1.23307945E8</v>
      </c>
      <c r="E412" s="1" t="s">
        <v>2370</v>
      </c>
      <c r="F412" s="1" t="s">
        <v>2371</v>
      </c>
      <c r="G412" s="1" t="s">
        <v>2372</v>
      </c>
      <c r="H412" s="1" t="s">
        <v>2373</v>
      </c>
      <c r="I412" s="1">
        <v>39391.0</v>
      </c>
      <c r="J412" s="1" t="s">
        <v>2374</v>
      </c>
      <c r="K412" s="1" t="s">
        <v>2375</v>
      </c>
      <c r="L412" s="1">
        <v>171.0</v>
      </c>
      <c r="M412" s="1" t="s">
        <v>35</v>
      </c>
      <c r="N412" s="1" t="s">
        <v>36</v>
      </c>
      <c r="O412" s="1" t="s">
        <v>37</v>
      </c>
      <c r="P412" s="1">
        <v>6.5E7</v>
      </c>
      <c r="Q412" s="1">
        <v>2000.0</v>
      </c>
      <c r="R412" s="1">
        <v>611.0</v>
      </c>
      <c r="S412" s="1">
        <v>592.0</v>
      </c>
      <c r="T412" s="1">
        <v>571.0</v>
      </c>
      <c r="U412" s="1">
        <v>2818.0</v>
      </c>
      <c r="V412" s="1">
        <v>88.0</v>
      </c>
      <c r="W412" s="1">
        <v>374.0</v>
      </c>
      <c r="X412" s="1">
        <v>1.0</v>
      </c>
      <c r="Y412" s="1">
        <v>1.85</v>
      </c>
      <c r="Z412" s="1">
        <v>4.3</v>
      </c>
    </row>
    <row r="413" ht="14.25" customHeight="1">
      <c r="A413" s="1" t="s">
        <v>26</v>
      </c>
      <c r="B413" s="1" t="s">
        <v>1497</v>
      </c>
      <c r="C413" s="1" t="s">
        <v>2376</v>
      </c>
      <c r="D413" s="1">
        <v>1.53288182E8</v>
      </c>
      <c r="E413" s="1" t="s">
        <v>2377</v>
      </c>
      <c r="F413" s="1" t="s">
        <v>2378</v>
      </c>
      <c r="G413" s="1" t="s">
        <v>2379</v>
      </c>
      <c r="H413" s="1" t="s">
        <v>2380</v>
      </c>
      <c r="I413" s="1">
        <v>71424.0</v>
      </c>
      <c r="J413" s="1" t="s">
        <v>2381</v>
      </c>
      <c r="K413" s="1" t="s">
        <v>2382</v>
      </c>
      <c r="L413" s="1">
        <v>521.0</v>
      </c>
      <c r="M413" s="1" t="s">
        <v>35</v>
      </c>
      <c r="N413" s="1" t="s">
        <v>36</v>
      </c>
      <c r="O413" s="1" t="s">
        <v>87</v>
      </c>
      <c r="P413" s="1">
        <v>8.4E7</v>
      </c>
      <c r="Q413" s="1">
        <v>2002.0</v>
      </c>
      <c r="R413" s="1">
        <v>4000.0</v>
      </c>
      <c r="S413" s="1">
        <v>2000.0</v>
      </c>
      <c r="T413" s="1">
        <v>271.0</v>
      </c>
      <c r="U413" s="1">
        <v>6355.0</v>
      </c>
      <c r="V413" s="1">
        <v>67.0</v>
      </c>
      <c r="W413" s="1">
        <v>0.0</v>
      </c>
      <c r="X413" s="1">
        <v>3.0</v>
      </c>
      <c r="Y413" s="1">
        <v>1.85</v>
      </c>
      <c r="Z413" s="1">
        <v>4.9</v>
      </c>
    </row>
    <row r="414" ht="14.25" customHeight="1">
      <c r="A414" s="1" t="s">
        <v>26</v>
      </c>
      <c r="B414" s="1" t="s">
        <v>2383</v>
      </c>
      <c r="C414" s="1" t="s">
        <v>2384</v>
      </c>
      <c r="D414" s="1">
        <v>1.3401683E7</v>
      </c>
      <c r="E414" s="1" t="s">
        <v>623</v>
      </c>
      <c r="F414" s="1" t="s">
        <v>2385</v>
      </c>
      <c r="G414" s="1" t="s">
        <v>2386</v>
      </c>
      <c r="H414" s="1" t="s">
        <v>2387</v>
      </c>
      <c r="I414" s="1">
        <v>203458.0</v>
      </c>
      <c r="J414" s="1" t="s">
        <v>2388</v>
      </c>
      <c r="K414" s="1" t="s">
        <v>2389</v>
      </c>
      <c r="L414" s="1">
        <v>588.0</v>
      </c>
      <c r="M414" s="1" t="s">
        <v>35</v>
      </c>
      <c r="N414" s="1" t="s">
        <v>54</v>
      </c>
      <c r="O414" s="1" t="s">
        <v>628</v>
      </c>
      <c r="P414" s="1">
        <v>3.5E7</v>
      </c>
      <c r="Q414" s="1">
        <v>2012.0</v>
      </c>
      <c r="R414" s="1">
        <v>409.0</v>
      </c>
      <c r="S414" s="1">
        <v>107.0</v>
      </c>
      <c r="T414" s="1">
        <v>20.0</v>
      </c>
      <c r="U414" s="1">
        <v>578.0</v>
      </c>
      <c r="V414" s="1">
        <v>38.0</v>
      </c>
      <c r="W414" s="1">
        <v>46000.0</v>
      </c>
      <c r="X414" s="1">
        <v>0.0</v>
      </c>
      <c r="Y414" s="1">
        <v>2.35</v>
      </c>
      <c r="Z414" s="1">
        <v>7.1</v>
      </c>
    </row>
    <row r="415" ht="14.25" customHeight="1">
      <c r="A415" s="1" t="s">
        <v>26</v>
      </c>
      <c r="B415" s="1" t="s">
        <v>1549</v>
      </c>
      <c r="C415" s="1" t="s">
        <v>2390</v>
      </c>
      <c r="D415" s="1">
        <v>1.37340146E8</v>
      </c>
      <c r="E415" s="1" t="s">
        <v>2391</v>
      </c>
      <c r="F415" s="1" t="s">
        <v>2095</v>
      </c>
      <c r="G415" s="1" t="s">
        <v>2392</v>
      </c>
      <c r="H415" s="1" t="s">
        <v>2393</v>
      </c>
      <c r="I415" s="1">
        <v>246492.0</v>
      </c>
      <c r="J415" s="1" t="s">
        <v>2394</v>
      </c>
      <c r="K415" s="1" t="s">
        <v>2395</v>
      </c>
      <c r="L415" s="1">
        <v>685.0</v>
      </c>
      <c r="M415" s="1" t="s">
        <v>35</v>
      </c>
      <c r="N415" s="1" t="s">
        <v>36</v>
      </c>
      <c r="O415" s="1" t="s">
        <v>37</v>
      </c>
      <c r="P415" s="1">
        <v>7.0E7</v>
      </c>
      <c r="Q415" s="1">
        <v>2006.0</v>
      </c>
      <c r="R415" s="1">
        <v>11000.0</v>
      </c>
      <c r="S415" s="1">
        <v>1000.0</v>
      </c>
      <c r="T415" s="1">
        <v>233.0</v>
      </c>
      <c r="U415" s="1">
        <v>12700.0</v>
      </c>
      <c r="V415" s="1">
        <v>153.0</v>
      </c>
      <c r="W415" s="1">
        <v>7000.0</v>
      </c>
      <c r="X415" s="1">
        <v>1.0</v>
      </c>
      <c r="Y415" s="1">
        <v>1.85</v>
      </c>
      <c r="Z415" s="1">
        <v>6.4</v>
      </c>
    </row>
    <row r="416" ht="14.25" customHeight="1">
      <c r="A416" s="1" t="s">
        <v>26</v>
      </c>
      <c r="B416" s="1" t="s">
        <v>1441</v>
      </c>
      <c r="C416" s="1" t="s">
        <v>2396</v>
      </c>
      <c r="D416" s="1">
        <v>4.3575716E7</v>
      </c>
      <c r="E416" s="1" t="s">
        <v>2397</v>
      </c>
      <c r="F416" s="1" t="s">
        <v>597</v>
      </c>
      <c r="G416" s="1" t="s">
        <v>266</v>
      </c>
      <c r="H416" s="1" t="s">
        <v>2398</v>
      </c>
      <c r="I416" s="1">
        <v>10233.0</v>
      </c>
      <c r="J416" s="1" t="s">
        <v>2399</v>
      </c>
      <c r="K416" s="1" t="s">
        <v>2400</v>
      </c>
      <c r="L416" s="1">
        <v>63.0</v>
      </c>
      <c r="M416" s="1" t="s">
        <v>35</v>
      </c>
      <c r="N416" s="1" t="s">
        <v>36</v>
      </c>
      <c r="O416" s="1" t="s">
        <v>87</v>
      </c>
      <c r="P416" s="1">
        <v>8.5E7</v>
      </c>
      <c r="Q416" s="1">
        <v>2010.0</v>
      </c>
      <c r="R416" s="1">
        <v>975.0</v>
      </c>
      <c r="S416" s="1">
        <v>760.0</v>
      </c>
      <c r="T416" s="1">
        <v>615.0</v>
      </c>
      <c r="U416" s="1">
        <v>3326.0</v>
      </c>
      <c r="V416" s="1">
        <v>62.0</v>
      </c>
      <c r="W416" s="1">
        <v>0.0</v>
      </c>
      <c r="X416" s="1">
        <v>0.0</v>
      </c>
      <c r="Y416" s="1">
        <v>1.85</v>
      </c>
      <c r="Z416" s="1">
        <v>4.3</v>
      </c>
    </row>
    <row r="417" ht="14.25" customHeight="1">
      <c r="A417" s="1" t="s">
        <v>26</v>
      </c>
      <c r="B417" s="1" t="s">
        <v>506</v>
      </c>
      <c r="C417" s="1" t="s">
        <v>2401</v>
      </c>
      <c r="D417" s="1">
        <v>8.0170146E7</v>
      </c>
      <c r="E417" s="1" t="s">
        <v>219</v>
      </c>
      <c r="F417" s="1" t="s">
        <v>544</v>
      </c>
      <c r="G417" s="1" t="s">
        <v>1378</v>
      </c>
      <c r="H417" s="1" t="s">
        <v>2402</v>
      </c>
      <c r="I417" s="1">
        <v>243053.0</v>
      </c>
      <c r="J417" s="1" t="s">
        <v>2403</v>
      </c>
      <c r="K417" s="1" t="s">
        <v>2404</v>
      </c>
      <c r="L417" s="1">
        <v>488.0</v>
      </c>
      <c r="M417" s="1" t="s">
        <v>35</v>
      </c>
      <c r="N417" s="1" t="s">
        <v>36</v>
      </c>
      <c r="O417" s="1" t="s">
        <v>37</v>
      </c>
      <c r="P417" s="1">
        <v>8.5E7</v>
      </c>
      <c r="Q417" s="1">
        <v>2008.0</v>
      </c>
      <c r="R417" s="1">
        <v>17000.0</v>
      </c>
      <c r="S417" s="1">
        <v>4000.0</v>
      </c>
      <c r="T417" s="1">
        <v>521.0</v>
      </c>
      <c r="U417" s="1">
        <v>21863.0</v>
      </c>
      <c r="V417" s="1">
        <v>218.0</v>
      </c>
      <c r="W417" s="1">
        <v>0.0</v>
      </c>
      <c r="X417" s="1">
        <v>0.0</v>
      </c>
      <c r="Y417" s="1">
        <v>2.35</v>
      </c>
      <c r="Z417" s="1">
        <v>6.1</v>
      </c>
    </row>
    <row r="418" ht="14.25" customHeight="1">
      <c r="A418" s="1" t="s">
        <v>26</v>
      </c>
      <c r="B418" s="1" t="s">
        <v>370</v>
      </c>
      <c r="C418" s="1" t="s">
        <v>2405</v>
      </c>
      <c r="D418" s="1">
        <v>7.575467E7</v>
      </c>
      <c r="E418" s="1" t="s">
        <v>2406</v>
      </c>
      <c r="F418" s="1" t="s">
        <v>2407</v>
      </c>
      <c r="G418" s="1" t="s">
        <v>2408</v>
      </c>
      <c r="H418" s="1" t="s">
        <v>2409</v>
      </c>
      <c r="I418" s="1">
        <v>208422.0</v>
      </c>
      <c r="J418" s="1" t="s">
        <v>2410</v>
      </c>
      <c r="K418" s="1" t="s">
        <v>2411</v>
      </c>
      <c r="L418" s="1">
        <v>342.0</v>
      </c>
      <c r="M418" s="1" t="s">
        <v>35</v>
      </c>
      <c r="N418" s="1" t="s">
        <v>36</v>
      </c>
      <c r="O418" s="1" t="s">
        <v>37</v>
      </c>
      <c r="P418" s="1">
        <v>8.5E7</v>
      </c>
      <c r="Q418" s="1">
        <v>2008.0</v>
      </c>
      <c r="R418" s="1">
        <v>3000.0</v>
      </c>
      <c r="S418" s="1">
        <v>169.0</v>
      </c>
      <c r="T418" s="1">
        <v>160.0</v>
      </c>
      <c r="U418" s="1">
        <v>3632.0</v>
      </c>
      <c r="V418" s="1">
        <v>0.0</v>
      </c>
      <c r="W418" s="1">
        <v>3000.0</v>
      </c>
      <c r="X418" s="1">
        <v>0.0</v>
      </c>
      <c r="Y418" s="1">
        <v>1.85</v>
      </c>
      <c r="Z418" s="1">
        <v>7.0</v>
      </c>
    </row>
    <row r="419" ht="14.25" customHeight="1">
      <c r="A419" s="1" t="s">
        <v>26</v>
      </c>
      <c r="B419" s="1" t="s">
        <v>648</v>
      </c>
      <c r="C419" s="1" t="s">
        <v>2412</v>
      </c>
      <c r="D419" s="1">
        <v>3.3048353E7</v>
      </c>
      <c r="E419" s="1" t="s">
        <v>2413</v>
      </c>
      <c r="F419" s="1" t="s">
        <v>91</v>
      </c>
      <c r="G419" s="1" t="s">
        <v>365</v>
      </c>
      <c r="H419" s="1" t="s">
        <v>2414</v>
      </c>
      <c r="I419" s="1">
        <v>301279.0</v>
      </c>
      <c r="J419" s="1" t="s">
        <v>2415</v>
      </c>
      <c r="K419" s="1" t="s">
        <v>2416</v>
      </c>
      <c r="L419" s="1">
        <v>589.0</v>
      </c>
      <c r="M419" s="1" t="s">
        <v>35</v>
      </c>
      <c r="N419" s="1" t="s">
        <v>36</v>
      </c>
      <c r="O419" s="1" t="s">
        <v>628</v>
      </c>
      <c r="P419" s="1">
        <v>6.5E7</v>
      </c>
      <c r="Q419" s="1">
        <v>2007.0</v>
      </c>
      <c r="R419" s="1">
        <v>21000.0</v>
      </c>
      <c r="S419" s="1">
        <v>15000.0</v>
      </c>
      <c r="T419" s="1">
        <v>495.0</v>
      </c>
      <c r="U419" s="1">
        <v>36928.0</v>
      </c>
      <c r="V419" s="1">
        <v>21000.0</v>
      </c>
      <c r="W419" s="1">
        <v>12000.0</v>
      </c>
      <c r="X419" s="1">
        <v>0.0</v>
      </c>
      <c r="Y419" s="1">
        <v>2.35</v>
      </c>
      <c r="Z419" s="1">
        <v>7.7</v>
      </c>
    </row>
    <row r="420" ht="14.25" customHeight="1">
      <c r="A420" s="1" t="s">
        <v>26</v>
      </c>
      <c r="B420" s="1" t="s">
        <v>1446</v>
      </c>
      <c r="C420" s="1" t="s">
        <v>2417</v>
      </c>
      <c r="D420" s="1">
        <v>3.4543701E7</v>
      </c>
      <c r="E420" s="1" t="s">
        <v>1567</v>
      </c>
      <c r="F420" s="1" t="s">
        <v>1606</v>
      </c>
      <c r="G420" s="1" t="s">
        <v>2418</v>
      </c>
      <c r="H420" s="1" t="s">
        <v>981</v>
      </c>
      <c r="I420" s="1">
        <v>100001.0</v>
      </c>
      <c r="J420" s="1" t="s">
        <v>2419</v>
      </c>
      <c r="K420" s="1" t="s">
        <v>2420</v>
      </c>
      <c r="L420" s="1">
        <v>289.0</v>
      </c>
      <c r="M420" s="1" t="s">
        <v>35</v>
      </c>
      <c r="N420" s="1" t="s">
        <v>36</v>
      </c>
      <c r="O420" s="1" t="s">
        <v>37</v>
      </c>
      <c r="P420" s="1">
        <v>8.2E7</v>
      </c>
      <c r="Q420" s="1">
        <v>2000.0</v>
      </c>
      <c r="R420" s="1">
        <v>3000.0</v>
      </c>
      <c r="S420" s="1">
        <v>975.0</v>
      </c>
      <c r="T420" s="1">
        <v>956.0</v>
      </c>
      <c r="U420" s="1">
        <v>5839.0</v>
      </c>
      <c r="V420" s="1">
        <v>55.0</v>
      </c>
      <c r="W420" s="1">
        <v>0.0</v>
      </c>
      <c r="X420" s="1">
        <v>1.0</v>
      </c>
      <c r="Y420" s="1">
        <v>2.35</v>
      </c>
      <c r="Z420" s="1">
        <v>5.9</v>
      </c>
    </row>
    <row r="421" ht="14.25" customHeight="1">
      <c r="A421" s="1" t="s">
        <v>26</v>
      </c>
      <c r="B421" s="1" t="s">
        <v>499</v>
      </c>
      <c r="C421" s="1" t="s">
        <v>2421</v>
      </c>
      <c r="D421" s="1">
        <v>2.4258958E8</v>
      </c>
      <c r="E421" s="1" t="s">
        <v>2422</v>
      </c>
      <c r="F421" s="1" t="s">
        <v>451</v>
      </c>
      <c r="G421" s="1" t="s">
        <v>503</v>
      </c>
      <c r="H421" s="1" t="s">
        <v>1139</v>
      </c>
      <c r="I421" s="1">
        <v>296904.0</v>
      </c>
      <c r="J421" s="1" t="s">
        <v>2423</v>
      </c>
      <c r="K421" s="1" t="s">
        <v>2424</v>
      </c>
      <c r="L421" s="1">
        <v>604.0</v>
      </c>
      <c r="M421" s="1" t="s">
        <v>35</v>
      </c>
      <c r="N421" s="1" t="s">
        <v>36</v>
      </c>
      <c r="O421" s="1" t="s">
        <v>37</v>
      </c>
      <c r="P421" s="1">
        <v>8.1E7</v>
      </c>
      <c r="Q421" s="1">
        <v>2003.0</v>
      </c>
      <c r="R421" s="1">
        <v>11000.0</v>
      </c>
      <c r="S421" s="1">
        <v>7000.0</v>
      </c>
      <c r="T421" s="1">
        <v>1000.0</v>
      </c>
      <c r="U421" s="1">
        <v>21276.0</v>
      </c>
      <c r="V421" s="1">
        <v>293.0</v>
      </c>
      <c r="W421" s="1">
        <v>0.0</v>
      </c>
      <c r="X421" s="1">
        <v>1.0</v>
      </c>
      <c r="Y421" s="1">
        <v>1.85</v>
      </c>
      <c r="Z421" s="1">
        <v>6.7</v>
      </c>
    </row>
    <row r="422" ht="14.25" customHeight="1">
      <c r="A422" s="1" t="s">
        <v>26</v>
      </c>
      <c r="B422" s="1" t="s">
        <v>1702</v>
      </c>
      <c r="C422" s="1" t="s">
        <v>2425</v>
      </c>
      <c r="D422" s="1">
        <v>1.02981571E8</v>
      </c>
      <c r="E422" s="1" t="s">
        <v>48</v>
      </c>
      <c r="F422" s="1" t="s">
        <v>327</v>
      </c>
      <c r="G422" s="1" t="s">
        <v>1702</v>
      </c>
      <c r="H422" s="1" t="s">
        <v>487</v>
      </c>
      <c r="I422" s="1">
        <v>270226.0</v>
      </c>
      <c r="J422" s="1" t="s">
        <v>2426</v>
      </c>
      <c r="K422" s="1" t="s">
        <v>2427</v>
      </c>
      <c r="L422" s="1">
        <v>741.0</v>
      </c>
      <c r="M422" s="1" t="s">
        <v>35</v>
      </c>
      <c r="N422" s="1" t="s">
        <v>36</v>
      </c>
      <c r="O422" s="1" t="s">
        <v>628</v>
      </c>
      <c r="P422" s="1">
        <v>8.0E7</v>
      </c>
      <c r="Q422" s="1">
        <v>2010.0</v>
      </c>
      <c r="R422" s="1">
        <v>26000.0</v>
      </c>
      <c r="S422" s="1">
        <v>13000.0</v>
      </c>
      <c r="T422" s="1">
        <v>5000.0</v>
      </c>
      <c r="U422" s="1">
        <v>46355.0</v>
      </c>
      <c r="V422" s="1">
        <v>13000.0</v>
      </c>
      <c r="W422" s="1">
        <v>57000.0</v>
      </c>
      <c r="X422" s="1">
        <v>9.0</v>
      </c>
      <c r="Y422" s="1">
        <v>2.35</v>
      </c>
      <c r="Z422" s="1">
        <v>6.5</v>
      </c>
    </row>
    <row r="423" ht="14.25" customHeight="1">
      <c r="A423" s="1" t="s">
        <v>26</v>
      </c>
      <c r="B423" s="1" t="s">
        <v>2161</v>
      </c>
      <c r="C423" s="1" t="s">
        <v>2428</v>
      </c>
      <c r="D423" s="1">
        <v>1.80965237E8</v>
      </c>
      <c r="E423" s="1" t="s">
        <v>48</v>
      </c>
      <c r="F423" s="1" t="s">
        <v>508</v>
      </c>
      <c r="G423" s="1" t="s">
        <v>195</v>
      </c>
      <c r="H423" s="1" t="s">
        <v>2429</v>
      </c>
      <c r="I423" s="1">
        <v>300542.0</v>
      </c>
      <c r="J423" s="1" t="s">
        <v>2430</v>
      </c>
      <c r="K423" s="1" t="s">
        <v>2431</v>
      </c>
      <c r="L423" s="1">
        <v>378.0</v>
      </c>
      <c r="M423" s="1" t="s">
        <v>35</v>
      </c>
      <c r="N423" s="1" t="s">
        <v>36</v>
      </c>
      <c r="O423" s="1" t="s">
        <v>37</v>
      </c>
      <c r="P423" s="1">
        <v>8.0E7</v>
      </c>
      <c r="Q423" s="1">
        <v>1996.0</v>
      </c>
      <c r="R423" s="1">
        <v>10000.0</v>
      </c>
      <c r="S423" s="1">
        <v>1000.0</v>
      </c>
      <c r="T423" s="1">
        <v>898.0</v>
      </c>
      <c r="U423" s="1">
        <v>12760.0</v>
      </c>
      <c r="V423" s="1">
        <v>0.0</v>
      </c>
      <c r="W423" s="1">
        <v>0.0</v>
      </c>
      <c r="X423" s="1">
        <v>0.0</v>
      </c>
      <c r="Y423" s="1">
        <v>2.35</v>
      </c>
      <c r="Z423" s="1">
        <v>7.1</v>
      </c>
    </row>
    <row r="424" ht="14.25" customHeight="1">
      <c r="A424" s="1" t="s">
        <v>26</v>
      </c>
      <c r="B424" s="1" t="s">
        <v>2211</v>
      </c>
      <c r="C424" s="1" t="s">
        <v>2432</v>
      </c>
      <c r="D424" s="1">
        <v>4.07999255E8</v>
      </c>
      <c r="E424" s="1" t="s">
        <v>1418</v>
      </c>
      <c r="F424" s="1" t="s">
        <v>340</v>
      </c>
      <c r="G424" s="1" t="s">
        <v>663</v>
      </c>
      <c r="H424" s="1" t="s">
        <v>2433</v>
      </c>
      <c r="I424" s="1">
        <v>701607.0</v>
      </c>
      <c r="J424" s="1" t="s">
        <v>2434</v>
      </c>
      <c r="K424" s="1" t="s">
        <v>2435</v>
      </c>
      <c r="L424" s="1">
        <v>1959.0</v>
      </c>
      <c r="M424" s="1" t="s">
        <v>35</v>
      </c>
      <c r="N424" s="1" t="s">
        <v>36</v>
      </c>
      <c r="O424" s="1" t="s">
        <v>37</v>
      </c>
      <c r="P424" s="1">
        <v>7.8E7</v>
      </c>
      <c r="Q424" s="1">
        <v>2012.0</v>
      </c>
      <c r="R424" s="1">
        <v>34000.0</v>
      </c>
      <c r="S424" s="1">
        <v>14000.0</v>
      </c>
      <c r="T424" s="1">
        <v>575.0</v>
      </c>
      <c r="U424" s="1">
        <v>49942.0</v>
      </c>
      <c r="V424" s="1">
        <v>378.0</v>
      </c>
      <c r="W424" s="1">
        <v>140000.0</v>
      </c>
      <c r="X424" s="1">
        <v>0.0</v>
      </c>
      <c r="Y424" s="1">
        <v>2.35</v>
      </c>
      <c r="Z424" s="1">
        <v>7.3</v>
      </c>
    </row>
    <row r="425" ht="14.25" customHeight="1">
      <c r="A425" s="1" t="s">
        <v>26</v>
      </c>
      <c r="B425" s="1" t="s">
        <v>2436</v>
      </c>
      <c r="C425" s="1" t="s">
        <v>2437</v>
      </c>
      <c r="D425" s="1">
        <v>2.54455986E8</v>
      </c>
      <c r="E425" s="1" t="s">
        <v>1885</v>
      </c>
      <c r="F425" s="1" t="s">
        <v>631</v>
      </c>
      <c r="G425" s="1" t="s">
        <v>2438</v>
      </c>
      <c r="H425" s="1" t="s">
        <v>2439</v>
      </c>
      <c r="I425" s="1">
        <v>375879.0</v>
      </c>
      <c r="J425" s="1" t="s">
        <v>2440</v>
      </c>
      <c r="K425" s="1" t="s">
        <v>2441</v>
      </c>
      <c r="L425" s="1">
        <v>402.0</v>
      </c>
      <c r="M425" s="1" t="s">
        <v>35</v>
      </c>
      <c r="N425" s="1" t="s">
        <v>36</v>
      </c>
      <c r="O425" s="1" t="s">
        <v>628</v>
      </c>
      <c r="P425" s="1">
        <v>8.0E7</v>
      </c>
      <c r="Q425" s="1">
        <v>2011.0</v>
      </c>
      <c r="R425" s="1">
        <v>14000.0</v>
      </c>
      <c r="S425" s="1">
        <v>670.0</v>
      </c>
      <c r="T425" s="1">
        <v>461.0</v>
      </c>
      <c r="U425" s="1">
        <v>16143.0</v>
      </c>
      <c r="V425" s="1">
        <v>480.0</v>
      </c>
      <c r="W425" s="1">
        <v>56000.0</v>
      </c>
      <c r="X425" s="1">
        <v>0.0</v>
      </c>
      <c r="Y425" s="1">
        <v>2.35</v>
      </c>
      <c r="Z425" s="1">
        <v>6.5</v>
      </c>
    </row>
    <row r="426" ht="14.25" customHeight="1">
      <c r="A426" s="1" t="s">
        <v>26</v>
      </c>
      <c r="B426" s="1" t="s">
        <v>247</v>
      </c>
      <c r="C426" s="1" t="s">
        <v>2442</v>
      </c>
      <c r="D426" s="1">
        <v>1.62831698E8</v>
      </c>
      <c r="E426" s="1" t="s">
        <v>1270</v>
      </c>
      <c r="F426" s="1" t="s">
        <v>1271</v>
      </c>
      <c r="G426" s="1" t="s">
        <v>1448</v>
      </c>
      <c r="H426" s="1" t="s">
        <v>2443</v>
      </c>
      <c r="I426" s="1">
        <v>215255.0</v>
      </c>
      <c r="J426" s="1" t="s">
        <v>2444</v>
      </c>
      <c r="K426" s="1" t="s">
        <v>2445</v>
      </c>
      <c r="L426" s="1">
        <v>610.0</v>
      </c>
      <c r="M426" s="1" t="s">
        <v>35</v>
      </c>
      <c r="N426" s="1" t="s">
        <v>36</v>
      </c>
      <c r="O426" s="1" t="s">
        <v>37</v>
      </c>
      <c r="P426" s="1">
        <v>8.0E7</v>
      </c>
      <c r="Q426" s="1">
        <v>1992.0</v>
      </c>
      <c r="R426" s="1">
        <v>920.0</v>
      </c>
      <c r="S426" s="1">
        <v>811.0</v>
      </c>
      <c r="T426" s="1">
        <v>390.0</v>
      </c>
      <c r="U426" s="1">
        <v>2899.0</v>
      </c>
      <c r="V426" s="1">
        <v>13000.0</v>
      </c>
      <c r="W426" s="1">
        <v>0.0</v>
      </c>
      <c r="X426" s="1">
        <v>0.0</v>
      </c>
      <c r="Y426" s="1">
        <v>1.85</v>
      </c>
      <c r="Z426" s="1">
        <v>7.0</v>
      </c>
    </row>
    <row r="427" ht="14.25" customHeight="1">
      <c r="A427" s="1" t="s">
        <v>26</v>
      </c>
      <c r="B427" s="1" t="s">
        <v>1130</v>
      </c>
      <c r="C427" s="1" t="s">
        <v>2446</v>
      </c>
      <c r="D427" s="1">
        <v>1.5501934E8</v>
      </c>
      <c r="E427" s="1" t="s">
        <v>456</v>
      </c>
      <c r="F427" s="1" t="s">
        <v>941</v>
      </c>
      <c r="G427" s="1" t="s">
        <v>503</v>
      </c>
      <c r="H427" s="1" t="s">
        <v>1719</v>
      </c>
      <c r="I427" s="1">
        <v>127345.0</v>
      </c>
      <c r="J427" s="1" t="s">
        <v>2447</v>
      </c>
      <c r="K427" s="1" t="s">
        <v>2448</v>
      </c>
      <c r="L427" s="1">
        <v>250.0</v>
      </c>
      <c r="M427" s="1" t="s">
        <v>35</v>
      </c>
      <c r="N427" s="1" t="s">
        <v>36</v>
      </c>
      <c r="O427" s="1" t="s">
        <v>87</v>
      </c>
      <c r="P427" s="1">
        <v>8.0E7</v>
      </c>
      <c r="Q427" s="1">
        <v>2006.0</v>
      </c>
      <c r="R427" s="1">
        <v>13000.0</v>
      </c>
      <c r="S427" s="1">
        <v>7000.0</v>
      </c>
      <c r="T427" s="1">
        <v>925.0</v>
      </c>
      <c r="U427" s="1">
        <v>22813.0</v>
      </c>
      <c r="V427" s="1">
        <v>12.0</v>
      </c>
      <c r="W427" s="1">
        <v>0.0</v>
      </c>
      <c r="X427" s="1">
        <v>1.0</v>
      </c>
      <c r="Y427" s="1">
        <v>1.85</v>
      </c>
      <c r="Z427" s="1">
        <v>6.8</v>
      </c>
    </row>
    <row r="428" ht="14.25" customHeight="1">
      <c r="A428" s="1" t="s">
        <v>26</v>
      </c>
      <c r="B428" s="1" t="s">
        <v>614</v>
      </c>
      <c r="C428" s="1" t="s">
        <v>2449</v>
      </c>
      <c r="D428" s="1">
        <v>1.45771527E8</v>
      </c>
      <c r="E428" s="1" t="s">
        <v>2450</v>
      </c>
      <c r="F428" s="1" t="s">
        <v>1652</v>
      </c>
      <c r="G428" s="1" t="s">
        <v>2451</v>
      </c>
      <c r="H428" s="1" t="s">
        <v>2452</v>
      </c>
      <c r="I428" s="1">
        <v>117212.0</v>
      </c>
      <c r="J428" s="1" t="s">
        <v>2453</v>
      </c>
      <c r="K428" s="1" t="s">
        <v>2454</v>
      </c>
      <c r="L428" s="1">
        <v>367.0</v>
      </c>
      <c r="M428" s="1" t="s">
        <v>35</v>
      </c>
      <c r="N428" s="1" t="s">
        <v>36</v>
      </c>
      <c r="O428" s="1" t="s">
        <v>87</v>
      </c>
      <c r="P428" s="1">
        <v>8.0E7</v>
      </c>
      <c r="Q428" s="1">
        <v>2002.0</v>
      </c>
      <c r="R428" s="1">
        <v>1000.0</v>
      </c>
      <c r="S428" s="1">
        <v>533.0</v>
      </c>
      <c r="T428" s="1">
        <v>443.0</v>
      </c>
      <c r="U428" s="1">
        <v>3112.0</v>
      </c>
      <c r="V428" s="1">
        <v>255.0</v>
      </c>
      <c r="W428" s="1">
        <v>0.0</v>
      </c>
      <c r="X428" s="1">
        <v>0.0</v>
      </c>
      <c r="Y428" s="1">
        <v>1.66</v>
      </c>
      <c r="Z428" s="1">
        <v>7.2</v>
      </c>
    </row>
    <row r="429" ht="14.25" customHeight="1">
      <c r="A429" s="1" t="s">
        <v>26</v>
      </c>
      <c r="B429" s="1" t="s">
        <v>2455</v>
      </c>
      <c r="C429" s="1" t="s">
        <v>2456</v>
      </c>
      <c r="D429" s="1">
        <v>1.40459099E8</v>
      </c>
      <c r="E429" s="1" t="s">
        <v>2457</v>
      </c>
      <c r="F429" s="1" t="s">
        <v>451</v>
      </c>
      <c r="G429" s="1" t="s">
        <v>243</v>
      </c>
      <c r="H429" s="1" t="s">
        <v>1606</v>
      </c>
      <c r="I429" s="1">
        <v>135601.0</v>
      </c>
      <c r="J429" s="1" t="s">
        <v>2458</v>
      </c>
      <c r="K429" s="1" t="s">
        <v>2459</v>
      </c>
      <c r="L429" s="1">
        <v>493.0</v>
      </c>
      <c r="M429" s="1" t="s">
        <v>35</v>
      </c>
      <c r="N429" s="1" t="s">
        <v>36</v>
      </c>
      <c r="O429" s="1" t="s">
        <v>37</v>
      </c>
      <c r="P429" s="1">
        <v>7.5E7</v>
      </c>
      <c r="Q429" s="1">
        <v>1998.0</v>
      </c>
      <c r="R429" s="1">
        <v>11000.0</v>
      </c>
      <c r="S429" s="1">
        <v>4000.0</v>
      </c>
      <c r="T429" s="1">
        <v>3000.0</v>
      </c>
      <c r="U429" s="1">
        <v>22750.0</v>
      </c>
      <c r="V429" s="1">
        <v>75.0</v>
      </c>
      <c r="W429" s="1">
        <v>0.0</v>
      </c>
      <c r="X429" s="1">
        <v>0.0</v>
      </c>
      <c r="Y429" s="1">
        <v>2.35</v>
      </c>
      <c r="Z429" s="1">
        <v>6.1</v>
      </c>
    </row>
    <row r="430" ht="14.25" customHeight="1">
      <c r="A430" s="1" t="s">
        <v>26</v>
      </c>
      <c r="B430" s="1" t="s">
        <v>970</v>
      </c>
      <c r="C430" s="1" t="s">
        <v>2460</v>
      </c>
      <c r="D430" s="1">
        <v>5.3215979E7</v>
      </c>
      <c r="E430" s="1" t="s">
        <v>408</v>
      </c>
      <c r="F430" s="1" t="s">
        <v>941</v>
      </c>
      <c r="G430" s="1" t="s">
        <v>726</v>
      </c>
      <c r="H430" s="1" t="s">
        <v>2461</v>
      </c>
      <c r="I430" s="1">
        <v>125036.0</v>
      </c>
      <c r="J430" s="1" t="s">
        <v>2462</v>
      </c>
      <c r="K430" s="1" t="s">
        <v>2463</v>
      </c>
      <c r="L430" s="1">
        <v>205.0</v>
      </c>
      <c r="M430" s="1" t="s">
        <v>35</v>
      </c>
      <c r="N430" s="1" t="s">
        <v>36</v>
      </c>
      <c r="O430" s="1" t="s">
        <v>37</v>
      </c>
      <c r="P430" s="1">
        <v>8.4E7</v>
      </c>
      <c r="Q430" s="1">
        <v>2013.0</v>
      </c>
      <c r="R430" s="1">
        <v>13000.0</v>
      </c>
      <c r="S430" s="1">
        <v>12000.0</v>
      </c>
      <c r="T430" s="1">
        <v>110.0</v>
      </c>
      <c r="U430" s="1">
        <v>25220.0</v>
      </c>
      <c r="V430" s="1">
        <v>23.0</v>
      </c>
      <c r="W430" s="1">
        <v>22000.0</v>
      </c>
      <c r="X430" s="1">
        <v>7.0</v>
      </c>
      <c r="Y430" s="1">
        <v>2.35</v>
      </c>
      <c r="Z430" s="1">
        <v>6.7</v>
      </c>
    </row>
    <row r="431" ht="14.25" customHeight="1">
      <c r="A431" s="1" t="s">
        <v>26</v>
      </c>
      <c r="B431" s="1" t="s">
        <v>2368</v>
      </c>
      <c r="C431" s="1" t="s">
        <v>2464</v>
      </c>
      <c r="D431" s="1">
        <v>1.58115031E8</v>
      </c>
      <c r="E431" s="1" t="s">
        <v>2465</v>
      </c>
      <c r="F431" s="1" t="s">
        <v>2095</v>
      </c>
      <c r="G431" s="1" t="s">
        <v>2466</v>
      </c>
      <c r="H431" s="1" t="s">
        <v>2467</v>
      </c>
      <c r="I431" s="1">
        <v>130070.0</v>
      </c>
      <c r="J431" s="1" t="s">
        <v>2468</v>
      </c>
      <c r="K431" s="1" t="s">
        <v>2469</v>
      </c>
      <c r="L431" s="1">
        <v>316.0</v>
      </c>
      <c r="M431" s="1" t="s">
        <v>35</v>
      </c>
      <c r="N431" s="1" t="s">
        <v>36</v>
      </c>
      <c r="O431" s="1" t="s">
        <v>37</v>
      </c>
      <c r="P431" s="1">
        <v>8.2E7</v>
      </c>
      <c r="Q431" s="1">
        <v>2005.0</v>
      </c>
      <c r="R431" s="1">
        <v>11000.0</v>
      </c>
      <c r="S431" s="1">
        <v>437.0</v>
      </c>
      <c r="T431" s="1">
        <v>421.0</v>
      </c>
      <c r="U431" s="1">
        <v>13693.0</v>
      </c>
      <c r="V431" s="1">
        <v>88.0</v>
      </c>
      <c r="W431" s="1">
        <v>0.0</v>
      </c>
      <c r="X431" s="1">
        <v>11.0</v>
      </c>
      <c r="Y431" s="1">
        <v>2.35</v>
      </c>
      <c r="Z431" s="1">
        <v>6.4</v>
      </c>
    </row>
    <row r="432" ht="14.25" customHeight="1">
      <c r="A432" s="1" t="s">
        <v>26</v>
      </c>
      <c r="B432" s="1" t="s">
        <v>572</v>
      </c>
      <c r="C432" s="1" t="s">
        <v>2470</v>
      </c>
      <c r="D432" s="1">
        <v>1.33103929E8</v>
      </c>
      <c r="E432" s="1" t="s">
        <v>2083</v>
      </c>
      <c r="F432" s="1" t="s">
        <v>464</v>
      </c>
      <c r="G432" s="1" t="s">
        <v>2086</v>
      </c>
      <c r="H432" s="1" t="s">
        <v>2471</v>
      </c>
      <c r="I432" s="1">
        <v>22838.0</v>
      </c>
      <c r="J432" s="1" t="s">
        <v>2472</v>
      </c>
      <c r="K432" s="1" t="s">
        <v>2473</v>
      </c>
      <c r="L432" s="1">
        <v>56.0</v>
      </c>
      <c r="M432" s="1" t="s">
        <v>35</v>
      </c>
      <c r="N432" s="1" t="s">
        <v>36</v>
      </c>
      <c r="O432" s="1" t="s">
        <v>269</v>
      </c>
      <c r="P432" s="1">
        <v>7.5E7</v>
      </c>
      <c r="Q432" s="1">
        <v>2011.0</v>
      </c>
      <c r="R432" s="1">
        <v>1000.0</v>
      </c>
      <c r="S432" s="1">
        <v>1000.0</v>
      </c>
      <c r="T432" s="1">
        <v>733.0</v>
      </c>
      <c r="U432" s="1">
        <v>4073.0</v>
      </c>
      <c r="V432" s="1">
        <v>31.0</v>
      </c>
      <c r="W432" s="1">
        <v>0.0</v>
      </c>
      <c r="X432" s="1">
        <v>0.0</v>
      </c>
      <c r="Y432" s="1">
        <v>1.85</v>
      </c>
      <c r="Z432" s="1">
        <v>4.4</v>
      </c>
    </row>
    <row r="433" ht="14.25" customHeight="1">
      <c r="A433" s="1" t="s">
        <v>26</v>
      </c>
      <c r="B433" s="1" t="s">
        <v>2093</v>
      </c>
      <c r="C433" s="1" t="s">
        <v>2474</v>
      </c>
      <c r="D433" s="1">
        <v>1.33668525E8</v>
      </c>
      <c r="E433" s="1" t="s">
        <v>1885</v>
      </c>
      <c r="F433" s="1" t="s">
        <v>264</v>
      </c>
      <c r="G433" s="1" t="s">
        <v>2095</v>
      </c>
      <c r="H433" s="1" t="s">
        <v>1875</v>
      </c>
      <c r="I433" s="1">
        <v>107817.0</v>
      </c>
      <c r="J433" s="1" t="s">
        <v>2475</v>
      </c>
      <c r="K433" s="1" t="s">
        <v>2476</v>
      </c>
      <c r="L433" s="1">
        <v>255.0</v>
      </c>
      <c r="M433" s="1" t="s">
        <v>35</v>
      </c>
      <c r="N433" s="1" t="s">
        <v>36</v>
      </c>
      <c r="O433" s="1" t="s">
        <v>37</v>
      </c>
      <c r="P433" s="1">
        <v>8.0E7</v>
      </c>
      <c r="Q433" s="1">
        <v>2013.0</v>
      </c>
      <c r="R433" s="1">
        <v>12000.0</v>
      </c>
      <c r="S433" s="1">
        <v>11000.0</v>
      </c>
      <c r="T433" s="1">
        <v>11000.0</v>
      </c>
      <c r="U433" s="1">
        <v>39269.0</v>
      </c>
      <c r="V433" s="1">
        <v>221.0</v>
      </c>
      <c r="W433" s="1">
        <v>14000.0</v>
      </c>
      <c r="X433" s="1">
        <v>4.0</v>
      </c>
      <c r="Y433" s="1">
        <v>1.85</v>
      </c>
      <c r="Z433" s="1">
        <v>5.4</v>
      </c>
    </row>
    <row r="434" ht="14.25" customHeight="1">
      <c r="A434" s="1" t="s">
        <v>26</v>
      </c>
      <c r="B434" s="1" t="s">
        <v>2368</v>
      </c>
      <c r="C434" s="1" t="s">
        <v>2477</v>
      </c>
      <c r="D434" s="1">
        <v>1.30313314E8</v>
      </c>
      <c r="E434" s="1" t="s">
        <v>1551</v>
      </c>
      <c r="F434" s="1" t="s">
        <v>534</v>
      </c>
      <c r="G434" s="1" t="s">
        <v>1036</v>
      </c>
      <c r="H434" s="1" t="s">
        <v>249</v>
      </c>
      <c r="I434" s="1">
        <v>168172.0</v>
      </c>
      <c r="J434" s="1" t="s">
        <v>2478</v>
      </c>
      <c r="K434" s="1" t="s">
        <v>2479</v>
      </c>
      <c r="L434" s="1">
        <v>380.0</v>
      </c>
      <c r="M434" s="1" t="s">
        <v>35</v>
      </c>
      <c r="N434" s="1" t="s">
        <v>36</v>
      </c>
      <c r="O434" s="1" t="s">
        <v>37</v>
      </c>
      <c r="P434" s="1">
        <v>8.0E7</v>
      </c>
      <c r="Q434" s="1">
        <v>2008.0</v>
      </c>
      <c r="R434" s="1">
        <v>13000.0</v>
      </c>
      <c r="S434" s="1">
        <v>12000.0</v>
      </c>
      <c r="T434" s="1">
        <v>11000.0</v>
      </c>
      <c r="U434" s="1">
        <v>44798.0</v>
      </c>
      <c r="V434" s="1">
        <v>88.0</v>
      </c>
      <c r="W434" s="1">
        <v>0.0</v>
      </c>
      <c r="X434" s="1">
        <v>1.0</v>
      </c>
      <c r="Y434" s="1">
        <v>1.85</v>
      </c>
      <c r="Z434" s="1">
        <v>6.5</v>
      </c>
    </row>
    <row r="435" ht="14.25" customHeight="1">
      <c r="A435" s="1" t="s">
        <v>26</v>
      </c>
      <c r="B435" s="1" t="s">
        <v>2275</v>
      </c>
      <c r="C435" s="1" t="s">
        <v>2480</v>
      </c>
      <c r="D435" s="1">
        <v>1.2459096E8</v>
      </c>
      <c r="E435" s="1" t="s">
        <v>1359</v>
      </c>
      <c r="F435" s="1" t="s">
        <v>563</v>
      </c>
      <c r="G435" s="1" t="s">
        <v>243</v>
      </c>
      <c r="H435" s="1" t="s">
        <v>2481</v>
      </c>
      <c r="I435" s="1">
        <v>91092.0</v>
      </c>
      <c r="J435" s="1" t="s">
        <v>2482</v>
      </c>
      <c r="K435" s="1" t="s">
        <v>2483</v>
      </c>
      <c r="L435" s="1">
        <v>402.0</v>
      </c>
      <c r="M435" s="1" t="s">
        <v>35</v>
      </c>
      <c r="N435" s="1" t="s">
        <v>36</v>
      </c>
      <c r="O435" s="1" t="s">
        <v>37</v>
      </c>
      <c r="P435" s="1">
        <v>8.0E7</v>
      </c>
      <c r="Q435" s="1">
        <v>2003.0</v>
      </c>
      <c r="R435" s="1">
        <v>18000.0</v>
      </c>
      <c r="S435" s="1">
        <v>4000.0</v>
      </c>
      <c r="T435" s="1">
        <v>343.0</v>
      </c>
      <c r="U435" s="1">
        <v>22679.0</v>
      </c>
      <c r="V435" s="1">
        <v>278.0</v>
      </c>
      <c r="W435" s="1">
        <v>0.0</v>
      </c>
      <c r="X435" s="1">
        <v>1.0</v>
      </c>
      <c r="Y435" s="1">
        <v>1.85</v>
      </c>
      <c r="Z435" s="1">
        <v>6.7</v>
      </c>
    </row>
    <row r="436" ht="14.25" customHeight="1">
      <c r="A436" s="1" t="s">
        <v>26</v>
      </c>
      <c r="B436" s="1" t="s">
        <v>472</v>
      </c>
      <c r="C436" s="1" t="s">
        <v>2484</v>
      </c>
      <c r="D436" s="1">
        <v>1.27968405E8</v>
      </c>
      <c r="E436" s="1" t="s">
        <v>815</v>
      </c>
      <c r="F436" s="1" t="s">
        <v>207</v>
      </c>
      <c r="G436" s="1" t="s">
        <v>2485</v>
      </c>
      <c r="H436" s="1" t="s">
        <v>2486</v>
      </c>
      <c r="I436" s="1">
        <v>786092.0</v>
      </c>
      <c r="J436" s="1" t="s">
        <v>2487</v>
      </c>
      <c r="K436" s="1" t="s">
        <v>2488</v>
      </c>
      <c r="L436" s="1">
        <v>964.0</v>
      </c>
      <c r="M436" s="1" t="s">
        <v>35</v>
      </c>
      <c r="N436" s="1" t="s">
        <v>36</v>
      </c>
      <c r="O436" s="1" t="s">
        <v>628</v>
      </c>
      <c r="P436" s="1">
        <v>8.0E7</v>
      </c>
      <c r="Q436" s="1">
        <v>2010.0</v>
      </c>
      <c r="R436" s="1">
        <v>29000.0</v>
      </c>
      <c r="S436" s="1">
        <v>223.0</v>
      </c>
      <c r="T436" s="1">
        <v>163.0</v>
      </c>
      <c r="U436" s="1">
        <v>29585.0</v>
      </c>
      <c r="V436" s="1">
        <v>17000.0</v>
      </c>
      <c r="W436" s="1">
        <v>53000.0</v>
      </c>
      <c r="X436" s="1">
        <v>0.0</v>
      </c>
      <c r="Y436" s="1">
        <v>2.35</v>
      </c>
      <c r="Z436" s="1">
        <v>8.1</v>
      </c>
    </row>
    <row r="437" ht="14.25" customHeight="1">
      <c r="A437" s="1" t="s">
        <v>26</v>
      </c>
      <c r="B437" s="1" t="s">
        <v>2489</v>
      </c>
      <c r="C437" s="1" t="s">
        <v>2490</v>
      </c>
      <c r="D437" s="1">
        <v>1.20136047E8</v>
      </c>
      <c r="E437" s="1" t="s">
        <v>1359</v>
      </c>
      <c r="F437" s="1" t="s">
        <v>243</v>
      </c>
      <c r="G437" s="1" t="s">
        <v>1606</v>
      </c>
      <c r="H437" s="1" t="s">
        <v>2491</v>
      </c>
      <c r="I437" s="1">
        <v>48500.0</v>
      </c>
      <c r="J437" s="1" t="s">
        <v>2492</v>
      </c>
      <c r="K437" s="1" t="s">
        <v>2493</v>
      </c>
      <c r="L437" s="1">
        <v>124.0</v>
      </c>
      <c r="M437" s="1" t="s">
        <v>35</v>
      </c>
      <c r="N437" s="1" t="s">
        <v>730</v>
      </c>
      <c r="O437" s="1" t="s">
        <v>37</v>
      </c>
      <c r="P437" s="1">
        <v>8.0E7</v>
      </c>
      <c r="Q437" s="1">
        <v>2008.0</v>
      </c>
      <c r="R437" s="1">
        <v>4000.0</v>
      </c>
      <c r="S437" s="1">
        <v>3000.0</v>
      </c>
      <c r="T437" s="1">
        <v>982.0</v>
      </c>
      <c r="U437" s="1">
        <v>9913.0</v>
      </c>
      <c r="V437" s="1">
        <v>91.0</v>
      </c>
      <c r="W437" s="1">
        <v>0.0</v>
      </c>
      <c r="X437" s="1">
        <v>2.0</v>
      </c>
      <c r="Y437" s="1">
        <v>1.85</v>
      </c>
      <c r="Z437" s="1">
        <v>5.6</v>
      </c>
    </row>
    <row r="438" ht="14.25" customHeight="1">
      <c r="A438" s="1" t="s">
        <v>26</v>
      </c>
      <c r="B438" s="1" t="s">
        <v>1724</v>
      </c>
      <c r="C438" s="1" t="s">
        <v>2494</v>
      </c>
      <c r="D438" s="1">
        <v>1.28200012E8</v>
      </c>
      <c r="E438" s="1" t="s">
        <v>596</v>
      </c>
      <c r="F438" s="1" t="s">
        <v>385</v>
      </c>
      <c r="G438" s="1" t="s">
        <v>2495</v>
      </c>
      <c r="H438" s="1" t="s">
        <v>2496</v>
      </c>
      <c r="I438" s="1">
        <v>103022.0</v>
      </c>
      <c r="J438" s="1" t="s">
        <v>2497</v>
      </c>
      <c r="K438" s="1" t="s">
        <v>2498</v>
      </c>
      <c r="L438" s="1">
        <v>269.0</v>
      </c>
      <c r="M438" s="1" t="s">
        <v>35</v>
      </c>
      <c r="N438" s="1" t="s">
        <v>36</v>
      </c>
      <c r="O438" s="1" t="s">
        <v>87</v>
      </c>
      <c r="P438" s="1">
        <v>7.5E7</v>
      </c>
      <c r="Q438" s="1">
        <v>2005.0</v>
      </c>
      <c r="R438" s="1">
        <v>1000.0</v>
      </c>
      <c r="S438" s="1">
        <v>311.0</v>
      </c>
      <c r="T438" s="1">
        <v>208.0</v>
      </c>
      <c r="U438" s="1">
        <v>1804.0</v>
      </c>
      <c r="V438" s="1">
        <v>77.0</v>
      </c>
      <c r="W438" s="1">
        <v>0.0</v>
      </c>
      <c r="X438" s="1">
        <v>1.0</v>
      </c>
      <c r="Y438" s="1">
        <v>1.85</v>
      </c>
      <c r="Z438" s="1">
        <v>6.3</v>
      </c>
    </row>
    <row r="439" ht="14.25" customHeight="1">
      <c r="A439" s="1" t="s">
        <v>26</v>
      </c>
      <c r="B439" s="1" t="s">
        <v>1284</v>
      </c>
      <c r="C439" s="1" t="s">
        <v>2499</v>
      </c>
      <c r="D439" s="1">
        <v>1.12225777E8</v>
      </c>
      <c r="E439" s="1" t="s">
        <v>1345</v>
      </c>
      <c r="F439" s="1" t="s">
        <v>668</v>
      </c>
      <c r="G439" s="1" t="s">
        <v>30</v>
      </c>
      <c r="H439" s="1" t="s">
        <v>2234</v>
      </c>
      <c r="I439" s="1">
        <v>283967.0</v>
      </c>
      <c r="J439" s="1" t="s">
        <v>2500</v>
      </c>
      <c r="K439" s="1" t="s">
        <v>2501</v>
      </c>
      <c r="L439" s="1">
        <v>535.0</v>
      </c>
      <c r="M439" s="1" t="s">
        <v>35</v>
      </c>
      <c r="N439" s="1" t="s">
        <v>36</v>
      </c>
      <c r="O439" s="1" t="s">
        <v>628</v>
      </c>
      <c r="P439" s="1">
        <v>8.0E7</v>
      </c>
      <c r="Q439" s="1">
        <v>1997.0</v>
      </c>
      <c r="R439" s="1">
        <v>12000.0</v>
      </c>
      <c r="S439" s="1">
        <v>1000.0</v>
      </c>
      <c r="T439" s="1">
        <v>805.0</v>
      </c>
      <c r="U439" s="1">
        <v>17087.0</v>
      </c>
      <c r="V439" s="1">
        <v>610.0</v>
      </c>
      <c r="W439" s="1">
        <v>11000.0</v>
      </c>
      <c r="X439" s="1">
        <v>0.0</v>
      </c>
      <c r="Y439" s="1">
        <v>2.35</v>
      </c>
      <c r="Z439" s="1">
        <v>7.3</v>
      </c>
    </row>
    <row r="440" ht="14.25" customHeight="1">
      <c r="A440" s="1" t="s">
        <v>26</v>
      </c>
      <c r="B440" s="1" t="s">
        <v>2502</v>
      </c>
      <c r="C440" s="1" t="s">
        <v>2503</v>
      </c>
      <c r="D440" s="1">
        <v>1.09993847E8</v>
      </c>
      <c r="E440" s="1" t="s">
        <v>2504</v>
      </c>
      <c r="F440" s="1" t="s">
        <v>2095</v>
      </c>
      <c r="G440" s="1" t="s">
        <v>2505</v>
      </c>
      <c r="H440" s="1" t="s">
        <v>2506</v>
      </c>
      <c r="I440" s="1">
        <v>72326.0</v>
      </c>
      <c r="J440" s="1" t="s">
        <v>2507</v>
      </c>
      <c r="K440" s="1" t="s">
        <v>2508</v>
      </c>
      <c r="L440" s="1">
        <v>116.0</v>
      </c>
      <c r="M440" s="1" t="s">
        <v>35</v>
      </c>
      <c r="N440" s="1" t="s">
        <v>36</v>
      </c>
      <c r="O440" s="1" t="s">
        <v>87</v>
      </c>
      <c r="P440" s="1">
        <v>8.0E7</v>
      </c>
      <c r="Q440" s="1">
        <v>2008.0</v>
      </c>
      <c r="R440" s="1">
        <v>11000.0</v>
      </c>
      <c r="S440" s="1">
        <v>869.0</v>
      </c>
      <c r="T440" s="1">
        <v>495.0</v>
      </c>
      <c r="U440" s="1">
        <v>12831.0</v>
      </c>
      <c r="V440" s="1">
        <v>163.0</v>
      </c>
      <c r="W440" s="1">
        <v>0.0</v>
      </c>
      <c r="X440" s="1">
        <v>0.0</v>
      </c>
      <c r="Y440" s="1">
        <v>2.35</v>
      </c>
      <c r="Z440" s="1">
        <v>6.1</v>
      </c>
    </row>
    <row r="441" ht="14.25" customHeight="1">
      <c r="A441" s="1" t="s">
        <v>26</v>
      </c>
      <c r="B441" s="1" t="s">
        <v>46</v>
      </c>
      <c r="C441" s="1" t="s">
        <v>2509</v>
      </c>
      <c r="D441" s="1">
        <v>1.04054514E8</v>
      </c>
      <c r="E441" s="1" t="s">
        <v>2045</v>
      </c>
      <c r="F441" s="1" t="s">
        <v>314</v>
      </c>
      <c r="G441" s="1" t="s">
        <v>2510</v>
      </c>
      <c r="H441" s="1" t="s">
        <v>2511</v>
      </c>
      <c r="I441" s="1">
        <v>200359.0</v>
      </c>
      <c r="J441" s="1" t="s">
        <v>2512</v>
      </c>
      <c r="K441" s="1" t="s">
        <v>2513</v>
      </c>
      <c r="L441" s="1">
        <v>1009.0</v>
      </c>
      <c r="M441" s="1" t="s">
        <v>35</v>
      </c>
      <c r="N441" s="1" t="s">
        <v>36</v>
      </c>
      <c r="O441" s="1" t="s">
        <v>628</v>
      </c>
      <c r="P441" s="1">
        <v>8.0E7</v>
      </c>
      <c r="Q441" s="1">
        <v>2002.0</v>
      </c>
      <c r="R441" s="1">
        <v>15000.0</v>
      </c>
      <c r="S441" s="1">
        <v>1000.0</v>
      </c>
      <c r="T441" s="1">
        <v>818.0</v>
      </c>
      <c r="U441" s="1">
        <v>16828.0</v>
      </c>
      <c r="V441" s="1">
        <v>0.0</v>
      </c>
      <c r="W441" s="1">
        <v>0.0</v>
      </c>
      <c r="X441" s="1">
        <v>0.0</v>
      </c>
      <c r="Y441" s="1">
        <v>2.35</v>
      </c>
      <c r="Z441" s="1">
        <v>7.7</v>
      </c>
    </row>
    <row r="442" ht="14.25" customHeight="1">
      <c r="A442" s="1" t="s">
        <v>26</v>
      </c>
      <c r="B442" s="1" t="s">
        <v>2093</v>
      </c>
      <c r="C442" s="1" t="s">
        <v>2514</v>
      </c>
      <c r="D442" s="1">
        <v>1.03028109E8</v>
      </c>
      <c r="E442" s="1" t="s">
        <v>1598</v>
      </c>
      <c r="F442" s="1" t="s">
        <v>2095</v>
      </c>
      <c r="G442" s="1" t="s">
        <v>2515</v>
      </c>
      <c r="H442" s="1" t="s">
        <v>2097</v>
      </c>
      <c r="I442" s="1">
        <v>172878.0</v>
      </c>
      <c r="J442" s="1" t="s">
        <v>2516</v>
      </c>
      <c r="K442" s="1" t="s">
        <v>2517</v>
      </c>
      <c r="L442" s="1">
        <v>203.0</v>
      </c>
      <c r="M442" s="1" t="s">
        <v>35</v>
      </c>
      <c r="N442" s="1" t="s">
        <v>36</v>
      </c>
      <c r="O442" s="1" t="s">
        <v>37</v>
      </c>
      <c r="P442" s="1">
        <v>8.0E7</v>
      </c>
      <c r="Q442" s="1">
        <v>2011.0</v>
      </c>
      <c r="R442" s="1">
        <v>11000.0</v>
      </c>
      <c r="S442" s="1">
        <v>3000.0</v>
      </c>
      <c r="T442" s="1">
        <v>503.0</v>
      </c>
      <c r="U442" s="1">
        <v>16325.0</v>
      </c>
      <c r="V442" s="1">
        <v>221.0</v>
      </c>
      <c r="W442" s="1">
        <v>19000.0</v>
      </c>
      <c r="X442" s="1">
        <v>1.0</v>
      </c>
      <c r="Y442" s="1">
        <v>1.85</v>
      </c>
      <c r="Z442" s="1">
        <v>6.4</v>
      </c>
    </row>
    <row r="443" ht="14.25" customHeight="1">
      <c r="A443" s="1" t="s">
        <v>26</v>
      </c>
      <c r="B443" s="1" t="s">
        <v>1700</v>
      </c>
      <c r="C443" s="1" t="s">
        <v>2518</v>
      </c>
      <c r="D443" s="1">
        <v>1.01087161E8</v>
      </c>
      <c r="E443" s="1" t="s">
        <v>326</v>
      </c>
      <c r="F443" s="1" t="s">
        <v>264</v>
      </c>
      <c r="G443" s="1" t="s">
        <v>2519</v>
      </c>
      <c r="H443" s="1" t="s">
        <v>2520</v>
      </c>
      <c r="I443" s="1">
        <v>225282.0</v>
      </c>
      <c r="J443" s="1" t="s">
        <v>2521</v>
      </c>
      <c r="K443" s="1" t="s">
        <v>2522</v>
      </c>
      <c r="L443" s="1">
        <v>339.0</v>
      </c>
      <c r="M443" s="1" t="s">
        <v>35</v>
      </c>
      <c r="N443" s="1" t="s">
        <v>36</v>
      </c>
      <c r="O443" s="1" t="s">
        <v>628</v>
      </c>
      <c r="P443" s="1">
        <v>7.5E7</v>
      </c>
      <c r="Q443" s="1">
        <v>1997.0</v>
      </c>
      <c r="R443" s="1">
        <v>12000.0</v>
      </c>
      <c r="S443" s="1">
        <v>878.0</v>
      </c>
      <c r="T443" s="1">
        <v>744.0</v>
      </c>
      <c r="U443" s="1">
        <v>15362.0</v>
      </c>
      <c r="V443" s="1">
        <v>165.0</v>
      </c>
      <c r="W443" s="1">
        <v>0.0</v>
      </c>
      <c r="X443" s="1">
        <v>6.0</v>
      </c>
      <c r="Y443" s="1">
        <v>2.35</v>
      </c>
      <c r="Z443" s="1">
        <v>6.8</v>
      </c>
    </row>
    <row r="444" ht="14.25" customHeight="1">
      <c r="A444" s="1" t="s">
        <v>26</v>
      </c>
      <c r="B444" s="1" t="s">
        <v>2523</v>
      </c>
      <c r="C444" s="1" t="s">
        <v>2524</v>
      </c>
      <c r="D444" s="1">
        <v>1.01111837E8</v>
      </c>
      <c r="E444" s="1" t="s">
        <v>1112</v>
      </c>
      <c r="F444" s="1" t="s">
        <v>947</v>
      </c>
      <c r="G444" s="1" t="s">
        <v>2525</v>
      </c>
      <c r="H444" s="1" t="s">
        <v>2526</v>
      </c>
      <c r="I444" s="1">
        <v>150764.0</v>
      </c>
      <c r="J444" s="1" t="s">
        <v>2527</v>
      </c>
      <c r="K444" s="1" t="s">
        <v>2528</v>
      </c>
      <c r="L444" s="1">
        <v>318.0</v>
      </c>
      <c r="M444" s="1" t="s">
        <v>35</v>
      </c>
      <c r="N444" s="1" t="s">
        <v>36</v>
      </c>
      <c r="O444" s="1" t="s">
        <v>37</v>
      </c>
      <c r="P444" s="1">
        <v>8.0E7</v>
      </c>
      <c r="Q444" s="1">
        <v>2008.0</v>
      </c>
      <c r="R444" s="1">
        <v>3000.0</v>
      </c>
      <c r="S444" s="1">
        <v>982.0</v>
      </c>
      <c r="T444" s="1">
        <v>915.0</v>
      </c>
      <c r="U444" s="1">
        <v>5637.0</v>
      </c>
      <c r="V444" s="1">
        <v>154.0</v>
      </c>
      <c r="W444" s="1">
        <v>0.0</v>
      </c>
      <c r="X444" s="1">
        <v>3.0</v>
      </c>
      <c r="Y444" s="1">
        <v>2.35</v>
      </c>
      <c r="Z444" s="1">
        <v>6.6</v>
      </c>
    </row>
    <row r="445" ht="14.25" customHeight="1">
      <c r="A445" s="1" t="s">
        <v>26</v>
      </c>
      <c r="B445" s="1" t="s">
        <v>2529</v>
      </c>
      <c r="C445" s="1" t="s">
        <v>2530</v>
      </c>
      <c r="D445" s="1">
        <v>9.5632614E7</v>
      </c>
      <c r="E445" s="1" t="s">
        <v>2531</v>
      </c>
      <c r="F445" s="1" t="s">
        <v>662</v>
      </c>
      <c r="G445" s="1" t="s">
        <v>805</v>
      </c>
      <c r="H445" s="1" t="s">
        <v>372</v>
      </c>
      <c r="I445" s="1">
        <v>118483.0</v>
      </c>
      <c r="J445" s="1" t="s">
        <v>2532</v>
      </c>
      <c r="K445" s="1" t="s">
        <v>2533</v>
      </c>
      <c r="L445" s="1">
        <v>674.0</v>
      </c>
      <c r="M445" s="1" t="s">
        <v>35</v>
      </c>
      <c r="N445" s="1" t="s">
        <v>36</v>
      </c>
      <c r="O445" s="1" t="s">
        <v>628</v>
      </c>
      <c r="P445" s="1">
        <v>7.9E7</v>
      </c>
      <c r="Q445" s="1">
        <v>2003.0</v>
      </c>
      <c r="R445" s="1">
        <v>22000.0</v>
      </c>
      <c r="S445" s="1">
        <v>20000.0</v>
      </c>
      <c r="T445" s="1">
        <v>16000.0</v>
      </c>
      <c r="U445" s="1">
        <v>61110.0</v>
      </c>
      <c r="V445" s="1">
        <v>333.0</v>
      </c>
      <c r="W445" s="1">
        <v>0.0</v>
      </c>
      <c r="X445" s="1">
        <v>3.0</v>
      </c>
      <c r="Y445" s="1">
        <v>2.35</v>
      </c>
      <c r="Z445" s="1">
        <v>7.2</v>
      </c>
    </row>
    <row r="446" ht="14.25" customHeight="1">
      <c r="A446" s="1" t="s">
        <v>26</v>
      </c>
      <c r="B446" s="1" t="s">
        <v>2534</v>
      </c>
      <c r="C446" s="1" t="s">
        <v>2535</v>
      </c>
      <c r="D446" s="1">
        <v>9.4822707E7</v>
      </c>
      <c r="E446" s="1" t="s">
        <v>675</v>
      </c>
      <c r="F446" s="1" t="s">
        <v>1644</v>
      </c>
      <c r="G446" s="1" t="s">
        <v>284</v>
      </c>
      <c r="H446" s="1" t="s">
        <v>425</v>
      </c>
      <c r="I446" s="1">
        <v>227072.0</v>
      </c>
      <c r="J446" s="1" t="s">
        <v>2536</v>
      </c>
      <c r="K446" s="1" t="s">
        <v>2537</v>
      </c>
      <c r="L446" s="1">
        <v>560.0</v>
      </c>
      <c r="M446" s="1" t="s">
        <v>35</v>
      </c>
      <c r="N446" s="1" t="s">
        <v>36</v>
      </c>
      <c r="O446" s="1" t="s">
        <v>628</v>
      </c>
      <c r="P446" s="1">
        <v>8.0E7</v>
      </c>
      <c r="Q446" s="1">
        <v>2010.0</v>
      </c>
      <c r="R446" s="1">
        <v>18000.0</v>
      </c>
      <c r="S446" s="1">
        <v>15000.0</v>
      </c>
      <c r="T446" s="1">
        <v>10000.0</v>
      </c>
      <c r="U446" s="1">
        <v>44797.0</v>
      </c>
      <c r="V446" s="1">
        <v>117.0</v>
      </c>
      <c r="W446" s="1">
        <v>20000.0</v>
      </c>
      <c r="X446" s="1">
        <v>0.0</v>
      </c>
      <c r="Y446" s="1">
        <v>2.35</v>
      </c>
      <c r="Z446" s="1">
        <v>6.9</v>
      </c>
    </row>
    <row r="447" ht="14.25" customHeight="1">
      <c r="A447" s="1" t="s">
        <v>26</v>
      </c>
      <c r="B447" s="1" t="s">
        <v>2538</v>
      </c>
      <c r="C447" s="1" t="s">
        <v>2539</v>
      </c>
      <c r="D447" s="1">
        <v>9.2969824E7</v>
      </c>
      <c r="E447" s="1" t="s">
        <v>2540</v>
      </c>
      <c r="F447" s="1" t="s">
        <v>774</v>
      </c>
      <c r="G447" s="1" t="s">
        <v>2541</v>
      </c>
      <c r="H447" s="1" t="s">
        <v>2542</v>
      </c>
      <c r="I447" s="1">
        <v>63625.0</v>
      </c>
      <c r="J447" s="1" t="s">
        <v>2543</v>
      </c>
      <c r="K447" s="1" t="s">
        <v>2544</v>
      </c>
      <c r="L447" s="1">
        <v>64.0</v>
      </c>
      <c r="M447" s="1" t="s">
        <v>35</v>
      </c>
      <c r="N447" s="1" t="s">
        <v>36</v>
      </c>
      <c r="O447" s="1" t="s">
        <v>87</v>
      </c>
      <c r="P447" s="1">
        <v>8.0E7</v>
      </c>
      <c r="Q447" s="1">
        <v>1997.0</v>
      </c>
      <c r="R447" s="1">
        <v>49000.0</v>
      </c>
      <c r="S447" s="1">
        <v>570.0</v>
      </c>
      <c r="T447" s="1">
        <v>159.0</v>
      </c>
      <c r="U447" s="1">
        <v>50005.0</v>
      </c>
      <c r="V447" s="1">
        <v>10.0</v>
      </c>
      <c r="W447" s="1">
        <v>0.0</v>
      </c>
      <c r="X447" s="1">
        <v>1.0</v>
      </c>
      <c r="Y447" s="1">
        <v>1.85</v>
      </c>
      <c r="Z447" s="1">
        <v>5.2</v>
      </c>
    </row>
    <row r="448" ht="14.25" customHeight="1">
      <c r="A448" s="1" t="s">
        <v>26</v>
      </c>
      <c r="B448" s="1" t="s">
        <v>1527</v>
      </c>
      <c r="C448" s="1" t="s">
        <v>2545</v>
      </c>
      <c r="D448" s="1">
        <v>9.1188905E7</v>
      </c>
      <c r="E448" s="1" t="s">
        <v>2546</v>
      </c>
      <c r="F448" s="1" t="s">
        <v>220</v>
      </c>
      <c r="G448" s="1" t="s">
        <v>2547</v>
      </c>
      <c r="H448" s="1" t="s">
        <v>2548</v>
      </c>
      <c r="I448" s="1">
        <v>58184.0</v>
      </c>
      <c r="J448" s="1" t="s">
        <v>2549</v>
      </c>
      <c r="K448" s="1" t="s">
        <v>2550</v>
      </c>
      <c r="L448" s="1">
        <v>805.0</v>
      </c>
      <c r="M448" s="1" t="s">
        <v>35</v>
      </c>
      <c r="N448" s="1" t="s">
        <v>36</v>
      </c>
      <c r="O448" s="1" t="s">
        <v>37</v>
      </c>
      <c r="P448" s="1">
        <v>8.0E7</v>
      </c>
      <c r="Q448" s="1">
        <v>1999.0</v>
      </c>
      <c r="R448" s="1">
        <v>14000.0</v>
      </c>
      <c r="S448" s="1">
        <v>960.0</v>
      </c>
      <c r="T448" s="1">
        <v>913.0</v>
      </c>
      <c r="U448" s="1">
        <v>17786.0</v>
      </c>
      <c r="V448" s="1">
        <v>101.0</v>
      </c>
      <c r="W448" s="1">
        <v>0.0</v>
      </c>
      <c r="X448" s="1">
        <v>0.0</v>
      </c>
      <c r="Y448" s="1">
        <v>2.35</v>
      </c>
      <c r="Z448" s="1">
        <v>4.9</v>
      </c>
    </row>
    <row r="449" ht="14.25" customHeight="1">
      <c r="A449" s="1" t="s">
        <v>26</v>
      </c>
      <c r="B449" s="1" t="s">
        <v>2551</v>
      </c>
      <c r="C449" s="1" t="s">
        <v>2552</v>
      </c>
      <c r="D449" s="1">
        <v>9.0443603E7</v>
      </c>
      <c r="E449" s="1" t="s">
        <v>2553</v>
      </c>
      <c r="F449" s="1" t="s">
        <v>534</v>
      </c>
      <c r="G449" s="1" t="s">
        <v>957</v>
      </c>
      <c r="H449" s="1" t="s">
        <v>2554</v>
      </c>
      <c r="I449" s="1">
        <v>112167.0</v>
      </c>
      <c r="J449" s="1" t="s">
        <v>2555</v>
      </c>
      <c r="K449" s="1" t="s">
        <v>2556</v>
      </c>
      <c r="L449" s="1">
        <v>123.0</v>
      </c>
      <c r="M449" s="1" t="s">
        <v>35</v>
      </c>
      <c r="N449" s="1" t="s">
        <v>36</v>
      </c>
      <c r="O449" s="1" t="s">
        <v>87</v>
      </c>
      <c r="P449" s="1">
        <v>8.0E7</v>
      </c>
      <c r="Q449" s="1">
        <v>1996.0</v>
      </c>
      <c r="R449" s="1">
        <v>13000.0</v>
      </c>
      <c r="S449" s="1">
        <v>967.0</v>
      </c>
      <c r="T449" s="1">
        <v>366.0</v>
      </c>
      <c r="U449" s="1">
        <v>15001.0</v>
      </c>
      <c r="V449" s="1">
        <v>30.0</v>
      </c>
      <c r="W449" s="1">
        <v>0.0</v>
      </c>
      <c r="X449" s="1">
        <v>1.0</v>
      </c>
      <c r="Y449" s="1">
        <v>1.77</v>
      </c>
      <c r="Z449" s="1">
        <v>6.3</v>
      </c>
    </row>
    <row r="450" ht="14.25" customHeight="1">
      <c r="A450" s="1" t="s">
        <v>26</v>
      </c>
      <c r="B450" s="1" t="s">
        <v>772</v>
      </c>
      <c r="C450" s="1" t="s">
        <v>2557</v>
      </c>
      <c r="D450" s="1">
        <v>8.2226474E7</v>
      </c>
      <c r="E450" s="1" t="s">
        <v>2558</v>
      </c>
      <c r="F450" s="1" t="s">
        <v>2559</v>
      </c>
      <c r="G450" s="1" t="s">
        <v>2560</v>
      </c>
      <c r="H450" s="1" t="s">
        <v>2561</v>
      </c>
      <c r="I450" s="1">
        <v>65499.0</v>
      </c>
      <c r="J450" s="1" t="s">
        <v>2562</v>
      </c>
      <c r="K450" s="1" t="s">
        <v>2563</v>
      </c>
      <c r="L450" s="1">
        <v>424.0</v>
      </c>
      <c r="M450" s="1" t="s">
        <v>35</v>
      </c>
      <c r="N450" s="1" t="s">
        <v>36</v>
      </c>
      <c r="O450" s="1" t="s">
        <v>87</v>
      </c>
      <c r="P450" s="1">
        <v>6.5E7</v>
      </c>
      <c r="Q450" s="1">
        <v>2006.0</v>
      </c>
      <c r="R450" s="1">
        <v>1000.0</v>
      </c>
      <c r="S450" s="1">
        <v>177.0</v>
      </c>
      <c r="T450" s="1">
        <v>38.0</v>
      </c>
      <c r="U450" s="1">
        <v>1267.0</v>
      </c>
      <c r="V450" s="1">
        <v>189.0</v>
      </c>
      <c r="W450" s="1">
        <v>0.0</v>
      </c>
      <c r="X450" s="1">
        <v>0.0</v>
      </c>
      <c r="Y450" s="1">
        <v>1.85</v>
      </c>
      <c r="Z450" s="1">
        <v>5.6</v>
      </c>
    </row>
    <row r="451" ht="14.25" customHeight="1">
      <c r="A451" s="1" t="s">
        <v>26</v>
      </c>
      <c r="B451" s="1" t="s">
        <v>2564</v>
      </c>
      <c r="C451" s="1" t="s">
        <v>2565</v>
      </c>
      <c r="D451" s="1">
        <v>7.9363785E7</v>
      </c>
      <c r="E451" s="1" t="s">
        <v>2566</v>
      </c>
      <c r="F451" s="1" t="s">
        <v>563</v>
      </c>
      <c r="G451" s="1" t="s">
        <v>574</v>
      </c>
      <c r="H451" s="1" t="s">
        <v>2567</v>
      </c>
      <c r="I451" s="1">
        <v>139423.0</v>
      </c>
      <c r="J451" s="1" t="s">
        <v>2568</v>
      </c>
      <c r="K451" s="1" t="s">
        <v>2569</v>
      </c>
      <c r="L451" s="1">
        <v>698.0</v>
      </c>
      <c r="M451" s="1" t="s">
        <v>35</v>
      </c>
      <c r="N451" s="1" t="s">
        <v>36</v>
      </c>
      <c r="O451" s="1" t="s">
        <v>37</v>
      </c>
      <c r="P451" s="1">
        <v>8.0E7</v>
      </c>
      <c r="Q451" s="1">
        <v>2008.0</v>
      </c>
      <c r="R451" s="1">
        <v>18000.0</v>
      </c>
      <c r="S451" s="1">
        <v>4000.0</v>
      </c>
      <c r="T451" s="1">
        <v>71.0</v>
      </c>
      <c r="U451" s="1">
        <v>22194.0</v>
      </c>
      <c r="V451" s="1">
        <v>301.0</v>
      </c>
      <c r="W451" s="1">
        <v>0.0</v>
      </c>
      <c r="X451" s="1">
        <v>0.0</v>
      </c>
      <c r="Y451" s="1">
        <v>2.35</v>
      </c>
      <c r="Z451" s="1">
        <v>5.5</v>
      </c>
    </row>
    <row r="452" ht="14.25" customHeight="1">
      <c r="A452" s="1" t="s">
        <v>26</v>
      </c>
      <c r="B452" s="1" t="s">
        <v>1021</v>
      </c>
      <c r="C452" s="1" t="s">
        <v>2570</v>
      </c>
      <c r="D452" s="1">
        <v>7.6081498E7</v>
      </c>
      <c r="E452" s="1" t="s">
        <v>2571</v>
      </c>
      <c r="F452" s="1" t="s">
        <v>1459</v>
      </c>
      <c r="G452" s="1" t="s">
        <v>2572</v>
      </c>
      <c r="H452" s="1" t="s">
        <v>2573</v>
      </c>
      <c r="I452" s="1">
        <v>76099.0</v>
      </c>
      <c r="J452" s="1" t="s">
        <v>2574</v>
      </c>
      <c r="K452" s="1" t="s">
        <v>2575</v>
      </c>
      <c r="L452" s="1">
        <v>162.0</v>
      </c>
      <c r="M452" s="1" t="s">
        <v>35</v>
      </c>
      <c r="N452" s="1" t="s">
        <v>36</v>
      </c>
      <c r="O452" s="1" t="s">
        <v>628</v>
      </c>
      <c r="P452" s="1">
        <v>7.5E7</v>
      </c>
      <c r="Q452" s="1">
        <v>1997.0</v>
      </c>
      <c r="R452" s="1">
        <v>8000.0</v>
      </c>
      <c r="S452" s="1">
        <v>137.0</v>
      </c>
      <c r="T452" s="1">
        <v>67.0</v>
      </c>
      <c r="U452" s="1">
        <v>8355.0</v>
      </c>
      <c r="V452" s="1">
        <v>503.0</v>
      </c>
      <c r="W452" s="1">
        <v>0.0</v>
      </c>
      <c r="X452" s="1">
        <v>1.0</v>
      </c>
      <c r="Y452" s="1">
        <v>2.35</v>
      </c>
      <c r="Z452" s="1">
        <v>6.7</v>
      </c>
    </row>
    <row r="453" ht="14.25" customHeight="1">
      <c r="A453" s="1" t="s">
        <v>26</v>
      </c>
      <c r="B453" s="1" t="s">
        <v>492</v>
      </c>
      <c r="C453" s="1" t="s">
        <v>2576</v>
      </c>
      <c r="D453" s="1">
        <v>8.5707116E7</v>
      </c>
      <c r="E453" s="1" t="s">
        <v>1402</v>
      </c>
      <c r="F453" s="1" t="s">
        <v>335</v>
      </c>
      <c r="G453" s="1" t="s">
        <v>1162</v>
      </c>
      <c r="H453" s="1" t="s">
        <v>2577</v>
      </c>
      <c r="I453" s="1">
        <v>303185.0</v>
      </c>
      <c r="J453" s="1" t="s">
        <v>2578</v>
      </c>
      <c r="K453" s="1" t="s">
        <v>2579</v>
      </c>
      <c r="L453" s="1">
        <v>701.0</v>
      </c>
      <c r="M453" s="1" t="s">
        <v>35</v>
      </c>
      <c r="N453" s="1" t="s">
        <v>36</v>
      </c>
      <c r="O453" s="1" t="s">
        <v>628</v>
      </c>
      <c r="P453" s="1">
        <v>6.8E7</v>
      </c>
      <c r="Q453" s="1">
        <v>2014.0</v>
      </c>
      <c r="R453" s="1">
        <v>11000.0</v>
      </c>
      <c r="S453" s="1">
        <v>8000.0</v>
      </c>
      <c r="T453" s="1">
        <v>697.0</v>
      </c>
      <c r="U453" s="1">
        <v>20411.0</v>
      </c>
      <c r="V453" s="1">
        <v>452.0</v>
      </c>
      <c r="W453" s="1">
        <v>82000.0</v>
      </c>
      <c r="X453" s="1">
        <v>4.0</v>
      </c>
      <c r="Y453" s="1">
        <v>2.35</v>
      </c>
      <c r="Z453" s="1">
        <v>7.6</v>
      </c>
    </row>
    <row r="454" ht="14.25" customHeight="1">
      <c r="A454" s="1" t="s">
        <v>26</v>
      </c>
      <c r="B454" s="1" t="s">
        <v>2580</v>
      </c>
      <c r="C454" s="1" t="s">
        <v>2581</v>
      </c>
      <c r="D454" s="1">
        <v>7.4329966E7</v>
      </c>
      <c r="E454" s="1" t="s">
        <v>2582</v>
      </c>
      <c r="F454" s="1" t="s">
        <v>383</v>
      </c>
      <c r="G454" s="1" t="s">
        <v>2177</v>
      </c>
      <c r="H454" s="1" t="s">
        <v>1150</v>
      </c>
      <c r="I454" s="1">
        <v>60910.0</v>
      </c>
      <c r="J454" s="1" t="s">
        <v>2583</v>
      </c>
      <c r="K454" s="1" t="s">
        <v>2584</v>
      </c>
      <c r="L454" s="1">
        <v>164.0</v>
      </c>
      <c r="M454" s="1" t="s">
        <v>35</v>
      </c>
      <c r="N454" s="1" t="s">
        <v>36</v>
      </c>
      <c r="O454" s="1" t="s">
        <v>37</v>
      </c>
      <c r="P454" s="1">
        <v>7.0E7</v>
      </c>
      <c r="Q454" s="1">
        <v>1998.0</v>
      </c>
      <c r="R454" s="1">
        <v>11000.0</v>
      </c>
      <c r="S454" s="1">
        <v>643.0</v>
      </c>
      <c r="T454" s="1">
        <v>397.0</v>
      </c>
      <c r="U454" s="1">
        <v>12729.0</v>
      </c>
      <c r="V454" s="1">
        <v>425.0</v>
      </c>
      <c r="W454" s="1">
        <v>0.0</v>
      </c>
      <c r="X454" s="1">
        <v>2.0</v>
      </c>
      <c r="Y454" s="1">
        <v>2.35</v>
      </c>
      <c r="Z454" s="1">
        <v>5.7</v>
      </c>
    </row>
    <row r="455" ht="14.25" customHeight="1">
      <c r="A455" s="1" t="s">
        <v>26</v>
      </c>
      <c r="B455" s="1" t="s">
        <v>2585</v>
      </c>
      <c r="C455" s="1" t="s">
        <v>2586</v>
      </c>
      <c r="D455" s="1">
        <v>1.00169068E8</v>
      </c>
      <c r="E455" s="1" t="s">
        <v>456</v>
      </c>
      <c r="F455" s="1" t="s">
        <v>686</v>
      </c>
      <c r="G455" s="1" t="s">
        <v>2587</v>
      </c>
      <c r="H455" s="1" t="s">
        <v>2588</v>
      </c>
      <c r="I455" s="1">
        <v>16385.0</v>
      </c>
      <c r="J455" s="1" t="s">
        <v>2589</v>
      </c>
      <c r="K455" s="1" t="s">
        <v>2590</v>
      </c>
      <c r="L455" s="1">
        <v>100.0</v>
      </c>
      <c r="M455" s="1" t="s">
        <v>35</v>
      </c>
      <c r="N455" s="1" t="s">
        <v>36</v>
      </c>
      <c r="O455" s="1" t="s">
        <v>87</v>
      </c>
      <c r="P455" s="1">
        <v>8.0E7</v>
      </c>
      <c r="Q455" s="1">
        <v>2010.0</v>
      </c>
      <c r="R455" s="1">
        <v>3000.0</v>
      </c>
      <c r="S455" s="1">
        <v>642.0</v>
      </c>
      <c r="T455" s="1">
        <v>375.0</v>
      </c>
      <c r="U455" s="1">
        <v>4394.0</v>
      </c>
      <c r="V455" s="1">
        <v>40.0</v>
      </c>
      <c r="W455" s="1">
        <v>0.0</v>
      </c>
      <c r="X455" s="1">
        <v>0.0</v>
      </c>
      <c r="Y455" s="1">
        <v>1.85</v>
      </c>
      <c r="Z455" s="1">
        <v>4.6</v>
      </c>
    </row>
    <row r="456" ht="14.25" customHeight="1">
      <c r="A456" s="1" t="s">
        <v>26</v>
      </c>
      <c r="B456" s="1" t="s">
        <v>2591</v>
      </c>
      <c r="C456" s="1" t="s">
        <v>2592</v>
      </c>
      <c r="D456" s="1">
        <v>7.321531E7</v>
      </c>
      <c r="E456" s="1" t="s">
        <v>2593</v>
      </c>
      <c r="F456" s="1" t="s">
        <v>1113</v>
      </c>
      <c r="G456" s="1" t="s">
        <v>2594</v>
      </c>
      <c r="H456" s="1" t="s">
        <v>2595</v>
      </c>
      <c r="I456" s="1">
        <v>44143.0</v>
      </c>
      <c r="J456" s="1" t="s">
        <v>2596</v>
      </c>
      <c r="K456" s="1" t="s">
        <v>2597</v>
      </c>
      <c r="L456" s="1">
        <v>216.0</v>
      </c>
      <c r="M456" s="1" t="s">
        <v>35</v>
      </c>
      <c r="N456" s="1" t="s">
        <v>36</v>
      </c>
      <c r="O456" s="1" t="s">
        <v>269</v>
      </c>
      <c r="P456" s="1">
        <v>8.0E7</v>
      </c>
      <c r="Q456" s="1">
        <v>2002.0</v>
      </c>
      <c r="R456" s="1">
        <v>13000.0</v>
      </c>
      <c r="S456" s="1">
        <v>503.0</v>
      </c>
      <c r="T456" s="1">
        <v>495.0</v>
      </c>
      <c r="U456" s="1">
        <v>14261.0</v>
      </c>
      <c r="V456" s="1">
        <v>21.0</v>
      </c>
      <c r="W456" s="1">
        <v>4000.0</v>
      </c>
      <c r="X456" s="1">
        <v>0.0</v>
      </c>
      <c r="Y456" s="1">
        <v>2.35</v>
      </c>
      <c r="Z456" s="1">
        <v>7.0</v>
      </c>
    </row>
    <row r="457" ht="14.25" customHeight="1">
      <c r="A457" s="1" t="s">
        <v>26</v>
      </c>
      <c r="B457" s="1" t="s">
        <v>1549</v>
      </c>
      <c r="C457" s="1" t="s">
        <v>2598</v>
      </c>
      <c r="D457" s="1">
        <v>8.0360866E7</v>
      </c>
      <c r="E457" s="1" t="s">
        <v>2599</v>
      </c>
      <c r="F457" s="1" t="s">
        <v>947</v>
      </c>
      <c r="G457" s="1" t="s">
        <v>2600</v>
      </c>
      <c r="H457" s="1" t="s">
        <v>2601</v>
      </c>
      <c r="I457" s="1">
        <v>44662.0</v>
      </c>
      <c r="J457" s="1" t="s">
        <v>2602</v>
      </c>
      <c r="K457" s="1" t="s">
        <v>2603</v>
      </c>
      <c r="L457" s="1">
        <v>127.0</v>
      </c>
      <c r="M457" s="1" t="s">
        <v>35</v>
      </c>
      <c r="N457" s="1" t="s">
        <v>36</v>
      </c>
      <c r="O457" s="1" t="s">
        <v>87</v>
      </c>
      <c r="P457" s="1">
        <v>8.0E7</v>
      </c>
      <c r="Q457" s="1">
        <v>2011.0</v>
      </c>
      <c r="R457" s="1">
        <v>3000.0</v>
      </c>
      <c r="S457" s="1">
        <v>1000.0</v>
      </c>
      <c r="T457" s="1">
        <v>269.0</v>
      </c>
      <c r="U457" s="1">
        <v>5392.0</v>
      </c>
      <c r="V457" s="1">
        <v>153.0</v>
      </c>
      <c r="W457" s="1">
        <v>0.0</v>
      </c>
      <c r="X457" s="1">
        <v>1.0</v>
      </c>
      <c r="Y457" s="1">
        <v>2.35</v>
      </c>
      <c r="Z457" s="1">
        <v>5.2</v>
      </c>
    </row>
    <row r="458" ht="14.25" customHeight="1">
      <c r="A458" s="1" t="s">
        <v>26</v>
      </c>
      <c r="B458" s="1" t="s">
        <v>2604</v>
      </c>
      <c r="C458" s="1" t="s">
        <v>2605</v>
      </c>
      <c r="D458" s="1">
        <v>6.910291E7</v>
      </c>
      <c r="E458" s="1" t="s">
        <v>2606</v>
      </c>
      <c r="F458" s="1" t="s">
        <v>425</v>
      </c>
      <c r="G458" s="1" t="s">
        <v>183</v>
      </c>
      <c r="H458" s="1" t="s">
        <v>2607</v>
      </c>
      <c r="I458" s="1">
        <v>58402.0</v>
      </c>
      <c r="J458" s="1" t="s">
        <v>2608</v>
      </c>
      <c r="K458" s="1" t="s">
        <v>2609</v>
      </c>
      <c r="L458" s="1">
        <v>370.0</v>
      </c>
      <c r="M458" s="1" t="s">
        <v>35</v>
      </c>
      <c r="N458" s="1" t="s">
        <v>36</v>
      </c>
      <c r="O458" s="1" t="s">
        <v>37</v>
      </c>
      <c r="P458" s="1">
        <v>8.0E7</v>
      </c>
      <c r="Q458" s="1">
        <v>1998.0</v>
      </c>
      <c r="R458" s="1">
        <v>10000.0</v>
      </c>
      <c r="S458" s="1">
        <v>882.0</v>
      </c>
      <c r="T458" s="1">
        <v>427.0</v>
      </c>
      <c r="U458" s="1">
        <v>12186.0</v>
      </c>
      <c r="V458" s="1">
        <v>81.0</v>
      </c>
      <c r="W458" s="1">
        <v>0.0</v>
      </c>
      <c r="X458" s="1">
        <v>0.0</v>
      </c>
      <c r="Y458" s="1">
        <v>2.35</v>
      </c>
      <c r="Z458" s="1">
        <v>5.1</v>
      </c>
    </row>
    <row r="459" ht="14.25" customHeight="1">
      <c r="A459" s="1" t="s">
        <v>26</v>
      </c>
      <c r="B459" s="1" t="s">
        <v>2610</v>
      </c>
      <c r="C459" s="1" t="s">
        <v>2611</v>
      </c>
      <c r="D459" s="1">
        <v>6.5948711E7</v>
      </c>
      <c r="E459" s="1" t="s">
        <v>2117</v>
      </c>
      <c r="F459" s="1" t="s">
        <v>1644</v>
      </c>
      <c r="G459" s="1" t="s">
        <v>2612</v>
      </c>
      <c r="H459" s="1" t="s">
        <v>2613</v>
      </c>
      <c r="I459" s="1">
        <v>86422.0</v>
      </c>
      <c r="J459" s="1" t="s">
        <v>2614</v>
      </c>
      <c r="K459" s="1" t="s">
        <v>2615</v>
      </c>
      <c r="L459" s="1">
        <v>363.0</v>
      </c>
      <c r="M459" s="1" t="s">
        <v>35</v>
      </c>
      <c r="N459" s="1" t="s">
        <v>36</v>
      </c>
      <c r="O459" s="1" t="s">
        <v>628</v>
      </c>
      <c r="P459" s="1">
        <v>8.0E7</v>
      </c>
      <c r="Q459" s="1">
        <v>2004.0</v>
      </c>
      <c r="R459" s="1">
        <v>18000.0</v>
      </c>
      <c r="S459" s="1">
        <v>1000.0</v>
      </c>
      <c r="T459" s="1">
        <v>502.0</v>
      </c>
      <c r="U459" s="1">
        <v>20056.0</v>
      </c>
      <c r="V459" s="1">
        <v>438.0</v>
      </c>
      <c r="W459" s="1">
        <v>0.0</v>
      </c>
      <c r="X459" s="1">
        <v>1.0</v>
      </c>
      <c r="Y459" s="1">
        <v>1.85</v>
      </c>
      <c r="Z459" s="1">
        <v>6.6</v>
      </c>
    </row>
    <row r="460" ht="14.25" customHeight="1">
      <c r="A460" s="1" t="s">
        <v>26</v>
      </c>
      <c r="B460" s="1" t="s">
        <v>2250</v>
      </c>
      <c r="C460" s="1" t="s">
        <v>2616</v>
      </c>
      <c r="D460" s="1">
        <v>1.69692572E8</v>
      </c>
      <c r="E460" s="1" t="s">
        <v>756</v>
      </c>
      <c r="F460" s="1" t="s">
        <v>264</v>
      </c>
      <c r="G460" s="1" t="s">
        <v>2095</v>
      </c>
      <c r="H460" s="1" t="s">
        <v>2617</v>
      </c>
      <c r="I460" s="1">
        <v>56501.0</v>
      </c>
      <c r="J460" s="1" t="s">
        <v>2618</v>
      </c>
      <c r="K460" s="1" t="s">
        <v>2619</v>
      </c>
      <c r="L460" s="1">
        <v>97.0</v>
      </c>
      <c r="M460" s="1" t="s">
        <v>35</v>
      </c>
      <c r="N460" s="1" t="s">
        <v>36</v>
      </c>
      <c r="O460" s="1" t="s">
        <v>87</v>
      </c>
      <c r="P460" s="1">
        <v>8.0E7</v>
      </c>
      <c r="Q460" s="1">
        <v>2015.0</v>
      </c>
      <c r="R460" s="1">
        <v>12000.0</v>
      </c>
      <c r="S460" s="1">
        <v>11000.0</v>
      </c>
      <c r="T460" s="1">
        <v>859.0</v>
      </c>
      <c r="U460" s="1">
        <v>26839.0</v>
      </c>
      <c r="V460" s="1">
        <v>266.0</v>
      </c>
      <c r="W460" s="1">
        <v>16000.0</v>
      </c>
      <c r="X460" s="1">
        <v>0.0</v>
      </c>
      <c r="Y460" s="1">
        <v>1.85</v>
      </c>
      <c r="Z460" s="1">
        <v>6.7</v>
      </c>
    </row>
    <row r="461" ht="14.25" customHeight="1">
      <c r="A461" s="1" t="s">
        <v>26</v>
      </c>
      <c r="B461" s="1" t="s">
        <v>2620</v>
      </c>
      <c r="C461" s="1" t="s">
        <v>2621</v>
      </c>
      <c r="D461" s="1">
        <v>6.0507228E7</v>
      </c>
      <c r="E461" s="1" t="s">
        <v>2622</v>
      </c>
      <c r="F461" s="1" t="s">
        <v>2623</v>
      </c>
      <c r="G461" s="1" t="s">
        <v>2624</v>
      </c>
      <c r="H461" s="1" t="s">
        <v>2625</v>
      </c>
      <c r="I461" s="1">
        <v>27543.0</v>
      </c>
      <c r="J461" s="1" t="s">
        <v>2626</v>
      </c>
      <c r="K461" s="1" t="s">
        <v>2627</v>
      </c>
      <c r="L461" s="1">
        <v>186.0</v>
      </c>
      <c r="M461" s="1" t="s">
        <v>35</v>
      </c>
      <c r="N461" s="1" t="s">
        <v>36</v>
      </c>
      <c r="O461" s="1" t="s">
        <v>269</v>
      </c>
      <c r="P461" s="1">
        <v>8.0E7</v>
      </c>
      <c r="Q461" s="1">
        <v>1999.0</v>
      </c>
      <c r="R461" s="1">
        <v>340.0</v>
      </c>
      <c r="S461" s="1">
        <v>243.0</v>
      </c>
      <c r="T461" s="1">
        <v>62.0</v>
      </c>
      <c r="U461" s="1">
        <v>814.0</v>
      </c>
      <c r="V461" s="1">
        <v>11.0</v>
      </c>
      <c r="W461" s="1">
        <v>607.0</v>
      </c>
      <c r="X461" s="1">
        <v>0.0</v>
      </c>
      <c r="Y461" s="1">
        <v>1.78</v>
      </c>
      <c r="Z461" s="1">
        <v>7.3</v>
      </c>
    </row>
    <row r="462" ht="14.25" customHeight="1">
      <c r="A462" s="1" t="s">
        <v>26</v>
      </c>
      <c r="B462" s="1" t="s">
        <v>891</v>
      </c>
      <c r="C462" s="1" t="s">
        <v>2628</v>
      </c>
      <c r="D462" s="1">
        <v>5.6684819E7</v>
      </c>
      <c r="E462" s="1" t="s">
        <v>65</v>
      </c>
      <c r="F462" s="1" t="s">
        <v>182</v>
      </c>
      <c r="G462" s="1" t="s">
        <v>2629</v>
      </c>
      <c r="H462" s="1" t="s">
        <v>2630</v>
      </c>
      <c r="I462" s="1">
        <v>103787.0</v>
      </c>
      <c r="J462" s="1" t="s">
        <v>2631</v>
      </c>
      <c r="K462" s="1" t="s">
        <v>2632</v>
      </c>
      <c r="L462" s="1">
        <v>615.0</v>
      </c>
      <c r="M462" s="1" t="s">
        <v>35</v>
      </c>
      <c r="N462" s="1" t="s">
        <v>36</v>
      </c>
      <c r="O462" s="1" t="s">
        <v>37</v>
      </c>
      <c r="P462" s="1">
        <v>8.0E7</v>
      </c>
      <c r="Q462" s="1">
        <v>2002.0</v>
      </c>
      <c r="R462" s="1">
        <v>891.0</v>
      </c>
      <c r="S462" s="1">
        <v>639.0</v>
      </c>
      <c r="T462" s="1">
        <v>102.0</v>
      </c>
      <c r="U462" s="1">
        <v>1919.0</v>
      </c>
      <c r="V462" s="1">
        <v>25.0</v>
      </c>
      <c r="W462" s="1">
        <v>3000.0</v>
      </c>
      <c r="X462" s="1">
        <v>0.0</v>
      </c>
      <c r="Y462" s="1">
        <v>2.35</v>
      </c>
      <c r="Z462" s="1">
        <v>5.9</v>
      </c>
    </row>
    <row r="463" ht="14.25" customHeight="1">
      <c r="A463" s="1" t="s">
        <v>26</v>
      </c>
      <c r="B463" s="1" t="s">
        <v>1819</v>
      </c>
      <c r="C463" s="1" t="s">
        <v>2633</v>
      </c>
      <c r="D463" s="1">
        <v>5.0628009E7</v>
      </c>
      <c r="E463" s="1" t="s">
        <v>2634</v>
      </c>
      <c r="F463" s="1" t="s">
        <v>741</v>
      </c>
      <c r="G463" s="1" t="s">
        <v>2635</v>
      </c>
      <c r="H463" s="1" t="s">
        <v>2636</v>
      </c>
      <c r="I463" s="1">
        <v>22955.0</v>
      </c>
      <c r="J463" s="1" t="s">
        <v>2637</v>
      </c>
      <c r="K463" s="1" t="s">
        <v>2638</v>
      </c>
      <c r="L463" s="1">
        <v>88.0</v>
      </c>
      <c r="M463" s="1" t="s">
        <v>35</v>
      </c>
      <c r="N463" s="1" t="s">
        <v>36</v>
      </c>
      <c r="O463" s="1" t="s">
        <v>87</v>
      </c>
      <c r="P463" s="1">
        <v>9.0E7</v>
      </c>
      <c r="Q463" s="1">
        <v>1998.0</v>
      </c>
      <c r="R463" s="1">
        <v>9000.0</v>
      </c>
      <c r="S463" s="1">
        <v>496.0</v>
      </c>
      <c r="T463" s="1">
        <v>372.0</v>
      </c>
      <c r="U463" s="1">
        <v>10731.0</v>
      </c>
      <c r="V463" s="1">
        <v>31.0</v>
      </c>
      <c r="W463" s="1">
        <v>0.0</v>
      </c>
      <c r="X463" s="1">
        <v>0.0</v>
      </c>
      <c r="Y463" s="1">
        <v>1.85</v>
      </c>
      <c r="Z463" s="1">
        <v>5.6</v>
      </c>
    </row>
    <row r="464" ht="14.25" customHeight="1">
      <c r="A464" s="1" t="s">
        <v>26</v>
      </c>
      <c r="B464" s="1" t="s">
        <v>1604</v>
      </c>
      <c r="C464" s="1" t="s">
        <v>2639</v>
      </c>
      <c r="D464" s="1">
        <v>6.9772969E7</v>
      </c>
      <c r="E464" s="1" t="s">
        <v>326</v>
      </c>
      <c r="F464" s="1" t="s">
        <v>255</v>
      </c>
      <c r="G464" s="1" t="s">
        <v>244</v>
      </c>
      <c r="H464" s="1" t="s">
        <v>1009</v>
      </c>
      <c r="I464" s="1">
        <v>155532.0</v>
      </c>
      <c r="J464" s="1" t="s">
        <v>2640</v>
      </c>
      <c r="K464" s="1" t="s">
        <v>2641</v>
      </c>
      <c r="L464" s="1">
        <v>543.0</v>
      </c>
      <c r="M464" s="1" t="s">
        <v>35</v>
      </c>
      <c r="N464" s="1" t="s">
        <v>36</v>
      </c>
      <c r="O464" s="1" t="s">
        <v>628</v>
      </c>
      <c r="P464" s="1">
        <v>8.0E7</v>
      </c>
      <c r="Q464" s="1">
        <v>2001.0</v>
      </c>
      <c r="R464" s="1">
        <v>20000.0</v>
      </c>
      <c r="S464" s="1">
        <v>3000.0</v>
      </c>
      <c r="T464" s="1">
        <v>820.0</v>
      </c>
      <c r="U464" s="1">
        <v>25942.0</v>
      </c>
      <c r="V464" s="1">
        <v>57.0</v>
      </c>
      <c r="W464" s="1">
        <v>0.0</v>
      </c>
      <c r="X464" s="1">
        <v>4.0</v>
      </c>
      <c r="Y464" s="1">
        <v>2.35</v>
      </c>
      <c r="Z464" s="1">
        <v>6.5</v>
      </c>
    </row>
    <row r="465" ht="14.25" customHeight="1">
      <c r="A465" s="1" t="s">
        <v>26</v>
      </c>
      <c r="B465" s="1" t="s">
        <v>305</v>
      </c>
      <c r="C465" s="1" t="s">
        <v>2642</v>
      </c>
      <c r="D465" s="1">
        <v>4.5356386E7</v>
      </c>
      <c r="E465" s="1" t="s">
        <v>128</v>
      </c>
      <c r="F465" s="1" t="s">
        <v>2643</v>
      </c>
      <c r="G465" s="1" t="s">
        <v>2644</v>
      </c>
      <c r="H465" s="1" t="s">
        <v>2645</v>
      </c>
      <c r="I465" s="1">
        <v>71574.0</v>
      </c>
      <c r="J465" s="1" t="s">
        <v>2646</v>
      </c>
      <c r="K465" s="1" t="s">
        <v>2647</v>
      </c>
      <c r="L465" s="1">
        <v>244.0</v>
      </c>
      <c r="M465" s="1" t="s">
        <v>2648</v>
      </c>
      <c r="N465" s="1" t="s">
        <v>36</v>
      </c>
      <c r="O465" s="1" t="s">
        <v>87</v>
      </c>
      <c r="P465" s="1">
        <v>7.5E7</v>
      </c>
      <c r="Q465" s="1">
        <v>2005.0</v>
      </c>
      <c r="R465" s="1">
        <v>2000.0</v>
      </c>
      <c r="S465" s="1">
        <v>277.0</v>
      </c>
      <c r="T465" s="1">
        <v>163.0</v>
      </c>
      <c r="U465" s="1">
        <v>2864.0</v>
      </c>
      <c r="V465" s="1">
        <v>258.0</v>
      </c>
      <c r="W465" s="1">
        <v>951.0</v>
      </c>
      <c r="X465" s="1">
        <v>1.0</v>
      </c>
      <c r="Y465" s="1">
        <v>2.35</v>
      </c>
      <c r="Z465" s="1">
        <v>5.9</v>
      </c>
    </row>
    <row r="466" ht="14.25" customHeight="1">
      <c r="A466" s="1" t="s">
        <v>26</v>
      </c>
      <c r="B466" s="1" t="s">
        <v>2649</v>
      </c>
      <c r="C466" s="1" t="s">
        <v>2650</v>
      </c>
      <c r="D466" s="1">
        <v>5.5350897E7</v>
      </c>
      <c r="E466" s="1" t="s">
        <v>650</v>
      </c>
      <c r="F466" s="1" t="s">
        <v>774</v>
      </c>
      <c r="G466" s="1" t="s">
        <v>2651</v>
      </c>
      <c r="H466" s="1" t="s">
        <v>2652</v>
      </c>
      <c r="I466" s="1">
        <v>83560.0</v>
      </c>
      <c r="J466" s="1" t="s">
        <v>2653</v>
      </c>
      <c r="K466" s="1" t="s">
        <v>2654</v>
      </c>
      <c r="L466" s="1">
        <v>619.0</v>
      </c>
      <c r="M466" s="1" t="s">
        <v>35</v>
      </c>
      <c r="N466" s="1" t="s">
        <v>36</v>
      </c>
      <c r="O466" s="1" t="s">
        <v>37</v>
      </c>
      <c r="P466" s="1">
        <v>8.5E7</v>
      </c>
      <c r="Q466" s="1">
        <v>1998.0</v>
      </c>
      <c r="R466" s="1">
        <v>49000.0</v>
      </c>
      <c r="S466" s="1">
        <v>448.0</v>
      </c>
      <c r="T466" s="1">
        <v>129.0</v>
      </c>
      <c r="U466" s="1">
        <v>49631.0</v>
      </c>
      <c r="V466" s="1">
        <v>25.0</v>
      </c>
      <c r="W466" s="1">
        <v>32000.0</v>
      </c>
      <c r="X466" s="1">
        <v>1.0</v>
      </c>
      <c r="Y466" s="1">
        <v>2.35</v>
      </c>
      <c r="Z466" s="1">
        <v>7.0</v>
      </c>
    </row>
    <row r="467" ht="14.25" customHeight="1">
      <c r="A467" s="1" t="s">
        <v>26</v>
      </c>
      <c r="B467" s="1" t="s">
        <v>2655</v>
      </c>
      <c r="C467" s="1" t="s">
        <v>2656</v>
      </c>
      <c r="D467" s="1">
        <v>3.9442871E7</v>
      </c>
      <c r="E467" s="1" t="s">
        <v>2657</v>
      </c>
      <c r="F467" s="1" t="s">
        <v>2095</v>
      </c>
      <c r="G467" s="1" t="s">
        <v>1875</v>
      </c>
      <c r="H467" s="1" t="s">
        <v>2658</v>
      </c>
      <c r="I467" s="1">
        <v>80639.0</v>
      </c>
      <c r="J467" s="1" t="s">
        <v>2659</v>
      </c>
      <c r="K467" s="1" t="s">
        <v>2660</v>
      </c>
      <c r="L467" s="1">
        <v>237.0</v>
      </c>
      <c r="M467" s="1" t="s">
        <v>35</v>
      </c>
      <c r="N467" s="1" t="s">
        <v>36</v>
      </c>
      <c r="O467" s="1" t="s">
        <v>37</v>
      </c>
      <c r="P467" s="1">
        <v>8.0E7</v>
      </c>
      <c r="Q467" s="1">
        <v>2000.0</v>
      </c>
      <c r="R467" s="1">
        <v>11000.0</v>
      </c>
      <c r="S467" s="1">
        <v>11000.0</v>
      </c>
      <c r="T467" s="1">
        <v>658.0</v>
      </c>
      <c r="U467" s="1">
        <v>25190.0</v>
      </c>
      <c r="V467" s="1">
        <v>65.0</v>
      </c>
      <c r="W467" s="1">
        <v>0.0</v>
      </c>
      <c r="X467" s="1">
        <v>0.0</v>
      </c>
      <c r="Y467" s="1">
        <v>1.85</v>
      </c>
      <c r="Z467" s="1">
        <v>5.3</v>
      </c>
    </row>
    <row r="468" ht="14.25" customHeight="1">
      <c r="A468" s="1" t="s">
        <v>26</v>
      </c>
      <c r="B468" s="1" t="s">
        <v>2661</v>
      </c>
      <c r="C468" s="1" t="s">
        <v>2662</v>
      </c>
      <c r="D468" s="1">
        <v>3.7899638E7</v>
      </c>
      <c r="E468" s="1" t="s">
        <v>2663</v>
      </c>
      <c r="F468" s="1" t="s">
        <v>1113</v>
      </c>
      <c r="G468" s="1" t="s">
        <v>450</v>
      </c>
      <c r="H468" s="1" t="s">
        <v>1168</v>
      </c>
      <c r="I468" s="1">
        <v>98472.0</v>
      </c>
      <c r="J468" s="1" t="s">
        <v>2664</v>
      </c>
      <c r="K468" s="1" t="s">
        <v>2665</v>
      </c>
      <c r="L468" s="1">
        <v>492.0</v>
      </c>
      <c r="M468" s="1" t="s">
        <v>35</v>
      </c>
      <c r="N468" s="1" t="s">
        <v>36</v>
      </c>
      <c r="O468" s="1" t="s">
        <v>37</v>
      </c>
      <c r="P468" s="1">
        <v>8.8E7</v>
      </c>
      <c r="Q468" s="1">
        <v>2005.0</v>
      </c>
      <c r="R468" s="1">
        <v>13000.0</v>
      </c>
      <c r="S468" s="1">
        <v>13000.0</v>
      </c>
      <c r="T468" s="1">
        <v>871.0</v>
      </c>
      <c r="U468" s="1">
        <v>27114.0</v>
      </c>
      <c r="V468" s="1">
        <v>0.0</v>
      </c>
      <c r="W468" s="1">
        <v>0.0</v>
      </c>
      <c r="X468" s="1">
        <v>2.0</v>
      </c>
      <c r="Y468" s="1">
        <v>1.85</v>
      </c>
      <c r="Z468" s="1">
        <v>5.9</v>
      </c>
    </row>
    <row r="469" ht="14.25" customHeight="1">
      <c r="A469" s="1" t="s">
        <v>26</v>
      </c>
      <c r="B469" s="1" t="s">
        <v>247</v>
      </c>
      <c r="C469" s="1" t="s">
        <v>2666</v>
      </c>
      <c r="D469" s="1">
        <v>3.7754208E7</v>
      </c>
      <c r="E469" s="1" t="s">
        <v>1821</v>
      </c>
      <c r="F469" s="1" t="s">
        <v>805</v>
      </c>
      <c r="G469" s="1" t="s">
        <v>922</v>
      </c>
      <c r="H469" s="1" t="s">
        <v>1091</v>
      </c>
      <c r="I469" s="1">
        <v>172217.0</v>
      </c>
      <c r="J469" s="1" t="s">
        <v>2667</v>
      </c>
      <c r="K469" s="1" t="s">
        <v>2668</v>
      </c>
      <c r="L469" s="1">
        <v>405.0</v>
      </c>
      <c r="M469" s="1" t="s">
        <v>35</v>
      </c>
      <c r="N469" s="1" t="s">
        <v>36</v>
      </c>
      <c r="O469" s="1" t="s">
        <v>37</v>
      </c>
      <c r="P469" s="1">
        <v>7.0E7</v>
      </c>
      <c r="Q469" s="1">
        <v>1996.0</v>
      </c>
      <c r="R469" s="1">
        <v>20000.0</v>
      </c>
      <c r="S469" s="1">
        <v>770.0</v>
      </c>
      <c r="T469" s="1">
        <v>733.0</v>
      </c>
      <c r="U469" s="1">
        <v>22590.0</v>
      </c>
      <c r="V469" s="1">
        <v>13000.0</v>
      </c>
      <c r="W469" s="1">
        <v>0.0</v>
      </c>
      <c r="X469" s="1">
        <v>3.0</v>
      </c>
      <c r="Y469" s="1">
        <v>2.35</v>
      </c>
      <c r="Z469" s="1">
        <v>6.3</v>
      </c>
    </row>
    <row r="470" ht="14.25" customHeight="1">
      <c r="A470" s="1" t="s">
        <v>26</v>
      </c>
      <c r="B470" s="1" t="s">
        <v>621</v>
      </c>
      <c r="C470" s="1" t="s">
        <v>2669</v>
      </c>
      <c r="D470" s="1">
        <v>3.8542418E7</v>
      </c>
      <c r="E470" s="1" t="s">
        <v>2670</v>
      </c>
      <c r="F470" s="1" t="s">
        <v>941</v>
      </c>
      <c r="G470" s="1" t="s">
        <v>2671</v>
      </c>
      <c r="H470" s="1" t="s">
        <v>2672</v>
      </c>
      <c r="I470" s="1">
        <v>151424.0</v>
      </c>
      <c r="J470" s="1" t="s">
        <v>2673</v>
      </c>
      <c r="K470" s="1" t="s">
        <v>2674</v>
      </c>
      <c r="L470" s="1">
        <v>252.0</v>
      </c>
      <c r="M470" s="1" t="s">
        <v>35</v>
      </c>
      <c r="N470" s="1" t="s">
        <v>36</v>
      </c>
      <c r="O470" s="1" t="s">
        <v>37</v>
      </c>
      <c r="P470" s="1">
        <v>8.0E7</v>
      </c>
      <c r="Q470" s="1">
        <v>2009.0</v>
      </c>
      <c r="R470" s="1">
        <v>13000.0</v>
      </c>
      <c r="S470" s="1">
        <v>1000.0</v>
      </c>
      <c r="T470" s="1">
        <v>1000.0</v>
      </c>
      <c r="U470" s="1">
        <v>18132.0</v>
      </c>
      <c r="V470" s="1">
        <v>84.0</v>
      </c>
      <c r="W470" s="1">
        <v>0.0</v>
      </c>
      <c r="X470" s="1">
        <v>5.0</v>
      </c>
      <c r="Y470" s="1">
        <v>2.35</v>
      </c>
      <c r="Z470" s="1">
        <v>6.3</v>
      </c>
    </row>
    <row r="471" ht="14.25" customHeight="1">
      <c r="A471" s="1" t="s">
        <v>26</v>
      </c>
      <c r="B471" s="1" t="s">
        <v>1424</v>
      </c>
      <c r="C471" s="1" t="s">
        <v>2675</v>
      </c>
      <c r="D471" s="1">
        <v>3.4566746E7</v>
      </c>
      <c r="E471" s="1" t="s">
        <v>2676</v>
      </c>
      <c r="F471" s="1" t="s">
        <v>346</v>
      </c>
      <c r="G471" s="1" t="s">
        <v>2677</v>
      </c>
      <c r="H471" s="1" t="s">
        <v>2678</v>
      </c>
      <c r="I471" s="1">
        <v>45231.0</v>
      </c>
      <c r="J471" s="1" t="s">
        <v>2679</v>
      </c>
      <c r="K471" s="1" t="s">
        <v>2680</v>
      </c>
      <c r="L471" s="1">
        <v>315.0</v>
      </c>
      <c r="M471" s="1" t="s">
        <v>35</v>
      </c>
      <c r="N471" s="1" t="s">
        <v>36</v>
      </c>
      <c r="O471" s="1" t="s">
        <v>37</v>
      </c>
      <c r="P471" s="1">
        <v>8.0E7</v>
      </c>
      <c r="Q471" s="1">
        <v>2000.0</v>
      </c>
      <c r="R471" s="1">
        <v>981.0</v>
      </c>
      <c r="S471" s="1">
        <v>274.0</v>
      </c>
      <c r="T471" s="1">
        <v>183.0</v>
      </c>
      <c r="U471" s="1">
        <v>1825.0</v>
      </c>
      <c r="V471" s="1">
        <v>79.0</v>
      </c>
      <c r="W471" s="1">
        <v>0.0</v>
      </c>
      <c r="X471" s="1">
        <v>1.0</v>
      </c>
      <c r="Y471" s="1">
        <v>1.85</v>
      </c>
      <c r="Z471" s="1">
        <v>7.3</v>
      </c>
    </row>
    <row r="472" ht="14.25" customHeight="1">
      <c r="A472" s="1" t="s">
        <v>26</v>
      </c>
      <c r="B472" s="1" t="s">
        <v>484</v>
      </c>
      <c r="C472" s="1" t="s">
        <v>2681</v>
      </c>
      <c r="D472" s="1">
        <v>3.2885565E7</v>
      </c>
      <c r="E472" s="1" t="s">
        <v>675</v>
      </c>
      <c r="F472" s="1" t="s">
        <v>1702</v>
      </c>
      <c r="G472" s="1" t="s">
        <v>2682</v>
      </c>
      <c r="H472" s="1" t="s">
        <v>2683</v>
      </c>
      <c r="I472" s="1">
        <v>53132.0</v>
      </c>
      <c r="J472" s="1" t="s">
        <v>2684</v>
      </c>
      <c r="K472" s="1" t="s">
        <v>2685</v>
      </c>
      <c r="L472" s="1">
        <v>101.0</v>
      </c>
      <c r="M472" s="1" t="s">
        <v>35</v>
      </c>
      <c r="N472" s="1" t="s">
        <v>36</v>
      </c>
      <c r="O472" s="1" t="s">
        <v>37</v>
      </c>
      <c r="P472" s="1">
        <v>8.0E7</v>
      </c>
      <c r="Q472" s="1">
        <v>1996.0</v>
      </c>
      <c r="R472" s="1">
        <v>13000.0</v>
      </c>
      <c r="S472" s="1">
        <v>10000.0</v>
      </c>
      <c r="T472" s="1">
        <v>366.0</v>
      </c>
      <c r="U472" s="1">
        <v>25126.0</v>
      </c>
      <c r="V472" s="1">
        <v>357.0</v>
      </c>
      <c r="W472" s="1">
        <v>0.0</v>
      </c>
      <c r="X472" s="1">
        <v>0.0</v>
      </c>
      <c r="Y472" s="1">
        <v>1.85</v>
      </c>
      <c r="Z472" s="1">
        <v>5.8</v>
      </c>
    </row>
    <row r="473" ht="14.25" customHeight="1">
      <c r="A473" s="1" t="s">
        <v>26</v>
      </c>
      <c r="B473" s="1" t="s">
        <v>2686</v>
      </c>
      <c r="C473" s="1" t="s">
        <v>2687</v>
      </c>
      <c r="D473" s="1">
        <v>3.6073232E7</v>
      </c>
      <c r="E473" s="1" t="s">
        <v>2688</v>
      </c>
      <c r="F473" s="1" t="s">
        <v>2689</v>
      </c>
      <c r="G473" s="1" t="s">
        <v>2690</v>
      </c>
      <c r="H473" s="1" t="s">
        <v>2691</v>
      </c>
      <c r="I473" s="1">
        <v>8913.0</v>
      </c>
      <c r="J473" s="1" t="s">
        <v>2692</v>
      </c>
      <c r="K473" s="1" t="s">
        <v>2693</v>
      </c>
      <c r="L473" s="1">
        <v>66.0</v>
      </c>
      <c r="M473" s="1" t="s">
        <v>35</v>
      </c>
      <c r="N473" s="1" t="s">
        <v>36</v>
      </c>
      <c r="O473" s="1" t="s">
        <v>87</v>
      </c>
      <c r="P473" s="1">
        <v>8.0E7</v>
      </c>
      <c r="Q473" s="1">
        <v>2013.0</v>
      </c>
      <c r="R473" s="1">
        <v>882.0</v>
      </c>
      <c r="S473" s="1">
        <v>396.0</v>
      </c>
      <c r="T473" s="1">
        <v>210.0</v>
      </c>
      <c r="U473" s="1">
        <v>1971.0</v>
      </c>
      <c r="V473" s="1">
        <v>43.0</v>
      </c>
      <c r="W473" s="1">
        <v>0.0</v>
      </c>
      <c r="X473" s="1">
        <v>0.0</v>
      </c>
      <c r="Y473" s="1">
        <v>2.35</v>
      </c>
      <c r="Z473" s="1">
        <v>5.2</v>
      </c>
    </row>
    <row r="474" ht="14.25" customHeight="1">
      <c r="A474" s="1" t="s">
        <v>26</v>
      </c>
      <c r="B474" s="1" t="s">
        <v>2694</v>
      </c>
      <c r="C474" s="1" t="s">
        <v>2695</v>
      </c>
      <c r="D474" s="1">
        <v>2.1471685E7</v>
      </c>
      <c r="E474" s="1" t="s">
        <v>65</v>
      </c>
      <c r="F474" s="1" t="s">
        <v>2696</v>
      </c>
      <c r="G474" s="1" t="s">
        <v>2152</v>
      </c>
      <c r="H474" s="1" t="s">
        <v>2697</v>
      </c>
      <c r="I474" s="1">
        <v>65464.0</v>
      </c>
      <c r="J474" s="1" t="s">
        <v>2698</v>
      </c>
      <c r="K474" s="1" t="s">
        <v>2699</v>
      </c>
      <c r="L474" s="1">
        <v>1308.0</v>
      </c>
      <c r="M474" s="1" t="s">
        <v>35</v>
      </c>
      <c r="N474" s="1" t="s">
        <v>36</v>
      </c>
      <c r="O474" s="1" t="s">
        <v>37</v>
      </c>
      <c r="P474" s="1">
        <v>4.4E7</v>
      </c>
      <c r="Q474" s="1">
        <v>2000.0</v>
      </c>
      <c r="R474" s="1">
        <v>743.0</v>
      </c>
      <c r="S474" s="1">
        <v>117.0</v>
      </c>
      <c r="T474" s="1">
        <v>41.0</v>
      </c>
      <c r="U474" s="1">
        <v>971.0</v>
      </c>
      <c r="V474" s="1">
        <v>64.0</v>
      </c>
      <c r="W474" s="1">
        <v>0.0</v>
      </c>
      <c r="X474" s="1">
        <v>0.0</v>
      </c>
      <c r="Y474" s="1">
        <v>2.35</v>
      </c>
      <c r="Z474" s="1">
        <v>2.4</v>
      </c>
    </row>
    <row r="475" ht="14.25" customHeight="1">
      <c r="A475" s="1" t="s">
        <v>26</v>
      </c>
      <c r="B475" s="1" t="s">
        <v>2700</v>
      </c>
      <c r="C475" s="1" t="s">
        <v>2701</v>
      </c>
      <c r="D475" s="1">
        <v>2.095082E7</v>
      </c>
      <c r="E475" s="1" t="s">
        <v>1132</v>
      </c>
      <c r="F475" s="1" t="s">
        <v>488</v>
      </c>
      <c r="G475" s="1" t="s">
        <v>2702</v>
      </c>
      <c r="H475" s="1" t="s">
        <v>2703</v>
      </c>
      <c r="I475" s="1">
        <v>24183.0</v>
      </c>
      <c r="J475" s="1" t="s">
        <v>2704</v>
      </c>
      <c r="K475" s="1" t="s">
        <v>2705</v>
      </c>
      <c r="L475" s="1">
        <v>160.0</v>
      </c>
      <c r="M475" s="1" t="s">
        <v>35</v>
      </c>
      <c r="N475" s="1" t="s">
        <v>730</v>
      </c>
      <c r="O475" s="1" t="s">
        <v>87</v>
      </c>
      <c r="P475" s="1">
        <v>8.0E7</v>
      </c>
      <c r="Q475" s="1">
        <v>2003.0</v>
      </c>
      <c r="R475" s="1">
        <v>3000.0</v>
      </c>
      <c r="S475" s="1">
        <v>739.0</v>
      </c>
      <c r="T475" s="1">
        <v>695.0</v>
      </c>
      <c r="U475" s="1">
        <v>5593.0</v>
      </c>
      <c r="V475" s="1">
        <v>287.0</v>
      </c>
      <c r="W475" s="1">
        <v>665.0</v>
      </c>
      <c r="X475" s="1">
        <v>4.0</v>
      </c>
      <c r="Y475" s="1">
        <v>2.35</v>
      </c>
      <c r="Z475" s="1">
        <v>5.7</v>
      </c>
    </row>
    <row r="476" ht="14.25" customHeight="1">
      <c r="A476" s="1" t="s">
        <v>710</v>
      </c>
      <c r="B476" s="1" t="s">
        <v>149</v>
      </c>
      <c r="C476" s="1" t="s">
        <v>2706</v>
      </c>
      <c r="D476" s="1">
        <v>1.9673424E7</v>
      </c>
      <c r="E476" s="1" t="s">
        <v>2707</v>
      </c>
      <c r="F476" s="1" t="s">
        <v>2708</v>
      </c>
      <c r="G476" s="1" t="s">
        <v>2709</v>
      </c>
      <c r="H476" s="1" t="s">
        <v>2710</v>
      </c>
      <c r="I476" s="1">
        <v>37446.0</v>
      </c>
      <c r="J476" s="1" t="s">
        <v>2711</v>
      </c>
      <c r="K476" s="1" t="s">
        <v>2712</v>
      </c>
      <c r="L476" s="1">
        <v>232.0</v>
      </c>
      <c r="M476" s="1" t="s">
        <v>35</v>
      </c>
      <c r="N476" s="1" t="s">
        <v>36</v>
      </c>
      <c r="O476" s="1" t="s">
        <v>37</v>
      </c>
      <c r="P476" s="1">
        <v>8.0E7</v>
      </c>
      <c r="Q476" s="1">
        <v>2009.0</v>
      </c>
      <c r="R476" s="1">
        <v>529.0</v>
      </c>
      <c r="S476" s="1">
        <v>48.0</v>
      </c>
      <c r="T476" s="1">
        <v>30.0</v>
      </c>
      <c r="U476" s="1">
        <v>619.0</v>
      </c>
      <c r="V476" s="1">
        <v>252.0</v>
      </c>
      <c r="W476" s="1">
        <v>0.0</v>
      </c>
      <c r="X476" s="1">
        <v>4.0</v>
      </c>
      <c r="Y476" s="1">
        <v>2.35</v>
      </c>
      <c r="Z476" s="1">
        <v>5.8</v>
      </c>
    </row>
    <row r="477" ht="14.25" customHeight="1">
      <c r="A477" s="1" t="s">
        <v>26</v>
      </c>
      <c r="B477" s="1" t="s">
        <v>1021</v>
      </c>
      <c r="C477" s="1" t="s">
        <v>2713</v>
      </c>
      <c r="D477" s="1">
        <v>1.9480739E7</v>
      </c>
      <c r="E477" s="1" t="s">
        <v>65</v>
      </c>
      <c r="F477" s="1" t="s">
        <v>328</v>
      </c>
      <c r="G477" s="1" t="s">
        <v>616</v>
      </c>
      <c r="H477" s="1" t="s">
        <v>2525</v>
      </c>
      <c r="I477" s="1">
        <v>53057.0</v>
      </c>
      <c r="J477" s="1" t="s">
        <v>2714</v>
      </c>
      <c r="K477" s="1" t="s">
        <v>2715</v>
      </c>
      <c r="L477" s="1">
        <v>457.0</v>
      </c>
      <c r="M477" s="1" t="s">
        <v>35</v>
      </c>
      <c r="N477" s="1" t="s">
        <v>36</v>
      </c>
      <c r="O477" s="1" t="s">
        <v>37</v>
      </c>
      <c r="P477" s="1">
        <v>8.0E7</v>
      </c>
      <c r="Q477" s="1">
        <v>2003.0</v>
      </c>
      <c r="R477" s="1">
        <v>23000.0</v>
      </c>
      <c r="S477" s="1">
        <v>18000.0</v>
      </c>
      <c r="T477" s="1">
        <v>982.0</v>
      </c>
      <c r="U477" s="1">
        <v>43887.0</v>
      </c>
      <c r="V477" s="1">
        <v>503.0</v>
      </c>
      <c r="W477" s="1">
        <v>0.0</v>
      </c>
      <c r="X477" s="1">
        <v>0.0</v>
      </c>
      <c r="Y477" s="1">
        <v>2.35</v>
      </c>
      <c r="Z477" s="1">
        <v>5.6</v>
      </c>
    </row>
    <row r="478" ht="14.25" customHeight="1">
      <c r="A478" s="1" t="s">
        <v>26</v>
      </c>
      <c r="B478" s="1" t="s">
        <v>2716</v>
      </c>
      <c r="C478" s="1" t="s">
        <v>2717</v>
      </c>
      <c r="D478" s="1">
        <v>1.7593391E7</v>
      </c>
      <c r="E478" s="1" t="s">
        <v>557</v>
      </c>
      <c r="F478" s="1" t="s">
        <v>1938</v>
      </c>
      <c r="G478" s="1" t="s">
        <v>2718</v>
      </c>
      <c r="H478" s="1" t="s">
        <v>2719</v>
      </c>
      <c r="I478" s="1">
        <v>56403.0</v>
      </c>
      <c r="J478" s="1" t="s">
        <v>2720</v>
      </c>
      <c r="K478" s="1" t="s">
        <v>2721</v>
      </c>
      <c r="L478" s="1">
        <v>376.0</v>
      </c>
      <c r="M478" s="1" t="s">
        <v>35</v>
      </c>
      <c r="N478" s="1" t="s">
        <v>36</v>
      </c>
      <c r="O478" s="1" t="s">
        <v>628</v>
      </c>
      <c r="P478" s="1">
        <v>8.0E7</v>
      </c>
      <c r="Q478" s="1">
        <v>1997.0</v>
      </c>
      <c r="R478" s="1">
        <v>766.0</v>
      </c>
      <c r="S478" s="1">
        <v>674.0</v>
      </c>
      <c r="T478" s="1">
        <v>582.0</v>
      </c>
      <c r="U478" s="1">
        <v>4346.0</v>
      </c>
      <c r="V478" s="1">
        <v>0.0</v>
      </c>
      <c r="W478" s="1">
        <v>0.0</v>
      </c>
      <c r="X478" s="1">
        <v>1.0</v>
      </c>
      <c r="Y478" s="1">
        <v>2.35</v>
      </c>
      <c r="Z478" s="1">
        <v>6.0</v>
      </c>
    </row>
    <row r="479" ht="14.25" customHeight="1">
      <c r="A479" s="1" t="s">
        <v>26</v>
      </c>
      <c r="B479" s="1" t="s">
        <v>808</v>
      </c>
      <c r="C479" s="1" t="s">
        <v>2722</v>
      </c>
      <c r="D479" s="1">
        <v>1.8318E7</v>
      </c>
      <c r="E479" s="1" t="s">
        <v>2351</v>
      </c>
      <c r="F479" s="1" t="s">
        <v>2723</v>
      </c>
      <c r="G479" s="1" t="s">
        <v>2230</v>
      </c>
      <c r="H479" s="1" t="s">
        <v>2724</v>
      </c>
      <c r="I479" s="1">
        <v>24868.0</v>
      </c>
      <c r="J479" s="1" t="s">
        <v>2725</v>
      </c>
      <c r="K479" s="1" t="s">
        <v>2726</v>
      </c>
      <c r="L479" s="1">
        <v>216.0</v>
      </c>
      <c r="M479" s="1" t="s">
        <v>35</v>
      </c>
      <c r="N479" s="1" t="s">
        <v>362</v>
      </c>
      <c r="O479" s="1" t="s">
        <v>269</v>
      </c>
      <c r="P479" s="1">
        <v>8.0E7</v>
      </c>
      <c r="Q479" s="1">
        <v>1998.0</v>
      </c>
      <c r="R479" s="1">
        <v>1000.0</v>
      </c>
      <c r="S479" s="1">
        <v>971.0</v>
      </c>
      <c r="T479" s="1">
        <v>231.0</v>
      </c>
      <c r="U479" s="1">
        <v>2521.0</v>
      </c>
      <c r="V479" s="1">
        <v>750.0</v>
      </c>
      <c r="W479" s="1">
        <v>964.0</v>
      </c>
      <c r="X479" s="1">
        <v>0.0</v>
      </c>
      <c r="Y479" s="1">
        <v>1.85</v>
      </c>
      <c r="Z479" s="1">
        <v>5.8</v>
      </c>
    </row>
    <row r="480" ht="14.25" customHeight="1">
      <c r="A480" s="1" t="s">
        <v>26</v>
      </c>
      <c r="B480" s="1" t="s">
        <v>1039</v>
      </c>
      <c r="C480" s="1" t="s">
        <v>2727</v>
      </c>
      <c r="D480" s="1">
        <v>2.735609E7</v>
      </c>
      <c r="E480" s="1" t="s">
        <v>40</v>
      </c>
      <c r="F480" s="1" t="s">
        <v>329</v>
      </c>
      <c r="G480" s="1" t="s">
        <v>2728</v>
      </c>
      <c r="H480" s="1" t="s">
        <v>2729</v>
      </c>
      <c r="I480" s="1">
        <v>58752.0</v>
      </c>
      <c r="J480" s="1" t="s">
        <v>2730</v>
      </c>
      <c r="K480" s="1" t="s">
        <v>2731</v>
      </c>
      <c r="L480" s="1">
        <v>117.0</v>
      </c>
      <c r="M480" s="1" t="s">
        <v>35</v>
      </c>
      <c r="N480" s="1" t="s">
        <v>36</v>
      </c>
      <c r="O480" s="1" t="s">
        <v>37</v>
      </c>
      <c r="P480" s="1">
        <v>9.0E7</v>
      </c>
      <c r="Q480" s="1">
        <v>2015.0</v>
      </c>
      <c r="R480" s="1">
        <v>14000.0</v>
      </c>
      <c r="S480" s="1">
        <v>788.0</v>
      </c>
      <c r="T480" s="1">
        <v>612.0</v>
      </c>
      <c r="U480" s="1">
        <v>16922.0</v>
      </c>
      <c r="V480" s="1">
        <v>42.0</v>
      </c>
      <c r="W480" s="1">
        <v>21000.0</v>
      </c>
      <c r="X480" s="1">
        <v>0.0</v>
      </c>
      <c r="Y480" s="1">
        <v>2.35</v>
      </c>
      <c r="Z480" s="1">
        <v>6.0</v>
      </c>
    </row>
    <row r="481" ht="14.25" customHeight="1">
      <c r="A481" s="1" t="s">
        <v>26</v>
      </c>
      <c r="B481" s="1" t="s">
        <v>2732</v>
      </c>
      <c r="C481" s="1" t="s">
        <v>2733</v>
      </c>
      <c r="D481" s="1">
        <v>1.7473245E7</v>
      </c>
      <c r="E481" s="1" t="s">
        <v>2670</v>
      </c>
      <c r="F481" s="1" t="s">
        <v>2734</v>
      </c>
      <c r="G481" s="1" t="s">
        <v>2735</v>
      </c>
      <c r="H481" s="1" t="s">
        <v>2736</v>
      </c>
      <c r="I481" s="1">
        <v>47612.0</v>
      </c>
      <c r="J481" s="1" t="s">
        <v>2737</v>
      </c>
      <c r="K481" s="1" t="s">
        <v>2738</v>
      </c>
      <c r="L481" s="1">
        <v>348.0</v>
      </c>
      <c r="M481" s="1" t="s">
        <v>35</v>
      </c>
      <c r="N481" s="1" t="s">
        <v>36</v>
      </c>
      <c r="O481" s="1" t="s">
        <v>37</v>
      </c>
      <c r="P481" s="1">
        <v>7.0E7</v>
      </c>
      <c r="Q481" s="1">
        <v>2000.0</v>
      </c>
      <c r="R481" s="1">
        <v>2.0</v>
      </c>
      <c r="S481" s="1">
        <v>0.0</v>
      </c>
      <c r="T481" s="1">
        <v>0.0</v>
      </c>
      <c r="U481" s="1">
        <v>2.0</v>
      </c>
      <c r="V481" s="1">
        <v>14.0</v>
      </c>
      <c r="W481" s="1">
        <v>995.0</v>
      </c>
      <c r="X481" s="1">
        <v>1.0</v>
      </c>
      <c r="Y481" s="1">
        <v>2.35</v>
      </c>
      <c r="Z481" s="1">
        <v>5.7</v>
      </c>
    </row>
    <row r="482" ht="14.25" customHeight="1">
      <c r="A482" s="1" t="s">
        <v>26</v>
      </c>
      <c r="B482" s="1" t="s">
        <v>1890</v>
      </c>
      <c r="C482" s="1" t="s">
        <v>2739</v>
      </c>
      <c r="D482" s="1">
        <v>1.513133E7</v>
      </c>
      <c r="E482" s="1" t="s">
        <v>603</v>
      </c>
      <c r="F482" s="1" t="s">
        <v>2740</v>
      </c>
      <c r="G482" s="1" t="s">
        <v>2741</v>
      </c>
      <c r="H482" s="1" t="s">
        <v>2742</v>
      </c>
      <c r="I482" s="1">
        <v>25843.0</v>
      </c>
      <c r="J482" s="1" t="s">
        <v>2743</v>
      </c>
      <c r="K482" s="1" t="s">
        <v>2744</v>
      </c>
      <c r="L482" s="1">
        <v>64.0</v>
      </c>
      <c r="M482" s="1" t="s">
        <v>35</v>
      </c>
      <c r="N482" s="1" t="s">
        <v>1832</v>
      </c>
      <c r="O482" s="1" t="s">
        <v>87</v>
      </c>
      <c r="P482" s="1">
        <v>8.6E7</v>
      </c>
      <c r="Q482" s="1">
        <v>2006.0</v>
      </c>
      <c r="R482" s="1">
        <v>563.0</v>
      </c>
      <c r="S482" s="1">
        <v>80.0</v>
      </c>
      <c r="T482" s="1">
        <v>14.0</v>
      </c>
      <c r="U482" s="1">
        <v>683.0</v>
      </c>
      <c r="V482" s="1">
        <v>0.0</v>
      </c>
      <c r="W482" s="1">
        <v>941.0</v>
      </c>
      <c r="X482" s="1">
        <v>0.0</v>
      </c>
      <c r="Y482" s="1">
        <v>2.35</v>
      </c>
      <c r="Z482" s="1">
        <v>6.0</v>
      </c>
    </row>
    <row r="483" ht="14.25" customHeight="1">
      <c r="A483" s="1" t="s">
        <v>26</v>
      </c>
      <c r="B483" s="1" t="s">
        <v>2745</v>
      </c>
      <c r="C483" s="1" t="s">
        <v>2746</v>
      </c>
      <c r="D483" s="1">
        <v>1.9406406E7</v>
      </c>
      <c r="E483" s="1" t="s">
        <v>2747</v>
      </c>
      <c r="F483" s="1" t="s">
        <v>2748</v>
      </c>
      <c r="G483" s="1" t="s">
        <v>2745</v>
      </c>
      <c r="H483" s="1" t="s">
        <v>2749</v>
      </c>
      <c r="I483" s="1">
        <v>7630.0</v>
      </c>
      <c r="J483" s="1" t="s">
        <v>2750</v>
      </c>
      <c r="K483" s="1" t="s">
        <v>2751</v>
      </c>
      <c r="L483" s="1">
        <v>42.0</v>
      </c>
      <c r="M483" s="1" t="s">
        <v>2752</v>
      </c>
      <c r="N483" s="1" t="s">
        <v>1832</v>
      </c>
      <c r="O483" s="1" t="s">
        <v>269</v>
      </c>
      <c r="P483" s="1">
        <v>4.0E7</v>
      </c>
      <c r="Q483" s="1">
        <v>2009.0</v>
      </c>
      <c r="R483" s="1">
        <v>67.0</v>
      </c>
      <c r="S483" s="1">
        <v>63.0</v>
      </c>
      <c r="T483" s="1">
        <v>7.0</v>
      </c>
      <c r="U483" s="1">
        <v>152.0</v>
      </c>
      <c r="V483" s="1">
        <v>63.0</v>
      </c>
      <c r="W483" s="1">
        <v>0.0</v>
      </c>
      <c r="X483" s="1">
        <v>0.0</v>
      </c>
      <c r="Y483" s="1">
        <v>2.35</v>
      </c>
      <c r="Z483" s="1">
        <v>7.8</v>
      </c>
    </row>
    <row r="484" ht="14.25" customHeight="1">
      <c r="A484" s="1" t="s">
        <v>26</v>
      </c>
      <c r="B484" s="1" t="s">
        <v>1736</v>
      </c>
      <c r="C484" s="1" t="s">
        <v>2753</v>
      </c>
      <c r="D484" s="1">
        <v>1891821.0</v>
      </c>
      <c r="E484" s="1" t="s">
        <v>333</v>
      </c>
      <c r="F484" s="1" t="s">
        <v>1958</v>
      </c>
      <c r="G484" s="1" t="s">
        <v>2158</v>
      </c>
      <c r="H484" s="1" t="s">
        <v>2754</v>
      </c>
      <c r="I484" s="1">
        <v>16474.0</v>
      </c>
      <c r="J484" s="1" t="s">
        <v>2755</v>
      </c>
      <c r="K484" s="1" t="s">
        <v>2756</v>
      </c>
      <c r="L484" s="1">
        <v>301.0</v>
      </c>
      <c r="M484" s="1" t="s">
        <v>35</v>
      </c>
      <c r="N484" s="1" t="s">
        <v>54</v>
      </c>
      <c r="O484" s="1" t="s">
        <v>37</v>
      </c>
      <c r="P484" s="1">
        <v>5.2E7</v>
      </c>
      <c r="Q484" s="1">
        <v>2005.0</v>
      </c>
      <c r="R484" s="1">
        <v>1000.0</v>
      </c>
      <c r="S484" s="1">
        <v>307.0</v>
      </c>
      <c r="T484" s="1">
        <v>212.0</v>
      </c>
      <c r="U484" s="1">
        <v>1890.0</v>
      </c>
      <c r="V484" s="1">
        <v>0.0</v>
      </c>
      <c r="W484" s="1">
        <v>785.0</v>
      </c>
      <c r="X484" s="1">
        <v>0.0</v>
      </c>
      <c r="Y484" s="1">
        <v>2.35</v>
      </c>
      <c r="Z484" s="1">
        <v>4.2</v>
      </c>
    </row>
    <row r="485" ht="14.25" customHeight="1">
      <c r="A485" s="1" t="s">
        <v>26</v>
      </c>
      <c r="B485" s="1" t="s">
        <v>2246</v>
      </c>
      <c r="C485" s="1" t="s">
        <v>2757</v>
      </c>
      <c r="D485" s="1">
        <v>2.3219748E7</v>
      </c>
      <c r="E485" s="1" t="s">
        <v>2758</v>
      </c>
      <c r="F485" s="1" t="s">
        <v>2759</v>
      </c>
      <c r="G485" s="1" t="s">
        <v>2760</v>
      </c>
      <c r="H485" s="1" t="s">
        <v>2761</v>
      </c>
      <c r="I485" s="1">
        <v>84508.0</v>
      </c>
      <c r="J485" s="1" t="s">
        <v>2762</v>
      </c>
      <c r="K485" s="1" t="s">
        <v>2763</v>
      </c>
      <c r="L485" s="1">
        <v>308.0</v>
      </c>
      <c r="M485" s="1" t="s">
        <v>35</v>
      </c>
      <c r="N485" s="1" t="s">
        <v>260</v>
      </c>
      <c r="O485" s="1" t="s">
        <v>37</v>
      </c>
      <c r="P485" s="1">
        <v>8.0E7</v>
      </c>
      <c r="Q485" s="1">
        <v>2014.0</v>
      </c>
      <c r="R485" s="1">
        <v>795.0</v>
      </c>
      <c r="S485" s="1">
        <v>172.0</v>
      </c>
      <c r="T485" s="1">
        <v>74.0</v>
      </c>
      <c r="U485" s="1">
        <v>1099.0</v>
      </c>
      <c r="V485" s="1">
        <v>545.0</v>
      </c>
      <c r="W485" s="1">
        <v>20000.0</v>
      </c>
      <c r="X485" s="1">
        <v>0.0</v>
      </c>
      <c r="Y485" s="1">
        <v>2.35</v>
      </c>
      <c r="Z485" s="1">
        <v>5.6</v>
      </c>
    </row>
    <row r="486" ht="14.25" customHeight="1">
      <c r="A486" s="1" t="s">
        <v>26</v>
      </c>
      <c r="B486" s="1" t="s">
        <v>813</v>
      </c>
      <c r="C486" s="1" t="s">
        <v>2764</v>
      </c>
      <c r="D486" s="1">
        <v>1.70708996E8</v>
      </c>
      <c r="E486" s="1" t="s">
        <v>1474</v>
      </c>
      <c r="F486" s="1" t="s">
        <v>2723</v>
      </c>
      <c r="G486" s="1" t="s">
        <v>2765</v>
      </c>
      <c r="H486" s="1" t="s">
        <v>611</v>
      </c>
      <c r="I486" s="1">
        <v>610568.0</v>
      </c>
      <c r="J486" s="1" t="s">
        <v>2766</v>
      </c>
      <c r="K486" s="1" t="s">
        <v>2767</v>
      </c>
      <c r="L486" s="1">
        <v>1171.0</v>
      </c>
      <c r="M486" s="1" t="s">
        <v>35</v>
      </c>
      <c r="N486" s="1" t="s">
        <v>36</v>
      </c>
      <c r="O486" s="1" t="s">
        <v>37</v>
      </c>
      <c r="P486" s="1">
        <v>5.8E7</v>
      </c>
      <c r="Q486" s="1">
        <v>2001.0</v>
      </c>
      <c r="R486" s="1">
        <v>1000.0</v>
      </c>
      <c r="S486" s="1">
        <v>592.0</v>
      </c>
      <c r="T486" s="1">
        <v>535.0</v>
      </c>
      <c r="U486" s="1">
        <v>2827.0</v>
      </c>
      <c r="V486" s="1">
        <v>2000.0</v>
      </c>
      <c r="W486" s="1">
        <v>29000.0</v>
      </c>
      <c r="X486" s="1">
        <v>0.0</v>
      </c>
      <c r="Y486" s="1">
        <v>1.85</v>
      </c>
      <c r="Z486" s="1">
        <v>8.2</v>
      </c>
    </row>
    <row r="487" ht="14.25" customHeight="1">
      <c r="A487" s="1" t="s">
        <v>26</v>
      </c>
      <c r="B487" s="1" t="s">
        <v>2295</v>
      </c>
      <c r="C487" s="1" t="s">
        <v>2768</v>
      </c>
      <c r="D487" s="1">
        <v>4.22783777E8</v>
      </c>
      <c r="E487" s="1" t="s">
        <v>2769</v>
      </c>
      <c r="F487" s="1" t="s">
        <v>865</v>
      </c>
      <c r="G487" s="1" t="s">
        <v>1329</v>
      </c>
      <c r="H487" s="1" t="s">
        <v>2770</v>
      </c>
      <c r="I487" s="1">
        <v>644348.0</v>
      </c>
      <c r="J487" s="1" t="s">
        <v>2771</v>
      </c>
      <c r="K487" s="1" t="s">
        <v>2772</v>
      </c>
      <c r="L487" s="1">
        <v>656.0</v>
      </c>
      <c r="M487" s="1" t="s">
        <v>35</v>
      </c>
      <c r="N487" s="1" t="s">
        <v>36</v>
      </c>
      <c r="O487" s="1" t="s">
        <v>269</v>
      </c>
      <c r="P487" s="1">
        <v>4.5E7</v>
      </c>
      <c r="Q487" s="1">
        <v>1994.0</v>
      </c>
      <c r="R487" s="1">
        <v>2000.0</v>
      </c>
      <c r="S487" s="1">
        <v>886.0</v>
      </c>
      <c r="T487" s="1">
        <v>847.0</v>
      </c>
      <c r="U487" s="1">
        <v>6458.0</v>
      </c>
      <c r="V487" s="1">
        <v>28.0</v>
      </c>
      <c r="W487" s="1">
        <v>17000.0</v>
      </c>
      <c r="X487" s="1">
        <v>0.0</v>
      </c>
      <c r="Y487" s="1">
        <v>1.66</v>
      </c>
      <c r="Z487" s="1">
        <v>8.5</v>
      </c>
    </row>
    <row r="488" ht="14.25" customHeight="1">
      <c r="A488" s="1" t="s">
        <v>26</v>
      </c>
      <c r="B488" s="1" t="s">
        <v>1441</v>
      </c>
      <c r="C488" s="1" t="s">
        <v>2773</v>
      </c>
      <c r="D488" s="1">
        <v>1.03812241E8</v>
      </c>
      <c r="E488" s="1" t="s">
        <v>157</v>
      </c>
      <c r="F488" s="1" t="s">
        <v>663</v>
      </c>
      <c r="G488" s="1" t="s">
        <v>1036</v>
      </c>
      <c r="H488" s="1" t="s">
        <v>1899</v>
      </c>
      <c r="I488" s="1">
        <v>67296.0</v>
      </c>
      <c r="J488" s="1" t="s">
        <v>2774</v>
      </c>
      <c r="K488" s="1" t="s">
        <v>2775</v>
      </c>
      <c r="L488" s="1">
        <v>133.0</v>
      </c>
      <c r="M488" s="1" t="s">
        <v>35</v>
      </c>
      <c r="N488" s="1" t="s">
        <v>36</v>
      </c>
      <c r="O488" s="1" t="s">
        <v>87</v>
      </c>
      <c r="P488" s="1">
        <v>7.9E7</v>
      </c>
      <c r="Q488" s="1">
        <v>2012.0</v>
      </c>
      <c r="R488" s="1">
        <v>14000.0</v>
      </c>
      <c r="S488" s="1">
        <v>12000.0</v>
      </c>
      <c r="T488" s="1">
        <v>722.0</v>
      </c>
      <c r="U488" s="1">
        <v>27842.0</v>
      </c>
      <c r="V488" s="1">
        <v>62.0</v>
      </c>
      <c r="W488" s="1">
        <v>0.0</v>
      </c>
      <c r="X488" s="1">
        <v>3.0</v>
      </c>
      <c r="Y488" s="1">
        <v>1.85</v>
      </c>
      <c r="Z488" s="1">
        <v>5.8</v>
      </c>
    </row>
    <row r="489" ht="14.25" customHeight="1">
      <c r="A489" s="1" t="s">
        <v>26</v>
      </c>
      <c r="B489" s="1" t="s">
        <v>2776</v>
      </c>
      <c r="C489" s="1" t="s">
        <v>2777</v>
      </c>
      <c r="D489" s="1">
        <v>1.19793567E8</v>
      </c>
      <c r="E489" s="1" t="s">
        <v>2778</v>
      </c>
      <c r="F489" s="1" t="s">
        <v>2021</v>
      </c>
      <c r="G489" s="1" t="s">
        <v>967</v>
      </c>
      <c r="H489" s="1" t="s">
        <v>2779</v>
      </c>
      <c r="I489" s="1">
        <v>64387.0</v>
      </c>
      <c r="J489" s="1" t="s">
        <v>2780</v>
      </c>
      <c r="K489" s="1" t="s">
        <v>2781</v>
      </c>
      <c r="L489" s="1">
        <v>85.0</v>
      </c>
      <c r="M489" s="1" t="s">
        <v>35</v>
      </c>
      <c r="N489" s="1" t="s">
        <v>36</v>
      </c>
      <c r="O489" s="1" t="s">
        <v>87</v>
      </c>
      <c r="P489" s="1">
        <v>7.8E7</v>
      </c>
      <c r="Q489" s="1">
        <v>2013.0</v>
      </c>
      <c r="R489" s="1">
        <v>622.0</v>
      </c>
      <c r="S489" s="1">
        <v>161.0</v>
      </c>
      <c r="T489" s="1">
        <v>18.0</v>
      </c>
      <c r="U489" s="1">
        <v>848.0</v>
      </c>
      <c r="V489" s="1">
        <v>18.0</v>
      </c>
      <c r="W489" s="1">
        <v>15000.0</v>
      </c>
      <c r="X489" s="1">
        <v>0.0</v>
      </c>
      <c r="Y489" s="1">
        <v>2.35</v>
      </c>
      <c r="Z489" s="1">
        <v>6.5</v>
      </c>
    </row>
    <row r="490" ht="14.25" customHeight="1">
      <c r="A490" s="1" t="s">
        <v>26</v>
      </c>
      <c r="B490" s="1" t="s">
        <v>252</v>
      </c>
      <c r="C490" s="1" t="s">
        <v>2782</v>
      </c>
      <c r="D490" s="1">
        <v>9.2930005E7</v>
      </c>
      <c r="E490" s="1" t="s">
        <v>2045</v>
      </c>
      <c r="F490" s="1" t="s">
        <v>662</v>
      </c>
      <c r="G490" s="1" t="s">
        <v>726</v>
      </c>
      <c r="H490" s="1" t="s">
        <v>2783</v>
      </c>
      <c r="I490" s="1">
        <v>204063.0</v>
      </c>
      <c r="J490" s="1" t="s">
        <v>2784</v>
      </c>
      <c r="K490" s="1" t="s">
        <v>2785</v>
      </c>
      <c r="L490" s="1">
        <v>764.0</v>
      </c>
      <c r="M490" s="1" t="s">
        <v>35</v>
      </c>
      <c r="N490" s="1" t="s">
        <v>730</v>
      </c>
      <c r="O490" s="1" t="s">
        <v>628</v>
      </c>
      <c r="P490" s="1">
        <v>7.8E7</v>
      </c>
      <c r="Q490" s="1">
        <v>2002.0</v>
      </c>
      <c r="R490" s="1">
        <v>22000.0</v>
      </c>
      <c r="S490" s="1">
        <v>12000.0</v>
      </c>
      <c r="T490" s="1">
        <v>876.0</v>
      </c>
      <c r="U490" s="1">
        <v>35867.0</v>
      </c>
      <c r="V490" s="1">
        <v>420.0</v>
      </c>
      <c r="W490" s="1">
        <v>0.0</v>
      </c>
      <c r="X490" s="1">
        <v>0.0</v>
      </c>
      <c r="Y490" s="1">
        <v>2.35</v>
      </c>
      <c r="Z490" s="1">
        <v>7.2</v>
      </c>
    </row>
    <row r="491" ht="14.25" customHeight="1">
      <c r="A491" s="1" t="s">
        <v>26</v>
      </c>
      <c r="B491" s="1" t="s">
        <v>856</v>
      </c>
      <c r="C491" s="1" t="s">
        <v>2786</v>
      </c>
      <c r="D491" s="1">
        <v>6.7286731E7</v>
      </c>
      <c r="E491" s="1" t="s">
        <v>128</v>
      </c>
      <c r="F491" s="1" t="s">
        <v>74</v>
      </c>
      <c r="G491" s="1" t="s">
        <v>2682</v>
      </c>
      <c r="H491" s="1" t="s">
        <v>1079</v>
      </c>
      <c r="I491" s="1">
        <v>67856.0</v>
      </c>
      <c r="J491" s="1" t="s">
        <v>2787</v>
      </c>
      <c r="K491" s="1" t="s">
        <v>2788</v>
      </c>
      <c r="L491" s="1">
        <v>345.0</v>
      </c>
      <c r="M491" s="1" t="s">
        <v>35</v>
      </c>
      <c r="N491" s="1" t="s">
        <v>36</v>
      </c>
      <c r="O491" s="1" t="s">
        <v>37</v>
      </c>
      <c r="P491" s="1">
        <v>1.0E8</v>
      </c>
      <c r="Q491" s="1">
        <v>2004.0</v>
      </c>
      <c r="R491" s="1">
        <v>24000.0</v>
      </c>
      <c r="S491" s="1">
        <v>10000.0</v>
      </c>
      <c r="T491" s="1">
        <v>1000.0</v>
      </c>
      <c r="U491" s="1">
        <v>36925.0</v>
      </c>
      <c r="V491" s="1">
        <v>394.0</v>
      </c>
      <c r="W491" s="1">
        <v>0.0</v>
      </c>
      <c r="X491" s="1">
        <v>1.0</v>
      </c>
      <c r="Y491" s="1">
        <v>2.35</v>
      </c>
      <c r="Z491" s="1">
        <v>6.7</v>
      </c>
    </row>
    <row r="492" ht="14.25" customHeight="1">
      <c r="A492" s="1" t="s">
        <v>26</v>
      </c>
      <c r="B492" s="1" t="s">
        <v>2093</v>
      </c>
      <c r="C492" s="1" t="s">
        <v>2789</v>
      </c>
      <c r="D492" s="1">
        <v>7.4158157E7</v>
      </c>
      <c r="E492" s="1" t="s">
        <v>1885</v>
      </c>
      <c r="F492" s="1" t="s">
        <v>2292</v>
      </c>
      <c r="G492" s="1" t="s">
        <v>2095</v>
      </c>
      <c r="H492" s="1" t="s">
        <v>2790</v>
      </c>
      <c r="I492" s="1">
        <v>60370.0</v>
      </c>
      <c r="J492" s="1" t="s">
        <v>2791</v>
      </c>
      <c r="K492" s="1" t="s">
        <v>2792</v>
      </c>
      <c r="L492" s="1">
        <v>264.0</v>
      </c>
      <c r="M492" s="1" t="s">
        <v>35</v>
      </c>
      <c r="N492" s="1" t="s">
        <v>36</v>
      </c>
      <c r="O492" s="1" t="s">
        <v>87</v>
      </c>
      <c r="P492" s="1">
        <v>7.9E7</v>
      </c>
      <c r="Q492" s="1">
        <v>2011.0</v>
      </c>
      <c r="R492" s="1">
        <v>14000.0</v>
      </c>
      <c r="S492" s="1">
        <v>11000.0</v>
      </c>
      <c r="T492" s="1">
        <v>553.0</v>
      </c>
      <c r="U492" s="1">
        <v>27405.0</v>
      </c>
      <c r="V492" s="1">
        <v>221.0</v>
      </c>
      <c r="W492" s="1">
        <v>0.0</v>
      </c>
      <c r="X492" s="1">
        <v>2.0</v>
      </c>
      <c r="Y492" s="1">
        <v>1.85</v>
      </c>
      <c r="Z492" s="1">
        <v>3.4</v>
      </c>
    </row>
    <row r="493" ht="14.25" customHeight="1">
      <c r="A493" s="1" t="s">
        <v>26</v>
      </c>
      <c r="B493" s="1" t="s">
        <v>2793</v>
      </c>
      <c r="C493" s="1" t="s">
        <v>2794</v>
      </c>
      <c r="D493" s="1">
        <v>1.27083765E8</v>
      </c>
      <c r="E493" s="1" t="s">
        <v>326</v>
      </c>
      <c r="F493" s="1" t="s">
        <v>328</v>
      </c>
      <c r="G493" s="1" t="s">
        <v>1969</v>
      </c>
      <c r="H493" s="1" t="s">
        <v>2795</v>
      </c>
      <c r="I493" s="1">
        <v>191912.0</v>
      </c>
      <c r="J493" s="1" t="s">
        <v>2796</v>
      </c>
      <c r="K493" s="1" t="s">
        <v>2797</v>
      </c>
      <c r="L493" s="1">
        <v>370.0</v>
      </c>
      <c r="M493" s="1" t="s">
        <v>35</v>
      </c>
      <c r="N493" s="1" t="s">
        <v>36</v>
      </c>
      <c r="O493" s="1" t="s">
        <v>37</v>
      </c>
      <c r="P493" s="1">
        <v>7.6E7</v>
      </c>
      <c r="Q493" s="1">
        <v>2003.0</v>
      </c>
      <c r="R493" s="1">
        <v>23000.0</v>
      </c>
      <c r="S493" s="1">
        <v>787.0</v>
      </c>
      <c r="T493" s="1">
        <v>771.0</v>
      </c>
      <c r="U493" s="1">
        <v>25296.0</v>
      </c>
      <c r="V493" s="1">
        <v>309.0</v>
      </c>
      <c r="W493" s="1">
        <v>0.0</v>
      </c>
      <c r="X493" s="1">
        <v>5.0</v>
      </c>
      <c r="Y493" s="1">
        <v>2.35</v>
      </c>
      <c r="Z493" s="1">
        <v>5.9</v>
      </c>
    </row>
    <row r="494" ht="14.25" customHeight="1">
      <c r="A494" s="1" t="s">
        <v>26</v>
      </c>
      <c r="B494" s="1" t="s">
        <v>1116</v>
      </c>
      <c r="C494" s="1" t="s">
        <v>2798</v>
      </c>
      <c r="D494" s="1">
        <v>1339152.0</v>
      </c>
      <c r="E494" s="1" t="s">
        <v>2799</v>
      </c>
      <c r="F494" s="1" t="s">
        <v>293</v>
      </c>
      <c r="G494" s="1" t="s">
        <v>75</v>
      </c>
      <c r="H494" s="1" t="s">
        <v>638</v>
      </c>
      <c r="I494" s="1">
        <v>28276.0</v>
      </c>
      <c r="J494" s="1" t="s">
        <v>2800</v>
      </c>
      <c r="K494" s="1" t="s">
        <v>2801</v>
      </c>
      <c r="L494" s="1">
        <v>64.0</v>
      </c>
      <c r="M494" s="1" t="s">
        <v>35</v>
      </c>
      <c r="N494" s="1" t="s">
        <v>1832</v>
      </c>
      <c r="O494" s="1" t="s">
        <v>87</v>
      </c>
      <c r="P494" s="1">
        <v>8.12E7</v>
      </c>
      <c r="Q494" s="1">
        <v>2015.0</v>
      </c>
      <c r="R494" s="1">
        <v>12000.0</v>
      </c>
      <c r="S494" s="1">
        <v>11000.0</v>
      </c>
      <c r="T494" s="1">
        <v>6000.0</v>
      </c>
      <c r="U494" s="1">
        <v>30230.0</v>
      </c>
      <c r="V494" s="1">
        <v>54.0</v>
      </c>
      <c r="W494" s="1">
        <v>31000.0</v>
      </c>
      <c r="X494" s="1">
        <v>1.0</v>
      </c>
      <c r="Y494" s="1">
        <v>2.35</v>
      </c>
      <c r="Z494" s="1">
        <v>7.8</v>
      </c>
    </row>
    <row r="495" ht="14.25" customHeight="1">
      <c r="A495" s="1" t="s">
        <v>26</v>
      </c>
      <c r="B495" s="1" t="s">
        <v>2802</v>
      </c>
      <c r="C495" s="1" t="s">
        <v>2803</v>
      </c>
      <c r="D495" s="1">
        <v>1.5071514E7</v>
      </c>
      <c r="E495" s="1" t="s">
        <v>2804</v>
      </c>
      <c r="F495" s="1" t="s">
        <v>2559</v>
      </c>
      <c r="G495" s="1" t="s">
        <v>2805</v>
      </c>
      <c r="H495" s="1" t="s">
        <v>2806</v>
      </c>
      <c r="I495" s="1">
        <v>65037.0</v>
      </c>
      <c r="J495" s="1" t="s">
        <v>2807</v>
      </c>
      <c r="K495" s="1" t="s">
        <v>2808</v>
      </c>
      <c r="L495" s="1">
        <v>273.0</v>
      </c>
      <c r="M495" s="1" t="s">
        <v>35</v>
      </c>
      <c r="N495" s="1" t="s">
        <v>36</v>
      </c>
      <c r="O495" s="1" t="s">
        <v>37</v>
      </c>
      <c r="P495" s="1">
        <v>8.0E7</v>
      </c>
      <c r="Q495" s="1">
        <v>2007.0</v>
      </c>
      <c r="R495" s="1">
        <v>1000.0</v>
      </c>
      <c r="S495" s="1">
        <v>422.0</v>
      </c>
      <c r="T495" s="1">
        <v>327.0</v>
      </c>
      <c r="U495" s="1">
        <v>2323.0</v>
      </c>
      <c r="V495" s="1">
        <v>101.0</v>
      </c>
      <c r="W495" s="1">
        <v>0.0</v>
      </c>
      <c r="X495" s="1">
        <v>2.0</v>
      </c>
      <c r="Y495" s="1">
        <v>1.85</v>
      </c>
      <c r="Z495" s="1">
        <v>5.9</v>
      </c>
    </row>
    <row r="496" ht="14.25" customHeight="1">
      <c r="A496" s="1" t="s">
        <v>26</v>
      </c>
      <c r="B496" s="1" t="s">
        <v>2809</v>
      </c>
      <c r="C496" s="1" t="s">
        <v>2810</v>
      </c>
      <c r="D496" s="1">
        <v>2.600061E7</v>
      </c>
      <c r="E496" s="1" t="s">
        <v>263</v>
      </c>
      <c r="F496" s="1" t="s">
        <v>1663</v>
      </c>
      <c r="G496" s="1" t="s">
        <v>757</v>
      </c>
      <c r="H496" s="1" t="s">
        <v>2811</v>
      </c>
      <c r="I496" s="1">
        <v>16611.0</v>
      </c>
      <c r="J496" s="1" t="s">
        <v>2812</v>
      </c>
      <c r="K496" s="1" t="s">
        <v>2813</v>
      </c>
      <c r="L496" s="1">
        <v>197.0</v>
      </c>
      <c r="M496" s="1" t="s">
        <v>35</v>
      </c>
      <c r="N496" s="1" t="s">
        <v>36</v>
      </c>
      <c r="O496" s="1" t="s">
        <v>87</v>
      </c>
      <c r="P496" s="1">
        <v>7.6E7</v>
      </c>
      <c r="Q496" s="1">
        <v>2000.0</v>
      </c>
      <c r="R496" s="1">
        <v>22000.0</v>
      </c>
      <c r="S496" s="1">
        <v>1000.0</v>
      </c>
      <c r="T496" s="1">
        <v>924.0</v>
      </c>
      <c r="U496" s="1">
        <v>28050.0</v>
      </c>
      <c r="V496" s="1">
        <v>5.0</v>
      </c>
      <c r="W496" s="1">
        <v>413.0</v>
      </c>
      <c r="X496" s="1">
        <v>0.0</v>
      </c>
      <c r="Y496" s="1">
        <v>1.85</v>
      </c>
      <c r="Z496" s="1">
        <v>4.1</v>
      </c>
    </row>
    <row r="497" ht="14.25" customHeight="1">
      <c r="A497" s="1" t="s">
        <v>26</v>
      </c>
      <c r="B497" s="1" t="s">
        <v>2814</v>
      </c>
      <c r="C497" s="1" t="s">
        <v>2815</v>
      </c>
      <c r="D497" s="1">
        <v>3.2350554E8</v>
      </c>
      <c r="E497" s="1" t="s">
        <v>2816</v>
      </c>
      <c r="F497" s="1" t="s">
        <v>776</v>
      </c>
      <c r="G497" s="1" t="s">
        <v>2817</v>
      </c>
      <c r="H497" s="1" t="s">
        <v>2818</v>
      </c>
      <c r="I497" s="1">
        <v>24407.0</v>
      </c>
      <c r="J497" s="1" t="s">
        <v>2819</v>
      </c>
      <c r="K497" s="1" t="s">
        <v>2820</v>
      </c>
      <c r="L497" s="1">
        <v>155.0</v>
      </c>
      <c r="M497" s="1" t="s">
        <v>35</v>
      </c>
      <c r="N497" s="1" t="s">
        <v>2821</v>
      </c>
      <c r="O497" s="1" t="s">
        <v>87</v>
      </c>
      <c r="P497" s="1">
        <v>7.5E7</v>
      </c>
      <c r="Q497" s="1">
        <v>2016.0</v>
      </c>
      <c r="R497" s="1">
        <v>1000.0</v>
      </c>
      <c r="S497" s="1">
        <v>904.0</v>
      </c>
      <c r="T497" s="1">
        <v>745.0</v>
      </c>
      <c r="U497" s="1">
        <v>4782.0</v>
      </c>
      <c r="V497" s="1">
        <v>11.0</v>
      </c>
      <c r="W497" s="1">
        <v>36000.0</v>
      </c>
      <c r="X497" s="1">
        <v>0.0</v>
      </c>
      <c r="Y497" s="1">
        <v>1.85</v>
      </c>
      <c r="Z497" s="1">
        <v>6.8</v>
      </c>
    </row>
    <row r="498" ht="14.25" customHeight="1">
      <c r="A498" s="1" t="s">
        <v>710</v>
      </c>
      <c r="B498" s="1" t="s">
        <v>2822</v>
      </c>
      <c r="C498" s="1" t="s">
        <v>2823</v>
      </c>
      <c r="D498" s="1">
        <v>6.64626E7</v>
      </c>
      <c r="E498" s="1" t="s">
        <v>29</v>
      </c>
      <c r="F498" s="1" t="s">
        <v>651</v>
      </c>
      <c r="G498" s="1" t="s">
        <v>2824</v>
      </c>
      <c r="H498" s="1" t="s">
        <v>1169</v>
      </c>
      <c r="I498" s="1">
        <v>141533.0</v>
      </c>
      <c r="J498" s="1" t="s">
        <v>2825</v>
      </c>
      <c r="K498" s="1" t="s">
        <v>2826</v>
      </c>
      <c r="L498" s="1">
        <v>786.0</v>
      </c>
      <c r="M498" s="1" t="s">
        <v>35</v>
      </c>
      <c r="N498" s="1" t="s">
        <v>36</v>
      </c>
      <c r="O498" s="1" t="s">
        <v>37</v>
      </c>
      <c r="P498" s="1">
        <v>7.8E7</v>
      </c>
      <c r="Q498" s="1">
        <v>2003.0</v>
      </c>
      <c r="R498" s="1">
        <v>1000.0</v>
      </c>
      <c r="S498" s="1">
        <v>872.0</v>
      </c>
      <c r="T498" s="1">
        <v>845.0</v>
      </c>
      <c r="U498" s="1">
        <v>4714.0</v>
      </c>
      <c r="V498" s="1">
        <v>45.0</v>
      </c>
      <c r="W498" s="1">
        <v>0.0</v>
      </c>
      <c r="X498" s="1">
        <v>3.0</v>
      </c>
      <c r="Y498" s="1">
        <v>2.35</v>
      </c>
      <c r="Z498" s="1">
        <v>5.8</v>
      </c>
    </row>
    <row r="499" ht="14.25" customHeight="1">
      <c r="A499" s="1" t="s">
        <v>26</v>
      </c>
      <c r="B499" s="1" t="s">
        <v>2827</v>
      </c>
      <c r="C499" s="1" t="s">
        <v>2828</v>
      </c>
      <c r="D499" s="1">
        <v>3.68049635E8</v>
      </c>
      <c r="E499" s="1" t="s">
        <v>2020</v>
      </c>
      <c r="F499" s="1" t="s">
        <v>503</v>
      </c>
      <c r="G499" s="1" t="s">
        <v>2829</v>
      </c>
      <c r="H499" s="1" t="s">
        <v>776</v>
      </c>
      <c r="I499" s="1">
        <v>286877.0</v>
      </c>
      <c r="J499" s="1" t="s">
        <v>2830</v>
      </c>
      <c r="K499" s="1" t="s">
        <v>2831</v>
      </c>
      <c r="L499" s="1">
        <v>284.0</v>
      </c>
      <c r="M499" s="1" t="s">
        <v>35</v>
      </c>
      <c r="N499" s="1" t="s">
        <v>36</v>
      </c>
      <c r="O499" s="1" t="s">
        <v>87</v>
      </c>
      <c r="P499" s="1">
        <v>7.6E7</v>
      </c>
      <c r="Q499" s="1">
        <v>2013.0</v>
      </c>
      <c r="R499" s="1">
        <v>7000.0</v>
      </c>
      <c r="S499" s="1">
        <v>2000.0</v>
      </c>
      <c r="T499" s="1">
        <v>1000.0</v>
      </c>
      <c r="U499" s="1">
        <v>11905.0</v>
      </c>
      <c r="V499" s="1">
        <v>275.0</v>
      </c>
      <c r="W499" s="1">
        <v>56000.0</v>
      </c>
      <c r="X499" s="1">
        <v>0.0</v>
      </c>
      <c r="Y499" s="1">
        <v>1.85</v>
      </c>
      <c r="Z499" s="1">
        <v>7.5</v>
      </c>
    </row>
    <row r="500" ht="14.25" customHeight="1">
      <c r="A500" s="1" t="s">
        <v>26</v>
      </c>
      <c r="B500" s="1" t="s">
        <v>414</v>
      </c>
      <c r="C500" s="1" t="s">
        <v>2832</v>
      </c>
      <c r="D500" s="1">
        <v>3.06124059E8</v>
      </c>
      <c r="E500" s="1" t="s">
        <v>65</v>
      </c>
      <c r="F500" s="1" t="s">
        <v>158</v>
      </c>
      <c r="G500" s="1" t="s">
        <v>1453</v>
      </c>
      <c r="H500" s="1" t="s">
        <v>2833</v>
      </c>
      <c r="I500" s="1">
        <v>430055.0</v>
      </c>
      <c r="J500" s="1" t="s">
        <v>2834</v>
      </c>
      <c r="K500" s="1" t="s">
        <v>2835</v>
      </c>
      <c r="L500" s="1">
        <v>856.0</v>
      </c>
      <c r="M500" s="1" t="s">
        <v>35</v>
      </c>
      <c r="N500" s="1" t="s">
        <v>36</v>
      </c>
      <c r="O500" s="1" t="s">
        <v>37</v>
      </c>
      <c r="P500" s="1">
        <v>7.5E7</v>
      </c>
      <c r="Q500" s="1">
        <v>1996.0</v>
      </c>
      <c r="R500" s="1">
        <v>10000.0</v>
      </c>
      <c r="S500" s="1">
        <v>2000.0</v>
      </c>
      <c r="T500" s="1">
        <v>933.0</v>
      </c>
      <c r="U500" s="1">
        <v>16785.0</v>
      </c>
      <c r="V500" s="1">
        <v>776.0</v>
      </c>
      <c r="W500" s="1">
        <v>16000.0</v>
      </c>
      <c r="X500" s="1">
        <v>0.0</v>
      </c>
      <c r="Y500" s="1">
        <v>2.35</v>
      </c>
      <c r="Z500" s="1">
        <v>6.9</v>
      </c>
    </row>
    <row r="501" ht="14.25" customHeight="1">
      <c r="A501" s="1" t="s">
        <v>26</v>
      </c>
      <c r="B501" s="1" t="s">
        <v>381</v>
      </c>
      <c r="C501" s="1" t="s">
        <v>2836</v>
      </c>
      <c r="D501" s="1">
        <v>2.29074524E8</v>
      </c>
      <c r="E501" s="1" t="s">
        <v>65</v>
      </c>
      <c r="F501" s="1" t="s">
        <v>2837</v>
      </c>
      <c r="G501" s="1" t="s">
        <v>2838</v>
      </c>
      <c r="H501" s="1" t="s">
        <v>2839</v>
      </c>
      <c r="I501" s="1">
        <v>278362.0</v>
      </c>
      <c r="J501" s="1" t="s">
        <v>2840</v>
      </c>
      <c r="K501" s="1" t="s">
        <v>2841</v>
      </c>
      <c r="L501" s="1">
        <v>552.0</v>
      </c>
      <c r="M501" s="1" t="s">
        <v>35</v>
      </c>
      <c r="N501" s="1" t="s">
        <v>36</v>
      </c>
      <c r="O501" s="1" t="s">
        <v>37</v>
      </c>
      <c r="P501" s="1">
        <v>7.3E7</v>
      </c>
      <c r="Q501" s="1">
        <v>1997.0</v>
      </c>
      <c r="R501" s="1">
        <v>610.0</v>
      </c>
      <c r="S501" s="1">
        <v>506.0</v>
      </c>
      <c r="T501" s="1">
        <v>227.0</v>
      </c>
      <c r="U501" s="1">
        <v>1635.0</v>
      </c>
      <c r="V501" s="1">
        <v>14000.0</v>
      </c>
      <c r="W501" s="1">
        <v>0.0</v>
      </c>
      <c r="X501" s="1">
        <v>0.0</v>
      </c>
      <c r="Y501" s="1">
        <v>1.85</v>
      </c>
      <c r="Z501" s="1">
        <v>6.5</v>
      </c>
    </row>
    <row r="502" ht="14.25" customHeight="1">
      <c r="A502" s="1" t="s">
        <v>26</v>
      </c>
      <c r="B502" s="1" t="s">
        <v>764</v>
      </c>
      <c r="C502" s="1" t="s">
        <v>2842</v>
      </c>
      <c r="D502" s="1">
        <v>1.93136719E8</v>
      </c>
      <c r="E502" s="1" t="s">
        <v>456</v>
      </c>
      <c r="F502" s="1" t="s">
        <v>768</v>
      </c>
      <c r="G502" s="1" t="s">
        <v>769</v>
      </c>
      <c r="H502" s="1" t="s">
        <v>1107</v>
      </c>
      <c r="I502" s="1">
        <v>266636.0</v>
      </c>
      <c r="J502" s="1" t="s">
        <v>2843</v>
      </c>
      <c r="K502" s="1" t="s">
        <v>2844</v>
      </c>
      <c r="L502" s="1">
        <v>385.0</v>
      </c>
      <c r="M502" s="1" t="s">
        <v>35</v>
      </c>
      <c r="N502" s="1" t="s">
        <v>36</v>
      </c>
      <c r="O502" s="1" t="s">
        <v>87</v>
      </c>
      <c r="P502" s="1">
        <v>7.5E7</v>
      </c>
      <c r="Q502" s="1">
        <v>2005.0</v>
      </c>
      <c r="R502" s="1">
        <v>851.0</v>
      </c>
      <c r="S502" s="1">
        <v>436.0</v>
      </c>
      <c r="T502" s="1">
        <v>179.0</v>
      </c>
      <c r="U502" s="1">
        <v>1777.0</v>
      </c>
      <c r="V502" s="1">
        <v>35.0</v>
      </c>
      <c r="W502" s="1">
        <v>0.0</v>
      </c>
      <c r="X502" s="1">
        <v>0.0</v>
      </c>
      <c r="Y502" s="1">
        <v>1.85</v>
      </c>
      <c r="Z502" s="1">
        <v>6.9</v>
      </c>
    </row>
    <row r="503" ht="14.25" customHeight="1">
      <c r="A503" s="1" t="s">
        <v>26</v>
      </c>
      <c r="B503" s="1" t="s">
        <v>1172</v>
      </c>
      <c r="C503" s="1" t="s">
        <v>2845</v>
      </c>
      <c r="D503" s="1">
        <v>3.5286428E7</v>
      </c>
      <c r="E503" s="1" t="s">
        <v>2566</v>
      </c>
      <c r="F503" s="1" t="s">
        <v>372</v>
      </c>
      <c r="G503" s="1" t="s">
        <v>2846</v>
      </c>
      <c r="H503" s="1" t="s">
        <v>2847</v>
      </c>
      <c r="I503" s="1">
        <v>361767.0</v>
      </c>
      <c r="J503" s="1" t="s">
        <v>2848</v>
      </c>
      <c r="K503" s="1" t="s">
        <v>2849</v>
      </c>
      <c r="L503" s="1">
        <v>1206.0</v>
      </c>
      <c r="M503" s="1" t="s">
        <v>35</v>
      </c>
      <c r="N503" s="1" t="s">
        <v>36</v>
      </c>
      <c r="O503" s="1" t="s">
        <v>628</v>
      </c>
      <c r="P503" s="1">
        <v>7.6E7</v>
      </c>
      <c r="Q503" s="1">
        <v>2006.0</v>
      </c>
      <c r="R503" s="1">
        <v>16000.0</v>
      </c>
      <c r="S503" s="1">
        <v>430.0</v>
      </c>
      <c r="T503" s="1">
        <v>18.0</v>
      </c>
      <c r="U503" s="1">
        <v>16479.0</v>
      </c>
      <c r="V503" s="1">
        <v>0.0</v>
      </c>
      <c r="W503" s="1">
        <v>17000.0</v>
      </c>
      <c r="X503" s="1">
        <v>0.0</v>
      </c>
      <c r="Y503" s="1">
        <v>1.85</v>
      </c>
      <c r="Z503" s="1">
        <v>7.9</v>
      </c>
    </row>
    <row r="504" ht="14.25" customHeight="1">
      <c r="A504" s="1" t="s">
        <v>26</v>
      </c>
      <c r="B504" s="1" t="s">
        <v>110</v>
      </c>
      <c r="C504" s="1" t="s">
        <v>2850</v>
      </c>
      <c r="D504" s="1">
        <v>1.57299717E8</v>
      </c>
      <c r="E504" s="1" t="s">
        <v>65</v>
      </c>
      <c r="F504" s="1" t="s">
        <v>255</v>
      </c>
      <c r="G504" s="1" t="s">
        <v>2851</v>
      </c>
      <c r="H504" s="1" t="s">
        <v>1231</v>
      </c>
      <c r="I504" s="1">
        <v>452928.0</v>
      </c>
      <c r="J504" s="1" t="s">
        <v>2852</v>
      </c>
      <c r="K504" s="1" t="s">
        <v>2853</v>
      </c>
      <c r="L504" s="1">
        <v>1401.0</v>
      </c>
      <c r="M504" s="1" t="s">
        <v>35</v>
      </c>
      <c r="N504" s="1" t="s">
        <v>36</v>
      </c>
      <c r="O504" s="1" t="s">
        <v>37</v>
      </c>
      <c r="P504" s="1">
        <v>7.5E7</v>
      </c>
      <c r="Q504" s="1">
        <v>2000.0</v>
      </c>
      <c r="R504" s="1">
        <v>20000.0</v>
      </c>
      <c r="S504" s="1">
        <v>764.0</v>
      </c>
      <c r="T504" s="1">
        <v>505.0</v>
      </c>
      <c r="U504" s="1">
        <v>21397.0</v>
      </c>
      <c r="V504" s="1">
        <v>0.0</v>
      </c>
      <c r="W504" s="1">
        <v>0.0</v>
      </c>
      <c r="X504" s="1">
        <v>0.0</v>
      </c>
      <c r="Y504" s="1">
        <v>2.35</v>
      </c>
      <c r="Z504" s="1">
        <v>7.4</v>
      </c>
    </row>
    <row r="505" ht="14.25" customHeight="1">
      <c r="A505" s="1" t="s">
        <v>26</v>
      </c>
      <c r="B505" s="1" t="s">
        <v>2854</v>
      </c>
      <c r="C505" s="1" t="s">
        <v>2855</v>
      </c>
      <c r="D505" s="1">
        <v>1.34568845E8</v>
      </c>
      <c r="E505" s="1" t="s">
        <v>2856</v>
      </c>
      <c r="F505" s="1" t="s">
        <v>550</v>
      </c>
      <c r="G505" s="1" t="s">
        <v>451</v>
      </c>
      <c r="H505" s="1" t="s">
        <v>321</v>
      </c>
      <c r="I505" s="1">
        <v>299852.0</v>
      </c>
      <c r="J505" s="1" t="s">
        <v>2857</v>
      </c>
      <c r="K505" s="1" t="s">
        <v>2858</v>
      </c>
      <c r="L505" s="1">
        <v>713.0</v>
      </c>
      <c r="M505" s="1" t="s">
        <v>35</v>
      </c>
      <c r="N505" s="1" t="s">
        <v>36</v>
      </c>
      <c r="O505" s="1" t="s">
        <v>628</v>
      </c>
      <c r="P505" s="1">
        <v>7.5E7</v>
      </c>
      <c r="Q505" s="1">
        <v>2008.0</v>
      </c>
      <c r="R505" s="1">
        <v>11000.0</v>
      </c>
      <c r="S505" s="1">
        <v>11000.0</v>
      </c>
      <c r="T505" s="1">
        <v>988.0</v>
      </c>
      <c r="U505" s="1">
        <v>25763.0</v>
      </c>
      <c r="V505" s="1">
        <v>335.0</v>
      </c>
      <c r="W505" s="1">
        <v>0.0</v>
      </c>
      <c r="X505" s="1">
        <v>0.0</v>
      </c>
      <c r="Y505" s="1">
        <v>2.35</v>
      </c>
      <c r="Z505" s="1">
        <v>6.7</v>
      </c>
    </row>
    <row r="506" ht="14.25" customHeight="1">
      <c r="A506" s="1" t="s">
        <v>26</v>
      </c>
      <c r="B506" s="1" t="s">
        <v>270</v>
      </c>
      <c r="C506" s="1" t="s">
        <v>2859</v>
      </c>
      <c r="D506" s="1">
        <v>1.34006721E8</v>
      </c>
      <c r="E506" s="1" t="s">
        <v>48</v>
      </c>
      <c r="F506" s="1" t="s">
        <v>668</v>
      </c>
      <c r="G506" s="1" t="s">
        <v>2860</v>
      </c>
      <c r="H506" s="1" t="s">
        <v>2861</v>
      </c>
      <c r="I506" s="1">
        <v>259492.0</v>
      </c>
      <c r="J506" s="1" t="s">
        <v>2862</v>
      </c>
      <c r="K506" s="1" t="s">
        <v>2863</v>
      </c>
      <c r="L506" s="1">
        <v>415.0</v>
      </c>
      <c r="M506" s="1" t="s">
        <v>35</v>
      </c>
      <c r="N506" s="1" t="s">
        <v>36</v>
      </c>
      <c r="O506" s="1" t="s">
        <v>628</v>
      </c>
      <c r="P506" s="1">
        <v>7.5E7</v>
      </c>
      <c r="Q506" s="1">
        <v>1996.0</v>
      </c>
      <c r="R506" s="1">
        <v>12000.0</v>
      </c>
      <c r="S506" s="1">
        <v>2000.0</v>
      </c>
      <c r="T506" s="1">
        <v>904.0</v>
      </c>
      <c r="U506" s="1">
        <v>15999.0</v>
      </c>
      <c r="V506" s="1">
        <v>0.0</v>
      </c>
      <c r="W506" s="1">
        <v>51000.0</v>
      </c>
      <c r="X506" s="1">
        <v>1.0</v>
      </c>
      <c r="Y506" s="1">
        <v>2.35</v>
      </c>
      <c r="Z506" s="1">
        <v>7.4</v>
      </c>
    </row>
    <row r="507" ht="14.25" customHeight="1">
      <c r="A507" s="1" t="s">
        <v>26</v>
      </c>
      <c r="B507" s="1" t="s">
        <v>1222</v>
      </c>
      <c r="C507" s="1" t="s">
        <v>2864</v>
      </c>
      <c r="D507" s="1">
        <v>1.95329763E8</v>
      </c>
      <c r="E507" s="1" t="s">
        <v>999</v>
      </c>
      <c r="F507" s="1" t="s">
        <v>2026</v>
      </c>
      <c r="G507" s="1" t="s">
        <v>2865</v>
      </c>
      <c r="H507" s="1" t="s">
        <v>2866</v>
      </c>
      <c r="I507" s="1">
        <v>194249.0</v>
      </c>
      <c r="J507" s="1" t="s">
        <v>2867</v>
      </c>
      <c r="K507" s="1" t="s">
        <v>2868</v>
      </c>
      <c r="L507" s="1">
        <v>253.0</v>
      </c>
      <c r="M507" s="1" t="s">
        <v>35</v>
      </c>
      <c r="N507" s="1" t="s">
        <v>36</v>
      </c>
      <c r="O507" s="1" t="s">
        <v>87</v>
      </c>
      <c r="P507" s="1">
        <v>8.0E7</v>
      </c>
      <c r="Q507" s="1">
        <v>2006.0</v>
      </c>
      <c r="R507" s="1">
        <v>835.0</v>
      </c>
      <c r="S507" s="1">
        <v>590.0</v>
      </c>
      <c r="T507" s="1">
        <v>241.0</v>
      </c>
      <c r="U507" s="1">
        <v>1815.0</v>
      </c>
      <c r="V507" s="1">
        <v>107.0</v>
      </c>
      <c r="W507" s="1">
        <v>0.0</v>
      </c>
      <c r="X507" s="1">
        <v>0.0</v>
      </c>
      <c r="Y507" s="1">
        <v>1.85</v>
      </c>
      <c r="Z507" s="1">
        <v>6.9</v>
      </c>
    </row>
    <row r="508" ht="14.25" customHeight="1">
      <c r="A508" s="1" t="s">
        <v>26</v>
      </c>
      <c r="B508" s="1" t="s">
        <v>2368</v>
      </c>
      <c r="C508" s="1" t="s">
        <v>2869</v>
      </c>
      <c r="D508" s="1">
        <v>1.20776832E8</v>
      </c>
      <c r="E508" s="1" t="s">
        <v>1598</v>
      </c>
      <c r="F508" s="1" t="s">
        <v>2095</v>
      </c>
      <c r="G508" s="1" t="s">
        <v>2870</v>
      </c>
      <c r="H508" s="1" t="s">
        <v>2871</v>
      </c>
      <c r="I508" s="1">
        <v>266103.0</v>
      </c>
      <c r="J508" s="1" t="s">
        <v>2872</v>
      </c>
      <c r="K508" s="1" t="s">
        <v>2873</v>
      </c>
      <c r="L508" s="1">
        <v>456.0</v>
      </c>
      <c r="M508" s="1" t="s">
        <v>35</v>
      </c>
      <c r="N508" s="1" t="s">
        <v>36</v>
      </c>
      <c r="O508" s="1" t="s">
        <v>37</v>
      </c>
      <c r="P508" s="1">
        <v>7.5E7</v>
      </c>
      <c r="Q508" s="1">
        <v>2004.0</v>
      </c>
      <c r="R508" s="1">
        <v>11000.0</v>
      </c>
      <c r="S508" s="1">
        <v>427.0</v>
      </c>
      <c r="T508" s="1">
        <v>328.0</v>
      </c>
      <c r="U508" s="1">
        <v>12952.0</v>
      </c>
      <c r="V508" s="1">
        <v>88.0</v>
      </c>
      <c r="W508" s="1">
        <v>11000.0</v>
      </c>
      <c r="X508" s="1">
        <v>2.0</v>
      </c>
      <c r="Y508" s="1">
        <v>2.35</v>
      </c>
      <c r="Z508" s="1">
        <v>6.8</v>
      </c>
    </row>
    <row r="509" ht="14.25" customHeight="1">
      <c r="A509" s="1" t="s">
        <v>26</v>
      </c>
      <c r="B509" s="1" t="s">
        <v>2502</v>
      </c>
      <c r="C509" s="1" t="s">
        <v>2874</v>
      </c>
      <c r="D509" s="1">
        <v>1.18823091E8</v>
      </c>
      <c r="E509" s="1" t="s">
        <v>2875</v>
      </c>
      <c r="F509" s="1" t="s">
        <v>2876</v>
      </c>
      <c r="G509" s="1" t="s">
        <v>2877</v>
      </c>
      <c r="H509" s="1" t="s">
        <v>2878</v>
      </c>
      <c r="I509" s="1">
        <v>98693.0</v>
      </c>
      <c r="J509" s="1" t="s">
        <v>2879</v>
      </c>
      <c r="K509" s="1" t="s">
        <v>2880</v>
      </c>
      <c r="L509" s="1">
        <v>401.0</v>
      </c>
      <c r="M509" s="1" t="s">
        <v>35</v>
      </c>
      <c r="N509" s="1" t="s">
        <v>36</v>
      </c>
      <c r="O509" s="1" t="s">
        <v>87</v>
      </c>
      <c r="P509" s="1">
        <v>7.5E7</v>
      </c>
      <c r="Q509" s="1">
        <v>2007.0</v>
      </c>
      <c r="R509" s="1">
        <v>719.0</v>
      </c>
      <c r="S509" s="1">
        <v>339.0</v>
      </c>
      <c r="T509" s="1">
        <v>260.0</v>
      </c>
      <c r="U509" s="1">
        <v>1673.0</v>
      </c>
      <c r="V509" s="1">
        <v>163.0</v>
      </c>
      <c r="W509" s="1">
        <v>0.0</v>
      </c>
      <c r="X509" s="1">
        <v>9.0</v>
      </c>
      <c r="Y509" s="1">
        <v>2.35</v>
      </c>
      <c r="Z509" s="1">
        <v>6.7</v>
      </c>
    </row>
    <row r="510" ht="14.25" customHeight="1">
      <c r="A510" s="1" t="s">
        <v>26</v>
      </c>
      <c r="B510" s="1" t="s">
        <v>1985</v>
      </c>
      <c r="C510" s="1" t="s">
        <v>2881</v>
      </c>
      <c r="D510" s="1">
        <v>4.1814863E7</v>
      </c>
      <c r="E510" s="1" t="s">
        <v>2882</v>
      </c>
      <c r="F510" s="1" t="s">
        <v>1062</v>
      </c>
      <c r="G510" s="1" t="s">
        <v>2883</v>
      </c>
      <c r="H510" s="1" t="s">
        <v>2884</v>
      </c>
      <c r="I510" s="1">
        <v>28635.0</v>
      </c>
      <c r="J510" s="1" t="s">
        <v>2885</v>
      </c>
      <c r="K510" s="1" t="s">
        <v>2886</v>
      </c>
      <c r="L510" s="1">
        <v>308.0</v>
      </c>
      <c r="M510" s="1" t="s">
        <v>35</v>
      </c>
      <c r="N510" s="1" t="s">
        <v>36</v>
      </c>
      <c r="O510" s="1" t="s">
        <v>628</v>
      </c>
      <c r="P510" s="1">
        <v>5.0E7</v>
      </c>
      <c r="Q510" s="1">
        <v>2004.0</v>
      </c>
      <c r="R510" s="1">
        <v>613.0</v>
      </c>
      <c r="S510" s="1">
        <v>422.0</v>
      </c>
      <c r="T510" s="1">
        <v>394.0</v>
      </c>
      <c r="U510" s="1">
        <v>1970.0</v>
      </c>
      <c r="V510" s="1">
        <v>212.0</v>
      </c>
      <c r="W510" s="1">
        <v>893.0</v>
      </c>
      <c r="X510" s="1">
        <v>0.0</v>
      </c>
      <c r="Y510" s="1">
        <v>2.0</v>
      </c>
      <c r="Z510" s="1">
        <v>5.1</v>
      </c>
    </row>
    <row r="511" ht="14.25" customHeight="1">
      <c r="A511" s="1" t="s">
        <v>26</v>
      </c>
      <c r="B511" s="1" t="s">
        <v>2887</v>
      </c>
      <c r="C511" s="1" t="s">
        <v>2888</v>
      </c>
      <c r="D511" s="1">
        <v>9.7360069E7</v>
      </c>
      <c r="E511" s="1" t="s">
        <v>2889</v>
      </c>
      <c r="F511" s="1" t="s">
        <v>865</v>
      </c>
      <c r="G511" s="1" t="s">
        <v>1753</v>
      </c>
      <c r="H511" s="1" t="s">
        <v>688</v>
      </c>
      <c r="I511" s="1">
        <v>36491.0</v>
      </c>
      <c r="J511" s="1" t="s">
        <v>2890</v>
      </c>
      <c r="K511" s="1" t="s">
        <v>2891</v>
      </c>
      <c r="L511" s="1">
        <v>231.0</v>
      </c>
      <c r="M511" s="1" t="s">
        <v>35</v>
      </c>
      <c r="N511" s="1" t="s">
        <v>36</v>
      </c>
      <c r="O511" s="1" t="s">
        <v>87</v>
      </c>
      <c r="P511" s="1">
        <v>7.5E7</v>
      </c>
      <c r="Q511" s="1">
        <v>1999.0</v>
      </c>
      <c r="R511" s="1">
        <v>2000.0</v>
      </c>
      <c r="S511" s="1">
        <v>710.0</v>
      </c>
      <c r="T511" s="1">
        <v>692.0</v>
      </c>
      <c r="U511" s="1">
        <v>5320.0</v>
      </c>
      <c r="V511" s="1">
        <v>16.0</v>
      </c>
      <c r="W511" s="1">
        <v>509.0</v>
      </c>
      <c r="X511" s="1">
        <v>0.0</v>
      </c>
      <c r="Y511" s="1">
        <v>1.85</v>
      </c>
      <c r="Z511" s="1">
        <v>4.1</v>
      </c>
    </row>
    <row r="512" ht="14.25" customHeight="1">
      <c r="A512" s="1" t="s">
        <v>26</v>
      </c>
      <c r="B512" s="1" t="s">
        <v>1077</v>
      </c>
      <c r="C512" s="1" t="s">
        <v>2892</v>
      </c>
      <c r="D512" s="1">
        <v>1.17698894E8</v>
      </c>
      <c r="E512" s="1" t="s">
        <v>2130</v>
      </c>
      <c r="F512" s="1" t="s">
        <v>451</v>
      </c>
      <c r="G512" s="1" t="s">
        <v>321</v>
      </c>
      <c r="H512" s="1" t="s">
        <v>2893</v>
      </c>
      <c r="I512" s="1">
        <v>447979.0</v>
      </c>
      <c r="J512" s="1" t="s">
        <v>2894</v>
      </c>
      <c r="K512" s="1" t="s">
        <v>2895</v>
      </c>
      <c r="L512" s="1">
        <v>629.0</v>
      </c>
      <c r="M512" s="1" t="s">
        <v>35</v>
      </c>
      <c r="N512" s="1" t="s">
        <v>36</v>
      </c>
      <c r="O512" s="1" t="s">
        <v>37</v>
      </c>
      <c r="P512" s="1">
        <v>7.5E7</v>
      </c>
      <c r="Q512" s="1">
        <v>2013.0</v>
      </c>
      <c r="R512" s="1">
        <v>11000.0</v>
      </c>
      <c r="S512" s="1">
        <v>988.0</v>
      </c>
      <c r="T512" s="1">
        <v>963.0</v>
      </c>
      <c r="U512" s="1">
        <v>13312.0</v>
      </c>
      <c r="V512" s="1">
        <v>255.0</v>
      </c>
      <c r="W512" s="1">
        <v>105000.0</v>
      </c>
      <c r="X512" s="1">
        <v>6.0</v>
      </c>
      <c r="Y512" s="1">
        <v>2.35</v>
      </c>
      <c r="Z512" s="1">
        <v>7.3</v>
      </c>
    </row>
    <row r="513" ht="14.25" customHeight="1">
      <c r="A513" s="1" t="s">
        <v>26</v>
      </c>
      <c r="B513" s="1" t="s">
        <v>2093</v>
      </c>
      <c r="C513" s="1" t="s">
        <v>2896</v>
      </c>
      <c r="D513" s="1">
        <v>1.62001186E8</v>
      </c>
      <c r="E513" s="1" t="s">
        <v>1885</v>
      </c>
      <c r="F513" s="1" t="s">
        <v>264</v>
      </c>
      <c r="G513" s="1" t="s">
        <v>2095</v>
      </c>
      <c r="H513" s="1" t="s">
        <v>480</v>
      </c>
      <c r="I513" s="1">
        <v>181443.0</v>
      </c>
      <c r="J513" s="1" t="s">
        <v>2897</v>
      </c>
      <c r="K513" s="1" t="s">
        <v>2898</v>
      </c>
      <c r="L513" s="1">
        <v>311.0</v>
      </c>
      <c r="M513" s="1" t="s">
        <v>35</v>
      </c>
      <c r="N513" s="1" t="s">
        <v>36</v>
      </c>
      <c r="O513" s="1" t="s">
        <v>37</v>
      </c>
      <c r="P513" s="1">
        <v>8.0E7</v>
      </c>
      <c r="Q513" s="1">
        <v>2010.0</v>
      </c>
      <c r="R513" s="1">
        <v>12000.0</v>
      </c>
      <c r="S513" s="1">
        <v>11000.0</v>
      </c>
      <c r="T513" s="1">
        <v>4000.0</v>
      </c>
      <c r="U513" s="1">
        <v>28497.0</v>
      </c>
      <c r="V513" s="1">
        <v>221.0</v>
      </c>
      <c r="W513" s="1">
        <v>12000.0</v>
      </c>
      <c r="X513" s="1">
        <v>4.0</v>
      </c>
      <c r="Y513" s="1">
        <v>1.85</v>
      </c>
      <c r="Z513" s="1">
        <v>6.0</v>
      </c>
    </row>
    <row r="514" ht="14.25" customHeight="1">
      <c r="A514" s="1" t="s">
        <v>26</v>
      </c>
      <c r="B514" s="1" t="s">
        <v>381</v>
      </c>
      <c r="C514" s="1" t="s">
        <v>2899</v>
      </c>
      <c r="D514" s="1">
        <v>7.7032279E7</v>
      </c>
      <c r="E514" s="1" t="s">
        <v>2422</v>
      </c>
      <c r="F514" s="1" t="s">
        <v>314</v>
      </c>
      <c r="G514" s="1" t="s">
        <v>1568</v>
      </c>
      <c r="H514" s="1" t="s">
        <v>2900</v>
      </c>
      <c r="I514" s="1">
        <v>303864.0</v>
      </c>
      <c r="J514" s="1" t="s">
        <v>2901</v>
      </c>
      <c r="K514" s="1" t="s">
        <v>2902</v>
      </c>
      <c r="L514" s="1">
        <v>596.0</v>
      </c>
      <c r="M514" s="1" t="s">
        <v>35</v>
      </c>
      <c r="N514" s="1" t="s">
        <v>36</v>
      </c>
      <c r="O514" s="1" t="s">
        <v>37</v>
      </c>
      <c r="P514" s="1">
        <v>6.0E7</v>
      </c>
      <c r="Q514" s="1">
        <v>2004.0</v>
      </c>
      <c r="R514" s="1">
        <v>15000.0</v>
      </c>
      <c r="S514" s="1">
        <v>466.0</v>
      </c>
      <c r="T514" s="1">
        <v>232.0</v>
      </c>
      <c r="U514" s="1">
        <v>16199.0</v>
      </c>
      <c r="V514" s="1">
        <v>14000.0</v>
      </c>
      <c r="W514" s="1">
        <v>16000.0</v>
      </c>
      <c r="X514" s="1">
        <v>0.0</v>
      </c>
      <c r="Y514" s="1">
        <v>1.85</v>
      </c>
      <c r="Z514" s="1">
        <v>7.3</v>
      </c>
    </row>
    <row r="515" ht="14.25" customHeight="1">
      <c r="A515" s="1" t="s">
        <v>26</v>
      </c>
      <c r="B515" s="1" t="s">
        <v>2137</v>
      </c>
      <c r="C515" s="1" t="s">
        <v>2903</v>
      </c>
      <c r="D515" s="1">
        <v>7.3023275E7</v>
      </c>
      <c r="E515" s="1" t="s">
        <v>2904</v>
      </c>
      <c r="F515" s="1" t="s">
        <v>244</v>
      </c>
      <c r="G515" s="1" t="s">
        <v>2905</v>
      </c>
      <c r="H515" s="1" t="s">
        <v>2906</v>
      </c>
      <c r="I515" s="1">
        <v>16271.0</v>
      </c>
      <c r="J515" s="1" t="s">
        <v>2907</v>
      </c>
      <c r="K515" s="1" t="s">
        <v>2908</v>
      </c>
      <c r="L515" s="1">
        <v>57.0</v>
      </c>
      <c r="M515" s="1" t="s">
        <v>35</v>
      </c>
      <c r="N515" s="1" t="s">
        <v>36</v>
      </c>
      <c r="O515" s="1" t="s">
        <v>87</v>
      </c>
      <c r="P515" s="1">
        <v>3.5E7</v>
      </c>
      <c r="Q515" s="1">
        <v>2009.0</v>
      </c>
      <c r="R515" s="1">
        <v>3000.0</v>
      </c>
      <c r="S515" s="1">
        <v>576.0</v>
      </c>
      <c r="T515" s="1">
        <v>446.0</v>
      </c>
      <c r="U515" s="1">
        <v>5174.0</v>
      </c>
      <c r="V515" s="1">
        <v>87.0</v>
      </c>
      <c r="W515" s="1">
        <v>1000.0</v>
      </c>
      <c r="X515" s="1">
        <v>4.0</v>
      </c>
      <c r="Y515" s="1">
        <v>1.85</v>
      </c>
      <c r="Z515" s="1">
        <v>5.4</v>
      </c>
    </row>
    <row r="516" ht="14.25" customHeight="1">
      <c r="A516" s="1" t="s">
        <v>26</v>
      </c>
      <c r="B516" s="1" t="s">
        <v>305</v>
      </c>
      <c r="C516" s="1" t="s">
        <v>2909</v>
      </c>
      <c r="D516" s="1">
        <v>6.847336E7</v>
      </c>
      <c r="E516" s="1" t="s">
        <v>675</v>
      </c>
      <c r="F516" s="1" t="s">
        <v>2910</v>
      </c>
      <c r="G516" s="1" t="s">
        <v>1264</v>
      </c>
      <c r="H516" s="1" t="s">
        <v>988</v>
      </c>
      <c r="I516" s="1">
        <v>49536.0</v>
      </c>
      <c r="J516" s="1" t="s">
        <v>2911</v>
      </c>
      <c r="K516" s="1" t="s">
        <v>2912</v>
      </c>
      <c r="L516" s="1">
        <v>379.0</v>
      </c>
      <c r="M516" s="1" t="s">
        <v>35</v>
      </c>
      <c r="N516" s="1" t="s">
        <v>36</v>
      </c>
      <c r="O516" s="1" t="s">
        <v>37</v>
      </c>
      <c r="P516" s="1">
        <v>7.5E7</v>
      </c>
      <c r="Q516" s="1">
        <v>2000.0</v>
      </c>
      <c r="R516" s="1">
        <v>867.0</v>
      </c>
      <c r="S516" s="1">
        <v>826.0</v>
      </c>
      <c r="T516" s="1">
        <v>748.0</v>
      </c>
      <c r="U516" s="1">
        <v>3424.0</v>
      </c>
      <c r="V516" s="1">
        <v>258.0</v>
      </c>
      <c r="W516" s="1">
        <v>0.0</v>
      </c>
      <c r="X516" s="1">
        <v>0.0</v>
      </c>
      <c r="Y516" s="1">
        <v>1.85</v>
      </c>
      <c r="Z516" s="1">
        <v>5.9</v>
      </c>
    </row>
    <row r="517" ht="14.25" customHeight="1">
      <c r="A517" s="1" t="s">
        <v>26</v>
      </c>
      <c r="B517" s="1" t="s">
        <v>2913</v>
      </c>
      <c r="C517" s="1" t="s">
        <v>2914</v>
      </c>
      <c r="D517" s="1">
        <v>6.6636385E7</v>
      </c>
      <c r="E517" s="1" t="s">
        <v>2915</v>
      </c>
      <c r="F517" s="1" t="s">
        <v>662</v>
      </c>
      <c r="G517" s="1" t="s">
        <v>314</v>
      </c>
      <c r="H517" s="1" t="s">
        <v>2916</v>
      </c>
      <c r="I517" s="1">
        <v>88451.0</v>
      </c>
      <c r="J517" s="1" t="s">
        <v>2917</v>
      </c>
      <c r="K517" s="1" t="s">
        <v>2918</v>
      </c>
      <c r="L517" s="1">
        <v>289.0</v>
      </c>
      <c r="M517" s="1" t="s">
        <v>35</v>
      </c>
      <c r="N517" s="1" t="s">
        <v>36</v>
      </c>
      <c r="O517" s="1" t="s">
        <v>628</v>
      </c>
      <c r="P517" s="1">
        <v>7.5E7</v>
      </c>
      <c r="Q517" s="1">
        <v>2007.0</v>
      </c>
      <c r="R517" s="1">
        <v>22000.0</v>
      </c>
      <c r="S517" s="1">
        <v>15000.0</v>
      </c>
      <c r="T517" s="1">
        <v>15000.0</v>
      </c>
      <c r="U517" s="1">
        <v>60646.0</v>
      </c>
      <c r="V517" s="1">
        <v>0.0</v>
      </c>
      <c r="W517" s="1">
        <v>0.0</v>
      </c>
      <c r="X517" s="1">
        <v>1.0</v>
      </c>
      <c r="Y517" s="1">
        <v>1.85</v>
      </c>
      <c r="Z517" s="1">
        <v>7.1</v>
      </c>
    </row>
    <row r="518" ht="14.25" customHeight="1">
      <c r="A518" s="1" t="s">
        <v>26</v>
      </c>
      <c r="B518" s="1" t="s">
        <v>1902</v>
      </c>
      <c r="C518" s="1" t="s">
        <v>2919</v>
      </c>
      <c r="D518" s="1">
        <v>1.60762022E8</v>
      </c>
      <c r="E518" s="1" t="s">
        <v>456</v>
      </c>
      <c r="F518" s="1" t="s">
        <v>1663</v>
      </c>
      <c r="G518" s="1" t="s">
        <v>472</v>
      </c>
      <c r="H518" s="1" t="s">
        <v>550</v>
      </c>
      <c r="I518" s="1">
        <v>132415.0</v>
      </c>
      <c r="J518" s="1" t="s">
        <v>2920</v>
      </c>
      <c r="K518" s="1" t="s">
        <v>2921</v>
      </c>
      <c r="L518" s="1">
        <v>288.0</v>
      </c>
      <c r="M518" s="1" t="s">
        <v>35</v>
      </c>
      <c r="N518" s="1" t="s">
        <v>36</v>
      </c>
      <c r="O518" s="1" t="s">
        <v>87</v>
      </c>
      <c r="P518" s="1">
        <v>7.5E7</v>
      </c>
      <c r="Q518" s="1">
        <v>2004.0</v>
      </c>
      <c r="R518" s="1">
        <v>22000.0</v>
      </c>
      <c r="S518" s="1">
        <v>17000.0</v>
      </c>
      <c r="T518" s="1">
        <v>11000.0</v>
      </c>
      <c r="U518" s="1">
        <v>63165.0</v>
      </c>
      <c r="V518" s="1">
        <v>10.0</v>
      </c>
      <c r="W518" s="1">
        <v>0.0</v>
      </c>
      <c r="X518" s="1">
        <v>0.0</v>
      </c>
      <c r="Y518" s="1">
        <v>1.85</v>
      </c>
      <c r="Z518" s="1">
        <v>6.0</v>
      </c>
    </row>
    <row r="519" ht="14.25" customHeight="1">
      <c r="A519" s="1" t="s">
        <v>26</v>
      </c>
      <c r="B519" s="1" t="s">
        <v>1067</v>
      </c>
      <c r="C519" s="1" t="s">
        <v>2922</v>
      </c>
      <c r="D519" s="1">
        <v>1.03338338E8</v>
      </c>
      <c r="E519" s="1" t="s">
        <v>2923</v>
      </c>
      <c r="F519" s="1" t="s">
        <v>2924</v>
      </c>
      <c r="G519" s="1" t="s">
        <v>2925</v>
      </c>
      <c r="H519" s="1" t="s">
        <v>1584</v>
      </c>
      <c r="I519" s="1">
        <v>55901.0</v>
      </c>
      <c r="J519" s="1" t="s">
        <v>2926</v>
      </c>
      <c r="K519" s="1" t="s">
        <v>2927</v>
      </c>
      <c r="L519" s="1">
        <v>503.0</v>
      </c>
      <c r="M519" s="1" t="s">
        <v>35</v>
      </c>
      <c r="N519" s="1" t="s">
        <v>36</v>
      </c>
      <c r="O519" s="1" t="s">
        <v>37</v>
      </c>
      <c r="P519" s="1">
        <v>7.0E7</v>
      </c>
      <c r="Q519" s="1">
        <v>2006.0</v>
      </c>
      <c r="R519" s="1">
        <v>912.0</v>
      </c>
      <c r="S519" s="1">
        <v>549.0</v>
      </c>
      <c r="T519" s="1">
        <v>525.0</v>
      </c>
      <c r="U519" s="1">
        <v>2856.0</v>
      </c>
      <c r="V519" s="1">
        <v>386.0</v>
      </c>
      <c r="W519" s="1">
        <v>0.0</v>
      </c>
      <c r="X519" s="1">
        <v>0.0</v>
      </c>
      <c r="Y519" s="1">
        <v>2.35</v>
      </c>
      <c r="Z519" s="1">
        <v>6.5</v>
      </c>
    </row>
    <row r="520" ht="14.25" customHeight="1">
      <c r="A520" s="1" t="s">
        <v>26</v>
      </c>
      <c r="B520" s="1" t="s">
        <v>2928</v>
      </c>
      <c r="C520" s="1" t="s">
        <v>2929</v>
      </c>
      <c r="D520" s="1">
        <v>5.5808744E7</v>
      </c>
      <c r="E520" s="1" t="s">
        <v>2930</v>
      </c>
      <c r="F520" s="1" t="s">
        <v>1036</v>
      </c>
      <c r="G520" s="1" t="s">
        <v>2931</v>
      </c>
      <c r="H520" s="1" t="s">
        <v>1754</v>
      </c>
      <c r="I520" s="1">
        <v>59435.0</v>
      </c>
      <c r="J520" s="1" t="s">
        <v>2932</v>
      </c>
      <c r="K520" s="1" t="s">
        <v>2933</v>
      </c>
      <c r="L520" s="1">
        <v>323.0</v>
      </c>
      <c r="M520" s="1" t="s">
        <v>35</v>
      </c>
      <c r="N520" s="1" t="s">
        <v>36</v>
      </c>
      <c r="O520" s="1" t="s">
        <v>37</v>
      </c>
      <c r="P520" s="1">
        <v>5.3E7</v>
      </c>
      <c r="Q520" s="1">
        <v>2005.0</v>
      </c>
      <c r="R520" s="1">
        <v>12000.0</v>
      </c>
      <c r="S520" s="1">
        <v>1000.0</v>
      </c>
      <c r="T520" s="1">
        <v>680.0</v>
      </c>
      <c r="U520" s="1">
        <v>15889.0</v>
      </c>
      <c r="V520" s="1">
        <v>473.0</v>
      </c>
      <c r="W520" s="1">
        <v>0.0</v>
      </c>
      <c r="X520" s="1">
        <v>4.0</v>
      </c>
      <c r="Y520" s="1">
        <v>2.4</v>
      </c>
      <c r="Z520" s="1">
        <v>5.7</v>
      </c>
    </row>
    <row r="521" ht="14.25" customHeight="1">
      <c r="A521" s="1" t="s">
        <v>26</v>
      </c>
      <c r="B521" s="1" t="s">
        <v>381</v>
      </c>
      <c r="C521" s="1" t="s">
        <v>2934</v>
      </c>
      <c r="D521" s="1">
        <v>4.737909E7</v>
      </c>
      <c r="E521" s="1" t="s">
        <v>2676</v>
      </c>
      <c r="F521" s="1" t="s">
        <v>816</v>
      </c>
      <c r="G521" s="1" t="s">
        <v>2935</v>
      </c>
      <c r="H521" s="1" t="s">
        <v>121</v>
      </c>
      <c r="I521" s="1">
        <v>176936.0</v>
      </c>
      <c r="J521" s="1" t="s">
        <v>2936</v>
      </c>
      <c r="K521" s="1" t="s">
        <v>2937</v>
      </c>
      <c r="L521" s="1">
        <v>824.0</v>
      </c>
      <c r="M521" s="1" t="s">
        <v>35</v>
      </c>
      <c r="N521" s="1" t="s">
        <v>1832</v>
      </c>
      <c r="O521" s="1" t="s">
        <v>628</v>
      </c>
      <c r="P521" s="1">
        <v>7.0E7</v>
      </c>
      <c r="Q521" s="1">
        <v>2005.0</v>
      </c>
      <c r="R521" s="1">
        <v>745.0</v>
      </c>
      <c r="S521" s="1">
        <v>486.0</v>
      </c>
      <c r="T521" s="1">
        <v>412.0</v>
      </c>
      <c r="U521" s="1">
        <v>2529.0</v>
      </c>
      <c r="V521" s="1">
        <v>14000.0</v>
      </c>
      <c r="W521" s="1">
        <v>0.0</v>
      </c>
      <c r="X521" s="1">
        <v>0.0</v>
      </c>
      <c r="Y521" s="1">
        <v>2.35</v>
      </c>
      <c r="Z521" s="1">
        <v>7.6</v>
      </c>
    </row>
    <row r="522" ht="14.25" customHeight="1">
      <c r="A522" s="1" t="s">
        <v>26</v>
      </c>
      <c r="B522" s="1" t="s">
        <v>2938</v>
      </c>
      <c r="C522" s="1" t="s">
        <v>2939</v>
      </c>
      <c r="D522" s="1">
        <v>4.3426961E7</v>
      </c>
      <c r="E522" s="1" t="s">
        <v>1827</v>
      </c>
      <c r="F522" s="1" t="s">
        <v>941</v>
      </c>
      <c r="G522" s="1" t="s">
        <v>2118</v>
      </c>
      <c r="H522" s="1" t="s">
        <v>1969</v>
      </c>
      <c r="I522" s="1">
        <v>93494.0</v>
      </c>
      <c r="J522" s="1" t="s">
        <v>2940</v>
      </c>
      <c r="K522" s="1" t="s">
        <v>2941</v>
      </c>
      <c r="L522" s="1">
        <v>394.0</v>
      </c>
      <c r="M522" s="1" t="s">
        <v>35</v>
      </c>
      <c r="N522" s="1" t="s">
        <v>36</v>
      </c>
      <c r="O522" s="1" t="s">
        <v>628</v>
      </c>
      <c r="P522" s="1">
        <v>7.0E7</v>
      </c>
      <c r="Q522" s="1">
        <v>2003.0</v>
      </c>
      <c r="R522" s="1">
        <v>13000.0</v>
      </c>
      <c r="S522" s="1">
        <v>1000.0</v>
      </c>
      <c r="T522" s="1">
        <v>787.0</v>
      </c>
      <c r="U522" s="1">
        <v>16580.0</v>
      </c>
      <c r="V522" s="1">
        <v>845.0</v>
      </c>
      <c r="W522" s="1">
        <v>0.0</v>
      </c>
      <c r="X522" s="1">
        <v>1.0</v>
      </c>
      <c r="Y522" s="1">
        <v>2.35</v>
      </c>
      <c r="Z522" s="1">
        <v>6.6</v>
      </c>
    </row>
    <row r="523" ht="14.25" customHeight="1">
      <c r="A523" s="1" t="s">
        <v>26</v>
      </c>
      <c r="B523" s="1" t="s">
        <v>2942</v>
      </c>
      <c r="C523" s="1" t="s">
        <v>2943</v>
      </c>
      <c r="D523" s="1">
        <v>4.7000485E7</v>
      </c>
      <c r="E523" s="1" t="s">
        <v>2944</v>
      </c>
      <c r="F523" s="1" t="s">
        <v>2945</v>
      </c>
      <c r="G523" s="1" t="s">
        <v>1139</v>
      </c>
      <c r="H523" s="1" t="s">
        <v>1719</v>
      </c>
      <c r="I523" s="1">
        <v>72867.0</v>
      </c>
      <c r="J523" s="1" t="s">
        <v>2946</v>
      </c>
      <c r="K523" s="1" t="s">
        <v>2947</v>
      </c>
      <c r="L523" s="1">
        <v>120.0</v>
      </c>
      <c r="M523" s="1" t="s">
        <v>35</v>
      </c>
      <c r="N523" s="1" t="s">
        <v>36</v>
      </c>
      <c r="O523" s="1" t="s">
        <v>37</v>
      </c>
      <c r="P523" s="1">
        <v>7.5E7</v>
      </c>
      <c r="Q523" s="1">
        <v>2010.0</v>
      </c>
      <c r="R523" s="1">
        <v>19000.0</v>
      </c>
      <c r="S523" s="1">
        <v>1000.0</v>
      </c>
      <c r="T523" s="1">
        <v>925.0</v>
      </c>
      <c r="U523" s="1">
        <v>25206.0</v>
      </c>
      <c r="V523" s="1">
        <v>126.0</v>
      </c>
      <c r="W523" s="1">
        <v>0.0</v>
      </c>
      <c r="X523" s="1">
        <v>2.0</v>
      </c>
      <c r="Y523" s="1">
        <v>2.35</v>
      </c>
      <c r="Z523" s="1">
        <v>5.4</v>
      </c>
    </row>
    <row r="524" ht="14.25" customHeight="1">
      <c r="A524" s="1" t="s">
        <v>26</v>
      </c>
      <c r="B524" s="1" t="s">
        <v>1238</v>
      </c>
      <c r="C524" s="1" t="s">
        <v>2948</v>
      </c>
      <c r="D524" s="1">
        <v>4.5434443E7</v>
      </c>
      <c r="E524" s="1" t="s">
        <v>1551</v>
      </c>
      <c r="F524" s="1" t="s">
        <v>105</v>
      </c>
      <c r="G524" s="1" t="s">
        <v>358</v>
      </c>
      <c r="H524" s="1" t="s">
        <v>2949</v>
      </c>
      <c r="I524" s="1">
        <v>175960.0</v>
      </c>
      <c r="J524" s="1" t="s">
        <v>2950</v>
      </c>
      <c r="K524" s="1" t="s">
        <v>2951</v>
      </c>
      <c r="L524" s="1">
        <v>360.0</v>
      </c>
      <c r="M524" s="1" t="s">
        <v>35</v>
      </c>
      <c r="N524" s="1" t="s">
        <v>36</v>
      </c>
      <c r="O524" s="1" t="s">
        <v>37</v>
      </c>
      <c r="P524" s="1">
        <v>7.5E7</v>
      </c>
      <c r="Q524" s="1">
        <v>2015.0</v>
      </c>
      <c r="R524" s="1">
        <v>15000.0</v>
      </c>
      <c r="S524" s="1">
        <v>509.0</v>
      </c>
      <c r="T524" s="1">
        <v>104.0</v>
      </c>
      <c r="U524" s="1">
        <v>15735.0</v>
      </c>
      <c r="V524" s="1">
        <v>0.0</v>
      </c>
      <c r="W524" s="1">
        <v>43000.0</v>
      </c>
      <c r="X524" s="1">
        <v>2.0</v>
      </c>
      <c r="Y524" s="1">
        <v>2.35</v>
      </c>
      <c r="Z524" s="1">
        <v>7.3</v>
      </c>
    </row>
    <row r="525" ht="14.25" customHeight="1">
      <c r="A525" s="1" t="s">
        <v>26</v>
      </c>
      <c r="B525" s="1" t="s">
        <v>1357</v>
      </c>
      <c r="C525" s="1" t="s">
        <v>2952</v>
      </c>
      <c r="D525" s="1">
        <v>4.2044321E7</v>
      </c>
      <c r="E525" s="1" t="s">
        <v>1359</v>
      </c>
      <c r="F525" s="1" t="s">
        <v>2095</v>
      </c>
      <c r="G525" s="1" t="s">
        <v>2953</v>
      </c>
      <c r="H525" s="1" t="s">
        <v>2954</v>
      </c>
      <c r="I525" s="1">
        <v>65668.0</v>
      </c>
      <c r="J525" s="1" t="s">
        <v>2955</v>
      </c>
      <c r="K525" s="1" t="s">
        <v>2956</v>
      </c>
      <c r="L525" s="1">
        <v>342.0</v>
      </c>
      <c r="M525" s="1" t="s">
        <v>35</v>
      </c>
      <c r="N525" s="1" t="s">
        <v>36</v>
      </c>
      <c r="O525" s="1" t="s">
        <v>37</v>
      </c>
      <c r="P525" s="1">
        <v>8.0E7</v>
      </c>
      <c r="Q525" s="1">
        <v>2004.0</v>
      </c>
      <c r="R525" s="1">
        <v>11000.0</v>
      </c>
      <c r="S525" s="1">
        <v>964.0</v>
      </c>
      <c r="T525" s="1">
        <v>138.0</v>
      </c>
      <c r="U525" s="1">
        <v>12522.0</v>
      </c>
      <c r="V525" s="1">
        <v>274.0</v>
      </c>
      <c r="W525" s="1">
        <v>0.0</v>
      </c>
      <c r="X525" s="1">
        <v>2.0</v>
      </c>
      <c r="Y525" s="1">
        <v>1.85</v>
      </c>
      <c r="Z525" s="1">
        <v>6.5</v>
      </c>
    </row>
    <row r="526" ht="14.25" customHeight="1">
      <c r="A526" s="1" t="s">
        <v>26</v>
      </c>
      <c r="B526" s="1" t="s">
        <v>2957</v>
      </c>
      <c r="C526" s="1" t="s">
        <v>2958</v>
      </c>
      <c r="D526" s="1">
        <v>7.366101E7</v>
      </c>
      <c r="E526" s="1" t="s">
        <v>2959</v>
      </c>
      <c r="F526" s="1" t="s">
        <v>264</v>
      </c>
      <c r="G526" s="1" t="s">
        <v>1869</v>
      </c>
      <c r="H526" s="1" t="s">
        <v>1719</v>
      </c>
      <c r="I526" s="1">
        <v>71137.0</v>
      </c>
      <c r="J526" s="1" t="s">
        <v>2960</v>
      </c>
      <c r="K526" s="1" t="s">
        <v>2961</v>
      </c>
      <c r="L526" s="1">
        <v>229.0</v>
      </c>
      <c r="M526" s="1" t="s">
        <v>35</v>
      </c>
      <c r="N526" s="1" t="s">
        <v>36</v>
      </c>
      <c r="O526" s="1" t="s">
        <v>87</v>
      </c>
      <c r="P526" s="1">
        <v>7.5E7</v>
      </c>
      <c r="Q526" s="1">
        <v>2006.0</v>
      </c>
      <c r="R526" s="1">
        <v>12000.0</v>
      </c>
      <c r="S526" s="1">
        <v>970.0</v>
      </c>
      <c r="T526" s="1">
        <v>925.0</v>
      </c>
      <c r="U526" s="1">
        <v>17299.0</v>
      </c>
      <c r="V526" s="1">
        <v>27.0</v>
      </c>
      <c r="W526" s="1">
        <v>0.0</v>
      </c>
      <c r="X526" s="1">
        <v>0.0</v>
      </c>
      <c r="Y526" s="1">
        <v>2.35</v>
      </c>
      <c r="Z526" s="1">
        <v>6.6</v>
      </c>
    </row>
    <row r="527" ht="14.25" customHeight="1">
      <c r="A527" s="1" t="s">
        <v>26</v>
      </c>
      <c r="B527" s="1" t="s">
        <v>2962</v>
      </c>
      <c r="C527" s="1" t="s">
        <v>2963</v>
      </c>
      <c r="D527" s="1">
        <v>4.1523271E7</v>
      </c>
      <c r="E527" s="1" t="s">
        <v>2964</v>
      </c>
      <c r="F527" s="1" t="s">
        <v>941</v>
      </c>
      <c r="G527" s="1" t="s">
        <v>2965</v>
      </c>
      <c r="H527" s="1" t="s">
        <v>2966</v>
      </c>
      <c r="I527" s="1">
        <v>57038.0</v>
      </c>
      <c r="J527" s="1" t="s">
        <v>2967</v>
      </c>
      <c r="K527" s="1" t="s">
        <v>2968</v>
      </c>
      <c r="L527" s="1">
        <v>261.0</v>
      </c>
      <c r="M527" s="1" t="s">
        <v>35</v>
      </c>
      <c r="N527" s="1" t="s">
        <v>36</v>
      </c>
      <c r="O527" s="1" t="s">
        <v>37</v>
      </c>
      <c r="P527" s="1">
        <v>8.0E7</v>
      </c>
      <c r="Q527" s="1">
        <v>2001.0</v>
      </c>
      <c r="R527" s="1">
        <v>13000.0</v>
      </c>
      <c r="S527" s="1">
        <v>450.0</v>
      </c>
      <c r="T527" s="1">
        <v>193.0</v>
      </c>
      <c r="U527" s="1">
        <v>13934.0</v>
      </c>
      <c r="V527" s="1">
        <v>272.0</v>
      </c>
      <c r="W527" s="1">
        <v>0.0</v>
      </c>
      <c r="X527" s="1">
        <v>2.0</v>
      </c>
      <c r="Y527" s="1">
        <v>2.35</v>
      </c>
      <c r="Z527" s="1">
        <v>6.6</v>
      </c>
    </row>
    <row r="528" ht="14.25" customHeight="1">
      <c r="A528" s="1" t="s">
        <v>26</v>
      </c>
      <c r="B528" s="1" t="s">
        <v>2969</v>
      </c>
      <c r="C528" s="1" t="s">
        <v>2970</v>
      </c>
      <c r="D528" s="1">
        <v>3.7600435E7</v>
      </c>
      <c r="E528" s="1" t="s">
        <v>2971</v>
      </c>
      <c r="F528" s="1" t="s">
        <v>652</v>
      </c>
      <c r="G528" s="1" t="s">
        <v>2972</v>
      </c>
      <c r="H528" s="1" t="s">
        <v>2973</v>
      </c>
      <c r="I528" s="1">
        <v>55350.0</v>
      </c>
      <c r="J528" s="1" t="s">
        <v>2974</v>
      </c>
      <c r="K528" s="1" t="s">
        <v>2975</v>
      </c>
      <c r="L528" s="1">
        <v>180.0</v>
      </c>
      <c r="M528" s="1" t="s">
        <v>35</v>
      </c>
      <c r="N528" s="1" t="s">
        <v>36</v>
      </c>
      <c r="O528" s="1" t="s">
        <v>37</v>
      </c>
      <c r="P528" s="1">
        <v>5.5E7</v>
      </c>
      <c r="Q528" s="1">
        <v>1995.0</v>
      </c>
      <c r="R528" s="1">
        <v>919.0</v>
      </c>
      <c r="S528" s="1">
        <v>303.0</v>
      </c>
      <c r="T528" s="1">
        <v>249.0</v>
      </c>
      <c r="U528" s="1">
        <v>1695.0</v>
      </c>
      <c r="V528" s="1">
        <v>109.0</v>
      </c>
      <c r="W528" s="1">
        <v>0.0</v>
      </c>
      <c r="X528" s="1">
        <v>3.0</v>
      </c>
      <c r="Y528" s="1">
        <v>1.85</v>
      </c>
      <c r="Z528" s="1">
        <v>5.9</v>
      </c>
    </row>
    <row r="529" ht="14.25" customHeight="1">
      <c r="A529" s="1" t="s">
        <v>26</v>
      </c>
      <c r="B529" s="1" t="s">
        <v>2976</v>
      </c>
      <c r="C529" s="1" t="s">
        <v>2977</v>
      </c>
      <c r="D529" s="1">
        <v>3.9251128E7</v>
      </c>
      <c r="E529" s="1" t="s">
        <v>2978</v>
      </c>
      <c r="F529" s="1" t="s">
        <v>481</v>
      </c>
      <c r="G529" s="1" t="s">
        <v>2979</v>
      </c>
      <c r="H529" s="1" t="s">
        <v>2980</v>
      </c>
      <c r="I529" s="1">
        <v>31080.0</v>
      </c>
      <c r="J529" s="1" t="s">
        <v>2981</v>
      </c>
      <c r="K529" s="1" t="s">
        <v>2982</v>
      </c>
      <c r="L529" s="1">
        <v>217.0</v>
      </c>
      <c r="M529" s="1" t="s">
        <v>35</v>
      </c>
      <c r="N529" s="1" t="s">
        <v>36</v>
      </c>
      <c r="O529" s="1" t="s">
        <v>37</v>
      </c>
      <c r="P529" s="1">
        <v>7.5E7</v>
      </c>
      <c r="Q529" s="1">
        <v>1999.0</v>
      </c>
      <c r="R529" s="1">
        <v>582.0</v>
      </c>
      <c r="S529" s="1">
        <v>103.0</v>
      </c>
      <c r="T529" s="1">
        <v>99.0</v>
      </c>
      <c r="U529" s="1">
        <v>804.0</v>
      </c>
      <c r="V529" s="1">
        <v>72.0</v>
      </c>
      <c r="W529" s="1">
        <v>0.0</v>
      </c>
      <c r="X529" s="1">
        <v>2.0</v>
      </c>
      <c r="Y529" s="1">
        <v>2.35</v>
      </c>
      <c r="Z529" s="1">
        <v>6.7</v>
      </c>
    </row>
    <row r="530" ht="14.25" customHeight="1">
      <c r="A530" s="1" t="s">
        <v>26</v>
      </c>
      <c r="B530" s="1" t="s">
        <v>2349</v>
      </c>
      <c r="C530" s="1" t="s">
        <v>2983</v>
      </c>
      <c r="D530" s="1">
        <v>8.3503161E7</v>
      </c>
      <c r="E530" s="1" t="s">
        <v>2984</v>
      </c>
      <c r="F530" s="1" t="s">
        <v>105</v>
      </c>
      <c r="G530" s="1" t="s">
        <v>2985</v>
      </c>
      <c r="H530" s="1" t="s">
        <v>2986</v>
      </c>
      <c r="I530" s="1">
        <v>138190.0</v>
      </c>
      <c r="J530" s="1" t="s">
        <v>2987</v>
      </c>
      <c r="K530" s="1" t="s">
        <v>2988</v>
      </c>
      <c r="L530" s="1">
        <v>405.0</v>
      </c>
      <c r="M530" s="1" t="s">
        <v>35</v>
      </c>
      <c r="N530" s="1" t="s">
        <v>36</v>
      </c>
      <c r="O530" s="1" t="s">
        <v>628</v>
      </c>
      <c r="P530" s="1">
        <v>7.5E7</v>
      </c>
      <c r="Q530" s="1">
        <v>2011.0</v>
      </c>
      <c r="R530" s="1">
        <v>15000.0</v>
      </c>
      <c r="S530" s="1">
        <v>1000.0</v>
      </c>
      <c r="T530" s="1">
        <v>222.0</v>
      </c>
      <c r="U530" s="1">
        <v>16691.0</v>
      </c>
      <c r="V530" s="1">
        <v>763.0</v>
      </c>
      <c r="W530" s="1">
        <v>30000.0</v>
      </c>
      <c r="X530" s="1">
        <v>1.0</v>
      </c>
      <c r="Y530" s="1">
        <v>1.85</v>
      </c>
      <c r="Z530" s="1">
        <v>6.1</v>
      </c>
    </row>
    <row r="531" ht="14.25" customHeight="1">
      <c r="A531" s="1" t="s">
        <v>26</v>
      </c>
      <c r="B531" s="1" t="s">
        <v>2989</v>
      </c>
      <c r="C531" s="1" t="s">
        <v>2990</v>
      </c>
      <c r="D531" s="1">
        <v>3.4636443E7</v>
      </c>
      <c r="E531" s="1" t="s">
        <v>2281</v>
      </c>
      <c r="F531" s="1" t="s">
        <v>502</v>
      </c>
      <c r="G531" s="1" t="s">
        <v>941</v>
      </c>
      <c r="H531" s="1" t="s">
        <v>2991</v>
      </c>
      <c r="I531" s="1">
        <v>93790.0</v>
      </c>
      <c r="J531" s="1" t="s">
        <v>2992</v>
      </c>
      <c r="K531" s="1" t="s">
        <v>2993</v>
      </c>
      <c r="L531" s="1">
        <v>288.0</v>
      </c>
      <c r="M531" s="1" t="s">
        <v>35</v>
      </c>
      <c r="N531" s="1" t="s">
        <v>36</v>
      </c>
      <c r="O531" s="1" t="s">
        <v>628</v>
      </c>
      <c r="P531" s="1">
        <v>5.2E7</v>
      </c>
      <c r="Q531" s="1">
        <v>2005.0</v>
      </c>
      <c r="R531" s="1">
        <v>87000.0</v>
      </c>
      <c r="S531" s="1">
        <v>13000.0</v>
      </c>
      <c r="T531" s="1">
        <v>759.0</v>
      </c>
      <c r="U531" s="1">
        <v>103354.0</v>
      </c>
      <c r="V531" s="1">
        <v>17.0</v>
      </c>
      <c r="W531" s="1">
        <v>0.0</v>
      </c>
      <c r="X531" s="1">
        <v>0.0</v>
      </c>
      <c r="Y531" s="1">
        <v>2.35</v>
      </c>
      <c r="Z531" s="1">
        <v>6.6</v>
      </c>
    </row>
    <row r="532" ht="14.25" customHeight="1">
      <c r="A532" s="1" t="s">
        <v>26</v>
      </c>
      <c r="B532" s="1" t="s">
        <v>2994</v>
      </c>
      <c r="C532" s="1" t="s">
        <v>2995</v>
      </c>
      <c r="D532" s="1">
        <v>2.2751979E7</v>
      </c>
      <c r="E532" s="1" t="s">
        <v>2996</v>
      </c>
      <c r="F532" s="1" t="s">
        <v>1113</v>
      </c>
      <c r="G532" s="1" t="s">
        <v>757</v>
      </c>
      <c r="H532" s="1" t="s">
        <v>1329</v>
      </c>
      <c r="I532" s="1">
        <v>52244.0</v>
      </c>
      <c r="J532" s="1" t="s">
        <v>2997</v>
      </c>
      <c r="K532" s="1" t="s">
        <v>2998</v>
      </c>
      <c r="L532" s="1">
        <v>377.0</v>
      </c>
      <c r="M532" s="1" t="s">
        <v>35</v>
      </c>
      <c r="N532" s="1" t="s">
        <v>36</v>
      </c>
      <c r="O532" s="1" t="s">
        <v>87</v>
      </c>
      <c r="P532" s="1">
        <v>7.5E7</v>
      </c>
      <c r="Q532" s="1">
        <v>2000.0</v>
      </c>
      <c r="R532" s="1">
        <v>13000.0</v>
      </c>
      <c r="S532" s="1">
        <v>1000.0</v>
      </c>
      <c r="T532" s="1">
        <v>886.0</v>
      </c>
      <c r="U532" s="1">
        <v>15857.0</v>
      </c>
      <c r="V532" s="1">
        <v>383.0</v>
      </c>
      <c r="W532" s="1">
        <v>0.0</v>
      </c>
      <c r="X532" s="1">
        <v>0.0</v>
      </c>
      <c r="Y532" s="1">
        <v>2.35</v>
      </c>
      <c r="Z532" s="1">
        <v>6.6</v>
      </c>
    </row>
    <row r="533" ht="14.25" customHeight="1">
      <c r="A533" s="1" t="s">
        <v>26</v>
      </c>
      <c r="B533" s="1" t="s">
        <v>2999</v>
      </c>
      <c r="C533" s="1" t="s">
        <v>3000</v>
      </c>
      <c r="D533" s="1">
        <v>3.0013346E7</v>
      </c>
      <c r="E533" s="1" t="s">
        <v>408</v>
      </c>
      <c r="F533" s="1" t="s">
        <v>383</v>
      </c>
      <c r="G533" s="1" t="s">
        <v>346</v>
      </c>
      <c r="H533" s="1" t="s">
        <v>3001</v>
      </c>
      <c r="I533" s="1">
        <v>31293.0</v>
      </c>
      <c r="J533" s="1" t="s">
        <v>3002</v>
      </c>
      <c r="K533" s="1" t="s">
        <v>3003</v>
      </c>
      <c r="L533" s="1">
        <v>254.0</v>
      </c>
      <c r="M533" s="1" t="s">
        <v>35</v>
      </c>
      <c r="N533" s="1" t="s">
        <v>36</v>
      </c>
      <c r="O533" s="1" t="s">
        <v>37</v>
      </c>
      <c r="P533" s="1">
        <v>7.5E7</v>
      </c>
      <c r="Q533" s="1">
        <v>2003.0</v>
      </c>
      <c r="R533" s="1">
        <v>11000.0</v>
      </c>
      <c r="S533" s="1">
        <v>982.0</v>
      </c>
      <c r="T533" s="1">
        <v>541.0</v>
      </c>
      <c r="U533" s="1">
        <v>14028.0</v>
      </c>
      <c r="V533" s="1">
        <v>41.0</v>
      </c>
      <c r="W533" s="1">
        <v>648.0</v>
      </c>
      <c r="X533" s="1">
        <v>2.0</v>
      </c>
      <c r="Y533" s="1">
        <v>2.35</v>
      </c>
      <c r="Z533" s="1">
        <v>5.3</v>
      </c>
    </row>
    <row r="534" ht="14.25" customHeight="1">
      <c r="A534" s="1" t="s">
        <v>26</v>
      </c>
      <c r="B534" s="1" t="s">
        <v>2246</v>
      </c>
      <c r="C534" s="1" t="s">
        <v>3004</v>
      </c>
      <c r="D534" s="1">
        <v>1.4567883E7</v>
      </c>
      <c r="E534" s="1" t="s">
        <v>3005</v>
      </c>
      <c r="F534" s="1" t="s">
        <v>1611</v>
      </c>
      <c r="G534" s="1" t="s">
        <v>3006</v>
      </c>
      <c r="H534" s="1" t="s">
        <v>2451</v>
      </c>
      <c r="I534" s="1">
        <v>44248.0</v>
      </c>
      <c r="J534" s="1" t="s">
        <v>3007</v>
      </c>
      <c r="K534" s="1" t="s">
        <v>3008</v>
      </c>
      <c r="L534" s="1">
        <v>373.0</v>
      </c>
      <c r="M534" s="1" t="s">
        <v>35</v>
      </c>
      <c r="N534" s="1" t="s">
        <v>54</v>
      </c>
      <c r="O534" s="1" t="s">
        <v>628</v>
      </c>
      <c r="P534" s="1">
        <v>7.5E7</v>
      </c>
      <c r="Q534" s="1">
        <v>1998.0</v>
      </c>
      <c r="R534" s="1">
        <v>933.0</v>
      </c>
      <c r="S534" s="1">
        <v>722.0</v>
      </c>
      <c r="T534" s="1">
        <v>533.0</v>
      </c>
      <c r="U534" s="1">
        <v>2542.0</v>
      </c>
      <c r="V534" s="1">
        <v>545.0</v>
      </c>
      <c r="W534" s="1">
        <v>0.0</v>
      </c>
      <c r="X534" s="1">
        <v>1.0</v>
      </c>
      <c r="Y534" s="1">
        <v>2.35</v>
      </c>
      <c r="Z534" s="1">
        <v>6.0</v>
      </c>
    </row>
    <row r="535" ht="14.25" customHeight="1">
      <c r="A535" s="1" t="s">
        <v>26</v>
      </c>
      <c r="B535" s="1" t="s">
        <v>3009</v>
      </c>
      <c r="C535" s="1" t="s">
        <v>3010</v>
      </c>
      <c r="D535" s="1">
        <v>5409517.0</v>
      </c>
      <c r="E535" s="1" t="s">
        <v>3011</v>
      </c>
      <c r="F535" s="1" t="s">
        <v>488</v>
      </c>
      <c r="G535" s="1" t="s">
        <v>3012</v>
      </c>
      <c r="H535" s="1" t="s">
        <v>3013</v>
      </c>
      <c r="I535" s="1">
        <v>14280.0</v>
      </c>
      <c r="J535" s="1" t="s">
        <v>3014</v>
      </c>
      <c r="K535" s="1" t="s">
        <v>3015</v>
      </c>
      <c r="L535" s="1">
        <v>171.0</v>
      </c>
      <c r="M535" s="1" t="s">
        <v>35</v>
      </c>
      <c r="N535" s="1" t="s">
        <v>36</v>
      </c>
      <c r="O535" s="1" t="s">
        <v>37</v>
      </c>
      <c r="P535" s="1">
        <v>7.5E7</v>
      </c>
      <c r="Q535" s="1">
        <v>2001.0</v>
      </c>
      <c r="R535" s="1">
        <v>3000.0</v>
      </c>
      <c r="S535" s="1">
        <v>889.0</v>
      </c>
      <c r="T535" s="1">
        <v>637.0</v>
      </c>
      <c r="U535" s="1">
        <v>5580.0</v>
      </c>
      <c r="V535" s="1">
        <v>253.0</v>
      </c>
      <c r="W535" s="1">
        <v>683.0</v>
      </c>
      <c r="X535" s="1">
        <v>0.0</v>
      </c>
      <c r="Y535" s="1">
        <v>1.85</v>
      </c>
      <c r="Z535" s="1">
        <v>4.7</v>
      </c>
    </row>
    <row r="536" ht="14.25" customHeight="1">
      <c r="A536" s="1" t="s">
        <v>26</v>
      </c>
      <c r="B536" s="1" t="s">
        <v>1967</v>
      </c>
      <c r="C536" s="1" t="s">
        <v>3016</v>
      </c>
      <c r="D536" s="1">
        <v>2.100918E7</v>
      </c>
      <c r="E536" s="1" t="s">
        <v>675</v>
      </c>
      <c r="F536" s="1" t="s">
        <v>522</v>
      </c>
      <c r="G536" s="1" t="s">
        <v>1169</v>
      </c>
      <c r="H536" s="1" t="s">
        <v>2015</v>
      </c>
      <c r="I536" s="1">
        <v>45815.0</v>
      </c>
      <c r="J536" s="1" t="s">
        <v>3017</v>
      </c>
      <c r="K536" s="1" t="s">
        <v>3018</v>
      </c>
      <c r="L536" s="1">
        <v>222.0</v>
      </c>
      <c r="M536" s="1" t="s">
        <v>35</v>
      </c>
      <c r="N536" s="1" t="s">
        <v>36</v>
      </c>
      <c r="O536" s="1" t="s">
        <v>37</v>
      </c>
      <c r="P536" s="1">
        <v>4.5E7</v>
      </c>
      <c r="Q536" s="1">
        <v>2004.0</v>
      </c>
      <c r="R536" s="1">
        <v>2000.0</v>
      </c>
      <c r="S536" s="1">
        <v>845.0</v>
      </c>
      <c r="T536" s="1">
        <v>568.0</v>
      </c>
      <c r="U536" s="1">
        <v>4397.0</v>
      </c>
      <c r="V536" s="1">
        <v>212.0</v>
      </c>
      <c r="W536" s="1">
        <v>1000.0</v>
      </c>
      <c r="X536" s="1">
        <v>4.0</v>
      </c>
      <c r="Y536" s="1">
        <v>2.35</v>
      </c>
      <c r="Z536" s="1">
        <v>6.1</v>
      </c>
    </row>
    <row r="537" ht="14.25" customHeight="1">
      <c r="A537" s="1" t="s">
        <v>26</v>
      </c>
      <c r="B537" s="1" t="s">
        <v>875</v>
      </c>
      <c r="C537" s="1" t="s">
        <v>3019</v>
      </c>
      <c r="D537" s="1">
        <v>9.4999143E7</v>
      </c>
      <c r="E537" s="1" t="s">
        <v>2117</v>
      </c>
      <c r="F537" s="1" t="s">
        <v>423</v>
      </c>
      <c r="G537" s="1" t="s">
        <v>941</v>
      </c>
      <c r="H537" s="1" t="s">
        <v>2893</v>
      </c>
      <c r="I537" s="1">
        <v>245152.0</v>
      </c>
      <c r="J537" s="1" t="s">
        <v>3020</v>
      </c>
      <c r="K537" s="1" t="s">
        <v>3021</v>
      </c>
      <c r="L537" s="1">
        <v>1344.0</v>
      </c>
      <c r="M537" s="1" t="s">
        <v>35</v>
      </c>
      <c r="N537" s="1" t="s">
        <v>36</v>
      </c>
      <c r="O537" s="1" t="s">
        <v>37</v>
      </c>
      <c r="P537" s="1">
        <v>7.5E7</v>
      </c>
      <c r="Q537" s="1">
        <v>2000.0</v>
      </c>
      <c r="R537" s="1">
        <v>18000.0</v>
      </c>
      <c r="S537" s="1">
        <v>13000.0</v>
      </c>
      <c r="T537" s="1">
        <v>963.0</v>
      </c>
      <c r="U537" s="1">
        <v>33645.0</v>
      </c>
      <c r="V537" s="1">
        <v>0.0</v>
      </c>
      <c r="W537" s="1">
        <v>0.0</v>
      </c>
      <c r="X537" s="1">
        <v>0.0</v>
      </c>
      <c r="Y537" s="1">
        <v>2.35</v>
      </c>
      <c r="Z537" s="1">
        <v>7.2</v>
      </c>
    </row>
    <row r="538" ht="14.25" customHeight="1">
      <c r="A538" s="1" t="s">
        <v>26</v>
      </c>
      <c r="B538" s="1" t="s">
        <v>3022</v>
      </c>
      <c r="C538" s="1" t="s">
        <v>3023</v>
      </c>
      <c r="D538" s="1">
        <v>3.3602956E8</v>
      </c>
      <c r="E538" s="1" t="s">
        <v>1196</v>
      </c>
      <c r="F538" s="1" t="s">
        <v>503</v>
      </c>
      <c r="G538" s="1" t="s">
        <v>574</v>
      </c>
      <c r="H538" s="1" t="s">
        <v>776</v>
      </c>
      <c r="I538" s="1">
        <v>142403.0</v>
      </c>
      <c r="J538" s="1" t="s">
        <v>3024</v>
      </c>
      <c r="K538" s="1" t="s">
        <v>3025</v>
      </c>
      <c r="L538" s="1">
        <v>275.0</v>
      </c>
      <c r="M538" s="1" t="s">
        <v>35</v>
      </c>
      <c r="N538" s="1" t="s">
        <v>36</v>
      </c>
      <c r="O538" s="1" t="s">
        <v>87</v>
      </c>
      <c r="P538" s="1">
        <v>7.4E7</v>
      </c>
      <c r="Q538" s="1">
        <v>2015.0</v>
      </c>
      <c r="R538" s="1">
        <v>7000.0</v>
      </c>
      <c r="S538" s="1">
        <v>4000.0</v>
      </c>
      <c r="T538" s="1">
        <v>1000.0</v>
      </c>
      <c r="U538" s="1">
        <v>13616.0</v>
      </c>
      <c r="V538" s="1">
        <v>22.0</v>
      </c>
      <c r="W538" s="1">
        <v>70000.0</v>
      </c>
      <c r="X538" s="1">
        <v>0.0</v>
      </c>
      <c r="Y538" s="1">
        <v>1.85</v>
      </c>
      <c r="Z538" s="1">
        <v>6.4</v>
      </c>
    </row>
    <row r="539" ht="14.25" customHeight="1">
      <c r="A539" s="1" t="s">
        <v>26</v>
      </c>
      <c r="B539" s="1" t="s">
        <v>103</v>
      </c>
      <c r="C539" s="1" t="s">
        <v>3026</v>
      </c>
      <c r="D539" s="1">
        <v>3.6381716E7</v>
      </c>
      <c r="E539" s="1" t="s">
        <v>3027</v>
      </c>
      <c r="F539" s="1" t="s">
        <v>574</v>
      </c>
      <c r="G539" s="1" t="s">
        <v>1346</v>
      </c>
      <c r="H539" s="1" t="s">
        <v>1264</v>
      </c>
      <c r="I539" s="1">
        <v>197584.0</v>
      </c>
      <c r="J539" s="1" t="s">
        <v>3028</v>
      </c>
      <c r="K539" s="1" t="s">
        <v>3029</v>
      </c>
      <c r="L539" s="1">
        <v>918.0</v>
      </c>
      <c r="M539" s="1" t="s">
        <v>35</v>
      </c>
      <c r="N539" s="1" t="s">
        <v>36</v>
      </c>
      <c r="O539" s="1" t="s">
        <v>37</v>
      </c>
      <c r="P539" s="1">
        <v>8.2E7</v>
      </c>
      <c r="Q539" s="1">
        <v>2011.0</v>
      </c>
      <c r="R539" s="1">
        <v>4000.0</v>
      </c>
      <c r="S539" s="1">
        <v>2000.0</v>
      </c>
      <c r="T539" s="1">
        <v>826.0</v>
      </c>
      <c r="U539" s="1">
        <v>7067.0</v>
      </c>
      <c r="V539" s="1">
        <v>0.0</v>
      </c>
      <c r="W539" s="1">
        <v>42000.0</v>
      </c>
      <c r="X539" s="1">
        <v>4.0</v>
      </c>
      <c r="Y539" s="1">
        <v>2.35</v>
      </c>
      <c r="Z539" s="1">
        <v>6.1</v>
      </c>
    </row>
    <row r="540" ht="14.25" customHeight="1">
      <c r="A540" s="1" t="s">
        <v>26</v>
      </c>
      <c r="B540" s="1" t="s">
        <v>2161</v>
      </c>
      <c r="C540" s="1" t="s">
        <v>3030</v>
      </c>
      <c r="D540" s="1">
        <v>5.5585389E7</v>
      </c>
      <c r="E540" s="1" t="s">
        <v>2130</v>
      </c>
      <c r="F540" s="1" t="s">
        <v>668</v>
      </c>
      <c r="G540" s="1" t="s">
        <v>3031</v>
      </c>
      <c r="H540" s="1" t="s">
        <v>3032</v>
      </c>
      <c r="I540" s="1">
        <v>64121.0</v>
      </c>
      <c r="J540" s="1" t="s">
        <v>3033</v>
      </c>
      <c r="K540" s="1" t="s">
        <v>3034</v>
      </c>
      <c r="L540" s="1">
        <v>241.0</v>
      </c>
      <c r="M540" s="1" t="s">
        <v>35</v>
      </c>
      <c r="N540" s="1" t="s">
        <v>36</v>
      </c>
      <c r="O540" s="1" t="s">
        <v>628</v>
      </c>
      <c r="P540" s="1">
        <v>6.9E7</v>
      </c>
      <c r="Q540" s="1">
        <v>1998.0</v>
      </c>
      <c r="R540" s="1">
        <v>12000.0</v>
      </c>
      <c r="S540" s="1">
        <v>854.0</v>
      </c>
      <c r="T540" s="1">
        <v>697.0</v>
      </c>
      <c r="U540" s="1">
        <v>15269.0</v>
      </c>
      <c r="V540" s="1">
        <v>0.0</v>
      </c>
      <c r="W540" s="1">
        <v>880.0</v>
      </c>
      <c r="X540" s="1">
        <v>1.0</v>
      </c>
      <c r="Y540" s="1">
        <v>2.35</v>
      </c>
      <c r="Z540" s="1">
        <v>5.9</v>
      </c>
    </row>
    <row r="541" ht="14.25" customHeight="1">
      <c r="A541" s="1" t="s">
        <v>26</v>
      </c>
      <c r="B541" s="1" t="s">
        <v>2962</v>
      </c>
      <c r="C541" s="1" t="s">
        <v>3035</v>
      </c>
      <c r="D541" s="1">
        <v>3.6976367E7</v>
      </c>
      <c r="E541" s="1" t="s">
        <v>2117</v>
      </c>
      <c r="F541" s="1" t="s">
        <v>3036</v>
      </c>
      <c r="G541" s="1" t="s">
        <v>3037</v>
      </c>
      <c r="H541" s="1" t="s">
        <v>3038</v>
      </c>
      <c r="I541" s="1">
        <v>81611.0</v>
      </c>
      <c r="J541" s="1" t="s">
        <v>3039</v>
      </c>
      <c r="K541" s="1" t="s">
        <v>3040</v>
      </c>
      <c r="L541" s="1">
        <v>274.0</v>
      </c>
      <c r="M541" s="1" t="s">
        <v>35</v>
      </c>
      <c r="N541" s="1" t="s">
        <v>36</v>
      </c>
      <c r="O541" s="1" t="s">
        <v>37</v>
      </c>
      <c r="P541" s="1">
        <v>7.5E7</v>
      </c>
      <c r="Q541" s="1">
        <v>1998.0</v>
      </c>
      <c r="R541" s="1">
        <v>548.0</v>
      </c>
      <c r="S541" s="1">
        <v>270.0</v>
      </c>
      <c r="T541" s="1">
        <v>215.0</v>
      </c>
      <c r="U541" s="1">
        <v>1044.0</v>
      </c>
      <c r="V541" s="1">
        <v>272.0</v>
      </c>
      <c r="W541" s="1">
        <v>0.0</v>
      </c>
      <c r="X541" s="1">
        <v>3.0</v>
      </c>
      <c r="Y541" s="1">
        <v>2.35</v>
      </c>
      <c r="Z541" s="1">
        <v>6.0</v>
      </c>
    </row>
    <row r="542" ht="14.25" customHeight="1">
      <c r="A542" s="1" t="s">
        <v>26</v>
      </c>
      <c r="B542" s="1" t="s">
        <v>3041</v>
      </c>
      <c r="C542" s="1" t="s">
        <v>3042</v>
      </c>
      <c r="D542" s="1">
        <v>1.07225164E8</v>
      </c>
      <c r="E542" s="1" t="s">
        <v>3043</v>
      </c>
      <c r="F542" s="1" t="s">
        <v>141</v>
      </c>
      <c r="G542" s="1" t="s">
        <v>793</v>
      </c>
      <c r="H542" s="1" t="s">
        <v>3044</v>
      </c>
      <c r="I542" s="1">
        <v>27130.0</v>
      </c>
      <c r="J542" s="1" t="s">
        <v>3045</v>
      </c>
      <c r="K542" s="1" t="s">
        <v>3046</v>
      </c>
      <c r="L542" s="1">
        <v>126.0</v>
      </c>
      <c r="M542" s="1" t="s">
        <v>35</v>
      </c>
      <c r="N542" s="1" t="s">
        <v>36</v>
      </c>
      <c r="O542" s="1" t="s">
        <v>87</v>
      </c>
      <c r="P542" s="1">
        <v>7.3E7</v>
      </c>
      <c r="Q542" s="1">
        <v>2016.0</v>
      </c>
      <c r="R542" s="1">
        <v>22000.0</v>
      </c>
      <c r="S542" s="1">
        <v>1000.0</v>
      </c>
      <c r="T542" s="1">
        <v>415.0</v>
      </c>
      <c r="U542" s="1">
        <v>24350.0</v>
      </c>
      <c r="V542" s="1">
        <v>6.0</v>
      </c>
      <c r="W542" s="1">
        <v>14000.0</v>
      </c>
      <c r="X542" s="1">
        <v>0.0</v>
      </c>
      <c r="Y542" s="1">
        <v>1.85</v>
      </c>
      <c r="Z542" s="1">
        <v>6.3</v>
      </c>
    </row>
    <row r="543" ht="14.25" customHeight="1">
      <c r="A543" s="1" t="s">
        <v>26</v>
      </c>
      <c r="B543" s="1" t="s">
        <v>2976</v>
      </c>
      <c r="C543" s="1" t="s">
        <v>3047</v>
      </c>
      <c r="D543" s="1">
        <v>7.0224196E7</v>
      </c>
      <c r="E543" s="1" t="s">
        <v>3048</v>
      </c>
      <c r="F543" s="1" t="s">
        <v>637</v>
      </c>
      <c r="G543" s="1" t="s">
        <v>384</v>
      </c>
      <c r="H543" s="1" t="s">
        <v>3049</v>
      </c>
      <c r="I543" s="1">
        <v>59352.0</v>
      </c>
      <c r="J543" s="1" t="s">
        <v>3050</v>
      </c>
      <c r="K543" s="1" t="s">
        <v>3051</v>
      </c>
      <c r="L543" s="1">
        <v>138.0</v>
      </c>
      <c r="M543" s="1" t="s">
        <v>35</v>
      </c>
      <c r="N543" s="1" t="s">
        <v>36</v>
      </c>
      <c r="O543" s="1" t="s">
        <v>37</v>
      </c>
      <c r="P543" s="1">
        <v>7.0E7</v>
      </c>
      <c r="Q543" s="1">
        <v>2008.0</v>
      </c>
      <c r="R543" s="1">
        <v>11000.0</v>
      </c>
      <c r="S543" s="1">
        <v>1000.0</v>
      </c>
      <c r="T543" s="1">
        <v>715.0</v>
      </c>
      <c r="U543" s="1">
        <v>13827.0</v>
      </c>
      <c r="V543" s="1">
        <v>72.0</v>
      </c>
      <c r="W543" s="1">
        <v>0.0</v>
      </c>
      <c r="X543" s="1">
        <v>0.0</v>
      </c>
      <c r="Y543" s="1">
        <v>2.35</v>
      </c>
      <c r="Z543" s="1">
        <v>5.6</v>
      </c>
    </row>
    <row r="544" ht="14.25" customHeight="1">
      <c r="A544" s="1" t="s">
        <v>26</v>
      </c>
      <c r="B544" s="1" t="s">
        <v>3052</v>
      </c>
      <c r="C544" s="1" t="s">
        <v>3053</v>
      </c>
      <c r="D544" s="1">
        <v>5.181419E7</v>
      </c>
      <c r="E544" s="1" t="s">
        <v>2422</v>
      </c>
      <c r="F544" s="1" t="s">
        <v>2095</v>
      </c>
      <c r="G544" s="1" t="s">
        <v>1646</v>
      </c>
      <c r="H544" s="1" t="s">
        <v>3054</v>
      </c>
      <c r="I544" s="1">
        <v>100837.0</v>
      </c>
      <c r="J544" s="1" t="s">
        <v>3055</v>
      </c>
      <c r="K544" s="1" t="s">
        <v>3056</v>
      </c>
      <c r="L544" s="1">
        <v>301.0</v>
      </c>
      <c r="M544" s="1" t="s">
        <v>35</v>
      </c>
      <c r="N544" s="1" t="s">
        <v>36</v>
      </c>
      <c r="O544" s="1" t="s">
        <v>628</v>
      </c>
      <c r="P544" s="1">
        <v>7.5E7</v>
      </c>
      <c r="Q544" s="1">
        <v>2009.0</v>
      </c>
      <c r="R544" s="1">
        <v>11000.0</v>
      </c>
      <c r="S544" s="1">
        <v>561.0</v>
      </c>
      <c r="T544" s="1">
        <v>130.0</v>
      </c>
      <c r="U544" s="1">
        <v>11852.0</v>
      </c>
      <c r="V544" s="1">
        <v>0.0</v>
      </c>
      <c r="W544" s="1">
        <v>0.0</v>
      </c>
      <c r="X544" s="1">
        <v>1.0</v>
      </c>
      <c r="Y544" s="1">
        <v>1.85</v>
      </c>
      <c r="Z544" s="1">
        <v>6.4</v>
      </c>
    </row>
    <row r="545" ht="14.25" customHeight="1">
      <c r="A545" s="1" t="s">
        <v>26</v>
      </c>
      <c r="B545" s="1" t="s">
        <v>217</v>
      </c>
      <c r="C545" s="1" t="s">
        <v>3057</v>
      </c>
      <c r="D545" s="1">
        <v>4.745645E7</v>
      </c>
      <c r="E545" s="1" t="s">
        <v>886</v>
      </c>
      <c r="F545" s="1" t="s">
        <v>713</v>
      </c>
      <c r="G545" s="1" t="s">
        <v>3058</v>
      </c>
      <c r="H545" s="1" t="s">
        <v>3059</v>
      </c>
      <c r="I545" s="1">
        <v>101386.0</v>
      </c>
      <c r="J545" s="1" t="s">
        <v>3060</v>
      </c>
      <c r="K545" s="1" t="s">
        <v>3061</v>
      </c>
      <c r="L545" s="1">
        <v>289.0</v>
      </c>
      <c r="M545" s="1" t="s">
        <v>35</v>
      </c>
      <c r="N545" s="1" t="s">
        <v>36</v>
      </c>
      <c r="O545" s="1" t="s">
        <v>628</v>
      </c>
      <c r="P545" s="1">
        <v>7.0E7</v>
      </c>
      <c r="Q545" s="1">
        <v>2007.0</v>
      </c>
      <c r="R545" s="1">
        <v>3000.0</v>
      </c>
      <c r="S545" s="1">
        <v>638.0</v>
      </c>
      <c r="T545" s="1">
        <v>461.0</v>
      </c>
      <c r="U545" s="1">
        <v>5187.0</v>
      </c>
      <c r="V545" s="1">
        <v>532.0</v>
      </c>
      <c r="W545" s="1">
        <v>0.0</v>
      </c>
      <c r="X545" s="1">
        <v>1.0</v>
      </c>
      <c r="Y545" s="1">
        <v>2.35</v>
      </c>
      <c r="Z545" s="1">
        <v>7.1</v>
      </c>
    </row>
    <row r="546" ht="14.25" customHeight="1">
      <c r="A546" s="1" t="s">
        <v>26</v>
      </c>
      <c r="B546" s="1" t="s">
        <v>1668</v>
      </c>
      <c r="C546" s="1" t="s">
        <v>3062</v>
      </c>
      <c r="D546" s="1">
        <v>1.48213377E8</v>
      </c>
      <c r="E546" s="1" t="s">
        <v>3063</v>
      </c>
      <c r="F546" s="1" t="s">
        <v>1197</v>
      </c>
      <c r="G546" s="1" t="s">
        <v>2600</v>
      </c>
      <c r="H546" s="1" t="s">
        <v>3064</v>
      </c>
      <c r="I546" s="1">
        <v>130776.0</v>
      </c>
      <c r="J546" s="1" t="s">
        <v>3065</v>
      </c>
      <c r="K546" s="1" t="s">
        <v>3066</v>
      </c>
      <c r="L546" s="1">
        <v>437.0</v>
      </c>
      <c r="M546" s="1" t="s">
        <v>35</v>
      </c>
      <c r="N546" s="1" t="s">
        <v>36</v>
      </c>
      <c r="O546" s="1" t="s">
        <v>37</v>
      </c>
      <c r="P546" s="1">
        <v>7.3E7</v>
      </c>
      <c r="Q546" s="1">
        <v>2006.0</v>
      </c>
      <c r="R546" s="1">
        <v>8000.0</v>
      </c>
      <c r="S546" s="1">
        <v>1000.0</v>
      </c>
      <c r="T546" s="1">
        <v>989.0</v>
      </c>
      <c r="U546" s="1">
        <v>12410.0</v>
      </c>
      <c r="V546" s="1">
        <v>285.0</v>
      </c>
      <c r="W546" s="1">
        <v>0.0</v>
      </c>
      <c r="X546" s="1">
        <v>5.0</v>
      </c>
      <c r="Y546" s="1">
        <v>2.35</v>
      </c>
      <c r="Z546" s="1">
        <v>6.6</v>
      </c>
    </row>
    <row r="547" ht="14.25" customHeight="1">
      <c r="A547" s="1" t="s">
        <v>26</v>
      </c>
      <c r="B547" s="1" t="s">
        <v>3067</v>
      </c>
      <c r="C547" s="1" t="s">
        <v>3068</v>
      </c>
      <c r="D547" s="1">
        <v>1.12950721E8</v>
      </c>
      <c r="E547" s="1" t="s">
        <v>501</v>
      </c>
      <c r="F547" s="1" t="s">
        <v>3069</v>
      </c>
      <c r="G547" s="1" t="s">
        <v>1577</v>
      </c>
      <c r="H547" s="1" t="s">
        <v>3070</v>
      </c>
      <c r="I547" s="1">
        <v>33884.0</v>
      </c>
      <c r="J547" s="1" t="s">
        <v>3071</v>
      </c>
      <c r="K547" s="1" t="s">
        <v>3072</v>
      </c>
      <c r="L547" s="1">
        <v>79.0</v>
      </c>
      <c r="M547" s="1" t="s">
        <v>35</v>
      </c>
      <c r="N547" s="1" t="s">
        <v>36</v>
      </c>
      <c r="O547" s="1" t="s">
        <v>87</v>
      </c>
      <c r="P547" s="1">
        <v>7.2E7</v>
      </c>
      <c r="Q547" s="1">
        <v>2001.0</v>
      </c>
      <c r="R547" s="1">
        <v>1000.0</v>
      </c>
      <c r="S547" s="1">
        <v>692.0</v>
      </c>
      <c r="T547" s="1">
        <v>574.0</v>
      </c>
      <c r="U547" s="1">
        <v>3287.0</v>
      </c>
      <c r="V547" s="1">
        <v>41.0</v>
      </c>
      <c r="W547" s="1">
        <v>266.0</v>
      </c>
      <c r="X547" s="1">
        <v>0.0</v>
      </c>
      <c r="Y547" s="1">
        <v>2.35</v>
      </c>
      <c r="Z547" s="1">
        <v>4.6</v>
      </c>
    </row>
    <row r="548" ht="14.25" customHeight="1">
      <c r="A548" s="1" t="s">
        <v>26</v>
      </c>
      <c r="B548" s="1" t="s">
        <v>3073</v>
      </c>
      <c r="C548" s="1" t="s">
        <v>3074</v>
      </c>
      <c r="D548" s="1">
        <v>7.56E7</v>
      </c>
      <c r="E548" s="1" t="s">
        <v>3075</v>
      </c>
      <c r="F548" s="1" t="s">
        <v>3076</v>
      </c>
      <c r="G548" s="1" t="s">
        <v>3077</v>
      </c>
      <c r="H548" s="1" t="s">
        <v>3078</v>
      </c>
      <c r="I548" s="1">
        <v>736638.0</v>
      </c>
      <c r="J548" s="1" t="s">
        <v>3079</v>
      </c>
      <c r="K548" s="1" t="s">
        <v>3080</v>
      </c>
      <c r="L548" s="1">
        <v>1065.0</v>
      </c>
      <c r="M548" s="1" t="s">
        <v>35</v>
      </c>
      <c r="N548" s="1" t="s">
        <v>36</v>
      </c>
      <c r="O548" s="1" t="s">
        <v>628</v>
      </c>
      <c r="P548" s="1">
        <v>7.2E7</v>
      </c>
      <c r="Q548" s="1">
        <v>1995.0</v>
      </c>
      <c r="R548" s="1">
        <v>906.0</v>
      </c>
      <c r="S548" s="1">
        <v>466.0</v>
      </c>
      <c r="T548" s="1">
        <v>403.0</v>
      </c>
      <c r="U548" s="1">
        <v>1976.0</v>
      </c>
      <c r="V548" s="1">
        <v>0.0</v>
      </c>
      <c r="W548" s="1">
        <v>17000.0</v>
      </c>
      <c r="X548" s="1">
        <v>1.0</v>
      </c>
      <c r="Y548" s="1">
        <v>2.35</v>
      </c>
      <c r="Z548" s="1">
        <v>8.4</v>
      </c>
    </row>
    <row r="549" ht="14.25" customHeight="1">
      <c r="A549" s="1" t="s">
        <v>26</v>
      </c>
      <c r="B549" s="1" t="s">
        <v>46</v>
      </c>
      <c r="C549" s="1" t="s">
        <v>3081</v>
      </c>
      <c r="D549" s="1">
        <v>6.264754E7</v>
      </c>
      <c r="E549" s="1" t="s">
        <v>1402</v>
      </c>
      <c r="F549" s="1" t="s">
        <v>365</v>
      </c>
      <c r="G549" s="1" t="s">
        <v>3082</v>
      </c>
      <c r="H549" s="1" t="s">
        <v>3083</v>
      </c>
      <c r="I549" s="1">
        <v>143525.0</v>
      </c>
      <c r="J549" s="1" t="s">
        <v>3084</v>
      </c>
      <c r="K549" s="1" t="s">
        <v>3085</v>
      </c>
      <c r="L549" s="1">
        <v>657.0</v>
      </c>
      <c r="M549" s="1" t="s">
        <v>35</v>
      </c>
      <c r="N549" s="1" t="s">
        <v>730</v>
      </c>
      <c r="O549" s="1" t="s">
        <v>628</v>
      </c>
      <c r="P549" s="1">
        <v>7.0E7</v>
      </c>
      <c r="Q549" s="1">
        <v>2005.0</v>
      </c>
      <c r="R549" s="1">
        <v>15000.0</v>
      </c>
      <c r="S549" s="1">
        <v>383.0</v>
      </c>
      <c r="T549" s="1">
        <v>210.0</v>
      </c>
      <c r="U549" s="1">
        <v>15850.0</v>
      </c>
      <c r="V549" s="1">
        <v>0.0</v>
      </c>
      <c r="W549" s="1">
        <v>0.0</v>
      </c>
      <c r="X549" s="1">
        <v>0.0</v>
      </c>
      <c r="Y549" s="1">
        <v>2.35</v>
      </c>
      <c r="Z549" s="1">
        <v>7.1</v>
      </c>
    </row>
    <row r="550" ht="14.25" customHeight="1">
      <c r="A550" s="1" t="s">
        <v>26</v>
      </c>
      <c r="B550" s="1" t="s">
        <v>3086</v>
      </c>
      <c r="C550" s="1" t="s">
        <v>3087</v>
      </c>
      <c r="D550" s="1">
        <v>1.8313237E8</v>
      </c>
      <c r="E550" s="1" t="s">
        <v>3088</v>
      </c>
      <c r="F550" s="1" t="s">
        <v>2818</v>
      </c>
      <c r="G550" s="1" t="s">
        <v>3089</v>
      </c>
      <c r="H550" s="1" t="s">
        <v>3090</v>
      </c>
      <c r="I550" s="1">
        <v>259083.0</v>
      </c>
      <c r="J550" s="1" t="s">
        <v>3091</v>
      </c>
      <c r="K550" s="1" t="s">
        <v>3092</v>
      </c>
      <c r="L550" s="1">
        <v>763.0</v>
      </c>
      <c r="M550" s="1" t="s">
        <v>35</v>
      </c>
      <c r="N550" s="1" t="s">
        <v>36</v>
      </c>
      <c r="O550" s="1" t="s">
        <v>37</v>
      </c>
      <c r="P550" s="1">
        <v>7.5E7</v>
      </c>
      <c r="Q550" s="1">
        <v>2007.0</v>
      </c>
      <c r="R550" s="1">
        <v>745.0</v>
      </c>
      <c r="S550" s="1">
        <v>440.0</v>
      </c>
      <c r="T550" s="1">
        <v>433.0</v>
      </c>
      <c r="U550" s="1">
        <v>3086.0</v>
      </c>
      <c r="V550" s="1">
        <v>30.0</v>
      </c>
      <c r="W550" s="1">
        <v>0.0</v>
      </c>
      <c r="X550" s="1">
        <v>0.0</v>
      </c>
      <c r="Y550" s="1">
        <v>2.35</v>
      </c>
      <c r="Z550" s="1">
        <v>7.4</v>
      </c>
    </row>
    <row r="551" ht="14.25" customHeight="1">
      <c r="A551" s="1" t="s">
        <v>26</v>
      </c>
      <c r="B551" s="1" t="s">
        <v>3093</v>
      </c>
      <c r="C551" s="1" t="s">
        <v>3094</v>
      </c>
      <c r="D551" s="1">
        <v>2.7796042E7</v>
      </c>
      <c r="E551" s="1" t="s">
        <v>206</v>
      </c>
      <c r="F551" s="1" t="s">
        <v>3095</v>
      </c>
      <c r="G551" s="1" t="s">
        <v>3096</v>
      </c>
      <c r="H551" s="1" t="s">
        <v>3097</v>
      </c>
      <c r="I551" s="1">
        <v>45031.0</v>
      </c>
      <c r="J551" s="1" t="s">
        <v>3098</v>
      </c>
      <c r="K551" s="1" t="s">
        <v>3099</v>
      </c>
      <c r="L551" s="1">
        <v>376.0</v>
      </c>
      <c r="M551" s="1" t="s">
        <v>35</v>
      </c>
      <c r="N551" s="1" t="s">
        <v>36</v>
      </c>
      <c r="O551" s="1" t="s">
        <v>87</v>
      </c>
      <c r="P551" s="1">
        <v>7.2E7</v>
      </c>
      <c r="Q551" s="1">
        <v>2001.0</v>
      </c>
      <c r="R551" s="1">
        <v>940.0</v>
      </c>
      <c r="S551" s="1">
        <v>826.0</v>
      </c>
      <c r="T551" s="1">
        <v>745.0</v>
      </c>
      <c r="U551" s="1">
        <v>4310.0</v>
      </c>
      <c r="V551" s="1">
        <v>0.0</v>
      </c>
      <c r="W551" s="1">
        <v>0.0</v>
      </c>
      <c r="X551" s="1">
        <v>1.0</v>
      </c>
      <c r="Y551" s="1">
        <v>1.85</v>
      </c>
      <c r="Z551" s="1">
        <v>6.9</v>
      </c>
    </row>
    <row r="552" ht="14.25" customHeight="1">
      <c r="A552" s="1" t="s">
        <v>26</v>
      </c>
      <c r="B552" s="1" t="s">
        <v>1985</v>
      </c>
      <c r="C552" s="1" t="s">
        <v>3100</v>
      </c>
      <c r="D552" s="1">
        <v>3.2616869E7</v>
      </c>
      <c r="E552" s="1" t="s">
        <v>3101</v>
      </c>
      <c r="F552" s="1" t="s">
        <v>1702</v>
      </c>
      <c r="G552" s="1" t="s">
        <v>1629</v>
      </c>
      <c r="H552" s="1" t="s">
        <v>3102</v>
      </c>
      <c r="I552" s="1">
        <v>34435.0</v>
      </c>
      <c r="J552" s="1" t="s">
        <v>3103</v>
      </c>
      <c r="K552" s="1" t="s">
        <v>3104</v>
      </c>
      <c r="L552" s="1">
        <v>346.0</v>
      </c>
      <c r="M552" s="1" t="s">
        <v>35</v>
      </c>
      <c r="N552" s="1" t="s">
        <v>36</v>
      </c>
      <c r="O552" s="1" t="s">
        <v>37</v>
      </c>
      <c r="P552" s="1">
        <v>7.2E7</v>
      </c>
      <c r="Q552" s="1">
        <v>2001.0</v>
      </c>
      <c r="R552" s="1">
        <v>13000.0</v>
      </c>
      <c r="S552" s="1">
        <v>658.0</v>
      </c>
      <c r="T552" s="1">
        <v>462.0</v>
      </c>
      <c r="U552" s="1">
        <v>14780.0</v>
      </c>
      <c r="V552" s="1">
        <v>212.0</v>
      </c>
      <c r="W552" s="1">
        <v>886.0</v>
      </c>
      <c r="X552" s="1">
        <v>0.0</v>
      </c>
      <c r="Y552" s="1">
        <v>2.35</v>
      </c>
      <c r="Z552" s="1">
        <v>4.5</v>
      </c>
    </row>
    <row r="553" ht="14.25" customHeight="1">
      <c r="A553" s="1" t="s">
        <v>26</v>
      </c>
      <c r="B553" s="1" t="s">
        <v>2305</v>
      </c>
      <c r="C553" s="1" t="s">
        <v>3105</v>
      </c>
      <c r="D553" s="1">
        <v>1.894763E7</v>
      </c>
      <c r="E553" s="1" t="s">
        <v>3106</v>
      </c>
      <c r="F553" s="1" t="s">
        <v>3107</v>
      </c>
      <c r="G553" s="1" t="s">
        <v>3108</v>
      </c>
      <c r="H553" s="1" t="s">
        <v>3109</v>
      </c>
      <c r="I553" s="1">
        <v>11798.0</v>
      </c>
      <c r="J553" s="1" t="s">
        <v>3110</v>
      </c>
      <c r="K553" s="1" t="s">
        <v>3111</v>
      </c>
      <c r="L553" s="1">
        <v>124.0</v>
      </c>
      <c r="M553" s="1" t="s">
        <v>35</v>
      </c>
      <c r="N553" s="1" t="s">
        <v>1832</v>
      </c>
      <c r="O553" s="1" t="s">
        <v>87</v>
      </c>
      <c r="P553" s="1">
        <v>5.966E7</v>
      </c>
      <c r="Q553" s="1">
        <v>2004.0</v>
      </c>
      <c r="R553" s="1">
        <v>21.0</v>
      </c>
      <c r="S553" s="1">
        <v>17.0</v>
      </c>
      <c r="T553" s="1">
        <v>8.0</v>
      </c>
      <c r="U553" s="1">
        <v>55.0</v>
      </c>
      <c r="V553" s="1">
        <v>218.0</v>
      </c>
      <c r="W553" s="1">
        <v>2000.0</v>
      </c>
      <c r="X553" s="1">
        <v>0.0</v>
      </c>
      <c r="Y553" s="1">
        <v>2.35</v>
      </c>
      <c r="Z553" s="1">
        <v>7.1</v>
      </c>
    </row>
    <row r="554" ht="14.25" customHeight="1">
      <c r="A554" s="1" t="s">
        <v>26</v>
      </c>
      <c r="B554" s="1" t="s">
        <v>875</v>
      </c>
      <c r="C554" s="1" t="s">
        <v>3112</v>
      </c>
      <c r="D554" s="1">
        <v>1.14195633E8</v>
      </c>
      <c r="E554" s="1" t="s">
        <v>3113</v>
      </c>
      <c r="F554" s="1" t="s">
        <v>227</v>
      </c>
      <c r="G554" s="1" t="s">
        <v>228</v>
      </c>
      <c r="H554" s="1" t="s">
        <v>183</v>
      </c>
      <c r="I554" s="1">
        <v>193770.0</v>
      </c>
      <c r="J554" s="1" t="s">
        <v>3114</v>
      </c>
      <c r="K554" s="1" t="s">
        <v>3115</v>
      </c>
      <c r="L554" s="1">
        <v>2003.0</v>
      </c>
      <c r="M554" s="1" t="s">
        <v>35</v>
      </c>
      <c r="N554" s="1" t="s">
        <v>36</v>
      </c>
      <c r="O554" s="1" t="s">
        <v>37</v>
      </c>
      <c r="P554" s="1">
        <v>6.0E7</v>
      </c>
      <c r="Q554" s="1">
        <v>2004.0</v>
      </c>
      <c r="R554" s="1">
        <v>3000.0</v>
      </c>
      <c r="S554" s="1">
        <v>2000.0</v>
      </c>
      <c r="T554" s="1">
        <v>882.0</v>
      </c>
      <c r="U554" s="1">
        <v>7273.0</v>
      </c>
      <c r="V554" s="1">
        <v>0.0</v>
      </c>
      <c r="W554" s="1">
        <v>0.0</v>
      </c>
      <c r="X554" s="1">
        <v>0.0</v>
      </c>
      <c r="Y554" s="1">
        <v>1.85</v>
      </c>
      <c r="Z554" s="1">
        <v>6.5</v>
      </c>
    </row>
    <row r="555" ht="14.25" customHeight="1">
      <c r="A555" s="1" t="s">
        <v>26</v>
      </c>
      <c r="B555" s="1" t="s">
        <v>3116</v>
      </c>
      <c r="C555" s="1" t="s">
        <v>3117</v>
      </c>
      <c r="D555" s="1">
        <v>1.44156464E8</v>
      </c>
      <c r="E555" s="1" t="s">
        <v>501</v>
      </c>
      <c r="F555" s="1" t="s">
        <v>415</v>
      </c>
      <c r="G555" s="1" t="s">
        <v>3069</v>
      </c>
      <c r="H555" s="1" t="s">
        <v>3118</v>
      </c>
      <c r="I555" s="1">
        <v>74343.0</v>
      </c>
      <c r="J555" s="1" t="s">
        <v>3119</v>
      </c>
      <c r="K555" s="1" t="s">
        <v>3120</v>
      </c>
      <c r="L555" s="1">
        <v>98.0</v>
      </c>
      <c r="M555" s="1" t="s">
        <v>35</v>
      </c>
      <c r="N555" s="1" t="s">
        <v>36</v>
      </c>
      <c r="O555" s="1" t="s">
        <v>37</v>
      </c>
      <c r="P555" s="1">
        <v>7.15E7</v>
      </c>
      <c r="Q555" s="1">
        <v>1998.0</v>
      </c>
      <c r="R555" s="1">
        <v>1000.0</v>
      </c>
      <c r="S555" s="1">
        <v>1000.0</v>
      </c>
      <c r="T555" s="1">
        <v>595.0</v>
      </c>
      <c r="U555" s="1">
        <v>4166.0</v>
      </c>
      <c r="V555" s="1">
        <v>84.0</v>
      </c>
      <c r="W555" s="1">
        <v>694.0</v>
      </c>
      <c r="X555" s="1">
        <v>0.0</v>
      </c>
      <c r="Y555" s="1">
        <v>1.85</v>
      </c>
      <c r="Z555" s="1">
        <v>5.3</v>
      </c>
    </row>
    <row r="556" ht="14.25" customHeight="1">
      <c r="A556" s="1" t="s">
        <v>26</v>
      </c>
      <c r="B556" s="1" t="s">
        <v>875</v>
      </c>
      <c r="C556" s="1" t="s">
        <v>3121</v>
      </c>
      <c r="D556" s="1">
        <v>2.2796569E8</v>
      </c>
      <c r="E556" s="1" t="s">
        <v>2566</v>
      </c>
      <c r="F556" s="1" t="s">
        <v>3122</v>
      </c>
      <c r="G556" s="1" t="s">
        <v>3123</v>
      </c>
      <c r="H556" s="1" t="s">
        <v>3124</v>
      </c>
      <c r="I556" s="1">
        <v>271592.0</v>
      </c>
      <c r="J556" s="1" t="s">
        <v>3125</v>
      </c>
      <c r="K556" s="1" t="s">
        <v>3126</v>
      </c>
      <c r="L556" s="1">
        <v>2335.0</v>
      </c>
      <c r="M556" s="1" t="s">
        <v>35</v>
      </c>
      <c r="N556" s="1" t="s">
        <v>36</v>
      </c>
      <c r="O556" s="1" t="s">
        <v>37</v>
      </c>
      <c r="P556" s="1">
        <v>7.2E7</v>
      </c>
      <c r="Q556" s="1">
        <v>2002.0</v>
      </c>
      <c r="R556" s="1">
        <v>710.0</v>
      </c>
      <c r="S556" s="1">
        <v>529.0</v>
      </c>
      <c r="T556" s="1">
        <v>242.0</v>
      </c>
      <c r="U556" s="1">
        <v>1675.0</v>
      </c>
      <c r="V556" s="1">
        <v>0.0</v>
      </c>
      <c r="W556" s="1">
        <v>0.0</v>
      </c>
      <c r="X556" s="1">
        <v>0.0</v>
      </c>
      <c r="Y556" s="1">
        <v>1.85</v>
      </c>
      <c r="Z556" s="1">
        <v>6.7</v>
      </c>
    </row>
    <row r="557" ht="14.25" customHeight="1">
      <c r="A557" s="1" t="s">
        <v>26</v>
      </c>
      <c r="B557" s="1" t="s">
        <v>138</v>
      </c>
      <c r="C557" s="1" t="s">
        <v>3127</v>
      </c>
      <c r="D557" s="1">
        <v>4.36471036E8</v>
      </c>
      <c r="E557" s="1" t="s">
        <v>3128</v>
      </c>
      <c r="F557" s="1" t="s">
        <v>688</v>
      </c>
      <c r="G557" s="1" t="s">
        <v>3129</v>
      </c>
      <c r="H557" s="1" t="s">
        <v>3130</v>
      </c>
      <c r="I557" s="1">
        <v>314630.0</v>
      </c>
      <c r="J557" s="1" t="s">
        <v>3131</v>
      </c>
      <c r="K557" s="1" t="s">
        <v>3132</v>
      </c>
      <c r="L557" s="1">
        <v>483.0</v>
      </c>
      <c r="M557" s="1" t="s">
        <v>35</v>
      </c>
      <c r="N557" s="1" t="s">
        <v>36</v>
      </c>
      <c r="O557" s="1" t="s">
        <v>87</v>
      </c>
      <c r="P557" s="1">
        <v>1.5E8</v>
      </c>
      <c r="Q557" s="1">
        <v>2004.0</v>
      </c>
      <c r="R557" s="1">
        <v>692.0</v>
      </c>
      <c r="S557" s="1">
        <v>309.0</v>
      </c>
      <c r="T557" s="1">
        <v>48.0</v>
      </c>
      <c r="U557" s="1">
        <v>1148.0</v>
      </c>
      <c r="V557" s="1">
        <v>80.0</v>
      </c>
      <c r="W557" s="1">
        <v>0.0</v>
      </c>
      <c r="X557" s="1">
        <v>1.0</v>
      </c>
      <c r="Y557" s="1">
        <v>1.85</v>
      </c>
      <c r="Z557" s="1">
        <v>7.2</v>
      </c>
    </row>
    <row r="558" ht="14.25" customHeight="1">
      <c r="A558" s="1" t="s">
        <v>26</v>
      </c>
      <c r="B558" s="1" t="s">
        <v>298</v>
      </c>
      <c r="C558" s="1" t="s">
        <v>3133</v>
      </c>
      <c r="D558" s="1">
        <v>2.44052771E8</v>
      </c>
      <c r="E558" s="1" t="s">
        <v>300</v>
      </c>
      <c r="F558" s="1" t="s">
        <v>315</v>
      </c>
      <c r="G558" s="1" t="s">
        <v>3134</v>
      </c>
      <c r="H558" s="1" t="s">
        <v>3135</v>
      </c>
      <c r="I558" s="1">
        <v>263853.0</v>
      </c>
      <c r="J558" s="1" t="s">
        <v>3136</v>
      </c>
      <c r="K558" s="1" t="s">
        <v>3137</v>
      </c>
      <c r="L558" s="1">
        <v>584.0</v>
      </c>
      <c r="M558" s="1" t="s">
        <v>35</v>
      </c>
      <c r="N558" s="1" t="s">
        <v>36</v>
      </c>
      <c r="O558" s="1" t="s">
        <v>269</v>
      </c>
      <c r="P558" s="1">
        <v>1.2E8</v>
      </c>
      <c r="Q558" s="1">
        <v>2006.0</v>
      </c>
      <c r="R558" s="1">
        <v>1000.0</v>
      </c>
      <c r="S558" s="1">
        <v>843.0</v>
      </c>
      <c r="T558" s="1">
        <v>769.0</v>
      </c>
      <c r="U558" s="1">
        <v>4905.0</v>
      </c>
      <c r="V558" s="1">
        <v>487.0</v>
      </c>
      <c r="W558" s="1">
        <v>0.0</v>
      </c>
      <c r="X558" s="1">
        <v>0.0</v>
      </c>
      <c r="Y558" s="1">
        <v>2.35</v>
      </c>
      <c r="Z558" s="1">
        <v>7.2</v>
      </c>
    </row>
    <row r="559" ht="14.25" customHeight="1">
      <c r="A559" s="1" t="s">
        <v>26</v>
      </c>
      <c r="B559" s="1" t="s">
        <v>3138</v>
      </c>
      <c r="C559" s="1" t="s">
        <v>3139</v>
      </c>
      <c r="D559" s="1">
        <v>1.5214959E8</v>
      </c>
      <c r="E559" s="1" t="s">
        <v>1598</v>
      </c>
      <c r="F559" s="1" t="s">
        <v>1459</v>
      </c>
      <c r="G559" s="1" t="s">
        <v>134</v>
      </c>
      <c r="H559" s="1" t="s">
        <v>3140</v>
      </c>
      <c r="I559" s="1">
        <v>74274.0</v>
      </c>
      <c r="J559" s="1" t="s">
        <v>3141</v>
      </c>
      <c r="K559" s="1" t="s">
        <v>3142</v>
      </c>
      <c r="L559" s="1">
        <v>255.0</v>
      </c>
      <c r="M559" s="1" t="s">
        <v>35</v>
      </c>
      <c r="N559" s="1" t="s">
        <v>36</v>
      </c>
      <c r="O559" s="1" t="s">
        <v>87</v>
      </c>
      <c r="P559" s="1">
        <v>7.0E7</v>
      </c>
      <c r="Q559" s="1">
        <v>1999.0</v>
      </c>
      <c r="R559" s="1">
        <v>8000.0</v>
      </c>
      <c r="S559" s="1">
        <v>3000.0</v>
      </c>
      <c r="T559" s="1">
        <v>995.0</v>
      </c>
      <c r="U559" s="1">
        <v>12790.0</v>
      </c>
      <c r="V559" s="1">
        <v>0.0</v>
      </c>
      <c r="W559" s="1">
        <v>0.0</v>
      </c>
      <c r="X559" s="1">
        <v>2.0</v>
      </c>
      <c r="Y559" s="1">
        <v>2.35</v>
      </c>
      <c r="Z559" s="1">
        <v>5.5</v>
      </c>
    </row>
    <row r="560" ht="14.25" customHeight="1">
      <c r="A560" s="1" t="s">
        <v>26</v>
      </c>
      <c r="B560" s="1" t="s">
        <v>484</v>
      </c>
      <c r="C560" s="1" t="s">
        <v>3143</v>
      </c>
      <c r="D560" s="1">
        <v>1.41204016E8</v>
      </c>
      <c r="E560" s="1" t="s">
        <v>48</v>
      </c>
      <c r="F560" s="1" t="s">
        <v>329</v>
      </c>
      <c r="G560" s="1" t="s">
        <v>3144</v>
      </c>
      <c r="H560" s="1" t="s">
        <v>3145</v>
      </c>
      <c r="I560" s="1">
        <v>142569.0</v>
      </c>
      <c r="J560" s="1" t="s">
        <v>3146</v>
      </c>
      <c r="K560" s="1" t="s">
        <v>3147</v>
      </c>
      <c r="L560" s="1">
        <v>737.0</v>
      </c>
      <c r="M560" s="1" t="s">
        <v>35</v>
      </c>
      <c r="N560" s="1" t="s">
        <v>36</v>
      </c>
      <c r="O560" s="1" t="s">
        <v>37</v>
      </c>
      <c r="P560" s="1">
        <v>7.0E7</v>
      </c>
      <c r="Q560" s="1">
        <v>2002.0</v>
      </c>
      <c r="R560" s="1">
        <v>14000.0</v>
      </c>
      <c r="S560" s="1">
        <v>223.0</v>
      </c>
      <c r="T560" s="1">
        <v>212.0</v>
      </c>
      <c r="U560" s="1">
        <v>14790.0</v>
      </c>
      <c r="V560" s="1">
        <v>357.0</v>
      </c>
      <c r="W560" s="1">
        <v>10000.0</v>
      </c>
      <c r="X560" s="1">
        <v>0.0</v>
      </c>
      <c r="Y560" s="1">
        <v>2.35</v>
      </c>
      <c r="Z560" s="1">
        <v>5.8</v>
      </c>
    </row>
    <row r="561" ht="14.25" customHeight="1">
      <c r="A561" s="1" t="s">
        <v>26</v>
      </c>
      <c r="B561" s="1" t="s">
        <v>3148</v>
      </c>
      <c r="C561" s="1" t="s">
        <v>3149</v>
      </c>
      <c r="D561" s="1">
        <v>1.62495848E8</v>
      </c>
      <c r="E561" s="1" t="s">
        <v>263</v>
      </c>
      <c r="F561" s="1" t="s">
        <v>3150</v>
      </c>
      <c r="G561" s="1" t="s">
        <v>3151</v>
      </c>
      <c r="H561" s="1" t="s">
        <v>604</v>
      </c>
      <c r="I561" s="1">
        <v>34359.0</v>
      </c>
      <c r="J561" s="1" t="s">
        <v>3152</v>
      </c>
      <c r="K561" s="1" t="s">
        <v>3153</v>
      </c>
      <c r="L561" s="1">
        <v>133.0</v>
      </c>
      <c r="M561" s="1" t="s">
        <v>35</v>
      </c>
      <c r="N561" s="1" t="s">
        <v>36</v>
      </c>
      <c r="O561" s="1" t="s">
        <v>87</v>
      </c>
      <c r="P561" s="1">
        <v>7.4E7</v>
      </c>
      <c r="Q561" s="1">
        <v>2015.0</v>
      </c>
      <c r="R561" s="1">
        <v>870.0</v>
      </c>
      <c r="S561" s="1">
        <v>861.0</v>
      </c>
      <c r="T561" s="1">
        <v>726.0</v>
      </c>
      <c r="U561" s="1">
        <v>5217.0</v>
      </c>
      <c r="V561" s="1">
        <v>5.0</v>
      </c>
      <c r="W561" s="1">
        <v>16000.0</v>
      </c>
      <c r="X561" s="1">
        <v>0.0</v>
      </c>
      <c r="Y561" s="1">
        <v>1.85</v>
      </c>
      <c r="Z561" s="1">
        <v>6.0</v>
      </c>
    </row>
    <row r="562" ht="14.25" customHeight="1">
      <c r="A562" s="1" t="s">
        <v>26</v>
      </c>
      <c r="B562" s="1" t="s">
        <v>813</v>
      </c>
      <c r="C562" s="1" t="s">
        <v>3154</v>
      </c>
      <c r="D562" s="1">
        <v>1.36448821E8</v>
      </c>
      <c r="E562" s="1" t="s">
        <v>1458</v>
      </c>
      <c r="F562" s="1" t="s">
        <v>2547</v>
      </c>
      <c r="G562" s="1" t="s">
        <v>457</v>
      </c>
      <c r="H562" s="1" t="s">
        <v>1023</v>
      </c>
      <c r="I562" s="1">
        <v>98989.0</v>
      </c>
      <c r="J562" s="1" t="s">
        <v>3155</v>
      </c>
      <c r="K562" s="1" t="s">
        <v>3156</v>
      </c>
      <c r="L562" s="1">
        <v>158.0</v>
      </c>
      <c r="M562" s="1" t="s">
        <v>35</v>
      </c>
      <c r="N562" s="1" t="s">
        <v>36</v>
      </c>
      <c r="O562" s="1" t="s">
        <v>628</v>
      </c>
      <c r="P562" s="1">
        <v>8.0E7</v>
      </c>
      <c r="Q562" s="1">
        <v>1996.0</v>
      </c>
      <c r="R562" s="1">
        <v>960.0</v>
      </c>
      <c r="S562" s="1">
        <v>848.0</v>
      </c>
      <c r="T562" s="1">
        <v>808.0</v>
      </c>
      <c r="U562" s="1">
        <v>3667.0</v>
      </c>
      <c r="V562" s="1">
        <v>2000.0</v>
      </c>
      <c r="W562" s="1">
        <v>1000.0</v>
      </c>
      <c r="X562" s="1">
        <v>1.0</v>
      </c>
      <c r="Y562" s="1">
        <v>1.85</v>
      </c>
      <c r="Z562" s="1">
        <v>6.6</v>
      </c>
    </row>
    <row r="563" ht="14.25" customHeight="1">
      <c r="A563" s="1" t="s">
        <v>26</v>
      </c>
      <c r="B563" s="1" t="s">
        <v>1681</v>
      </c>
      <c r="C563" s="1" t="s">
        <v>3157</v>
      </c>
      <c r="D563" s="1">
        <v>1.20523073E8</v>
      </c>
      <c r="E563" s="1" t="s">
        <v>3158</v>
      </c>
      <c r="F563" s="1" t="s">
        <v>444</v>
      </c>
      <c r="G563" s="1" t="s">
        <v>335</v>
      </c>
      <c r="H563" s="1" t="s">
        <v>49</v>
      </c>
      <c r="I563" s="1">
        <v>885175.0</v>
      </c>
      <c r="J563" s="1" t="s">
        <v>3159</v>
      </c>
      <c r="K563" s="1" t="s">
        <v>3160</v>
      </c>
      <c r="L563" s="1">
        <v>1527.0</v>
      </c>
      <c r="M563" s="1" t="s">
        <v>35</v>
      </c>
      <c r="N563" s="1" t="s">
        <v>36</v>
      </c>
      <c r="O563" s="1" t="s">
        <v>628</v>
      </c>
      <c r="P563" s="1">
        <v>7.5E7</v>
      </c>
      <c r="Q563" s="1">
        <v>2009.0</v>
      </c>
      <c r="R563" s="1">
        <v>13000.0</v>
      </c>
      <c r="S563" s="1">
        <v>11000.0</v>
      </c>
      <c r="T563" s="1">
        <v>11000.0</v>
      </c>
      <c r="U563" s="1">
        <v>36741.0</v>
      </c>
      <c r="V563" s="1">
        <v>16000.0</v>
      </c>
      <c r="W563" s="1">
        <v>42000.0</v>
      </c>
      <c r="X563" s="1">
        <v>1.0</v>
      </c>
      <c r="Y563" s="1">
        <v>2.35</v>
      </c>
      <c r="Z563" s="1">
        <v>8.3</v>
      </c>
    </row>
    <row r="564" ht="14.25" customHeight="1">
      <c r="A564" s="1" t="s">
        <v>26</v>
      </c>
      <c r="B564" s="1" t="s">
        <v>381</v>
      </c>
      <c r="C564" s="1" t="s">
        <v>3161</v>
      </c>
      <c r="D564" s="1">
        <v>1.196549E8</v>
      </c>
      <c r="E564" s="1" t="s">
        <v>751</v>
      </c>
      <c r="F564" s="1" t="s">
        <v>774</v>
      </c>
      <c r="G564" s="1" t="s">
        <v>1459</v>
      </c>
      <c r="H564" s="1" t="s">
        <v>2307</v>
      </c>
      <c r="I564" s="1">
        <v>182802.0</v>
      </c>
      <c r="J564" s="1" t="s">
        <v>3162</v>
      </c>
      <c r="K564" s="1" t="s">
        <v>3163</v>
      </c>
      <c r="L564" s="1">
        <v>363.0</v>
      </c>
      <c r="M564" s="1" t="s">
        <v>35</v>
      </c>
      <c r="N564" s="1" t="s">
        <v>36</v>
      </c>
      <c r="O564" s="1" t="s">
        <v>87</v>
      </c>
      <c r="P564" s="1">
        <v>7.0E7</v>
      </c>
      <c r="Q564" s="1">
        <v>1991.0</v>
      </c>
      <c r="R564" s="1">
        <v>49000.0</v>
      </c>
      <c r="S564" s="1">
        <v>8000.0</v>
      </c>
      <c r="T564" s="1">
        <v>5000.0</v>
      </c>
      <c r="U564" s="1">
        <v>64259.0</v>
      </c>
      <c r="V564" s="1">
        <v>14000.0</v>
      </c>
      <c r="W564" s="1">
        <v>13000.0</v>
      </c>
      <c r="X564" s="1">
        <v>1.0</v>
      </c>
      <c r="Y564" s="1">
        <v>2.35</v>
      </c>
      <c r="Z564" s="1">
        <v>6.7</v>
      </c>
    </row>
    <row r="565" ht="14.25" customHeight="1">
      <c r="A565" s="1" t="s">
        <v>26</v>
      </c>
      <c r="B565" s="1" t="s">
        <v>252</v>
      </c>
      <c r="C565" s="1" t="s">
        <v>1782</v>
      </c>
      <c r="D565" s="1">
        <v>7.2660029E7</v>
      </c>
      <c r="E565" s="1" t="s">
        <v>119</v>
      </c>
      <c r="F565" s="1" t="s">
        <v>1036</v>
      </c>
      <c r="G565" s="1" t="s">
        <v>1733</v>
      </c>
      <c r="H565" s="1" t="s">
        <v>1783</v>
      </c>
      <c r="I565" s="1">
        <v>115687.0</v>
      </c>
      <c r="J565" s="1" t="s">
        <v>1784</v>
      </c>
      <c r="K565" s="1" t="s">
        <v>1785</v>
      </c>
      <c r="L565" s="1">
        <v>269.0</v>
      </c>
      <c r="M565" s="1" t="s">
        <v>35</v>
      </c>
      <c r="N565" s="1" t="s">
        <v>36</v>
      </c>
      <c r="O565" s="1" t="s">
        <v>37</v>
      </c>
      <c r="P565" s="1">
        <v>1.0E8</v>
      </c>
      <c r="Q565" s="1">
        <v>2014.0</v>
      </c>
      <c r="R565" s="1">
        <v>12000.0</v>
      </c>
      <c r="S565" s="1">
        <v>3000.0</v>
      </c>
      <c r="T565" s="1">
        <v>467.0</v>
      </c>
      <c r="U565" s="1">
        <v>16235.0</v>
      </c>
      <c r="V565" s="1">
        <v>420.0</v>
      </c>
      <c r="W565" s="1">
        <v>21000.0</v>
      </c>
      <c r="X565" s="1">
        <v>0.0</v>
      </c>
      <c r="Y565" s="1">
        <v>2.35</v>
      </c>
      <c r="Z565" s="1">
        <v>6.0</v>
      </c>
    </row>
    <row r="566" ht="14.25" customHeight="1">
      <c r="A566" s="1" t="s">
        <v>26</v>
      </c>
      <c r="B566" s="1" t="s">
        <v>1985</v>
      </c>
      <c r="C566" s="1" t="s">
        <v>3164</v>
      </c>
      <c r="D566" s="1">
        <v>1.17541E8</v>
      </c>
      <c r="E566" s="1" t="s">
        <v>57</v>
      </c>
      <c r="F566" s="1" t="s">
        <v>941</v>
      </c>
      <c r="G566" s="1" t="s">
        <v>3165</v>
      </c>
      <c r="H566" s="1" t="s">
        <v>3166</v>
      </c>
      <c r="I566" s="1">
        <v>269858.0</v>
      </c>
      <c r="J566" s="1" t="s">
        <v>3167</v>
      </c>
      <c r="K566" s="1" t="s">
        <v>3168</v>
      </c>
      <c r="L566" s="1">
        <v>316.0</v>
      </c>
      <c r="M566" s="1" t="s">
        <v>35</v>
      </c>
      <c r="N566" s="1" t="s">
        <v>36</v>
      </c>
      <c r="O566" s="1" t="s">
        <v>628</v>
      </c>
      <c r="P566" s="1">
        <v>7.0E7</v>
      </c>
      <c r="Q566" s="1">
        <v>1990.0</v>
      </c>
      <c r="R566" s="1">
        <v>13000.0</v>
      </c>
      <c r="S566" s="1">
        <v>982.0</v>
      </c>
      <c r="T566" s="1">
        <v>576.0</v>
      </c>
      <c r="U566" s="1">
        <v>16595.0</v>
      </c>
      <c r="V566" s="1">
        <v>212.0</v>
      </c>
      <c r="W566" s="1">
        <v>0.0</v>
      </c>
      <c r="X566" s="1">
        <v>0.0</v>
      </c>
      <c r="Y566" s="1">
        <v>2.35</v>
      </c>
      <c r="Z566" s="1">
        <v>7.1</v>
      </c>
    </row>
    <row r="567" ht="14.25" customHeight="1">
      <c r="A567" s="1" t="s">
        <v>26</v>
      </c>
      <c r="B567" s="1" t="s">
        <v>3169</v>
      </c>
      <c r="C567" s="1" t="s">
        <v>3170</v>
      </c>
      <c r="D567" s="1">
        <v>1.16643346E8</v>
      </c>
      <c r="E567" s="1" t="s">
        <v>3171</v>
      </c>
      <c r="F567" s="1" t="s">
        <v>851</v>
      </c>
      <c r="G567" s="1" t="s">
        <v>3172</v>
      </c>
      <c r="H567" s="1" t="s">
        <v>2040</v>
      </c>
      <c r="I567" s="1">
        <v>119807.0</v>
      </c>
      <c r="J567" s="1" t="s">
        <v>3173</v>
      </c>
      <c r="K567" s="1" t="s">
        <v>3174</v>
      </c>
      <c r="L567" s="1">
        <v>340.0</v>
      </c>
      <c r="M567" s="1" t="s">
        <v>35</v>
      </c>
      <c r="N567" s="1" t="s">
        <v>36</v>
      </c>
      <c r="O567" s="1" t="s">
        <v>37</v>
      </c>
      <c r="P567" s="1">
        <v>8.0E7</v>
      </c>
      <c r="Q567" s="1">
        <v>2003.0</v>
      </c>
      <c r="R567" s="1">
        <v>10000.0</v>
      </c>
      <c r="S567" s="1">
        <v>1000.0</v>
      </c>
      <c r="T567" s="1">
        <v>1000.0</v>
      </c>
      <c r="U567" s="1">
        <v>14486.0</v>
      </c>
      <c r="V567" s="1">
        <v>69.0</v>
      </c>
      <c r="W567" s="1">
        <v>0.0</v>
      </c>
      <c r="X567" s="1">
        <v>1.0</v>
      </c>
      <c r="Y567" s="1">
        <v>2.35</v>
      </c>
      <c r="Z567" s="1">
        <v>6.0</v>
      </c>
    </row>
    <row r="568" ht="14.25" customHeight="1">
      <c r="A568" s="1" t="s">
        <v>26</v>
      </c>
      <c r="B568" s="1" t="s">
        <v>3175</v>
      </c>
      <c r="C568" s="1" t="s">
        <v>3176</v>
      </c>
      <c r="D568" s="1">
        <v>1.00614858E8</v>
      </c>
      <c r="E568" s="1" t="s">
        <v>3177</v>
      </c>
      <c r="F568" s="1" t="s">
        <v>508</v>
      </c>
      <c r="G568" s="1" t="s">
        <v>1625</v>
      </c>
      <c r="H568" s="1" t="s">
        <v>510</v>
      </c>
      <c r="I568" s="1">
        <v>206776.0</v>
      </c>
      <c r="J568" s="1" t="s">
        <v>3178</v>
      </c>
      <c r="K568" s="1" t="s">
        <v>3179</v>
      </c>
      <c r="L568" s="1">
        <v>1248.0</v>
      </c>
      <c r="M568" s="1" t="s">
        <v>35</v>
      </c>
      <c r="N568" s="1" t="s">
        <v>36</v>
      </c>
      <c r="O568" s="1" t="s">
        <v>628</v>
      </c>
      <c r="P568" s="1">
        <v>6.8E7</v>
      </c>
      <c r="Q568" s="1">
        <v>2001.0</v>
      </c>
      <c r="R568" s="1">
        <v>10000.0</v>
      </c>
      <c r="S568" s="1">
        <v>834.0</v>
      </c>
      <c r="T568" s="1">
        <v>509.0</v>
      </c>
      <c r="U568" s="1">
        <v>11458.0</v>
      </c>
      <c r="V568" s="1">
        <v>488.0</v>
      </c>
      <c r="W568" s="1">
        <v>0.0</v>
      </c>
      <c r="X568" s="1">
        <v>1.0</v>
      </c>
      <c r="Y568" s="1">
        <v>1.85</v>
      </c>
      <c r="Z568" s="1">
        <v>6.9</v>
      </c>
    </row>
    <row r="569" ht="14.25" customHeight="1">
      <c r="A569" s="1" t="s">
        <v>26</v>
      </c>
      <c r="B569" s="1" t="s">
        <v>875</v>
      </c>
      <c r="C569" s="1" t="s">
        <v>3180</v>
      </c>
      <c r="D569" s="1">
        <v>4.2272747E7</v>
      </c>
      <c r="E569" s="1" t="s">
        <v>3181</v>
      </c>
      <c r="F569" s="1" t="s">
        <v>227</v>
      </c>
      <c r="G569" s="1" t="s">
        <v>3182</v>
      </c>
      <c r="H569" s="1" t="s">
        <v>3183</v>
      </c>
      <c r="I569" s="1">
        <v>78635.0</v>
      </c>
      <c r="J569" s="1" t="s">
        <v>3184</v>
      </c>
      <c r="K569" s="1" t="s">
        <v>3185</v>
      </c>
      <c r="L569" s="1">
        <v>1040.0</v>
      </c>
      <c r="M569" s="1" t="s">
        <v>35</v>
      </c>
      <c r="N569" s="1" t="s">
        <v>36</v>
      </c>
      <c r="O569" s="1" t="s">
        <v>37</v>
      </c>
      <c r="P569" s="1">
        <v>7.0E7</v>
      </c>
      <c r="Q569" s="1">
        <v>2006.0</v>
      </c>
      <c r="R569" s="1">
        <v>3000.0</v>
      </c>
      <c r="S569" s="1">
        <v>579.0</v>
      </c>
      <c r="T569" s="1">
        <v>559.0</v>
      </c>
      <c r="U569" s="1">
        <v>5609.0</v>
      </c>
      <c r="V569" s="1">
        <v>0.0</v>
      </c>
      <c r="W569" s="1">
        <v>0.0</v>
      </c>
      <c r="X569" s="1">
        <v>1.0</v>
      </c>
      <c r="Y569" s="1">
        <v>1.85</v>
      </c>
      <c r="Z569" s="1">
        <v>5.6</v>
      </c>
    </row>
    <row r="570" ht="14.25" customHeight="1">
      <c r="A570" s="1" t="s">
        <v>26</v>
      </c>
      <c r="B570" s="1" t="s">
        <v>2246</v>
      </c>
      <c r="C570" s="1" t="s">
        <v>3186</v>
      </c>
      <c r="D570" s="1">
        <v>8.0281096E7</v>
      </c>
      <c r="E570" s="1" t="s">
        <v>2123</v>
      </c>
      <c r="F570" s="1" t="s">
        <v>2147</v>
      </c>
      <c r="G570" s="1" t="s">
        <v>928</v>
      </c>
      <c r="H570" s="1" t="s">
        <v>3187</v>
      </c>
      <c r="I570" s="1">
        <v>143628.0</v>
      </c>
      <c r="J570" s="1" t="s">
        <v>3188</v>
      </c>
      <c r="K570" s="1" t="s">
        <v>3189</v>
      </c>
      <c r="L570" s="1">
        <v>1283.0</v>
      </c>
      <c r="M570" s="1" t="s">
        <v>35</v>
      </c>
      <c r="N570" s="1" t="s">
        <v>36</v>
      </c>
      <c r="O570" s="1" t="s">
        <v>37</v>
      </c>
      <c r="P570" s="1">
        <v>6.0E7</v>
      </c>
      <c r="Q570" s="1">
        <v>2004.0</v>
      </c>
      <c r="R570" s="1">
        <v>886.0</v>
      </c>
      <c r="S570" s="1">
        <v>766.0</v>
      </c>
      <c r="T570" s="1">
        <v>727.0</v>
      </c>
      <c r="U570" s="1">
        <v>3222.0</v>
      </c>
      <c r="V570" s="1">
        <v>545.0</v>
      </c>
      <c r="W570" s="1">
        <v>0.0</v>
      </c>
      <c r="X570" s="1">
        <v>0.0</v>
      </c>
      <c r="Y570" s="1">
        <v>2.35</v>
      </c>
      <c r="Z570" s="1">
        <v>5.6</v>
      </c>
    </row>
    <row r="571" ht="14.25" customHeight="1">
      <c r="A571" s="1" t="s">
        <v>26</v>
      </c>
      <c r="B571" s="1" t="s">
        <v>3116</v>
      </c>
      <c r="C571" s="1" t="s">
        <v>3190</v>
      </c>
      <c r="D571" s="1">
        <v>2.19613391E8</v>
      </c>
      <c r="E571" s="1" t="s">
        <v>3191</v>
      </c>
      <c r="F571" s="1" t="s">
        <v>464</v>
      </c>
      <c r="G571" s="1" t="s">
        <v>3192</v>
      </c>
      <c r="H571" s="1" t="s">
        <v>2086</v>
      </c>
      <c r="I571" s="1">
        <v>31649.0</v>
      </c>
      <c r="J571" s="1" t="s">
        <v>3193</v>
      </c>
      <c r="K571" s="1" t="s">
        <v>3194</v>
      </c>
      <c r="L571" s="1">
        <v>98.0</v>
      </c>
      <c r="M571" s="1" t="s">
        <v>35</v>
      </c>
      <c r="N571" s="1" t="s">
        <v>36</v>
      </c>
      <c r="O571" s="1" t="s">
        <v>87</v>
      </c>
      <c r="P571" s="1">
        <v>7.5E7</v>
      </c>
      <c r="Q571" s="1">
        <v>2009.0</v>
      </c>
      <c r="R571" s="1">
        <v>1000.0</v>
      </c>
      <c r="S571" s="1">
        <v>1000.0</v>
      </c>
      <c r="T571" s="1">
        <v>1000.0</v>
      </c>
      <c r="U571" s="1">
        <v>5227.0</v>
      </c>
      <c r="V571" s="1">
        <v>84.0</v>
      </c>
      <c r="W571" s="1">
        <v>2000.0</v>
      </c>
      <c r="X571" s="1">
        <v>0.0</v>
      </c>
      <c r="Y571" s="1">
        <v>1.85</v>
      </c>
      <c r="Z571" s="1">
        <v>4.5</v>
      </c>
    </row>
    <row r="572" ht="14.25" customHeight="1">
      <c r="A572" s="1" t="s">
        <v>26</v>
      </c>
      <c r="B572" s="1" t="s">
        <v>3195</v>
      </c>
      <c r="C572" s="1" t="s">
        <v>3196</v>
      </c>
      <c r="D572" s="1">
        <v>7.8120196E7</v>
      </c>
      <c r="E572" s="1" t="s">
        <v>980</v>
      </c>
      <c r="F572" s="1" t="s">
        <v>574</v>
      </c>
      <c r="G572" s="1" t="s">
        <v>1368</v>
      </c>
      <c r="H572" s="1" t="s">
        <v>3197</v>
      </c>
      <c r="I572" s="1">
        <v>103241.0</v>
      </c>
      <c r="J572" s="1" t="s">
        <v>3198</v>
      </c>
      <c r="K572" s="1" t="s">
        <v>3199</v>
      </c>
      <c r="L572" s="1">
        <v>742.0</v>
      </c>
      <c r="M572" s="1" t="s">
        <v>35</v>
      </c>
      <c r="N572" s="1" t="s">
        <v>36</v>
      </c>
      <c r="O572" s="1" t="s">
        <v>628</v>
      </c>
      <c r="P572" s="1">
        <v>7.5E7</v>
      </c>
      <c r="Q572" s="1">
        <v>2002.0</v>
      </c>
      <c r="R572" s="1">
        <v>4000.0</v>
      </c>
      <c r="S572" s="1">
        <v>973.0</v>
      </c>
      <c r="T572" s="1">
        <v>841.0</v>
      </c>
      <c r="U572" s="1">
        <v>6181.0</v>
      </c>
      <c r="V572" s="1">
        <v>130.0</v>
      </c>
      <c r="W572" s="1">
        <v>5000.0</v>
      </c>
      <c r="X572" s="1">
        <v>0.0</v>
      </c>
      <c r="Y572" s="1">
        <v>2.35</v>
      </c>
      <c r="Z572" s="1">
        <v>7.1</v>
      </c>
    </row>
    <row r="573" ht="14.25" customHeight="1">
      <c r="A573" s="1" t="s">
        <v>26</v>
      </c>
      <c r="B573" s="1" t="s">
        <v>2938</v>
      </c>
      <c r="C573" s="1" t="s">
        <v>3200</v>
      </c>
      <c r="D573" s="1">
        <v>9.8895417E7</v>
      </c>
      <c r="E573" s="1" t="s">
        <v>57</v>
      </c>
      <c r="F573" s="1" t="s">
        <v>616</v>
      </c>
      <c r="G573" s="1" t="s">
        <v>451</v>
      </c>
      <c r="H573" s="1" t="s">
        <v>3201</v>
      </c>
      <c r="I573" s="1">
        <v>203154.0</v>
      </c>
      <c r="J573" s="1" t="s">
        <v>3202</v>
      </c>
      <c r="K573" s="1" t="s">
        <v>3203</v>
      </c>
      <c r="L573" s="1">
        <v>698.0</v>
      </c>
      <c r="M573" s="1" t="s">
        <v>35</v>
      </c>
      <c r="N573" s="1" t="s">
        <v>36</v>
      </c>
      <c r="O573" s="1" t="s">
        <v>628</v>
      </c>
      <c r="P573" s="1">
        <v>7.0E7</v>
      </c>
      <c r="Q573" s="1">
        <v>2013.0</v>
      </c>
      <c r="R573" s="1">
        <v>18000.0</v>
      </c>
      <c r="S573" s="1">
        <v>11000.0</v>
      </c>
      <c r="T573" s="1">
        <v>992.0</v>
      </c>
      <c r="U573" s="1">
        <v>31782.0</v>
      </c>
      <c r="V573" s="1">
        <v>845.0</v>
      </c>
      <c r="W573" s="1">
        <v>45000.0</v>
      </c>
      <c r="X573" s="1">
        <v>3.0</v>
      </c>
      <c r="Y573" s="1">
        <v>2.35</v>
      </c>
      <c r="Z573" s="1">
        <v>6.5</v>
      </c>
    </row>
    <row r="574" ht="14.25" customHeight="1">
      <c r="A574" s="1" t="s">
        <v>26</v>
      </c>
      <c r="B574" s="1" t="s">
        <v>3204</v>
      </c>
      <c r="C574" s="1" t="s">
        <v>3205</v>
      </c>
      <c r="D574" s="1">
        <v>7.0117571E7</v>
      </c>
      <c r="E574" s="1" t="s">
        <v>219</v>
      </c>
      <c r="F574" s="1" t="s">
        <v>3206</v>
      </c>
      <c r="G574" s="1" t="s">
        <v>3204</v>
      </c>
      <c r="H574" s="1" t="s">
        <v>3207</v>
      </c>
      <c r="I574" s="1">
        <v>56741.0</v>
      </c>
      <c r="J574" s="1" t="s">
        <v>3208</v>
      </c>
      <c r="K574" s="1" t="s">
        <v>3209</v>
      </c>
      <c r="L574" s="1">
        <v>515.0</v>
      </c>
      <c r="M574" s="1" t="s">
        <v>35</v>
      </c>
      <c r="N574" s="1" t="s">
        <v>36</v>
      </c>
      <c r="O574" s="1" t="s">
        <v>87</v>
      </c>
      <c r="P574" s="1">
        <v>5.8E7</v>
      </c>
      <c r="Q574" s="1">
        <v>1998.0</v>
      </c>
      <c r="R574" s="1">
        <v>1000.0</v>
      </c>
      <c r="S574" s="1">
        <v>906.0</v>
      </c>
      <c r="T574" s="1">
        <v>748.0</v>
      </c>
      <c r="U574" s="1">
        <v>6207.0</v>
      </c>
      <c r="V574" s="1">
        <v>906.0</v>
      </c>
      <c r="W574" s="1">
        <v>1000.0</v>
      </c>
      <c r="X574" s="1">
        <v>0.0</v>
      </c>
      <c r="Y574" s="1">
        <v>2.35</v>
      </c>
      <c r="Z574" s="1">
        <v>6.4</v>
      </c>
    </row>
    <row r="575" ht="14.25" customHeight="1">
      <c r="A575" s="1" t="s">
        <v>26</v>
      </c>
      <c r="B575" s="1" t="s">
        <v>839</v>
      </c>
      <c r="C575" s="1" t="s">
        <v>3210</v>
      </c>
      <c r="D575" s="1">
        <v>8.3552429E7</v>
      </c>
      <c r="E575" s="1" t="s">
        <v>623</v>
      </c>
      <c r="F575" s="1" t="s">
        <v>1412</v>
      </c>
      <c r="G575" s="1" t="s">
        <v>2577</v>
      </c>
      <c r="H575" s="1" t="s">
        <v>274</v>
      </c>
      <c r="I575" s="1">
        <v>154955.0</v>
      </c>
      <c r="J575" s="1" t="s">
        <v>3211</v>
      </c>
      <c r="K575" s="1" t="s">
        <v>3212</v>
      </c>
      <c r="L575" s="1">
        <v>800.0</v>
      </c>
      <c r="M575" s="1" t="s">
        <v>35</v>
      </c>
      <c r="N575" s="1" t="s">
        <v>36</v>
      </c>
      <c r="O575" s="1" t="s">
        <v>37</v>
      </c>
      <c r="P575" s="1">
        <v>7.0E7</v>
      </c>
      <c r="Q575" s="1">
        <v>2011.0</v>
      </c>
      <c r="R575" s="1">
        <v>833.0</v>
      </c>
      <c r="S575" s="1">
        <v>697.0</v>
      </c>
      <c r="T575" s="1">
        <v>464.0</v>
      </c>
      <c r="U575" s="1">
        <v>4001.0</v>
      </c>
      <c r="V575" s="1">
        <v>473.0</v>
      </c>
      <c r="W575" s="1">
        <v>25000.0</v>
      </c>
      <c r="X575" s="1">
        <v>0.0</v>
      </c>
      <c r="Y575" s="1">
        <v>2.35</v>
      </c>
      <c r="Z575" s="1">
        <v>5.8</v>
      </c>
    </row>
    <row r="576" ht="14.25" customHeight="1">
      <c r="A576" s="1" t="s">
        <v>26</v>
      </c>
      <c r="B576" s="1" t="s">
        <v>247</v>
      </c>
      <c r="C576" s="1" t="s">
        <v>3213</v>
      </c>
      <c r="D576" s="1">
        <v>6.6257002E7</v>
      </c>
      <c r="E576" s="1" t="s">
        <v>1301</v>
      </c>
      <c r="F576" s="1" t="s">
        <v>264</v>
      </c>
      <c r="G576" s="1" t="s">
        <v>3214</v>
      </c>
      <c r="H576" s="1" t="s">
        <v>233</v>
      </c>
      <c r="I576" s="1">
        <v>350698.0</v>
      </c>
      <c r="J576" s="1" t="s">
        <v>3215</v>
      </c>
      <c r="K576" s="1" t="s">
        <v>3216</v>
      </c>
      <c r="L576" s="1">
        <v>816.0</v>
      </c>
      <c r="M576" s="1" t="s">
        <v>35</v>
      </c>
      <c r="N576" s="1" t="s">
        <v>36</v>
      </c>
      <c r="O576" s="1" t="s">
        <v>37</v>
      </c>
      <c r="P576" s="1">
        <v>7.0E7</v>
      </c>
      <c r="Q576" s="1">
        <v>2003.0</v>
      </c>
      <c r="R576" s="1">
        <v>12000.0</v>
      </c>
      <c r="S576" s="1">
        <v>1000.0</v>
      </c>
      <c r="T576" s="1">
        <v>883.0</v>
      </c>
      <c r="U576" s="1">
        <v>16138.0</v>
      </c>
      <c r="V576" s="1">
        <v>13000.0</v>
      </c>
      <c r="W576" s="1">
        <v>26000.0</v>
      </c>
      <c r="X576" s="1">
        <v>0.0</v>
      </c>
      <c r="Y576" s="1">
        <v>1.37</v>
      </c>
      <c r="Z576" s="1">
        <v>8.0</v>
      </c>
    </row>
    <row r="577" ht="14.25" customHeight="1">
      <c r="A577" s="1" t="s">
        <v>26</v>
      </c>
      <c r="B577" s="1" t="s">
        <v>2913</v>
      </c>
      <c r="C577" s="1" t="s">
        <v>3217</v>
      </c>
      <c r="D577" s="1">
        <v>6.5012E7</v>
      </c>
      <c r="E577" s="1" t="s">
        <v>3218</v>
      </c>
      <c r="F577" s="1" t="s">
        <v>3219</v>
      </c>
      <c r="G577" s="1" t="s">
        <v>3220</v>
      </c>
      <c r="H577" s="1" t="s">
        <v>3221</v>
      </c>
      <c r="I577" s="1">
        <v>43559.0</v>
      </c>
      <c r="J577" s="1" t="s">
        <v>3222</v>
      </c>
      <c r="K577" s="1" t="s">
        <v>3223</v>
      </c>
      <c r="L577" s="1">
        <v>137.0</v>
      </c>
      <c r="M577" s="1" t="s">
        <v>35</v>
      </c>
      <c r="N577" s="1" t="s">
        <v>36</v>
      </c>
      <c r="O577" s="1" t="s">
        <v>628</v>
      </c>
      <c r="P577" s="1">
        <v>7.0E7</v>
      </c>
      <c r="Q577" s="1">
        <v>1994.0</v>
      </c>
      <c r="R577" s="1">
        <v>443.0</v>
      </c>
      <c r="S577" s="1">
        <v>277.0</v>
      </c>
      <c r="T577" s="1">
        <v>184.0</v>
      </c>
      <c r="U577" s="1">
        <v>1439.0</v>
      </c>
      <c r="V577" s="1">
        <v>0.0</v>
      </c>
      <c r="W577" s="1">
        <v>0.0</v>
      </c>
      <c r="X577" s="1">
        <v>1.0</v>
      </c>
      <c r="Y577" s="1">
        <v>1.85</v>
      </c>
      <c r="Z577" s="1">
        <v>6.2</v>
      </c>
    </row>
    <row r="578" ht="14.25" customHeight="1">
      <c r="A578" s="1" t="s">
        <v>710</v>
      </c>
      <c r="B578" s="1" t="s">
        <v>381</v>
      </c>
      <c r="C578" s="1" t="s">
        <v>3224</v>
      </c>
      <c r="D578" s="1">
        <v>7.9883359E7</v>
      </c>
      <c r="E578" s="1" t="s">
        <v>3225</v>
      </c>
      <c r="F578" s="1" t="s">
        <v>3226</v>
      </c>
      <c r="G578" s="1" t="s">
        <v>345</v>
      </c>
      <c r="H578" s="1" t="s">
        <v>351</v>
      </c>
      <c r="I578" s="1">
        <v>116159.0</v>
      </c>
      <c r="J578" s="1" t="s">
        <v>3227</v>
      </c>
      <c r="K578" s="1" t="s">
        <v>3228</v>
      </c>
      <c r="L578" s="1">
        <v>488.0</v>
      </c>
      <c r="M578" s="1" t="s">
        <v>35</v>
      </c>
      <c r="N578" s="1" t="s">
        <v>36</v>
      </c>
      <c r="O578" s="1" t="s">
        <v>37</v>
      </c>
      <c r="P578" s="1">
        <v>6.6E7</v>
      </c>
      <c r="Q578" s="1">
        <v>2011.0</v>
      </c>
      <c r="R578" s="1">
        <v>25000.0</v>
      </c>
      <c r="S578" s="1">
        <v>19000.0</v>
      </c>
      <c r="T578" s="1">
        <v>979.0</v>
      </c>
      <c r="U578" s="1">
        <v>46726.0</v>
      </c>
      <c r="V578" s="1">
        <v>14000.0</v>
      </c>
      <c r="W578" s="1">
        <v>28000.0</v>
      </c>
      <c r="X578" s="1">
        <v>1.0</v>
      </c>
      <c r="Y578" s="1">
        <v>2.35</v>
      </c>
      <c r="Z578" s="1">
        <v>7.2</v>
      </c>
    </row>
    <row r="579" ht="14.25" customHeight="1">
      <c r="A579" s="1" t="s">
        <v>26</v>
      </c>
      <c r="B579" s="1" t="s">
        <v>3229</v>
      </c>
      <c r="C579" s="1" t="s">
        <v>3230</v>
      </c>
      <c r="D579" s="1">
        <v>7.803162E7</v>
      </c>
      <c r="E579" s="1" t="s">
        <v>3225</v>
      </c>
      <c r="F579" s="1" t="s">
        <v>534</v>
      </c>
      <c r="G579" s="1" t="s">
        <v>1113</v>
      </c>
      <c r="H579" s="1" t="s">
        <v>3183</v>
      </c>
      <c r="I579" s="1">
        <v>102248.0</v>
      </c>
      <c r="J579" s="1" t="s">
        <v>3231</v>
      </c>
      <c r="K579" s="1" t="s">
        <v>3232</v>
      </c>
      <c r="L579" s="1">
        <v>403.0</v>
      </c>
      <c r="M579" s="1" t="s">
        <v>35</v>
      </c>
      <c r="N579" s="1" t="s">
        <v>36</v>
      </c>
      <c r="O579" s="1" t="s">
        <v>37</v>
      </c>
      <c r="P579" s="1">
        <v>7.0E7</v>
      </c>
      <c r="Q579" s="1">
        <v>2014.0</v>
      </c>
      <c r="R579" s="1">
        <v>13000.0</v>
      </c>
      <c r="S579" s="1">
        <v>13000.0</v>
      </c>
      <c r="T579" s="1">
        <v>559.0</v>
      </c>
      <c r="U579" s="1">
        <v>27674.0</v>
      </c>
      <c r="V579" s="1">
        <v>0.0</v>
      </c>
      <c r="W579" s="1">
        <v>34000.0</v>
      </c>
      <c r="X579" s="1">
        <v>7.0</v>
      </c>
      <c r="Y579" s="1">
        <v>2.35</v>
      </c>
      <c r="Z579" s="1">
        <v>6.1</v>
      </c>
    </row>
    <row r="580" ht="14.25" customHeight="1">
      <c r="A580" s="1" t="s">
        <v>26</v>
      </c>
      <c r="B580" s="1" t="s">
        <v>27</v>
      </c>
      <c r="C580" s="1" t="s">
        <v>3233</v>
      </c>
      <c r="D580" s="1">
        <v>5.4222E7</v>
      </c>
      <c r="E580" s="1" t="s">
        <v>1418</v>
      </c>
      <c r="F580" s="1" t="s">
        <v>2860</v>
      </c>
      <c r="G580" s="1" t="s">
        <v>3234</v>
      </c>
      <c r="H580" s="1" t="s">
        <v>1291</v>
      </c>
      <c r="I580" s="1">
        <v>131217.0</v>
      </c>
      <c r="J580" s="1" t="s">
        <v>3235</v>
      </c>
      <c r="K580" s="1" t="s">
        <v>3236</v>
      </c>
      <c r="L580" s="1">
        <v>380.0</v>
      </c>
      <c r="M580" s="1" t="s">
        <v>35</v>
      </c>
      <c r="N580" s="1" t="s">
        <v>36</v>
      </c>
      <c r="O580" s="1" t="s">
        <v>37</v>
      </c>
      <c r="P580" s="1">
        <v>6.95E7</v>
      </c>
      <c r="Q580" s="1">
        <v>1989.0</v>
      </c>
      <c r="R580" s="1">
        <v>2000.0</v>
      </c>
      <c r="S580" s="1">
        <v>650.0</v>
      </c>
      <c r="T580" s="1">
        <v>638.0</v>
      </c>
      <c r="U580" s="1">
        <v>4074.0</v>
      </c>
      <c r="V580" s="1">
        <v>0.0</v>
      </c>
      <c r="W580" s="1">
        <v>0.0</v>
      </c>
      <c r="X580" s="1">
        <v>0.0</v>
      </c>
      <c r="Y580" s="1">
        <v>2.35</v>
      </c>
      <c r="Z580" s="1">
        <v>7.6</v>
      </c>
    </row>
    <row r="581" ht="14.25" customHeight="1">
      <c r="A581" s="1" t="s">
        <v>26</v>
      </c>
      <c r="B581" s="1" t="s">
        <v>723</v>
      </c>
      <c r="C581" s="1" t="s">
        <v>3237</v>
      </c>
      <c r="D581" s="1">
        <v>5.2474616E7</v>
      </c>
      <c r="E581" s="1" t="s">
        <v>3238</v>
      </c>
      <c r="F581" s="1" t="s">
        <v>114</v>
      </c>
      <c r="G581" s="1" t="s">
        <v>2765</v>
      </c>
      <c r="H581" s="1" t="s">
        <v>3239</v>
      </c>
      <c r="I581" s="1">
        <v>84118.0</v>
      </c>
      <c r="J581" s="1" t="s">
        <v>3240</v>
      </c>
      <c r="K581" s="1" t="s">
        <v>3241</v>
      </c>
      <c r="L581" s="1">
        <v>245.0</v>
      </c>
      <c r="M581" s="1" t="s">
        <v>35</v>
      </c>
      <c r="N581" s="1" t="s">
        <v>36</v>
      </c>
      <c r="O581" s="1" t="s">
        <v>37</v>
      </c>
      <c r="P581" s="1">
        <v>7.0E7</v>
      </c>
      <c r="Q581" s="1">
        <v>2010.0</v>
      </c>
      <c r="R581" s="1">
        <v>903.0</v>
      </c>
      <c r="S581" s="1">
        <v>592.0</v>
      </c>
      <c r="T581" s="1">
        <v>17.0</v>
      </c>
      <c r="U581" s="1">
        <v>1579.0</v>
      </c>
      <c r="V581" s="1">
        <v>0.0</v>
      </c>
      <c r="W581" s="1">
        <v>13000.0</v>
      </c>
      <c r="X581" s="1">
        <v>2.0</v>
      </c>
      <c r="Y581" s="1">
        <v>2.35</v>
      </c>
      <c r="Z581" s="1">
        <v>6.3</v>
      </c>
    </row>
    <row r="582" ht="14.25" customHeight="1">
      <c r="A582" s="1" t="s">
        <v>26</v>
      </c>
      <c r="B582" s="1" t="s">
        <v>3242</v>
      </c>
      <c r="C582" s="1" t="s">
        <v>3243</v>
      </c>
      <c r="D582" s="1">
        <v>5.594283E7</v>
      </c>
      <c r="E582" s="1" t="s">
        <v>3244</v>
      </c>
      <c r="F582" s="1" t="s">
        <v>693</v>
      </c>
      <c r="G582" s="1" t="s">
        <v>3245</v>
      </c>
      <c r="H582" s="1" t="s">
        <v>3246</v>
      </c>
      <c r="I582" s="1">
        <v>138582.0</v>
      </c>
      <c r="J582" s="1" t="s">
        <v>3247</v>
      </c>
      <c r="K582" s="1" t="s">
        <v>3248</v>
      </c>
      <c r="L582" s="1">
        <v>423.0</v>
      </c>
      <c r="M582" s="1" t="s">
        <v>35</v>
      </c>
      <c r="N582" s="1" t="s">
        <v>36</v>
      </c>
      <c r="O582" s="1" t="s">
        <v>37</v>
      </c>
      <c r="P582" s="1">
        <v>7.0E7</v>
      </c>
      <c r="Q582" s="1">
        <v>2014.0</v>
      </c>
      <c r="R582" s="1">
        <v>3000.0</v>
      </c>
      <c r="S582" s="1">
        <v>692.0</v>
      </c>
      <c r="T582" s="1">
        <v>423.0</v>
      </c>
      <c r="U582" s="1">
        <v>5178.0</v>
      </c>
      <c r="V582" s="1">
        <v>28.0</v>
      </c>
      <c r="W582" s="1">
        <v>37000.0</v>
      </c>
      <c r="X582" s="1">
        <v>1.0</v>
      </c>
      <c r="Y582" s="1">
        <v>2.35</v>
      </c>
      <c r="Z582" s="1">
        <v>6.3</v>
      </c>
    </row>
    <row r="583" ht="14.25" customHeight="1">
      <c r="A583" s="1" t="s">
        <v>26</v>
      </c>
      <c r="B583" s="1" t="s">
        <v>978</v>
      </c>
      <c r="C583" s="1" t="s">
        <v>3249</v>
      </c>
      <c r="D583" s="1">
        <v>4.0932372E7</v>
      </c>
      <c r="E583" s="1" t="s">
        <v>57</v>
      </c>
      <c r="F583" s="1" t="s">
        <v>1644</v>
      </c>
      <c r="G583" s="1" t="s">
        <v>941</v>
      </c>
      <c r="H583" s="1" t="s">
        <v>3250</v>
      </c>
      <c r="I583" s="1">
        <v>58023.0</v>
      </c>
      <c r="J583" s="1" t="s">
        <v>3251</v>
      </c>
      <c r="K583" s="1" t="s">
        <v>3252</v>
      </c>
      <c r="L583" s="1">
        <v>281.0</v>
      </c>
      <c r="M583" s="1" t="s">
        <v>35</v>
      </c>
      <c r="N583" s="1" t="s">
        <v>36</v>
      </c>
      <c r="O583" s="1" t="s">
        <v>628</v>
      </c>
      <c r="P583" s="1">
        <v>7.0E7</v>
      </c>
      <c r="Q583" s="1">
        <v>1998.0</v>
      </c>
      <c r="R583" s="1">
        <v>18000.0</v>
      </c>
      <c r="S583" s="1">
        <v>13000.0</v>
      </c>
      <c r="T583" s="1">
        <v>774.0</v>
      </c>
      <c r="U583" s="1">
        <v>32563.0</v>
      </c>
      <c r="V583" s="1">
        <v>380.0</v>
      </c>
      <c r="W583" s="1">
        <v>0.0</v>
      </c>
      <c r="X583" s="1">
        <v>0.0</v>
      </c>
      <c r="Y583" s="1">
        <v>2.35</v>
      </c>
      <c r="Z583" s="1">
        <v>6.3</v>
      </c>
    </row>
    <row r="584" ht="14.25" customHeight="1">
      <c r="A584" s="1" t="s">
        <v>26</v>
      </c>
      <c r="B584" s="1" t="s">
        <v>655</v>
      </c>
      <c r="C584" s="1" t="s">
        <v>3253</v>
      </c>
      <c r="D584" s="1">
        <v>3.8345403E7</v>
      </c>
      <c r="E584" s="1" t="s">
        <v>3254</v>
      </c>
      <c r="F584" s="1" t="s">
        <v>105</v>
      </c>
      <c r="G584" s="1" t="s">
        <v>752</v>
      </c>
      <c r="H584" s="1" t="s">
        <v>3255</v>
      </c>
      <c r="I584" s="1">
        <v>212085.0</v>
      </c>
      <c r="J584" s="1" t="s">
        <v>3256</v>
      </c>
      <c r="K584" s="1" t="s">
        <v>3257</v>
      </c>
      <c r="L584" s="1">
        <v>492.0</v>
      </c>
      <c r="M584" s="1" t="s">
        <v>35</v>
      </c>
      <c r="N584" s="1" t="s">
        <v>54</v>
      </c>
      <c r="O584" s="1" t="s">
        <v>37</v>
      </c>
      <c r="P584" s="1">
        <v>7.0E7</v>
      </c>
      <c r="Q584" s="1">
        <v>2007.0</v>
      </c>
      <c r="R584" s="1">
        <v>15000.0</v>
      </c>
      <c r="S584" s="1">
        <v>588.0</v>
      </c>
      <c r="T584" s="1">
        <v>271.0</v>
      </c>
      <c r="U584" s="1">
        <v>16034.0</v>
      </c>
      <c r="V584" s="1">
        <v>905.0</v>
      </c>
      <c r="W584" s="1">
        <v>15000.0</v>
      </c>
      <c r="X584" s="1">
        <v>8.0</v>
      </c>
      <c r="Y584" s="1">
        <v>2.35</v>
      </c>
      <c r="Z584" s="1">
        <v>7.7</v>
      </c>
    </row>
    <row r="585" ht="14.25" customHeight="1">
      <c r="A585" s="1" t="s">
        <v>26</v>
      </c>
      <c r="B585" s="1" t="s">
        <v>2305</v>
      </c>
      <c r="C585" s="1" t="s">
        <v>3258</v>
      </c>
      <c r="D585" s="1">
        <v>3.7901509E7</v>
      </c>
      <c r="E585" s="1" t="s">
        <v>3259</v>
      </c>
      <c r="F585" s="1" t="s">
        <v>335</v>
      </c>
      <c r="G585" s="1" t="s">
        <v>715</v>
      </c>
      <c r="H585" s="1" t="s">
        <v>3260</v>
      </c>
      <c r="I585" s="1">
        <v>96385.0</v>
      </c>
      <c r="J585" s="1" t="s">
        <v>3261</v>
      </c>
      <c r="K585" s="1" t="s">
        <v>3262</v>
      </c>
      <c r="L585" s="1">
        <v>119.0</v>
      </c>
      <c r="M585" s="1" t="s">
        <v>35</v>
      </c>
      <c r="N585" s="1" t="s">
        <v>36</v>
      </c>
      <c r="O585" s="1" t="s">
        <v>37</v>
      </c>
      <c r="P585" s="1">
        <v>7.0E7</v>
      </c>
      <c r="Q585" s="1">
        <v>1997.0</v>
      </c>
      <c r="R585" s="1">
        <v>11000.0</v>
      </c>
      <c r="S585" s="1">
        <v>691.0</v>
      </c>
      <c r="T585" s="1">
        <v>400.0</v>
      </c>
      <c r="U585" s="1">
        <v>12226.0</v>
      </c>
      <c r="V585" s="1">
        <v>218.0</v>
      </c>
      <c r="W585" s="1">
        <v>0.0</v>
      </c>
      <c r="X585" s="1">
        <v>1.0</v>
      </c>
      <c r="Y585" s="1">
        <v>2.35</v>
      </c>
      <c r="Z585" s="1">
        <v>7.0</v>
      </c>
    </row>
    <row r="586" ht="14.25" customHeight="1">
      <c r="A586" s="1" t="s">
        <v>26</v>
      </c>
      <c r="B586" s="1" t="s">
        <v>813</v>
      </c>
      <c r="C586" s="1" t="s">
        <v>3263</v>
      </c>
      <c r="D586" s="1">
        <v>4.8430355E7</v>
      </c>
      <c r="E586" s="1" t="s">
        <v>2422</v>
      </c>
      <c r="F586" s="1" t="s">
        <v>430</v>
      </c>
      <c r="G586" s="1" t="s">
        <v>1276</v>
      </c>
      <c r="H586" s="1" t="s">
        <v>3264</v>
      </c>
      <c r="I586" s="1">
        <v>43709.0</v>
      </c>
      <c r="J586" s="1" t="s">
        <v>3265</v>
      </c>
      <c r="K586" s="1" t="s">
        <v>3266</v>
      </c>
      <c r="L586" s="1">
        <v>141.0</v>
      </c>
      <c r="M586" s="1" t="s">
        <v>35</v>
      </c>
      <c r="N586" s="1" t="s">
        <v>36</v>
      </c>
      <c r="O586" s="1" t="s">
        <v>37</v>
      </c>
      <c r="P586" s="1">
        <v>7.0E7</v>
      </c>
      <c r="Q586" s="1">
        <v>2011.0</v>
      </c>
      <c r="R586" s="1">
        <v>17000.0</v>
      </c>
      <c r="S586" s="1">
        <v>1000.0</v>
      </c>
      <c r="T586" s="1">
        <v>244.0</v>
      </c>
      <c r="U586" s="1">
        <v>18510.0</v>
      </c>
      <c r="V586" s="1">
        <v>2000.0</v>
      </c>
      <c r="W586" s="1">
        <v>0.0</v>
      </c>
      <c r="X586" s="1">
        <v>2.0</v>
      </c>
      <c r="Y586" s="1">
        <v>2.35</v>
      </c>
      <c r="Z586" s="1">
        <v>5.3</v>
      </c>
    </row>
    <row r="587" ht="14.25" customHeight="1">
      <c r="A587" s="1" t="s">
        <v>26</v>
      </c>
      <c r="B587" s="1" t="s">
        <v>1268</v>
      </c>
      <c r="C587" s="1" t="s">
        <v>3267</v>
      </c>
      <c r="D587" s="1">
        <v>3.0157016E7</v>
      </c>
      <c r="E587" s="1" t="s">
        <v>1041</v>
      </c>
      <c r="F587" s="1" t="s">
        <v>726</v>
      </c>
      <c r="G587" s="1" t="s">
        <v>3268</v>
      </c>
      <c r="H587" s="1" t="s">
        <v>3269</v>
      </c>
      <c r="I587" s="1">
        <v>39659.0</v>
      </c>
      <c r="J587" s="1" t="s">
        <v>3270</v>
      </c>
      <c r="K587" s="1" t="s">
        <v>3271</v>
      </c>
      <c r="L587" s="1">
        <v>189.0</v>
      </c>
      <c r="M587" s="1" t="s">
        <v>35</v>
      </c>
      <c r="N587" s="1" t="s">
        <v>36</v>
      </c>
      <c r="O587" s="1" t="s">
        <v>37</v>
      </c>
      <c r="P587" s="1">
        <v>7.0E7</v>
      </c>
      <c r="Q587" s="1">
        <v>2002.0</v>
      </c>
      <c r="R587" s="1">
        <v>12000.0</v>
      </c>
      <c r="S587" s="1">
        <v>405.0</v>
      </c>
      <c r="T587" s="1">
        <v>384.0</v>
      </c>
      <c r="U587" s="1">
        <v>12993.0</v>
      </c>
      <c r="V587" s="1">
        <v>541.0</v>
      </c>
      <c r="W587" s="1">
        <v>792.0</v>
      </c>
      <c r="X587" s="1">
        <v>2.0</v>
      </c>
      <c r="Y587" s="1">
        <v>2.35</v>
      </c>
      <c r="Z587" s="1">
        <v>5.6</v>
      </c>
    </row>
    <row r="588" ht="14.25" customHeight="1">
      <c r="A588" s="1" t="s">
        <v>26</v>
      </c>
      <c r="B588" s="1" t="s">
        <v>3272</v>
      </c>
      <c r="C588" s="1" t="s">
        <v>3273</v>
      </c>
      <c r="D588" s="1">
        <v>2.803125E7</v>
      </c>
      <c r="E588" s="1" t="s">
        <v>3274</v>
      </c>
      <c r="F588" s="1" t="s">
        <v>1036</v>
      </c>
      <c r="G588" s="1" t="s">
        <v>3275</v>
      </c>
      <c r="H588" s="1" t="s">
        <v>3276</v>
      </c>
      <c r="I588" s="1">
        <v>88146.0</v>
      </c>
      <c r="J588" s="1" t="s">
        <v>3277</v>
      </c>
      <c r="K588" s="1" t="s">
        <v>3278</v>
      </c>
      <c r="L588" s="1">
        <v>814.0</v>
      </c>
      <c r="M588" s="1" t="s">
        <v>35</v>
      </c>
      <c r="N588" s="1" t="s">
        <v>54</v>
      </c>
      <c r="O588" s="1" t="s">
        <v>628</v>
      </c>
      <c r="P588" s="1">
        <v>6.0E7</v>
      </c>
      <c r="Q588" s="1">
        <v>2005.0</v>
      </c>
      <c r="R588" s="1">
        <v>12000.0</v>
      </c>
      <c r="S588" s="1">
        <v>585.0</v>
      </c>
      <c r="T588" s="1">
        <v>452.0</v>
      </c>
      <c r="U588" s="1">
        <v>13517.0</v>
      </c>
      <c r="V588" s="1">
        <v>43.0</v>
      </c>
      <c r="W588" s="1">
        <v>0.0</v>
      </c>
      <c r="X588" s="1">
        <v>0.0</v>
      </c>
      <c r="Y588" s="1">
        <v>2.35</v>
      </c>
      <c r="Z588" s="1">
        <v>5.2</v>
      </c>
    </row>
    <row r="589" ht="14.25" customHeight="1">
      <c r="A589" s="1" t="s">
        <v>26</v>
      </c>
      <c r="B589" s="1" t="s">
        <v>3116</v>
      </c>
      <c r="C589" s="1" t="s">
        <v>3279</v>
      </c>
      <c r="D589" s="1">
        <v>3.31056E7</v>
      </c>
      <c r="E589" s="1" t="s">
        <v>1041</v>
      </c>
      <c r="F589" s="1" t="s">
        <v>3064</v>
      </c>
      <c r="G589" s="1" t="s">
        <v>3280</v>
      </c>
      <c r="H589" s="1" t="s">
        <v>3281</v>
      </c>
      <c r="I589" s="1">
        <v>41663.0</v>
      </c>
      <c r="J589" s="1" t="s">
        <v>3282</v>
      </c>
      <c r="K589" s="1" t="s">
        <v>3283</v>
      </c>
      <c r="L589" s="1">
        <v>141.0</v>
      </c>
      <c r="M589" s="1" t="s">
        <v>35</v>
      </c>
      <c r="N589" s="1" t="s">
        <v>36</v>
      </c>
      <c r="O589" s="1" t="s">
        <v>37</v>
      </c>
      <c r="P589" s="1">
        <v>7.0E7</v>
      </c>
      <c r="Q589" s="1">
        <v>2002.0</v>
      </c>
      <c r="R589" s="1">
        <v>989.0</v>
      </c>
      <c r="S589" s="1">
        <v>229.0</v>
      </c>
      <c r="T589" s="1">
        <v>150.0</v>
      </c>
      <c r="U589" s="1">
        <v>1576.0</v>
      </c>
      <c r="V589" s="1">
        <v>84.0</v>
      </c>
      <c r="W589" s="1">
        <v>531.0</v>
      </c>
      <c r="X589" s="1">
        <v>1.0</v>
      </c>
      <c r="Y589" s="1">
        <v>1.37</v>
      </c>
      <c r="Z589" s="1">
        <v>5.4</v>
      </c>
    </row>
    <row r="590" ht="14.25" customHeight="1">
      <c r="A590" s="1" t="s">
        <v>26</v>
      </c>
      <c r="B590" s="1" t="s">
        <v>3284</v>
      </c>
      <c r="C590" s="1" t="s">
        <v>3285</v>
      </c>
      <c r="D590" s="1">
        <v>6.2321039E7</v>
      </c>
      <c r="E590" s="1" t="s">
        <v>3286</v>
      </c>
      <c r="F590" s="1" t="s">
        <v>1469</v>
      </c>
      <c r="G590" s="1" t="s">
        <v>3287</v>
      </c>
      <c r="H590" s="1" t="s">
        <v>3288</v>
      </c>
      <c r="I590" s="1">
        <v>117096.0</v>
      </c>
      <c r="J590" s="1" t="s">
        <v>3289</v>
      </c>
      <c r="K590" s="1" t="s">
        <v>3290</v>
      </c>
      <c r="L590" s="1">
        <v>271.0</v>
      </c>
      <c r="M590" s="1" t="s">
        <v>35</v>
      </c>
      <c r="N590" s="1" t="s">
        <v>36</v>
      </c>
      <c r="O590" s="1" t="s">
        <v>628</v>
      </c>
      <c r="P590" s="1">
        <v>7.0E7</v>
      </c>
      <c r="Q590" s="1">
        <v>2012.0</v>
      </c>
      <c r="R590" s="1">
        <v>5000.0</v>
      </c>
      <c r="S590" s="1">
        <v>327.0</v>
      </c>
      <c r="T590" s="1">
        <v>324.0</v>
      </c>
      <c r="U590" s="1">
        <v>5861.0</v>
      </c>
      <c r="V590" s="1">
        <v>24.0</v>
      </c>
      <c r="W590" s="1">
        <v>24000.0</v>
      </c>
      <c r="X590" s="1">
        <v>1.0</v>
      </c>
      <c r="Y590" s="1">
        <v>2.35</v>
      </c>
      <c r="Z590" s="1">
        <v>6.4</v>
      </c>
    </row>
    <row r="591" ht="14.25" customHeight="1">
      <c r="A591" s="1" t="s">
        <v>26</v>
      </c>
      <c r="B591" s="1" t="s">
        <v>2502</v>
      </c>
      <c r="C591" s="1" t="s">
        <v>3291</v>
      </c>
      <c r="D591" s="1">
        <v>3.8509342E7</v>
      </c>
      <c r="E591" s="1" t="s">
        <v>3292</v>
      </c>
      <c r="F591" s="1" t="s">
        <v>3293</v>
      </c>
      <c r="G591" s="1" t="s">
        <v>3294</v>
      </c>
      <c r="H591" s="1" t="s">
        <v>3295</v>
      </c>
      <c r="I591" s="1">
        <v>61995.0</v>
      </c>
      <c r="J591" s="1" t="s">
        <v>3296</v>
      </c>
      <c r="K591" s="1" t="s">
        <v>3297</v>
      </c>
      <c r="L591" s="1">
        <v>356.0</v>
      </c>
      <c r="M591" s="1" t="s">
        <v>35</v>
      </c>
      <c r="N591" s="1" t="s">
        <v>36</v>
      </c>
      <c r="O591" s="1" t="s">
        <v>37</v>
      </c>
      <c r="P591" s="1">
        <v>7.5E7</v>
      </c>
      <c r="Q591" s="1">
        <v>2012.0</v>
      </c>
      <c r="R591" s="1">
        <v>394.0</v>
      </c>
      <c r="S591" s="1">
        <v>217.0</v>
      </c>
      <c r="T591" s="1">
        <v>66.0</v>
      </c>
      <c r="U591" s="1">
        <v>712.0</v>
      </c>
      <c r="V591" s="1">
        <v>163.0</v>
      </c>
      <c r="W591" s="1">
        <v>33000.0</v>
      </c>
      <c r="X591" s="1">
        <v>7.0</v>
      </c>
      <c r="Y591" s="1">
        <v>2.35</v>
      </c>
      <c r="Z591" s="1">
        <v>5.9</v>
      </c>
    </row>
    <row r="592" ht="14.25" customHeight="1">
      <c r="A592" s="1" t="s">
        <v>26</v>
      </c>
      <c r="B592" s="1" t="s">
        <v>3298</v>
      </c>
      <c r="C592" s="1" t="s">
        <v>3299</v>
      </c>
      <c r="D592" s="1">
        <v>1.9076815E7</v>
      </c>
      <c r="E592" s="1" t="s">
        <v>3225</v>
      </c>
      <c r="F592" s="1" t="s">
        <v>941</v>
      </c>
      <c r="G592" s="1" t="s">
        <v>1969</v>
      </c>
      <c r="H592" s="1" t="s">
        <v>3300</v>
      </c>
      <c r="I592" s="1">
        <v>43651.0</v>
      </c>
      <c r="J592" s="1" t="s">
        <v>3301</v>
      </c>
      <c r="K592" s="1" t="s">
        <v>3302</v>
      </c>
      <c r="L592" s="1">
        <v>196.0</v>
      </c>
      <c r="M592" s="1" t="s">
        <v>35</v>
      </c>
      <c r="N592" s="1" t="s">
        <v>36</v>
      </c>
      <c r="O592" s="1" t="s">
        <v>628</v>
      </c>
      <c r="P592" s="1">
        <v>6.0E7</v>
      </c>
      <c r="Q592" s="1">
        <v>2002.0</v>
      </c>
      <c r="R592" s="1">
        <v>13000.0</v>
      </c>
      <c r="S592" s="1">
        <v>787.0</v>
      </c>
      <c r="T592" s="1">
        <v>407.0</v>
      </c>
      <c r="U592" s="1">
        <v>15916.0</v>
      </c>
      <c r="V592" s="1">
        <v>40.0</v>
      </c>
      <c r="W592" s="1">
        <v>997.0</v>
      </c>
      <c r="X592" s="1">
        <v>0.0</v>
      </c>
      <c r="Y592" s="1">
        <v>2.35</v>
      </c>
      <c r="Z592" s="1">
        <v>6.3</v>
      </c>
    </row>
    <row r="593" ht="14.25" customHeight="1">
      <c r="A593" s="1" t="s">
        <v>26</v>
      </c>
      <c r="B593" s="1" t="s">
        <v>3303</v>
      </c>
      <c r="C593" s="1" t="s">
        <v>3304</v>
      </c>
      <c r="D593" s="1">
        <v>2.5093607E7</v>
      </c>
      <c r="E593" s="1" t="s">
        <v>326</v>
      </c>
      <c r="F593" s="1" t="s">
        <v>327</v>
      </c>
      <c r="G593" s="1" t="s">
        <v>1663</v>
      </c>
      <c r="H593" s="1" t="s">
        <v>988</v>
      </c>
      <c r="I593" s="1">
        <v>105556.0</v>
      </c>
      <c r="J593" s="1" t="s">
        <v>3305</v>
      </c>
      <c r="K593" s="1" t="s">
        <v>3306</v>
      </c>
      <c r="L593" s="1">
        <v>157.0</v>
      </c>
      <c r="M593" s="1" t="s">
        <v>35</v>
      </c>
      <c r="N593" s="1" t="s">
        <v>54</v>
      </c>
      <c r="O593" s="1" t="s">
        <v>628</v>
      </c>
      <c r="P593" s="1">
        <v>3.5E7</v>
      </c>
      <c r="Q593" s="1">
        <v>2011.0</v>
      </c>
      <c r="R593" s="1">
        <v>26000.0</v>
      </c>
      <c r="S593" s="1">
        <v>22000.0</v>
      </c>
      <c r="T593" s="1">
        <v>748.0</v>
      </c>
      <c r="U593" s="1">
        <v>49608.0</v>
      </c>
      <c r="V593" s="1">
        <v>5.0</v>
      </c>
      <c r="W593" s="1">
        <v>17000.0</v>
      </c>
      <c r="X593" s="1">
        <v>2.0</v>
      </c>
      <c r="Y593" s="1">
        <v>2.35</v>
      </c>
      <c r="Z593" s="1">
        <v>6.5</v>
      </c>
    </row>
    <row r="594" ht="14.25" customHeight="1">
      <c r="A594" s="1" t="s">
        <v>26</v>
      </c>
      <c r="B594" s="1" t="s">
        <v>1255</v>
      </c>
      <c r="C594" s="1" t="s">
        <v>3307</v>
      </c>
      <c r="D594" s="1">
        <v>1.8990542E7</v>
      </c>
      <c r="E594" s="1" t="s">
        <v>3308</v>
      </c>
      <c r="F594" s="1" t="s">
        <v>2040</v>
      </c>
      <c r="G594" s="1" t="s">
        <v>3197</v>
      </c>
      <c r="H594" s="1" t="s">
        <v>2443</v>
      </c>
      <c r="I594" s="1">
        <v>22264.0</v>
      </c>
      <c r="J594" s="1" t="s">
        <v>3309</v>
      </c>
      <c r="K594" s="1" t="s">
        <v>3310</v>
      </c>
      <c r="L594" s="1">
        <v>289.0</v>
      </c>
      <c r="M594" s="1" t="s">
        <v>35</v>
      </c>
      <c r="N594" s="1" t="s">
        <v>36</v>
      </c>
      <c r="O594" s="1" t="s">
        <v>628</v>
      </c>
      <c r="P594" s="1">
        <v>7.0E7</v>
      </c>
      <c r="Q594" s="1">
        <v>2002.0</v>
      </c>
      <c r="R594" s="1">
        <v>1000.0</v>
      </c>
      <c r="S594" s="1">
        <v>841.0</v>
      </c>
      <c r="T594" s="1">
        <v>390.0</v>
      </c>
      <c r="U594" s="1">
        <v>2763.0</v>
      </c>
      <c r="V594" s="1">
        <v>323.0</v>
      </c>
      <c r="W594" s="1">
        <v>584.0</v>
      </c>
      <c r="X594" s="1">
        <v>3.0</v>
      </c>
      <c r="Y594" s="1">
        <v>2.35</v>
      </c>
      <c r="Z594" s="1">
        <v>3.0</v>
      </c>
    </row>
    <row r="595" ht="14.25" customHeight="1">
      <c r="A595" s="1" t="s">
        <v>26</v>
      </c>
      <c r="B595" s="1" t="s">
        <v>3311</v>
      </c>
      <c r="C595" s="1" t="s">
        <v>3312</v>
      </c>
      <c r="D595" s="1">
        <v>1.4294842E7</v>
      </c>
      <c r="E595" s="1" t="s">
        <v>1345</v>
      </c>
      <c r="F595" s="1" t="s">
        <v>3313</v>
      </c>
      <c r="G595" s="1" t="s">
        <v>3288</v>
      </c>
      <c r="H595" s="1" t="s">
        <v>3314</v>
      </c>
      <c r="I595" s="1">
        <v>16761.0</v>
      </c>
      <c r="J595" s="1" t="s">
        <v>3315</v>
      </c>
      <c r="K595" s="1" t="s">
        <v>3316</v>
      </c>
      <c r="L595" s="1">
        <v>277.0</v>
      </c>
      <c r="M595" s="1" t="s">
        <v>35</v>
      </c>
      <c r="N595" s="1" t="s">
        <v>36</v>
      </c>
      <c r="O595" s="1" t="s">
        <v>628</v>
      </c>
      <c r="P595" s="1">
        <v>7.0E7</v>
      </c>
      <c r="Q595" s="1">
        <v>2002.0</v>
      </c>
      <c r="R595" s="1">
        <v>349.0</v>
      </c>
      <c r="S595" s="1">
        <v>324.0</v>
      </c>
      <c r="T595" s="1">
        <v>298.0</v>
      </c>
      <c r="U595" s="1">
        <v>1846.0</v>
      </c>
      <c r="V595" s="1">
        <v>8.0</v>
      </c>
      <c r="W595" s="1">
        <v>391.0</v>
      </c>
      <c r="X595" s="1">
        <v>1.0</v>
      </c>
      <c r="Y595" s="1">
        <v>2.35</v>
      </c>
      <c r="Z595" s="1">
        <v>3.6</v>
      </c>
    </row>
    <row r="596" ht="14.25" customHeight="1">
      <c r="A596" s="1" t="s">
        <v>26</v>
      </c>
      <c r="B596" s="1" t="s">
        <v>3317</v>
      </c>
      <c r="C596" s="1" t="s">
        <v>3318</v>
      </c>
      <c r="D596" s="1">
        <v>1.9819494E7</v>
      </c>
      <c r="E596" s="1" t="s">
        <v>449</v>
      </c>
      <c r="F596" s="1" t="s">
        <v>451</v>
      </c>
      <c r="G596" s="1" t="s">
        <v>3319</v>
      </c>
      <c r="H596" s="1" t="s">
        <v>1822</v>
      </c>
      <c r="I596" s="1">
        <v>26893.0</v>
      </c>
      <c r="J596" s="1" t="s">
        <v>3320</v>
      </c>
      <c r="K596" s="1" t="s">
        <v>3321</v>
      </c>
      <c r="L596" s="1">
        <v>126.0</v>
      </c>
      <c r="M596" s="1" t="s">
        <v>35</v>
      </c>
      <c r="N596" s="1" t="s">
        <v>36</v>
      </c>
      <c r="O596" s="1" t="s">
        <v>628</v>
      </c>
      <c r="P596" s="1">
        <v>7.0E7</v>
      </c>
      <c r="Q596" s="1">
        <v>1998.0</v>
      </c>
      <c r="R596" s="1">
        <v>11000.0</v>
      </c>
      <c r="S596" s="1">
        <v>893.0</v>
      </c>
      <c r="T596" s="1">
        <v>695.0</v>
      </c>
      <c r="U596" s="1">
        <v>13628.0</v>
      </c>
      <c r="V596" s="1">
        <v>13.0</v>
      </c>
      <c r="W596" s="1">
        <v>815.0</v>
      </c>
      <c r="X596" s="1">
        <v>0.0</v>
      </c>
      <c r="Y596" s="1">
        <v>2.35</v>
      </c>
      <c r="Z596" s="1">
        <v>5.8</v>
      </c>
    </row>
    <row r="597" ht="14.25" customHeight="1">
      <c r="A597" s="1" t="s">
        <v>26</v>
      </c>
      <c r="B597" s="1" t="s">
        <v>3322</v>
      </c>
      <c r="C597" s="1" t="s">
        <v>3323</v>
      </c>
      <c r="D597" s="1">
        <v>1.3596911E7</v>
      </c>
      <c r="E597" s="1" t="s">
        <v>3324</v>
      </c>
      <c r="F597" s="1" t="s">
        <v>813</v>
      </c>
      <c r="G597" s="1" t="s">
        <v>3325</v>
      </c>
      <c r="H597" s="1" t="s">
        <v>3219</v>
      </c>
      <c r="I597" s="1">
        <v>25572.0</v>
      </c>
      <c r="J597" s="1" t="s">
        <v>3326</v>
      </c>
      <c r="K597" s="1" t="s">
        <v>3327</v>
      </c>
      <c r="L597" s="1">
        <v>123.0</v>
      </c>
      <c r="M597" s="1" t="s">
        <v>35</v>
      </c>
      <c r="N597" s="1" t="s">
        <v>36</v>
      </c>
      <c r="O597" s="1" t="s">
        <v>87</v>
      </c>
      <c r="P597" s="1">
        <v>7.0E7</v>
      </c>
      <c r="Q597" s="1">
        <v>2001.0</v>
      </c>
      <c r="R597" s="1">
        <v>2000.0</v>
      </c>
      <c r="S597" s="1">
        <v>509.0</v>
      </c>
      <c r="T597" s="1">
        <v>443.0</v>
      </c>
      <c r="U597" s="1">
        <v>3734.0</v>
      </c>
      <c r="V597" s="1">
        <v>101.0</v>
      </c>
      <c r="W597" s="1">
        <v>2000.0</v>
      </c>
      <c r="X597" s="1">
        <v>0.0</v>
      </c>
      <c r="Y597" s="1">
        <v>2.35</v>
      </c>
      <c r="Z597" s="1">
        <v>6.2</v>
      </c>
    </row>
    <row r="598" ht="14.25" customHeight="1">
      <c r="A598" s="1" t="s">
        <v>26</v>
      </c>
      <c r="B598" s="1" t="s">
        <v>1555</v>
      </c>
      <c r="C598" s="1" t="s">
        <v>3328</v>
      </c>
      <c r="D598" s="1">
        <v>7097125.0</v>
      </c>
      <c r="E598" s="1" t="s">
        <v>2281</v>
      </c>
      <c r="F598" s="1" t="s">
        <v>90</v>
      </c>
      <c r="G598" s="1" t="s">
        <v>3329</v>
      </c>
      <c r="H598" s="1" t="s">
        <v>3330</v>
      </c>
      <c r="I598" s="1">
        <v>38983.0</v>
      </c>
      <c r="J598" s="1" t="s">
        <v>3331</v>
      </c>
      <c r="K598" s="1" t="s">
        <v>3332</v>
      </c>
      <c r="L598" s="1">
        <v>207.0</v>
      </c>
      <c r="M598" s="1" t="s">
        <v>35</v>
      </c>
      <c r="N598" s="1" t="s">
        <v>36</v>
      </c>
      <c r="O598" s="1" t="s">
        <v>628</v>
      </c>
      <c r="P598" s="1">
        <v>7.0E7</v>
      </c>
      <c r="Q598" s="1">
        <v>2015.0</v>
      </c>
      <c r="R598" s="1">
        <v>26000.0</v>
      </c>
      <c r="S598" s="1">
        <v>326.0</v>
      </c>
      <c r="T598" s="1">
        <v>301.0</v>
      </c>
      <c r="U598" s="1">
        <v>28129.0</v>
      </c>
      <c r="V598" s="1">
        <v>0.0</v>
      </c>
      <c r="W598" s="1">
        <v>11000.0</v>
      </c>
      <c r="X598" s="1">
        <v>1.0</v>
      </c>
      <c r="Y598" s="1">
        <v>2.35</v>
      </c>
      <c r="Z598" s="1">
        <v>5.4</v>
      </c>
    </row>
    <row r="599" ht="14.25" customHeight="1">
      <c r="A599" s="1" t="s">
        <v>26</v>
      </c>
      <c r="B599" s="1" t="s">
        <v>3333</v>
      </c>
      <c r="C599" s="1" t="s">
        <v>3334</v>
      </c>
      <c r="D599" s="1">
        <v>3.776008E7</v>
      </c>
      <c r="E599" s="1" t="s">
        <v>1512</v>
      </c>
      <c r="F599" s="1" t="s">
        <v>550</v>
      </c>
      <c r="G599" s="1" t="s">
        <v>3335</v>
      </c>
      <c r="H599" s="1" t="s">
        <v>481</v>
      </c>
      <c r="I599" s="1">
        <v>72868.0</v>
      </c>
      <c r="J599" s="1" t="s">
        <v>3336</v>
      </c>
      <c r="K599" s="1" t="s">
        <v>3337</v>
      </c>
      <c r="L599" s="1">
        <v>618.0</v>
      </c>
      <c r="M599" s="1" t="s">
        <v>35</v>
      </c>
      <c r="N599" s="1" t="s">
        <v>36</v>
      </c>
      <c r="O599" s="1" t="s">
        <v>87</v>
      </c>
      <c r="P599" s="1">
        <v>7.0E7</v>
      </c>
      <c r="Q599" s="1">
        <v>2004.0</v>
      </c>
      <c r="R599" s="1">
        <v>11000.0</v>
      </c>
      <c r="S599" s="1">
        <v>1000.0</v>
      </c>
      <c r="T599" s="1">
        <v>582.0</v>
      </c>
      <c r="U599" s="1">
        <v>12871.0</v>
      </c>
      <c r="V599" s="1">
        <v>14.0</v>
      </c>
      <c r="W599" s="1">
        <v>0.0</v>
      </c>
      <c r="X599" s="1">
        <v>2.0</v>
      </c>
      <c r="Y599" s="1">
        <v>1.85</v>
      </c>
      <c r="Z599" s="1">
        <v>6.1</v>
      </c>
    </row>
    <row r="600" ht="14.25" customHeight="1">
      <c r="A600" s="1" t="s">
        <v>26</v>
      </c>
      <c r="B600" s="1" t="s">
        <v>3338</v>
      </c>
      <c r="C600" s="1" t="s">
        <v>3339</v>
      </c>
      <c r="D600" s="1">
        <v>5851188.0</v>
      </c>
      <c r="E600" s="1" t="s">
        <v>2130</v>
      </c>
      <c r="F600" s="1" t="s">
        <v>3340</v>
      </c>
      <c r="G600" s="1" t="s">
        <v>3341</v>
      </c>
      <c r="H600" s="1" t="s">
        <v>3342</v>
      </c>
      <c r="I600" s="1">
        <v>31124.0</v>
      </c>
      <c r="J600" s="1" t="s">
        <v>3343</v>
      </c>
      <c r="K600" s="1" t="s">
        <v>3344</v>
      </c>
      <c r="L600" s="1">
        <v>313.0</v>
      </c>
      <c r="M600" s="1" t="s">
        <v>35</v>
      </c>
      <c r="N600" s="1" t="s">
        <v>54</v>
      </c>
      <c r="O600" s="1" t="s">
        <v>628</v>
      </c>
      <c r="P600" s="1">
        <v>7.0E7</v>
      </c>
      <c r="Q600" s="1">
        <v>2006.0</v>
      </c>
      <c r="R600" s="1">
        <v>844.0</v>
      </c>
      <c r="S600" s="1">
        <v>729.0</v>
      </c>
      <c r="T600" s="1">
        <v>246.0</v>
      </c>
      <c r="U600" s="1">
        <v>1899.0</v>
      </c>
      <c r="V600" s="1">
        <v>105.0</v>
      </c>
      <c r="W600" s="1">
        <v>764.0</v>
      </c>
      <c r="X600" s="1">
        <v>1.0</v>
      </c>
      <c r="Y600" s="1">
        <v>2.35</v>
      </c>
      <c r="Z600" s="1">
        <v>4.2</v>
      </c>
    </row>
    <row r="601" ht="14.25" customHeight="1">
      <c r="A601" s="1" t="s">
        <v>26</v>
      </c>
      <c r="B601" s="1" t="s">
        <v>3345</v>
      </c>
      <c r="C601" s="1" t="s">
        <v>3346</v>
      </c>
      <c r="D601" s="1">
        <v>2.5121291E7</v>
      </c>
      <c r="E601" s="1" t="s">
        <v>3347</v>
      </c>
      <c r="F601" s="1" t="s">
        <v>1702</v>
      </c>
      <c r="G601" s="1" t="s">
        <v>3348</v>
      </c>
      <c r="H601" s="1" t="s">
        <v>3349</v>
      </c>
      <c r="I601" s="1">
        <v>177653.0</v>
      </c>
      <c r="J601" s="1" t="s">
        <v>3350</v>
      </c>
      <c r="K601" s="1" t="s">
        <v>3351</v>
      </c>
      <c r="L601" s="1">
        <v>279.0</v>
      </c>
      <c r="M601" s="1" t="s">
        <v>35</v>
      </c>
      <c r="N601" s="1" t="s">
        <v>36</v>
      </c>
      <c r="O601" s="1" t="s">
        <v>628</v>
      </c>
      <c r="P601" s="1">
        <v>5.0E7</v>
      </c>
      <c r="Q601" s="1">
        <v>2013.0</v>
      </c>
      <c r="R601" s="1">
        <v>13000.0</v>
      </c>
      <c r="S601" s="1">
        <v>1000.0</v>
      </c>
      <c r="T601" s="1">
        <v>585.0</v>
      </c>
      <c r="U601" s="1">
        <v>15708.0</v>
      </c>
      <c r="V601" s="1">
        <v>101.0</v>
      </c>
      <c r="W601" s="1">
        <v>34000.0</v>
      </c>
      <c r="X601" s="1">
        <v>1.0</v>
      </c>
      <c r="Y601" s="1">
        <v>2.35</v>
      </c>
      <c r="Z601" s="1">
        <v>6.7</v>
      </c>
    </row>
    <row r="602" ht="14.25" customHeight="1">
      <c r="A602" s="1" t="s">
        <v>26</v>
      </c>
      <c r="B602" s="1" t="s">
        <v>1985</v>
      </c>
      <c r="C602" s="1" t="s">
        <v>3352</v>
      </c>
      <c r="D602" s="1">
        <v>1.8821279E7</v>
      </c>
      <c r="E602" s="1" t="s">
        <v>40</v>
      </c>
      <c r="F602" s="1" t="s">
        <v>3353</v>
      </c>
      <c r="G602" s="1" t="s">
        <v>3354</v>
      </c>
      <c r="H602" s="1" t="s">
        <v>3355</v>
      </c>
      <c r="I602" s="1">
        <v>44891.0</v>
      </c>
      <c r="J602" s="1" t="s">
        <v>3356</v>
      </c>
      <c r="K602" s="1" t="s">
        <v>3357</v>
      </c>
      <c r="L602" s="1">
        <v>202.0</v>
      </c>
      <c r="M602" s="1" t="s">
        <v>35</v>
      </c>
      <c r="N602" s="1" t="s">
        <v>36</v>
      </c>
      <c r="O602" s="1" t="s">
        <v>37</v>
      </c>
      <c r="P602" s="1">
        <v>7.0E7</v>
      </c>
      <c r="Q602" s="1">
        <v>2014.0</v>
      </c>
      <c r="R602" s="1">
        <v>576.0</v>
      </c>
      <c r="S602" s="1">
        <v>358.0</v>
      </c>
      <c r="T602" s="1">
        <v>182.0</v>
      </c>
      <c r="U602" s="1">
        <v>1520.0</v>
      </c>
      <c r="V602" s="1">
        <v>212.0</v>
      </c>
      <c r="W602" s="1">
        <v>12000.0</v>
      </c>
      <c r="X602" s="1">
        <v>0.0</v>
      </c>
      <c r="Y602" s="1">
        <v>2.35</v>
      </c>
      <c r="Z602" s="1">
        <v>4.2</v>
      </c>
    </row>
    <row r="603" ht="14.25" customHeight="1">
      <c r="A603" s="1" t="s">
        <v>26</v>
      </c>
      <c r="B603" s="1" t="s">
        <v>3358</v>
      </c>
      <c r="C603" s="1" t="s">
        <v>3359</v>
      </c>
      <c r="D603" s="1">
        <v>1.1847132E8</v>
      </c>
      <c r="E603" s="1" t="s">
        <v>886</v>
      </c>
      <c r="F603" s="1" t="s">
        <v>451</v>
      </c>
      <c r="G603" s="1" t="s">
        <v>2200</v>
      </c>
      <c r="H603" s="1" t="s">
        <v>3360</v>
      </c>
      <c r="I603" s="1">
        <v>86504.0</v>
      </c>
      <c r="J603" s="1" t="s">
        <v>3361</v>
      </c>
      <c r="K603" s="1" t="s">
        <v>3362</v>
      </c>
      <c r="L603" s="1">
        <v>568.0</v>
      </c>
      <c r="M603" s="1" t="s">
        <v>35</v>
      </c>
      <c r="N603" s="1" t="s">
        <v>36</v>
      </c>
      <c r="O603" s="1" t="s">
        <v>37</v>
      </c>
      <c r="P603" s="1">
        <v>6.8E7</v>
      </c>
      <c r="Q603" s="1">
        <v>2002.0</v>
      </c>
      <c r="R603" s="1">
        <v>11000.0</v>
      </c>
      <c r="S603" s="1">
        <v>655.0</v>
      </c>
      <c r="T603" s="1">
        <v>497.0</v>
      </c>
      <c r="U603" s="1">
        <v>12556.0</v>
      </c>
      <c r="V603" s="1">
        <v>31.0</v>
      </c>
      <c r="W603" s="1">
        <v>0.0</v>
      </c>
      <c r="X603" s="1">
        <v>0.0</v>
      </c>
      <c r="Y603" s="1">
        <v>2.35</v>
      </c>
      <c r="Z603" s="1">
        <v>6.4</v>
      </c>
    </row>
    <row r="604" ht="14.25" customHeight="1">
      <c r="A604" s="1" t="s">
        <v>26</v>
      </c>
      <c r="B604" s="1" t="s">
        <v>3363</v>
      </c>
      <c r="C604" s="1" t="s">
        <v>3364</v>
      </c>
      <c r="D604" s="1">
        <v>3.00523113E8</v>
      </c>
      <c r="E604" s="1" t="s">
        <v>1069</v>
      </c>
      <c r="F604" s="1" t="s">
        <v>732</v>
      </c>
      <c r="G604" s="1" t="s">
        <v>544</v>
      </c>
      <c r="H604" s="1" t="s">
        <v>2357</v>
      </c>
      <c r="I604" s="1">
        <v>184637.0</v>
      </c>
      <c r="J604" s="1" t="s">
        <v>3365</v>
      </c>
      <c r="K604" s="1" t="s">
        <v>3366</v>
      </c>
      <c r="L604" s="1">
        <v>498.0</v>
      </c>
      <c r="M604" s="1" t="s">
        <v>35</v>
      </c>
      <c r="N604" s="1" t="s">
        <v>36</v>
      </c>
      <c r="O604" s="1" t="s">
        <v>37</v>
      </c>
      <c r="P604" s="1">
        <v>6.8E7</v>
      </c>
      <c r="Q604" s="1">
        <v>2010.0</v>
      </c>
      <c r="R604" s="1">
        <v>21000.0</v>
      </c>
      <c r="S604" s="1">
        <v>17000.0</v>
      </c>
      <c r="T604" s="1">
        <v>10000.0</v>
      </c>
      <c r="U604" s="1">
        <v>52547.0</v>
      </c>
      <c r="V604" s="1">
        <v>171.0</v>
      </c>
      <c r="W604" s="1">
        <v>29000.0</v>
      </c>
      <c r="X604" s="1">
        <v>3.0</v>
      </c>
      <c r="Y604" s="1">
        <v>2.35</v>
      </c>
      <c r="Z604" s="1">
        <v>4.9</v>
      </c>
    </row>
    <row r="605" ht="14.25" customHeight="1">
      <c r="A605" s="1" t="s">
        <v>26</v>
      </c>
      <c r="B605" s="1" t="s">
        <v>1872</v>
      </c>
      <c r="C605" s="1" t="s">
        <v>3367</v>
      </c>
      <c r="D605" s="1">
        <v>7.1069884E7</v>
      </c>
      <c r="E605" s="1" t="s">
        <v>2045</v>
      </c>
      <c r="F605" s="1" t="s">
        <v>1663</v>
      </c>
      <c r="G605" s="1" t="s">
        <v>113</v>
      </c>
      <c r="H605" s="1" t="s">
        <v>3368</v>
      </c>
      <c r="I605" s="1">
        <v>101899.0</v>
      </c>
      <c r="J605" s="1" t="s">
        <v>3369</v>
      </c>
      <c r="K605" s="1" t="s">
        <v>3370</v>
      </c>
      <c r="L605" s="1">
        <v>445.0</v>
      </c>
      <c r="M605" s="1" t="s">
        <v>35</v>
      </c>
      <c r="N605" s="1" t="s">
        <v>36</v>
      </c>
      <c r="O605" s="1" t="s">
        <v>628</v>
      </c>
      <c r="P605" s="1">
        <v>6.8E7</v>
      </c>
      <c r="Q605" s="1">
        <v>2001.0</v>
      </c>
      <c r="R605" s="1">
        <v>22000.0</v>
      </c>
      <c r="S605" s="1">
        <v>10000.0</v>
      </c>
      <c r="T605" s="1">
        <v>580.0</v>
      </c>
      <c r="U605" s="1">
        <v>32871.0</v>
      </c>
      <c r="V605" s="1">
        <v>0.0</v>
      </c>
      <c r="W605" s="1">
        <v>0.0</v>
      </c>
      <c r="X605" s="1">
        <v>0.0</v>
      </c>
      <c r="Y605" s="1">
        <v>2.35</v>
      </c>
      <c r="Z605" s="1">
        <v>6.8</v>
      </c>
    </row>
    <row r="606" ht="14.25" customHeight="1">
      <c r="A606" s="1" t="s">
        <v>26</v>
      </c>
      <c r="B606" s="1" t="s">
        <v>2827</v>
      </c>
      <c r="C606" s="1" t="s">
        <v>3371</v>
      </c>
      <c r="D606" s="1">
        <v>2.51501645E8</v>
      </c>
      <c r="E606" s="1" t="s">
        <v>2816</v>
      </c>
      <c r="F606" s="1" t="s">
        <v>503</v>
      </c>
      <c r="G606" s="1" t="s">
        <v>2829</v>
      </c>
      <c r="H606" s="1" t="s">
        <v>597</v>
      </c>
      <c r="I606" s="1">
        <v>385943.0</v>
      </c>
      <c r="J606" s="1" t="s">
        <v>3372</v>
      </c>
      <c r="K606" s="1" t="s">
        <v>3373</v>
      </c>
      <c r="L606" s="1">
        <v>296.0</v>
      </c>
      <c r="M606" s="1" t="s">
        <v>35</v>
      </c>
      <c r="N606" s="1" t="s">
        <v>36</v>
      </c>
      <c r="O606" s="1" t="s">
        <v>87</v>
      </c>
      <c r="P606" s="1">
        <v>6.9E7</v>
      </c>
      <c r="Q606" s="1">
        <v>2010.0</v>
      </c>
      <c r="R606" s="1">
        <v>7000.0</v>
      </c>
      <c r="S606" s="1">
        <v>2000.0</v>
      </c>
      <c r="T606" s="1">
        <v>975.0</v>
      </c>
      <c r="U606" s="1">
        <v>11608.0</v>
      </c>
      <c r="V606" s="1">
        <v>275.0</v>
      </c>
      <c r="W606" s="1">
        <v>31000.0</v>
      </c>
      <c r="X606" s="1">
        <v>0.0</v>
      </c>
      <c r="Y606" s="1">
        <v>1.85</v>
      </c>
      <c r="Z606" s="1">
        <v>7.7</v>
      </c>
    </row>
    <row r="607" ht="14.25" customHeight="1">
      <c r="A607" s="1" t="s">
        <v>26</v>
      </c>
      <c r="B607" s="1" t="s">
        <v>3374</v>
      </c>
      <c r="C607" s="1" t="s">
        <v>3375</v>
      </c>
      <c r="D607" s="1">
        <v>3.5324232E7</v>
      </c>
      <c r="E607" s="1" t="s">
        <v>3376</v>
      </c>
      <c r="F607" s="1" t="s">
        <v>3377</v>
      </c>
      <c r="G607" s="1" t="s">
        <v>3378</v>
      </c>
      <c r="H607" s="1" t="s">
        <v>3379</v>
      </c>
      <c r="I607" s="1">
        <v>32224.0</v>
      </c>
      <c r="J607" s="1" t="s">
        <v>3380</v>
      </c>
      <c r="K607" s="1" t="s">
        <v>3381</v>
      </c>
      <c r="L607" s="1">
        <v>62.0</v>
      </c>
      <c r="M607" s="1" t="s">
        <v>35</v>
      </c>
      <c r="N607" s="1" t="s">
        <v>36</v>
      </c>
      <c r="O607" s="1" t="s">
        <v>628</v>
      </c>
      <c r="P607" s="1">
        <v>6.8E7</v>
      </c>
      <c r="Q607" s="1">
        <v>1995.0</v>
      </c>
      <c r="R607" s="1">
        <v>584.0</v>
      </c>
      <c r="S607" s="1">
        <v>220.0</v>
      </c>
      <c r="T607" s="1">
        <v>97.0</v>
      </c>
      <c r="U607" s="1">
        <v>1132.0</v>
      </c>
      <c r="V607" s="1">
        <v>29.0</v>
      </c>
      <c r="W607" s="1">
        <v>617.0</v>
      </c>
      <c r="X607" s="1">
        <v>1.0</v>
      </c>
      <c r="Y607" s="1">
        <v>2.35</v>
      </c>
      <c r="Z607" s="1">
        <v>5.6</v>
      </c>
    </row>
    <row r="608" ht="14.25" customHeight="1">
      <c r="A608" s="1" t="s">
        <v>26</v>
      </c>
      <c r="B608" s="1" t="s">
        <v>2407</v>
      </c>
      <c r="C608" s="1" t="s">
        <v>3382</v>
      </c>
      <c r="D608" s="1">
        <v>8.12575E7</v>
      </c>
      <c r="E608" s="1" t="s">
        <v>1885</v>
      </c>
      <c r="F608" s="1" t="s">
        <v>220</v>
      </c>
      <c r="G608" s="1" t="s">
        <v>451</v>
      </c>
      <c r="H608" s="1" t="s">
        <v>2407</v>
      </c>
      <c r="I608" s="1">
        <v>117739.0</v>
      </c>
      <c r="J608" s="1" t="s">
        <v>3383</v>
      </c>
      <c r="K608" s="1" t="s">
        <v>3384</v>
      </c>
      <c r="L608" s="1">
        <v>229.0</v>
      </c>
      <c r="M608" s="1" t="s">
        <v>35</v>
      </c>
      <c r="N608" s="1" t="s">
        <v>36</v>
      </c>
      <c r="O608" s="1" t="s">
        <v>628</v>
      </c>
      <c r="P608" s="1">
        <v>6.8E7</v>
      </c>
      <c r="Q608" s="1">
        <v>2015.0</v>
      </c>
      <c r="R608" s="1">
        <v>14000.0</v>
      </c>
      <c r="S608" s="1">
        <v>11000.0</v>
      </c>
      <c r="T608" s="1">
        <v>3000.0</v>
      </c>
      <c r="U608" s="1">
        <v>30010.0</v>
      </c>
      <c r="V608" s="1">
        <v>3000.0</v>
      </c>
      <c r="W608" s="1">
        <v>30000.0</v>
      </c>
      <c r="X608" s="1">
        <v>0.0</v>
      </c>
      <c r="Y608" s="1">
        <v>2.35</v>
      </c>
      <c r="Z608" s="1">
        <v>6.4</v>
      </c>
    </row>
    <row r="609" ht="14.25" customHeight="1">
      <c r="A609" s="1" t="s">
        <v>26</v>
      </c>
      <c r="B609" s="1" t="s">
        <v>3385</v>
      </c>
      <c r="C609" s="1" t="s">
        <v>3386</v>
      </c>
      <c r="D609" s="1">
        <v>617840.0</v>
      </c>
      <c r="E609" s="1" t="s">
        <v>3387</v>
      </c>
      <c r="F609" s="1" t="s">
        <v>3388</v>
      </c>
      <c r="G609" s="1" t="s">
        <v>3389</v>
      </c>
      <c r="H609" s="1" t="s">
        <v>3390</v>
      </c>
      <c r="I609" s="1">
        <v>52496.0</v>
      </c>
      <c r="J609" s="1" t="s">
        <v>3391</v>
      </c>
      <c r="K609" s="1" t="s">
        <v>3392</v>
      </c>
      <c r="L609" s="1">
        <v>172.0</v>
      </c>
      <c r="M609" s="1" t="s">
        <v>35</v>
      </c>
      <c r="N609" s="1" t="s">
        <v>3393</v>
      </c>
      <c r="O609" s="1" t="s">
        <v>628</v>
      </c>
      <c r="P609" s="1">
        <v>7.0E7</v>
      </c>
      <c r="Q609" s="1">
        <v>2009.0</v>
      </c>
      <c r="R609" s="1">
        <v>614.0</v>
      </c>
      <c r="S609" s="1">
        <v>451.0</v>
      </c>
      <c r="T609" s="1">
        <v>334.0</v>
      </c>
      <c r="U609" s="1">
        <v>1829.0</v>
      </c>
      <c r="V609" s="1">
        <v>448.0</v>
      </c>
      <c r="W609" s="1">
        <v>29000.0</v>
      </c>
      <c r="X609" s="1">
        <v>2.0</v>
      </c>
      <c r="Y609" s="1">
        <v>2.35</v>
      </c>
      <c r="Z609" s="1">
        <v>7.2</v>
      </c>
    </row>
    <row r="610" ht="14.25" customHeight="1">
      <c r="A610" s="1" t="s">
        <v>26</v>
      </c>
      <c r="B610" s="1" t="s">
        <v>3394</v>
      </c>
      <c r="C610" s="1" t="s">
        <v>3395</v>
      </c>
      <c r="D610" s="1">
        <v>2.965559E7</v>
      </c>
      <c r="E610" s="1" t="s">
        <v>934</v>
      </c>
      <c r="F610" s="1" t="s">
        <v>757</v>
      </c>
      <c r="G610" s="1" t="s">
        <v>32</v>
      </c>
      <c r="H610" s="1" t="s">
        <v>302</v>
      </c>
      <c r="I610" s="1">
        <v>53970.0</v>
      </c>
      <c r="J610" s="1" t="s">
        <v>3396</v>
      </c>
      <c r="K610" s="1" t="s">
        <v>3397</v>
      </c>
      <c r="L610" s="1">
        <v>435.0</v>
      </c>
      <c r="M610" s="1" t="s">
        <v>35</v>
      </c>
      <c r="N610" s="1" t="s">
        <v>36</v>
      </c>
      <c r="O610" s="1" t="s">
        <v>37</v>
      </c>
      <c r="P610" s="1">
        <v>6.5E7</v>
      </c>
      <c r="Q610" s="1">
        <v>1999.0</v>
      </c>
      <c r="R610" s="1">
        <v>1000.0</v>
      </c>
      <c r="S610" s="1">
        <v>855.0</v>
      </c>
      <c r="T610" s="1">
        <v>776.0</v>
      </c>
      <c r="U610" s="1">
        <v>3986.0</v>
      </c>
      <c r="V610" s="1">
        <v>18.0</v>
      </c>
      <c r="W610" s="1">
        <v>0.0</v>
      </c>
      <c r="X610" s="1">
        <v>4.0</v>
      </c>
      <c r="Y610" s="1">
        <v>1.85</v>
      </c>
      <c r="Z610" s="1">
        <v>6.0</v>
      </c>
    </row>
    <row r="611" ht="14.25" customHeight="1">
      <c r="A611" s="1" t="s">
        <v>26</v>
      </c>
      <c r="B611" s="1" t="s">
        <v>3322</v>
      </c>
      <c r="C611" s="1" t="s">
        <v>3398</v>
      </c>
      <c r="D611" s="1">
        <v>4.5045037E7</v>
      </c>
      <c r="E611" s="1" t="s">
        <v>1598</v>
      </c>
      <c r="F611" s="1" t="s">
        <v>3399</v>
      </c>
      <c r="G611" s="1" t="s">
        <v>374</v>
      </c>
      <c r="H611" s="1" t="s">
        <v>3400</v>
      </c>
      <c r="I611" s="1">
        <v>103230.0</v>
      </c>
      <c r="J611" s="1" t="s">
        <v>3401</v>
      </c>
      <c r="K611" s="1" t="s">
        <v>3402</v>
      </c>
      <c r="L611" s="1">
        <v>143.0</v>
      </c>
      <c r="M611" s="1" t="s">
        <v>35</v>
      </c>
      <c r="N611" s="1" t="s">
        <v>36</v>
      </c>
      <c r="O611" s="1" t="s">
        <v>628</v>
      </c>
      <c r="P611" s="1">
        <v>3.6E7</v>
      </c>
      <c r="Q611" s="1">
        <v>2011.0</v>
      </c>
      <c r="R611" s="1">
        <v>966.0</v>
      </c>
      <c r="S611" s="1">
        <v>919.0</v>
      </c>
      <c r="T611" s="1">
        <v>681.0</v>
      </c>
      <c r="U611" s="1">
        <v>3393.0</v>
      </c>
      <c r="V611" s="1">
        <v>101.0</v>
      </c>
      <c r="W611" s="1">
        <v>10000.0</v>
      </c>
      <c r="X611" s="1">
        <v>3.0</v>
      </c>
      <c r="Y611" s="1">
        <v>2.35</v>
      </c>
      <c r="Z611" s="1">
        <v>5.9</v>
      </c>
    </row>
    <row r="612" ht="14.25" customHeight="1">
      <c r="A612" s="1" t="s">
        <v>26</v>
      </c>
      <c r="B612" s="1" t="s">
        <v>1555</v>
      </c>
      <c r="C612" s="1" t="s">
        <v>3403</v>
      </c>
      <c r="D612" s="1">
        <v>2.8965197E7</v>
      </c>
      <c r="E612" s="1" t="s">
        <v>3404</v>
      </c>
      <c r="F612" s="1" t="s">
        <v>2292</v>
      </c>
      <c r="G612" s="1" t="s">
        <v>867</v>
      </c>
      <c r="H612" s="1" t="s">
        <v>1754</v>
      </c>
      <c r="I612" s="1">
        <v>133526.0</v>
      </c>
      <c r="J612" s="1" t="s">
        <v>3405</v>
      </c>
      <c r="K612" s="1" t="s">
        <v>3406</v>
      </c>
      <c r="L612" s="1">
        <v>521.0</v>
      </c>
      <c r="M612" s="1" t="s">
        <v>35</v>
      </c>
      <c r="N612" s="1" t="s">
        <v>36</v>
      </c>
      <c r="O612" s="1" t="s">
        <v>628</v>
      </c>
      <c r="P612" s="1">
        <v>6.8E7</v>
      </c>
      <c r="Q612" s="1">
        <v>1999.0</v>
      </c>
      <c r="R612" s="1">
        <v>14000.0</v>
      </c>
      <c r="S612" s="1">
        <v>826.0</v>
      </c>
      <c r="T612" s="1">
        <v>680.0</v>
      </c>
      <c r="U612" s="1">
        <v>18216.0</v>
      </c>
      <c r="V612" s="1">
        <v>0.0</v>
      </c>
      <c r="W612" s="1">
        <v>0.0</v>
      </c>
      <c r="X612" s="1">
        <v>1.0</v>
      </c>
      <c r="Y612" s="1">
        <v>2.35</v>
      </c>
      <c r="Z612" s="1">
        <v>7.9</v>
      </c>
    </row>
    <row r="613" ht="14.25" customHeight="1">
      <c r="A613" s="1" t="s">
        <v>26</v>
      </c>
      <c r="B613" s="1" t="s">
        <v>179</v>
      </c>
      <c r="C613" s="1" t="s">
        <v>3407</v>
      </c>
      <c r="D613" s="1">
        <v>3.9380442E7</v>
      </c>
      <c r="E613" s="1" t="s">
        <v>886</v>
      </c>
      <c r="F613" s="1" t="s">
        <v>207</v>
      </c>
      <c r="G613" s="1" t="s">
        <v>3408</v>
      </c>
      <c r="H613" s="1" t="s">
        <v>3409</v>
      </c>
      <c r="I613" s="1">
        <v>174248.0</v>
      </c>
      <c r="J613" s="1" t="s">
        <v>3410</v>
      </c>
      <c r="K613" s="1" t="s">
        <v>3411</v>
      </c>
      <c r="L613" s="1">
        <v>263.0</v>
      </c>
      <c r="M613" s="1" t="s">
        <v>35</v>
      </c>
      <c r="N613" s="1" t="s">
        <v>36</v>
      </c>
      <c r="O613" s="1" t="s">
        <v>628</v>
      </c>
      <c r="P613" s="1">
        <v>7.0E7</v>
      </c>
      <c r="Q613" s="1">
        <v>2008.0</v>
      </c>
      <c r="R613" s="1">
        <v>29000.0</v>
      </c>
      <c r="S613" s="1">
        <v>149.0</v>
      </c>
      <c r="T613" s="1">
        <v>135.0</v>
      </c>
      <c r="U613" s="1">
        <v>29824.0</v>
      </c>
      <c r="V613" s="1">
        <v>0.0</v>
      </c>
      <c r="W613" s="1">
        <v>0.0</v>
      </c>
      <c r="X613" s="1">
        <v>1.0</v>
      </c>
      <c r="Y613" s="1">
        <v>2.35</v>
      </c>
      <c r="Z613" s="1">
        <v>7.1</v>
      </c>
    </row>
    <row r="614" ht="14.25" customHeight="1">
      <c r="A614" s="1" t="s">
        <v>26</v>
      </c>
      <c r="B614" s="1" t="s">
        <v>2854</v>
      </c>
      <c r="C614" s="1" t="s">
        <v>3412</v>
      </c>
      <c r="D614" s="1">
        <v>3.7516013E7</v>
      </c>
      <c r="E614" s="1" t="s">
        <v>3286</v>
      </c>
      <c r="F614" s="1" t="s">
        <v>1733</v>
      </c>
      <c r="G614" s="1" t="s">
        <v>693</v>
      </c>
      <c r="H614" s="1" t="s">
        <v>1815</v>
      </c>
      <c r="I614" s="1">
        <v>128629.0</v>
      </c>
      <c r="J614" s="1" t="s">
        <v>3413</v>
      </c>
      <c r="K614" s="1" t="s">
        <v>3414</v>
      </c>
      <c r="L614" s="1">
        <v>348.0</v>
      </c>
      <c r="M614" s="1" t="s">
        <v>35</v>
      </c>
      <c r="N614" s="1" t="s">
        <v>36</v>
      </c>
      <c r="O614" s="1" t="s">
        <v>628</v>
      </c>
      <c r="P614" s="1">
        <v>6.9E7</v>
      </c>
      <c r="Q614" s="1">
        <v>2012.0</v>
      </c>
      <c r="R614" s="1">
        <v>3000.0</v>
      </c>
      <c r="S614" s="1">
        <v>3000.0</v>
      </c>
      <c r="T614" s="1">
        <v>911.0</v>
      </c>
      <c r="U614" s="1">
        <v>8281.0</v>
      </c>
      <c r="V614" s="1">
        <v>335.0</v>
      </c>
      <c r="W614" s="1">
        <v>98000.0</v>
      </c>
      <c r="X614" s="1">
        <v>0.0</v>
      </c>
      <c r="Y614" s="1">
        <v>2.35</v>
      </c>
      <c r="Z614" s="1">
        <v>5.9</v>
      </c>
    </row>
    <row r="615" ht="14.25" customHeight="1">
      <c r="A615" s="1" t="s">
        <v>26</v>
      </c>
      <c r="B615" s="1" t="s">
        <v>2362</v>
      </c>
      <c r="C615" s="1" t="s">
        <v>3415</v>
      </c>
      <c r="D615" s="1">
        <v>8.7704396E7</v>
      </c>
      <c r="E615" s="1" t="s">
        <v>1529</v>
      </c>
      <c r="F615" s="1" t="s">
        <v>942</v>
      </c>
      <c r="G615" s="1" t="s">
        <v>3416</v>
      </c>
      <c r="H615" s="1" t="s">
        <v>3417</v>
      </c>
      <c r="I615" s="1">
        <v>88132.0</v>
      </c>
      <c r="J615" s="1" t="s">
        <v>3418</v>
      </c>
      <c r="K615" s="1" t="s">
        <v>3419</v>
      </c>
      <c r="L615" s="1">
        <v>274.0</v>
      </c>
      <c r="M615" s="1" t="s">
        <v>35</v>
      </c>
      <c r="N615" s="1" t="s">
        <v>36</v>
      </c>
      <c r="O615" s="1" t="s">
        <v>37</v>
      </c>
      <c r="P615" s="1">
        <v>6.6E7</v>
      </c>
      <c r="Q615" s="1">
        <v>1999.0</v>
      </c>
      <c r="R615" s="1">
        <v>537.0</v>
      </c>
      <c r="S615" s="1">
        <v>427.0</v>
      </c>
      <c r="T615" s="1">
        <v>232.0</v>
      </c>
      <c r="U615" s="1">
        <v>1302.0</v>
      </c>
      <c r="V615" s="1">
        <v>36.0</v>
      </c>
      <c r="W615" s="1">
        <v>0.0</v>
      </c>
      <c r="X615" s="1">
        <v>1.0</v>
      </c>
      <c r="Y615" s="1">
        <v>2.35</v>
      </c>
      <c r="Z615" s="1">
        <v>6.2</v>
      </c>
    </row>
    <row r="616" ht="14.25" customHeight="1">
      <c r="A616" s="1" t="s">
        <v>26</v>
      </c>
      <c r="B616" s="1" t="s">
        <v>3420</v>
      </c>
      <c r="C616" s="1" t="s">
        <v>3421</v>
      </c>
      <c r="D616" s="1">
        <v>8.3892374E7</v>
      </c>
      <c r="E616" s="1" t="s">
        <v>2117</v>
      </c>
      <c r="F616" s="1" t="s">
        <v>3095</v>
      </c>
      <c r="G616" s="1" t="s">
        <v>3422</v>
      </c>
      <c r="H616" s="1" t="s">
        <v>3097</v>
      </c>
      <c r="I616" s="1">
        <v>85720.0</v>
      </c>
      <c r="J616" s="1" t="s">
        <v>3423</v>
      </c>
      <c r="K616" s="1" t="s">
        <v>3424</v>
      </c>
      <c r="L616" s="1">
        <v>297.0</v>
      </c>
      <c r="M616" s="1" t="s">
        <v>35</v>
      </c>
      <c r="N616" s="1" t="s">
        <v>36</v>
      </c>
      <c r="O616" s="1" t="s">
        <v>37</v>
      </c>
      <c r="P616" s="1">
        <v>6.6E7</v>
      </c>
      <c r="Q616" s="1">
        <v>1998.0</v>
      </c>
      <c r="R616" s="1">
        <v>940.0</v>
      </c>
      <c r="S616" s="1">
        <v>826.0</v>
      </c>
      <c r="T616" s="1">
        <v>745.0</v>
      </c>
      <c r="U616" s="1">
        <v>4230.0</v>
      </c>
      <c r="V616" s="1">
        <v>38.0</v>
      </c>
      <c r="W616" s="1">
        <v>0.0</v>
      </c>
      <c r="X616" s="1">
        <v>0.0</v>
      </c>
      <c r="Y616" s="1">
        <v>2.35</v>
      </c>
      <c r="Z616" s="1">
        <v>7.0</v>
      </c>
    </row>
    <row r="617" ht="14.25" customHeight="1">
      <c r="A617" s="1" t="s">
        <v>26</v>
      </c>
      <c r="B617" s="1" t="s">
        <v>3425</v>
      </c>
      <c r="C617" s="1" t="s">
        <v>3426</v>
      </c>
      <c r="D617" s="1">
        <v>5932060.0</v>
      </c>
      <c r="E617" s="1" t="s">
        <v>3427</v>
      </c>
      <c r="F617" s="1" t="s">
        <v>424</v>
      </c>
      <c r="G617" s="1" t="s">
        <v>906</v>
      </c>
      <c r="H617" s="1" t="s">
        <v>3428</v>
      </c>
      <c r="I617" s="1">
        <v>29285.0</v>
      </c>
      <c r="J617" s="1" t="s">
        <v>3429</v>
      </c>
      <c r="K617" s="1" t="s">
        <v>3430</v>
      </c>
      <c r="L617" s="1">
        <v>174.0</v>
      </c>
      <c r="M617" s="1" t="s">
        <v>35</v>
      </c>
      <c r="N617" s="1" t="s">
        <v>54</v>
      </c>
      <c r="O617" s="1" t="s">
        <v>37</v>
      </c>
      <c r="P617" s="1">
        <v>3.5E7</v>
      </c>
      <c r="Q617" s="1">
        <v>2007.0</v>
      </c>
      <c r="R617" s="1">
        <v>14000.0</v>
      </c>
      <c r="S617" s="1">
        <v>394.0</v>
      </c>
      <c r="T617" s="1">
        <v>112.0</v>
      </c>
      <c r="U617" s="1">
        <v>14625.0</v>
      </c>
      <c r="V617" s="1">
        <v>4.0</v>
      </c>
      <c r="W617" s="1">
        <v>0.0</v>
      </c>
      <c r="X617" s="1">
        <v>0.0</v>
      </c>
      <c r="Y617" s="1">
        <v>2.35</v>
      </c>
      <c r="Z617" s="1">
        <v>5.4</v>
      </c>
    </row>
    <row r="618" ht="14.25" customHeight="1">
      <c r="A618" s="1" t="s">
        <v>26</v>
      </c>
      <c r="B618" s="1" t="s">
        <v>381</v>
      </c>
      <c r="C618" s="1" t="s">
        <v>3431</v>
      </c>
      <c r="D618" s="1">
        <v>2.16119491E8</v>
      </c>
      <c r="E618" s="1" t="s">
        <v>1402</v>
      </c>
      <c r="F618" s="1" t="s">
        <v>314</v>
      </c>
      <c r="G618" s="1" t="s">
        <v>329</v>
      </c>
      <c r="H618" s="1" t="s">
        <v>1113</v>
      </c>
      <c r="I618" s="1">
        <v>881236.0</v>
      </c>
      <c r="J618" s="1" t="s">
        <v>3432</v>
      </c>
      <c r="K618" s="1" t="s">
        <v>3433</v>
      </c>
      <c r="L618" s="1">
        <v>2277.0</v>
      </c>
      <c r="M618" s="1" t="s">
        <v>35</v>
      </c>
      <c r="N618" s="1" t="s">
        <v>36</v>
      </c>
      <c r="O618" s="1" t="s">
        <v>628</v>
      </c>
      <c r="P618" s="1">
        <v>7.0E7</v>
      </c>
      <c r="Q618" s="1">
        <v>1998.0</v>
      </c>
      <c r="R618" s="1">
        <v>15000.0</v>
      </c>
      <c r="S618" s="1">
        <v>14000.0</v>
      </c>
      <c r="T618" s="1">
        <v>13000.0</v>
      </c>
      <c r="U618" s="1">
        <v>44998.0</v>
      </c>
      <c r="V618" s="1">
        <v>14000.0</v>
      </c>
      <c r="W618" s="1">
        <v>22000.0</v>
      </c>
      <c r="X618" s="1">
        <v>2.0</v>
      </c>
      <c r="Y618" s="1">
        <v>1.85</v>
      </c>
      <c r="Z618" s="1">
        <v>8.6</v>
      </c>
    </row>
    <row r="619" ht="14.25" customHeight="1">
      <c r="A619" s="1" t="s">
        <v>26</v>
      </c>
      <c r="B619" s="1" t="s">
        <v>3434</v>
      </c>
      <c r="C619" s="1" t="s">
        <v>3435</v>
      </c>
      <c r="D619" s="1">
        <v>4.3568507E7</v>
      </c>
      <c r="E619" s="1" t="s">
        <v>449</v>
      </c>
      <c r="F619" s="1" t="s">
        <v>775</v>
      </c>
      <c r="G619" s="1" t="s">
        <v>693</v>
      </c>
      <c r="H619" s="1" t="s">
        <v>274</v>
      </c>
      <c r="I619" s="1">
        <v>136954.0</v>
      </c>
      <c r="J619" s="1" t="s">
        <v>3436</v>
      </c>
      <c r="K619" s="1" t="s">
        <v>3437</v>
      </c>
      <c r="L619" s="1">
        <v>346.0</v>
      </c>
      <c r="M619" s="1" t="s">
        <v>35</v>
      </c>
      <c r="N619" s="1" t="s">
        <v>36</v>
      </c>
      <c r="O619" s="1" t="s">
        <v>37</v>
      </c>
      <c r="P619" s="1">
        <v>6.6E7</v>
      </c>
      <c r="Q619" s="1">
        <v>2014.0</v>
      </c>
      <c r="R619" s="1">
        <v>3000.0</v>
      </c>
      <c r="S619" s="1">
        <v>3000.0</v>
      </c>
      <c r="T619" s="1">
        <v>464.0</v>
      </c>
      <c r="U619" s="1">
        <v>7081.0</v>
      </c>
      <c r="V619" s="1">
        <v>76.0</v>
      </c>
      <c r="W619" s="1">
        <v>32000.0</v>
      </c>
      <c r="X619" s="1">
        <v>1.0</v>
      </c>
      <c r="Y619" s="1">
        <v>2.35</v>
      </c>
      <c r="Z619" s="1">
        <v>6.5</v>
      </c>
    </row>
    <row r="620" ht="14.25" customHeight="1">
      <c r="A620" s="1" t="s">
        <v>26</v>
      </c>
      <c r="B620" s="1" t="s">
        <v>2275</v>
      </c>
      <c r="C620" s="1" t="s">
        <v>3438</v>
      </c>
      <c r="D620" s="1">
        <v>1.82805123E8</v>
      </c>
      <c r="E620" s="1" t="s">
        <v>3439</v>
      </c>
      <c r="F620" s="1" t="s">
        <v>228</v>
      </c>
      <c r="G620" s="1" t="s">
        <v>3440</v>
      </c>
      <c r="H620" s="1" t="s">
        <v>2924</v>
      </c>
      <c r="I620" s="1">
        <v>158864.0</v>
      </c>
      <c r="J620" s="1" t="s">
        <v>3441</v>
      </c>
      <c r="K620" s="1" t="s">
        <v>3442</v>
      </c>
      <c r="L620" s="1">
        <v>395.0</v>
      </c>
      <c r="M620" s="1" t="s">
        <v>35</v>
      </c>
      <c r="N620" s="1" t="s">
        <v>36</v>
      </c>
      <c r="O620" s="1" t="s">
        <v>37</v>
      </c>
      <c r="P620" s="1">
        <v>7.0E7</v>
      </c>
      <c r="Q620" s="1">
        <v>2000.0</v>
      </c>
      <c r="R620" s="1">
        <v>2000.0</v>
      </c>
      <c r="S620" s="1">
        <v>955.0</v>
      </c>
      <c r="T620" s="1">
        <v>912.0</v>
      </c>
      <c r="U620" s="1">
        <v>5838.0</v>
      </c>
      <c r="V620" s="1">
        <v>278.0</v>
      </c>
      <c r="W620" s="1">
        <v>0.0</v>
      </c>
      <c r="X620" s="1">
        <v>1.0</v>
      </c>
      <c r="Y620" s="1">
        <v>1.37</v>
      </c>
      <c r="Z620" s="1">
        <v>6.4</v>
      </c>
    </row>
    <row r="621" ht="14.25" customHeight="1">
      <c r="A621" s="1" t="s">
        <v>26</v>
      </c>
      <c r="B621" s="1" t="s">
        <v>1724</v>
      </c>
      <c r="C621" s="1" t="s">
        <v>3443</v>
      </c>
      <c r="D621" s="1">
        <v>1.76387405E8</v>
      </c>
      <c r="E621" s="1" t="s">
        <v>456</v>
      </c>
      <c r="F621" s="1" t="s">
        <v>2062</v>
      </c>
      <c r="G621" s="1" t="s">
        <v>1102</v>
      </c>
      <c r="H621" s="1" t="s">
        <v>2026</v>
      </c>
      <c r="I621" s="1">
        <v>328159.0</v>
      </c>
      <c r="J621" s="1" t="s">
        <v>3444</v>
      </c>
      <c r="K621" s="1" t="s">
        <v>3445</v>
      </c>
      <c r="L621" s="1">
        <v>467.0</v>
      </c>
      <c r="M621" s="1" t="s">
        <v>35</v>
      </c>
      <c r="N621" s="1" t="s">
        <v>36</v>
      </c>
      <c r="O621" s="1" t="s">
        <v>87</v>
      </c>
      <c r="P621" s="1">
        <v>5.9E7</v>
      </c>
      <c r="Q621" s="1">
        <v>2002.0</v>
      </c>
      <c r="R621" s="1">
        <v>1000.0</v>
      </c>
      <c r="S621" s="1">
        <v>939.0</v>
      </c>
      <c r="T621" s="1">
        <v>835.0</v>
      </c>
      <c r="U621" s="1">
        <v>5437.0</v>
      </c>
      <c r="V621" s="1">
        <v>77.0</v>
      </c>
      <c r="W621" s="1">
        <v>3000.0</v>
      </c>
      <c r="X621" s="1">
        <v>0.0</v>
      </c>
      <c r="Y621" s="1">
        <v>1.85</v>
      </c>
      <c r="Z621" s="1">
        <v>7.6</v>
      </c>
    </row>
    <row r="622" ht="14.25" customHeight="1">
      <c r="A622" s="1" t="s">
        <v>26</v>
      </c>
      <c r="B622" s="1" t="s">
        <v>3446</v>
      </c>
      <c r="C622" s="1" t="s">
        <v>3447</v>
      </c>
      <c r="D622" s="1">
        <v>3.3685268E7</v>
      </c>
      <c r="E622" s="1" t="s">
        <v>3448</v>
      </c>
      <c r="F622" s="1" t="s">
        <v>451</v>
      </c>
      <c r="G622" s="1" t="s">
        <v>720</v>
      </c>
      <c r="H622" s="1" t="s">
        <v>3449</v>
      </c>
      <c r="I622" s="1">
        <v>75573.0</v>
      </c>
      <c r="J622" s="1" t="s">
        <v>3450</v>
      </c>
      <c r="K622" s="1" t="s">
        <v>3451</v>
      </c>
      <c r="L622" s="1">
        <v>662.0</v>
      </c>
      <c r="M622" s="1" t="s">
        <v>35</v>
      </c>
      <c r="N622" s="1" t="s">
        <v>36</v>
      </c>
      <c r="O622" s="1" t="s">
        <v>628</v>
      </c>
      <c r="P622" s="1">
        <v>6.8E7</v>
      </c>
      <c r="Q622" s="1">
        <v>2003.0</v>
      </c>
      <c r="R622" s="1">
        <v>11000.0</v>
      </c>
      <c r="S622" s="1">
        <v>599.0</v>
      </c>
      <c r="T622" s="1">
        <v>354.0</v>
      </c>
      <c r="U622" s="1">
        <v>12194.0</v>
      </c>
      <c r="V622" s="1">
        <v>759.0</v>
      </c>
      <c r="W622" s="1">
        <v>4000.0</v>
      </c>
      <c r="X622" s="1">
        <v>1.0</v>
      </c>
      <c r="Y622" s="1">
        <v>2.35</v>
      </c>
      <c r="Z622" s="1">
        <v>5.5</v>
      </c>
    </row>
    <row r="623" ht="14.25" customHeight="1">
      <c r="A623" s="1" t="s">
        <v>26</v>
      </c>
      <c r="B623" s="1" t="s">
        <v>381</v>
      </c>
      <c r="C623" s="1" t="s">
        <v>3452</v>
      </c>
      <c r="D623" s="1">
        <v>1.8220444E8</v>
      </c>
      <c r="E623" s="1" t="s">
        <v>3075</v>
      </c>
      <c r="F623" s="1" t="s">
        <v>60</v>
      </c>
      <c r="G623" s="1" t="s">
        <v>3096</v>
      </c>
      <c r="H623" s="1" t="s">
        <v>2200</v>
      </c>
      <c r="I623" s="1">
        <v>197412.0</v>
      </c>
      <c r="J623" s="1" t="s">
        <v>3453</v>
      </c>
      <c r="K623" s="1" t="s">
        <v>3454</v>
      </c>
      <c r="L623" s="1">
        <v>720.0</v>
      </c>
      <c r="M623" s="1" t="s">
        <v>35</v>
      </c>
      <c r="N623" s="1" t="s">
        <v>36</v>
      </c>
      <c r="O623" s="1" t="s">
        <v>37</v>
      </c>
      <c r="P623" s="1">
        <v>6.5E7</v>
      </c>
      <c r="Q623" s="1">
        <v>2012.0</v>
      </c>
      <c r="R623" s="1">
        <v>23000.0</v>
      </c>
      <c r="S623" s="1">
        <v>826.0</v>
      </c>
      <c r="T623" s="1">
        <v>655.0</v>
      </c>
      <c r="U623" s="1">
        <v>25517.0</v>
      </c>
      <c r="V623" s="1">
        <v>14000.0</v>
      </c>
      <c r="W623" s="1">
        <v>71000.0</v>
      </c>
      <c r="X623" s="1">
        <v>0.0</v>
      </c>
      <c r="Y623" s="1">
        <v>2.35</v>
      </c>
      <c r="Z623" s="1">
        <v>7.4</v>
      </c>
    </row>
    <row r="624" ht="14.25" customHeight="1">
      <c r="A624" s="1" t="s">
        <v>26</v>
      </c>
      <c r="B624" s="1" t="s">
        <v>428</v>
      </c>
      <c r="C624" s="1" t="s">
        <v>3455</v>
      </c>
      <c r="D624" s="1">
        <v>1.71383253E8</v>
      </c>
      <c r="E624" s="1" t="s">
        <v>623</v>
      </c>
      <c r="F624" s="1" t="s">
        <v>563</v>
      </c>
      <c r="G624" s="1" t="s">
        <v>3456</v>
      </c>
      <c r="H624" s="1" t="s">
        <v>3457</v>
      </c>
      <c r="I624" s="1">
        <v>1217752.0</v>
      </c>
      <c r="J624" s="1" t="s">
        <v>3458</v>
      </c>
      <c r="K624" s="1" t="s">
        <v>3459</v>
      </c>
      <c r="L624" s="1">
        <v>3646.0</v>
      </c>
      <c r="M624" s="1" t="s">
        <v>35</v>
      </c>
      <c r="N624" s="1" t="s">
        <v>36</v>
      </c>
      <c r="O624" s="1" t="s">
        <v>628</v>
      </c>
      <c r="P624" s="1">
        <v>6.3E7</v>
      </c>
      <c r="Q624" s="1">
        <v>1999.0</v>
      </c>
      <c r="R624" s="1">
        <v>18000.0</v>
      </c>
      <c r="S624" s="1">
        <v>145.0</v>
      </c>
      <c r="T624" s="1">
        <v>99.0</v>
      </c>
      <c r="U624" s="1">
        <v>18563.0</v>
      </c>
      <c r="V624" s="1">
        <v>0.0</v>
      </c>
      <c r="W624" s="1">
        <v>25000.0</v>
      </c>
      <c r="X624" s="1">
        <v>3.0</v>
      </c>
      <c r="Y624" s="1">
        <v>2.35</v>
      </c>
      <c r="Z624" s="1">
        <v>8.7</v>
      </c>
    </row>
    <row r="625" ht="14.25" customHeight="1">
      <c r="A625" s="1" t="s">
        <v>26</v>
      </c>
      <c r="B625" s="1" t="s">
        <v>813</v>
      </c>
      <c r="C625" s="1" t="s">
        <v>3460</v>
      </c>
      <c r="D625" s="1">
        <v>1.72071312E8</v>
      </c>
      <c r="E625" s="1" t="s">
        <v>3461</v>
      </c>
      <c r="F625" s="1" t="s">
        <v>314</v>
      </c>
      <c r="G625" s="1" t="s">
        <v>3462</v>
      </c>
      <c r="H625" s="1" t="s">
        <v>3463</v>
      </c>
      <c r="I625" s="1">
        <v>208817.0</v>
      </c>
      <c r="J625" s="1" t="s">
        <v>3464</v>
      </c>
      <c r="K625" s="1" t="s">
        <v>3465</v>
      </c>
      <c r="L625" s="1">
        <v>296.0</v>
      </c>
      <c r="M625" s="1" t="s">
        <v>35</v>
      </c>
      <c r="N625" s="1" t="s">
        <v>36</v>
      </c>
      <c r="O625" s="1" t="s">
        <v>87</v>
      </c>
      <c r="P625" s="1">
        <v>6.2E7</v>
      </c>
      <c r="Q625" s="1">
        <v>1995.0</v>
      </c>
      <c r="R625" s="1">
        <v>15000.0</v>
      </c>
      <c r="S625" s="1">
        <v>968.0</v>
      </c>
      <c r="T625" s="1">
        <v>552.0</v>
      </c>
      <c r="U625" s="1">
        <v>17171.0</v>
      </c>
      <c r="V625" s="1">
        <v>2000.0</v>
      </c>
      <c r="W625" s="1">
        <v>5000.0</v>
      </c>
      <c r="X625" s="1">
        <v>0.0</v>
      </c>
      <c r="Y625" s="1">
        <v>2.35</v>
      </c>
      <c r="Z625" s="1">
        <v>7.6</v>
      </c>
    </row>
    <row r="626" ht="14.25" customHeight="1">
      <c r="A626" s="1" t="s">
        <v>26</v>
      </c>
      <c r="B626" s="1" t="s">
        <v>1248</v>
      </c>
      <c r="C626" s="1" t="s">
        <v>1249</v>
      </c>
      <c r="D626" s="1">
        <v>1.19412921E8</v>
      </c>
      <c r="E626" s="1" t="s">
        <v>623</v>
      </c>
      <c r="F626" s="1" t="s">
        <v>1250</v>
      </c>
      <c r="G626" s="1" t="s">
        <v>1251</v>
      </c>
      <c r="H626" s="1" t="s">
        <v>1252</v>
      </c>
      <c r="I626" s="1">
        <v>240241.0</v>
      </c>
      <c r="J626" s="1" t="s">
        <v>1253</v>
      </c>
      <c r="K626" s="1" t="s">
        <v>1254</v>
      </c>
      <c r="L626" s="1">
        <v>391.0</v>
      </c>
      <c r="M626" s="1" t="s">
        <v>35</v>
      </c>
      <c r="N626" s="1" t="s">
        <v>36</v>
      </c>
      <c r="O626" s="1" t="s">
        <v>628</v>
      </c>
      <c r="P626" s="1">
        <v>6.5E7</v>
      </c>
      <c r="Q626" s="1">
        <v>1990.0</v>
      </c>
      <c r="R626" s="1">
        <v>605.0</v>
      </c>
      <c r="S626" s="1">
        <v>308.0</v>
      </c>
      <c r="T626" s="1">
        <v>217.0</v>
      </c>
      <c r="U626" s="1">
        <v>1441.0</v>
      </c>
      <c r="V626" s="1">
        <v>719.0</v>
      </c>
      <c r="W626" s="1">
        <v>0.0</v>
      </c>
      <c r="X626" s="1">
        <v>0.0</v>
      </c>
      <c r="Y626" s="1">
        <v>1.85</v>
      </c>
      <c r="Z626" s="1">
        <v>7.5</v>
      </c>
    </row>
    <row r="627" ht="14.25" customHeight="1">
      <c r="A627" s="1" t="s">
        <v>26</v>
      </c>
      <c r="B627" s="1" t="s">
        <v>3466</v>
      </c>
      <c r="C627" s="1" t="s">
        <v>3467</v>
      </c>
      <c r="D627" s="1">
        <v>1.39225854E8</v>
      </c>
      <c r="E627" s="1" t="s">
        <v>501</v>
      </c>
      <c r="F627" s="1" t="s">
        <v>3468</v>
      </c>
      <c r="G627" s="1" t="s">
        <v>3469</v>
      </c>
      <c r="H627" s="1" t="s">
        <v>3470</v>
      </c>
      <c r="I627" s="1">
        <v>34561.0</v>
      </c>
      <c r="J627" s="1" t="s">
        <v>3471</v>
      </c>
      <c r="K627" s="1" t="s">
        <v>3472</v>
      </c>
      <c r="L627" s="1">
        <v>116.0</v>
      </c>
      <c r="M627" s="1" t="s">
        <v>35</v>
      </c>
      <c r="N627" s="1" t="s">
        <v>36</v>
      </c>
      <c r="O627" s="1" t="s">
        <v>269</v>
      </c>
      <c r="P627" s="1">
        <v>6.0E7</v>
      </c>
      <c r="Q627" s="1">
        <v>2002.0</v>
      </c>
      <c r="R627" s="1">
        <v>901.0</v>
      </c>
      <c r="S627" s="1">
        <v>857.0</v>
      </c>
      <c r="T627" s="1">
        <v>775.0</v>
      </c>
      <c r="U627" s="1">
        <v>5265.0</v>
      </c>
      <c r="V627" s="1">
        <v>54.0</v>
      </c>
      <c r="W627" s="1">
        <v>1000.0</v>
      </c>
      <c r="X627" s="1">
        <v>0.0</v>
      </c>
      <c r="Y627" s="1">
        <v>1.85</v>
      </c>
      <c r="Z627" s="1">
        <v>5.5</v>
      </c>
    </row>
    <row r="628" ht="14.25" customHeight="1">
      <c r="A628" s="1" t="s">
        <v>26</v>
      </c>
      <c r="B628" s="1" t="s">
        <v>3473</v>
      </c>
      <c r="C628" s="1" t="s">
        <v>3474</v>
      </c>
      <c r="D628" s="1">
        <v>1.4877546E8</v>
      </c>
      <c r="E628" s="1" t="s">
        <v>2707</v>
      </c>
      <c r="F628" s="1" t="s">
        <v>255</v>
      </c>
      <c r="G628" s="1" t="s">
        <v>431</v>
      </c>
      <c r="H628" s="1" t="s">
        <v>249</v>
      </c>
      <c r="I628" s="1">
        <v>243834.0</v>
      </c>
      <c r="J628" s="1" t="s">
        <v>3475</v>
      </c>
      <c r="K628" s="1" t="s">
        <v>3476</v>
      </c>
      <c r="L628" s="1">
        <v>845.0</v>
      </c>
      <c r="M628" s="1" t="s">
        <v>35</v>
      </c>
      <c r="N628" s="1" t="s">
        <v>36</v>
      </c>
      <c r="O628" s="1" t="s">
        <v>37</v>
      </c>
      <c r="P628" s="1">
        <v>6.1E7</v>
      </c>
      <c r="Q628" s="1">
        <v>2012.0</v>
      </c>
      <c r="R628" s="1">
        <v>20000.0</v>
      </c>
      <c r="S628" s="1">
        <v>13000.0</v>
      </c>
      <c r="T628" s="1">
        <v>11000.0</v>
      </c>
      <c r="U628" s="1">
        <v>46204.0</v>
      </c>
      <c r="V628" s="1">
        <v>0.0</v>
      </c>
      <c r="W628" s="1">
        <v>144000.0</v>
      </c>
      <c r="X628" s="1">
        <v>1.0</v>
      </c>
      <c r="Y628" s="1">
        <v>1.85</v>
      </c>
      <c r="Z628" s="1">
        <v>7.6</v>
      </c>
    </row>
    <row r="629" ht="14.25" customHeight="1">
      <c r="A629" s="1" t="s">
        <v>26</v>
      </c>
      <c r="B629" s="1" t="s">
        <v>3477</v>
      </c>
      <c r="C629" s="1" t="s">
        <v>3478</v>
      </c>
      <c r="D629" s="1">
        <v>1.15731542E8</v>
      </c>
      <c r="E629" s="1" t="s">
        <v>1359</v>
      </c>
      <c r="F629" s="1" t="s">
        <v>314</v>
      </c>
      <c r="G629" s="1" t="s">
        <v>3479</v>
      </c>
      <c r="H629" s="1" t="s">
        <v>2520</v>
      </c>
      <c r="I629" s="1">
        <v>151812.0</v>
      </c>
      <c r="J629" s="1" t="s">
        <v>3480</v>
      </c>
      <c r="K629" s="1" t="s">
        <v>3481</v>
      </c>
      <c r="L629" s="1">
        <v>556.0</v>
      </c>
      <c r="M629" s="1" t="s">
        <v>35</v>
      </c>
      <c r="N629" s="1" t="s">
        <v>36</v>
      </c>
      <c r="O629" s="1" t="s">
        <v>87</v>
      </c>
      <c r="P629" s="1">
        <v>6.5E7</v>
      </c>
      <c r="Q629" s="1">
        <v>1998.0</v>
      </c>
      <c r="R629" s="1">
        <v>15000.0</v>
      </c>
      <c r="S629" s="1">
        <v>793.0</v>
      </c>
      <c r="T629" s="1">
        <v>744.0</v>
      </c>
      <c r="U629" s="1">
        <v>17768.0</v>
      </c>
      <c r="V629" s="1">
        <v>0.0</v>
      </c>
      <c r="W629" s="1">
        <v>0.0</v>
      </c>
      <c r="X629" s="1">
        <v>2.0</v>
      </c>
      <c r="Y629" s="1">
        <v>1.85</v>
      </c>
      <c r="Z629" s="1">
        <v>6.5</v>
      </c>
    </row>
    <row r="630" ht="14.25" customHeight="1">
      <c r="A630" s="1" t="s">
        <v>26</v>
      </c>
      <c r="B630" s="1" t="s">
        <v>1668</v>
      </c>
      <c r="C630" s="1" t="s">
        <v>3482</v>
      </c>
      <c r="D630" s="1">
        <v>1.00468793E8</v>
      </c>
      <c r="E630" s="1" t="s">
        <v>1885</v>
      </c>
      <c r="F630" s="1" t="s">
        <v>1197</v>
      </c>
      <c r="G630" s="1" t="s">
        <v>1475</v>
      </c>
      <c r="H630" s="1" t="s">
        <v>3483</v>
      </c>
      <c r="I630" s="1">
        <v>212499.0</v>
      </c>
      <c r="J630" s="1" t="s">
        <v>3484</v>
      </c>
      <c r="K630" s="1" t="s">
        <v>3485</v>
      </c>
      <c r="L630" s="1">
        <v>277.0</v>
      </c>
      <c r="M630" s="1" t="s">
        <v>35</v>
      </c>
      <c r="N630" s="1" t="s">
        <v>36</v>
      </c>
      <c r="O630" s="1" t="s">
        <v>628</v>
      </c>
      <c r="P630" s="1">
        <v>6.5E7</v>
      </c>
      <c r="Q630" s="1">
        <v>2008.0</v>
      </c>
      <c r="R630" s="1">
        <v>8000.0</v>
      </c>
      <c r="S630" s="1">
        <v>3000.0</v>
      </c>
      <c r="T630" s="1">
        <v>105.0</v>
      </c>
      <c r="U630" s="1">
        <v>11264.0</v>
      </c>
      <c r="V630" s="1">
        <v>285.0</v>
      </c>
      <c r="W630" s="1">
        <v>0.0</v>
      </c>
      <c r="X630" s="1">
        <v>2.0</v>
      </c>
      <c r="Y630" s="1">
        <v>2.35</v>
      </c>
      <c r="Z630" s="1">
        <v>6.9</v>
      </c>
    </row>
    <row r="631" ht="14.25" customHeight="1">
      <c r="A631" s="1" t="s">
        <v>26</v>
      </c>
      <c r="B631" s="1" t="s">
        <v>305</v>
      </c>
      <c r="C631" s="1" t="s">
        <v>3486</v>
      </c>
      <c r="D631" s="1">
        <v>9.3771072E7</v>
      </c>
      <c r="E631" s="1" t="s">
        <v>3487</v>
      </c>
      <c r="F631" s="1" t="s">
        <v>726</v>
      </c>
      <c r="G631" s="1" t="s">
        <v>3488</v>
      </c>
      <c r="H631" s="1" t="s">
        <v>3489</v>
      </c>
      <c r="I631" s="1">
        <v>135404.0</v>
      </c>
      <c r="J631" s="1" t="s">
        <v>3490</v>
      </c>
      <c r="K631" s="1" t="s">
        <v>3491</v>
      </c>
      <c r="L631" s="1">
        <v>318.0</v>
      </c>
      <c r="M631" s="1" t="s">
        <v>35</v>
      </c>
      <c r="N631" s="1" t="s">
        <v>36</v>
      </c>
      <c r="O631" s="1" t="s">
        <v>37</v>
      </c>
      <c r="P631" s="1">
        <v>6.5E7</v>
      </c>
      <c r="Q631" s="1">
        <v>1998.0</v>
      </c>
      <c r="R631" s="1">
        <v>12000.0</v>
      </c>
      <c r="S631" s="1">
        <v>174.0</v>
      </c>
      <c r="T631" s="1">
        <v>94.0</v>
      </c>
      <c r="U631" s="1">
        <v>12396.0</v>
      </c>
      <c r="V631" s="1">
        <v>258.0</v>
      </c>
      <c r="W631" s="1">
        <v>0.0</v>
      </c>
      <c r="X631" s="1">
        <v>0.0</v>
      </c>
      <c r="Y631" s="1">
        <v>2.35</v>
      </c>
      <c r="Z631" s="1">
        <v>6.7</v>
      </c>
    </row>
    <row r="632" ht="14.25" customHeight="1">
      <c r="A632" s="1" t="s">
        <v>26</v>
      </c>
      <c r="B632" s="1" t="s">
        <v>2436</v>
      </c>
      <c r="C632" s="1" t="s">
        <v>3492</v>
      </c>
      <c r="D632" s="1">
        <v>1.00448498E8</v>
      </c>
      <c r="E632" s="1" t="s">
        <v>2422</v>
      </c>
      <c r="F632" s="1" t="s">
        <v>91</v>
      </c>
      <c r="G632" s="1" t="s">
        <v>1646</v>
      </c>
      <c r="H632" s="1" t="s">
        <v>3493</v>
      </c>
      <c r="I632" s="1">
        <v>272789.0</v>
      </c>
      <c r="J632" s="1" t="s">
        <v>3494</v>
      </c>
      <c r="K632" s="1" t="s">
        <v>3495</v>
      </c>
      <c r="L632" s="1">
        <v>285.0</v>
      </c>
      <c r="M632" s="1" t="s">
        <v>35</v>
      </c>
      <c r="N632" s="1" t="s">
        <v>36</v>
      </c>
      <c r="O632" s="1" t="s">
        <v>628</v>
      </c>
      <c r="P632" s="1">
        <v>6.5E7</v>
      </c>
      <c r="Q632" s="1">
        <v>2010.0</v>
      </c>
      <c r="R632" s="1">
        <v>21000.0</v>
      </c>
      <c r="S632" s="1">
        <v>561.0</v>
      </c>
      <c r="T632" s="1">
        <v>490.0</v>
      </c>
      <c r="U632" s="1">
        <v>23018.0</v>
      </c>
      <c r="V632" s="1">
        <v>480.0</v>
      </c>
      <c r="W632" s="1">
        <v>25000.0</v>
      </c>
      <c r="X632" s="1">
        <v>3.0</v>
      </c>
      <c r="Y632" s="1">
        <v>2.35</v>
      </c>
      <c r="Z632" s="1">
        <v>6.6</v>
      </c>
    </row>
    <row r="633" ht="14.25" customHeight="1">
      <c r="A633" s="1" t="s">
        <v>26</v>
      </c>
      <c r="B633" s="1" t="s">
        <v>550</v>
      </c>
      <c r="C633" s="1" t="s">
        <v>3496</v>
      </c>
      <c r="D633" s="1">
        <v>1.1560398E8</v>
      </c>
      <c r="E633" s="1" t="s">
        <v>3497</v>
      </c>
      <c r="F633" s="1" t="s">
        <v>3498</v>
      </c>
      <c r="G633" s="1" t="s">
        <v>3499</v>
      </c>
      <c r="H633" s="1" t="s">
        <v>3500</v>
      </c>
      <c r="I633" s="1">
        <v>103589.0</v>
      </c>
      <c r="J633" s="1" t="s">
        <v>3501</v>
      </c>
      <c r="K633" s="1" t="s">
        <v>3502</v>
      </c>
      <c r="L633" s="1">
        <v>351.0</v>
      </c>
      <c r="M633" s="1" t="s">
        <v>35</v>
      </c>
      <c r="N633" s="1" t="s">
        <v>36</v>
      </c>
      <c r="O633" s="1" t="s">
        <v>37</v>
      </c>
      <c r="P633" s="1">
        <v>6.5E7</v>
      </c>
      <c r="Q633" s="1">
        <v>2014.0</v>
      </c>
      <c r="R633" s="1">
        <v>769.0</v>
      </c>
      <c r="S633" s="1">
        <v>698.0</v>
      </c>
      <c r="T633" s="1">
        <v>465.0</v>
      </c>
      <c r="U633" s="1">
        <v>2938.0</v>
      </c>
      <c r="V633" s="1">
        <v>11000.0</v>
      </c>
      <c r="W633" s="1">
        <v>35000.0</v>
      </c>
      <c r="X633" s="1">
        <v>0.0</v>
      </c>
      <c r="Y633" s="1">
        <v>2.35</v>
      </c>
      <c r="Z633" s="1">
        <v>7.2</v>
      </c>
    </row>
    <row r="634" ht="14.25" customHeight="1">
      <c r="A634" s="1" t="s">
        <v>710</v>
      </c>
      <c r="B634" s="1" t="s">
        <v>3503</v>
      </c>
      <c r="C634" s="1" t="s">
        <v>3504</v>
      </c>
      <c r="D634" s="1">
        <v>9.0454043E7</v>
      </c>
      <c r="E634" s="1" t="s">
        <v>48</v>
      </c>
      <c r="F634" s="1" t="s">
        <v>3503</v>
      </c>
      <c r="G634" s="1" t="s">
        <v>3505</v>
      </c>
      <c r="H634" s="1" t="s">
        <v>3506</v>
      </c>
      <c r="I634" s="1">
        <v>60165.0</v>
      </c>
      <c r="J634" s="1" t="s">
        <v>3507</v>
      </c>
      <c r="K634" s="1" t="s">
        <v>3508</v>
      </c>
      <c r="L634" s="1">
        <v>326.0</v>
      </c>
      <c r="M634" s="1" t="s">
        <v>35</v>
      </c>
      <c r="N634" s="1" t="s">
        <v>36</v>
      </c>
      <c r="O634" s="1" t="s">
        <v>37</v>
      </c>
      <c r="P634" s="1">
        <v>6.5E7</v>
      </c>
      <c r="Q634" s="1">
        <v>2000.0</v>
      </c>
      <c r="R634" s="1">
        <v>16000.0</v>
      </c>
      <c r="S634" s="1">
        <v>495.0</v>
      </c>
      <c r="T634" s="1">
        <v>416.0</v>
      </c>
      <c r="U634" s="1">
        <v>17771.0</v>
      </c>
      <c r="V634" s="1">
        <v>16000.0</v>
      </c>
      <c r="W634" s="1">
        <v>0.0</v>
      </c>
      <c r="X634" s="1">
        <v>1.0</v>
      </c>
      <c r="Y634" s="1">
        <v>2.35</v>
      </c>
      <c r="Z634" s="1">
        <v>6.4</v>
      </c>
    </row>
    <row r="635" ht="14.25" customHeight="1">
      <c r="A635" s="1" t="s">
        <v>26</v>
      </c>
      <c r="B635" s="1" t="s">
        <v>1985</v>
      </c>
      <c r="C635" s="1" t="s">
        <v>3509</v>
      </c>
      <c r="D635" s="1">
        <v>8.4049211E7</v>
      </c>
      <c r="E635" s="1" t="s">
        <v>48</v>
      </c>
      <c r="F635" s="1" t="s">
        <v>1702</v>
      </c>
      <c r="G635" s="1" t="s">
        <v>3510</v>
      </c>
      <c r="H635" s="1" t="s">
        <v>3511</v>
      </c>
      <c r="I635" s="1">
        <v>96096.0</v>
      </c>
      <c r="J635" s="1" t="s">
        <v>3512</v>
      </c>
      <c r="K635" s="1" t="s">
        <v>3513</v>
      </c>
      <c r="L635" s="1">
        <v>172.0</v>
      </c>
      <c r="M635" s="1" t="s">
        <v>35</v>
      </c>
      <c r="N635" s="1" t="s">
        <v>36</v>
      </c>
      <c r="O635" s="1" t="s">
        <v>628</v>
      </c>
      <c r="P635" s="1">
        <v>7.0E7</v>
      </c>
      <c r="Q635" s="1">
        <v>1993.0</v>
      </c>
      <c r="R635" s="1">
        <v>13000.0</v>
      </c>
      <c r="S635" s="1">
        <v>730.0</v>
      </c>
      <c r="T635" s="1">
        <v>369.0</v>
      </c>
      <c r="U635" s="1">
        <v>15229.0</v>
      </c>
      <c r="V635" s="1">
        <v>212.0</v>
      </c>
      <c r="W635" s="1">
        <v>0.0</v>
      </c>
      <c r="X635" s="1">
        <v>1.0</v>
      </c>
      <c r="Y635" s="1">
        <v>2.35</v>
      </c>
      <c r="Z635" s="1">
        <v>6.4</v>
      </c>
    </row>
    <row r="636" ht="14.25" customHeight="1">
      <c r="A636" s="1" t="s">
        <v>26</v>
      </c>
      <c r="B636" s="1" t="s">
        <v>1284</v>
      </c>
      <c r="C636" s="1" t="s">
        <v>3514</v>
      </c>
      <c r="D636" s="1">
        <v>7.045E7</v>
      </c>
      <c r="E636" s="1" t="s">
        <v>326</v>
      </c>
      <c r="F636" s="1" t="s">
        <v>457</v>
      </c>
      <c r="G636" s="1" t="s">
        <v>3515</v>
      </c>
      <c r="H636" s="1" t="s">
        <v>1292</v>
      </c>
      <c r="I636" s="1">
        <v>77390.0</v>
      </c>
      <c r="J636" s="1" t="s">
        <v>3516</v>
      </c>
      <c r="K636" s="1" t="s">
        <v>3517</v>
      </c>
      <c r="L636" s="1">
        <v>189.0</v>
      </c>
      <c r="M636" s="1" t="s">
        <v>35</v>
      </c>
      <c r="N636" s="1" t="s">
        <v>36</v>
      </c>
      <c r="O636" s="1" t="s">
        <v>628</v>
      </c>
      <c r="P636" s="1">
        <v>5.0E7</v>
      </c>
      <c r="Q636" s="1">
        <v>1996.0</v>
      </c>
      <c r="R636" s="1">
        <v>848.0</v>
      </c>
      <c r="S636" s="1">
        <v>517.0</v>
      </c>
      <c r="T636" s="1">
        <v>461.0</v>
      </c>
      <c r="U636" s="1">
        <v>2913.0</v>
      </c>
      <c r="V636" s="1">
        <v>610.0</v>
      </c>
      <c r="W636" s="1">
        <v>0.0</v>
      </c>
      <c r="X636" s="1">
        <v>2.0</v>
      </c>
      <c r="Y636" s="1">
        <v>2.35</v>
      </c>
      <c r="Z636" s="1">
        <v>6.0</v>
      </c>
    </row>
    <row r="637" ht="14.25" customHeight="1">
      <c r="A637" s="1" t="s">
        <v>26</v>
      </c>
      <c r="B637" s="1" t="s">
        <v>666</v>
      </c>
      <c r="C637" s="1" t="s">
        <v>3518</v>
      </c>
      <c r="D637" s="1">
        <v>6.9688384E7</v>
      </c>
      <c r="E637" s="1" t="s">
        <v>501</v>
      </c>
      <c r="F637" s="1" t="s">
        <v>941</v>
      </c>
      <c r="G637" s="1" t="s">
        <v>3519</v>
      </c>
      <c r="H637" s="1" t="s">
        <v>3520</v>
      </c>
      <c r="I637" s="1">
        <v>34473.0</v>
      </c>
      <c r="J637" s="1" t="s">
        <v>3521</v>
      </c>
      <c r="K637" s="1" t="s">
        <v>3522</v>
      </c>
      <c r="L637" s="1">
        <v>139.0</v>
      </c>
      <c r="M637" s="1" t="s">
        <v>35</v>
      </c>
      <c r="N637" s="1" t="s">
        <v>36</v>
      </c>
      <c r="O637" s="1" t="s">
        <v>87</v>
      </c>
      <c r="P637" s="1">
        <v>6.0E7</v>
      </c>
      <c r="Q637" s="1">
        <v>2000.0</v>
      </c>
      <c r="R637" s="1">
        <v>13000.0</v>
      </c>
      <c r="S637" s="1">
        <v>718.0</v>
      </c>
      <c r="T637" s="1">
        <v>577.0</v>
      </c>
      <c r="U637" s="1">
        <v>16452.0</v>
      </c>
      <c r="V637" s="1">
        <v>226.0</v>
      </c>
      <c r="W637" s="1">
        <v>0.0</v>
      </c>
      <c r="X637" s="1">
        <v>1.0</v>
      </c>
      <c r="Y637" s="1">
        <v>1.85</v>
      </c>
      <c r="Z637" s="1">
        <v>6.1</v>
      </c>
    </row>
    <row r="638" ht="14.25" customHeight="1">
      <c r="A638" s="1" t="s">
        <v>26</v>
      </c>
      <c r="B638" s="1" t="s">
        <v>723</v>
      </c>
      <c r="C638" s="1" t="s">
        <v>3523</v>
      </c>
      <c r="D638" s="1">
        <v>7.0236496E7</v>
      </c>
      <c r="E638" s="1" t="s">
        <v>2676</v>
      </c>
      <c r="F638" s="1" t="s">
        <v>668</v>
      </c>
      <c r="G638" s="1" t="s">
        <v>3524</v>
      </c>
      <c r="H638" s="1" t="s">
        <v>1707</v>
      </c>
      <c r="I638" s="1">
        <v>67395.0</v>
      </c>
      <c r="J638" s="1" t="s">
        <v>3525</v>
      </c>
      <c r="K638" s="1" t="s">
        <v>3526</v>
      </c>
      <c r="L638" s="1">
        <v>564.0</v>
      </c>
      <c r="M638" s="1" t="s">
        <v>35</v>
      </c>
      <c r="N638" s="1" t="s">
        <v>36</v>
      </c>
      <c r="O638" s="1" t="s">
        <v>37</v>
      </c>
      <c r="P638" s="1">
        <v>6.3E7</v>
      </c>
      <c r="Q638" s="1">
        <v>2006.0</v>
      </c>
      <c r="R638" s="1">
        <v>12000.0</v>
      </c>
      <c r="S638" s="1">
        <v>1000.0</v>
      </c>
      <c r="T638" s="1">
        <v>625.0</v>
      </c>
      <c r="U638" s="1">
        <v>14421.0</v>
      </c>
      <c r="V638" s="1">
        <v>0.0</v>
      </c>
      <c r="W638" s="1">
        <v>0.0</v>
      </c>
      <c r="X638" s="1">
        <v>0.0</v>
      </c>
      <c r="Y638" s="1">
        <v>1.85</v>
      </c>
      <c r="Z638" s="1">
        <v>6.0</v>
      </c>
    </row>
    <row r="639" ht="14.25" customHeight="1">
      <c r="A639" s="1" t="s">
        <v>26</v>
      </c>
      <c r="B639" s="1" t="s">
        <v>363</v>
      </c>
      <c r="C639" s="1" t="s">
        <v>3527</v>
      </c>
      <c r="D639" s="1">
        <v>6.369576E7</v>
      </c>
      <c r="E639" s="1" t="s">
        <v>3238</v>
      </c>
      <c r="F639" s="1" t="s">
        <v>1459</v>
      </c>
      <c r="G639" s="1" t="s">
        <v>76</v>
      </c>
      <c r="H639" s="1" t="s">
        <v>3528</v>
      </c>
      <c r="I639" s="1">
        <v>61490.0</v>
      </c>
      <c r="J639" s="1" t="s">
        <v>3529</v>
      </c>
      <c r="K639" s="1" t="s">
        <v>3530</v>
      </c>
      <c r="L639" s="1">
        <v>264.0</v>
      </c>
      <c r="M639" s="1" t="s">
        <v>35</v>
      </c>
      <c r="N639" s="1" t="s">
        <v>36</v>
      </c>
      <c r="O639" s="1" t="s">
        <v>37</v>
      </c>
      <c r="P639" s="1">
        <v>6.5E7</v>
      </c>
      <c r="Q639" s="1">
        <v>2003.0</v>
      </c>
      <c r="R639" s="1">
        <v>8000.0</v>
      </c>
      <c r="S639" s="1">
        <v>4000.0</v>
      </c>
      <c r="T639" s="1">
        <v>403.0</v>
      </c>
      <c r="U639" s="1">
        <v>12850.0</v>
      </c>
      <c r="V639" s="1">
        <v>179.0</v>
      </c>
      <c r="W639" s="1">
        <v>0.0</v>
      </c>
      <c r="X639" s="1">
        <v>1.0</v>
      </c>
      <c r="Y639" s="1">
        <v>1.85</v>
      </c>
      <c r="Z639" s="1">
        <v>6.4</v>
      </c>
    </row>
    <row r="640" ht="14.25" customHeight="1">
      <c r="A640" s="1" t="s">
        <v>26</v>
      </c>
      <c r="B640" s="1" t="s">
        <v>3531</v>
      </c>
      <c r="C640" s="1" t="s">
        <v>3532</v>
      </c>
      <c r="D640" s="1">
        <v>5.9617068E7</v>
      </c>
      <c r="E640" s="1" t="s">
        <v>1598</v>
      </c>
      <c r="F640" s="1" t="s">
        <v>2096</v>
      </c>
      <c r="G640" s="1" t="s">
        <v>879</v>
      </c>
      <c r="H640" s="1" t="s">
        <v>3533</v>
      </c>
      <c r="I640" s="1">
        <v>213863.0</v>
      </c>
      <c r="J640" s="1" t="s">
        <v>3534</v>
      </c>
      <c r="K640" s="1" t="s">
        <v>3535</v>
      </c>
      <c r="L640" s="1">
        <v>310.0</v>
      </c>
      <c r="M640" s="1" t="s">
        <v>35</v>
      </c>
      <c r="N640" s="1" t="s">
        <v>36</v>
      </c>
      <c r="O640" s="1" t="s">
        <v>628</v>
      </c>
      <c r="P640" s="1">
        <v>6.5E7</v>
      </c>
      <c r="Q640" s="1">
        <v>2012.0</v>
      </c>
      <c r="R640" s="1">
        <v>600.0</v>
      </c>
      <c r="S640" s="1">
        <v>346.0</v>
      </c>
      <c r="T640" s="1">
        <v>174.0</v>
      </c>
      <c r="U640" s="1">
        <v>1375.0</v>
      </c>
      <c r="V640" s="1">
        <v>119.0</v>
      </c>
      <c r="W640" s="1">
        <v>59000.0</v>
      </c>
      <c r="X640" s="1">
        <v>0.0</v>
      </c>
      <c r="Y640" s="1">
        <v>2.35</v>
      </c>
      <c r="Z640" s="1">
        <v>6.4</v>
      </c>
    </row>
    <row r="641" ht="14.25" customHeight="1">
      <c r="A641" s="1" t="s">
        <v>26</v>
      </c>
      <c r="B641" s="1" t="s">
        <v>3536</v>
      </c>
      <c r="C641" s="1" t="s">
        <v>3537</v>
      </c>
      <c r="D641" s="1">
        <v>5.563768E7</v>
      </c>
      <c r="E641" s="1" t="s">
        <v>1842</v>
      </c>
      <c r="F641" s="1" t="s">
        <v>508</v>
      </c>
      <c r="G641" s="1" t="s">
        <v>3538</v>
      </c>
      <c r="H641" s="1" t="s">
        <v>2128</v>
      </c>
      <c r="I641" s="1">
        <v>227071.0</v>
      </c>
      <c r="J641" s="1" t="s">
        <v>3539</v>
      </c>
      <c r="K641" s="1" t="s">
        <v>3540</v>
      </c>
      <c r="L641" s="1">
        <v>1500.0</v>
      </c>
      <c r="M641" s="1" t="s">
        <v>35</v>
      </c>
      <c r="N641" s="1" t="s">
        <v>54</v>
      </c>
      <c r="O641" s="1" t="s">
        <v>628</v>
      </c>
      <c r="P641" s="1">
        <v>6.5E7</v>
      </c>
      <c r="Q641" s="1">
        <v>1999.0</v>
      </c>
      <c r="R641" s="1">
        <v>10000.0</v>
      </c>
      <c r="S641" s="1">
        <v>580.0</v>
      </c>
      <c r="T641" s="1">
        <v>521.0</v>
      </c>
      <c r="U641" s="1">
        <v>11424.0</v>
      </c>
      <c r="V641" s="1">
        <v>0.0</v>
      </c>
      <c r="W641" s="1">
        <v>10000.0</v>
      </c>
      <c r="X641" s="1">
        <v>1.0</v>
      </c>
      <c r="Y641" s="1">
        <v>1.66</v>
      </c>
      <c r="Z641" s="1">
        <v>7.3</v>
      </c>
    </row>
    <row r="642" ht="14.25" customHeight="1">
      <c r="A642" s="1" t="s">
        <v>26</v>
      </c>
      <c r="B642" s="1" t="s">
        <v>3541</v>
      </c>
      <c r="C642" s="1" t="s">
        <v>3542</v>
      </c>
      <c r="D642" s="1">
        <v>8.5911262E7</v>
      </c>
      <c r="E642" s="1" t="s">
        <v>3543</v>
      </c>
      <c r="F642" s="1" t="s">
        <v>3544</v>
      </c>
      <c r="G642" s="1" t="s">
        <v>2612</v>
      </c>
      <c r="H642" s="1" t="s">
        <v>3545</v>
      </c>
      <c r="I642" s="1">
        <v>24735.0</v>
      </c>
      <c r="J642" s="1" t="s">
        <v>3546</v>
      </c>
      <c r="K642" s="1" t="s">
        <v>3547</v>
      </c>
      <c r="L642" s="1">
        <v>213.0</v>
      </c>
      <c r="M642" s="1" t="s">
        <v>35</v>
      </c>
      <c r="N642" s="1" t="s">
        <v>36</v>
      </c>
      <c r="O642" s="1" t="s">
        <v>87</v>
      </c>
      <c r="P642" s="1">
        <v>6.5E7</v>
      </c>
      <c r="Q642" s="1">
        <v>2014.0</v>
      </c>
      <c r="R642" s="1">
        <v>2000.0</v>
      </c>
      <c r="S642" s="1">
        <v>1000.0</v>
      </c>
      <c r="T642" s="1">
        <v>929.0</v>
      </c>
      <c r="U642" s="1">
        <v>4796.0</v>
      </c>
      <c r="V642" s="1">
        <v>87.0</v>
      </c>
      <c r="W642" s="1">
        <v>16000.0</v>
      </c>
      <c r="X642" s="1">
        <v>6.0</v>
      </c>
      <c r="Y642" s="1">
        <v>2.39</v>
      </c>
      <c r="Z642" s="1">
        <v>5.2</v>
      </c>
    </row>
    <row r="643" ht="14.25" customHeight="1">
      <c r="A643" s="1" t="s">
        <v>26</v>
      </c>
      <c r="B643" s="1" t="s">
        <v>3548</v>
      </c>
      <c r="C643" s="1" t="s">
        <v>3549</v>
      </c>
      <c r="D643" s="1">
        <v>5.3846915E7</v>
      </c>
      <c r="E643" s="1" t="s">
        <v>2964</v>
      </c>
      <c r="F643" s="1" t="s">
        <v>158</v>
      </c>
      <c r="G643" s="1" t="s">
        <v>2034</v>
      </c>
      <c r="H643" s="1" t="s">
        <v>3550</v>
      </c>
      <c r="I643" s="1">
        <v>149337.0</v>
      </c>
      <c r="J643" s="1" t="s">
        <v>3551</v>
      </c>
      <c r="K643" s="1" t="s">
        <v>3552</v>
      </c>
      <c r="L643" s="1">
        <v>221.0</v>
      </c>
      <c r="M643" s="1" t="s">
        <v>35</v>
      </c>
      <c r="N643" s="1" t="s">
        <v>36</v>
      </c>
      <c r="O643" s="1" t="s">
        <v>628</v>
      </c>
      <c r="P643" s="1">
        <v>5.01E7</v>
      </c>
      <c r="Q643" s="1">
        <v>2015.0</v>
      </c>
      <c r="R643" s="1">
        <v>10000.0</v>
      </c>
      <c r="S643" s="1">
        <v>806.0</v>
      </c>
      <c r="T643" s="1">
        <v>523.0</v>
      </c>
      <c r="U643" s="1">
        <v>11943.0</v>
      </c>
      <c r="V643" s="1">
        <v>43.0</v>
      </c>
      <c r="W643" s="1">
        <v>23000.0</v>
      </c>
      <c r="X643" s="1">
        <v>0.0</v>
      </c>
      <c r="Y643" s="1">
        <v>1.85</v>
      </c>
      <c r="Z643" s="1">
        <v>6.6</v>
      </c>
    </row>
    <row r="644" ht="14.25" customHeight="1">
      <c r="A644" s="1" t="s">
        <v>26</v>
      </c>
      <c r="B644" s="1" t="s">
        <v>319</v>
      </c>
      <c r="C644" s="1" t="s">
        <v>3553</v>
      </c>
      <c r="D644" s="1">
        <v>5.4758461E7</v>
      </c>
      <c r="E644" s="1" t="s">
        <v>1367</v>
      </c>
      <c r="F644" s="1" t="s">
        <v>58</v>
      </c>
      <c r="G644" s="1" t="s">
        <v>3554</v>
      </c>
      <c r="H644" s="1" t="s">
        <v>3555</v>
      </c>
      <c r="I644" s="1">
        <v>147641.0</v>
      </c>
      <c r="J644" s="1" t="s">
        <v>3556</v>
      </c>
      <c r="K644" s="1" t="s">
        <v>3557</v>
      </c>
      <c r="L644" s="1">
        <v>238.0</v>
      </c>
      <c r="M644" s="1" t="s">
        <v>35</v>
      </c>
      <c r="N644" s="1" t="s">
        <v>36</v>
      </c>
      <c r="O644" s="1" t="s">
        <v>37</v>
      </c>
      <c r="P644" s="1">
        <v>6.5E7</v>
      </c>
      <c r="Q644" s="1">
        <v>2012.0</v>
      </c>
      <c r="R644" s="1">
        <v>27000.0</v>
      </c>
      <c r="S644" s="1">
        <v>1000.0</v>
      </c>
      <c r="T644" s="1">
        <v>520.0</v>
      </c>
      <c r="U644" s="1">
        <v>29808.0</v>
      </c>
      <c r="V644" s="1">
        <v>368.0</v>
      </c>
      <c r="W644" s="1">
        <v>18000.0</v>
      </c>
      <c r="X644" s="1">
        <v>3.0</v>
      </c>
      <c r="Y644" s="1">
        <v>2.35</v>
      </c>
      <c r="Z644" s="1">
        <v>6.3</v>
      </c>
    </row>
    <row r="645" ht="14.25" customHeight="1">
      <c r="A645" s="1" t="s">
        <v>26</v>
      </c>
      <c r="B645" s="1" t="s">
        <v>3558</v>
      </c>
      <c r="C645" s="1" t="s">
        <v>3559</v>
      </c>
      <c r="D645" s="1">
        <v>5.2397389E7</v>
      </c>
      <c r="E645" s="1" t="s">
        <v>3560</v>
      </c>
      <c r="F645" s="1" t="s">
        <v>307</v>
      </c>
      <c r="G645" s="1" t="s">
        <v>3561</v>
      </c>
      <c r="H645" s="1" t="s">
        <v>973</v>
      </c>
      <c r="I645" s="1">
        <v>132954.0</v>
      </c>
      <c r="J645" s="1" t="s">
        <v>3562</v>
      </c>
      <c r="K645" s="1" t="s">
        <v>3563</v>
      </c>
      <c r="L645" s="1">
        <v>514.0</v>
      </c>
      <c r="M645" s="1" t="s">
        <v>35</v>
      </c>
      <c r="N645" s="1" t="s">
        <v>36</v>
      </c>
      <c r="O645" s="1" t="s">
        <v>628</v>
      </c>
      <c r="P645" s="1">
        <v>6.5E7</v>
      </c>
      <c r="Q645" s="1">
        <v>2004.0</v>
      </c>
      <c r="R645" s="1">
        <v>16000.0</v>
      </c>
      <c r="S645" s="1">
        <v>1000.0</v>
      </c>
      <c r="T645" s="1">
        <v>957.0</v>
      </c>
      <c r="U645" s="1">
        <v>19764.0</v>
      </c>
      <c r="V645" s="1">
        <v>687.0</v>
      </c>
      <c r="W645" s="1">
        <v>0.0</v>
      </c>
      <c r="X645" s="1">
        <v>0.0</v>
      </c>
      <c r="Y645" s="1">
        <v>2.35</v>
      </c>
      <c r="Z645" s="1">
        <v>5.9</v>
      </c>
    </row>
    <row r="646" ht="14.25" customHeight="1">
      <c r="A646" s="1" t="s">
        <v>26</v>
      </c>
      <c r="B646" s="1" t="s">
        <v>2913</v>
      </c>
      <c r="C646" s="1" t="s">
        <v>3564</v>
      </c>
      <c r="D646" s="1">
        <v>3.8966057E7</v>
      </c>
      <c r="E646" s="1" t="s">
        <v>2422</v>
      </c>
      <c r="F646" s="1" t="s">
        <v>3565</v>
      </c>
      <c r="G646" s="1" t="s">
        <v>3566</v>
      </c>
      <c r="H646" s="1" t="s">
        <v>3567</v>
      </c>
      <c r="I646" s="1">
        <v>23940.0</v>
      </c>
      <c r="J646" s="1" t="s">
        <v>3568</v>
      </c>
      <c r="K646" s="1" t="s">
        <v>3569</v>
      </c>
      <c r="L646" s="1">
        <v>157.0</v>
      </c>
      <c r="M646" s="1" t="s">
        <v>35</v>
      </c>
      <c r="N646" s="1" t="s">
        <v>1832</v>
      </c>
      <c r="O646" s="1" t="s">
        <v>628</v>
      </c>
      <c r="P646" s="1">
        <v>6.5E7</v>
      </c>
      <c r="Q646" s="1">
        <v>1998.0</v>
      </c>
      <c r="R646" s="1">
        <v>509.0</v>
      </c>
      <c r="S646" s="1">
        <v>317.0</v>
      </c>
      <c r="T646" s="1">
        <v>210.0</v>
      </c>
      <c r="U646" s="1">
        <v>1409.0</v>
      </c>
      <c r="V646" s="1">
        <v>0.0</v>
      </c>
      <c r="W646" s="1">
        <v>688.0</v>
      </c>
      <c r="X646" s="1">
        <v>0.0</v>
      </c>
      <c r="Y646" s="1">
        <v>2.35</v>
      </c>
      <c r="Z646" s="1">
        <v>6.7</v>
      </c>
    </row>
    <row r="647" ht="14.25" customHeight="1">
      <c r="A647" s="1" t="s">
        <v>26</v>
      </c>
      <c r="B647" s="1" t="s">
        <v>2246</v>
      </c>
      <c r="C647" s="1" t="s">
        <v>3570</v>
      </c>
      <c r="D647" s="1">
        <v>4.2345531E7</v>
      </c>
      <c r="E647" s="1" t="s">
        <v>2123</v>
      </c>
      <c r="F647" s="1" t="s">
        <v>1892</v>
      </c>
      <c r="G647" s="1" t="s">
        <v>2672</v>
      </c>
      <c r="H647" s="1" t="s">
        <v>278</v>
      </c>
      <c r="I647" s="1">
        <v>104831.0</v>
      </c>
      <c r="J647" s="1" t="s">
        <v>3571</v>
      </c>
      <c r="K647" s="1" t="s">
        <v>3572</v>
      </c>
      <c r="L647" s="1">
        <v>423.0</v>
      </c>
      <c r="M647" s="1" t="s">
        <v>35</v>
      </c>
      <c r="N647" s="1" t="s">
        <v>730</v>
      </c>
      <c r="O647" s="1" t="s">
        <v>628</v>
      </c>
      <c r="P647" s="1">
        <v>6.5E7</v>
      </c>
      <c r="Q647" s="1">
        <v>2012.0</v>
      </c>
      <c r="R647" s="1">
        <v>14000.0</v>
      </c>
      <c r="S647" s="1">
        <v>1000.0</v>
      </c>
      <c r="T647" s="1">
        <v>974.0</v>
      </c>
      <c r="U647" s="1">
        <v>17913.0</v>
      </c>
      <c r="V647" s="1">
        <v>545.0</v>
      </c>
      <c r="W647" s="1">
        <v>32000.0</v>
      </c>
      <c r="X647" s="1">
        <v>0.0</v>
      </c>
      <c r="Y647" s="1">
        <v>2.35</v>
      </c>
      <c r="Z647" s="1">
        <v>5.4</v>
      </c>
    </row>
    <row r="648" ht="14.25" customHeight="1">
      <c r="A648" s="1" t="s">
        <v>26</v>
      </c>
      <c r="B648" s="1" t="s">
        <v>2246</v>
      </c>
      <c r="C648" s="1" t="s">
        <v>3573</v>
      </c>
      <c r="D648" s="1">
        <v>3.606491E7</v>
      </c>
      <c r="E648" s="1" t="s">
        <v>2670</v>
      </c>
      <c r="F648" s="1" t="s">
        <v>327</v>
      </c>
      <c r="G648" s="1" t="s">
        <v>2824</v>
      </c>
      <c r="H648" s="1" t="s">
        <v>2234</v>
      </c>
      <c r="I648" s="1">
        <v>166610.0</v>
      </c>
      <c r="J648" s="1" t="s">
        <v>3574</v>
      </c>
      <c r="K648" s="1" t="s">
        <v>3575</v>
      </c>
      <c r="L648" s="1">
        <v>211.0</v>
      </c>
      <c r="M648" s="1" t="s">
        <v>35</v>
      </c>
      <c r="N648" s="1" t="s">
        <v>36</v>
      </c>
      <c r="O648" s="1" t="s">
        <v>628</v>
      </c>
      <c r="P648" s="1">
        <v>4.5E7</v>
      </c>
      <c r="Q648" s="1">
        <v>2008.0</v>
      </c>
      <c r="R648" s="1">
        <v>26000.0</v>
      </c>
      <c r="S648" s="1">
        <v>872.0</v>
      </c>
      <c r="T648" s="1">
        <v>805.0</v>
      </c>
      <c r="U648" s="1">
        <v>28643.0</v>
      </c>
      <c r="V648" s="1">
        <v>545.0</v>
      </c>
      <c r="W648" s="1">
        <v>0.0</v>
      </c>
      <c r="X648" s="1">
        <v>4.0</v>
      </c>
      <c r="Y648" s="1">
        <v>2.35</v>
      </c>
      <c r="Z648" s="1">
        <v>6.4</v>
      </c>
    </row>
    <row r="649" ht="14.25" customHeight="1">
      <c r="A649" s="1" t="s">
        <v>26</v>
      </c>
      <c r="B649" s="1" t="s">
        <v>1985</v>
      </c>
      <c r="C649" s="1" t="s">
        <v>3576</v>
      </c>
      <c r="D649" s="1">
        <v>3.3328051E7</v>
      </c>
      <c r="E649" s="1" t="s">
        <v>2281</v>
      </c>
      <c r="F649" s="1" t="s">
        <v>3577</v>
      </c>
      <c r="G649" s="1" t="s">
        <v>3578</v>
      </c>
      <c r="H649" s="1" t="s">
        <v>3579</v>
      </c>
      <c r="I649" s="1">
        <v>60508.0</v>
      </c>
      <c r="J649" s="1" t="s">
        <v>3580</v>
      </c>
      <c r="K649" s="1" t="s">
        <v>3581</v>
      </c>
      <c r="L649" s="1">
        <v>285.0</v>
      </c>
      <c r="M649" s="1" t="s">
        <v>35</v>
      </c>
      <c r="N649" s="1" t="s">
        <v>36</v>
      </c>
      <c r="O649" s="1" t="s">
        <v>628</v>
      </c>
      <c r="P649" s="1">
        <v>6.5E7</v>
      </c>
      <c r="Q649" s="1">
        <v>1996.0</v>
      </c>
      <c r="R649" s="1">
        <v>394.0</v>
      </c>
      <c r="S649" s="1">
        <v>380.0</v>
      </c>
      <c r="T649" s="1">
        <v>263.0</v>
      </c>
      <c r="U649" s="1">
        <v>1531.0</v>
      </c>
      <c r="V649" s="1">
        <v>212.0</v>
      </c>
      <c r="W649" s="1">
        <v>4000.0</v>
      </c>
      <c r="X649" s="1">
        <v>2.0</v>
      </c>
      <c r="Y649" s="1">
        <v>2.35</v>
      </c>
      <c r="Z649" s="1">
        <v>6.7</v>
      </c>
    </row>
    <row r="650" ht="14.25" customHeight="1">
      <c r="A650" s="1" t="s">
        <v>26</v>
      </c>
      <c r="B650" s="1" t="s">
        <v>3582</v>
      </c>
      <c r="C650" s="1" t="s">
        <v>3583</v>
      </c>
      <c r="D650" s="1">
        <v>3.2598931E7</v>
      </c>
      <c r="E650" s="1" t="s">
        <v>886</v>
      </c>
      <c r="F650" s="1" t="s">
        <v>3584</v>
      </c>
      <c r="G650" s="1" t="s">
        <v>2151</v>
      </c>
      <c r="H650" s="1" t="s">
        <v>3585</v>
      </c>
      <c r="I650" s="1">
        <v>49300.0</v>
      </c>
      <c r="J650" s="1" t="s">
        <v>3586</v>
      </c>
      <c r="K650" s="1" t="s">
        <v>3587</v>
      </c>
      <c r="L650" s="1">
        <v>265.0</v>
      </c>
      <c r="M650" s="1" t="s">
        <v>35</v>
      </c>
      <c r="N650" s="1" t="s">
        <v>36</v>
      </c>
      <c r="O650" s="1" t="s">
        <v>628</v>
      </c>
      <c r="P650" s="1">
        <v>6.5E7</v>
      </c>
      <c r="Q650" s="1">
        <v>2000.0</v>
      </c>
      <c r="R650" s="1">
        <v>324.0</v>
      </c>
      <c r="S650" s="1">
        <v>192.0</v>
      </c>
      <c r="T650" s="1">
        <v>184.0</v>
      </c>
      <c r="U650" s="1">
        <v>1013.0</v>
      </c>
      <c r="V650" s="1">
        <v>138.0</v>
      </c>
      <c r="W650" s="1">
        <v>892.0</v>
      </c>
      <c r="X650" s="1">
        <v>1.0</v>
      </c>
      <c r="Y650" s="1">
        <v>2.35</v>
      </c>
      <c r="Z650" s="1">
        <v>6.2</v>
      </c>
    </row>
    <row r="651" ht="14.25" customHeight="1">
      <c r="A651" s="1" t="s">
        <v>26</v>
      </c>
      <c r="B651" s="1" t="s">
        <v>243</v>
      </c>
      <c r="C651" s="1" t="s">
        <v>3588</v>
      </c>
      <c r="D651" s="1">
        <v>2.804554E7</v>
      </c>
      <c r="E651" s="1" t="s">
        <v>157</v>
      </c>
      <c r="F651" s="1" t="s">
        <v>544</v>
      </c>
      <c r="G651" s="1" t="s">
        <v>663</v>
      </c>
      <c r="H651" s="1" t="s">
        <v>3589</v>
      </c>
      <c r="I651" s="1">
        <v>67707.0</v>
      </c>
      <c r="J651" s="1" t="s">
        <v>3590</v>
      </c>
      <c r="K651" s="1" t="s">
        <v>3591</v>
      </c>
      <c r="L651" s="1">
        <v>202.0</v>
      </c>
      <c r="M651" s="1" t="s">
        <v>35</v>
      </c>
      <c r="N651" s="1" t="s">
        <v>36</v>
      </c>
      <c r="O651" s="1" t="s">
        <v>87</v>
      </c>
      <c r="P651" s="1">
        <v>6.5E7</v>
      </c>
      <c r="Q651" s="1">
        <v>2005.0</v>
      </c>
      <c r="R651" s="1">
        <v>17000.0</v>
      </c>
      <c r="S651" s="1">
        <v>14000.0</v>
      </c>
      <c r="T651" s="1">
        <v>539.0</v>
      </c>
      <c r="U651" s="1">
        <v>32232.0</v>
      </c>
      <c r="V651" s="1">
        <v>4000.0</v>
      </c>
      <c r="W651" s="1">
        <v>0.0</v>
      </c>
      <c r="X651" s="1">
        <v>0.0</v>
      </c>
      <c r="Y651" s="1">
        <v>1.85</v>
      </c>
      <c r="Z651" s="1">
        <v>6.1</v>
      </c>
    </row>
    <row r="652" ht="14.25" customHeight="1">
      <c r="A652" s="1" t="s">
        <v>26</v>
      </c>
      <c r="B652" s="1" t="s">
        <v>648</v>
      </c>
      <c r="C652" s="1" t="s">
        <v>3592</v>
      </c>
      <c r="D652" s="1">
        <v>3.7023395E7</v>
      </c>
      <c r="E652" s="1" t="s">
        <v>3238</v>
      </c>
      <c r="F652" s="1" t="s">
        <v>335</v>
      </c>
      <c r="G652" s="1" t="s">
        <v>3593</v>
      </c>
      <c r="H652" s="1" t="s">
        <v>3594</v>
      </c>
      <c r="I652" s="1">
        <v>1347461.0</v>
      </c>
      <c r="J652" s="1" t="s">
        <v>3595</v>
      </c>
      <c r="K652" s="1" t="s">
        <v>3596</v>
      </c>
      <c r="L652" s="1">
        <v>2968.0</v>
      </c>
      <c r="M652" s="1" t="s">
        <v>35</v>
      </c>
      <c r="N652" s="1" t="s">
        <v>36</v>
      </c>
      <c r="O652" s="1" t="s">
        <v>628</v>
      </c>
      <c r="P652" s="1">
        <v>6.3E7</v>
      </c>
      <c r="Q652" s="1">
        <v>1999.0</v>
      </c>
      <c r="R652" s="1">
        <v>11000.0</v>
      </c>
      <c r="S652" s="1">
        <v>783.0</v>
      </c>
      <c r="T652" s="1">
        <v>637.0</v>
      </c>
      <c r="U652" s="1">
        <v>13209.0</v>
      </c>
      <c r="V652" s="1">
        <v>21000.0</v>
      </c>
      <c r="W652" s="1">
        <v>48000.0</v>
      </c>
      <c r="X652" s="1">
        <v>2.0</v>
      </c>
      <c r="Y652" s="1">
        <v>2.35</v>
      </c>
      <c r="Z652" s="1">
        <v>8.8</v>
      </c>
    </row>
    <row r="653" ht="14.25" customHeight="1">
      <c r="A653" s="1" t="s">
        <v>26</v>
      </c>
      <c r="B653" s="1" t="s">
        <v>319</v>
      </c>
      <c r="C653" s="1" t="s">
        <v>3597</v>
      </c>
      <c r="D653" s="1">
        <v>4.3532294E7</v>
      </c>
      <c r="E653" s="1" t="s">
        <v>3598</v>
      </c>
      <c r="F653" s="1" t="s">
        <v>637</v>
      </c>
      <c r="G653" s="1" t="s">
        <v>3599</v>
      </c>
      <c r="H653" s="1" t="s">
        <v>3082</v>
      </c>
      <c r="I653" s="1">
        <v>46951.0</v>
      </c>
      <c r="J653" s="1" t="s">
        <v>3600</v>
      </c>
      <c r="K653" s="1" t="s">
        <v>3601</v>
      </c>
      <c r="L653" s="1">
        <v>175.0</v>
      </c>
      <c r="M653" s="1" t="s">
        <v>35</v>
      </c>
      <c r="N653" s="1" t="s">
        <v>36</v>
      </c>
      <c r="O653" s="1" t="s">
        <v>87</v>
      </c>
      <c r="P653" s="1">
        <v>6.5E7</v>
      </c>
      <c r="Q653" s="1">
        <v>2006.0</v>
      </c>
      <c r="R653" s="1">
        <v>11000.0</v>
      </c>
      <c r="S653" s="1">
        <v>529.0</v>
      </c>
      <c r="T653" s="1">
        <v>383.0</v>
      </c>
      <c r="U653" s="1">
        <v>12088.0</v>
      </c>
      <c r="V653" s="1">
        <v>368.0</v>
      </c>
      <c r="W653" s="1">
        <v>0.0</v>
      </c>
      <c r="X653" s="1">
        <v>0.0</v>
      </c>
      <c r="Y653" s="1">
        <v>2.35</v>
      </c>
      <c r="Z653" s="1">
        <v>7.1</v>
      </c>
    </row>
    <row r="654" ht="14.25" customHeight="1">
      <c r="A654" s="1" t="s">
        <v>26</v>
      </c>
      <c r="B654" s="1" t="s">
        <v>3602</v>
      </c>
      <c r="C654" s="1" t="s">
        <v>3603</v>
      </c>
      <c r="D654" s="1">
        <v>1.721808E7</v>
      </c>
      <c r="E654" s="1" t="s">
        <v>1551</v>
      </c>
      <c r="F654" s="1" t="s">
        <v>941</v>
      </c>
      <c r="G654" s="1" t="s">
        <v>1385</v>
      </c>
      <c r="H654" s="1" t="s">
        <v>2208</v>
      </c>
      <c r="I654" s="1">
        <v>43376.0</v>
      </c>
      <c r="J654" s="1" t="s">
        <v>3604</v>
      </c>
      <c r="K654" s="1" t="s">
        <v>3605</v>
      </c>
      <c r="L654" s="1">
        <v>249.0</v>
      </c>
      <c r="M654" s="1" t="s">
        <v>35</v>
      </c>
      <c r="N654" s="1" t="s">
        <v>36</v>
      </c>
      <c r="O654" s="1" t="s">
        <v>628</v>
      </c>
      <c r="P654" s="1">
        <v>7.0E7</v>
      </c>
      <c r="Q654" s="1">
        <v>1991.0</v>
      </c>
      <c r="R654" s="1">
        <v>13000.0</v>
      </c>
      <c r="S654" s="1">
        <v>773.0</v>
      </c>
      <c r="T654" s="1">
        <v>554.0</v>
      </c>
      <c r="U654" s="1">
        <v>15944.0</v>
      </c>
      <c r="V654" s="1">
        <v>36.0</v>
      </c>
      <c r="W654" s="1">
        <v>0.0</v>
      </c>
      <c r="X654" s="1">
        <v>0.0</v>
      </c>
      <c r="Y654" s="1">
        <v>1.85</v>
      </c>
      <c r="Z654" s="1">
        <v>5.7</v>
      </c>
    </row>
    <row r="655" ht="14.25" customHeight="1">
      <c r="A655" s="1" t="s">
        <v>26</v>
      </c>
      <c r="B655" s="1" t="s">
        <v>3477</v>
      </c>
      <c r="C655" s="1" t="s">
        <v>3606</v>
      </c>
      <c r="D655" s="1">
        <v>1.0014234E7</v>
      </c>
      <c r="E655" s="1" t="s">
        <v>972</v>
      </c>
      <c r="F655" s="1" t="s">
        <v>2418</v>
      </c>
      <c r="G655" s="1" t="s">
        <v>3607</v>
      </c>
      <c r="H655" s="1" t="s">
        <v>2838</v>
      </c>
      <c r="I655" s="1">
        <v>8560.0</v>
      </c>
      <c r="J655" s="1" t="s">
        <v>3608</v>
      </c>
      <c r="K655" s="1" t="s">
        <v>3609</v>
      </c>
      <c r="L655" s="1">
        <v>69.0</v>
      </c>
      <c r="M655" s="1" t="s">
        <v>35</v>
      </c>
      <c r="N655" s="1" t="s">
        <v>1832</v>
      </c>
      <c r="O655" s="1" t="s">
        <v>628</v>
      </c>
      <c r="P655" s="1">
        <v>6.5E7</v>
      </c>
      <c r="Q655" s="1">
        <v>2000.0</v>
      </c>
      <c r="R655" s="1">
        <v>975.0</v>
      </c>
      <c r="S655" s="1">
        <v>909.0</v>
      </c>
      <c r="T655" s="1">
        <v>506.0</v>
      </c>
      <c r="U655" s="1">
        <v>3580.0</v>
      </c>
      <c r="V655" s="1">
        <v>0.0</v>
      </c>
      <c r="W655" s="1">
        <v>177.0</v>
      </c>
      <c r="X655" s="1">
        <v>1.0</v>
      </c>
      <c r="Y655" s="1">
        <v>1.85</v>
      </c>
      <c r="Z655" s="1">
        <v>5.0</v>
      </c>
    </row>
    <row r="656" ht="14.25" customHeight="1">
      <c r="A656" s="1" t="s">
        <v>26</v>
      </c>
      <c r="B656" s="1" t="s">
        <v>3610</v>
      </c>
      <c r="C656" s="1" t="s">
        <v>3611</v>
      </c>
      <c r="D656" s="1">
        <v>1.9059018E7</v>
      </c>
      <c r="E656" s="1" t="s">
        <v>3612</v>
      </c>
      <c r="F656" s="1" t="s">
        <v>3613</v>
      </c>
      <c r="G656" s="1" t="s">
        <v>3614</v>
      </c>
      <c r="H656" s="1" t="s">
        <v>2015</v>
      </c>
      <c r="I656" s="1">
        <v>65709.0</v>
      </c>
      <c r="J656" s="1" t="s">
        <v>3615</v>
      </c>
      <c r="K656" s="1" t="s">
        <v>3616</v>
      </c>
      <c r="L656" s="1">
        <v>194.0</v>
      </c>
      <c r="M656" s="1" t="s">
        <v>35</v>
      </c>
      <c r="N656" s="1" t="s">
        <v>362</v>
      </c>
      <c r="O656" s="1" t="s">
        <v>37</v>
      </c>
      <c r="P656" s="1">
        <v>6.5E7</v>
      </c>
      <c r="Q656" s="1">
        <v>2014.0</v>
      </c>
      <c r="R656" s="1">
        <v>623.0</v>
      </c>
      <c r="S656" s="1">
        <v>593.0</v>
      </c>
      <c r="T656" s="1">
        <v>568.0</v>
      </c>
      <c r="U656" s="1">
        <v>3165.0</v>
      </c>
      <c r="V656" s="1">
        <v>72.0</v>
      </c>
      <c r="W656" s="1">
        <v>15000.0</v>
      </c>
      <c r="X656" s="1">
        <v>0.0</v>
      </c>
      <c r="Y656" s="1">
        <v>2.35</v>
      </c>
      <c r="Z656" s="1">
        <v>5.1</v>
      </c>
    </row>
    <row r="657" ht="14.25" customHeight="1">
      <c r="A657" s="1" t="s">
        <v>26</v>
      </c>
      <c r="B657" s="1" t="s">
        <v>3617</v>
      </c>
      <c r="C657" s="1" t="s">
        <v>3618</v>
      </c>
      <c r="D657" s="1">
        <v>1987287.0</v>
      </c>
      <c r="E657" s="1" t="s">
        <v>1854</v>
      </c>
      <c r="F657" s="1" t="s">
        <v>3619</v>
      </c>
      <c r="G657" s="1" t="s">
        <v>3620</v>
      </c>
      <c r="H657" s="1" t="s">
        <v>3621</v>
      </c>
      <c r="I657" s="1">
        <v>25474.0</v>
      </c>
      <c r="J657" s="1" t="s">
        <v>3622</v>
      </c>
      <c r="K657" s="1" t="s">
        <v>3623</v>
      </c>
      <c r="L657" s="1">
        <v>138.0</v>
      </c>
      <c r="M657" s="1" t="s">
        <v>35</v>
      </c>
      <c r="N657" s="1" t="s">
        <v>54</v>
      </c>
      <c r="O657" s="1" t="s">
        <v>37</v>
      </c>
      <c r="P657" s="1">
        <v>5.0E7</v>
      </c>
      <c r="Q657" s="1">
        <v>2005.0</v>
      </c>
      <c r="R657" s="1">
        <v>268.0</v>
      </c>
      <c r="S657" s="1">
        <v>85.0</v>
      </c>
      <c r="T657" s="1">
        <v>25.0</v>
      </c>
      <c r="U657" s="1">
        <v>450.0</v>
      </c>
      <c r="V657" s="1">
        <v>2000.0</v>
      </c>
      <c r="W657" s="1">
        <v>0.0</v>
      </c>
      <c r="X657" s="1">
        <v>0.0</v>
      </c>
      <c r="Y657" s="1">
        <v>2.35</v>
      </c>
      <c r="Z657" s="1">
        <v>6.9</v>
      </c>
    </row>
    <row r="658" ht="14.25" customHeight="1">
      <c r="A658" s="1" t="s">
        <v>26</v>
      </c>
      <c r="B658" s="1" t="s">
        <v>3420</v>
      </c>
      <c r="C658" s="1" t="s">
        <v>3624</v>
      </c>
      <c r="D658" s="1">
        <v>2.4407944E7</v>
      </c>
      <c r="E658" s="1" t="s">
        <v>2856</v>
      </c>
      <c r="F658" s="1" t="s">
        <v>713</v>
      </c>
      <c r="G658" s="1" t="s">
        <v>564</v>
      </c>
      <c r="H658" s="1" t="s">
        <v>2062</v>
      </c>
      <c r="I658" s="1">
        <v>71202.0</v>
      </c>
      <c r="J658" s="1" t="s">
        <v>3625</v>
      </c>
      <c r="K658" s="1" t="s">
        <v>3626</v>
      </c>
      <c r="L658" s="1">
        <v>380.0</v>
      </c>
      <c r="M658" s="1" t="s">
        <v>35</v>
      </c>
      <c r="N658" s="1" t="s">
        <v>260</v>
      </c>
      <c r="O658" s="1" t="s">
        <v>37</v>
      </c>
      <c r="P658" s="1">
        <v>4.3E7</v>
      </c>
      <c r="Q658" s="1">
        <v>2005.0</v>
      </c>
      <c r="R658" s="1">
        <v>3000.0</v>
      </c>
      <c r="S658" s="1">
        <v>1000.0</v>
      </c>
      <c r="T658" s="1">
        <v>1000.0</v>
      </c>
      <c r="U658" s="1">
        <v>7048.0</v>
      </c>
      <c r="V658" s="1">
        <v>38.0</v>
      </c>
      <c r="W658" s="1">
        <v>0.0</v>
      </c>
      <c r="X658" s="1">
        <v>0.0</v>
      </c>
      <c r="Y658" s="1">
        <v>2.35</v>
      </c>
      <c r="Z658" s="1">
        <v>4.8</v>
      </c>
    </row>
    <row r="659" ht="14.25" customHeight="1">
      <c r="A659" s="1" t="s">
        <v>710</v>
      </c>
      <c r="B659" s="1" t="s">
        <v>3627</v>
      </c>
      <c r="C659" s="1" t="s">
        <v>3628</v>
      </c>
      <c r="D659" s="1">
        <v>1.3750556E7</v>
      </c>
      <c r="E659" s="1" t="s">
        <v>326</v>
      </c>
      <c r="F659" s="1" t="s">
        <v>60</v>
      </c>
      <c r="G659" s="1" t="s">
        <v>941</v>
      </c>
      <c r="H659" s="1" t="s">
        <v>194</v>
      </c>
      <c r="I659" s="1">
        <v>111102.0</v>
      </c>
      <c r="J659" s="1" t="s">
        <v>3629</v>
      </c>
      <c r="K659" s="1" t="s">
        <v>3630</v>
      </c>
      <c r="L659" s="1">
        <v>239.0</v>
      </c>
      <c r="M659" s="1" t="s">
        <v>35</v>
      </c>
      <c r="N659" s="1" t="s">
        <v>36</v>
      </c>
      <c r="O659" s="1" t="s">
        <v>628</v>
      </c>
      <c r="P659" s="1">
        <v>6.5E7</v>
      </c>
      <c r="Q659" s="1">
        <v>2014.0</v>
      </c>
      <c r="R659" s="1">
        <v>23000.0</v>
      </c>
      <c r="S659" s="1">
        <v>13000.0</v>
      </c>
      <c r="T659" s="1">
        <v>6000.0</v>
      </c>
      <c r="U659" s="1">
        <v>49433.0</v>
      </c>
      <c r="V659" s="1">
        <v>436.0</v>
      </c>
      <c r="W659" s="1">
        <v>32000.0</v>
      </c>
      <c r="X659" s="1">
        <v>3.0</v>
      </c>
      <c r="Y659" s="1">
        <v>1.85</v>
      </c>
      <c r="Z659" s="1">
        <v>6.5</v>
      </c>
    </row>
    <row r="660" ht="14.25" customHeight="1">
      <c r="A660" s="1" t="s">
        <v>26</v>
      </c>
      <c r="B660" s="1" t="s">
        <v>2128</v>
      </c>
      <c r="C660" s="1" t="s">
        <v>3631</v>
      </c>
      <c r="D660" s="1">
        <v>3.1054924E7</v>
      </c>
      <c r="E660" s="1" t="s">
        <v>3632</v>
      </c>
      <c r="F660" s="1" t="s">
        <v>383</v>
      </c>
      <c r="G660" s="1" t="s">
        <v>195</v>
      </c>
      <c r="H660" s="1" t="s">
        <v>3633</v>
      </c>
      <c r="I660" s="1">
        <v>17025.0</v>
      </c>
      <c r="J660" s="1" t="s">
        <v>3634</v>
      </c>
      <c r="K660" s="1" t="s">
        <v>3635</v>
      </c>
      <c r="L660" s="1">
        <v>290.0</v>
      </c>
      <c r="M660" s="1" t="s">
        <v>35</v>
      </c>
      <c r="N660" s="1" t="s">
        <v>36</v>
      </c>
      <c r="O660" s="1" t="s">
        <v>628</v>
      </c>
      <c r="P660" s="1">
        <v>6.4E7</v>
      </c>
      <c r="Q660" s="1">
        <v>1999.0</v>
      </c>
      <c r="R660" s="1">
        <v>11000.0</v>
      </c>
      <c r="S660" s="1">
        <v>1000.0</v>
      </c>
      <c r="T660" s="1">
        <v>970.0</v>
      </c>
      <c r="U660" s="1">
        <v>16710.0</v>
      </c>
      <c r="V660" s="1">
        <v>521.0</v>
      </c>
      <c r="W660" s="1">
        <v>295.0</v>
      </c>
      <c r="X660" s="1">
        <v>1.0</v>
      </c>
      <c r="Y660" s="1">
        <v>1.85</v>
      </c>
      <c r="Z660" s="1">
        <v>5.1</v>
      </c>
    </row>
    <row r="661" ht="14.25" customHeight="1">
      <c r="A661" s="1" t="s">
        <v>26</v>
      </c>
      <c r="B661" s="1" t="s">
        <v>3636</v>
      </c>
      <c r="C661" s="1" t="s">
        <v>3637</v>
      </c>
      <c r="D661" s="1">
        <v>4.324714E7</v>
      </c>
      <c r="E661" s="1" t="s">
        <v>3638</v>
      </c>
      <c r="F661" s="1" t="s">
        <v>2893</v>
      </c>
      <c r="G661" s="1" t="s">
        <v>3639</v>
      </c>
      <c r="H661" s="1" t="s">
        <v>3640</v>
      </c>
      <c r="I661" s="1">
        <v>134625.0</v>
      </c>
      <c r="J661" s="1" t="s">
        <v>3641</v>
      </c>
      <c r="K661" s="1" t="s">
        <v>3642</v>
      </c>
      <c r="L661" s="1">
        <v>265.0</v>
      </c>
      <c r="M661" s="1" t="s">
        <v>35</v>
      </c>
      <c r="N661" s="1" t="s">
        <v>54</v>
      </c>
      <c r="O661" s="1" t="s">
        <v>37</v>
      </c>
      <c r="P661" s="1">
        <v>5.5E7</v>
      </c>
      <c r="Q661" s="1">
        <v>2015.0</v>
      </c>
      <c r="R661" s="1">
        <v>963.0</v>
      </c>
      <c r="S661" s="1">
        <v>580.0</v>
      </c>
      <c r="T661" s="1">
        <v>221.0</v>
      </c>
      <c r="U661" s="1">
        <v>2131.0</v>
      </c>
      <c r="V661" s="1">
        <v>175.0</v>
      </c>
      <c r="W661" s="1">
        <v>40000.0</v>
      </c>
      <c r="X661" s="1">
        <v>0.0</v>
      </c>
      <c r="Y661" s="1">
        <v>2.35</v>
      </c>
      <c r="Z661" s="1">
        <v>7.1</v>
      </c>
    </row>
    <row r="662" ht="14.25" customHeight="1">
      <c r="A662" s="1" t="s">
        <v>26</v>
      </c>
      <c r="B662" s="1" t="s">
        <v>1764</v>
      </c>
      <c r="C662" s="1" t="s">
        <v>3643</v>
      </c>
      <c r="D662" s="1">
        <v>2208939.0</v>
      </c>
      <c r="E662" s="1" t="s">
        <v>3644</v>
      </c>
      <c r="F662" s="1" t="s">
        <v>3645</v>
      </c>
      <c r="G662" s="1" t="s">
        <v>3646</v>
      </c>
      <c r="H662" s="1" t="s">
        <v>3647</v>
      </c>
      <c r="I662" s="1">
        <v>190490.0</v>
      </c>
      <c r="J662" s="1" t="s">
        <v>3648</v>
      </c>
      <c r="K662" s="1" t="s">
        <v>3649</v>
      </c>
      <c r="L662" s="1">
        <v>482.0</v>
      </c>
      <c r="M662" s="1" t="s">
        <v>35</v>
      </c>
      <c r="N662" s="1" t="s">
        <v>730</v>
      </c>
      <c r="O662" s="1" t="s">
        <v>628</v>
      </c>
      <c r="P662" s="1">
        <v>5.0E7</v>
      </c>
      <c r="Q662" s="1">
        <v>2006.0</v>
      </c>
      <c r="R662" s="1">
        <v>177.0</v>
      </c>
      <c r="S662" s="1">
        <v>27.0</v>
      </c>
      <c r="T662" s="1">
        <v>16.0</v>
      </c>
      <c r="U662" s="1">
        <v>253.0</v>
      </c>
      <c r="V662" s="1">
        <v>670.0</v>
      </c>
      <c r="W662" s="1">
        <v>26000.0</v>
      </c>
      <c r="X662" s="1">
        <v>0.0</v>
      </c>
      <c r="Y662" s="1">
        <v>2.35</v>
      </c>
      <c r="Z662" s="1">
        <v>7.5</v>
      </c>
    </row>
    <row r="663" ht="14.25" customHeight="1">
      <c r="A663" s="1" t="s">
        <v>26</v>
      </c>
      <c r="B663" s="1" t="s">
        <v>1883</v>
      </c>
      <c r="C663" s="1" t="s">
        <v>3650</v>
      </c>
      <c r="D663" s="1">
        <v>2.13079163E8</v>
      </c>
      <c r="E663" s="1" t="s">
        <v>1670</v>
      </c>
      <c r="F663" s="1" t="s">
        <v>1202</v>
      </c>
      <c r="G663" s="1" t="s">
        <v>3651</v>
      </c>
      <c r="H663" s="1" t="s">
        <v>3652</v>
      </c>
      <c r="I663" s="1">
        <v>162909.0</v>
      </c>
      <c r="J663" s="1" t="s">
        <v>3653</v>
      </c>
      <c r="K663" s="1" t="s">
        <v>3654</v>
      </c>
      <c r="L663" s="1">
        <v>795.0</v>
      </c>
      <c r="M663" s="1" t="s">
        <v>35</v>
      </c>
      <c r="N663" s="1" t="s">
        <v>36</v>
      </c>
      <c r="O663" s="1" t="s">
        <v>37</v>
      </c>
      <c r="P663" s="1">
        <v>6.3E7</v>
      </c>
      <c r="Q663" s="1">
        <v>2002.0</v>
      </c>
      <c r="R663" s="1">
        <v>645.0</v>
      </c>
      <c r="S663" s="1">
        <v>522.0</v>
      </c>
      <c r="T663" s="1">
        <v>481.0</v>
      </c>
      <c r="U663" s="1">
        <v>2725.0</v>
      </c>
      <c r="V663" s="1">
        <v>116.0</v>
      </c>
      <c r="W663" s="1">
        <v>0.0</v>
      </c>
      <c r="X663" s="1">
        <v>2.0</v>
      </c>
      <c r="Y663" s="1">
        <v>2.35</v>
      </c>
      <c r="Z663" s="1">
        <v>6.2</v>
      </c>
    </row>
    <row r="664" ht="14.25" customHeight="1">
      <c r="A664" s="1" t="s">
        <v>26</v>
      </c>
      <c r="B664" s="1" t="s">
        <v>898</v>
      </c>
      <c r="C664" s="1" t="s">
        <v>3655</v>
      </c>
      <c r="D664" s="1">
        <v>1.9548064E7</v>
      </c>
      <c r="E664" s="1" t="s">
        <v>1196</v>
      </c>
      <c r="F664" s="1" t="s">
        <v>668</v>
      </c>
      <c r="G664" s="1" t="s">
        <v>741</v>
      </c>
      <c r="H664" s="1" t="s">
        <v>3656</v>
      </c>
      <c r="I664" s="1">
        <v>25681.0</v>
      </c>
      <c r="J664" s="1" t="s">
        <v>3657</v>
      </c>
      <c r="K664" s="1" t="s">
        <v>3658</v>
      </c>
      <c r="L664" s="1">
        <v>77.0</v>
      </c>
      <c r="M664" s="1" t="s">
        <v>35</v>
      </c>
      <c r="N664" s="1" t="s">
        <v>3659</v>
      </c>
      <c r="O664" s="1" t="s">
        <v>87</v>
      </c>
      <c r="P664" s="1">
        <v>6.5E7</v>
      </c>
      <c r="Q664" s="1">
        <v>2009.0</v>
      </c>
      <c r="R664" s="1">
        <v>12000.0</v>
      </c>
      <c r="S664" s="1">
        <v>9000.0</v>
      </c>
      <c r="T664" s="1">
        <v>668.0</v>
      </c>
      <c r="U664" s="1">
        <v>23365.0</v>
      </c>
      <c r="V664" s="1">
        <v>42.0</v>
      </c>
      <c r="W664" s="1">
        <v>0.0</v>
      </c>
      <c r="X664" s="1">
        <v>1.0</v>
      </c>
      <c r="Y664" s="1">
        <v>2.35</v>
      </c>
      <c r="Z664" s="1">
        <v>6.3</v>
      </c>
    </row>
    <row r="665" ht="14.25" customHeight="1">
      <c r="A665" s="1" t="s">
        <v>26</v>
      </c>
      <c r="B665" s="1" t="s">
        <v>381</v>
      </c>
      <c r="C665" s="1" t="s">
        <v>3660</v>
      </c>
      <c r="D665" s="1">
        <v>3.56784E8</v>
      </c>
      <c r="E665" s="1" t="s">
        <v>1126</v>
      </c>
      <c r="F665" s="1" t="s">
        <v>957</v>
      </c>
      <c r="G665" s="1" t="s">
        <v>2837</v>
      </c>
      <c r="H665" s="1" t="s">
        <v>3661</v>
      </c>
      <c r="I665" s="1">
        <v>613473.0</v>
      </c>
      <c r="J665" s="1" t="s">
        <v>3662</v>
      </c>
      <c r="K665" s="1" t="s">
        <v>3663</v>
      </c>
      <c r="L665" s="1">
        <v>895.0</v>
      </c>
      <c r="M665" s="1" t="s">
        <v>35</v>
      </c>
      <c r="N665" s="1" t="s">
        <v>36</v>
      </c>
      <c r="O665" s="1" t="s">
        <v>37</v>
      </c>
      <c r="P665" s="1">
        <v>6.3E7</v>
      </c>
      <c r="Q665" s="1">
        <v>1993.0</v>
      </c>
      <c r="R665" s="1">
        <v>967.0</v>
      </c>
      <c r="S665" s="1">
        <v>610.0</v>
      </c>
      <c r="T665" s="1">
        <v>191.0</v>
      </c>
      <c r="U665" s="1">
        <v>2129.0</v>
      </c>
      <c r="V665" s="1">
        <v>14000.0</v>
      </c>
      <c r="W665" s="1">
        <v>19000.0</v>
      </c>
      <c r="X665" s="1">
        <v>0.0</v>
      </c>
      <c r="Y665" s="1">
        <v>1.85</v>
      </c>
      <c r="Z665" s="1">
        <v>8.1</v>
      </c>
    </row>
    <row r="666" ht="14.25" customHeight="1">
      <c r="A666" s="1" t="s">
        <v>26</v>
      </c>
      <c r="B666" s="1" t="s">
        <v>3446</v>
      </c>
      <c r="C666" s="1" t="s">
        <v>3664</v>
      </c>
      <c r="D666" s="1">
        <v>2.5052E7</v>
      </c>
      <c r="E666" s="1" t="s">
        <v>3665</v>
      </c>
      <c r="F666" s="1" t="s">
        <v>522</v>
      </c>
      <c r="G666" s="1" t="s">
        <v>1719</v>
      </c>
      <c r="H666" s="1" t="s">
        <v>3666</v>
      </c>
      <c r="I666" s="1">
        <v>35314.0</v>
      </c>
      <c r="J666" s="1" t="s">
        <v>3667</v>
      </c>
      <c r="K666" s="1" t="s">
        <v>3668</v>
      </c>
      <c r="L666" s="1">
        <v>145.0</v>
      </c>
      <c r="M666" s="1" t="s">
        <v>35</v>
      </c>
      <c r="N666" s="1" t="s">
        <v>36</v>
      </c>
      <c r="O666" s="1" t="s">
        <v>37</v>
      </c>
      <c r="P666" s="1">
        <v>6.3E7</v>
      </c>
      <c r="Q666" s="1">
        <v>1994.0</v>
      </c>
      <c r="R666" s="1">
        <v>2000.0</v>
      </c>
      <c r="S666" s="1">
        <v>925.0</v>
      </c>
      <c r="T666" s="1">
        <v>812.0</v>
      </c>
      <c r="U666" s="1">
        <v>5708.0</v>
      </c>
      <c r="V666" s="1">
        <v>759.0</v>
      </c>
      <c r="W666" s="1">
        <v>0.0</v>
      </c>
      <c r="X666" s="1">
        <v>0.0</v>
      </c>
      <c r="Y666" s="1">
        <v>2.35</v>
      </c>
      <c r="Z666" s="1">
        <v>6.6</v>
      </c>
    </row>
    <row r="667" ht="14.25" customHeight="1">
      <c r="A667" s="1" t="s">
        <v>26</v>
      </c>
      <c r="B667" s="1" t="s">
        <v>1153</v>
      </c>
      <c r="C667" s="1" t="s">
        <v>3669</v>
      </c>
      <c r="D667" s="1">
        <v>1.2201271E8</v>
      </c>
      <c r="E667" s="1" t="s">
        <v>449</v>
      </c>
      <c r="F667" s="1" t="s">
        <v>383</v>
      </c>
      <c r="G667" s="1" t="s">
        <v>3670</v>
      </c>
      <c r="H667" s="1" t="s">
        <v>2344</v>
      </c>
      <c r="I667" s="1">
        <v>69663.0</v>
      </c>
      <c r="J667" s="1" t="s">
        <v>3671</v>
      </c>
      <c r="K667" s="1" t="s">
        <v>3672</v>
      </c>
      <c r="L667" s="1">
        <v>133.0</v>
      </c>
      <c r="M667" s="1" t="s">
        <v>35</v>
      </c>
      <c r="N667" s="1" t="s">
        <v>36</v>
      </c>
      <c r="O667" s="1" t="s">
        <v>37</v>
      </c>
      <c r="P667" s="1">
        <v>6.2E7</v>
      </c>
      <c r="Q667" s="1">
        <v>1994.0</v>
      </c>
      <c r="R667" s="1">
        <v>11000.0</v>
      </c>
      <c r="S667" s="1">
        <v>913.0</v>
      </c>
      <c r="T667" s="1">
        <v>672.0</v>
      </c>
      <c r="U667" s="1">
        <v>14178.0</v>
      </c>
      <c r="V667" s="1">
        <v>176.0</v>
      </c>
      <c r="W667" s="1">
        <v>0.0</v>
      </c>
      <c r="X667" s="1">
        <v>1.0</v>
      </c>
      <c r="Y667" s="1">
        <v>2.35</v>
      </c>
      <c r="Z667" s="1">
        <v>6.9</v>
      </c>
    </row>
    <row r="668" ht="14.25" customHeight="1">
      <c r="A668" s="1" t="s">
        <v>26</v>
      </c>
      <c r="B668" s="1" t="s">
        <v>3673</v>
      </c>
      <c r="C668" s="1" t="s">
        <v>3674</v>
      </c>
      <c r="D668" s="1">
        <v>72413.0</v>
      </c>
      <c r="E668" s="1" t="s">
        <v>181</v>
      </c>
      <c r="F668" s="1" t="s">
        <v>3675</v>
      </c>
      <c r="G668" s="1" t="s">
        <v>3676</v>
      </c>
      <c r="H668" s="1" t="s">
        <v>3677</v>
      </c>
      <c r="I668" s="1">
        <v>11584.0</v>
      </c>
      <c r="J668" s="1" t="s">
        <v>3678</v>
      </c>
      <c r="K668" s="1" t="s">
        <v>3679</v>
      </c>
      <c r="L668" s="1">
        <v>86.0</v>
      </c>
      <c r="M668" s="1" t="s">
        <v>1864</v>
      </c>
      <c r="N668" s="1" t="s">
        <v>855</v>
      </c>
      <c r="O668" s="1" t="s">
        <v>628</v>
      </c>
      <c r="P668" s="1">
        <v>6.5E7</v>
      </c>
      <c r="Q668" s="1">
        <v>2015.0</v>
      </c>
      <c r="R668" s="1">
        <v>21.0</v>
      </c>
      <c r="S668" s="1">
        <v>18.0</v>
      </c>
      <c r="T668" s="1">
        <v>7.0</v>
      </c>
      <c r="U668" s="1">
        <v>58.0</v>
      </c>
      <c r="V668" s="1">
        <v>10.0</v>
      </c>
      <c r="W668" s="1">
        <v>0.0</v>
      </c>
      <c r="X668" s="1">
        <v>3.0</v>
      </c>
      <c r="Y668" s="1">
        <v>2.35</v>
      </c>
      <c r="Z668" s="1">
        <v>6.1</v>
      </c>
    </row>
    <row r="669" ht="14.25" customHeight="1">
      <c r="A669" s="1" t="s">
        <v>26</v>
      </c>
      <c r="B669" s="1" t="s">
        <v>3680</v>
      </c>
      <c r="C669" s="1" t="s">
        <v>3681</v>
      </c>
      <c r="D669" s="1">
        <v>5.8255287E7</v>
      </c>
      <c r="E669" s="1" t="s">
        <v>972</v>
      </c>
      <c r="F669" s="1" t="s">
        <v>1576</v>
      </c>
      <c r="G669" s="1" t="s">
        <v>3682</v>
      </c>
      <c r="H669" s="1" t="s">
        <v>3683</v>
      </c>
      <c r="I669" s="1">
        <v>39471.0</v>
      </c>
      <c r="J669" s="1" t="s">
        <v>3684</v>
      </c>
      <c r="K669" s="1" t="s">
        <v>3685</v>
      </c>
      <c r="L669" s="1">
        <v>187.0</v>
      </c>
      <c r="M669" s="1" t="s">
        <v>35</v>
      </c>
      <c r="N669" s="1" t="s">
        <v>36</v>
      </c>
      <c r="O669" s="1" t="s">
        <v>37</v>
      </c>
      <c r="P669" s="1">
        <v>6.4E7</v>
      </c>
      <c r="Q669" s="1">
        <v>2006.0</v>
      </c>
      <c r="R669" s="1">
        <v>979.0</v>
      </c>
      <c r="S669" s="1">
        <v>862.0</v>
      </c>
      <c r="T669" s="1">
        <v>723.0</v>
      </c>
      <c r="U669" s="1">
        <v>6334.0</v>
      </c>
      <c r="V669" s="1">
        <v>322.0</v>
      </c>
      <c r="W669" s="1">
        <v>0.0</v>
      </c>
      <c r="X669" s="1">
        <v>1.0</v>
      </c>
      <c r="Y669" s="1">
        <v>1.85</v>
      </c>
      <c r="Z669" s="1">
        <v>4.3</v>
      </c>
    </row>
    <row r="670" ht="14.25" customHeight="1">
      <c r="A670" s="1" t="s">
        <v>26</v>
      </c>
      <c r="B670" s="1" t="s">
        <v>621</v>
      </c>
      <c r="C670" s="1" t="s">
        <v>3686</v>
      </c>
      <c r="D670" s="1">
        <v>7.708603E7</v>
      </c>
      <c r="E670" s="1" t="s">
        <v>3687</v>
      </c>
      <c r="F670" s="1" t="s">
        <v>637</v>
      </c>
      <c r="G670" s="1" t="s">
        <v>201</v>
      </c>
      <c r="H670" s="1" t="s">
        <v>3688</v>
      </c>
      <c r="I670" s="1">
        <v>65297.0</v>
      </c>
      <c r="J670" s="1" t="s">
        <v>3689</v>
      </c>
      <c r="K670" s="1" t="s">
        <v>3690</v>
      </c>
      <c r="L670" s="1">
        <v>602.0</v>
      </c>
      <c r="M670" s="1" t="s">
        <v>35</v>
      </c>
      <c r="N670" s="1" t="s">
        <v>1832</v>
      </c>
      <c r="O670" s="1" t="s">
        <v>37</v>
      </c>
      <c r="P670" s="1">
        <v>6.2E7</v>
      </c>
      <c r="Q670" s="1">
        <v>2000.0</v>
      </c>
      <c r="R670" s="1">
        <v>11000.0</v>
      </c>
      <c r="S670" s="1">
        <v>919.0</v>
      </c>
      <c r="T670" s="1">
        <v>563.0</v>
      </c>
      <c r="U670" s="1">
        <v>14931.0</v>
      </c>
      <c r="V670" s="1">
        <v>84.0</v>
      </c>
      <c r="W670" s="1">
        <v>0.0</v>
      </c>
      <c r="X670" s="1">
        <v>0.0</v>
      </c>
      <c r="Y670" s="1">
        <v>2.35</v>
      </c>
      <c r="Z670" s="1">
        <v>6.6</v>
      </c>
    </row>
    <row r="671" ht="14.25" customHeight="1">
      <c r="A671" s="1" t="s">
        <v>26</v>
      </c>
      <c r="B671" s="1" t="s">
        <v>3691</v>
      </c>
      <c r="C671" s="1" t="s">
        <v>3692</v>
      </c>
      <c r="D671" s="1">
        <v>6.5E7</v>
      </c>
      <c r="E671" s="1" t="s">
        <v>1359</v>
      </c>
      <c r="F671" s="1" t="s">
        <v>3693</v>
      </c>
      <c r="G671" s="1" t="s">
        <v>3515</v>
      </c>
      <c r="H671" s="1" t="s">
        <v>1696</v>
      </c>
      <c r="I671" s="1">
        <v>43027.0</v>
      </c>
      <c r="J671" s="1" t="s">
        <v>3694</v>
      </c>
      <c r="K671" s="1" t="s">
        <v>3695</v>
      </c>
      <c r="L671" s="1">
        <v>214.0</v>
      </c>
      <c r="M671" s="1" t="s">
        <v>35</v>
      </c>
      <c r="N671" s="1" t="s">
        <v>36</v>
      </c>
      <c r="O671" s="1" t="s">
        <v>37</v>
      </c>
      <c r="P671" s="1">
        <v>6.2E7</v>
      </c>
      <c r="Q671" s="1">
        <v>1995.0</v>
      </c>
      <c r="R671" s="1">
        <v>524.0</v>
      </c>
      <c r="S671" s="1">
        <v>517.0</v>
      </c>
      <c r="T671" s="1">
        <v>452.0</v>
      </c>
      <c r="U671" s="1">
        <v>2668.0</v>
      </c>
      <c r="V671" s="1">
        <v>0.0</v>
      </c>
      <c r="W671" s="1">
        <v>0.0</v>
      </c>
      <c r="X671" s="1">
        <v>0.0</v>
      </c>
      <c r="Y671" s="1">
        <v>2.35</v>
      </c>
      <c r="Z671" s="1">
        <v>6.8</v>
      </c>
    </row>
    <row r="672" ht="14.25" customHeight="1">
      <c r="A672" s="1" t="s">
        <v>26</v>
      </c>
      <c r="B672" s="1" t="s">
        <v>3696</v>
      </c>
      <c r="C672" s="1" t="s">
        <v>3697</v>
      </c>
      <c r="D672" s="1">
        <v>3.2178777E7</v>
      </c>
      <c r="E672" s="1" t="s">
        <v>3698</v>
      </c>
      <c r="F672" s="1" t="s">
        <v>686</v>
      </c>
      <c r="G672" s="1" t="s">
        <v>3699</v>
      </c>
      <c r="H672" s="1" t="s">
        <v>1202</v>
      </c>
      <c r="I672" s="1">
        <v>43300.0</v>
      </c>
      <c r="J672" s="1" t="s">
        <v>3700</v>
      </c>
      <c r="K672" s="1" t="s">
        <v>3701</v>
      </c>
      <c r="L672" s="1">
        <v>250.0</v>
      </c>
      <c r="M672" s="1" t="s">
        <v>35</v>
      </c>
      <c r="N672" s="1" t="s">
        <v>36</v>
      </c>
      <c r="O672" s="1" t="s">
        <v>37</v>
      </c>
      <c r="P672" s="1">
        <v>6.2E7</v>
      </c>
      <c r="Q672" s="1">
        <v>2008.0</v>
      </c>
      <c r="R672" s="1">
        <v>3000.0</v>
      </c>
      <c r="S672" s="1">
        <v>966.0</v>
      </c>
      <c r="T672" s="1">
        <v>645.0</v>
      </c>
      <c r="U672" s="1">
        <v>6658.0</v>
      </c>
      <c r="V672" s="1">
        <v>12.0</v>
      </c>
      <c r="W672" s="1">
        <v>0.0</v>
      </c>
      <c r="X672" s="1">
        <v>6.0</v>
      </c>
      <c r="Y672" s="1">
        <v>2.35</v>
      </c>
      <c r="Z672" s="1">
        <v>3.8</v>
      </c>
    </row>
    <row r="673" ht="14.25" customHeight="1">
      <c r="A673" s="1" t="s">
        <v>26</v>
      </c>
      <c r="B673" s="1" t="s">
        <v>3702</v>
      </c>
      <c r="C673" s="1" t="s">
        <v>3703</v>
      </c>
      <c r="D673" s="1">
        <v>1.5738632E7</v>
      </c>
      <c r="E673" s="1" t="s">
        <v>408</v>
      </c>
      <c r="F673" s="1" t="s">
        <v>1875</v>
      </c>
      <c r="G673" s="1" t="s">
        <v>2861</v>
      </c>
      <c r="H673" s="1" t="s">
        <v>3704</v>
      </c>
      <c r="I673" s="1">
        <v>38076.0</v>
      </c>
      <c r="J673" s="1" t="s">
        <v>3705</v>
      </c>
      <c r="K673" s="1" t="s">
        <v>3706</v>
      </c>
      <c r="L673" s="1">
        <v>399.0</v>
      </c>
      <c r="M673" s="1" t="s">
        <v>35</v>
      </c>
      <c r="N673" s="1" t="s">
        <v>36</v>
      </c>
      <c r="O673" s="1" t="s">
        <v>628</v>
      </c>
      <c r="P673" s="1">
        <v>4.2E7</v>
      </c>
      <c r="Q673" s="1">
        <v>2001.0</v>
      </c>
      <c r="R673" s="1">
        <v>11000.0</v>
      </c>
      <c r="S673" s="1">
        <v>904.0</v>
      </c>
      <c r="T673" s="1">
        <v>867.0</v>
      </c>
      <c r="U673" s="1">
        <v>14536.0</v>
      </c>
      <c r="V673" s="1">
        <v>11.0</v>
      </c>
      <c r="W673" s="1">
        <v>0.0</v>
      </c>
      <c r="X673" s="1">
        <v>2.0</v>
      </c>
      <c r="Y673" s="1">
        <v>2.35</v>
      </c>
      <c r="Z673" s="1">
        <v>5.9</v>
      </c>
    </row>
    <row r="674" ht="14.25" customHeight="1">
      <c r="A674" s="1" t="s">
        <v>26</v>
      </c>
      <c r="B674" s="1" t="s">
        <v>1681</v>
      </c>
      <c r="C674" s="1" t="s">
        <v>3707</v>
      </c>
      <c r="D674" s="1">
        <v>5.4116191E7</v>
      </c>
      <c r="E674" s="1" t="s">
        <v>3708</v>
      </c>
      <c r="F674" s="1" t="s">
        <v>3709</v>
      </c>
      <c r="G674" s="1" t="s">
        <v>2510</v>
      </c>
      <c r="H674" s="1" t="s">
        <v>1373</v>
      </c>
      <c r="I674" s="1">
        <v>272839.0</v>
      </c>
      <c r="J674" s="1" t="s">
        <v>3710</v>
      </c>
      <c r="K674" s="1" t="s">
        <v>3711</v>
      </c>
      <c r="L674" s="1">
        <v>1018.0</v>
      </c>
      <c r="M674" s="1" t="s">
        <v>35</v>
      </c>
      <c r="N674" s="1" t="s">
        <v>36</v>
      </c>
      <c r="O674" s="1" t="s">
        <v>628</v>
      </c>
      <c r="P674" s="1">
        <v>4.4E7</v>
      </c>
      <c r="Q674" s="1">
        <v>2015.0</v>
      </c>
      <c r="R674" s="1">
        <v>46000.0</v>
      </c>
      <c r="S674" s="1">
        <v>1000.0</v>
      </c>
      <c r="T674" s="1">
        <v>1000.0</v>
      </c>
      <c r="U674" s="1">
        <v>49912.0</v>
      </c>
      <c r="V674" s="1">
        <v>16000.0</v>
      </c>
      <c r="W674" s="1">
        <v>114000.0</v>
      </c>
      <c r="X674" s="1">
        <v>1.0</v>
      </c>
      <c r="Y674" s="1">
        <v>2.76</v>
      </c>
      <c r="Z674" s="1">
        <v>7.9</v>
      </c>
    </row>
    <row r="675" ht="14.25" customHeight="1">
      <c r="A675" s="1" t="s">
        <v>26</v>
      </c>
      <c r="B675" s="1" t="s">
        <v>3712</v>
      </c>
      <c r="C675" s="1" t="s">
        <v>3713</v>
      </c>
      <c r="D675" s="1">
        <v>1.18153533E8</v>
      </c>
      <c r="E675" s="1" t="s">
        <v>3714</v>
      </c>
      <c r="F675" s="1" t="s">
        <v>1197</v>
      </c>
      <c r="G675" s="1" t="s">
        <v>464</v>
      </c>
      <c r="H675" s="1" t="s">
        <v>1869</v>
      </c>
      <c r="I675" s="1">
        <v>129995.0</v>
      </c>
      <c r="J675" s="1" t="s">
        <v>3715</v>
      </c>
      <c r="K675" s="1" t="s">
        <v>3716</v>
      </c>
      <c r="L675" s="1">
        <v>246.0</v>
      </c>
      <c r="M675" s="1" t="s">
        <v>35</v>
      </c>
      <c r="N675" s="1" t="s">
        <v>36</v>
      </c>
      <c r="O675" s="1" t="s">
        <v>37</v>
      </c>
      <c r="P675" s="1">
        <v>6.1E7</v>
      </c>
      <c r="Q675" s="1">
        <v>2007.0</v>
      </c>
      <c r="R675" s="1">
        <v>8000.0</v>
      </c>
      <c r="S675" s="1">
        <v>1000.0</v>
      </c>
      <c r="T675" s="1">
        <v>970.0</v>
      </c>
      <c r="U675" s="1">
        <v>13232.0</v>
      </c>
      <c r="V675" s="1">
        <v>8.0</v>
      </c>
      <c r="W675" s="1">
        <v>0.0</v>
      </c>
      <c r="X675" s="1">
        <v>2.0</v>
      </c>
      <c r="Y675" s="1">
        <v>1.85</v>
      </c>
      <c r="Z675" s="1">
        <v>6.3</v>
      </c>
    </row>
    <row r="676" ht="14.25" customHeight="1">
      <c r="A676" s="1" t="s">
        <v>26</v>
      </c>
      <c r="B676" s="1" t="s">
        <v>3717</v>
      </c>
      <c r="C676" s="1" t="s">
        <v>3718</v>
      </c>
      <c r="D676" s="1">
        <v>1.0801217E8</v>
      </c>
      <c r="E676" s="1" t="s">
        <v>263</v>
      </c>
      <c r="F676" s="1" t="s">
        <v>3064</v>
      </c>
      <c r="G676" s="1" t="s">
        <v>3719</v>
      </c>
      <c r="H676" s="1" t="s">
        <v>3720</v>
      </c>
      <c r="I676" s="1">
        <v>24089.0</v>
      </c>
      <c r="J676" s="1" t="s">
        <v>3721</v>
      </c>
      <c r="K676" s="1" t="s">
        <v>3722</v>
      </c>
      <c r="L676" s="1">
        <v>82.0</v>
      </c>
      <c r="M676" s="1" t="s">
        <v>35</v>
      </c>
      <c r="N676" s="1" t="s">
        <v>36</v>
      </c>
      <c r="O676" s="1" t="s">
        <v>87</v>
      </c>
      <c r="P676" s="1">
        <v>6.3E7</v>
      </c>
      <c r="Q676" s="1">
        <v>2011.0</v>
      </c>
      <c r="R676" s="1">
        <v>989.0</v>
      </c>
      <c r="S676" s="1">
        <v>664.0</v>
      </c>
      <c r="T676" s="1">
        <v>439.0</v>
      </c>
      <c r="U676" s="1">
        <v>2558.0</v>
      </c>
      <c r="V676" s="1">
        <v>25.0</v>
      </c>
      <c r="W676" s="1">
        <v>0.0</v>
      </c>
      <c r="X676" s="1">
        <v>0.0</v>
      </c>
      <c r="Y676" s="1">
        <v>1.85</v>
      </c>
      <c r="Z676" s="1">
        <v>5.5</v>
      </c>
    </row>
    <row r="677" ht="14.25" customHeight="1">
      <c r="A677" s="1" t="s">
        <v>26</v>
      </c>
      <c r="B677" s="1" t="s">
        <v>103</v>
      </c>
      <c r="C677" s="1">
        <v>300.0</v>
      </c>
      <c r="D677" s="1">
        <v>2.1059259E8</v>
      </c>
      <c r="E677" s="1" t="s">
        <v>1493</v>
      </c>
      <c r="F677" s="1" t="s">
        <v>616</v>
      </c>
      <c r="G677" s="1" t="s">
        <v>444</v>
      </c>
      <c r="H677" s="1" t="s">
        <v>3723</v>
      </c>
      <c r="I677" s="1">
        <v>607235.0</v>
      </c>
      <c r="J677" s="1" t="s">
        <v>3724</v>
      </c>
      <c r="K677" s="1" t="s">
        <v>3725</v>
      </c>
      <c r="L677" s="1">
        <v>2073.0</v>
      </c>
      <c r="M677" s="1" t="s">
        <v>35</v>
      </c>
      <c r="N677" s="1" t="s">
        <v>36</v>
      </c>
      <c r="O677" s="1" t="s">
        <v>628</v>
      </c>
      <c r="P677" s="1">
        <v>6.5E7</v>
      </c>
      <c r="Q677" s="1">
        <v>2006.0</v>
      </c>
      <c r="R677" s="1">
        <v>18000.0</v>
      </c>
      <c r="S677" s="1">
        <v>13000.0</v>
      </c>
      <c r="T677" s="1">
        <v>447.0</v>
      </c>
      <c r="U677" s="1">
        <v>32360.0</v>
      </c>
      <c r="V677" s="1">
        <v>0.0</v>
      </c>
      <c r="W677" s="1">
        <v>13000.0</v>
      </c>
      <c r="X677" s="1">
        <v>0.0</v>
      </c>
      <c r="Y677" s="1">
        <v>2.35</v>
      </c>
      <c r="Z677" s="1">
        <v>7.7</v>
      </c>
    </row>
    <row r="678" ht="14.25" customHeight="1">
      <c r="A678" s="1" t="s">
        <v>26</v>
      </c>
      <c r="B678" s="1" t="s">
        <v>1883</v>
      </c>
      <c r="C678" s="1" t="s">
        <v>3726</v>
      </c>
      <c r="D678" s="1">
        <v>2.79167575E8</v>
      </c>
      <c r="E678" s="1" t="s">
        <v>1598</v>
      </c>
      <c r="F678" s="1" t="s">
        <v>1663</v>
      </c>
      <c r="G678" s="1" t="s">
        <v>1664</v>
      </c>
      <c r="H678" s="1" t="s">
        <v>1665</v>
      </c>
      <c r="I678" s="1">
        <v>211296.0</v>
      </c>
      <c r="J678" s="1" t="s">
        <v>3727</v>
      </c>
      <c r="K678" s="1" t="s">
        <v>3728</v>
      </c>
      <c r="L678" s="1">
        <v>428.0</v>
      </c>
      <c r="M678" s="1" t="s">
        <v>35</v>
      </c>
      <c r="N678" s="1" t="s">
        <v>36</v>
      </c>
      <c r="O678" s="1" t="s">
        <v>37</v>
      </c>
      <c r="P678" s="1">
        <v>8.0E7</v>
      </c>
      <c r="Q678" s="1">
        <v>2004.0</v>
      </c>
      <c r="R678" s="1">
        <v>22000.0</v>
      </c>
      <c r="S678" s="1">
        <v>713.0</v>
      </c>
      <c r="T678" s="1">
        <v>708.0</v>
      </c>
      <c r="U678" s="1">
        <v>24938.0</v>
      </c>
      <c r="V678" s="1">
        <v>116.0</v>
      </c>
      <c r="W678" s="1">
        <v>0.0</v>
      </c>
      <c r="X678" s="1">
        <v>6.0</v>
      </c>
      <c r="Y678" s="1">
        <v>1.85</v>
      </c>
      <c r="Z678" s="1">
        <v>6.3</v>
      </c>
    </row>
    <row r="679" ht="14.25" customHeight="1">
      <c r="A679" s="1" t="s">
        <v>26</v>
      </c>
      <c r="B679" s="1" t="s">
        <v>3729</v>
      </c>
      <c r="C679" s="1" t="s">
        <v>3730</v>
      </c>
      <c r="D679" s="1">
        <v>1.43151473E8</v>
      </c>
      <c r="E679" s="1" t="s">
        <v>3731</v>
      </c>
      <c r="F679" s="1" t="s">
        <v>3732</v>
      </c>
      <c r="G679" s="1" t="s">
        <v>3733</v>
      </c>
      <c r="H679" s="1" t="s">
        <v>3734</v>
      </c>
      <c r="I679" s="1">
        <v>116681.0</v>
      </c>
      <c r="J679" s="1" t="s">
        <v>3735</v>
      </c>
      <c r="K679" s="1" t="s">
        <v>3736</v>
      </c>
      <c r="L679" s="1">
        <v>320.0</v>
      </c>
      <c r="M679" s="1" t="s">
        <v>35</v>
      </c>
      <c r="N679" s="1" t="s">
        <v>36</v>
      </c>
      <c r="O679" s="1" t="s">
        <v>87</v>
      </c>
      <c r="P679" s="1">
        <v>6.0E7</v>
      </c>
      <c r="Q679" s="1">
        <v>2008.0</v>
      </c>
      <c r="R679" s="1">
        <v>2000.0</v>
      </c>
      <c r="S679" s="1">
        <v>899.0</v>
      </c>
      <c r="T679" s="1">
        <v>664.0</v>
      </c>
      <c r="U679" s="1">
        <v>4811.0</v>
      </c>
      <c r="V679" s="1">
        <v>64.0</v>
      </c>
      <c r="W679" s="1">
        <v>11000.0</v>
      </c>
      <c r="X679" s="1">
        <v>0.0</v>
      </c>
      <c r="Y679" s="1">
        <v>2.35</v>
      </c>
      <c r="Z679" s="1">
        <v>7.1</v>
      </c>
    </row>
    <row r="680" ht="14.25" customHeight="1">
      <c r="A680" s="1" t="s">
        <v>26</v>
      </c>
      <c r="B680" s="1" t="s">
        <v>3093</v>
      </c>
      <c r="C680" s="1" t="s">
        <v>3737</v>
      </c>
      <c r="D680" s="1">
        <v>1.36801374E8</v>
      </c>
      <c r="E680" s="1" t="s">
        <v>3738</v>
      </c>
      <c r="F680" s="1" t="s">
        <v>314</v>
      </c>
      <c r="G680" s="1" t="s">
        <v>3097</v>
      </c>
      <c r="H680" s="1" t="s">
        <v>1951</v>
      </c>
      <c r="I680" s="1">
        <v>782610.0</v>
      </c>
      <c r="J680" s="1" t="s">
        <v>3739</v>
      </c>
      <c r="K680" s="1" t="s">
        <v>3740</v>
      </c>
      <c r="L680" s="1">
        <v>1377.0</v>
      </c>
      <c r="M680" s="1" t="s">
        <v>35</v>
      </c>
      <c r="N680" s="1" t="s">
        <v>36</v>
      </c>
      <c r="O680" s="1" t="s">
        <v>628</v>
      </c>
      <c r="P680" s="1">
        <v>6.0E7</v>
      </c>
      <c r="Q680" s="1">
        <v>1999.0</v>
      </c>
      <c r="R680" s="1">
        <v>15000.0</v>
      </c>
      <c r="S680" s="1">
        <v>745.0</v>
      </c>
      <c r="T680" s="1">
        <v>693.0</v>
      </c>
      <c r="U680" s="1">
        <v>17716.0</v>
      </c>
      <c r="V680" s="1">
        <v>0.0</v>
      </c>
      <c r="W680" s="1">
        <v>30000.0</v>
      </c>
      <c r="X680" s="1">
        <v>0.0</v>
      </c>
      <c r="Y680" s="1">
        <v>1.85</v>
      </c>
      <c r="Z680" s="1">
        <v>8.5</v>
      </c>
    </row>
    <row r="681" ht="14.25" customHeight="1">
      <c r="A681" s="1" t="s">
        <v>26</v>
      </c>
      <c r="B681" s="1" t="s">
        <v>1693</v>
      </c>
      <c r="C681" s="1" t="s">
        <v>3741</v>
      </c>
      <c r="D681" s="1">
        <v>1.35381507E8</v>
      </c>
      <c r="E681" s="1" t="s">
        <v>596</v>
      </c>
      <c r="F681" s="1" t="s">
        <v>1719</v>
      </c>
      <c r="G681" s="1" t="s">
        <v>403</v>
      </c>
      <c r="H681" s="1" t="s">
        <v>1150</v>
      </c>
      <c r="I681" s="1">
        <v>63912.0</v>
      </c>
      <c r="J681" s="1" t="s">
        <v>3742</v>
      </c>
      <c r="K681" s="1" t="s">
        <v>3743</v>
      </c>
      <c r="L681" s="1">
        <v>251.0</v>
      </c>
      <c r="M681" s="1" t="s">
        <v>35</v>
      </c>
      <c r="N681" s="1" t="s">
        <v>36</v>
      </c>
      <c r="O681" s="1" t="s">
        <v>269</v>
      </c>
      <c r="P681" s="1">
        <v>1.5E8</v>
      </c>
      <c r="Q681" s="1">
        <v>2005.0</v>
      </c>
      <c r="R681" s="1">
        <v>925.0</v>
      </c>
      <c r="S681" s="1">
        <v>729.0</v>
      </c>
      <c r="T681" s="1">
        <v>397.0</v>
      </c>
      <c r="U681" s="1">
        <v>2252.0</v>
      </c>
      <c r="V681" s="1">
        <v>10.0</v>
      </c>
      <c r="W681" s="1">
        <v>912.0</v>
      </c>
      <c r="X681" s="1">
        <v>0.0</v>
      </c>
      <c r="Y681" s="1">
        <v>1.85</v>
      </c>
      <c r="Z681" s="1">
        <v>5.8</v>
      </c>
    </row>
    <row r="682" ht="14.25" customHeight="1">
      <c r="A682" s="1" t="s">
        <v>26</v>
      </c>
      <c r="B682" s="1" t="s">
        <v>648</v>
      </c>
      <c r="C682" s="1" t="s">
        <v>3744</v>
      </c>
      <c r="D682" s="1">
        <v>1.67735396E8</v>
      </c>
      <c r="E682" s="1" t="s">
        <v>2061</v>
      </c>
      <c r="F682" s="1" t="s">
        <v>3745</v>
      </c>
      <c r="G682" s="1" t="s">
        <v>610</v>
      </c>
      <c r="H682" s="1" t="s">
        <v>3746</v>
      </c>
      <c r="I682" s="1">
        <v>569841.0</v>
      </c>
      <c r="J682" s="1" t="s">
        <v>3747</v>
      </c>
      <c r="K682" s="1" t="s">
        <v>3748</v>
      </c>
      <c r="L682" s="1">
        <v>1127.0</v>
      </c>
      <c r="M682" s="1" t="s">
        <v>35</v>
      </c>
      <c r="N682" s="1" t="s">
        <v>36</v>
      </c>
      <c r="O682" s="1" t="s">
        <v>628</v>
      </c>
      <c r="P682" s="1">
        <v>6.1E7</v>
      </c>
      <c r="Q682" s="1">
        <v>2014.0</v>
      </c>
      <c r="R682" s="1">
        <v>835.0</v>
      </c>
      <c r="S682" s="1">
        <v>812.0</v>
      </c>
      <c r="T682" s="1">
        <v>625.0</v>
      </c>
      <c r="U682" s="1">
        <v>4348.0</v>
      </c>
      <c r="V682" s="1">
        <v>21000.0</v>
      </c>
      <c r="W682" s="1">
        <v>146000.0</v>
      </c>
      <c r="X682" s="1">
        <v>0.0</v>
      </c>
      <c r="Y682" s="1">
        <v>2.35</v>
      </c>
      <c r="Z682" s="1">
        <v>8.1</v>
      </c>
    </row>
    <row r="683" ht="14.25" customHeight="1">
      <c r="A683" s="1" t="s">
        <v>26</v>
      </c>
      <c r="B683" s="1" t="s">
        <v>506</v>
      </c>
      <c r="C683" s="1" t="s">
        <v>3749</v>
      </c>
      <c r="D683" s="1">
        <v>1.2146896E8</v>
      </c>
      <c r="E683" s="1" t="s">
        <v>1112</v>
      </c>
      <c r="F683" s="1" t="s">
        <v>1113</v>
      </c>
      <c r="G683" s="1" t="s">
        <v>3750</v>
      </c>
      <c r="H683" s="1" t="s">
        <v>3751</v>
      </c>
      <c r="I683" s="1">
        <v>407601.0</v>
      </c>
      <c r="J683" s="1" t="s">
        <v>3752</v>
      </c>
      <c r="K683" s="1" t="s">
        <v>3753</v>
      </c>
      <c r="L683" s="1">
        <v>849.0</v>
      </c>
      <c r="M683" s="1" t="s">
        <v>35</v>
      </c>
      <c r="N683" s="1" t="s">
        <v>36</v>
      </c>
      <c r="O683" s="1" t="s">
        <v>37</v>
      </c>
      <c r="P683" s="1">
        <v>6.0E7</v>
      </c>
      <c r="Q683" s="1">
        <v>2002.0</v>
      </c>
      <c r="R683" s="1">
        <v>13000.0</v>
      </c>
      <c r="S683" s="1">
        <v>147.0</v>
      </c>
      <c r="T683" s="1">
        <v>73.0</v>
      </c>
      <c r="U683" s="1">
        <v>13249.0</v>
      </c>
      <c r="V683" s="1">
        <v>218.0</v>
      </c>
      <c r="W683" s="1">
        <v>0.0</v>
      </c>
      <c r="X683" s="1">
        <v>1.0</v>
      </c>
      <c r="Y683" s="1">
        <v>2.35</v>
      </c>
      <c r="Z683" s="1">
        <v>7.9</v>
      </c>
    </row>
    <row r="684" ht="14.25" customHeight="1">
      <c r="A684" s="1" t="s">
        <v>26</v>
      </c>
      <c r="B684" s="1" t="s">
        <v>305</v>
      </c>
      <c r="C684" s="1" t="s">
        <v>3754</v>
      </c>
      <c r="D684" s="1">
        <v>1.06635996E8</v>
      </c>
      <c r="E684" s="1" t="s">
        <v>48</v>
      </c>
      <c r="F684" s="1" t="s">
        <v>2884</v>
      </c>
      <c r="G684" s="1" t="s">
        <v>1449</v>
      </c>
      <c r="H684" s="1" t="s">
        <v>2364</v>
      </c>
      <c r="I684" s="1">
        <v>199025.0</v>
      </c>
      <c r="J684" s="1" t="s">
        <v>3755</v>
      </c>
      <c r="K684" s="1" t="s">
        <v>3756</v>
      </c>
      <c r="L684" s="1">
        <v>416.0</v>
      </c>
      <c r="M684" s="1" t="s">
        <v>35</v>
      </c>
      <c r="N684" s="1" t="s">
        <v>54</v>
      </c>
      <c r="O684" s="1" t="s">
        <v>37</v>
      </c>
      <c r="P684" s="1">
        <v>5.8E7</v>
      </c>
      <c r="Q684" s="1">
        <v>1995.0</v>
      </c>
      <c r="R684" s="1">
        <v>394.0</v>
      </c>
      <c r="S684" s="1">
        <v>387.0</v>
      </c>
      <c r="T684" s="1">
        <v>345.0</v>
      </c>
      <c r="U684" s="1">
        <v>1784.0</v>
      </c>
      <c r="V684" s="1">
        <v>258.0</v>
      </c>
      <c r="W684" s="1">
        <v>0.0</v>
      </c>
      <c r="X684" s="1">
        <v>2.0</v>
      </c>
      <c r="Y684" s="1">
        <v>2.35</v>
      </c>
      <c r="Z684" s="1">
        <v>7.2</v>
      </c>
    </row>
    <row r="685" ht="14.25" customHeight="1">
      <c r="A685" s="1" t="s">
        <v>26</v>
      </c>
      <c r="B685" s="1" t="s">
        <v>1700</v>
      </c>
      <c r="C685" s="1" t="s">
        <v>3757</v>
      </c>
      <c r="D685" s="1">
        <v>1.02678089E8</v>
      </c>
      <c r="E685" s="1" t="s">
        <v>1842</v>
      </c>
      <c r="F685" s="1" t="s">
        <v>3520</v>
      </c>
      <c r="G685" s="1" t="s">
        <v>3758</v>
      </c>
      <c r="H685" s="1" t="s">
        <v>3759</v>
      </c>
      <c r="I685" s="1">
        <v>42705.0</v>
      </c>
      <c r="J685" s="1" t="s">
        <v>3760</v>
      </c>
      <c r="K685" s="1" t="s">
        <v>3761</v>
      </c>
      <c r="L685" s="1">
        <v>274.0</v>
      </c>
      <c r="M685" s="1" t="s">
        <v>35</v>
      </c>
      <c r="N685" s="1" t="s">
        <v>36</v>
      </c>
      <c r="O685" s="1" t="s">
        <v>628</v>
      </c>
      <c r="P685" s="1">
        <v>9.5E7</v>
      </c>
      <c r="Q685" s="1">
        <v>1999.0</v>
      </c>
      <c r="R685" s="1">
        <v>577.0</v>
      </c>
      <c r="S685" s="1">
        <v>501.0</v>
      </c>
      <c r="T685" s="1">
        <v>475.0</v>
      </c>
      <c r="U685" s="1">
        <v>2321.0</v>
      </c>
      <c r="V685" s="1">
        <v>165.0</v>
      </c>
      <c r="W685" s="1">
        <v>885.0</v>
      </c>
      <c r="X685" s="1">
        <v>0.0</v>
      </c>
      <c r="Y685" s="1">
        <v>2.35</v>
      </c>
      <c r="Z685" s="1">
        <v>6.3</v>
      </c>
    </row>
    <row r="686" ht="14.25" customHeight="1">
      <c r="A686" s="1" t="s">
        <v>26</v>
      </c>
      <c r="B686" s="1" t="s">
        <v>1059</v>
      </c>
      <c r="C686" s="1" t="s">
        <v>3762</v>
      </c>
      <c r="D686" s="1">
        <v>1.2560336E8</v>
      </c>
      <c r="E686" s="1" t="s">
        <v>2172</v>
      </c>
      <c r="F686" s="1" t="s">
        <v>2183</v>
      </c>
      <c r="G686" s="1" t="s">
        <v>1404</v>
      </c>
      <c r="H686" s="1" t="s">
        <v>3763</v>
      </c>
      <c r="I686" s="1">
        <v>667983.0</v>
      </c>
      <c r="J686" s="1" t="s">
        <v>3764</v>
      </c>
      <c r="K686" s="1" t="s">
        <v>3765</v>
      </c>
      <c r="L686" s="1">
        <v>877.0</v>
      </c>
      <c r="M686" s="1" t="s">
        <v>35</v>
      </c>
      <c r="N686" s="1" t="s">
        <v>36</v>
      </c>
      <c r="O686" s="1" t="s">
        <v>87</v>
      </c>
      <c r="P686" s="1">
        <v>6.0E7</v>
      </c>
      <c r="Q686" s="1">
        <v>1998.0</v>
      </c>
      <c r="R686" s="1">
        <v>2000.0</v>
      </c>
      <c r="S686" s="1">
        <v>617.0</v>
      </c>
      <c r="T686" s="1">
        <v>576.0</v>
      </c>
      <c r="U686" s="1">
        <v>3698.0</v>
      </c>
      <c r="V686" s="1">
        <v>608.0</v>
      </c>
      <c r="W686" s="1">
        <v>18000.0</v>
      </c>
      <c r="X686" s="1">
        <v>1.0</v>
      </c>
      <c r="Y686" s="1">
        <v>1.85</v>
      </c>
      <c r="Z686" s="1">
        <v>8.1</v>
      </c>
    </row>
    <row r="687" ht="14.25" customHeight="1">
      <c r="A687" s="1" t="s">
        <v>26</v>
      </c>
      <c r="B687" s="1" t="s">
        <v>3766</v>
      </c>
      <c r="C687" s="1" t="s">
        <v>3767</v>
      </c>
      <c r="D687" s="1">
        <v>1.012179E8</v>
      </c>
      <c r="E687" s="1" t="s">
        <v>3768</v>
      </c>
      <c r="F687" s="1" t="s">
        <v>922</v>
      </c>
      <c r="G687" s="1" t="s">
        <v>3769</v>
      </c>
      <c r="H687" s="1" t="s">
        <v>3770</v>
      </c>
      <c r="I687" s="1">
        <v>91093.0</v>
      </c>
      <c r="J687" s="1" t="s">
        <v>3771</v>
      </c>
      <c r="K687" s="1" t="s">
        <v>3772</v>
      </c>
      <c r="L687" s="1">
        <v>353.0</v>
      </c>
      <c r="M687" s="1" t="s">
        <v>35</v>
      </c>
      <c r="N687" s="1" t="s">
        <v>36</v>
      </c>
      <c r="O687" s="1" t="s">
        <v>87</v>
      </c>
      <c r="P687" s="1">
        <v>7.0E7</v>
      </c>
      <c r="Q687" s="1">
        <v>1998.0</v>
      </c>
      <c r="R687" s="1">
        <v>770.0</v>
      </c>
      <c r="S687" s="1">
        <v>263.0</v>
      </c>
      <c r="T687" s="1">
        <v>145.0</v>
      </c>
      <c r="U687" s="1">
        <v>1195.0</v>
      </c>
      <c r="V687" s="1">
        <v>59.0</v>
      </c>
      <c r="W687" s="1">
        <v>0.0</v>
      </c>
      <c r="X687" s="1">
        <v>2.0</v>
      </c>
      <c r="Y687" s="1">
        <v>1.85</v>
      </c>
      <c r="Z687" s="1">
        <v>7.0</v>
      </c>
    </row>
    <row r="688" ht="14.25" customHeight="1">
      <c r="A688" s="1" t="s">
        <v>26</v>
      </c>
      <c r="B688" s="1" t="s">
        <v>3067</v>
      </c>
      <c r="C688" s="1" t="s">
        <v>3773</v>
      </c>
      <c r="D688" s="1">
        <v>1.04148781E8</v>
      </c>
      <c r="E688" s="1" t="s">
        <v>2904</v>
      </c>
      <c r="F688" s="1" t="s">
        <v>3774</v>
      </c>
      <c r="G688" s="1" t="s">
        <v>3440</v>
      </c>
      <c r="H688" s="1" t="s">
        <v>404</v>
      </c>
      <c r="I688" s="1">
        <v>49486.0</v>
      </c>
      <c r="J688" s="1" t="s">
        <v>3775</v>
      </c>
      <c r="K688" s="1" t="s">
        <v>3776</v>
      </c>
      <c r="L688" s="1">
        <v>116.0</v>
      </c>
      <c r="M688" s="1" t="s">
        <v>35</v>
      </c>
      <c r="N688" s="1" t="s">
        <v>36</v>
      </c>
      <c r="O688" s="1" t="s">
        <v>87</v>
      </c>
      <c r="P688" s="1">
        <v>6.0E7</v>
      </c>
      <c r="Q688" s="1">
        <v>2003.0</v>
      </c>
      <c r="R688" s="1">
        <v>1000.0</v>
      </c>
      <c r="S688" s="1">
        <v>955.0</v>
      </c>
      <c r="T688" s="1">
        <v>522.0</v>
      </c>
      <c r="U688" s="1">
        <v>4050.0</v>
      </c>
      <c r="V688" s="1">
        <v>41.0</v>
      </c>
      <c r="W688" s="1">
        <v>886.0</v>
      </c>
      <c r="X688" s="1">
        <v>1.0</v>
      </c>
      <c r="Y688" s="1">
        <v>1.85</v>
      </c>
      <c r="Z688" s="1">
        <v>5.5</v>
      </c>
    </row>
    <row r="689" ht="14.25" customHeight="1">
      <c r="A689" s="1" t="s">
        <v>26</v>
      </c>
      <c r="B689" s="1" t="s">
        <v>3636</v>
      </c>
      <c r="C689" s="1" t="s">
        <v>3777</v>
      </c>
      <c r="D689" s="1">
        <v>7.55733E7</v>
      </c>
      <c r="E689" s="1" t="s">
        <v>3376</v>
      </c>
      <c r="F689" s="1" t="s">
        <v>1644</v>
      </c>
      <c r="G689" s="1" t="s">
        <v>3778</v>
      </c>
      <c r="H689" s="1" t="s">
        <v>3779</v>
      </c>
      <c r="I689" s="1">
        <v>156898.0</v>
      </c>
      <c r="J689" s="1" t="s">
        <v>3780</v>
      </c>
      <c r="K689" s="1" t="s">
        <v>3781</v>
      </c>
      <c r="L689" s="1">
        <v>172.0</v>
      </c>
      <c r="M689" s="1" t="s">
        <v>35</v>
      </c>
      <c r="N689" s="1" t="s">
        <v>36</v>
      </c>
      <c r="O689" s="1" t="s">
        <v>628</v>
      </c>
      <c r="P689" s="1">
        <v>6.1E7</v>
      </c>
      <c r="Q689" s="1">
        <v>2013.0</v>
      </c>
      <c r="R689" s="1">
        <v>18000.0</v>
      </c>
      <c r="S689" s="1">
        <v>497.0</v>
      </c>
      <c r="T689" s="1">
        <v>459.0</v>
      </c>
      <c r="U689" s="1">
        <v>20148.0</v>
      </c>
      <c r="V689" s="1">
        <v>175.0</v>
      </c>
      <c r="W689" s="1">
        <v>22000.0</v>
      </c>
      <c r="X689" s="1">
        <v>1.0</v>
      </c>
      <c r="Y689" s="1">
        <v>2.35</v>
      </c>
      <c r="Z689" s="1">
        <v>6.7</v>
      </c>
    </row>
    <row r="690" ht="14.25" customHeight="1">
      <c r="A690" s="1" t="s">
        <v>26</v>
      </c>
      <c r="B690" s="1" t="s">
        <v>1806</v>
      </c>
      <c r="C690" s="1" t="s">
        <v>3782</v>
      </c>
      <c r="D690" s="1">
        <v>9.3375151E7</v>
      </c>
      <c r="E690" s="1" t="s">
        <v>2397</v>
      </c>
      <c r="F690" s="1" t="s">
        <v>3783</v>
      </c>
      <c r="G690" s="1" t="s">
        <v>3719</v>
      </c>
      <c r="H690" s="1" t="s">
        <v>3784</v>
      </c>
      <c r="I690" s="1">
        <v>46031.0</v>
      </c>
      <c r="J690" s="1" t="s">
        <v>3785</v>
      </c>
      <c r="K690" s="1" t="s">
        <v>3786</v>
      </c>
      <c r="L690" s="1">
        <v>235.0</v>
      </c>
      <c r="M690" s="1" t="s">
        <v>35</v>
      </c>
      <c r="N690" s="1" t="s">
        <v>36</v>
      </c>
      <c r="O690" s="1" t="s">
        <v>87</v>
      </c>
      <c r="P690" s="1">
        <v>6.0E7</v>
      </c>
      <c r="Q690" s="1">
        <v>2001.0</v>
      </c>
      <c r="R690" s="1">
        <v>3000.0</v>
      </c>
      <c r="S690" s="1">
        <v>664.0</v>
      </c>
      <c r="T690" s="1">
        <v>405.0</v>
      </c>
      <c r="U690" s="1">
        <v>4171.0</v>
      </c>
      <c r="V690" s="1">
        <v>6.0</v>
      </c>
      <c r="W690" s="1">
        <v>0.0</v>
      </c>
      <c r="X690" s="1">
        <v>0.0</v>
      </c>
      <c r="Y690" s="1">
        <v>1.85</v>
      </c>
      <c r="Z690" s="1">
        <v>5.2</v>
      </c>
    </row>
    <row r="691" ht="14.25" customHeight="1">
      <c r="A691" s="1" t="s">
        <v>26</v>
      </c>
      <c r="B691" s="1" t="s">
        <v>2928</v>
      </c>
      <c r="C691" s="1" t="s">
        <v>3787</v>
      </c>
      <c r="D691" s="1">
        <v>1.06126012E8</v>
      </c>
      <c r="E691" s="1" t="s">
        <v>326</v>
      </c>
      <c r="F691" s="1" t="s">
        <v>327</v>
      </c>
      <c r="G691" s="1" t="s">
        <v>741</v>
      </c>
      <c r="H691" s="1" t="s">
        <v>3788</v>
      </c>
      <c r="I691" s="1">
        <v>285623.0</v>
      </c>
      <c r="J691" s="1" t="s">
        <v>3789</v>
      </c>
      <c r="K691" s="1" t="s">
        <v>3790</v>
      </c>
      <c r="L691" s="1">
        <v>497.0</v>
      </c>
      <c r="M691" s="1" t="s">
        <v>35</v>
      </c>
      <c r="N691" s="1" t="s">
        <v>36</v>
      </c>
      <c r="O691" s="1" t="s">
        <v>37</v>
      </c>
      <c r="P691" s="1">
        <v>6.0E7</v>
      </c>
      <c r="Q691" s="1">
        <v>2003.0</v>
      </c>
      <c r="R691" s="1">
        <v>26000.0</v>
      </c>
      <c r="S691" s="1">
        <v>9000.0</v>
      </c>
      <c r="T691" s="1">
        <v>82.0</v>
      </c>
      <c r="U691" s="1">
        <v>35084.0</v>
      </c>
      <c r="V691" s="1">
        <v>473.0</v>
      </c>
      <c r="W691" s="1">
        <v>0.0</v>
      </c>
      <c r="X691" s="1">
        <v>6.0</v>
      </c>
      <c r="Y691" s="1">
        <v>2.35</v>
      </c>
      <c r="Z691" s="1">
        <v>7.0</v>
      </c>
    </row>
    <row r="692" ht="14.25" customHeight="1">
      <c r="A692" s="1" t="s">
        <v>26</v>
      </c>
      <c r="B692" s="1" t="s">
        <v>3791</v>
      </c>
      <c r="C692" s="1" t="s">
        <v>3792</v>
      </c>
      <c r="D692" s="1">
        <v>9.3307796E7</v>
      </c>
      <c r="E692" s="1" t="s">
        <v>1598</v>
      </c>
      <c r="F692" s="1" t="s">
        <v>2612</v>
      </c>
      <c r="G692" s="1" t="s">
        <v>3793</v>
      </c>
      <c r="H692" s="1" t="s">
        <v>410</v>
      </c>
      <c r="I692" s="1">
        <v>85673.0</v>
      </c>
      <c r="J692" s="1" t="s">
        <v>3794</v>
      </c>
      <c r="K692" s="1" t="s">
        <v>3795</v>
      </c>
      <c r="L692" s="1">
        <v>269.0</v>
      </c>
      <c r="M692" s="1" t="s">
        <v>35</v>
      </c>
      <c r="N692" s="1" t="s">
        <v>36</v>
      </c>
      <c r="O692" s="1" t="s">
        <v>37</v>
      </c>
      <c r="P692" s="1">
        <v>6.0E7</v>
      </c>
      <c r="Q692" s="1">
        <v>2002.0</v>
      </c>
      <c r="R692" s="1">
        <v>1000.0</v>
      </c>
      <c r="S692" s="1">
        <v>976.0</v>
      </c>
      <c r="T692" s="1">
        <v>268.0</v>
      </c>
      <c r="U692" s="1">
        <v>2636.0</v>
      </c>
      <c r="V692" s="1">
        <v>30.0</v>
      </c>
      <c r="W692" s="1">
        <v>0.0</v>
      </c>
      <c r="X692" s="1">
        <v>2.0</v>
      </c>
      <c r="Y692" s="1">
        <v>1.85</v>
      </c>
      <c r="Z692" s="1">
        <v>6.1</v>
      </c>
    </row>
    <row r="693" ht="14.25" customHeight="1">
      <c r="A693" s="1" t="s">
        <v>26</v>
      </c>
      <c r="B693" s="1" t="s">
        <v>764</v>
      </c>
      <c r="C693" s="1" t="s">
        <v>3796</v>
      </c>
      <c r="D693" s="1">
        <v>9.0646554E7</v>
      </c>
      <c r="E693" s="1" t="s">
        <v>456</v>
      </c>
      <c r="F693" s="1" t="s">
        <v>1702</v>
      </c>
      <c r="G693" s="1" t="s">
        <v>3797</v>
      </c>
      <c r="H693" s="1" t="s">
        <v>3798</v>
      </c>
      <c r="I693" s="1">
        <v>124641.0</v>
      </c>
      <c r="J693" s="1" t="s">
        <v>3799</v>
      </c>
      <c r="K693" s="1" t="s">
        <v>3800</v>
      </c>
      <c r="L693" s="1">
        <v>289.0</v>
      </c>
      <c r="M693" s="1" t="s">
        <v>35</v>
      </c>
      <c r="N693" s="1" t="s">
        <v>36</v>
      </c>
      <c r="O693" s="1" t="s">
        <v>87</v>
      </c>
      <c r="P693" s="1">
        <v>1.05E8</v>
      </c>
      <c r="Q693" s="1">
        <v>1998.0</v>
      </c>
      <c r="R693" s="1">
        <v>13000.0</v>
      </c>
      <c r="S693" s="1">
        <v>11000.0</v>
      </c>
      <c r="T693" s="1">
        <v>754.0</v>
      </c>
      <c r="U693" s="1">
        <v>25788.0</v>
      </c>
      <c r="V693" s="1">
        <v>35.0</v>
      </c>
      <c r="W693" s="1">
        <v>0.0</v>
      </c>
      <c r="X693" s="1">
        <v>0.0</v>
      </c>
      <c r="Y693" s="1">
        <v>1.85</v>
      </c>
      <c r="Z693" s="1">
        <v>6.6</v>
      </c>
    </row>
    <row r="694" ht="14.25" customHeight="1">
      <c r="A694" s="1" t="s">
        <v>26</v>
      </c>
      <c r="B694" s="1" t="s">
        <v>3801</v>
      </c>
      <c r="C694" s="1" t="s">
        <v>3802</v>
      </c>
      <c r="D694" s="1">
        <v>1.09176215E8</v>
      </c>
      <c r="E694" s="1" t="s">
        <v>1885</v>
      </c>
      <c r="F694" s="1" t="s">
        <v>243</v>
      </c>
      <c r="G694" s="1" t="s">
        <v>1899</v>
      </c>
      <c r="H694" s="1" t="s">
        <v>3803</v>
      </c>
      <c r="I694" s="1">
        <v>83506.0</v>
      </c>
      <c r="J694" s="1" t="s">
        <v>3804</v>
      </c>
      <c r="K694" s="1" t="s">
        <v>3805</v>
      </c>
      <c r="L694" s="1">
        <v>144.0</v>
      </c>
      <c r="M694" s="1" t="s">
        <v>35</v>
      </c>
      <c r="N694" s="1" t="s">
        <v>36</v>
      </c>
      <c r="O694" s="1" t="s">
        <v>37</v>
      </c>
      <c r="P694" s="1">
        <v>6.0E7</v>
      </c>
      <c r="Q694" s="1">
        <v>2009.0</v>
      </c>
      <c r="R694" s="1">
        <v>4000.0</v>
      </c>
      <c r="S694" s="1">
        <v>722.0</v>
      </c>
      <c r="T694" s="1">
        <v>721.0</v>
      </c>
      <c r="U694" s="1">
        <v>8172.0</v>
      </c>
      <c r="V694" s="1">
        <v>0.0</v>
      </c>
      <c r="W694" s="1">
        <v>0.0</v>
      </c>
      <c r="X694" s="1">
        <v>6.0</v>
      </c>
      <c r="Y694" s="1">
        <v>1.85</v>
      </c>
      <c r="Z694" s="1">
        <v>5.5</v>
      </c>
    </row>
    <row r="695" ht="14.25" customHeight="1">
      <c r="A695" s="1" t="s">
        <v>26</v>
      </c>
      <c r="B695" s="1" t="s">
        <v>1656</v>
      </c>
      <c r="C695" s="1" t="s">
        <v>3806</v>
      </c>
      <c r="D695" s="1">
        <v>8.2670733E7</v>
      </c>
      <c r="E695" s="1" t="s">
        <v>3101</v>
      </c>
      <c r="F695" s="1" t="s">
        <v>508</v>
      </c>
      <c r="G695" s="1" t="s">
        <v>1606</v>
      </c>
      <c r="H695" s="1" t="s">
        <v>1822</v>
      </c>
      <c r="I695" s="1">
        <v>60476.0</v>
      </c>
      <c r="J695" s="1" t="s">
        <v>3807</v>
      </c>
      <c r="K695" s="1" t="s">
        <v>3808</v>
      </c>
      <c r="L695" s="1">
        <v>97.0</v>
      </c>
      <c r="M695" s="1" t="s">
        <v>35</v>
      </c>
      <c r="N695" s="1" t="s">
        <v>36</v>
      </c>
      <c r="O695" s="1" t="s">
        <v>37</v>
      </c>
      <c r="P695" s="1">
        <v>6.0E7</v>
      </c>
      <c r="Q695" s="1">
        <v>1990.0</v>
      </c>
      <c r="R695" s="1">
        <v>10000.0</v>
      </c>
      <c r="S695" s="1">
        <v>3000.0</v>
      </c>
      <c r="T695" s="1">
        <v>695.0</v>
      </c>
      <c r="U695" s="1">
        <v>14006.0</v>
      </c>
      <c r="V695" s="1">
        <v>12000.0</v>
      </c>
      <c r="W695" s="1">
        <v>0.0</v>
      </c>
      <c r="X695" s="1">
        <v>0.0</v>
      </c>
      <c r="Y695" s="1">
        <v>2.35</v>
      </c>
      <c r="Z695" s="1">
        <v>5.9</v>
      </c>
    </row>
    <row r="696" ht="14.25" customHeight="1">
      <c r="A696" s="1" t="s">
        <v>26</v>
      </c>
      <c r="B696" s="1" t="s">
        <v>2502</v>
      </c>
      <c r="C696" s="1" t="s">
        <v>3809</v>
      </c>
      <c r="D696" s="1">
        <v>8.2569532E7</v>
      </c>
      <c r="E696" s="1" t="s">
        <v>2267</v>
      </c>
      <c r="F696" s="1" t="s">
        <v>1070</v>
      </c>
      <c r="G696" s="1" t="s">
        <v>3810</v>
      </c>
      <c r="H696" s="1" t="s">
        <v>3811</v>
      </c>
      <c r="I696" s="1">
        <v>42737.0</v>
      </c>
      <c r="J696" s="1" t="s">
        <v>3812</v>
      </c>
      <c r="K696" s="1" t="s">
        <v>3813</v>
      </c>
      <c r="L696" s="1">
        <v>128.0</v>
      </c>
      <c r="M696" s="1" t="s">
        <v>35</v>
      </c>
      <c r="N696" s="1" t="s">
        <v>36</v>
      </c>
      <c r="O696" s="1" t="s">
        <v>87</v>
      </c>
      <c r="P696" s="1">
        <v>6.0E7</v>
      </c>
      <c r="Q696" s="1">
        <v>2005.0</v>
      </c>
      <c r="R696" s="1">
        <v>12000.0</v>
      </c>
      <c r="S696" s="1">
        <v>3000.0</v>
      </c>
      <c r="T696" s="1">
        <v>2000.0</v>
      </c>
      <c r="U696" s="1">
        <v>20348.0</v>
      </c>
      <c r="V696" s="1">
        <v>163.0</v>
      </c>
      <c r="W696" s="1">
        <v>781.0</v>
      </c>
      <c r="X696" s="1">
        <v>6.0</v>
      </c>
      <c r="Y696" s="1">
        <v>2.35</v>
      </c>
      <c r="Z696" s="1">
        <v>5.4</v>
      </c>
    </row>
    <row r="697" ht="14.25" customHeight="1">
      <c r="A697" s="1" t="s">
        <v>26</v>
      </c>
      <c r="B697" s="1" t="s">
        <v>3814</v>
      </c>
      <c r="C697" s="1" t="s">
        <v>3815</v>
      </c>
      <c r="D697" s="1">
        <v>8.1687587E7</v>
      </c>
      <c r="E697" s="1" t="s">
        <v>2670</v>
      </c>
      <c r="F697" s="1" t="s">
        <v>3816</v>
      </c>
      <c r="G697" s="1" t="s">
        <v>2547</v>
      </c>
      <c r="H697" s="1" t="s">
        <v>3817</v>
      </c>
      <c r="I697" s="1">
        <v>138246.0</v>
      </c>
      <c r="J697" s="1" t="s">
        <v>3818</v>
      </c>
      <c r="K697" s="1" t="s">
        <v>3819</v>
      </c>
      <c r="L697" s="1">
        <v>360.0</v>
      </c>
      <c r="M697" s="1" t="s">
        <v>35</v>
      </c>
      <c r="N697" s="1" t="s">
        <v>36</v>
      </c>
      <c r="O697" s="1" t="s">
        <v>37</v>
      </c>
      <c r="P697" s="1">
        <v>6.1E7</v>
      </c>
      <c r="Q697" s="1">
        <v>2015.0</v>
      </c>
      <c r="R697" s="1">
        <v>988.0</v>
      </c>
      <c r="S697" s="1">
        <v>960.0</v>
      </c>
      <c r="T697" s="1">
        <v>240.0</v>
      </c>
      <c r="U697" s="1">
        <v>2517.0</v>
      </c>
      <c r="V697" s="1">
        <v>47.0</v>
      </c>
      <c r="W697" s="1">
        <v>24000.0</v>
      </c>
      <c r="X697" s="1">
        <v>0.0</v>
      </c>
      <c r="Y697" s="1">
        <v>2.35</v>
      </c>
      <c r="Z697" s="1">
        <v>6.4</v>
      </c>
    </row>
    <row r="698" ht="14.25" customHeight="1">
      <c r="A698" s="1" t="s">
        <v>26</v>
      </c>
      <c r="B698" s="1" t="s">
        <v>3820</v>
      </c>
      <c r="C698" s="1" t="s">
        <v>3821</v>
      </c>
      <c r="D698" s="1">
        <v>8.057401E7</v>
      </c>
      <c r="E698" s="1" t="s">
        <v>206</v>
      </c>
      <c r="F698" s="1" t="s">
        <v>75</v>
      </c>
      <c r="G698" s="1" t="s">
        <v>1459</v>
      </c>
      <c r="H698" s="1" t="s">
        <v>1017</v>
      </c>
      <c r="I698" s="1">
        <v>63493.0</v>
      </c>
      <c r="J698" s="1" t="s">
        <v>3822</v>
      </c>
      <c r="K698" s="1" t="s">
        <v>3823</v>
      </c>
      <c r="L698" s="1">
        <v>302.0</v>
      </c>
      <c r="M698" s="1" t="s">
        <v>35</v>
      </c>
      <c r="N698" s="1" t="s">
        <v>36</v>
      </c>
      <c r="O698" s="1" t="s">
        <v>37</v>
      </c>
      <c r="P698" s="1">
        <v>6.0E7</v>
      </c>
      <c r="Q698" s="1">
        <v>2010.0</v>
      </c>
      <c r="R698" s="1">
        <v>11000.0</v>
      </c>
      <c r="S698" s="1">
        <v>8000.0</v>
      </c>
      <c r="T698" s="1">
        <v>745.0</v>
      </c>
      <c r="U698" s="1">
        <v>20440.0</v>
      </c>
      <c r="V698" s="1">
        <v>708.0</v>
      </c>
      <c r="W698" s="1">
        <v>26000.0</v>
      </c>
      <c r="X698" s="1">
        <v>1.0</v>
      </c>
      <c r="Y698" s="1">
        <v>1.85</v>
      </c>
      <c r="Z698" s="1">
        <v>5.7</v>
      </c>
    </row>
    <row r="699" ht="14.25" customHeight="1">
      <c r="A699" s="1" t="s">
        <v>26</v>
      </c>
      <c r="B699" s="1" t="s">
        <v>252</v>
      </c>
      <c r="C699" s="1" t="s">
        <v>3824</v>
      </c>
      <c r="D699" s="1">
        <v>7.5764085E7</v>
      </c>
      <c r="E699" s="1" t="s">
        <v>2391</v>
      </c>
      <c r="F699" s="1" t="s">
        <v>668</v>
      </c>
      <c r="G699" s="1" t="s">
        <v>244</v>
      </c>
      <c r="H699" s="1" t="s">
        <v>2014</v>
      </c>
      <c r="I699" s="1">
        <v>85844.0</v>
      </c>
      <c r="J699" s="1" t="s">
        <v>3825</v>
      </c>
      <c r="K699" s="1" t="s">
        <v>3826</v>
      </c>
      <c r="L699" s="1">
        <v>322.0</v>
      </c>
      <c r="M699" s="1" t="s">
        <v>35</v>
      </c>
      <c r="N699" s="1" t="s">
        <v>36</v>
      </c>
      <c r="O699" s="1" t="s">
        <v>37</v>
      </c>
      <c r="P699" s="1">
        <v>6.0E7</v>
      </c>
      <c r="Q699" s="1">
        <v>2000.0</v>
      </c>
      <c r="R699" s="1">
        <v>12000.0</v>
      </c>
      <c r="S699" s="1">
        <v>3000.0</v>
      </c>
      <c r="T699" s="1">
        <v>627.0</v>
      </c>
      <c r="U699" s="1">
        <v>16646.0</v>
      </c>
      <c r="V699" s="1">
        <v>420.0</v>
      </c>
      <c r="W699" s="1">
        <v>0.0</v>
      </c>
      <c r="X699" s="1">
        <v>1.0</v>
      </c>
      <c r="Y699" s="1">
        <v>2.35</v>
      </c>
      <c r="Z699" s="1">
        <v>6.7</v>
      </c>
    </row>
    <row r="700" ht="14.25" customHeight="1">
      <c r="A700" s="1" t="s">
        <v>26</v>
      </c>
      <c r="B700" s="1" t="s">
        <v>1205</v>
      </c>
      <c r="C700" s="1" t="s">
        <v>3827</v>
      </c>
      <c r="D700" s="1">
        <v>9.0356857E7</v>
      </c>
      <c r="E700" s="1" t="s">
        <v>408</v>
      </c>
      <c r="F700" s="1" t="s">
        <v>941</v>
      </c>
      <c r="G700" s="1" t="s">
        <v>451</v>
      </c>
      <c r="H700" s="1" t="s">
        <v>3828</v>
      </c>
      <c r="I700" s="1">
        <v>238916.0</v>
      </c>
      <c r="J700" s="1" t="s">
        <v>3829</v>
      </c>
      <c r="K700" s="1" t="s">
        <v>3830</v>
      </c>
      <c r="L700" s="1">
        <v>328.0</v>
      </c>
      <c r="M700" s="1" t="s">
        <v>35</v>
      </c>
      <c r="N700" s="1" t="s">
        <v>36</v>
      </c>
      <c r="O700" s="1" t="s">
        <v>37</v>
      </c>
      <c r="P700" s="1">
        <v>5.8E7</v>
      </c>
      <c r="Q700" s="1">
        <v>2010.0</v>
      </c>
      <c r="R700" s="1">
        <v>13000.0</v>
      </c>
      <c r="S700" s="1">
        <v>11000.0</v>
      </c>
      <c r="T700" s="1">
        <v>357.0</v>
      </c>
      <c r="U700" s="1">
        <v>24928.0</v>
      </c>
      <c r="V700" s="1">
        <v>124.0</v>
      </c>
      <c r="W700" s="1">
        <v>32000.0</v>
      </c>
      <c r="X700" s="1">
        <v>4.0</v>
      </c>
      <c r="Y700" s="1">
        <v>2.35</v>
      </c>
      <c r="Z700" s="1">
        <v>7.1</v>
      </c>
    </row>
    <row r="701" ht="14.25" customHeight="1">
      <c r="A701" s="1" t="s">
        <v>26</v>
      </c>
      <c r="B701" s="1" t="s">
        <v>723</v>
      </c>
      <c r="C701" s="1" t="s">
        <v>3831</v>
      </c>
      <c r="D701" s="1">
        <v>7.5530832E7</v>
      </c>
      <c r="E701" s="1" t="s">
        <v>3598</v>
      </c>
      <c r="F701" s="1" t="s">
        <v>2292</v>
      </c>
      <c r="G701" s="1" t="s">
        <v>522</v>
      </c>
      <c r="H701" s="1" t="s">
        <v>2040</v>
      </c>
      <c r="I701" s="1">
        <v>97047.0</v>
      </c>
      <c r="J701" s="1" t="s">
        <v>3832</v>
      </c>
      <c r="K701" s="1" t="s">
        <v>3833</v>
      </c>
      <c r="L701" s="1">
        <v>452.0</v>
      </c>
      <c r="M701" s="1" t="s">
        <v>35</v>
      </c>
      <c r="N701" s="1" t="s">
        <v>36</v>
      </c>
      <c r="O701" s="1" t="s">
        <v>628</v>
      </c>
      <c r="P701" s="1">
        <v>5.5E7</v>
      </c>
      <c r="Q701" s="1">
        <v>1999.0</v>
      </c>
      <c r="R701" s="1">
        <v>14000.0</v>
      </c>
      <c r="S701" s="1">
        <v>2000.0</v>
      </c>
      <c r="T701" s="1">
        <v>1000.0</v>
      </c>
      <c r="U701" s="1">
        <v>20761.0</v>
      </c>
      <c r="V701" s="1">
        <v>0.0</v>
      </c>
      <c r="W701" s="1">
        <v>0.0</v>
      </c>
      <c r="X701" s="1">
        <v>5.0</v>
      </c>
      <c r="Y701" s="1">
        <v>2.35</v>
      </c>
      <c r="Z701" s="1">
        <v>6.8</v>
      </c>
    </row>
    <row r="702" ht="14.25" customHeight="1">
      <c r="A702" s="1" t="s">
        <v>26</v>
      </c>
      <c r="B702" s="1" t="s">
        <v>3834</v>
      </c>
      <c r="C702" s="1" t="s">
        <v>3835</v>
      </c>
      <c r="D702" s="1">
        <v>7.5370763E7</v>
      </c>
      <c r="E702" s="1" t="s">
        <v>3836</v>
      </c>
      <c r="F702" s="1" t="s">
        <v>92</v>
      </c>
      <c r="G702" s="1" t="s">
        <v>195</v>
      </c>
      <c r="H702" s="1" t="s">
        <v>3837</v>
      </c>
      <c r="I702" s="1">
        <v>32353.0</v>
      </c>
      <c r="J702" s="1" t="s">
        <v>3838</v>
      </c>
      <c r="K702" s="1" t="s">
        <v>3839</v>
      </c>
      <c r="L702" s="1">
        <v>263.0</v>
      </c>
      <c r="M702" s="1" t="s">
        <v>35</v>
      </c>
      <c r="N702" s="1" t="s">
        <v>36</v>
      </c>
      <c r="O702" s="1" t="s">
        <v>37</v>
      </c>
      <c r="P702" s="1">
        <v>6.0E7</v>
      </c>
      <c r="Q702" s="1">
        <v>1998.0</v>
      </c>
      <c r="R702" s="1">
        <v>19000.0</v>
      </c>
      <c r="S702" s="1">
        <v>1000.0</v>
      </c>
      <c r="T702" s="1">
        <v>380.0</v>
      </c>
      <c r="U702" s="1">
        <v>20683.0</v>
      </c>
      <c r="V702" s="1">
        <v>0.0</v>
      </c>
      <c r="W702" s="1">
        <v>0.0</v>
      </c>
      <c r="X702" s="1">
        <v>0.0</v>
      </c>
      <c r="Y702" s="1">
        <v>1.85</v>
      </c>
      <c r="Z702" s="1">
        <v>6.5</v>
      </c>
    </row>
    <row r="703" ht="14.25" customHeight="1">
      <c r="A703" s="1" t="s">
        <v>26</v>
      </c>
      <c r="B703" s="1" t="s">
        <v>1555</v>
      </c>
      <c r="C703" s="1" t="s">
        <v>3840</v>
      </c>
      <c r="D703" s="1">
        <v>1.00003492E8</v>
      </c>
      <c r="E703" s="1" t="s">
        <v>2045</v>
      </c>
      <c r="F703" s="1" t="s">
        <v>508</v>
      </c>
      <c r="G703" s="1" t="s">
        <v>768</v>
      </c>
      <c r="H703" s="1" t="s">
        <v>1754</v>
      </c>
      <c r="I703" s="1">
        <v>293662.0</v>
      </c>
      <c r="J703" s="1" t="s">
        <v>3841</v>
      </c>
      <c r="K703" s="1" t="s">
        <v>3842</v>
      </c>
      <c r="L703" s="1">
        <v>836.0</v>
      </c>
      <c r="M703" s="1" t="s">
        <v>35</v>
      </c>
      <c r="N703" s="1" t="s">
        <v>36</v>
      </c>
      <c r="O703" s="1" t="s">
        <v>628</v>
      </c>
      <c r="P703" s="1">
        <v>6.5E7</v>
      </c>
      <c r="Q703" s="1">
        <v>2004.0</v>
      </c>
      <c r="R703" s="1">
        <v>10000.0</v>
      </c>
      <c r="S703" s="1">
        <v>851.0</v>
      </c>
      <c r="T703" s="1">
        <v>680.0</v>
      </c>
      <c r="U703" s="1">
        <v>13581.0</v>
      </c>
      <c r="V703" s="1">
        <v>0.0</v>
      </c>
      <c r="W703" s="1">
        <v>0.0</v>
      </c>
      <c r="X703" s="1">
        <v>0.0</v>
      </c>
      <c r="Y703" s="1">
        <v>2.35</v>
      </c>
      <c r="Z703" s="1">
        <v>7.6</v>
      </c>
    </row>
    <row r="704" ht="14.25" customHeight="1">
      <c r="A704" s="1" t="s">
        <v>26</v>
      </c>
      <c r="B704" s="1" t="s">
        <v>1674</v>
      </c>
      <c r="C704" s="1" t="s">
        <v>3843</v>
      </c>
      <c r="D704" s="1">
        <v>9.034167E7</v>
      </c>
      <c r="E704" s="1" t="s">
        <v>1849</v>
      </c>
      <c r="F704" s="1" t="s">
        <v>1036</v>
      </c>
      <c r="G704" s="1" t="s">
        <v>2559</v>
      </c>
      <c r="H704" s="1" t="s">
        <v>1930</v>
      </c>
      <c r="I704" s="1">
        <v>102129.0</v>
      </c>
      <c r="J704" s="1" t="s">
        <v>3844</v>
      </c>
      <c r="K704" s="1" t="s">
        <v>3845</v>
      </c>
      <c r="L704" s="1">
        <v>432.0</v>
      </c>
      <c r="M704" s="1" t="s">
        <v>35</v>
      </c>
      <c r="N704" s="1" t="s">
        <v>36</v>
      </c>
      <c r="O704" s="1" t="s">
        <v>37</v>
      </c>
      <c r="P704" s="1">
        <v>6.0E7</v>
      </c>
      <c r="Q704" s="1">
        <v>2002.0</v>
      </c>
      <c r="R704" s="1">
        <v>12000.0</v>
      </c>
      <c r="S704" s="1">
        <v>1000.0</v>
      </c>
      <c r="T704" s="1">
        <v>416.0</v>
      </c>
      <c r="U704" s="1">
        <v>14611.0</v>
      </c>
      <c r="V704" s="1">
        <v>55.0</v>
      </c>
      <c r="W704" s="1">
        <v>0.0</v>
      </c>
      <c r="X704" s="1">
        <v>4.0</v>
      </c>
      <c r="Y704" s="1">
        <v>2.35</v>
      </c>
      <c r="Z704" s="1">
        <v>5.5</v>
      </c>
    </row>
    <row r="705" ht="14.25" customHeight="1">
      <c r="A705" s="1" t="s">
        <v>26</v>
      </c>
      <c r="B705" s="1" t="s">
        <v>3846</v>
      </c>
      <c r="C705" s="1" t="s">
        <v>3847</v>
      </c>
      <c r="D705" s="1">
        <v>7.4540762E7</v>
      </c>
      <c r="E705" s="1" t="s">
        <v>886</v>
      </c>
      <c r="F705" s="1" t="s">
        <v>3848</v>
      </c>
      <c r="G705" s="1" t="s">
        <v>3524</v>
      </c>
      <c r="H705" s="1" t="s">
        <v>3849</v>
      </c>
      <c r="I705" s="1">
        <v>48753.0</v>
      </c>
      <c r="J705" s="1" t="s">
        <v>3850</v>
      </c>
      <c r="K705" s="1" t="s">
        <v>3851</v>
      </c>
      <c r="L705" s="1">
        <v>323.0</v>
      </c>
      <c r="M705" s="1" t="s">
        <v>35</v>
      </c>
      <c r="N705" s="1" t="s">
        <v>36</v>
      </c>
      <c r="O705" s="1" t="s">
        <v>37</v>
      </c>
      <c r="P705" s="1">
        <v>5.5E7</v>
      </c>
      <c r="Q705" s="1">
        <v>2004.0</v>
      </c>
      <c r="R705" s="1">
        <v>2000.0</v>
      </c>
      <c r="S705" s="1">
        <v>1000.0</v>
      </c>
      <c r="T705" s="1">
        <v>579.0</v>
      </c>
      <c r="U705" s="1">
        <v>4496.0</v>
      </c>
      <c r="V705" s="1">
        <v>13.0</v>
      </c>
      <c r="W705" s="1">
        <v>0.0</v>
      </c>
      <c r="X705" s="1">
        <v>2.0</v>
      </c>
      <c r="Y705" s="1">
        <v>1.85</v>
      </c>
      <c r="Z705" s="1">
        <v>6.5</v>
      </c>
    </row>
    <row r="706" ht="14.25" customHeight="1">
      <c r="A706" s="1" t="s">
        <v>26</v>
      </c>
      <c r="B706" s="1" t="s">
        <v>849</v>
      </c>
      <c r="C706" s="1" t="s">
        <v>3852</v>
      </c>
      <c r="D706" s="1">
        <v>8.0033643E7</v>
      </c>
      <c r="E706" s="1" t="s">
        <v>1155</v>
      </c>
      <c r="F706" s="1" t="s">
        <v>508</v>
      </c>
      <c r="G706" s="1" t="s">
        <v>1606</v>
      </c>
      <c r="H706" s="1" t="s">
        <v>1958</v>
      </c>
      <c r="I706" s="1">
        <v>226570.0</v>
      </c>
      <c r="J706" s="1" t="s">
        <v>3853</v>
      </c>
      <c r="K706" s="1" t="s">
        <v>3854</v>
      </c>
      <c r="L706" s="1">
        <v>448.0</v>
      </c>
      <c r="M706" s="1" t="s">
        <v>35</v>
      </c>
      <c r="N706" s="1" t="s">
        <v>36</v>
      </c>
      <c r="O706" s="1" t="s">
        <v>37</v>
      </c>
      <c r="P706" s="1">
        <v>6.0E7</v>
      </c>
      <c r="Q706" s="1">
        <v>2012.0</v>
      </c>
      <c r="R706" s="1">
        <v>10000.0</v>
      </c>
      <c r="S706" s="1">
        <v>3000.0</v>
      </c>
      <c r="T706" s="1">
        <v>1000.0</v>
      </c>
      <c r="U706" s="1">
        <v>16385.0</v>
      </c>
      <c r="V706" s="1">
        <v>188.0</v>
      </c>
      <c r="W706" s="1">
        <v>38000.0</v>
      </c>
      <c r="X706" s="1">
        <v>2.0</v>
      </c>
      <c r="Y706" s="1">
        <v>2.35</v>
      </c>
      <c r="Z706" s="1">
        <v>7.0</v>
      </c>
    </row>
    <row r="707" ht="14.25" customHeight="1">
      <c r="A707" s="1" t="s">
        <v>26</v>
      </c>
      <c r="B707" s="1" t="s">
        <v>1985</v>
      </c>
      <c r="C707" s="1" t="s">
        <v>3855</v>
      </c>
      <c r="D707" s="1">
        <v>7.3648142E7</v>
      </c>
      <c r="E707" s="1" t="s">
        <v>2670</v>
      </c>
      <c r="F707" s="1" t="s">
        <v>2040</v>
      </c>
      <c r="G707" s="1" t="s">
        <v>2418</v>
      </c>
      <c r="H707" s="1" t="s">
        <v>3856</v>
      </c>
      <c r="I707" s="1">
        <v>99043.0</v>
      </c>
      <c r="J707" s="1" t="s">
        <v>3857</v>
      </c>
      <c r="K707" s="1" t="s">
        <v>3858</v>
      </c>
      <c r="L707" s="1">
        <v>643.0</v>
      </c>
      <c r="M707" s="1" t="s">
        <v>35</v>
      </c>
      <c r="N707" s="1" t="s">
        <v>36</v>
      </c>
      <c r="O707" s="1" t="s">
        <v>628</v>
      </c>
      <c r="P707" s="1">
        <v>6.0E7</v>
      </c>
      <c r="Q707" s="1">
        <v>1999.0</v>
      </c>
      <c r="R707" s="1">
        <v>1000.0</v>
      </c>
      <c r="S707" s="1">
        <v>975.0</v>
      </c>
      <c r="T707" s="1">
        <v>811.0</v>
      </c>
      <c r="U707" s="1">
        <v>3697.0</v>
      </c>
      <c r="V707" s="1">
        <v>212.0</v>
      </c>
      <c r="W707" s="1">
        <v>0.0</v>
      </c>
      <c r="X707" s="1">
        <v>1.0</v>
      </c>
      <c r="Y707" s="1">
        <v>2.35</v>
      </c>
      <c r="Z707" s="1">
        <v>5.8</v>
      </c>
    </row>
    <row r="708" ht="14.25" customHeight="1">
      <c r="A708" s="1" t="s">
        <v>26</v>
      </c>
      <c r="B708" s="1" t="s">
        <v>3859</v>
      </c>
      <c r="C708" s="1" t="s">
        <v>3860</v>
      </c>
      <c r="D708" s="1">
        <v>7.1844424E7</v>
      </c>
      <c r="E708" s="1" t="s">
        <v>3861</v>
      </c>
      <c r="F708" s="1" t="s">
        <v>3862</v>
      </c>
      <c r="G708" s="1" t="s">
        <v>3863</v>
      </c>
      <c r="H708" s="1" t="s">
        <v>3864</v>
      </c>
      <c r="I708" s="1">
        <v>33158.0</v>
      </c>
      <c r="J708" s="1" t="s">
        <v>3865</v>
      </c>
      <c r="K708" s="1" t="s">
        <v>3866</v>
      </c>
      <c r="L708" s="1">
        <v>223.0</v>
      </c>
      <c r="M708" s="1" t="s">
        <v>35</v>
      </c>
      <c r="N708" s="1" t="s">
        <v>36</v>
      </c>
      <c r="O708" s="1" t="s">
        <v>87</v>
      </c>
      <c r="P708" s="1">
        <v>6.0E7</v>
      </c>
      <c r="Q708" s="1">
        <v>2009.0</v>
      </c>
      <c r="R708" s="1">
        <v>433.0</v>
      </c>
      <c r="S708" s="1">
        <v>208.0</v>
      </c>
      <c r="T708" s="1">
        <v>6.0</v>
      </c>
      <c r="U708" s="1">
        <v>679.0</v>
      </c>
      <c r="V708" s="1">
        <v>197.0</v>
      </c>
      <c r="W708" s="1">
        <v>0.0</v>
      </c>
      <c r="X708" s="1">
        <v>0.0</v>
      </c>
      <c r="Y708" s="1">
        <v>1.78</v>
      </c>
      <c r="Z708" s="1">
        <v>7.3</v>
      </c>
    </row>
    <row r="709" ht="14.25" customHeight="1">
      <c r="A709" s="1" t="s">
        <v>26</v>
      </c>
      <c r="B709" s="1" t="s">
        <v>1456</v>
      </c>
      <c r="C709" s="1" t="s">
        <v>3867</v>
      </c>
      <c r="D709" s="1">
        <v>7.5638743E7</v>
      </c>
      <c r="E709" s="1" t="s">
        <v>3868</v>
      </c>
      <c r="F709" s="1" t="s">
        <v>1113</v>
      </c>
      <c r="G709" s="1" t="s">
        <v>3869</v>
      </c>
      <c r="H709" s="1" t="s">
        <v>3870</v>
      </c>
      <c r="I709" s="1">
        <v>180479.0</v>
      </c>
      <c r="J709" s="1" t="s">
        <v>3871</v>
      </c>
      <c r="K709" s="1" t="s">
        <v>3872</v>
      </c>
      <c r="L709" s="1">
        <v>411.0</v>
      </c>
      <c r="M709" s="1" t="s">
        <v>35</v>
      </c>
      <c r="N709" s="1" t="s">
        <v>36</v>
      </c>
      <c r="O709" s="1" t="s">
        <v>37</v>
      </c>
      <c r="P709" s="1">
        <v>6.0E7</v>
      </c>
      <c r="Q709" s="1">
        <v>2011.0</v>
      </c>
      <c r="R709" s="1">
        <v>13000.0</v>
      </c>
      <c r="S709" s="1">
        <v>240.0</v>
      </c>
      <c r="T709" s="1">
        <v>175.0</v>
      </c>
      <c r="U709" s="1">
        <v>13634.0</v>
      </c>
      <c r="V709" s="1">
        <v>0.0</v>
      </c>
      <c r="W709" s="1">
        <v>42000.0</v>
      </c>
      <c r="X709" s="1">
        <v>4.0</v>
      </c>
      <c r="Y709" s="1">
        <v>1.85</v>
      </c>
      <c r="Z709" s="1">
        <v>6.6</v>
      </c>
    </row>
    <row r="710" ht="14.25" customHeight="1">
      <c r="A710" s="1" t="s">
        <v>26</v>
      </c>
      <c r="B710" s="1" t="s">
        <v>3873</v>
      </c>
      <c r="C710" s="1" t="s">
        <v>3874</v>
      </c>
      <c r="D710" s="1">
        <v>6.6734992E7</v>
      </c>
      <c r="E710" s="1" t="s">
        <v>1319</v>
      </c>
      <c r="F710" s="1" t="s">
        <v>1629</v>
      </c>
      <c r="G710" s="1" t="s">
        <v>3875</v>
      </c>
      <c r="H710" s="1" t="s">
        <v>3876</v>
      </c>
      <c r="I710" s="1">
        <v>23476.0</v>
      </c>
      <c r="J710" s="1" t="s">
        <v>3877</v>
      </c>
      <c r="K710" s="1" t="s">
        <v>3878</v>
      </c>
      <c r="L710" s="1">
        <v>181.0</v>
      </c>
      <c r="M710" s="1" t="s">
        <v>35</v>
      </c>
      <c r="N710" s="1" t="s">
        <v>36</v>
      </c>
      <c r="O710" s="1" t="s">
        <v>87</v>
      </c>
      <c r="P710" s="1">
        <v>6.0E7</v>
      </c>
      <c r="Q710" s="1">
        <v>2003.0</v>
      </c>
      <c r="R710" s="1">
        <v>658.0</v>
      </c>
      <c r="S710" s="1">
        <v>257.0</v>
      </c>
      <c r="T710" s="1">
        <v>226.0</v>
      </c>
      <c r="U710" s="1">
        <v>1233.0</v>
      </c>
      <c r="V710" s="1">
        <v>18.0</v>
      </c>
      <c r="W710" s="1">
        <v>858.0</v>
      </c>
      <c r="X710" s="1">
        <v>0.0</v>
      </c>
      <c r="Y710" s="1">
        <v>2.35</v>
      </c>
      <c r="Z710" s="1">
        <v>4.4</v>
      </c>
    </row>
    <row r="711" ht="14.25" customHeight="1">
      <c r="A711" s="1" t="s">
        <v>710</v>
      </c>
      <c r="B711" s="1" t="s">
        <v>3009</v>
      </c>
      <c r="C711" s="1" t="s">
        <v>3879</v>
      </c>
      <c r="D711" s="1">
        <v>7.5280058E7</v>
      </c>
      <c r="E711" s="1" t="s">
        <v>3880</v>
      </c>
      <c r="F711" s="1" t="s">
        <v>3129</v>
      </c>
      <c r="G711" s="1" t="s">
        <v>3881</v>
      </c>
      <c r="H711" s="1" t="s">
        <v>3882</v>
      </c>
      <c r="I711" s="1">
        <v>143121.0</v>
      </c>
      <c r="J711" s="1" t="s">
        <v>3883</v>
      </c>
      <c r="K711" s="1" t="s">
        <v>3884</v>
      </c>
      <c r="L711" s="1">
        <v>279.0</v>
      </c>
      <c r="M711" s="1" t="s">
        <v>35</v>
      </c>
      <c r="N711" s="1" t="s">
        <v>36</v>
      </c>
      <c r="O711" s="1" t="s">
        <v>87</v>
      </c>
      <c r="P711" s="1">
        <v>6.0E7</v>
      </c>
      <c r="Q711" s="1">
        <v>2009.0</v>
      </c>
      <c r="R711" s="1">
        <v>309.0</v>
      </c>
      <c r="S711" s="1">
        <v>229.0</v>
      </c>
      <c r="T711" s="1">
        <v>57.0</v>
      </c>
      <c r="U711" s="1">
        <v>647.0</v>
      </c>
      <c r="V711" s="1">
        <v>253.0</v>
      </c>
      <c r="W711" s="1">
        <v>10000.0</v>
      </c>
      <c r="X711" s="1">
        <v>1.0</v>
      </c>
      <c r="Y711" s="1">
        <v>1.85</v>
      </c>
      <c r="Z711" s="1">
        <v>7.7</v>
      </c>
    </row>
    <row r="712" ht="14.25" customHeight="1">
      <c r="A712" s="1" t="s">
        <v>26</v>
      </c>
      <c r="B712" s="1" t="s">
        <v>875</v>
      </c>
      <c r="C712" s="1" t="s">
        <v>3885</v>
      </c>
      <c r="D712" s="1">
        <v>6.4505912E7</v>
      </c>
      <c r="E712" s="1" t="s">
        <v>2804</v>
      </c>
      <c r="F712" s="1" t="s">
        <v>1868</v>
      </c>
      <c r="G712" s="1" t="s">
        <v>2218</v>
      </c>
      <c r="H712" s="1" t="s">
        <v>3886</v>
      </c>
      <c r="I712" s="1">
        <v>163130.0</v>
      </c>
      <c r="J712" s="1" t="s">
        <v>3887</v>
      </c>
      <c r="K712" s="1" t="s">
        <v>3888</v>
      </c>
      <c r="L712" s="1">
        <v>1264.0</v>
      </c>
      <c r="M712" s="1" t="s">
        <v>35</v>
      </c>
      <c r="N712" s="1" t="s">
        <v>36</v>
      </c>
      <c r="O712" s="1" t="s">
        <v>628</v>
      </c>
      <c r="P712" s="1">
        <v>4.8E7</v>
      </c>
      <c r="Q712" s="1">
        <v>2008.0</v>
      </c>
      <c r="R712" s="1">
        <v>11000.0</v>
      </c>
      <c r="S712" s="1">
        <v>946.0</v>
      </c>
      <c r="T712" s="1">
        <v>751.0</v>
      </c>
      <c r="U712" s="1">
        <v>13654.0</v>
      </c>
      <c r="V712" s="1">
        <v>0.0</v>
      </c>
      <c r="W712" s="1">
        <v>6000.0</v>
      </c>
      <c r="X712" s="1">
        <v>0.0</v>
      </c>
      <c r="Y712" s="1">
        <v>1.85</v>
      </c>
      <c r="Z712" s="1">
        <v>5.0</v>
      </c>
    </row>
    <row r="713" ht="14.25" customHeight="1">
      <c r="A713" s="1" t="s">
        <v>26</v>
      </c>
      <c r="B713" s="1" t="s">
        <v>1656</v>
      </c>
      <c r="C713" s="1" t="s">
        <v>3889</v>
      </c>
      <c r="D713" s="1">
        <v>7.7862546E7</v>
      </c>
      <c r="E713" s="1" t="s">
        <v>449</v>
      </c>
      <c r="F713" s="1" t="s">
        <v>1644</v>
      </c>
      <c r="G713" s="1" t="s">
        <v>3201</v>
      </c>
      <c r="H713" s="1" t="s">
        <v>120</v>
      </c>
      <c r="I713" s="1">
        <v>266310.0</v>
      </c>
      <c r="J713" s="1" t="s">
        <v>3890</v>
      </c>
      <c r="K713" s="1" t="s">
        <v>3891</v>
      </c>
      <c r="L713" s="1">
        <v>690.0</v>
      </c>
      <c r="M713" s="1" t="s">
        <v>35</v>
      </c>
      <c r="N713" s="1" t="s">
        <v>36</v>
      </c>
      <c r="O713" s="1" t="s">
        <v>628</v>
      </c>
      <c r="P713" s="1">
        <v>7.0E7</v>
      </c>
      <c r="Q713" s="1">
        <v>2004.0</v>
      </c>
      <c r="R713" s="1">
        <v>18000.0</v>
      </c>
      <c r="S713" s="1">
        <v>992.0</v>
      </c>
      <c r="T713" s="1">
        <v>451.0</v>
      </c>
      <c r="U713" s="1">
        <v>20454.0</v>
      </c>
      <c r="V713" s="1">
        <v>12000.0</v>
      </c>
      <c r="W713" s="1">
        <v>14000.0</v>
      </c>
      <c r="X713" s="1">
        <v>2.0</v>
      </c>
      <c r="Y713" s="1">
        <v>2.35</v>
      </c>
      <c r="Z713" s="1">
        <v>7.7</v>
      </c>
    </row>
    <row r="714" ht="14.25" customHeight="1">
      <c r="A714" s="1" t="s">
        <v>26</v>
      </c>
      <c r="B714" s="1" t="s">
        <v>3892</v>
      </c>
      <c r="C714" s="1" t="s">
        <v>3893</v>
      </c>
      <c r="D714" s="1">
        <v>6.1112916E7</v>
      </c>
      <c r="E714" s="1" t="s">
        <v>501</v>
      </c>
      <c r="F714" s="1" t="s">
        <v>91</v>
      </c>
      <c r="G714" s="1" t="s">
        <v>31</v>
      </c>
      <c r="H714" s="1" t="s">
        <v>1899</v>
      </c>
      <c r="I714" s="1">
        <v>14888.0</v>
      </c>
      <c r="J714" s="1" t="s">
        <v>3894</v>
      </c>
      <c r="K714" s="1" t="s">
        <v>3895</v>
      </c>
      <c r="L714" s="1">
        <v>83.0</v>
      </c>
      <c r="M714" s="1" t="s">
        <v>35</v>
      </c>
      <c r="N714" s="1" t="s">
        <v>36</v>
      </c>
      <c r="O714" s="1" t="s">
        <v>87</v>
      </c>
      <c r="P714" s="1">
        <v>5.0E7</v>
      </c>
      <c r="Q714" s="1">
        <v>2006.0</v>
      </c>
      <c r="R714" s="1">
        <v>21000.0</v>
      </c>
      <c r="S714" s="1">
        <v>936.0</v>
      </c>
      <c r="T714" s="1">
        <v>722.0</v>
      </c>
      <c r="U714" s="1">
        <v>24664.0</v>
      </c>
      <c r="V714" s="1">
        <v>48.0</v>
      </c>
      <c r="W714" s="1">
        <v>747.0</v>
      </c>
      <c r="X714" s="1">
        <v>0.0</v>
      </c>
      <c r="Y714" s="1">
        <v>2.35</v>
      </c>
      <c r="Z714" s="1">
        <v>4.4</v>
      </c>
    </row>
    <row r="715" ht="14.25" customHeight="1">
      <c r="A715" s="1" t="s">
        <v>26</v>
      </c>
      <c r="B715" s="1" t="s">
        <v>2436</v>
      </c>
      <c r="C715" s="1" t="s">
        <v>3896</v>
      </c>
      <c r="D715" s="1">
        <v>8.8200225E7</v>
      </c>
      <c r="E715" s="1" t="s">
        <v>972</v>
      </c>
      <c r="F715" s="1" t="s">
        <v>1096</v>
      </c>
      <c r="G715" s="1" t="s">
        <v>2505</v>
      </c>
      <c r="H715" s="1" t="s">
        <v>3897</v>
      </c>
      <c r="I715" s="1">
        <v>120795.0</v>
      </c>
      <c r="J715" s="1" t="s">
        <v>3898</v>
      </c>
      <c r="K715" s="1" t="s">
        <v>3899</v>
      </c>
      <c r="L715" s="1">
        <v>308.0</v>
      </c>
      <c r="M715" s="1" t="s">
        <v>35</v>
      </c>
      <c r="N715" s="1" t="s">
        <v>36</v>
      </c>
      <c r="O715" s="1" t="s">
        <v>37</v>
      </c>
      <c r="P715" s="1">
        <v>6.0E7</v>
      </c>
      <c r="Q715" s="1">
        <v>2004.0</v>
      </c>
      <c r="R715" s="1">
        <v>881.0</v>
      </c>
      <c r="S715" s="1">
        <v>869.0</v>
      </c>
      <c r="T715" s="1">
        <v>767.0</v>
      </c>
      <c r="U715" s="1">
        <v>3943.0</v>
      </c>
      <c r="V715" s="1">
        <v>480.0</v>
      </c>
      <c r="W715" s="1">
        <v>0.0</v>
      </c>
      <c r="X715" s="1">
        <v>5.0</v>
      </c>
      <c r="Y715" s="1">
        <v>2.35</v>
      </c>
      <c r="Z715" s="1">
        <v>6.1</v>
      </c>
    </row>
    <row r="716" ht="14.25" customHeight="1">
      <c r="A716" s="1" t="s">
        <v>26</v>
      </c>
      <c r="B716" s="1" t="s">
        <v>3900</v>
      </c>
      <c r="C716" s="1" t="s">
        <v>3901</v>
      </c>
      <c r="D716" s="1">
        <v>6.0573641E7</v>
      </c>
      <c r="E716" s="1" t="s">
        <v>2904</v>
      </c>
      <c r="F716" s="1" t="s">
        <v>3902</v>
      </c>
      <c r="G716" s="1" t="s">
        <v>3903</v>
      </c>
      <c r="H716" s="1" t="s">
        <v>3904</v>
      </c>
      <c r="I716" s="1">
        <v>68406.0</v>
      </c>
      <c r="J716" s="1" t="s">
        <v>3905</v>
      </c>
      <c r="K716" s="1" t="s">
        <v>3906</v>
      </c>
      <c r="L716" s="1">
        <v>162.0</v>
      </c>
      <c r="M716" s="1" t="s">
        <v>35</v>
      </c>
      <c r="N716" s="1" t="s">
        <v>36</v>
      </c>
      <c r="O716" s="1" t="s">
        <v>87</v>
      </c>
      <c r="P716" s="1">
        <v>6.0E7</v>
      </c>
      <c r="Q716" s="1">
        <v>1996.0</v>
      </c>
      <c r="R716" s="1">
        <v>854.0</v>
      </c>
      <c r="S716" s="1">
        <v>628.0</v>
      </c>
      <c r="T716" s="1">
        <v>626.0</v>
      </c>
      <c r="U716" s="1">
        <v>4530.0</v>
      </c>
      <c r="V716" s="1">
        <v>32.0</v>
      </c>
      <c r="W716" s="1">
        <v>0.0</v>
      </c>
      <c r="X716" s="1">
        <v>1.0</v>
      </c>
      <c r="Y716" s="1">
        <v>1.85</v>
      </c>
      <c r="Z716" s="1">
        <v>5.4</v>
      </c>
    </row>
    <row r="717" ht="14.25" customHeight="1">
      <c r="A717" s="1" t="s">
        <v>26</v>
      </c>
      <c r="B717" s="1" t="s">
        <v>370</v>
      </c>
      <c r="C717" s="1" t="s">
        <v>3907</v>
      </c>
      <c r="D717" s="1">
        <v>5.9035104E7</v>
      </c>
      <c r="E717" s="1" t="s">
        <v>3908</v>
      </c>
      <c r="F717" s="1" t="s">
        <v>3909</v>
      </c>
      <c r="G717" s="1" t="s">
        <v>3390</v>
      </c>
      <c r="H717" s="1" t="s">
        <v>2409</v>
      </c>
      <c r="I717" s="1">
        <v>244566.0</v>
      </c>
      <c r="J717" s="1" t="s">
        <v>3910</v>
      </c>
      <c r="K717" s="1" t="s">
        <v>3911</v>
      </c>
      <c r="L717" s="1">
        <v>597.0</v>
      </c>
      <c r="M717" s="1" t="s">
        <v>35</v>
      </c>
      <c r="N717" s="1" t="s">
        <v>36</v>
      </c>
      <c r="O717" s="1" t="s">
        <v>37</v>
      </c>
      <c r="P717" s="1">
        <v>6.6E7</v>
      </c>
      <c r="Q717" s="1">
        <v>2004.0</v>
      </c>
      <c r="R717" s="1">
        <v>366.0</v>
      </c>
      <c r="S717" s="1">
        <v>334.0</v>
      </c>
      <c r="T717" s="1">
        <v>160.0</v>
      </c>
      <c r="U717" s="1">
        <v>1112.0</v>
      </c>
      <c r="V717" s="1">
        <v>0.0</v>
      </c>
      <c r="W717" s="1">
        <v>0.0</v>
      </c>
      <c r="X717" s="1">
        <v>1.0</v>
      </c>
      <c r="Y717" s="1">
        <v>1.85</v>
      </c>
      <c r="Z717" s="1">
        <v>6.8</v>
      </c>
    </row>
    <row r="718" ht="14.25" customHeight="1">
      <c r="A718" s="1" t="s">
        <v>26</v>
      </c>
      <c r="B718" s="1" t="s">
        <v>3912</v>
      </c>
      <c r="C718" s="1" t="s">
        <v>3913</v>
      </c>
      <c r="D718" s="1">
        <v>5.6702901E7</v>
      </c>
      <c r="E718" s="1" t="s">
        <v>3238</v>
      </c>
      <c r="F718" s="1" t="s">
        <v>1606</v>
      </c>
      <c r="G718" s="1" t="s">
        <v>3463</v>
      </c>
      <c r="H718" s="1" t="s">
        <v>2128</v>
      </c>
      <c r="I718" s="1">
        <v>23302.0</v>
      </c>
      <c r="J718" s="1" t="s">
        <v>3914</v>
      </c>
      <c r="K718" s="1" t="s">
        <v>3915</v>
      </c>
      <c r="L718" s="1">
        <v>181.0</v>
      </c>
      <c r="M718" s="1" t="s">
        <v>35</v>
      </c>
      <c r="N718" s="1" t="s">
        <v>36</v>
      </c>
      <c r="O718" s="1" t="s">
        <v>37</v>
      </c>
      <c r="P718" s="1">
        <v>6.0E7</v>
      </c>
      <c r="Q718" s="1">
        <v>1998.0</v>
      </c>
      <c r="R718" s="1">
        <v>3000.0</v>
      </c>
      <c r="S718" s="1">
        <v>552.0</v>
      </c>
      <c r="T718" s="1">
        <v>521.0</v>
      </c>
      <c r="U718" s="1">
        <v>4713.0</v>
      </c>
      <c r="V718" s="1">
        <v>234.0</v>
      </c>
      <c r="W718" s="1">
        <v>1000.0</v>
      </c>
      <c r="X718" s="1">
        <v>1.0</v>
      </c>
      <c r="Y718" s="1">
        <v>2.35</v>
      </c>
      <c r="Z718" s="1">
        <v>6.5</v>
      </c>
    </row>
    <row r="719" ht="14.25" customHeight="1">
      <c r="A719" s="1" t="s">
        <v>26</v>
      </c>
      <c r="B719" s="1" t="s">
        <v>3916</v>
      </c>
      <c r="C719" s="1" t="s">
        <v>3917</v>
      </c>
      <c r="D719" s="1">
        <v>5.5994557E7</v>
      </c>
      <c r="E719" s="1" t="s">
        <v>263</v>
      </c>
      <c r="F719" s="1" t="s">
        <v>2357</v>
      </c>
      <c r="G719" s="1" t="s">
        <v>558</v>
      </c>
      <c r="H719" s="1" t="s">
        <v>3918</v>
      </c>
      <c r="I719" s="1">
        <v>72287.0</v>
      </c>
      <c r="J719" s="1" t="s">
        <v>3919</v>
      </c>
      <c r="K719" s="1" t="s">
        <v>3920</v>
      </c>
      <c r="L719" s="1">
        <v>176.0</v>
      </c>
      <c r="M719" s="1" t="s">
        <v>35</v>
      </c>
      <c r="N719" s="1" t="s">
        <v>36</v>
      </c>
      <c r="O719" s="1" t="s">
        <v>87</v>
      </c>
      <c r="P719" s="1">
        <v>6.0E7</v>
      </c>
      <c r="Q719" s="1">
        <v>2012.0</v>
      </c>
      <c r="R719" s="1">
        <v>10000.0</v>
      </c>
      <c r="S719" s="1">
        <v>884.0</v>
      </c>
      <c r="T719" s="1">
        <v>586.0</v>
      </c>
      <c r="U719" s="1">
        <v>13597.0</v>
      </c>
      <c r="V719" s="1">
        <v>28.0</v>
      </c>
      <c r="W719" s="1">
        <v>12000.0</v>
      </c>
      <c r="X719" s="1">
        <v>0.0</v>
      </c>
      <c r="Y719" s="1">
        <v>2.35</v>
      </c>
      <c r="Z719" s="1">
        <v>7.0</v>
      </c>
    </row>
    <row r="720" ht="14.25" customHeight="1">
      <c r="A720" s="1" t="s">
        <v>26</v>
      </c>
      <c r="B720" s="1" t="s">
        <v>3338</v>
      </c>
      <c r="C720" s="1" t="s">
        <v>3921</v>
      </c>
      <c r="D720" s="1">
        <v>5.491056E7</v>
      </c>
      <c r="E720" s="1" t="s">
        <v>3171</v>
      </c>
      <c r="F720" s="1" t="s">
        <v>74</v>
      </c>
      <c r="G720" s="1" t="s">
        <v>941</v>
      </c>
      <c r="H720" s="1" t="s">
        <v>3922</v>
      </c>
      <c r="I720" s="1">
        <v>88225.0</v>
      </c>
      <c r="J720" s="1" t="s">
        <v>3923</v>
      </c>
      <c r="K720" s="1" t="s">
        <v>3924</v>
      </c>
      <c r="L720" s="1">
        <v>227.0</v>
      </c>
      <c r="M720" s="1" t="s">
        <v>35</v>
      </c>
      <c r="N720" s="1" t="s">
        <v>36</v>
      </c>
      <c r="O720" s="1" t="s">
        <v>628</v>
      </c>
      <c r="P720" s="1">
        <v>6.0E7</v>
      </c>
      <c r="Q720" s="1">
        <v>1997.0</v>
      </c>
      <c r="R720" s="1">
        <v>24000.0</v>
      </c>
      <c r="S720" s="1">
        <v>13000.0</v>
      </c>
      <c r="T720" s="1">
        <v>460.0</v>
      </c>
      <c r="U720" s="1">
        <v>38227.0</v>
      </c>
      <c r="V720" s="1">
        <v>105.0</v>
      </c>
      <c r="W720" s="1">
        <v>0.0</v>
      </c>
      <c r="X720" s="1">
        <v>0.0</v>
      </c>
      <c r="Y720" s="1">
        <v>2.35</v>
      </c>
      <c r="Z720" s="1">
        <v>6.3</v>
      </c>
    </row>
    <row r="721" ht="14.25" customHeight="1">
      <c r="A721" s="1" t="s">
        <v>26</v>
      </c>
      <c r="B721" s="1" t="s">
        <v>1284</v>
      </c>
      <c r="C721" s="1" t="s">
        <v>3925</v>
      </c>
      <c r="D721" s="1">
        <v>5.3789313E7</v>
      </c>
      <c r="E721" s="1" t="s">
        <v>1567</v>
      </c>
      <c r="F721" s="1" t="s">
        <v>1625</v>
      </c>
      <c r="G721" s="1" t="s">
        <v>1010</v>
      </c>
      <c r="H721" s="1" t="s">
        <v>694</v>
      </c>
      <c r="I721" s="1">
        <v>89816.0</v>
      </c>
      <c r="J721" s="1" t="s">
        <v>3926</v>
      </c>
      <c r="K721" s="1" t="s">
        <v>3927</v>
      </c>
      <c r="L721" s="1">
        <v>347.0</v>
      </c>
      <c r="M721" s="1" t="s">
        <v>35</v>
      </c>
      <c r="N721" s="1" t="s">
        <v>36</v>
      </c>
      <c r="O721" s="1" t="s">
        <v>37</v>
      </c>
      <c r="P721" s="1">
        <v>6.0E7</v>
      </c>
      <c r="Q721" s="1">
        <v>2003.0</v>
      </c>
      <c r="R721" s="1">
        <v>834.0</v>
      </c>
      <c r="S721" s="1">
        <v>780.0</v>
      </c>
      <c r="T721" s="1">
        <v>716.0</v>
      </c>
      <c r="U721" s="1">
        <v>3637.0</v>
      </c>
      <c r="V721" s="1">
        <v>610.0</v>
      </c>
      <c r="W721" s="1">
        <v>0.0</v>
      </c>
      <c r="X721" s="1">
        <v>0.0</v>
      </c>
      <c r="Y721" s="1">
        <v>2.35</v>
      </c>
      <c r="Z721" s="1">
        <v>6.3</v>
      </c>
    </row>
    <row r="722" ht="14.25" customHeight="1">
      <c r="A722" s="1" t="s">
        <v>26</v>
      </c>
      <c r="B722" s="1" t="s">
        <v>3928</v>
      </c>
      <c r="C722" s="1" t="s">
        <v>3929</v>
      </c>
      <c r="D722" s="1">
        <v>5.1045801E7</v>
      </c>
      <c r="E722" s="1" t="s">
        <v>206</v>
      </c>
      <c r="F722" s="1" t="s">
        <v>301</v>
      </c>
      <c r="G722" s="1" t="s">
        <v>3930</v>
      </c>
      <c r="H722" s="1" t="s">
        <v>2344</v>
      </c>
      <c r="I722" s="1">
        <v>11370.0</v>
      </c>
      <c r="J722" s="1" t="s">
        <v>3931</v>
      </c>
      <c r="K722" s="1" t="s">
        <v>3932</v>
      </c>
      <c r="L722" s="1">
        <v>54.0</v>
      </c>
      <c r="M722" s="1" t="s">
        <v>35</v>
      </c>
      <c r="N722" s="1" t="s">
        <v>36</v>
      </c>
      <c r="O722" s="1" t="s">
        <v>37</v>
      </c>
      <c r="P722" s="1">
        <v>6.0E7</v>
      </c>
      <c r="Q722" s="1">
        <v>1996.0</v>
      </c>
      <c r="R722" s="1">
        <v>1000.0</v>
      </c>
      <c r="S722" s="1">
        <v>944.0</v>
      </c>
      <c r="T722" s="1">
        <v>672.0</v>
      </c>
      <c r="U722" s="1">
        <v>3653.0</v>
      </c>
      <c r="V722" s="1">
        <v>50.0</v>
      </c>
      <c r="W722" s="1">
        <v>829.0</v>
      </c>
      <c r="X722" s="1">
        <v>2.0</v>
      </c>
      <c r="Y722" s="1">
        <v>1.85</v>
      </c>
      <c r="Z722" s="1">
        <v>6.1</v>
      </c>
    </row>
    <row r="723" ht="14.25" customHeight="1">
      <c r="A723" s="1" t="s">
        <v>26</v>
      </c>
      <c r="B723" s="1" t="s">
        <v>3933</v>
      </c>
      <c r="C723" s="1" t="s">
        <v>3934</v>
      </c>
      <c r="D723" s="1">
        <v>5.081875E7</v>
      </c>
      <c r="E723" s="1" t="s">
        <v>263</v>
      </c>
      <c r="F723" s="1" t="s">
        <v>1161</v>
      </c>
      <c r="G723" s="1" t="s">
        <v>865</v>
      </c>
      <c r="H723" s="1" t="s">
        <v>114</v>
      </c>
      <c r="I723" s="1">
        <v>31209.0</v>
      </c>
      <c r="J723" s="1" t="s">
        <v>3935</v>
      </c>
      <c r="K723" s="1" t="s">
        <v>3936</v>
      </c>
      <c r="L723" s="1">
        <v>106.0</v>
      </c>
      <c r="M723" s="1" t="s">
        <v>35</v>
      </c>
      <c r="N723" s="1" t="s">
        <v>54</v>
      </c>
      <c r="O723" s="1" t="s">
        <v>269</v>
      </c>
      <c r="P723" s="1">
        <v>6.0E7</v>
      </c>
      <c r="Q723" s="1">
        <v>2008.0</v>
      </c>
      <c r="R723" s="1">
        <v>9000.0</v>
      </c>
      <c r="S723" s="1">
        <v>2000.0</v>
      </c>
      <c r="T723" s="1">
        <v>903.0</v>
      </c>
      <c r="U723" s="1">
        <v>13403.0</v>
      </c>
      <c r="V723" s="1">
        <v>18.0</v>
      </c>
      <c r="W723" s="1">
        <v>0.0</v>
      </c>
      <c r="X723" s="1">
        <v>0.0</v>
      </c>
      <c r="Y723" s="1">
        <v>2.35</v>
      </c>
      <c r="Z723" s="1">
        <v>6.1</v>
      </c>
    </row>
    <row r="724" ht="14.25" customHeight="1">
      <c r="A724" s="1" t="s">
        <v>26</v>
      </c>
      <c r="B724" s="1" t="s">
        <v>3937</v>
      </c>
      <c r="C724" s="1" t="s">
        <v>3938</v>
      </c>
      <c r="D724" s="1">
        <v>5.0189179E7</v>
      </c>
      <c r="E724" s="1" t="s">
        <v>1821</v>
      </c>
      <c r="F724" s="1" t="s">
        <v>3699</v>
      </c>
      <c r="G724" s="1" t="s">
        <v>1754</v>
      </c>
      <c r="H724" s="1" t="s">
        <v>3939</v>
      </c>
      <c r="I724" s="1">
        <v>61966.0</v>
      </c>
      <c r="J724" s="1" t="s">
        <v>3940</v>
      </c>
      <c r="K724" s="1" t="s">
        <v>3941</v>
      </c>
      <c r="L724" s="1">
        <v>207.0</v>
      </c>
      <c r="M724" s="1" t="s">
        <v>35</v>
      </c>
      <c r="N724" s="1" t="s">
        <v>36</v>
      </c>
      <c r="O724" s="1" t="s">
        <v>37</v>
      </c>
      <c r="P724" s="1">
        <v>6.0E7</v>
      </c>
      <c r="Q724" s="1">
        <v>2002.0</v>
      </c>
      <c r="R724" s="1">
        <v>966.0</v>
      </c>
      <c r="S724" s="1">
        <v>680.0</v>
      </c>
      <c r="T724" s="1">
        <v>107.0</v>
      </c>
      <c r="U724" s="1">
        <v>2018.0</v>
      </c>
      <c r="V724" s="1">
        <v>11.0</v>
      </c>
      <c r="W724" s="1">
        <v>797.0</v>
      </c>
      <c r="X724" s="1">
        <v>2.0</v>
      </c>
      <c r="Y724" s="1">
        <v>1.85</v>
      </c>
      <c r="Z724" s="1">
        <v>5.3</v>
      </c>
    </row>
    <row r="725" ht="14.25" customHeight="1">
      <c r="A725" s="1" t="s">
        <v>26</v>
      </c>
      <c r="B725" s="1" t="s">
        <v>3942</v>
      </c>
      <c r="C725" s="1" t="s">
        <v>3943</v>
      </c>
      <c r="D725" s="1">
        <v>5.0024083E7</v>
      </c>
      <c r="E725" s="1" t="s">
        <v>57</v>
      </c>
      <c r="F725" s="1" t="s">
        <v>3944</v>
      </c>
      <c r="G725" s="1" t="s">
        <v>3945</v>
      </c>
      <c r="H725" s="1" t="s">
        <v>3946</v>
      </c>
      <c r="I725" s="1">
        <v>35918.0</v>
      </c>
      <c r="J725" s="1" t="s">
        <v>3947</v>
      </c>
      <c r="K725" s="1" t="s">
        <v>3948</v>
      </c>
      <c r="L725" s="1">
        <v>126.0</v>
      </c>
      <c r="M725" s="1" t="s">
        <v>35</v>
      </c>
      <c r="N725" s="1" t="s">
        <v>36</v>
      </c>
      <c r="O725" s="1" t="s">
        <v>628</v>
      </c>
      <c r="P725" s="1">
        <v>6.0E7</v>
      </c>
      <c r="Q725" s="1">
        <v>1995.0</v>
      </c>
      <c r="R725" s="1">
        <v>789.0</v>
      </c>
      <c r="S725" s="1">
        <v>520.0</v>
      </c>
      <c r="T725" s="1">
        <v>488.0</v>
      </c>
      <c r="U725" s="1">
        <v>2318.0</v>
      </c>
      <c r="V725" s="1">
        <v>14.0</v>
      </c>
      <c r="W725" s="1">
        <v>1000.0</v>
      </c>
      <c r="X725" s="1">
        <v>1.0</v>
      </c>
      <c r="Y725" s="1">
        <v>1.85</v>
      </c>
      <c r="Z725" s="1">
        <v>5.4</v>
      </c>
    </row>
    <row r="726" ht="14.25" customHeight="1">
      <c r="A726" s="1" t="s">
        <v>26</v>
      </c>
      <c r="B726" s="1" t="s">
        <v>820</v>
      </c>
      <c r="C726" s="1" t="s">
        <v>3949</v>
      </c>
      <c r="D726" s="1">
        <v>5.0549107E7</v>
      </c>
      <c r="E726" s="1" t="s">
        <v>886</v>
      </c>
      <c r="F726" s="1" t="s">
        <v>3950</v>
      </c>
      <c r="G726" s="1" t="s">
        <v>906</v>
      </c>
      <c r="H726" s="1" t="s">
        <v>3951</v>
      </c>
      <c r="I726" s="1">
        <v>99035.0</v>
      </c>
      <c r="J726" s="1" t="s">
        <v>3952</v>
      </c>
      <c r="K726" s="1" t="s">
        <v>3953</v>
      </c>
      <c r="L726" s="1">
        <v>289.0</v>
      </c>
      <c r="M726" s="1" t="s">
        <v>35</v>
      </c>
      <c r="N726" s="1" t="s">
        <v>36</v>
      </c>
      <c r="O726" s="1" t="s">
        <v>37</v>
      </c>
      <c r="P726" s="1">
        <v>6.0E7</v>
      </c>
      <c r="Q726" s="1">
        <v>2014.0</v>
      </c>
      <c r="R726" s="1">
        <v>539.0</v>
      </c>
      <c r="S726" s="1">
        <v>394.0</v>
      </c>
      <c r="T726" s="1">
        <v>288.0</v>
      </c>
      <c r="U726" s="1">
        <v>1411.0</v>
      </c>
      <c r="V726" s="1">
        <v>0.0</v>
      </c>
      <c r="W726" s="1">
        <v>17000.0</v>
      </c>
      <c r="X726" s="1">
        <v>3.0</v>
      </c>
      <c r="Y726" s="1">
        <v>2.35</v>
      </c>
      <c r="Z726" s="1">
        <v>6.2</v>
      </c>
    </row>
    <row r="727" ht="14.25" customHeight="1">
      <c r="A727" s="1" t="s">
        <v>26</v>
      </c>
      <c r="B727" s="1" t="s">
        <v>3954</v>
      </c>
      <c r="C727" s="1" t="s">
        <v>3955</v>
      </c>
      <c r="D727" s="1">
        <v>5.6443482E7</v>
      </c>
      <c r="E727" s="1" t="s">
        <v>3956</v>
      </c>
      <c r="F727" s="1" t="s">
        <v>340</v>
      </c>
      <c r="G727" s="1" t="s">
        <v>1663</v>
      </c>
      <c r="H727" s="1" t="s">
        <v>631</v>
      </c>
      <c r="I727" s="1">
        <v>75329.0</v>
      </c>
      <c r="J727" s="1" t="s">
        <v>3957</v>
      </c>
      <c r="K727" s="1" t="s">
        <v>3958</v>
      </c>
      <c r="L727" s="1">
        <v>256.0</v>
      </c>
      <c r="M727" s="1" t="s">
        <v>35</v>
      </c>
      <c r="N727" s="1" t="s">
        <v>36</v>
      </c>
      <c r="O727" s="1" t="s">
        <v>37</v>
      </c>
      <c r="P727" s="1">
        <v>6.0E7</v>
      </c>
      <c r="Q727" s="1">
        <v>2015.0</v>
      </c>
      <c r="R727" s="1">
        <v>34000.0</v>
      </c>
      <c r="S727" s="1">
        <v>22000.0</v>
      </c>
      <c r="T727" s="1">
        <v>14000.0</v>
      </c>
      <c r="U727" s="1">
        <v>75793.0</v>
      </c>
      <c r="V727" s="1">
        <v>737.0</v>
      </c>
      <c r="W727" s="1">
        <v>24000.0</v>
      </c>
      <c r="X727" s="1">
        <v>3.0</v>
      </c>
      <c r="Y727" s="1">
        <v>1.85</v>
      </c>
      <c r="Z727" s="1">
        <v>6.6</v>
      </c>
    </row>
    <row r="728" ht="14.25" customHeight="1">
      <c r="A728" s="1" t="s">
        <v>26</v>
      </c>
      <c r="B728" s="1" t="s">
        <v>3959</v>
      </c>
      <c r="C728" s="1" t="s">
        <v>3960</v>
      </c>
      <c r="D728" s="1">
        <v>6.2401264E7</v>
      </c>
      <c r="E728" s="1" t="s">
        <v>449</v>
      </c>
      <c r="F728" s="1" t="s">
        <v>616</v>
      </c>
      <c r="G728" s="1" t="s">
        <v>3201</v>
      </c>
      <c r="H728" s="1" t="s">
        <v>3961</v>
      </c>
      <c r="I728" s="1">
        <v>69484.0</v>
      </c>
      <c r="J728" s="1" t="s">
        <v>3962</v>
      </c>
      <c r="K728" s="1" t="s">
        <v>3963</v>
      </c>
      <c r="L728" s="1">
        <v>323.0</v>
      </c>
      <c r="M728" s="1" t="s">
        <v>35</v>
      </c>
      <c r="N728" s="1" t="s">
        <v>54</v>
      </c>
      <c r="O728" s="1" t="s">
        <v>628</v>
      </c>
      <c r="P728" s="1">
        <v>6.0E7</v>
      </c>
      <c r="Q728" s="1">
        <v>2016.0</v>
      </c>
      <c r="R728" s="1">
        <v>18000.0</v>
      </c>
      <c r="S728" s="1">
        <v>992.0</v>
      </c>
      <c r="T728" s="1">
        <v>864.0</v>
      </c>
      <c r="U728" s="1">
        <v>20276.0</v>
      </c>
      <c r="V728" s="1">
        <v>24.0</v>
      </c>
      <c r="W728" s="1">
        <v>28000.0</v>
      </c>
      <c r="X728" s="1">
        <v>3.0</v>
      </c>
      <c r="Y728" s="1">
        <v>2.35</v>
      </c>
      <c r="Z728" s="1">
        <v>5.9</v>
      </c>
    </row>
    <row r="729" ht="14.25" customHeight="1">
      <c r="A729" s="1" t="s">
        <v>26</v>
      </c>
      <c r="B729" s="1" t="s">
        <v>3964</v>
      </c>
      <c r="C729" s="1" t="s">
        <v>3965</v>
      </c>
      <c r="D729" s="1">
        <v>4.774861E7</v>
      </c>
      <c r="E729" s="1" t="s">
        <v>3966</v>
      </c>
      <c r="F729" s="1" t="s">
        <v>3967</v>
      </c>
      <c r="G729" s="1" t="s">
        <v>1787</v>
      </c>
      <c r="H729" s="1" t="s">
        <v>2344</v>
      </c>
      <c r="I729" s="1">
        <v>170179.0</v>
      </c>
      <c r="J729" s="1" t="s">
        <v>3968</v>
      </c>
      <c r="K729" s="1" t="s">
        <v>3969</v>
      </c>
      <c r="L729" s="1">
        <v>656.0</v>
      </c>
      <c r="M729" s="1" t="s">
        <v>35</v>
      </c>
      <c r="N729" s="1" t="s">
        <v>36</v>
      </c>
      <c r="O729" s="1" t="s">
        <v>628</v>
      </c>
      <c r="P729" s="1">
        <v>7.5E7</v>
      </c>
      <c r="Q729" s="1">
        <v>1997.0</v>
      </c>
      <c r="R729" s="1">
        <v>1000.0</v>
      </c>
      <c r="S729" s="1">
        <v>720.0</v>
      </c>
      <c r="T729" s="1">
        <v>672.0</v>
      </c>
      <c r="U729" s="1">
        <v>3090.0</v>
      </c>
      <c r="V729" s="1">
        <v>0.0</v>
      </c>
      <c r="W729" s="1">
        <v>0.0</v>
      </c>
      <c r="X729" s="1">
        <v>0.0</v>
      </c>
      <c r="Y729" s="1">
        <v>2.35</v>
      </c>
      <c r="Z729" s="1">
        <v>6.3</v>
      </c>
    </row>
    <row r="730" ht="14.25" customHeight="1">
      <c r="A730" s="1" t="s">
        <v>26</v>
      </c>
      <c r="B730" s="1" t="s">
        <v>2938</v>
      </c>
      <c r="C730" s="1" t="s">
        <v>3970</v>
      </c>
      <c r="D730" s="1">
        <v>4.6975183E7</v>
      </c>
      <c r="E730" s="1" t="s">
        <v>2281</v>
      </c>
      <c r="F730" s="1" t="s">
        <v>3971</v>
      </c>
      <c r="G730" s="1" t="s">
        <v>3972</v>
      </c>
      <c r="H730" s="1" t="s">
        <v>3973</v>
      </c>
      <c r="I730" s="1">
        <v>256213.0</v>
      </c>
      <c r="J730" s="1" t="s">
        <v>3974</v>
      </c>
      <c r="K730" s="1" t="s">
        <v>3975</v>
      </c>
      <c r="L730" s="1">
        <v>338.0</v>
      </c>
      <c r="M730" s="1" t="s">
        <v>35</v>
      </c>
      <c r="N730" s="1" t="s">
        <v>36</v>
      </c>
      <c r="O730" s="1" t="s">
        <v>628</v>
      </c>
      <c r="P730" s="1">
        <v>6.1E7</v>
      </c>
      <c r="Q730" s="1">
        <v>2007.0</v>
      </c>
      <c r="R730" s="1">
        <v>650.0</v>
      </c>
      <c r="S730" s="1">
        <v>467.0</v>
      </c>
      <c r="T730" s="1">
        <v>295.0</v>
      </c>
      <c r="U730" s="1">
        <v>1640.0</v>
      </c>
      <c r="V730" s="1">
        <v>845.0</v>
      </c>
      <c r="W730" s="1">
        <v>0.0</v>
      </c>
      <c r="X730" s="1">
        <v>0.0</v>
      </c>
      <c r="Y730" s="1">
        <v>2.35</v>
      </c>
      <c r="Z730" s="1">
        <v>7.2</v>
      </c>
    </row>
    <row r="731" ht="14.25" customHeight="1">
      <c r="A731" s="1" t="s">
        <v>26</v>
      </c>
      <c r="B731" s="1" t="s">
        <v>3976</v>
      </c>
      <c r="C731" s="1" t="s">
        <v>3977</v>
      </c>
      <c r="D731" s="1">
        <v>5.0807639E7</v>
      </c>
      <c r="E731" s="1" t="s">
        <v>263</v>
      </c>
      <c r="F731" s="1" t="s">
        <v>3978</v>
      </c>
      <c r="G731" s="1" t="s">
        <v>3656</v>
      </c>
      <c r="H731" s="1" t="s">
        <v>3979</v>
      </c>
      <c r="I731" s="1">
        <v>40883.0</v>
      </c>
      <c r="J731" s="1" t="s">
        <v>3980</v>
      </c>
      <c r="K731" s="1" t="s">
        <v>3981</v>
      </c>
      <c r="L731" s="1">
        <v>122.0</v>
      </c>
      <c r="M731" s="1" t="s">
        <v>35</v>
      </c>
      <c r="N731" s="1" t="s">
        <v>36</v>
      </c>
      <c r="O731" s="1" t="s">
        <v>87</v>
      </c>
      <c r="P731" s="1">
        <v>6.0E7</v>
      </c>
      <c r="Q731" s="1">
        <v>2014.0</v>
      </c>
      <c r="R731" s="1">
        <v>874.0</v>
      </c>
      <c r="S731" s="1">
        <v>668.0</v>
      </c>
      <c r="T731" s="1">
        <v>642.0</v>
      </c>
      <c r="U731" s="1">
        <v>3151.0</v>
      </c>
      <c r="V731" s="1">
        <v>7.0</v>
      </c>
      <c r="W731" s="1">
        <v>11000.0</v>
      </c>
      <c r="X731" s="1">
        <v>3.0</v>
      </c>
      <c r="Y731" s="1">
        <v>1.85</v>
      </c>
      <c r="Z731" s="1">
        <v>6.8</v>
      </c>
    </row>
    <row r="732" ht="14.25" customHeight="1">
      <c r="A732" s="1" t="s">
        <v>26</v>
      </c>
      <c r="B732" s="1" t="s">
        <v>3982</v>
      </c>
      <c r="C732" s="1" t="s">
        <v>3983</v>
      </c>
      <c r="D732" s="1">
        <v>4.6611204E7</v>
      </c>
      <c r="E732" s="1" t="s">
        <v>2391</v>
      </c>
      <c r="F732" s="1" t="s">
        <v>2062</v>
      </c>
      <c r="G732" s="1" t="s">
        <v>3984</v>
      </c>
      <c r="H732" s="1" t="s">
        <v>3930</v>
      </c>
      <c r="I732" s="1">
        <v>55749.0</v>
      </c>
      <c r="J732" s="1" t="s">
        <v>3985</v>
      </c>
      <c r="K732" s="1" t="s">
        <v>3986</v>
      </c>
      <c r="L732" s="1">
        <v>257.0</v>
      </c>
      <c r="M732" s="1" t="s">
        <v>35</v>
      </c>
      <c r="N732" s="1" t="s">
        <v>36</v>
      </c>
      <c r="O732" s="1" t="s">
        <v>37</v>
      </c>
      <c r="P732" s="1">
        <v>4.8E7</v>
      </c>
      <c r="Q732" s="1">
        <v>1998.0</v>
      </c>
      <c r="R732" s="1">
        <v>1000.0</v>
      </c>
      <c r="S732" s="1">
        <v>967.0</v>
      </c>
      <c r="T732" s="1">
        <v>944.0</v>
      </c>
      <c r="U732" s="1">
        <v>4294.0</v>
      </c>
      <c r="V732" s="1">
        <v>165.0</v>
      </c>
      <c r="W732" s="1">
        <v>0.0</v>
      </c>
      <c r="X732" s="1">
        <v>1.0</v>
      </c>
      <c r="Y732" s="1">
        <v>2.35</v>
      </c>
      <c r="Z732" s="1">
        <v>6.1</v>
      </c>
    </row>
    <row r="733" ht="14.25" customHeight="1">
      <c r="A733" s="1" t="s">
        <v>26</v>
      </c>
      <c r="B733" s="1" t="s">
        <v>2018</v>
      </c>
      <c r="C733" s="1" t="s">
        <v>3987</v>
      </c>
      <c r="D733" s="1">
        <v>2.57756197E8</v>
      </c>
      <c r="E733" s="1" t="s">
        <v>999</v>
      </c>
      <c r="F733" s="1" t="s">
        <v>451</v>
      </c>
      <c r="G733" s="1" t="s">
        <v>1197</v>
      </c>
      <c r="H733" s="1" t="s">
        <v>3988</v>
      </c>
      <c r="I733" s="1">
        <v>246698.0</v>
      </c>
      <c r="J733" s="1" t="s">
        <v>3989</v>
      </c>
      <c r="K733" s="1" t="s">
        <v>3990</v>
      </c>
      <c r="L733" s="1">
        <v>471.0</v>
      </c>
      <c r="M733" s="1" t="s">
        <v>35</v>
      </c>
      <c r="N733" s="1" t="s">
        <v>362</v>
      </c>
      <c r="O733" s="1" t="s">
        <v>87</v>
      </c>
      <c r="P733" s="1">
        <v>6.0E7</v>
      </c>
      <c r="Q733" s="1">
        <v>2014.0</v>
      </c>
      <c r="R733" s="1">
        <v>11000.0</v>
      </c>
      <c r="S733" s="1">
        <v>8000.0</v>
      </c>
      <c r="T733" s="1">
        <v>2000.0</v>
      </c>
      <c r="U733" s="1">
        <v>22128.0</v>
      </c>
      <c r="V733" s="1">
        <v>97.0</v>
      </c>
      <c r="W733" s="1">
        <v>64000.0</v>
      </c>
      <c r="X733" s="1">
        <v>0.0</v>
      </c>
      <c r="Y733" s="1">
        <v>2.35</v>
      </c>
      <c r="Z733" s="1">
        <v>7.8</v>
      </c>
    </row>
    <row r="734" ht="14.25" customHeight="1">
      <c r="A734" s="1" t="s">
        <v>26</v>
      </c>
      <c r="B734" s="1" t="s">
        <v>3991</v>
      </c>
      <c r="C734" s="1" t="s">
        <v>3992</v>
      </c>
      <c r="D734" s="1">
        <v>4.8472213E7</v>
      </c>
      <c r="E734" s="1" t="s">
        <v>1670</v>
      </c>
      <c r="F734" s="1" t="s">
        <v>3993</v>
      </c>
      <c r="G734" s="1" t="s">
        <v>827</v>
      </c>
      <c r="H734" s="1" t="s">
        <v>3994</v>
      </c>
      <c r="I734" s="1">
        <v>51252.0</v>
      </c>
      <c r="J734" s="1" t="s">
        <v>3995</v>
      </c>
      <c r="K734" s="1" t="s">
        <v>3996</v>
      </c>
      <c r="L734" s="1">
        <v>156.0</v>
      </c>
      <c r="M734" s="1" t="s">
        <v>35</v>
      </c>
      <c r="N734" s="1" t="s">
        <v>36</v>
      </c>
      <c r="O734" s="1" t="s">
        <v>37</v>
      </c>
      <c r="P734" s="1">
        <v>4.5E7</v>
      </c>
      <c r="Q734" s="1">
        <v>2005.0</v>
      </c>
      <c r="R734" s="1">
        <v>1000.0</v>
      </c>
      <c r="S734" s="1">
        <v>759.0</v>
      </c>
      <c r="T734" s="1">
        <v>642.0</v>
      </c>
      <c r="U734" s="1">
        <v>4305.0</v>
      </c>
      <c r="V734" s="1">
        <v>11.0</v>
      </c>
      <c r="W734" s="1">
        <v>621.0</v>
      </c>
      <c r="X734" s="1">
        <v>2.0</v>
      </c>
      <c r="Y734" s="1">
        <v>2.35</v>
      </c>
      <c r="Z734" s="1">
        <v>5.0</v>
      </c>
    </row>
    <row r="735" ht="14.25" customHeight="1">
      <c r="A735" s="1" t="s">
        <v>26</v>
      </c>
      <c r="B735" s="1" t="s">
        <v>3420</v>
      </c>
      <c r="C735" s="1" t="s">
        <v>3997</v>
      </c>
      <c r="D735" s="1">
        <v>4.3060566E7</v>
      </c>
      <c r="E735" s="1" t="s">
        <v>254</v>
      </c>
      <c r="F735" s="1" t="s">
        <v>59</v>
      </c>
      <c r="G735" s="1" t="s">
        <v>616</v>
      </c>
      <c r="H735" s="1" t="s">
        <v>637</v>
      </c>
      <c r="I735" s="1">
        <v>107859.0</v>
      </c>
      <c r="J735" s="1" t="s">
        <v>3998</v>
      </c>
      <c r="K735" s="1" t="s">
        <v>3999</v>
      </c>
      <c r="L735" s="1">
        <v>569.0</v>
      </c>
      <c r="M735" s="1" t="s">
        <v>35</v>
      </c>
      <c r="N735" s="1" t="s">
        <v>36</v>
      </c>
      <c r="O735" s="1" t="s">
        <v>37</v>
      </c>
      <c r="P735" s="1">
        <v>6.0E7</v>
      </c>
      <c r="Q735" s="1">
        <v>2002.0</v>
      </c>
      <c r="R735" s="1">
        <v>23000.0</v>
      </c>
      <c r="S735" s="1">
        <v>18000.0</v>
      </c>
      <c r="T735" s="1">
        <v>11000.0</v>
      </c>
      <c r="U735" s="1">
        <v>53024.0</v>
      </c>
      <c r="V735" s="1">
        <v>38.0</v>
      </c>
      <c r="W735" s="1">
        <v>0.0</v>
      </c>
      <c r="X735" s="1">
        <v>0.0</v>
      </c>
      <c r="Y735" s="1">
        <v>2.35</v>
      </c>
      <c r="Z735" s="1">
        <v>6.2</v>
      </c>
    </row>
    <row r="736" ht="14.25" customHeight="1">
      <c r="A736" s="1" t="s">
        <v>26</v>
      </c>
      <c r="B736" s="1" t="s">
        <v>4000</v>
      </c>
      <c r="C736" s="1" t="s">
        <v>4001</v>
      </c>
      <c r="D736" s="1">
        <v>4.5996718E7</v>
      </c>
      <c r="E736" s="1" t="s">
        <v>449</v>
      </c>
      <c r="F736" s="1" t="s">
        <v>4002</v>
      </c>
      <c r="G736" s="1" t="s">
        <v>3330</v>
      </c>
      <c r="H736" s="1" t="s">
        <v>4003</v>
      </c>
      <c r="I736" s="1">
        <v>173530.0</v>
      </c>
      <c r="J736" s="1" t="s">
        <v>4004</v>
      </c>
      <c r="K736" s="1" t="s">
        <v>4005</v>
      </c>
      <c r="L736" s="1">
        <v>264.0</v>
      </c>
      <c r="M736" s="1" t="s">
        <v>35</v>
      </c>
      <c r="N736" s="1" t="s">
        <v>36</v>
      </c>
      <c r="O736" s="1" t="s">
        <v>628</v>
      </c>
      <c r="P736" s="1">
        <v>6.0E7</v>
      </c>
      <c r="Q736" s="1">
        <v>2013.0</v>
      </c>
      <c r="R736" s="1">
        <v>33000.0</v>
      </c>
      <c r="S736" s="1">
        <v>301.0</v>
      </c>
      <c r="T736" s="1">
        <v>300.0</v>
      </c>
      <c r="U736" s="1">
        <v>34738.0</v>
      </c>
      <c r="V736" s="1">
        <v>181.0</v>
      </c>
      <c r="W736" s="1">
        <v>40000.0</v>
      </c>
      <c r="X736" s="1">
        <v>3.0</v>
      </c>
      <c r="Y736" s="1">
        <v>2.35</v>
      </c>
      <c r="Z736" s="1">
        <v>6.7</v>
      </c>
    </row>
    <row r="737" ht="14.25" customHeight="1">
      <c r="A737" s="1" t="s">
        <v>26</v>
      </c>
      <c r="B737" s="1" t="s">
        <v>4006</v>
      </c>
      <c r="C737" s="1" t="s">
        <v>4007</v>
      </c>
      <c r="D737" s="1">
        <v>4.3337279E7</v>
      </c>
      <c r="E737" s="1" t="s">
        <v>4008</v>
      </c>
      <c r="F737" s="1" t="s">
        <v>294</v>
      </c>
      <c r="G737" s="1" t="s">
        <v>415</v>
      </c>
      <c r="H737" s="1" t="s">
        <v>4009</v>
      </c>
      <c r="I737" s="1">
        <v>76770.0</v>
      </c>
      <c r="J737" s="1" t="s">
        <v>4010</v>
      </c>
      <c r="K737" s="1" t="s">
        <v>4011</v>
      </c>
      <c r="L737" s="1">
        <v>203.0</v>
      </c>
      <c r="M737" s="1" t="s">
        <v>35</v>
      </c>
      <c r="N737" s="1" t="s">
        <v>36</v>
      </c>
      <c r="O737" s="1" t="s">
        <v>37</v>
      </c>
      <c r="P737" s="1">
        <v>6.0E7</v>
      </c>
      <c r="Q737" s="1">
        <v>2009.0</v>
      </c>
      <c r="R737" s="1">
        <v>10000.0</v>
      </c>
      <c r="S737" s="1">
        <v>1000.0</v>
      </c>
      <c r="T737" s="1">
        <v>485.0</v>
      </c>
      <c r="U737" s="1">
        <v>12258.0</v>
      </c>
      <c r="V737" s="1">
        <v>11000.0</v>
      </c>
      <c r="W737" s="1">
        <v>0.0</v>
      </c>
      <c r="X737" s="1">
        <v>2.0</v>
      </c>
      <c r="Y737" s="1">
        <v>1.85</v>
      </c>
      <c r="Z737" s="1">
        <v>4.9</v>
      </c>
    </row>
    <row r="738" ht="14.25" customHeight="1">
      <c r="A738" s="1" t="s">
        <v>26</v>
      </c>
      <c r="B738" s="1" t="s">
        <v>3503</v>
      </c>
      <c r="C738" s="1" t="s">
        <v>4012</v>
      </c>
      <c r="D738" s="1">
        <v>3.7479778E7</v>
      </c>
      <c r="E738" s="1" t="s">
        <v>4013</v>
      </c>
      <c r="F738" s="1" t="s">
        <v>1113</v>
      </c>
      <c r="G738" s="1" t="s">
        <v>451</v>
      </c>
      <c r="H738" s="1" t="s">
        <v>4014</v>
      </c>
      <c r="I738" s="1">
        <v>124222.0</v>
      </c>
      <c r="J738" s="1" t="s">
        <v>4015</v>
      </c>
      <c r="K738" s="1" t="s">
        <v>4016</v>
      </c>
      <c r="L738" s="1">
        <v>259.0</v>
      </c>
      <c r="M738" s="1" t="s">
        <v>35</v>
      </c>
      <c r="N738" s="1" t="s">
        <v>36</v>
      </c>
      <c r="O738" s="1" t="s">
        <v>37</v>
      </c>
      <c r="P738" s="1">
        <v>6.0E7</v>
      </c>
      <c r="Q738" s="1">
        <v>2009.0</v>
      </c>
      <c r="R738" s="1">
        <v>13000.0</v>
      </c>
      <c r="S738" s="1">
        <v>11000.0</v>
      </c>
      <c r="T738" s="1">
        <v>204.0</v>
      </c>
      <c r="U738" s="1">
        <v>24458.0</v>
      </c>
      <c r="V738" s="1">
        <v>16000.0</v>
      </c>
      <c r="W738" s="1">
        <v>23000.0</v>
      </c>
      <c r="X738" s="1">
        <v>1.0</v>
      </c>
      <c r="Y738" s="1">
        <v>2.35</v>
      </c>
      <c r="Z738" s="1">
        <v>7.4</v>
      </c>
    </row>
    <row r="739" ht="14.25" customHeight="1">
      <c r="A739" s="1" t="s">
        <v>26</v>
      </c>
      <c r="B739" s="1" t="s">
        <v>1262</v>
      </c>
      <c r="C739" s="1" t="s">
        <v>4017</v>
      </c>
      <c r="D739" s="1">
        <v>4.055993E7</v>
      </c>
      <c r="E739" s="1" t="s">
        <v>4018</v>
      </c>
      <c r="F739" s="1" t="s">
        <v>1459</v>
      </c>
      <c r="G739" s="1" t="s">
        <v>130</v>
      </c>
      <c r="H739" s="1" t="s">
        <v>4019</v>
      </c>
      <c r="I739" s="1">
        <v>41727.0</v>
      </c>
      <c r="J739" s="1" t="s">
        <v>4020</v>
      </c>
      <c r="K739" s="1" t="s">
        <v>4021</v>
      </c>
      <c r="L739" s="1">
        <v>184.0</v>
      </c>
      <c r="M739" s="1" t="s">
        <v>35</v>
      </c>
      <c r="N739" s="1" t="s">
        <v>36</v>
      </c>
      <c r="O739" s="1" t="s">
        <v>37</v>
      </c>
      <c r="P739" s="1">
        <v>6.0E7</v>
      </c>
      <c r="Q739" s="1">
        <v>2009.0</v>
      </c>
      <c r="R739" s="1">
        <v>8000.0</v>
      </c>
      <c r="S739" s="1">
        <v>1000.0</v>
      </c>
      <c r="T739" s="1">
        <v>896.0</v>
      </c>
      <c r="U739" s="1">
        <v>10623.0</v>
      </c>
      <c r="V739" s="1">
        <v>209.0</v>
      </c>
      <c r="W739" s="1">
        <v>0.0</v>
      </c>
      <c r="X739" s="1">
        <v>0.0</v>
      </c>
      <c r="Y739" s="1">
        <v>2.35</v>
      </c>
      <c r="Z739" s="1">
        <v>6.2</v>
      </c>
    </row>
    <row r="740" ht="14.25" customHeight="1">
      <c r="A740" s="1" t="s">
        <v>26</v>
      </c>
      <c r="B740" s="1" t="s">
        <v>4022</v>
      </c>
      <c r="C740" s="1" t="s">
        <v>4023</v>
      </c>
      <c r="D740" s="1">
        <v>3.6830057E7</v>
      </c>
      <c r="E740" s="1" t="s">
        <v>2540</v>
      </c>
      <c r="F740" s="1" t="s">
        <v>4024</v>
      </c>
      <c r="G740" s="1" t="s">
        <v>4025</v>
      </c>
      <c r="H740" s="1" t="s">
        <v>4026</v>
      </c>
      <c r="I740" s="1">
        <v>10883.0</v>
      </c>
      <c r="J740" s="1" t="s">
        <v>4027</v>
      </c>
      <c r="K740" s="1" t="s">
        <v>4028</v>
      </c>
      <c r="L740" s="1">
        <v>73.0</v>
      </c>
      <c r="M740" s="1" t="s">
        <v>35</v>
      </c>
      <c r="N740" s="1" t="s">
        <v>36</v>
      </c>
      <c r="O740" s="1" t="s">
        <v>87</v>
      </c>
      <c r="P740" s="1">
        <v>6.5E7</v>
      </c>
      <c r="Q740" s="1">
        <v>1999.0</v>
      </c>
      <c r="R740" s="1">
        <v>1000.0</v>
      </c>
      <c r="S740" s="1">
        <v>417.0</v>
      </c>
      <c r="T740" s="1">
        <v>230.0</v>
      </c>
      <c r="U740" s="1">
        <v>2151.0</v>
      </c>
      <c r="V740" s="1">
        <v>80.0</v>
      </c>
      <c r="W740" s="1">
        <v>448.0</v>
      </c>
      <c r="X740" s="1">
        <v>2.0</v>
      </c>
      <c r="Y740" s="1">
        <v>1.85</v>
      </c>
      <c r="Z740" s="1">
        <v>4.9</v>
      </c>
    </row>
    <row r="741" ht="14.25" customHeight="1">
      <c r="A741" s="1" t="s">
        <v>26</v>
      </c>
      <c r="B741" s="1" t="s">
        <v>3169</v>
      </c>
      <c r="C741" s="1" t="s">
        <v>4029</v>
      </c>
      <c r="D741" s="1">
        <v>3.627923E7</v>
      </c>
      <c r="E741" s="1" t="s">
        <v>326</v>
      </c>
      <c r="F741" s="1" t="s">
        <v>4030</v>
      </c>
      <c r="G741" s="1" t="s">
        <v>4031</v>
      </c>
      <c r="H741" s="1" t="s">
        <v>4032</v>
      </c>
      <c r="I741" s="1">
        <v>42144.0</v>
      </c>
      <c r="J741" s="1" t="s">
        <v>4033</v>
      </c>
      <c r="K741" s="1" t="s">
        <v>4034</v>
      </c>
      <c r="L741" s="1">
        <v>213.0</v>
      </c>
      <c r="M741" s="1" t="s">
        <v>35</v>
      </c>
      <c r="N741" s="1" t="s">
        <v>36</v>
      </c>
      <c r="O741" s="1" t="s">
        <v>37</v>
      </c>
      <c r="P741" s="1">
        <v>6.0E7</v>
      </c>
      <c r="Q741" s="1">
        <v>2006.0</v>
      </c>
      <c r="R741" s="1">
        <v>310.0</v>
      </c>
      <c r="S741" s="1">
        <v>219.0</v>
      </c>
      <c r="T741" s="1">
        <v>206.0</v>
      </c>
      <c r="U741" s="1">
        <v>1352.0</v>
      </c>
      <c r="V741" s="1">
        <v>69.0</v>
      </c>
      <c r="W741" s="1">
        <v>690.0</v>
      </c>
      <c r="X741" s="1">
        <v>0.0</v>
      </c>
      <c r="Y741" s="1">
        <v>2.35</v>
      </c>
      <c r="Z741" s="1">
        <v>6.1</v>
      </c>
    </row>
    <row r="742" ht="14.25" customHeight="1">
      <c r="A742" s="1" t="s">
        <v>26</v>
      </c>
      <c r="B742" s="1" t="s">
        <v>4035</v>
      </c>
      <c r="C742" s="1" t="s">
        <v>4036</v>
      </c>
      <c r="D742" s="1">
        <v>4.219406E7</v>
      </c>
      <c r="E742" s="1" t="s">
        <v>596</v>
      </c>
      <c r="F742" s="1" t="s">
        <v>1036</v>
      </c>
      <c r="G742" s="1" t="s">
        <v>425</v>
      </c>
      <c r="H742" s="1" t="s">
        <v>1480</v>
      </c>
      <c r="I742" s="1">
        <v>41259.0</v>
      </c>
      <c r="J742" s="1" t="s">
        <v>4037</v>
      </c>
      <c r="K742" s="1" t="s">
        <v>4038</v>
      </c>
      <c r="L742" s="1">
        <v>72.0</v>
      </c>
      <c r="M742" s="1" t="s">
        <v>35</v>
      </c>
      <c r="N742" s="1" t="s">
        <v>3393</v>
      </c>
      <c r="O742" s="1" t="s">
        <v>87</v>
      </c>
      <c r="P742" s="1">
        <v>7.0E7</v>
      </c>
      <c r="Q742" s="1">
        <v>2009.0</v>
      </c>
      <c r="R742" s="1">
        <v>12000.0</v>
      </c>
      <c r="S742" s="1">
        <v>10000.0</v>
      </c>
      <c r="T742" s="1">
        <v>480.0</v>
      </c>
      <c r="U742" s="1">
        <v>22668.0</v>
      </c>
      <c r="V742" s="1">
        <v>2.0</v>
      </c>
      <c r="W742" s="1">
        <v>0.0</v>
      </c>
      <c r="X742" s="1">
        <v>1.0</v>
      </c>
      <c r="Y742" s="1">
        <v>2.35</v>
      </c>
      <c r="Z742" s="1">
        <v>6.1</v>
      </c>
    </row>
    <row r="743" ht="14.25" customHeight="1">
      <c r="A743" s="1" t="s">
        <v>26</v>
      </c>
      <c r="B743" s="1" t="s">
        <v>4039</v>
      </c>
      <c r="C743" s="1" t="s">
        <v>4040</v>
      </c>
      <c r="D743" s="1">
        <v>4.3119879E7</v>
      </c>
      <c r="E743" s="1" t="s">
        <v>219</v>
      </c>
      <c r="F743" s="1" t="s">
        <v>58</v>
      </c>
      <c r="G743" s="1" t="s">
        <v>3206</v>
      </c>
      <c r="H743" s="1" t="s">
        <v>3204</v>
      </c>
      <c r="I743" s="1">
        <v>58450.0</v>
      </c>
      <c r="J743" s="1" t="s">
        <v>4041</v>
      </c>
      <c r="K743" s="1" t="s">
        <v>4042</v>
      </c>
      <c r="L743" s="1">
        <v>842.0</v>
      </c>
      <c r="M743" s="1" t="s">
        <v>35</v>
      </c>
      <c r="N743" s="1" t="s">
        <v>36</v>
      </c>
      <c r="O743" s="1" t="s">
        <v>37</v>
      </c>
      <c r="P743" s="1">
        <v>6.0E7</v>
      </c>
      <c r="Q743" s="1">
        <v>2002.0</v>
      </c>
      <c r="R743" s="1">
        <v>27000.0</v>
      </c>
      <c r="S743" s="1">
        <v>1000.0</v>
      </c>
      <c r="T743" s="1">
        <v>906.0</v>
      </c>
      <c r="U743" s="1">
        <v>31224.0</v>
      </c>
      <c r="V743" s="1">
        <v>53.0</v>
      </c>
      <c r="W743" s="1">
        <v>0.0</v>
      </c>
      <c r="X743" s="1">
        <v>0.0</v>
      </c>
      <c r="Y743" s="1">
        <v>2.35</v>
      </c>
      <c r="Z743" s="1">
        <v>6.4</v>
      </c>
    </row>
    <row r="744" ht="14.25" customHeight="1">
      <c r="A744" s="1" t="s">
        <v>26</v>
      </c>
      <c r="B744" s="1" t="s">
        <v>4043</v>
      </c>
      <c r="C744" s="1" t="s">
        <v>4044</v>
      </c>
      <c r="D744" s="1">
        <v>3.509619E7</v>
      </c>
      <c r="E744" s="1" t="s">
        <v>4045</v>
      </c>
      <c r="F744" s="1" t="s">
        <v>769</v>
      </c>
      <c r="G744" s="1" t="s">
        <v>4046</v>
      </c>
      <c r="H744" s="1" t="s">
        <v>4047</v>
      </c>
      <c r="I744" s="1">
        <v>76560.0</v>
      </c>
      <c r="J744" s="1" t="s">
        <v>4048</v>
      </c>
      <c r="K744" s="1" t="s">
        <v>4049</v>
      </c>
      <c r="L744" s="1">
        <v>322.0</v>
      </c>
      <c r="M744" s="1" t="s">
        <v>35</v>
      </c>
      <c r="N744" s="1" t="s">
        <v>36</v>
      </c>
      <c r="O744" s="1" t="s">
        <v>37</v>
      </c>
      <c r="P744" s="1">
        <v>6.0E7</v>
      </c>
      <c r="Q744" s="1">
        <v>2003.0</v>
      </c>
      <c r="R744" s="1">
        <v>436.0</v>
      </c>
      <c r="S744" s="1">
        <v>399.0</v>
      </c>
      <c r="T744" s="1">
        <v>210.0</v>
      </c>
      <c r="U744" s="1">
        <v>1395.0</v>
      </c>
      <c r="V744" s="1">
        <v>0.0</v>
      </c>
      <c r="W744" s="1">
        <v>0.0</v>
      </c>
      <c r="X744" s="1">
        <v>1.0</v>
      </c>
      <c r="Y744" s="1">
        <v>1.85</v>
      </c>
      <c r="Z744" s="1">
        <v>6.3</v>
      </c>
    </row>
    <row r="745" ht="14.25" customHeight="1">
      <c r="A745" s="1" t="s">
        <v>26</v>
      </c>
      <c r="B745" s="1" t="s">
        <v>305</v>
      </c>
      <c r="C745" s="1" t="s">
        <v>4050</v>
      </c>
      <c r="D745" s="1">
        <v>4.3290977E7</v>
      </c>
      <c r="E745" s="1" t="s">
        <v>2061</v>
      </c>
      <c r="F745" s="1" t="s">
        <v>4051</v>
      </c>
      <c r="G745" s="1" t="s">
        <v>384</v>
      </c>
      <c r="H745" s="1" t="s">
        <v>4019</v>
      </c>
      <c r="I745" s="1">
        <v>75201.0</v>
      </c>
      <c r="J745" s="1" t="s">
        <v>4052</v>
      </c>
      <c r="K745" s="1" t="s">
        <v>4053</v>
      </c>
      <c r="L745" s="1">
        <v>256.0</v>
      </c>
      <c r="M745" s="1" t="s">
        <v>35</v>
      </c>
      <c r="N745" s="1" t="s">
        <v>54</v>
      </c>
      <c r="O745" s="1" t="s">
        <v>628</v>
      </c>
      <c r="P745" s="1">
        <v>8.0E7</v>
      </c>
      <c r="Q745" s="1">
        <v>2010.0</v>
      </c>
      <c r="R745" s="1">
        <v>2000.0</v>
      </c>
      <c r="S745" s="1">
        <v>1000.0</v>
      </c>
      <c r="T745" s="1">
        <v>896.0</v>
      </c>
      <c r="U745" s="1">
        <v>7053.0</v>
      </c>
      <c r="V745" s="1">
        <v>258.0</v>
      </c>
      <c r="W745" s="1">
        <v>0.0</v>
      </c>
      <c r="X745" s="1">
        <v>1.0</v>
      </c>
      <c r="Y745" s="1">
        <v>2.35</v>
      </c>
      <c r="Z745" s="1">
        <v>6.6</v>
      </c>
    </row>
    <row r="746" ht="14.25" customHeight="1">
      <c r="A746" s="1" t="s">
        <v>26</v>
      </c>
      <c r="B746" s="1" t="s">
        <v>1736</v>
      </c>
      <c r="C746" s="1" t="s">
        <v>4054</v>
      </c>
      <c r="D746" s="1">
        <v>3.3927476E7</v>
      </c>
      <c r="E746" s="1" t="s">
        <v>4055</v>
      </c>
      <c r="F746" s="1" t="s">
        <v>4056</v>
      </c>
      <c r="G746" s="1" t="s">
        <v>4057</v>
      </c>
      <c r="H746" s="1" t="s">
        <v>4058</v>
      </c>
      <c r="I746" s="1">
        <v>19176.0</v>
      </c>
      <c r="J746" s="1" t="s">
        <v>4059</v>
      </c>
      <c r="K746" s="1" t="s">
        <v>4060</v>
      </c>
      <c r="L746" s="1">
        <v>165.0</v>
      </c>
      <c r="M746" s="1" t="s">
        <v>35</v>
      </c>
      <c r="N746" s="1" t="s">
        <v>54</v>
      </c>
      <c r="O746" s="1" t="s">
        <v>628</v>
      </c>
      <c r="P746" s="1">
        <v>4.0E7</v>
      </c>
      <c r="Q746" s="1">
        <v>1997.0</v>
      </c>
      <c r="R746" s="1">
        <v>510.0</v>
      </c>
      <c r="S746" s="1">
        <v>344.0</v>
      </c>
      <c r="T746" s="1">
        <v>308.0</v>
      </c>
      <c r="U746" s="1">
        <v>1976.0</v>
      </c>
      <c r="V746" s="1">
        <v>0.0</v>
      </c>
      <c r="W746" s="1">
        <v>956.0</v>
      </c>
      <c r="X746" s="1">
        <v>0.0</v>
      </c>
      <c r="Y746" s="1">
        <v>2.35</v>
      </c>
      <c r="Z746" s="1">
        <v>5.7</v>
      </c>
    </row>
    <row r="747" ht="14.25" customHeight="1">
      <c r="A747" s="1" t="s">
        <v>26</v>
      </c>
      <c r="B747" s="1" t="s">
        <v>4006</v>
      </c>
      <c r="C747" s="1" t="s">
        <v>4061</v>
      </c>
      <c r="D747" s="1">
        <v>3.2122249E7</v>
      </c>
      <c r="E747" s="1" t="s">
        <v>972</v>
      </c>
      <c r="F747" s="1" t="s">
        <v>1663</v>
      </c>
      <c r="G747" s="1" t="s">
        <v>4062</v>
      </c>
      <c r="H747" s="1" t="s">
        <v>4063</v>
      </c>
      <c r="I747" s="1">
        <v>69319.0</v>
      </c>
      <c r="J747" s="1" t="s">
        <v>4064</v>
      </c>
      <c r="K747" s="1" t="s">
        <v>4065</v>
      </c>
      <c r="L747" s="1">
        <v>138.0</v>
      </c>
      <c r="M747" s="1" t="s">
        <v>35</v>
      </c>
      <c r="N747" s="1" t="s">
        <v>36</v>
      </c>
      <c r="O747" s="1" t="s">
        <v>628</v>
      </c>
      <c r="P747" s="1">
        <v>6.0E7</v>
      </c>
      <c r="Q747" s="1">
        <v>2002.0</v>
      </c>
      <c r="R747" s="1">
        <v>22000.0</v>
      </c>
      <c r="S747" s="1">
        <v>394.0</v>
      </c>
      <c r="T747" s="1">
        <v>236.0</v>
      </c>
      <c r="U747" s="1">
        <v>22889.0</v>
      </c>
      <c r="V747" s="1">
        <v>11000.0</v>
      </c>
      <c r="W747" s="1">
        <v>846.0</v>
      </c>
      <c r="X747" s="1">
        <v>1.0</v>
      </c>
      <c r="Y747" s="1">
        <v>1.85</v>
      </c>
      <c r="Z747" s="1">
        <v>5.9</v>
      </c>
    </row>
    <row r="748" ht="14.25" customHeight="1">
      <c r="A748" s="1" t="s">
        <v>26</v>
      </c>
      <c r="B748" s="1" t="s">
        <v>3928</v>
      </c>
      <c r="C748" s="1" t="s">
        <v>4066</v>
      </c>
      <c r="D748" s="1">
        <v>4.0076438E7</v>
      </c>
      <c r="E748" s="1" t="s">
        <v>2281</v>
      </c>
      <c r="F748" s="1" t="s">
        <v>1663</v>
      </c>
      <c r="G748" s="1" t="s">
        <v>2292</v>
      </c>
      <c r="H748" s="1" t="s">
        <v>3348</v>
      </c>
      <c r="I748" s="1">
        <v>73368.0</v>
      </c>
      <c r="J748" s="1" t="s">
        <v>4067</v>
      </c>
      <c r="K748" s="1" t="s">
        <v>4068</v>
      </c>
      <c r="L748" s="1">
        <v>248.0</v>
      </c>
      <c r="M748" s="1" t="s">
        <v>35</v>
      </c>
      <c r="N748" s="1" t="s">
        <v>36</v>
      </c>
      <c r="O748" s="1" t="s">
        <v>628</v>
      </c>
      <c r="P748" s="1">
        <v>6.0E7</v>
      </c>
      <c r="Q748" s="1">
        <v>2008.0</v>
      </c>
      <c r="R748" s="1">
        <v>22000.0</v>
      </c>
      <c r="S748" s="1">
        <v>14000.0</v>
      </c>
      <c r="T748" s="1">
        <v>1000.0</v>
      </c>
      <c r="U748" s="1">
        <v>38809.0</v>
      </c>
      <c r="V748" s="1">
        <v>50.0</v>
      </c>
      <c r="W748" s="1">
        <v>0.0</v>
      </c>
      <c r="X748" s="1">
        <v>2.0</v>
      </c>
      <c r="Y748" s="1">
        <v>2.35</v>
      </c>
      <c r="Z748" s="1">
        <v>6.0</v>
      </c>
    </row>
    <row r="749" ht="14.25" customHeight="1">
      <c r="A749" s="1" t="s">
        <v>26</v>
      </c>
      <c r="B749" s="1" t="s">
        <v>4069</v>
      </c>
      <c r="C749" s="1" t="s">
        <v>4070</v>
      </c>
      <c r="D749" s="1">
        <v>3.2940507E7</v>
      </c>
      <c r="E749" s="1" t="s">
        <v>449</v>
      </c>
      <c r="F749" s="1" t="s">
        <v>941</v>
      </c>
      <c r="G749" s="1" t="s">
        <v>3462</v>
      </c>
      <c r="H749" s="1" t="s">
        <v>4071</v>
      </c>
      <c r="I749" s="1">
        <v>54314.0</v>
      </c>
      <c r="J749" s="1" t="s">
        <v>4072</v>
      </c>
      <c r="K749" s="1" t="s">
        <v>4073</v>
      </c>
      <c r="L749" s="1">
        <v>127.0</v>
      </c>
      <c r="M749" s="1" t="s">
        <v>35</v>
      </c>
      <c r="N749" s="1" t="s">
        <v>36</v>
      </c>
      <c r="O749" s="1" t="s">
        <v>628</v>
      </c>
      <c r="P749" s="1">
        <v>6.0E7</v>
      </c>
      <c r="Q749" s="1">
        <v>1998.0</v>
      </c>
      <c r="R749" s="1">
        <v>13000.0</v>
      </c>
      <c r="S749" s="1">
        <v>968.0</v>
      </c>
      <c r="T749" s="1">
        <v>652.0</v>
      </c>
      <c r="U749" s="1">
        <v>16536.0</v>
      </c>
      <c r="V749" s="1">
        <v>17.0</v>
      </c>
      <c r="W749" s="1">
        <v>0.0</v>
      </c>
      <c r="X749" s="1">
        <v>1.0</v>
      </c>
      <c r="Y749" s="1">
        <v>2.35</v>
      </c>
      <c r="Z749" s="1">
        <v>6.1</v>
      </c>
    </row>
    <row r="750" ht="14.25" customHeight="1">
      <c r="A750" s="1" t="s">
        <v>26</v>
      </c>
      <c r="B750" s="1" t="s">
        <v>903</v>
      </c>
      <c r="C750" s="1" t="s">
        <v>4074</v>
      </c>
      <c r="D750" s="1">
        <v>3.1670931E7</v>
      </c>
      <c r="E750" s="1" t="s">
        <v>4075</v>
      </c>
      <c r="F750" s="1" t="s">
        <v>91</v>
      </c>
      <c r="G750" s="1" t="s">
        <v>1102</v>
      </c>
      <c r="H750" s="1" t="s">
        <v>2112</v>
      </c>
      <c r="I750" s="1">
        <v>44099.0</v>
      </c>
      <c r="J750" s="1" t="s">
        <v>4076</v>
      </c>
      <c r="K750" s="1" t="s">
        <v>4077</v>
      </c>
      <c r="L750" s="1">
        <v>143.0</v>
      </c>
      <c r="M750" s="1" t="s">
        <v>35</v>
      </c>
      <c r="N750" s="1" t="s">
        <v>54</v>
      </c>
      <c r="O750" s="1" t="s">
        <v>37</v>
      </c>
      <c r="P750" s="1">
        <v>6.0E7</v>
      </c>
      <c r="Q750" s="1">
        <v>2009.0</v>
      </c>
      <c r="R750" s="1">
        <v>21000.0</v>
      </c>
      <c r="S750" s="1">
        <v>939.0</v>
      </c>
      <c r="T750" s="1">
        <v>569.0</v>
      </c>
      <c r="U750" s="1">
        <v>23745.0</v>
      </c>
      <c r="V750" s="1">
        <v>456.0</v>
      </c>
      <c r="W750" s="1">
        <v>0.0</v>
      </c>
      <c r="X750" s="1">
        <v>0.0</v>
      </c>
      <c r="Y750" s="1">
        <v>2.35</v>
      </c>
      <c r="Z750" s="1">
        <v>6.7</v>
      </c>
    </row>
    <row r="751" ht="14.25" customHeight="1">
      <c r="A751" s="1" t="s">
        <v>26</v>
      </c>
      <c r="B751" s="1" t="s">
        <v>3834</v>
      </c>
      <c r="C751" s="1" t="s">
        <v>4078</v>
      </c>
      <c r="D751" s="1">
        <v>3.0695227E7</v>
      </c>
      <c r="E751" s="1" t="s">
        <v>4079</v>
      </c>
      <c r="F751" s="1" t="s">
        <v>1113</v>
      </c>
      <c r="G751" s="1" t="s">
        <v>158</v>
      </c>
      <c r="H751" s="1" t="s">
        <v>741</v>
      </c>
      <c r="I751" s="1">
        <v>45296.0</v>
      </c>
      <c r="J751" s="1" t="s">
        <v>4080</v>
      </c>
      <c r="K751" s="1" t="s">
        <v>4081</v>
      </c>
      <c r="L751" s="1">
        <v>267.0</v>
      </c>
      <c r="M751" s="1" t="s">
        <v>35</v>
      </c>
      <c r="N751" s="1" t="s">
        <v>36</v>
      </c>
      <c r="O751" s="1" t="s">
        <v>37</v>
      </c>
      <c r="P751" s="1">
        <v>6.0E7</v>
      </c>
      <c r="Q751" s="1">
        <v>2000.0</v>
      </c>
      <c r="R751" s="1">
        <v>13000.0</v>
      </c>
      <c r="S751" s="1">
        <v>10000.0</v>
      </c>
      <c r="T751" s="1">
        <v>9000.0</v>
      </c>
      <c r="U751" s="1">
        <v>34774.0</v>
      </c>
      <c r="V751" s="1">
        <v>0.0</v>
      </c>
      <c r="W751" s="1">
        <v>0.0</v>
      </c>
      <c r="X751" s="1">
        <v>3.0</v>
      </c>
      <c r="Y751" s="1">
        <v>1.85</v>
      </c>
      <c r="Z751" s="1">
        <v>6.7</v>
      </c>
    </row>
    <row r="752" ht="14.25" customHeight="1">
      <c r="A752" s="1" t="s">
        <v>26</v>
      </c>
      <c r="B752" s="1" t="s">
        <v>3175</v>
      </c>
      <c r="C752" s="1" t="s">
        <v>4082</v>
      </c>
      <c r="D752" s="1">
        <v>3.2522352E7</v>
      </c>
      <c r="E752" s="1" t="s">
        <v>4083</v>
      </c>
      <c r="F752" s="1" t="s">
        <v>662</v>
      </c>
      <c r="G752" s="1" t="s">
        <v>1868</v>
      </c>
      <c r="H752" s="1" t="s">
        <v>2214</v>
      </c>
      <c r="I752" s="1">
        <v>207287.0</v>
      </c>
      <c r="J752" s="1" t="s">
        <v>4084</v>
      </c>
      <c r="K752" s="1" t="s">
        <v>4085</v>
      </c>
      <c r="L752" s="1">
        <v>822.0</v>
      </c>
      <c r="M752" s="1" t="s">
        <v>35</v>
      </c>
      <c r="N752" s="1" t="s">
        <v>36</v>
      </c>
      <c r="O752" s="1" t="s">
        <v>628</v>
      </c>
      <c r="P752" s="1">
        <v>6.0E7</v>
      </c>
      <c r="Q752" s="1">
        <v>2000.0</v>
      </c>
      <c r="R752" s="1">
        <v>22000.0</v>
      </c>
      <c r="S752" s="1">
        <v>11000.0</v>
      </c>
      <c r="T752" s="1">
        <v>947.0</v>
      </c>
      <c r="U752" s="1">
        <v>36897.0</v>
      </c>
      <c r="V752" s="1">
        <v>488.0</v>
      </c>
      <c r="W752" s="1">
        <v>15000.0</v>
      </c>
      <c r="X752" s="1">
        <v>1.0</v>
      </c>
      <c r="Y752" s="1">
        <v>1.85</v>
      </c>
      <c r="Z752" s="1">
        <v>7.9</v>
      </c>
    </row>
    <row r="753" ht="14.25" customHeight="1">
      <c r="A753" s="1" t="s">
        <v>26</v>
      </c>
      <c r="B753" s="1" t="s">
        <v>925</v>
      </c>
      <c r="C753" s="1" t="s">
        <v>4086</v>
      </c>
      <c r="D753" s="1">
        <v>2.6082914E7</v>
      </c>
      <c r="E753" s="1" t="s">
        <v>3171</v>
      </c>
      <c r="F753" s="1" t="s">
        <v>4087</v>
      </c>
      <c r="G753" s="1" t="s">
        <v>787</v>
      </c>
      <c r="H753" s="1" t="s">
        <v>4088</v>
      </c>
      <c r="I753" s="1">
        <v>51349.0</v>
      </c>
      <c r="J753" s="1" t="s">
        <v>4089</v>
      </c>
      <c r="K753" s="1" t="s">
        <v>4090</v>
      </c>
      <c r="L753" s="1">
        <v>213.0</v>
      </c>
      <c r="M753" s="1" t="s">
        <v>35</v>
      </c>
      <c r="N753" s="1" t="s">
        <v>36</v>
      </c>
      <c r="O753" s="1" t="s">
        <v>37</v>
      </c>
      <c r="P753" s="1">
        <v>8.7E7</v>
      </c>
      <c r="Q753" s="1">
        <v>2005.0</v>
      </c>
      <c r="R753" s="1">
        <v>287.0</v>
      </c>
      <c r="S753" s="1">
        <v>233.0</v>
      </c>
      <c r="T753" s="1">
        <v>218.0</v>
      </c>
      <c r="U753" s="1">
        <v>993.0</v>
      </c>
      <c r="V753" s="1">
        <v>93.0</v>
      </c>
      <c r="W753" s="1">
        <v>0.0</v>
      </c>
      <c r="X753" s="1">
        <v>2.0</v>
      </c>
      <c r="Y753" s="1">
        <v>2.35</v>
      </c>
      <c r="Z753" s="1">
        <v>4.3</v>
      </c>
    </row>
    <row r="754" ht="14.25" customHeight="1">
      <c r="A754" s="1" t="s">
        <v>26</v>
      </c>
      <c r="B754" s="1" t="s">
        <v>4091</v>
      </c>
      <c r="C754" s="1" t="s">
        <v>4092</v>
      </c>
      <c r="D754" s="1">
        <v>2.9136626E7</v>
      </c>
      <c r="E754" s="1" t="s">
        <v>4093</v>
      </c>
      <c r="F754" s="1" t="s">
        <v>4094</v>
      </c>
      <c r="G754" s="1" t="s">
        <v>4095</v>
      </c>
      <c r="H754" s="1" t="s">
        <v>4096</v>
      </c>
      <c r="I754" s="1">
        <v>97089.0</v>
      </c>
      <c r="J754" s="1" t="s">
        <v>4097</v>
      </c>
      <c r="K754" s="1" t="s">
        <v>4098</v>
      </c>
      <c r="L754" s="1">
        <v>233.0</v>
      </c>
      <c r="M754" s="1" t="s">
        <v>35</v>
      </c>
      <c r="N754" s="1" t="s">
        <v>36</v>
      </c>
      <c r="O754" s="1" t="s">
        <v>37</v>
      </c>
      <c r="P754" s="1">
        <v>6.0E7</v>
      </c>
      <c r="Q754" s="1">
        <v>2011.0</v>
      </c>
      <c r="R754" s="1">
        <v>865.0</v>
      </c>
      <c r="S754" s="1">
        <v>441.0</v>
      </c>
      <c r="T754" s="1">
        <v>77.0</v>
      </c>
      <c r="U754" s="1">
        <v>1417.0</v>
      </c>
      <c r="V754" s="1">
        <v>124.0</v>
      </c>
      <c r="W754" s="1">
        <v>20000.0</v>
      </c>
      <c r="X754" s="1">
        <v>0.0</v>
      </c>
      <c r="Y754" s="1">
        <v>2.35</v>
      </c>
      <c r="Z754" s="1">
        <v>5.7</v>
      </c>
    </row>
    <row r="755" ht="14.25" customHeight="1">
      <c r="A755" s="1" t="s">
        <v>26</v>
      </c>
      <c r="B755" s="1" t="s">
        <v>4099</v>
      </c>
      <c r="C755" s="1" t="s">
        <v>4100</v>
      </c>
      <c r="D755" s="1">
        <v>2.628832E7</v>
      </c>
      <c r="E755" s="1" t="s">
        <v>4101</v>
      </c>
      <c r="F755" s="1" t="s">
        <v>335</v>
      </c>
      <c r="G755" s="1" t="s">
        <v>4102</v>
      </c>
      <c r="H755" s="1" t="s">
        <v>4103</v>
      </c>
      <c r="I755" s="1">
        <v>36144.0</v>
      </c>
      <c r="J755" s="1" t="s">
        <v>4104</v>
      </c>
      <c r="K755" s="1" t="s">
        <v>4105</v>
      </c>
      <c r="L755" s="1">
        <v>91.0</v>
      </c>
      <c r="M755" s="1" t="s">
        <v>35</v>
      </c>
      <c r="N755" s="1" t="s">
        <v>36</v>
      </c>
      <c r="O755" s="1" t="s">
        <v>87</v>
      </c>
      <c r="P755" s="1">
        <v>6.0E7</v>
      </c>
      <c r="Q755" s="1">
        <v>2003.0</v>
      </c>
      <c r="R755" s="1">
        <v>11000.0</v>
      </c>
      <c r="S755" s="1">
        <v>102.0</v>
      </c>
      <c r="T755" s="1">
        <v>82.0</v>
      </c>
      <c r="U755" s="1">
        <v>11301.0</v>
      </c>
      <c r="V755" s="1">
        <v>0.0</v>
      </c>
      <c r="W755" s="1">
        <v>880.0</v>
      </c>
      <c r="X755" s="1">
        <v>0.0</v>
      </c>
      <c r="Y755" s="1">
        <v>1.66</v>
      </c>
      <c r="Z755" s="1">
        <v>6.7</v>
      </c>
    </row>
    <row r="756" ht="14.25" customHeight="1">
      <c r="A756" s="1" t="s">
        <v>26</v>
      </c>
      <c r="B756" s="1" t="s">
        <v>2246</v>
      </c>
      <c r="C756" s="1" t="s">
        <v>4106</v>
      </c>
      <c r="D756" s="1">
        <v>2.661659E7</v>
      </c>
      <c r="E756" s="1" t="s">
        <v>4107</v>
      </c>
      <c r="F756" s="1" t="s">
        <v>3006</v>
      </c>
      <c r="G756" s="1" t="s">
        <v>2063</v>
      </c>
      <c r="H756" s="1" t="s">
        <v>3463</v>
      </c>
      <c r="I756" s="1">
        <v>120416.0</v>
      </c>
      <c r="J756" s="1" t="s">
        <v>4108</v>
      </c>
      <c r="K756" s="1" t="s">
        <v>4109</v>
      </c>
      <c r="L756" s="1">
        <v>857.0</v>
      </c>
      <c r="M756" s="1" t="s">
        <v>35</v>
      </c>
      <c r="N756" s="1" t="s">
        <v>54</v>
      </c>
      <c r="O756" s="1" t="s">
        <v>628</v>
      </c>
      <c r="P756" s="1">
        <v>6.0E7</v>
      </c>
      <c r="Q756" s="1">
        <v>1997.0</v>
      </c>
      <c r="R756" s="1">
        <v>722.0</v>
      </c>
      <c r="S756" s="1">
        <v>585.0</v>
      </c>
      <c r="T756" s="1">
        <v>552.0</v>
      </c>
      <c r="U756" s="1">
        <v>2525.0</v>
      </c>
      <c r="V756" s="1">
        <v>545.0</v>
      </c>
      <c r="W756" s="1">
        <v>10000.0</v>
      </c>
      <c r="X756" s="1">
        <v>0.0</v>
      </c>
      <c r="Y756" s="1">
        <v>2.35</v>
      </c>
      <c r="Z756" s="1">
        <v>6.7</v>
      </c>
    </row>
    <row r="757" ht="14.25" customHeight="1">
      <c r="A757" s="1" t="s">
        <v>26</v>
      </c>
      <c r="B757" s="1" t="s">
        <v>88</v>
      </c>
      <c r="C757" s="1" t="s">
        <v>146</v>
      </c>
      <c r="D757" s="1">
        <v>6.23279547E8</v>
      </c>
      <c r="E757" s="1" t="s">
        <v>65</v>
      </c>
      <c r="F757" s="1" t="s">
        <v>90</v>
      </c>
      <c r="G757" s="1" t="s">
        <v>91</v>
      </c>
      <c r="H757" s="1" t="s">
        <v>92</v>
      </c>
      <c r="I757" s="1">
        <v>995415.0</v>
      </c>
      <c r="J757" s="1" t="s">
        <v>147</v>
      </c>
      <c r="K757" s="1" t="s">
        <v>148</v>
      </c>
      <c r="L757" s="1">
        <v>1722.0</v>
      </c>
      <c r="M757" s="1" t="s">
        <v>35</v>
      </c>
      <c r="N757" s="1" t="s">
        <v>36</v>
      </c>
      <c r="O757" s="1" t="s">
        <v>37</v>
      </c>
      <c r="P757" s="1">
        <v>2.2E8</v>
      </c>
      <c r="Q757" s="1">
        <v>2012.0</v>
      </c>
      <c r="R757" s="1">
        <v>26000.0</v>
      </c>
      <c r="S757" s="1">
        <v>21000.0</v>
      </c>
      <c r="T757" s="1">
        <v>19000.0</v>
      </c>
      <c r="U757" s="1">
        <v>87697.0</v>
      </c>
      <c r="V757" s="1">
        <v>0.0</v>
      </c>
      <c r="W757" s="1">
        <v>123000.0</v>
      </c>
      <c r="X757" s="1">
        <v>3.0</v>
      </c>
      <c r="Y757" s="1">
        <v>1.85</v>
      </c>
      <c r="Z757" s="1">
        <v>8.1</v>
      </c>
    </row>
    <row r="758" ht="14.25" customHeight="1">
      <c r="A758" s="1" t="s">
        <v>26</v>
      </c>
      <c r="B758" s="1" t="s">
        <v>499</v>
      </c>
      <c r="C758" s="1" t="s">
        <v>4110</v>
      </c>
      <c r="D758" s="1">
        <v>3.0063805E7</v>
      </c>
      <c r="E758" s="1" t="s">
        <v>4111</v>
      </c>
      <c r="F758" s="1" t="s">
        <v>1010</v>
      </c>
      <c r="G758" s="1" t="s">
        <v>4112</v>
      </c>
      <c r="H758" s="1" t="s">
        <v>888</v>
      </c>
      <c r="I758" s="1">
        <v>31788.0</v>
      </c>
      <c r="J758" s="1" t="s">
        <v>4113</v>
      </c>
      <c r="K758" s="1" t="s">
        <v>4114</v>
      </c>
      <c r="L758" s="1">
        <v>243.0</v>
      </c>
      <c r="M758" s="1" t="s">
        <v>35</v>
      </c>
      <c r="N758" s="1" t="s">
        <v>36</v>
      </c>
      <c r="O758" s="1" t="s">
        <v>37</v>
      </c>
      <c r="P758" s="1">
        <v>6.0E7</v>
      </c>
      <c r="Q758" s="1">
        <v>2002.0</v>
      </c>
      <c r="R758" s="1">
        <v>780.0</v>
      </c>
      <c r="S758" s="1">
        <v>265.0</v>
      </c>
      <c r="T758" s="1">
        <v>256.0</v>
      </c>
      <c r="U758" s="1">
        <v>2109.0</v>
      </c>
      <c r="V758" s="1">
        <v>293.0</v>
      </c>
      <c r="W758" s="1">
        <v>0.0</v>
      </c>
      <c r="X758" s="1">
        <v>0.0</v>
      </c>
      <c r="Y758" s="1">
        <v>2.35</v>
      </c>
      <c r="Z758" s="1">
        <v>6.1</v>
      </c>
    </row>
    <row r="759" ht="14.25" customHeight="1">
      <c r="A759" s="1" t="s">
        <v>26</v>
      </c>
      <c r="B759" s="1" t="s">
        <v>2161</v>
      </c>
      <c r="C759" s="1" t="s">
        <v>4115</v>
      </c>
      <c r="D759" s="1">
        <v>2.2518325E7</v>
      </c>
      <c r="E759" s="1" t="s">
        <v>2061</v>
      </c>
      <c r="F759" s="1" t="s">
        <v>92</v>
      </c>
      <c r="G759" s="1" t="s">
        <v>4116</v>
      </c>
      <c r="H759" s="1" t="s">
        <v>3031</v>
      </c>
      <c r="I759" s="1">
        <v>63363.0</v>
      </c>
      <c r="J759" s="1" t="s">
        <v>4117</v>
      </c>
      <c r="K759" s="1" t="s">
        <v>4118</v>
      </c>
      <c r="L759" s="1">
        <v>644.0</v>
      </c>
      <c r="M759" s="1" t="s">
        <v>35</v>
      </c>
      <c r="N759" s="1" t="s">
        <v>730</v>
      </c>
      <c r="O759" s="1" t="s">
        <v>628</v>
      </c>
      <c r="P759" s="1">
        <v>5.0E7</v>
      </c>
      <c r="Q759" s="1">
        <v>2006.0</v>
      </c>
      <c r="R759" s="1">
        <v>19000.0</v>
      </c>
      <c r="S759" s="1">
        <v>972.0</v>
      </c>
      <c r="T759" s="1">
        <v>854.0</v>
      </c>
      <c r="U759" s="1">
        <v>22833.0</v>
      </c>
      <c r="V759" s="1">
        <v>0.0</v>
      </c>
      <c r="W759" s="1">
        <v>0.0</v>
      </c>
      <c r="X759" s="1">
        <v>0.0</v>
      </c>
      <c r="Y759" s="1">
        <v>2.35</v>
      </c>
      <c r="Z759" s="1">
        <v>5.6</v>
      </c>
    </row>
    <row r="760" ht="14.25" customHeight="1">
      <c r="A760" s="1" t="s">
        <v>710</v>
      </c>
      <c r="B760" s="1" t="s">
        <v>4119</v>
      </c>
      <c r="C760" s="1" t="s">
        <v>4120</v>
      </c>
      <c r="D760" s="1">
        <v>1.3082288E7</v>
      </c>
      <c r="E760" s="1" t="s">
        <v>4121</v>
      </c>
      <c r="F760" s="1" t="s">
        <v>75</v>
      </c>
      <c r="G760" s="1" t="s">
        <v>265</v>
      </c>
      <c r="H760" s="1" t="s">
        <v>4122</v>
      </c>
      <c r="I760" s="1">
        <v>35565.0</v>
      </c>
      <c r="J760" s="1" t="s">
        <v>4123</v>
      </c>
      <c r="K760" s="1" t="s">
        <v>4124</v>
      </c>
      <c r="L760" s="1">
        <v>247.0</v>
      </c>
      <c r="M760" s="1" t="s">
        <v>35</v>
      </c>
      <c r="N760" s="1" t="s">
        <v>54</v>
      </c>
      <c r="O760" s="1" t="s">
        <v>37</v>
      </c>
      <c r="P760" s="1">
        <v>6.0E7</v>
      </c>
      <c r="Q760" s="1">
        <v>2006.0</v>
      </c>
      <c r="R760" s="1">
        <v>11000.0</v>
      </c>
      <c r="S760" s="1">
        <v>779.0</v>
      </c>
      <c r="T760" s="1">
        <v>579.0</v>
      </c>
      <c r="U760" s="1">
        <v>12634.0</v>
      </c>
      <c r="V760" s="1">
        <v>23.0</v>
      </c>
      <c r="W760" s="1">
        <v>2000.0</v>
      </c>
      <c r="X760" s="1">
        <v>1.0</v>
      </c>
      <c r="Y760" s="1">
        <v>2.35</v>
      </c>
      <c r="Z760" s="1">
        <v>6.6</v>
      </c>
    </row>
    <row r="761" ht="14.25" customHeight="1">
      <c r="A761" s="1" t="s">
        <v>26</v>
      </c>
      <c r="B761" s="1" t="s">
        <v>4125</v>
      </c>
      <c r="C761" s="1" t="s">
        <v>4126</v>
      </c>
      <c r="D761" s="1">
        <v>1.8208078E7</v>
      </c>
      <c r="E761" s="1" t="s">
        <v>886</v>
      </c>
      <c r="F761" s="1" t="s">
        <v>373</v>
      </c>
      <c r="G761" s="1" t="s">
        <v>457</v>
      </c>
      <c r="H761" s="1" t="s">
        <v>4127</v>
      </c>
      <c r="I761" s="1">
        <v>57100.0</v>
      </c>
      <c r="J761" s="1" t="s">
        <v>4128</v>
      </c>
      <c r="K761" s="1" t="s">
        <v>4129</v>
      </c>
      <c r="L761" s="1">
        <v>281.0</v>
      </c>
      <c r="M761" s="1" t="s">
        <v>35</v>
      </c>
      <c r="N761" s="1" t="s">
        <v>36</v>
      </c>
      <c r="O761" s="1" t="s">
        <v>628</v>
      </c>
      <c r="P761" s="1">
        <v>6.0E7</v>
      </c>
      <c r="Q761" s="1">
        <v>2001.0</v>
      </c>
      <c r="R761" s="1">
        <v>968.0</v>
      </c>
      <c r="S761" s="1">
        <v>848.0</v>
      </c>
      <c r="T761" s="1">
        <v>507.0</v>
      </c>
      <c r="U761" s="1">
        <v>3012.0</v>
      </c>
      <c r="V761" s="1">
        <v>37.0</v>
      </c>
      <c r="W761" s="1">
        <v>0.0</v>
      </c>
      <c r="X761" s="1">
        <v>3.0</v>
      </c>
      <c r="Y761" s="1">
        <v>2.35</v>
      </c>
      <c r="Z761" s="1">
        <v>6.9</v>
      </c>
    </row>
    <row r="762" ht="14.25" customHeight="1">
      <c r="A762" s="1" t="s">
        <v>26</v>
      </c>
      <c r="B762" s="1" t="s">
        <v>4130</v>
      </c>
      <c r="C762" s="1" t="s">
        <v>4131</v>
      </c>
      <c r="D762" s="1">
        <v>1.4218868E7</v>
      </c>
      <c r="E762" s="1" t="s">
        <v>4107</v>
      </c>
      <c r="F762" s="1" t="s">
        <v>4132</v>
      </c>
      <c r="G762" s="1" t="s">
        <v>4133</v>
      </c>
      <c r="H762" s="1" t="s">
        <v>4134</v>
      </c>
      <c r="I762" s="1">
        <v>14596.0</v>
      </c>
      <c r="J762" s="1" t="s">
        <v>4135</v>
      </c>
      <c r="K762" s="1" t="s">
        <v>4136</v>
      </c>
      <c r="L762" s="1">
        <v>282.0</v>
      </c>
      <c r="M762" s="1" t="s">
        <v>35</v>
      </c>
      <c r="N762" s="1" t="s">
        <v>36</v>
      </c>
      <c r="O762" s="1" t="s">
        <v>37</v>
      </c>
      <c r="P762" s="1">
        <v>6.5E7</v>
      </c>
      <c r="Q762" s="1">
        <v>2000.0</v>
      </c>
      <c r="R762" s="1">
        <v>889.0</v>
      </c>
      <c r="S762" s="1">
        <v>290.0</v>
      </c>
      <c r="T762" s="1">
        <v>68.0</v>
      </c>
      <c r="U762" s="1">
        <v>1262.0</v>
      </c>
      <c r="V762" s="1">
        <v>394.0</v>
      </c>
      <c r="W762" s="1">
        <v>589.0</v>
      </c>
      <c r="X762" s="1">
        <v>0.0</v>
      </c>
      <c r="Y762" s="1">
        <v>2.35</v>
      </c>
      <c r="Z762" s="1">
        <v>4.8</v>
      </c>
    </row>
    <row r="763" ht="14.25" customHeight="1">
      <c r="A763" s="1" t="s">
        <v>26</v>
      </c>
      <c r="B763" s="1" t="s">
        <v>4137</v>
      </c>
      <c r="C763" s="1" t="s">
        <v>4138</v>
      </c>
      <c r="D763" s="1">
        <v>22451.0</v>
      </c>
      <c r="E763" s="1" t="s">
        <v>4139</v>
      </c>
      <c r="F763" s="1" t="s">
        <v>4140</v>
      </c>
      <c r="G763" s="1" t="s">
        <v>183</v>
      </c>
      <c r="H763" s="1" t="s">
        <v>4141</v>
      </c>
      <c r="I763" s="1">
        <v>41288.0</v>
      </c>
      <c r="J763" s="1" t="s">
        <v>4142</v>
      </c>
      <c r="K763" s="1" t="s">
        <v>4143</v>
      </c>
      <c r="L763" s="1">
        <v>126.0</v>
      </c>
      <c r="M763" s="1" t="s">
        <v>35</v>
      </c>
      <c r="N763" s="1" t="s">
        <v>36</v>
      </c>
      <c r="O763" s="1" t="s">
        <v>37</v>
      </c>
      <c r="P763" s="1">
        <v>6.0E7</v>
      </c>
      <c r="Q763" s="1">
        <v>2014.0</v>
      </c>
      <c r="R763" s="1">
        <v>20000.0</v>
      </c>
      <c r="S763" s="1">
        <v>882.0</v>
      </c>
      <c r="T763" s="1">
        <v>778.0</v>
      </c>
      <c r="U763" s="1">
        <v>22447.0</v>
      </c>
      <c r="V763" s="1">
        <v>167.0</v>
      </c>
      <c r="W763" s="1">
        <v>17000.0</v>
      </c>
      <c r="X763" s="1">
        <v>0.0</v>
      </c>
      <c r="Y763" s="1">
        <v>2.35</v>
      </c>
      <c r="Z763" s="1">
        <v>6.2</v>
      </c>
    </row>
    <row r="764" ht="14.25" customHeight="1">
      <c r="A764" s="1" t="s">
        <v>26</v>
      </c>
      <c r="B764" s="1" t="s">
        <v>4144</v>
      </c>
      <c r="C764" s="1" t="s">
        <v>4145</v>
      </c>
      <c r="D764" s="1">
        <v>3.1165421E7</v>
      </c>
      <c r="E764" s="1" t="s">
        <v>4146</v>
      </c>
      <c r="F764" s="1" t="s">
        <v>166</v>
      </c>
      <c r="G764" s="1" t="s">
        <v>4147</v>
      </c>
      <c r="H764" s="1" t="s">
        <v>30</v>
      </c>
      <c r="I764" s="1">
        <v>107028.0</v>
      </c>
      <c r="J764" s="1" t="s">
        <v>4148</v>
      </c>
      <c r="K764" s="1" t="s">
        <v>4149</v>
      </c>
      <c r="L764" s="1">
        <v>457.0</v>
      </c>
      <c r="M764" s="1" t="s">
        <v>35</v>
      </c>
      <c r="N764" s="1" t="s">
        <v>36</v>
      </c>
      <c r="O764" s="1" t="s">
        <v>37</v>
      </c>
      <c r="P764" s="1">
        <v>6.0E7</v>
      </c>
      <c r="Q764" s="1">
        <v>2013.0</v>
      </c>
      <c r="R764" s="1">
        <v>5000.0</v>
      </c>
      <c r="S764" s="1">
        <v>2000.0</v>
      </c>
      <c r="T764" s="1">
        <v>1000.0</v>
      </c>
      <c r="U764" s="1">
        <v>10247.0</v>
      </c>
      <c r="V764" s="1">
        <v>91.0</v>
      </c>
      <c r="W764" s="1">
        <v>44000.0</v>
      </c>
      <c r="X764" s="1">
        <v>3.0</v>
      </c>
      <c r="Y764" s="1">
        <v>2.35</v>
      </c>
      <c r="Z764" s="1">
        <v>6.0</v>
      </c>
    </row>
    <row r="765" ht="14.25" customHeight="1">
      <c r="A765" s="1" t="s">
        <v>26</v>
      </c>
      <c r="B765" s="1" t="s">
        <v>3892</v>
      </c>
      <c r="C765" s="1" t="s">
        <v>4150</v>
      </c>
      <c r="D765" s="1">
        <v>1.1802056E7</v>
      </c>
      <c r="E765" s="1" t="s">
        <v>4151</v>
      </c>
      <c r="F765" s="1" t="s">
        <v>1368</v>
      </c>
      <c r="G765" s="1" t="s">
        <v>4152</v>
      </c>
      <c r="H765" s="1" t="s">
        <v>4153</v>
      </c>
      <c r="I765" s="1">
        <v>31640.0</v>
      </c>
      <c r="J765" s="1" t="s">
        <v>4154</v>
      </c>
      <c r="K765" s="1" t="s">
        <v>4155</v>
      </c>
      <c r="L765" s="1">
        <v>109.0</v>
      </c>
      <c r="M765" s="1" t="s">
        <v>35</v>
      </c>
      <c r="N765" s="1" t="s">
        <v>36</v>
      </c>
      <c r="O765" s="1" t="s">
        <v>87</v>
      </c>
      <c r="P765" s="1">
        <v>6.0E7</v>
      </c>
      <c r="Q765" s="1">
        <v>2008.0</v>
      </c>
      <c r="R765" s="1">
        <v>973.0</v>
      </c>
      <c r="S765" s="1">
        <v>400.0</v>
      </c>
      <c r="T765" s="1">
        <v>196.0</v>
      </c>
      <c r="U765" s="1">
        <v>1865.0</v>
      </c>
      <c r="V765" s="1">
        <v>48.0</v>
      </c>
      <c r="W765" s="1">
        <v>791.0</v>
      </c>
      <c r="X765" s="1">
        <v>1.0</v>
      </c>
      <c r="Y765" s="1">
        <v>1.85</v>
      </c>
      <c r="Z765" s="1">
        <v>4.9</v>
      </c>
    </row>
    <row r="766" ht="14.25" customHeight="1">
      <c r="A766" s="1" t="s">
        <v>26</v>
      </c>
      <c r="B766" s="1" t="s">
        <v>4156</v>
      </c>
      <c r="C766" s="1" t="s">
        <v>4157</v>
      </c>
      <c r="D766" s="1">
        <v>2.5472967E7</v>
      </c>
      <c r="E766" s="1" t="s">
        <v>4158</v>
      </c>
      <c r="F766" s="1" t="s">
        <v>1286</v>
      </c>
      <c r="G766" s="1" t="s">
        <v>4159</v>
      </c>
      <c r="H766" s="1" t="s">
        <v>4160</v>
      </c>
      <c r="I766" s="1">
        <v>44966.0</v>
      </c>
      <c r="J766" s="1" t="s">
        <v>4161</v>
      </c>
      <c r="K766" s="1" t="s">
        <v>4162</v>
      </c>
      <c r="L766" s="1">
        <v>411.0</v>
      </c>
      <c r="M766" s="1" t="s">
        <v>35</v>
      </c>
      <c r="N766" s="1" t="s">
        <v>36</v>
      </c>
      <c r="O766" s="1" t="s">
        <v>37</v>
      </c>
      <c r="P766" s="1">
        <v>3.0E7</v>
      </c>
      <c r="Q766" s="1">
        <v>2005.0</v>
      </c>
      <c r="R766" s="1">
        <v>794.0</v>
      </c>
      <c r="S766" s="1">
        <v>329.0</v>
      </c>
      <c r="T766" s="1">
        <v>87.0</v>
      </c>
      <c r="U766" s="1">
        <v>1467.0</v>
      </c>
      <c r="V766" s="1">
        <v>179.0</v>
      </c>
      <c r="W766" s="1">
        <v>0.0</v>
      </c>
      <c r="X766" s="1">
        <v>2.0</v>
      </c>
      <c r="Y766" s="1">
        <v>2.35</v>
      </c>
      <c r="Z766" s="1">
        <v>5.6</v>
      </c>
    </row>
    <row r="767" ht="14.25" customHeight="1">
      <c r="A767" s="1" t="s">
        <v>26</v>
      </c>
      <c r="B767" s="1" t="s">
        <v>813</v>
      </c>
      <c r="C767" s="1" t="s">
        <v>4163</v>
      </c>
      <c r="D767" s="1">
        <v>2.23625E7</v>
      </c>
      <c r="E767" s="1" t="s">
        <v>2422</v>
      </c>
      <c r="F767" s="1" t="s">
        <v>637</v>
      </c>
      <c r="G767" s="1" t="s">
        <v>2723</v>
      </c>
      <c r="H767" s="1" t="s">
        <v>1276</v>
      </c>
      <c r="I767" s="1">
        <v>35599.0</v>
      </c>
      <c r="J767" s="1" t="s">
        <v>4164</v>
      </c>
      <c r="K767" s="1" t="s">
        <v>4165</v>
      </c>
      <c r="L767" s="1">
        <v>195.0</v>
      </c>
      <c r="M767" s="1" t="s">
        <v>35</v>
      </c>
      <c r="N767" s="1" t="s">
        <v>36</v>
      </c>
      <c r="O767" s="1" t="s">
        <v>37</v>
      </c>
      <c r="P767" s="1">
        <v>5.5E7</v>
      </c>
      <c r="Q767" s="1">
        <v>1999.0</v>
      </c>
      <c r="R767" s="1">
        <v>11000.0</v>
      </c>
      <c r="S767" s="1">
        <v>1000.0</v>
      </c>
      <c r="T767" s="1">
        <v>1000.0</v>
      </c>
      <c r="U767" s="1">
        <v>15275.0</v>
      </c>
      <c r="V767" s="1">
        <v>2000.0</v>
      </c>
      <c r="W767" s="1">
        <v>641.0</v>
      </c>
      <c r="X767" s="1">
        <v>0.0</v>
      </c>
      <c r="Y767" s="1">
        <v>1.85</v>
      </c>
      <c r="Z767" s="1">
        <v>6.1</v>
      </c>
    </row>
    <row r="768" ht="14.25" customHeight="1">
      <c r="A768" s="1" t="s">
        <v>26</v>
      </c>
      <c r="B768" s="1" t="s">
        <v>4166</v>
      </c>
      <c r="C768" s="1" t="s">
        <v>4167</v>
      </c>
      <c r="D768" s="1">
        <v>1.7281832E7</v>
      </c>
      <c r="E768" s="1" t="s">
        <v>192</v>
      </c>
      <c r="F768" s="1" t="s">
        <v>488</v>
      </c>
      <c r="G768" s="1" t="s">
        <v>152</v>
      </c>
      <c r="H768" s="1" t="s">
        <v>4168</v>
      </c>
      <c r="I768" s="1">
        <v>60232.0</v>
      </c>
      <c r="J768" s="1" t="s">
        <v>4169</v>
      </c>
      <c r="K768" s="1" t="s">
        <v>4170</v>
      </c>
      <c r="L768" s="1">
        <v>110.0</v>
      </c>
      <c r="M768" s="1" t="s">
        <v>35</v>
      </c>
      <c r="N768" s="1" t="s">
        <v>730</v>
      </c>
      <c r="O768" s="1" t="s">
        <v>87</v>
      </c>
      <c r="P768" s="1">
        <v>6.0E7</v>
      </c>
      <c r="Q768" s="1">
        <v>2008.0</v>
      </c>
      <c r="R768" s="1">
        <v>3000.0</v>
      </c>
      <c r="S768" s="1">
        <v>1000.0</v>
      </c>
      <c r="T768" s="1">
        <v>466.0</v>
      </c>
      <c r="U768" s="1">
        <v>5329.0</v>
      </c>
      <c r="V768" s="1">
        <v>34.0</v>
      </c>
      <c r="W768" s="1">
        <v>0.0</v>
      </c>
      <c r="X768" s="1">
        <v>3.0</v>
      </c>
      <c r="Y768" s="1">
        <v>2.35</v>
      </c>
      <c r="Z768" s="1">
        <v>6.1</v>
      </c>
    </row>
    <row r="769" ht="14.25" customHeight="1">
      <c r="A769" s="1" t="s">
        <v>26</v>
      </c>
      <c r="B769" s="1" t="s">
        <v>3627</v>
      </c>
      <c r="C769" s="1" t="s">
        <v>4171</v>
      </c>
      <c r="D769" s="1">
        <v>1.9781879E7</v>
      </c>
      <c r="E769" s="1" t="s">
        <v>2856</v>
      </c>
      <c r="F769" s="1" t="s">
        <v>92</v>
      </c>
      <c r="G769" s="1" t="s">
        <v>714</v>
      </c>
      <c r="H769" s="1" t="s">
        <v>4172</v>
      </c>
      <c r="I769" s="1">
        <v>53864.0</v>
      </c>
      <c r="J769" s="1" t="s">
        <v>4173</v>
      </c>
      <c r="K769" s="1" t="s">
        <v>4174</v>
      </c>
      <c r="L769" s="1">
        <v>290.0</v>
      </c>
      <c r="M769" s="1" t="s">
        <v>35</v>
      </c>
      <c r="N769" s="1" t="s">
        <v>36</v>
      </c>
      <c r="O769" s="1" t="s">
        <v>37</v>
      </c>
      <c r="P769" s="1">
        <v>6.0E7</v>
      </c>
      <c r="Q769" s="1">
        <v>2008.0</v>
      </c>
      <c r="R769" s="1">
        <v>19000.0</v>
      </c>
      <c r="S769" s="1">
        <v>961.0</v>
      </c>
      <c r="T769" s="1">
        <v>437.0</v>
      </c>
      <c r="U769" s="1">
        <v>20881.0</v>
      </c>
      <c r="V769" s="1">
        <v>436.0</v>
      </c>
      <c r="W769" s="1">
        <v>2000.0</v>
      </c>
      <c r="X769" s="1">
        <v>1.0</v>
      </c>
      <c r="Y769" s="1">
        <v>2.35</v>
      </c>
      <c r="Z769" s="1">
        <v>4.8</v>
      </c>
    </row>
    <row r="770" ht="14.25" customHeight="1">
      <c r="A770" s="1" t="s">
        <v>26</v>
      </c>
      <c r="B770" s="1" t="s">
        <v>4175</v>
      </c>
      <c r="C770" s="1" t="s">
        <v>4176</v>
      </c>
      <c r="D770" s="1">
        <v>7605668.0</v>
      </c>
      <c r="E770" s="1" t="s">
        <v>4177</v>
      </c>
      <c r="F770" s="1" t="s">
        <v>41</v>
      </c>
      <c r="G770" s="1" t="s">
        <v>4178</v>
      </c>
      <c r="H770" s="1" t="s">
        <v>4179</v>
      </c>
      <c r="I770" s="1">
        <v>47320.0</v>
      </c>
      <c r="J770" s="1" t="s">
        <v>4180</v>
      </c>
      <c r="K770" s="1" t="s">
        <v>4181</v>
      </c>
      <c r="L770" s="1">
        <v>188.0</v>
      </c>
      <c r="M770" s="1" t="s">
        <v>35</v>
      </c>
      <c r="N770" s="1" t="s">
        <v>54</v>
      </c>
      <c r="O770" s="1" t="s">
        <v>628</v>
      </c>
      <c r="P770" s="1">
        <v>6.0E7</v>
      </c>
      <c r="Q770" s="1">
        <v>2015.0</v>
      </c>
      <c r="R770" s="1">
        <v>40000.0</v>
      </c>
      <c r="S770" s="1">
        <v>2000.0</v>
      </c>
      <c r="T770" s="1">
        <v>280.0</v>
      </c>
      <c r="U770" s="1">
        <v>42683.0</v>
      </c>
      <c r="V770" s="1">
        <v>192.0</v>
      </c>
      <c r="W770" s="1">
        <v>12000.0</v>
      </c>
      <c r="X770" s="1">
        <v>2.0</v>
      </c>
      <c r="Y770" s="1">
        <v>2.35</v>
      </c>
      <c r="Z770" s="1">
        <v>5.5</v>
      </c>
    </row>
    <row r="771" ht="14.25" customHeight="1">
      <c r="A771" s="1" t="s">
        <v>26</v>
      </c>
      <c r="B771" s="1" t="s">
        <v>4182</v>
      </c>
      <c r="C771" s="1" t="s">
        <v>4183</v>
      </c>
      <c r="D771" s="1">
        <v>4535117.0</v>
      </c>
      <c r="E771" s="1" t="s">
        <v>1849</v>
      </c>
      <c r="F771" s="1" t="s">
        <v>327</v>
      </c>
      <c r="G771" s="1" t="s">
        <v>4184</v>
      </c>
      <c r="H771" s="1" t="s">
        <v>4185</v>
      </c>
      <c r="I771" s="1">
        <v>38398.0</v>
      </c>
      <c r="J771" s="1" t="s">
        <v>4186</v>
      </c>
      <c r="K771" s="1" t="s">
        <v>4187</v>
      </c>
      <c r="L771" s="1">
        <v>368.0</v>
      </c>
      <c r="M771" s="1" t="s">
        <v>35</v>
      </c>
      <c r="N771" s="1" t="s">
        <v>730</v>
      </c>
      <c r="O771" s="1" t="s">
        <v>37</v>
      </c>
      <c r="P771" s="1">
        <v>6.0E7</v>
      </c>
      <c r="Q771" s="1">
        <v>2007.0</v>
      </c>
      <c r="R771" s="1">
        <v>26000.0</v>
      </c>
      <c r="S771" s="1">
        <v>368.0</v>
      </c>
      <c r="T771" s="1">
        <v>102.0</v>
      </c>
      <c r="U771" s="1">
        <v>26564.0</v>
      </c>
      <c r="V771" s="1">
        <v>892.0</v>
      </c>
      <c r="W771" s="1">
        <v>0.0</v>
      </c>
      <c r="X771" s="1">
        <v>3.0</v>
      </c>
      <c r="Y771" s="1">
        <v>2.35</v>
      </c>
      <c r="Z771" s="1">
        <v>3.8</v>
      </c>
    </row>
    <row r="772" ht="14.25" customHeight="1">
      <c r="A772" s="1" t="s">
        <v>26</v>
      </c>
      <c r="B772" s="1" t="s">
        <v>305</v>
      </c>
      <c r="C772" s="1" t="s">
        <v>4188</v>
      </c>
      <c r="D772" s="1">
        <v>4426297.0</v>
      </c>
      <c r="E772" s="1" t="s">
        <v>1176</v>
      </c>
      <c r="F772" s="1" t="s">
        <v>550</v>
      </c>
      <c r="G772" s="1" t="s">
        <v>1665</v>
      </c>
      <c r="H772" s="1" t="s">
        <v>1404</v>
      </c>
      <c r="I772" s="1">
        <v>22570.0</v>
      </c>
      <c r="J772" s="1" t="s">
        <v>4189</v>
      </c>
      <c r="K772" s="1" t="s">
        <v>4190</v>
      </c>
      <c r="L772" s="1">
        <v>156.0</v>
      </c>
      <c r="M772" s="1" t="s">
        <v>35</v>
      </c>
      <c r="N772" s="1" t="s">
        <v>36</v>
      </c>
      <c r="O772" s="1" t="s">
        <v>628</v>
      </c>
      <c r="P772" s="1">
        <v>3.5E7</v>
      </c>
      <c r="Q772" s="1">
        <v>2003.0</v>
      </c>
      <c r="R772" s="1">
        <v>11000.0</v>
      </c>
      <c r="S772" s="1">
        <v>708.0</v>
      </c>
      <c r="T772" s="1">
        <v>617.0</v>
      </c>
      <c r="U772" s="1">
        <v>12947.0</v>
      </c>
      <c r="V772" s="1">
        <v>258.0</v>
      </c>
      <c r="W772" s="1">
        <v>0.0</v>
      </c>
      <c r="X772" s="1">
        <v>2.0</v>
      </c>
      <c r="Y772" s="1">
        <v>2.35</v>
      </c>
      <c r="Z772" s="1">
        <v>6.5</v>
      </c>
    </row>
    <row r="773" ht="14.25" customHeight="1">
      <c r="A773" s="1" t="s">
        <v>710</v>
      </c>
      <c r="B773" s="1" t="s">
        <v>4191</v>
      </c>
      <c r="C773" s="1" t="s">
        <v>4192</v>
      </c>
      <c r="D773" s="1">
        <v>1.0166502E7</v>
      </c>
      <c r="E773" s="1" t="s">
        <v>1402</v>
      </c>
      <c r="F773" s="1" t="s">
        <v>75</v>
      </c>
      <c r="G773" s="1" t="s">
        <v>4193</v>
      </c>
      <c r="H773" s="1" t="s">
        <v>4194</v>
      </c>
      <c r="I773" s="1">
        <v>18209.0</v>
      </c>
      <c r="J773" s="1" t="s">
        <v>4195</v>
      </c>
      <c r="K773" s="1" t="s">
        <v>4196</v>
      </c>
      <c r="L773" s="1">
        <v>183.0</v>
      </c>
      <c r="M773" s="1" t="s">
        <v>4197</v>
      </c>
      <c r="N773" s="1" t="s">
        <v>36</v>
      </c>
      <c r="O773" s="1" t="s">
        <v>628</v>
      </c>
      <c r="P773" s="1">
        <v>8.0E7</v>
      </c>
      <c r="Q773" s="1">
        <v>2005.0</v>
      </c>
      <c r="R773" s="1">
        <v>11000.0</v>
      </c>
      <c r="S773" s="1">
        <v>298.0</v>
      </c>
      <c r="T773" s="1">
        <v>242.0</v>
      </c>
      <c r="U773" s="1">
        <v>12133.0</v>
      </c>
      <c r="V773" s="1">
        <v>131.0</v>
      </c>
      <c r="W773" s="1">
        <v>0.0</v>
      </c>
      <c r="X773" s="1">
        <v>0.0</v>
      </c>
      <c r="Y773" s="1">
        <v>2.35</v>
      </c>
      <c r="Z773" s="1">
        <v>6.7</v>
      </c>
    </row>
    <row r="774" ht="14.25" customHeight="1">
      <c r="A774" s="1" t="s">
        <v>26</v>
      </c>
      <c r="B774" s="1" t="s">
        <v>4198</v>
      </c>
      <c r="C774" s="1" t="s">
        <v>4199</v>
      </c>
      <c r="D774" s="1">
        <v>3.63024263E8</v>
      </c>
      <c r="E774" s="1" t="s">
        <v>4200</v>
      </c>
      <c r="F774" s="1" t="s">
        <v>307</v>
      </c>
      <c r="G774" s="1" t="s">
        <v>4201</v>
      </c>
      <c r="H774" s="1" t="s">
        <v>4202</v>
      </c>
      <c r="I774" s="1">
        <v>479047.0</v>
      </c>
      <c r="J774" s="1" t="s">
        <v>4203</v>
      </c>
      <c r="K774" s="1" t="s">
        <v>4204</v>
      </c>
      <c r="L774" s="1">
        <v>1058.0</v>
      </c>
      <c r="M774" s="1" t="s">
        <v>35</v>
      </c>
      <c r="N774" s="1" t="s">
        <v>36</v>
      </c>
      <c r="O774" s="1" t="s">
        <v>628</v>
      </c>
      <c r="P774" s="1">
        <v>5.8E7</v>
      </c>
      <c r="Q774" s="1">
        <v>2016.0</v>
      </c>
      <c r="R774" s="1">
        <v>16000.0</v>
      </c>
      <c r="S774" s="1">
        <v>805.0</v>
      </c>
      <c r="T774" s="1">
        <v>361.0</v>
      </c>
      <c r="U774" s="1">
        <v>18239.0</v>
      </c>
      <c r="V774" s="1">
        <v>84.0</v>
      </c>
      <c r="W774" s="1">
        <v>117000.0</v>
      </c>
      <c r="X774" s="1">
        <v>0.0</v>
      </c>
      <c r="Y774" s="1">
        <v>2.35</v>
      </c>
      <c r="Z774" s="1">
        <v>8.1</v>
      </c>
    </row>
    <row r="775" ht="14.25" customHeight="1">
      <c r="A775" s="1" t="s">
        <v>26</v>
      </c>
      <c r="B775" s="1" t="s">
        <v>4205</v>
      </c>
      <c r="C775" s="1" t="s">
        <v>4206</v>
      </c>
      <c r="D775" s="1">
        <v>1.2065985E7</v>
      </c>
      <c r="E775" s="1" t="s">
        <v>2422</v>
      </c>
      <c r="F775" s="1" t="s">
        <v>1562</v>
      </c>
      <c r="G775" s="1" t="s">
        <v>4207</v>
      </c>
      <c r="H775" s="1" t="s">
        <v>4208</v>
      </c>
      <c r="I775" s="1">
        <v>16260.0</v>
      </c>
      <c r="J775" s="1" t="s">
        <v>4209</v>
      </c>
      <c r="K775" s="1" t="s">
        <v>4210</v>
      </c>
      <c r="L775" s="1">
        <v>88.0</v>
      </c>
      <c r="M775" s="1" t="s">
        <v>35</v>
      </c>
      <c r="N775" s="1" t="s">
        <v>36</v>
      </c>
      <c r="O775" s="1" t="s">
        <v>87</v>
      </c>
      <c r="P775" s="1">
        <v>6.0E7</v>
      </c>
      <c r="Q775" s="1">
        <v>1998.0</v>
      </c>
      <c r="R775" s="1">
        <v>743.0</v>
      </c>
      <c r="S775" s="1">
        <v>730.0</v>
      </c>
      <c r="T775" s="1">
        <v>440.0</v>
      </c>
      <c r="U775" s="1">
        <v>2367.0</v>
      </c>
      <c r="V775" s="1">
        <v>65.0</v>
      </c>
      <c r="W775" s="1">
        <v>296.0</v>
      </c>
      <c r="X775" s="1">
        <v>1.0</v>
      </c>
      <c r="Y775" s="1">
        <v>2.35</v>
      </c>
      <c r="Z775" s="1">
        <v>4.9</v>
      </c>
    </row>
    <row r="776" ht="14.25" customHeight="1">
      <c r="A776" s="1" t="s">
        <v>26</v>
      </c>
      <c r="B776" s="1" t="s">
        <v>3503</v>
      </c>
      <c r="C776" s="1" t="s">
        <v>4211</v>
      </c>
      <c r="D776" s="1">
        <v>3.50123553E8</v>
      </c>
      <c r="E776" s="1" t="s">
        <v>4212</v>
      </c>
      <c r="F776" s="1" t="s">
        <v>631</v>
      </c>
      <c r="G776" s="1" t="s">
        <v>4213</v>
      </c>
      <c r="H776" s="1" t="s">
        <v>4214</v>
      </c>
      <c r="I776" s="1">
        <v>325264.0</v>
      </c>
      <c r="J776" s="1" t="s">
        <v>4215</v>
      </c>
      <c r="K776" s="1" t="s">
        <v>4216</v>
      </c>
      <c r="L776" s="1">
        <v>916.0</v>
      </c>
      <c r="M776" s="1" t="s">
        <v>35</v>
      </c>
      <c r="N776" s="1" t="s">
        <v>36</v>
      </c>
      <c r="O776" s="1" t="s">
        <v>628</v>
      </c>
      <c r="P776" s="1">
        <v>5.88E7</v>
      </c>
      <c r="Q776" s="1">
        <v>2014.0</v>
      </c>
      <c r="R776" s="1">
        <v>14000.0</v>
      </c>
      <c r="S776" s="1">
        <v>962.0</v>
      </c>
      <c r="T776" s="1">
        <v>318.0</v>
      </c>
      <c r="U776" s="1">
        <v>16277.0</v>
      </c>
      <c r="V776" s="1">
        <v>16000.0</v>
      </c>
      <c r="W776" s="1">
        <v>112000.0</v>
      </c>
      <c r="X776" s="1">
        <v>0.0</v>
      </c>
      <c r="Y776" s="1">
        <v>2.35</v>
      </c>
      <c r="Z776" s="1">
        <v>7.3</v>
      </c>
    </row>
    <row r="777" ht="14.25" customHeight="1">
      <c r="A777" s="1" t="s">
        <v>26</v>
      </c>
      <c r="B777" s="1" t="s">
        <v>461</v>
      </c>
      <c r="C777" s="1" t="s">
        <v>4217</v>
      </c>
      <c r="D777" s="1">
        <v>8.002174E7</v>
      </c>
      <c r="E777" s="1" t="s">
        <v>4218</v>
      </c>
      <c r="F777" s="1" t="s">
        <v>4219</v>
      </c>
      <c r="G777" s="1" t="s">
        <v>4220</v>
      </c>
      <c r="H777" s="1" t="s">
        <v>4221</v>
      </c>
      <c r="I777" s="1">
        <v>47968.0</v>
      </c>
      <c r="J777" s="1" t="s">
        <v>4222</v>
      </c>
      <c r="K777" s="1" t="s">
        <v>4223</v>
      </c>
      <c r="L777" s="1">
        <v>154.0</v>
      </c>
      <c r="M777" s="1" t="s">
        <v>35</v>
      </c>
      <c r="N777" s="1" t="s">
        <v>36</v>
      </c>
      <c r="O777" s="1" t="s">
        <v>87</v>
      </c>
      <c r="P777" s="1">
        <v>5.8E7</v>
      </c>
      <c r="Q777" s="1">
        <v>2015.0</v>
      </c>
      <c r="R777" s="1">
        <v>2000.0</v>
      </c>
      <c r="S777" s="1">
        <v>1000.0</v>
      </c>
      <c r="T777" s="1">
        <v>543.0</v>
      </c>
      <c r="U777" s="1">
        <v>5497.0</v>
      </c>
      <c r="V777" s="1">
        <v>11.0</v>
      </c>
      <c r="W777" s="1">
        <v>35000.0</v>
      </c>
      <c r="X777" s="1">
        <v>4.0</v>
      </c>
      <c r="Y777" s="1">
        <v>2.35</v>
      </c>
      <c r="Z777" s="1">
        <v>6.4</v>
      </c>
    </row>
    <row r="778" ht="14.25" customHeight="1">
      <c r="A778" s="1" t="s">
        <v>26</v>
      </c>
      <c r="B778" s="1" t="s">
        <v>1961</v>
      </c>
      <c r="C778" s="1" t="s">
        <v>4224</v>
      </c>
      <c r="D778" s="1">
        <v>4.8291624E7</v>
      </c>
      <c r="E778" s="1" t="s">
        <v>3439</v>
      </c>
      <c r="F778" s="1" t="s">
        <v>1869</v>
      </c>
      <c r="G778" s="1" t="s">
        <v>1625</v>
      </c>
      <c r="H778" s="1" t="s">
        <v>4225</v>
      </c>
      <c r="I778" s="1">
        <v>82819.0</v>
      </c>
      <c r="J778" s="1" t="s">
        <v>4226</v>
      </c>
      <c r="K778" s="1" t="s">
        <v>4227</v>
      </c>
      <c r="L778" s="1">
        <v>263.0</v>
      </c>
      <c r="M778" s="1" t="s">
        <v>35</v>
      </c>
      <c r="N778" s="1" t="s">
        <v>36</v>
      </c>
      <c r="O778" s="1" t="s">
        <v>37</v>
      </c>
      <c r="P778" s="1">
        <v>5.8E7</v>
      </c>
      <c r="Q778" s="1">
        <v>2005.0</v>
      </c>
      <c r="R778" s="1">
        <v>970.0</v>
      </c>
      <c r="S778" s="1">
        <v>834.0</v>
      </c>
      <c r="T778" s="1">
        <v>512.0</v>
      </c>
      <c r="U778" s="1">
        <v>2876.0</v>
      </c>
      <c r="V778" s="1">
        <v>70.0</v>
      </c>
      <c r="W778" s="1">
        <v>0.0</v>
      </c>
      <c r="X778" s="1">
        <v>1.0</v>
      </c>
      <c r="Y778" s="1">
        <v>1.85</v>
      </c>
      <c r="Z778" s="1">
        <v>6.7</v>
      </c>
    </row>
    <row r="779" ht="14.25" customHeight="1">
      <c r="A779" s="1" t="s">
        <v>26</v>
      </c>
      <c r="B779" s="1" t="s">
        <v>3900</v>
      </c>
      <c r="C779" s="1" t="s">
        <v>4228</v>
      </c>
      <c r="D779" s="1">
        <v>3.5231365E7</v>
      </c>
      <c r="E779" s="1" t="s">
        <v>4229</v>
      </c>
      <c r="F779" s="1" t="s">
        <v>4230</v>
      </c>
      <c r="G779" s="1" t="s">
        <v>182</v>
      </c>
      <c r="H779" s="1" t="s">
        <v>1413</v>
      </c>
      <c r="I779" s="1">
        <v>15517.0</v>
      </c>
      <c r="J779" s="1" t="s">
        <v>4231</v>
      </c>
      <c r="K779" s="1" t="s">
        <v>4232</v>
      </c>
      <c r="L779" s="1">
        <v>85.0</v>
      </c>
      <c r="M779" s="1" t="s">
        <v>35</v>
      </c>
      <c r="N779" s="1" t="s">
        <v>36</v>
      </c>
      <c r="O779" s="1" t="s">
        <v>87</v>
      </c>
      <c r="P779" s="1">
        <v>6.0E7</v>
      </c>
      <c r="Q779" s="1">
        <v>2000.0</v>
      </c>
      <c r="R779" s="1">
        <v>1000.0</v>
      </c>
      <c r="S779" s="1">
        <v>891.0</v>
      </c>
      <c r="T779" s="1">
        <v>809.0</v>
      </c>
      <c r="U779" s="1">
        <v>6299.0</v>
      </c>
      <c r="V779" s="1">
        <v>32.0</v>
      </c>
      <c r="W779" s="1">
        <v>500.0</v>
      </c>
      <c r="X779" s="1">
        <v>0.0</v>
      </c>
      <c r="Y779" s="1">
        <v>1.85</v>
      </c>
      <c r="Z779" s="1">
        <v>3.6</v>
      </c>
    </row>
    <row r="780" ht="14.25" customHeight="1">
      <c r="A780" s="1" t="s">
        <v>26</v>
      </c>
      <c r="B780" s="1" t="s">
        <v>4233</v>
      </c>
      <c r="C780" s="1" t="s">
        <v>4234</v>
      </c>
      <c r="D780" s="1">
        <v>5.3715611E7</v>
      </c>
      <c r="E780" s="1" t="s">
        <v>4235</v>
      </c>
      <c r="F780" s="1" t="s">
        <v>1702</v>
      </c>
      <c r="G780" s="1" t="s">
        <v>4236</v>
      </c>
      <c r="H780" s="1" t="s">
        <v>4237</v>
      </c>
      <c r="I780" s="1">
        <v>92106.0</v>
      </c>
      <c r="J780" s="1" t="s">
        <v>4238</v>
      </c>
      <c r="K780" s="1" t="s">
        <v>4239</v>
      </c>
      <c r="L780" s="1">
        <v>171.0</v>
      </c>
      <c r="M780" s="1" t="s">
        <v>35</v>
      </c>
      <c r="N780" s="1" t="s">
        <v>36</v>
      </c>
      <c r="O780" s="1" t="s">
        <v>628</v>
      </c>
      <c r="P780" s="1">
        <v>6.3E7</v>
      </c>
      <c r="Q780" s="1">
        <v>1988.0</v>
      </c>
      <c r="R780" s="1">
        <v>13000.0</v>
      </c>
      <c r="S780" s="1">
        <v>1000.0</v>
      </c>
      <c r="T780" s="1">
        <v>349.0</v>
      </c>
      <c r="U780" s="1">
        <v>14574.0</v>
      </c>
      <c r="V780" s="1">
        <v>10.0</v>
      </c>
      <c r="W780" s="1">
        <v>2000.0</v>
      </c>
      <c r="X780" s="1">
        <v>1.0</v>
      </c>
      <c r="Y780" s="1">
        <v>2.35</v>
      </c>
      <c r="Z780" s="1">
        <v>5.7</v>
      </c>
    </row>
    <row r="781" ht="14.25" customHeight="1">
      <c r="A781" s="1" t="s">
        <v>26</v>
      </c>
      <c r="B781" s="1" t="s">
        <v>3229</v>
      </c>
      <c r="C781" s="1" t="s">
        <v>4240</v>
      </c>
      <c r="D781" s="1">
        <v>3.1199215E7</v>
      </c>
      <c r="E781" s="1" t="s">
        <v>4241</v>
      </c>
      <c r="F781" s="1" t="s">
        <v>4242</v>
      </c>
      <c r="G781" s="1" t="s">
        <v>4243</v>
      </c>
      <c r="H781" s="1" t="s">
        <v>4244</v>
      </c>
      <c r="I781" s="1">
        <v>27664.0</v>
      </c>
      <c r="J781" s="1" t="s">
        <v>4245</v>
      </c>
      <c r="K781" s="1" t="s">
        <v>4246</v>
      </c>
      <c r="L781" s="1">
        <v>120.0</v>
      </c>
      <c r="M781" s="1" t="s">
        <v>35</v>
      </c>
      <c r="N781" s="1" t="s">
        <v>36</v>
      </c>
      <c r="O781" s="1" t="s">
        <v>37</v>
      </c>
      <c r="P781" s="1">
        <v>5.8E7</v>
      </c>
      <c r="Q781" s="1">
        <v>2008.0</v>
      </c>
      <c r="R781" s="1">
        <v>142.0</v>
      </c>
      <c r="S781" s="1">
        <v>117.0</v>
      </c>
      <c r="T781" s="1">
        <v>110.0</v>
      </c>
      <c r="U781" s="1">
        <v>589.0</v>
      </c>
      <c r="V781" s="1">
        <v>0.0</v>
      </c>
      <c r="W781" s="1">
        <v>472.0</v>
      </c>
      <c r="X781" s="1">
        <v>8.0</v>
      </c>
      <c r="Y781" s="1">
        <v>1.85</v>
      </c>
      <c r="Z781" s="1">
        <v>6.0</v>
      </c>
    </row>
    <row r="782" ht="14.25" customHeight="1">
      <c r="A782" s="1" t="s">
        <v>26</v>
      </c>
      <c r="B782" s="1" t="s">
        <v>3791</v>
      </c>
      <c r="C782" s="1" t="s">
        <v>4247</v>
      </c>
      <c r="D782" s="1">
        <v>2.9580087E7</v>
      </c>
      <c r="E782" s="1" t="s">
        <v>1359</v>
      </c>
      <c r="F782" s="1" t="s">
        <v>2893</v>
      </c>
      <c r="G782" s="1" t="s">
        <v>4248</v>
      </c>
      <c r="H782" s="1" t="s">
        <v>4249</v>
      </c>
      <c r="I782" s="1">
        <v>29523.0</v>
      </c>
      <c r="J782" s="1" t="s">
        <v>4250</v>
      </c>
      <c r="K782" s="1" t="s">
        <v>4251</v>
      </c>
      <c r="L782" s="1">
        <v>121.0</v>
      </c>
      <c r="M782" s="1" t="s">
        <v>35</v>
      </c>
      <c r="N782" s="1" t="s">
        <v>36</v>
      </c>
      <c r="O782" s="1" t="s">
        <v>37</v>
      </c>
      <c r="P782" s="1">
        <v>5.8E7</v>
      </c>
      <c r="Q782" s="1">
        <v>2009.0</v>
      </c>
      <c r="R782" s="1">
        <v>963.0</v>
      </c>
      <c r="S782" s="1">
        <v>935.0</v>
      </c>
      <c r="T782" s="1">
        <v>727.0</v>
      </c>
      <c r="U782" s="1">
        <v>3150.0</v>
      </c>
      <c r="V782" s="1">
        <v>30.0</v>
      </c>
      <c r="W782" s="1">
        <v>0.0</v>
      </c>
      <c r="X782" s="1">
        <v>2.0</v>
      </c>
      <c r="Y782" s="1">
        <v>2.35</v>
      </c>
      <c r="Z782" s="1">
        <v>4.7</v>
      </c>
    </row>
    <row r="783" ht="14.25" customHeight="1">
      <c r="A783" s="1" t="s">
        <v>26</v>
      </c>
      <c r="B783" s="1" t="s">
        <v>772</v>
      </c>
      <c r="C783" s="1" t="s">
        <v>4252</v>
      </c>
      <c r="D783" s="1">
        <v>4.4665963E7</v>
      </c>
      <c r="E783" s="1" t="s">
        <v>1885</v>
      </c>
      <c r="F783" s="1" t="s">
        <v>793</v>
      </c>
      <c r="G783" s="1" t="s">
        <v>4253</v>
      </c>
      <c r="H783" s="1" t="s">
        <v>4254</v>
      </c>
      <c r="I783" s="1">
        <v>159931.0</v>
      </c>
      <c r="J783" s="1" t="s">
        <v>4255</v>
      </c>
      <c r="K783" s="1" t="s">
        <v>4256</v>
      </c>
      <c r="L783" s="1">
        <v>281.0</v>
      </c>
      <c r="M783" s="1" t="s">
        <v>35</v>
      </c>
      <c r="N783" s="1" t="s">
        <v>36</v>
      </c>
      <c r="O783" s="1" t="s">
        <v>37</v>
      </c>
      <c r="P783" s="1">
        <v>5.8E7</v>
      </c>
      <c r="Q783" s="1">
        <v>2013.0</v>
      </c>
      <c r="R783" s="1">
        <v>1000.0</v>
      </c>
      <c r="S783" s="1">
        <v>847.0</v>
      </c>
      <c r="T783" s="1">
        <v>839.0</v>
      </c>
      <c r="U783" s="1">
        <v>5081.0</v>
      </c>
      <c r="V783" s="1">
        <v>189.0</v>
      </c>
      <c r="W783" s="1">
        <v>22000.0</v>
      </c>
      <c r="X783" s="1">
        <v>2.0</v>
      </c>
      <c r="Y783" s="1">
        <v>2.35</v>
      </c>
      <c r="Z783" s="1">
        <v>6.3</v>
      </c>
    </row>
    <row r="784" ht="14.25" customHeight="1">
      <c r="A784" s="1" t="s">
        <v>26</v>
      </c>
      <c r="B784" s="1" t="s">
        <v>2246</v>
      </c>
      <c r="C784" s="1" t="s">
        <v>4257</v>
      </c>
      <c r="D784" s="1">
        <v>6.0128566E7</v>
      </c>
      <c r="E784" s="1" t="s">
        <v>3274</v>
      </c>
      <c r="F784" s="1" t="s">
        <v>1892</v>
      </c>
      <c r="G784" s="1" t="s">
        <v>2672</v>
      </c>
      <c r="H784" s="1" t="s">
        <v>4258</v>
      </c>
      <c r="I784" s="1">
        <v>131447.0</v>
      </c>
      <c r="J784" s="1" t="s">
        <v>4259</v>
      </c>
      <c r="K784" s="1" t="s">
        <v>4260</v>
      </c>
      <c r="L784" s="1">
        <v>410.0</v>
      </c>
      <c r="M784" s="1" t="s">
        <v>35</v>
      </c>
      <c r="N784" s="1" t="s">
        <v>730</v>
      </c>
      <c r="O784" s="1" t="s">
        <v>628</v>
      </c>
      <c r="P784" s="1">
        <v>6.0E7</v>
      </c>
      <c r="Q784" s="1">
        <v>2010.0</v>
      </c>
      <c r="R784" s="1">
        <v>14000.0</v>
      </c>
      <c r="S784" s="1">
        <v>1000.0</v>
      </c>
      <c r="T784" s="1">
        <v>529.0</v>
      </c>
      <c r="U784" s="1">
        <v>16098.0</v>
      </c>
      <c r="V784" s="1">
        <v>545.0</v>
      </c>
      <c r="W784" s="1">
        <v>19000.0</v>
      </c>
      <c r="X784" s="1">
        <v>1.0</v>
      </c>
      <c r="Y784" s="1">
        <v>2.35</v>
      </c>
      <c r="Z784" s="1">
        <v>5.9</v>
      </c>
    </row>
    <row r="785" ht="14.25" customHeight="1">
      <c r="A785" s="1" t="s">
        <v>26</v>
      </c>
      <c r="B785" s="1" t="s">
        <v>4261</v>
      </c>
      <c r="C785" s="1" t="s">
        <v>4262</v>
      </c>
      <c r="D785" s="1">
        <v>4.9875589E7</v>
      </c>
      <c r="E785" s="1" t="s">
        <v>1061</v>
      </c>
      <c r="F785" s="1" t="s">
        <v>1958</v>
      </c>
      <c r="G785" s="1" t="s">
        <v>4263</v>
      </c>
      <c r="H785" s="1" t="s">
        <v>4264</v>
      </c>
      <c r="I785" s="1">
        <v>28807.0</v>
      </c>
      <c r="J785" s="1" t="s">
        <v>4265</v>
      </c>
      <c r="K785" s="1" t="s">
        <v>4266</v>
      </c>
      <c r="L785" s="1">
        <v>273.0</v>
      </c>
      <c r="M785" s="1" t="s">
        <v>35</v>
      </c>
      <c r="N785" s="1" t="s">
        <v>36</v>
      </c>
      <c r="O785" s="1" t="s">
        <v>37</v>
      </c>
      <c r="P785" s="1">
        <v>5.8E7</v>
      </c>
      <c r="Q785" s="1">
        <v>2012.0</v>
      </c>
      <c r="R785" s="1">
        <v>1000.0</v>
      </c>
      <c r="S785" s="1">
        <v>664.0</v>
      </c>
      <c r="T785" s="1">
        <v>519.0</v>
      </c>
      <c r="U785" s="1">
        <v>4416.0</v>
      </c>
      <c r="V785" s="1">
        <v>143.0</v>
      </c>
      <c r="W785" s="1">
        <v>0.0</v>
      </c>
      <c r="X785" s="1">
        <v>0.0</v>
      </c>
      <c r="Y785" s="1">
        <v>2.35</v>
      </c>
      <c r="Z785" s="1">
        <v>5.9</v>
      </c>
    </row>
    <row r="786" ht="14.25" customHeight="1">
      <c r="A786" s="1" t="s">
        <v>26</v>
      </c>
      <c r="B786" s="1" t="s">
        <v>3582</v>
      </c>
      <c r="C786" s="1" t="s">
        <v>4267</v>
      </c>
      <c r="D786" s="1">
        <v>6.0984028E7</v>
      </c>
      <c r="E786" s="1" t="s">
        <v>1842</v>
      </c>
      <c r="F786" s="1" t="s">
        <v>563</v>
      </c>
      <c r="G786" s="1" t="s">
        <v>2292</v>
      </c>
      <c r="H786" s="1" t="s">
        <v>741</v>
      </c>
      <c r="I786" s="1">
        <v>259519.0</v>
      </c>
      <c r="J786" s="1" t="s">
        <v>4268</v>
      </c>
      <c r="K786" s="1" t="s">
        <v>4269</v>
      </c>
      <c r="L786" s="1">
        <v>431.0</v>
      </c>
      <c r="M786" s="1" t="s">
        <v>35</v>
      </c>
      <c r="N786" s="1" t="s">
        <v>36</v>
      </c>
      <c r="O786" s="1" t="s">
        <v>628</v>
      </c>
      <c r="P786" s="1">
        <v>5.7E7</v>
      </c>
      <c r="Q786" s="1">
        <v>1997.0</v>
      </c>
      <c r="R786" s="1">
        <v>18000.0</v>
      </c>
      <c r="S786" s="1">
        <v>14000.0</v>
      </c>
      <c r="T786" s="1">
        <v>9000.0</v>
      </c>
      <c r="U786" s="1">
        <v>45271.0</v>
      </c>
      <c r="V786" s="1">
        <v>138.0</v>
      </c>
      <c r="W786" s="1">
        <v>11000.0</v>
      </c>
      <c r="X786" s="1">
        <v>2.0</v>
      </c>
      <c r="Y786" s="1">
        <v>2.35</v>
      </c>
      <c r="Z786" s="1">
        <v>7.5</v>
      </c>
    </row>
    <row r="787" ht="14.25" customHeight="1">
      <c r="A787" s="1" t="s">
        <v>26</v>
      </c>
      <c r="B787" s="1" t="s">
        <v>4270</v>
      </c>
      <c r="C787" s="1" t="s">
        <v>4271</v>
      </c>
      <c r="D787" s="1">
        <v>3.6931089E7</v>
      </c>
      <c r="E787" s="1" t="s">
        <v>1885</v>
      </c>
      <c r="F787" s="1" t="s">
        <v>2095</v>
      </c>
      <c r="G787" s="1" t="s">
        <v>4272</v>
      </c>
      <c r="H787" s="1" t="s">
        <v>2021</v>
      </c>
      <c r="I787" s="1">
        <v>70681.0</v>
      </c>
      <c r="J787" s="1" t="s">
        <v>4273</v>
      </c>
      <c r="K787" s="1" t="s">
        <v>4274</v>
      </c>
      <c r="L787" s="1">
        <v>198.0</v>
      </c>
      <c r="M787" s="1" t="s">
        <v>35</v>
      </c>
      <c r="N787" s="1" t="s">
        <v>36</v>
      </c>
      <c r="O787" s="1" t="s">
        <v>628</v>
      </c>
      <c r="P787" s="1">
        <v>7.0E7</v>
      </c>
      <c r="Q787" s="1">
        <v>2012.0</v>
      </c>
      <c r="R787" s="1">
        <v>11000.0</v>
      </c>
      <c r="S787" s="1">
        <v>3000.0</v>
      </c>
      <c r="T787" s="1">
        <v>622.0</v>
      </c>
      <c r="U787" s="1">
        <v>16484.0</v>
      </c>
      <c r="V787" s="1">
        <v>51.0</v>
      </c>
      <c r="W787" s="1">
        <v>12000.0</v>
      </c>
      <c r="X787" s="1">
        <v>2.0</v>
      </c>
      <c r="Y787" s="1">
        <v>2.35</v>
      </c>
      <c r="Z787" s="1">
        <v>5.6</v>
      </c>
    </row>
    <row r="788" ht="14.25" customHeight="1">
      <c r="A788" s="1" t="s">
        <v>26</v>
      </c>
      <c r="B788" s="1" t="s">
        <v>484</v>
      </c>
      <c r="C788" s="1" t="s">
        <v>4275</v>
      </c>
      <c r="D788" s="1">
        <v>5.131735E7</v>
      </c>
      <c r="E788" s="1" t="s">
        <v>40</v>
      </c>
      <c r="F788" s="1" t="s">
        <v>522</v>
      </c>
      <c r="G788" s="1" t="s">
        <v>4276</v>
      </c>
      <c r="H788" s="1" t="s">
        <v>4277</v>
      </c>
      <c r="I788" s="1">
        <v>78343.0</v>
      </c>
      <c r="J788" s="1" t="s">
        <v>4278</v>
      </c>
      <c r="K788" s="1" t="s">
        <v>4279</v>
      </c>
      <c r="L788" s="1">
        <v>139.0</v>
      </c>
      <c r="M788" s="1" t="s">
        <v>35</v>
      </c>
      <c r="N788" s="1" t="s">
        <v>36</v>
      </c>
      <c r="O788" s="1" t="s">
        <v>37</v>
      </c>
      <c r="P788" s="1">
        <v>5.7E7</v>
      </c>
      <c r="Q788" s="1">
        <v>1996.0</v>
      </c>
      <c r="R788" s="1">
        <v>2000.0</v>
      </c>
      <c r="S788" s="1">
        <v>663.0</v>
      </c>
      <c r="T788" s="1">
        <v>40.0</v>
      </c>
      <c r="U788" s="1">
        <v>2710.0</v>
      </c>
      <c r="V788" s="1">
        <v>357.0</v>
      </c>
      <c r="W788" s="1">
        <v>0.0</v>
      </c>
      <c r="X788" s="1">
        <v>0.0</v>
      </c>
      <c r="Y788" s="1">
        <v>2.35</v>
      </c>
      <c r="Z788" s="1">
        <v>6.4</v>
      </c>
    </row>
    <row r="789" ht="14.25" customHeight="1">
      <c r="A789" s="1" t="s">
        <v>26</v>
      </c>
      <c r="B789" s="1" t="s">
        <v>252</v>
      </c>
      <c r="C789" s="1" t="s">
        <v>4280</v>
      </c>
      <c r="D789" s="1">
        <v>2.8328132E7</v>
      </c>
      <c r="E789" s="1" t="s">
        <v>4281</v>
      </c>
      <c r="F789" s="1" t="s">
        <v>480</v>
      </c>
      <c r="G789" s="1" t="s">
        <v>244</v>
      </c>
      <c r="H789" s="1" t="s">
        <v>4282</v>
      </c>
      <c r="I789" s="1">
        <v>38298.0</v>
      </c>
      <c r="J789" s="1" t="s">
        <v>4283</v>
      </c>
      <c r="K789" s="1" t="s">
        <v>4284</v>
      </c>
      <c r="L789" s="1">
        <v>147.0</v>
      </c>
      <c r="M789" s="1" t="s">
        <v>35</v>
      </c>
      <c r="N789" s="1" t="s">
        <v>36</v>
      </c>
      <c r="O789" s="1" t="s">
        <v>37</v>
      </c>
      <c r="P789" s="1">
        <v>5.8E7</v>
      </c>
      <c r="Q789" s="1">
        <v>2004.0</v>
      </c>
      <c r="R789" s="1">
        <v>4000.0</v>
      </c>
      <c r="S789" s="1">
        <v>3000.0</v>
      </c>
      <c r="T789" s="1">
        <v>455.0</v>
      </c>
      <c r="U789" s="1">
        <v>9814.0</v>
      </c>
      <c r="V789" s="1">
        <v>420.0</v>
      </c>
      <c r="W789" s="1">
        <v>782.0</v>
      </c>
      <c r="X789" s="1">
        <v>2.0</v>
      </c>
      <c r="Y789" s="1">
        <v>2.35</v>
      </c>
      <c r="Z789" s="1">
        <v>6.3</v>
      </c>
    </row>
    <row r="790" ht="14.25" customHeight="1">
      <c r="A790" s="1" t="s">
        <v>26</v>
      </c>
      <c r="B790" s="1" t="s">
        <v>4285</v>
      </c>
      <c r="C790" s="1" t="s">
        <v>4286</v>
      </c>
      <c r="D790" s="1">
        <v>5.1774002E7</v>
      </c>
      <c r="E790" s="1" t="s">
        <v>1308</v>
      </c>
      <c r="F790" s="1" t="s">
        <v>668</v>
      </c>
      <c r="G790" s="1" t="s">
        <v>4287</v>
      </c>
      <c r="H790" s="1" t="s">
        <v>4288</v>
      </c>
      <c r="I790" s="1">
        <v>87745.0</v>
      </c>
      <c r="J790" s="1" t="s">
        <v>4289</v>
      </c>
      <c r="K790" s="1" t="s">
        <v>4290</v>
      </c>
      <c r="L790" s="1">
        <v>331.0</v>
      </c>
      <c r="M790" s="1" t="s">
        <v>35</v>
      </c>
      <c r="N790" s="1" t="s">
        <v>36</v>
      </c>
      <c r="O790" s="1" t="s">
        <v>37</v>
      </c>
      <c r="P790" s="1">
        <v>5.7E7</v>
      </c>
      <c r="Q790" s="1">
        <v>2011.0</v>
      </c>
      <c r="R790" s="1">
        <v>12000.0</v>
      </c>
      <c r="S790" s="1">
        <v>1000.0</v>
      </c>
      <c r="T790" s="1">
        <v>1000.0</v>
      </c>
      <c r="U790" s="1">
        <v>16121.0</v>
      </c>
      <c r="V790" s="1">
        <v>83.0</v>
      </c>
      <c r="W790" s="1">
        <v>18000.0</v>
      </c>
      <c r="X790" s="1">
        <v>1.0</v>
      </c>
      <c r="Y790" s="1">
        <v>2.35</v>
      </c>
      <c r="Z790" s="1">
        <v>4.3</v>
      </c>
    </row>
    <row r="791" ht="14.25" customHeight="1">
      <c r="A791" s="1" t="s">
        <v>26</v>
      </c>
      <c r="B791" s="1" t="s">
        <v>4291</v>
      </c>
      <c r="C791" s="1" t="s">
        <v>4292</v>
      </c>
      <c r="D791" s="1">
        <v>2.5528495E7</v>
      </c>
      <c r="E791" s="1" t="s">
        <v>4293</v>
      </c>
      <c r="F791" s="1" t="s">
        <v>59</v>
      </c>
      <c r="G791" s="1" t="s">
        <v>4294</v>
      </c>
      <c r="H791" s="1" t="s">
        <v>4295</v>
      </c>
      <c r="I791" s="1">
        <v>28099.0</v>
      </c>
      <c r="J791" s="1" t="s">
        <v>4296</v>
      </c>
      <c r="K791" s="1" t="s">
        <v>4297</v>
      </c>
      <c r="L791" s="1">
        <v>220.0</v>
      </c>
      <c r="M791" s="1" t="s">
        <v>35</v>
      </c>
      <c r="N791" s="1" t="s">
        <v>54</v>
      </c>
      <c r="O791" s="1" t="s">
        <v>628</v>
      </c>
      <c r="P791" s="1">
        <v>5.7E7</v>
      </c>
      <c r="Q791" s="1">
        <v>2001.0</v>
      </c>
      <c r="R791" s="1">
        <v>23000.0</v>
      </c>
      <c r="S791" s="1">
        <v>243.0</v>
      </c>
      <c r="T791" s="1">
        <v>58.0</v>
      </c>
      <c r="U791" s="1">
        <v>23325.0</v>
      </c>
      <c r="V791" s="1">
        <v>108.0</v>
      </c>
      <c r="W791" s="1">
        <v>0.0</v>
      </c>
      <c r="X791" s="1">
        <v>2.0</v>
      </c>
      <c r="Y791" s="1">
        <v>2.35</v>
      </c>
      <c r="Z791" s="1">
        <v>5.9</v>
      </c>
    </row>
    <row r="792" ht="14.25" customHeight="1">
      <c r="A792" s="1" t="s">
        <v>26</v>
      </c>
      <c r="B792" s="1" t="s">
        <v>2502</v>
      </c>
      <c r="C792" s="1" t="s">
        <v>4298</v>
      </c>
      <c r="D792" s="1">
        <v>1.1300688E8</v>
      </c>
      <c r="E792" s="1" t="s">
        <v>4299</v>
      </c>
      <c r="F792" s="1" t="s">
        <v>329</v>
      </c>
      <c r="G792" s="1" t="s">
        <v>82</v>
      </c>
      <c r="H792" s="1" t="s">
        <v>3971</v>
      </c>
      <c r="I792" s="1">
        <v>66308.0</v>
      </c>
      <c r="J792" s="1" t="s">
        <v>4300</v>
      </c>
      <c r="K792" s="1" t="s">
        <v>4301</v>
      </c>
      <c r="L792" s="1">
        <v>225.0</v>
      </c>
      <c r="M792" s="1" t="s">
        <v>35</v>
      </c>
      <c r="N792" s="1" t="s">
        <v>260</v>
      </c>
      <c r="O792" s="1" t="s">
        <v>87</v>
      </c>
      <c r="P792" s="1">
        <v>5.6E7</v>
      </c>
      <c r="Q792" s="1">
        <v>2005.0</v>
      </c>
      <c r="R792" s="1">
        <v>14000.0</v>
      </c>
      <c r="S792" s="1">
        <v>799.0</v>
      </c>
      <c r="T792" s="1">
        <v>650.0</v>
      </c>
      <c r="U792" s="1">
        <v>16884.0</v>
      </c>
      <c r="V792" s="1">
        <v>163.0</v>
      </c>
      <c r="W792" s="1">
        <v>0.0</v>
      </c>
      <c r="X792" s="1">
        <v>0.0</v>
      </c>
      <c r="Y792" s="1">
        <v>2.35</v>
      </c>
      <c r="Z792" s="1">
        <v>5.5</v>
      </c>
    </row>
    <row r="793" ht="14.25" customHeight="1">
      <c r="A793" s="1" t="s">
        <v>26</v>
      </c>
      <c r="B793" s="1" t="s">
        <v>4302</v>
      </c>
      <c r="C793" s="1" t="s">
        <v>4303</v>
      </c>
      <c r="D793" s="1">
        <v>4.5860039E7</v>
      </c>
      <c r="E793" s="1" t="s">
        <v>4304</v>
      </c>
      <c r="F793" s="1" t="s">
        <v>1036</v>
      </c>
      <c r="G793" s="1" t="s">
        <v>4305</v>
      </c>
      <c r="H793" s="1" t="s">
        <v>4306</v>
      </c>
      <c r="I793" s="1">
        <v>53118.0</v>
      </c>
      <c r="J793" s="1" t="s">
        <v>4307</v>
      </c>
      <c r="K793" s="1" t="s">
        <v>4308</v>
      </c>
      <c r="L793" s="1">
        <v>221.0</v>
      </c>
      <c r="M793" s="1" t="s">
        <v>35</v>
      </c>
      <c r="N793" s="1" t="s">
        <v>36</v>
      </c>
      <c r="O793" s="1" t="s">
        <v>37</v>
      </c>
      <c r="P793" s="1">
        <v>5.6E7</v>
      </c>
      <c r="Q793" s="1">
        <v>2004.0</v>
      </c>
      <c r="R793" s="1">
        <v>12000.0</v>
      </c>
      <c r="S793" s="1">
        <v>795.0</v>
      </c>
      <c r="T793" s="1">
        <v>348.0</v>
      </c>
      <c r="U793" s="1">
        <v>14146.0</v>
      </c>
      <c r="V793" s="1">
        <v>10.0</v>
      </c>
      <c r="W793" s="1">
        <v>0.0</v>
      </c>
      <c r="X793" s="1">
        <v>1.0</v>
      </c>
      <c r="Y793" s="1">
        <v>2.35</v>
      </c>
      <c r="Z793" s="1">
        <v>6.2</v>
      </c>
    </row>
    <row r="794" ht="14.25" customHeight="1">
      <c r="A794" s="1" t="s">
        <v>710</v>
      </c>
      <c r="B794" s="1" t="s">
        <v>420</v>
      </c>
      <c r="C794" s="1" t="s">
        <v>4309</v>
      </c>
      <c r="D794" s="1">
        <v>3.29691196E8</v>
      </c>
      <c r="E794" s="1" t="s">
        <v>2422</v>
      </c>
      <c r="F794" s="1" t="s">
        <v>314</v>
      </c>
      <c r="G794" s="1" t="s">
        <v>4310</v>
      </c>
      <c r="H794" s="1" t="s">
        <v>4311</v>
      </c>
      <c r="I794" s="1">
        <v>1251222.0</v>
      </c>
      <c r="J794" s="1" t="s">
        <v>4312</v>
      </c>
      <c r="K794" s="1" t="s">
        <v>4313</v>
      </c>
      <c r="L794" s="1">
        <v>1398.0</v>
      </c>
      <c r="M794" s="1" t="s">
        <v>35</v>
      </c>
      <c r="N794" s="1" t="s">
        <v>36</v>
      </c>
      <c r="O794" s="1" t="s">
        <v>37</v>
      </c>
      <c r="P794" s="1">
        <v>5.5E7</v>
      </c>
      <c r="Q794" s="1">
        <v>1994.0</v>
      </c>
      <c r="R794" s="1">
        <v>15000.0</v>
      </c>
      <c r="S794" s="1">
        <v>294.0</v>
      </c>
      <c r="T794" s="1">
        <v>194.0</v>
      </c>
      <c r="U794" s="1">
        <v>15700.0</v>
      </c>
      <c r="V794" s="1">
        <v>0.0</v>
      </c>
      <c r="W794" s="1">
        <v>59000.0</v>
      </c>
      <c r="X794" s="1">
        <v>0.0</v>
      </c>
      <c r="Y794" s="1">
        <v>2.35</v>
      </c>
      <c r="Z794" s="1">
        <v>8.8</v>
      </c>
    </row>
    <row r="795" ht="14.25" customHeight="1">
      <c r="A795" s="1" t="s">
        <v>26</v>
      </c>
      <c r="B795" s="1" t="s">
        <v>3717</v>
      </c>
      <c r="C795" s="1" t="s">
        <v>4314</v>
      </c>
      <c r="D795" s="1">
        <v>2.17326336E8</v>
      </c>
      <c r="E795" s="1" t="s">
        <v>3191</v>
      </c>
      <c r="F795" s="1" t="s">
        <v>2086</v>
      </c>
      <c r="G795" s="1" t="s">
        <v>4315</v>
      </c>
      <c r="H795" s="1" t="s">
        <v>4316</v>
      </c>
      <c r="I795" s="1">
        <v>57276.0</v>
      </c>
      <c r="J795" s="1" t="s">
        <v>4317</v>
      </c>
      <c r="K795" s="1" t="s">
        <v>4318</v>
      </c>
      <c r="L795" s="1">
        <v>146.0</v>
      </c>
      <c r="M795" s="1" t="s">
        <v>35</v>
      </c>
      <c r="N795" s="1" t="s">
        <v>36</v>
      </c>
      <c r="O795" s="1" t="s">
        <v>87</v>
      </c>
      <c r="P795" s="1">
        <v>6.0E7</v>
      </c>
      <c r="Q795" s="1">
        <v>2007.0</v>
      </c>
      <c r="R795" s="1">
        <v>1000.0</v>
      </c>
      <c r="S795" s="1">
        <v>718.0</v>
      </c>
      <c r="T795" s="1">
        <v>639.0</v>
      </c>
      <c r="U795" s="1">
        <v>2847.0</v>
      </c>
      <c r="V795" s="1">
        <v>25.0</v>
      </c>
      <c r="W795" s="1">
        <v>0.0</v>
      </c>
      <c r="X795" s="1">
        <v>0.0</v>
      </c>
      <c r="Y795" s="1">
        <v>1.85</v>
      </c>
      <c r="Z795" s="1">
        <v>5.2</v>
      </c>
    </row>
    <row r="796" ht="14.25" customHeight="1">
      <c r="A796" s="1" t="s">
        <v>26</v>
      </c>
      <c r="B796" s="1" t="s">
        <v>1883</v>
      </c>
      <c r="C796" s="1" t="s">
        <v>4319</v>
      </c>
      <c r="D796" s="1">
        <v>1.6622504E8</v>
      </c>
      <c r="E796" s="1" t="s">
        <v>1885</v>
      </c>
      <c r="F796" s="1" t="s">
        <v>1663</v>
      </c>
      <c r="G796" s="1" t="s">
        <v>1664</v>
      </c>
      <c r="H796" s="1" t="s">
        <v>1665</v>
      </c>
      <c r="I796" s="1">
        <v>260442.0</v>
      </c>
      <c r="J796" s="1" t="s">
        <v>4320</v>
      </c>
      <c r="K796" s="1" t="s">
        <v>4321</v>
      </c>
      <c r="L796" s="1">
        <v>507.0</v>
      </c>
      <c r="M796" s="1" t="s">
        <v>35</v>
      </c>
      <c r="N796" s="1" t="s">
        <v>36</v>
      </c>
      <c r="O796" s="1" t="s">
        <v>37</v>
      </c>
      <c r="P796" s="1">
        <v>5.5E7</v>
      </c>
      <c r="Q796" s="1">
        <v>2000.0</v>
      </c>
      <c r="R796" s="1">
        <v>22000.0</v>
      </c>
      <c r="S796" s="1">
        <v>713.0</v>
      </c>
      <c r="T796" s="1">
        <v>708.0</v>
      </c>
      <c r="U796" s="1">
        <v>24286.0</v>
      </c>
      <c r="V796" s="1">
        <v>116.0</v>
      </c>
      <c r="W796" s="1">
        <v>0.0</v>
      </c>
      <c r="X796" s="1">
        <v>2.0</v>
      </c>
      <c r="Y796" s="1">
        <v>1.85</v>
      </c>
      <c r="Z796" s="1">
        <v>7.0</v>
      </c>
    </row>
    <row r="797" ht="14.25" customHeight="1">
      <c r="A797" s="1" t="s">
        <v>26</v>
      </c>
      <c r="B797" s="1" t="s">
        <v>4322</v>
      </c>
      <c r="C797" s="1" t="s">
        <v>4323</v>
      </c>
      <c r="D797" s="1">
        <v>1.416E8</v>
      </c>
      <c r="E797" s="1" t="s">
        <v>4324</v>
      </c>
      <c r="F797" s="1" t="s">
        <v>59</v>
      </c>
      <c r="G797" s="1" t="s">
        <v>1905</v>
      </c>
      <c r="H797" s="1" t="s">
        <v>4325</v>
      </c>
      <c r="I797" s="1">
        <v>119675.0</v>
      </c>
      <c r="J797" s="1" t="s">
        <v>4326</v>
      </c>
      <c r="K797" s="1" t="s">
        <v>4327</v>
      </c>
      <c r="L797" s="1">
        <v>216.0</v>
      </c>
      <c r="M797" s="1" t="s">
        <v>35</v>
      </c>
      <c r="N797" s="1" t="s">
        <v>36</v>
      </c>
      <c r="O797" s="1" t="s">
        <v>269</v>
      </c>
      <c r="P797" s="1">
        <v>5.5E7</v>
      </c>
      <c r="Q797" s="1">
        <v>1995.0</v>
      </c>
      <c r="R797" s="1">
        <v>23000.0</v>
      </c>
      <c r="S797" s="1">
        <v>2000.0</v>
      </c>
      <c r="T797" s="1">
        <v>752.0</v>
      </c>
      <c r="U797" s="1">
        <v>26754.0</v>
      </c>
      <c r="V797" s="1">
        <v>12.0</v>
      </c>
      <c r="W797" s="1">
        <v>0.0</v>
      </c>
      <c r="X797" s="1">
        <v>1.0</v>
      </c>
      <c r="Y797" s="1">
        <v>1.78</v>
      </c>
      <c r="Z797" s="1">
        <v>6.6</v>
      </c>
    </row>
    <row r="798" ht="14.25" customHeight="1">
      <c r="A798" s="1" t="s">
        <v>26</v>
      </c>
      <c r="B798" s="1" t="s">
        <v>1021</v>
      </c>
      <c r="C798" s="1" t="s">
        <v>4328</v>
      </c>
      <c r="D798" s="1">
        <v>1.34218018E8</v>
      </c>
      <c r="E798" s="1" t="s">
        <v>4329</v>
      </c>
      <c r="F798" s="1" t="s">
        <v>113</v>
      </c>
      <c r="G798" s="1" t="s">
        <v>4330</v>
      </c>
      <c r="H798" s="1" t="s">
        <v>3972</v>
      </c>
      <c r="I798" s="1">
        <v>126357.0</v>
      </c>
      <c r="J798" s="1" t="s">
        <v>4331</v>
      </c>
      <c r="K798" s="1" t="s">
        <v>4332</v>
      </c>
      <c r="L798" s="1">
        <v>497.0</v>
      </c>
      <c r="M798" s="1" t="s">
        <v>35</v>
      </c>
      <c r="N798" s="1" t="s">
        <v>36</v>
      </c>
      <c r="O798" s="1" t="s">
        <v>87</v>
      </c>
      <c r="P798" s="1">
        <v>5.5E7</v>
      </c>
      <c r="Q798" s="1">
        <v>1978.0</v>
      </c>
      <c r="R798" s="1">
        <v>10000.0</v>
      </c>
      <c r="S798" s="1">
        <v>593.0</v>
      </c>
      <c r="T798" s="1">
        <v>467.0</v>
      </c>
      <c r="U798" s="1">
        <v>12940.0</v>
      </c>
      <c r="V798" s="1">
        <v>503.0</v>
      </c>
      <c r="W798" s="1">
        <v>0.0</v>
      </c>
      <c r="X798" s="1">
        <v>0.0</v>
      </c>
      <c r="Y798" s="1">
        <v>2.35</v>
      </c>
      <c r="Z798" s="1">
        <v>7.3</v>
      </c>
    </row>
    <row r="799" ht="14.25" customHeight="1">
      <c r="A799" s="1" t="s">
        <v>26</v>
      </c>
      <c r="B799" s="1" t="s">
        <v>499</v>
      </c>
      <c r="C799" s="1" t="s">
        <v>4333</v>
      </c>
      <c r="D799" s="1">
        <v>1.28769345E8</v>
      </c>
      <c r="E799" s="1" t="s">
        <v>2370</v>
      </c>
      <c r="F799" s="1" t="s">
        <v>768</v>
      </c>
      <c r="G799" s="1" t="s">
        <v>1385</v>
      </c>
      <c r="H799" s="1" t="s">
        <v>2520</v>
      </c>
      <c r="I799" s="1">
        <v>86556.0</v>
      </c>
      <c r="J799" s="1" t="s">
        <v>4334</v>
      </c>
      <c r="K799" s="1" t="s">
        <v>4335</v>
      </c>
      <c r="L799" s="1">
        <v>99.0</v>
      </c>
      <c r="M799" s="1" t="s">
        <v>35</v>
      </c>
      <c r="N799" s="1" t="s">
        <v>36</v>
      </c>
      <c r="O799" s="1" t="s">
        <v>37</v>
      </c>
      <c r="P799" s="1">
        <v>5.4E7</v>
      </c>
      <c r="Q799" s="1">
        <v>1996.0</v>
      </c>
      <c r="R799" s="1">
        <v>851.0</v>
      </c>
      <c r="S799" s="1">
        <v>773.0</v>
      </c>
      <c r="T799" s="1">
        <v>744.0</v>
      </c>
      <c r="U799" s="1">
        <v>3155.0</v>
      </c>
      <c r="V799" s="1">
        <v>293.0</v>
      </c>
      <c r="W799" s="1">
        <v>960.0</v>
      </c>
      <c r="X799" s="1">
        <v>1.0</v>
      </c>
      <c r="Y799" s="1">
        <v>1.85</v>
      </c>
      <c r="Z799" s="1">
        <v>5.6</v>
      </c>
    </row>
    <row r="800" ht="14.25" customHeight="1">
      <c r="A800" s="1" t="s">
        <v>26</v>
      </c>
      <c r="B800" s="1" t="s">
        <v>2976</v>
      </c>
      <c r="C800" s="1" t="s">
        <v>4336</v>
      </c>
      <c r="D800" s="1">
        <v>1.77575142E8</v>
      </c>
      <c r="E800" s="1" t="s">
        <v>1598</v>
      </c>
      <c r="F800" s="1" t="s">
        <v>158</v>
      </c>
      <c r="G800" s="1" t="s">
        <v>2418</v>
      </c>
      <c r="H800" s="1" t="s">
        <v>2106</v>
      </c>
      <c r="I800" s="1">
        <v>244840.0</v>
      </c>
      <c r="J800" s="1" t="s">
        <v>4337</v>
      </c>
      <c r="K800" s="1" t="s">
        <v>4338</v>
      </c>
      <c r="L800" s="1">
        <v>372.0</v>
      </c>
      <c r="M800" s="1" t="s">
        <v>35</v>
      </c>
      <c r="N800" s="1" t="s">
        <v>36</v>
      </c>
      <c r="O800" s="1" t="s">
        <v>37</v>
      </c>
      <c r="P800" s="1">
        <v>7.0E7</v>
      </c>
      <c r="Q800" s="1">
        <v>2005.0</v>
      </c>
      <c r="R800" s="1">
        <v>10000.0</v>
      </c>
      <c r="S800" s="1">
        <v>975.0</v>
      </c>
      <c r="T800" s="1">
        <v>681.0</v>
      </c>
      <c r="U800" s="1">
        <v>13426.0</v>
      </c>
      <c r="V800" s="1">
        <v>72.0</v>
      </c>
      <c r="W800" s="1">
        <v>0.0</v>
      </c>
      <c r="X800" s="1">
        <v>1.0</v>
      </c>
      <c r="Y800" s="1">
        <v>2.35</v>
      </c>
      <c r="Z800" s="1">
        <v>6.6</v>
      </c>
    </row>
    <row r="801" ht="14.25" customHeight="1">
      <c r="A801" s="1" t="s">
        <v>26</v>
      </c>
      <c r="B801" s="1" t="s">
        <v>4339</v>
      </c>
      <c r="C801" s="1" t="s">
        <v>4340</v>
      </c>
      <c r="D801" s="1">
        <v>1.05263257E8</v>
      </c>
      <c r="E801" s="1" t="s">
        <v>4341</v>
      </c>
      <c r="F801" s="1" t="s">
        <v>488</v>
      </c>
      <c r="G801" s="1" t="s">
        <v>591</v>
      </c>
      <c r="H801" s="1" t="s">
        <v>4342</v>
      </c>
      <c r="I801" s="1">
        <v>56168.0</v>
      </c>
      <c r="J801" s="1" t="s">
        <v>4343</v>
      </c>
      <c r="K801" s="1" t="s">
        <v>4344</v>
      </c>
      <c r="L801" s="1">
        <v>103.0</v>
      </c>
      <c r="M801" s="1" t="s">
        <v>35</v>
      </c>
      <c r="N801" s="1" t="s">
        <v>36</v>
      </c>
      <c r="O801" s="1" t="s">
        <v>87</v>
      </c>
      <c r="P801" s="1">
        <v>5.5E7</v>
      </c>
      <c r="Q801" s="1">
        <v>1997.0</v>
      </c>
      <c r="R801" s="1">
        <v>3000.0</v>
      </c>
      <c r="S801" s="1">
        <v>562.0</v>
      </c>
      <c r="T801" s="1">
        <v>458.0</v>
      </c>
      <c r="U801" s="1">
        <v>4518.0</v>
      </c>
      <c r="V801" s="1">
        <v>39.0</v>
      </c>
      <c r="W801" s="1">
        <v>5000.0</v>
      </c>
      <c r="X801" s="1">
        <v>0.0</v>
      </c>
      <c r="Y801" s="1">
        <v>1.85</v>
      </c>
      <c r="Z801" s="1">
        <v>5.4</v>
      </c>
    </row>
    <row r="802" ht="14.25" customHeight="1">
      <c r="A802" s="1" t="s">
        <v>26</v>
      </c>
      <c r="B802" s="1" t="s">
        <v>4345</v>
      </c>
      <c r="C802" s="1" t="s">
        <v>4346</v>
      </c>
      <c r="D802" s="1">
        <v>1.04354205E8</v>
      </c>
      <c r="E802" s="1" t="s">
        <v>1598</v>
      </c>
      <c r="F802" s="1" t="s">
        <v>4347</v>
      </c>
      <c r="G802" s="1" t="s">
        <v>4348</v>
      </c>
      <c r="H802" s="1" t="s">
        <v>403</v>
      </c>
      <c r="I802" s="1">
        <v>162331.0</v>
      </c>
      <c r="J802" s="1" t="s">
        <v>4349</v>
      </c>
      <c r="K802" s="1" t="s">
        <v>4350</v>
      </c>
      <c r="L802" s="1">
        <v>332.0</v>
      </c>
      <c r="M802" s="1" t="s">
        <v>35</v>
      </c>
      <c r="N802" s="1" t="s">
        <v>36</v>
      </c>
      <c r="O802" s="1" t="s">
        <v>628</v>
      </c>
      <c r="P802" s="1">
        <v>5.5E7</v>
      </c>
      <c r="Q802" s="1">
        <v>2003.0</v>
      </c>
      <c r="R802" s="1">
        <v>3000.0</v>
      </c>
      <c r="S802" s="1">
        <v>864.0</v>
      </c>
      <c r="T802" s="1">
        <v>729.0</v>
      </c>
      <c r="U802" s="1">
        <v>5713.0</v>
      </c>
      <c r="V802" s="1">
        <v>58.0</v>
      </c>
      <c r="W802" s="1">
        <v>0.0</v>
      </c>
      <c r="X802" s="1">
        <v>3.0</v>
      </c>
      <c r="Y802" s="1">
        <v>2.35</v>
      </c>
      <c r="Z802" s="1">
        <v>6.3</v>
      </c>
    </row>
    <row r="803" ht="14.25" customHeight="1">
      <c r="A803" s="1" t="s">
        <v>26</v>
      </c>
      <c r="B803" s="1" t="s">
        <v>1110</v>
      </c>
      <c r="C803" s="1" t="s">
        <v>4351</v>
      </c>
      <c r="D803" s="1">
        <v>1.07100855E8</v>
      </c>
      <c r="E803" s="1" t="s">
        <v>3404</v>
      </c>
      <c r="F803" s="1" t="s">
        <v>314</v>
      </c>
      <c r="G803" s="1" t="s">
        <v>4352</v>
      </c>
      <c r="H803" s="1" t="s">
        <v>4353</v>
      </c>
      <c r="I803" s="1">
        <v>323353.0</v>
      </c>
      <c r="J803" s="1" t="s">
        <v>4354</v>
      </c>
      <c r="K803" s="1" t="s">
        <v>4355</v>
      </c>
      <c r="L803" s="1">
        <v>527.0</v>
      </c>
      <c r="M803" s="1" t="s">
        <v>35</v>
      </c>
      <c r="N803" s="1" t="s">
        <v>36</v>
      </c>
      <c r="O803" s="1" t="s">
        <v>37</v>
      </c>
      <c r="P803" s="1">
        <v>5.5E7</v>
      </c>
      <c r="Q803" s="1">
        <v>2013.0</v>
      </c>
      <c r="R803" s="1">
        <v>15000.0</v>
      </c>
      <c r="S803" s="1">
        <v>535.0</v>
      </c>
      <c r="T803" s="1">
        <v>186.0</v>
      </c>
      <c r="U803" s="1">
        <v>16281.0</v>
      </c>
      <c r="V803" s="1">
        <v>521.0</v>
      </c>
      <c r="W803" s="1">
        <v>65000.0</v>
      </c>
      <c r="X803" s="1">
        <v>0.0</v>
      </c>
      <c r="Y803" s="1">
        <v>2.35</v>
      </c>
      <c r="Z803" s="1">
        <v>7.9</v>
      </c>
    </row>
    <row r="804" ht="14.25" customHeight="1">
      <c r="A804" s="1" t="s">
        <v>26</v>
      </c>
      <c r="B804" s="1" t="s">
        <v>772</v>
      </c>
      <c r="C804" s="1" t="s">
        <v>4356</v>
      </c>
      <c r="D804" s="1">
        <v>9.8711404E7</v>
      </c>
      <c r="E804" s="1" t="s">
        <v>4018</v>
      </c>
      <c r="F804" s="1" t="s">
        <v>284</v>
      </c>
      <c r="G804" s="1" t="s">
        <v>75</v>
      </c>
      <c r="H804" s="1" t="s">
        <v>503</v>
      </c>
      <c r="I804" s="1">
        <v>127571.0</v>
      </c>
      <c r="J804" s="1" t="s">
        <v>4357</v>
      </c>
      <c r="K804" s="1" t="s">
        <v>4358</v>
      </c>
      <c r="L804" s="1">
        <v>207.0</v>
      </c>
      <c r="M804" s="1" t="s">
        <v>35</v>
      </c>
      <c r="N804" s="1" t="s">
        <v>36</v>
      </c>
      <c r="O804" s="1" t="s">
        <v>37</v>
      </c>
      <c r="P804" s="1">
        <v>5.5E7</v>
      </c>
      <c r="Q804" s="1">
        <v>2010.0</v>
      </c>
      <c r="R804" s="1">
        <v>15000.0</v>
      </c>
      <c r="S804" s="1">
        <v>11000.0</v>
      </c>
      <c r="T804" s="1">
        <v>7000.0</v>
      </c>
      <c r="U804" s="1">
        <v>39822.0</v>
      </c>
      <c r="V804" s="1">
        <v>189.0</v>
      </c>
      <c r="W804" s="1">
        <v>0.0</v>
      </c>
      <c r="X804" s="1">
        <v>2.0</v>
      </c>
      <c r="Y804" s="1">
        <v>2.35</v>
      </c>
      <c r="Z804" s="1">
        <v>6.3</v>
      </c>
    </row>
    <row r="805" ht="14.25" customHeight="1">
      <c r="A805" s="1" t="s">
        <v>26</v>
      </c>
      <c r="B805" s="1" t="s">
        <v>1790</v>
      </c>
      <c r="C805" s="1" t="s">
        <v>4359</v>
      </c>
      <c r="D805" s="1">
        <v>1.00328194E8</v>
      </c>
      <c r="E805" s="1" t="s">
        <v>501</v>
      </c>
      <c r="F805" s="1" t="s">
        <v>687</v>
      </c>
      <c r="G805" s="1" t="s">
        <v>4360</v>
      </c>
      <c r="H805" s="1" t="s">
        <v>4062</v>
      </c>
      <c r="I805" s="1">
        <v>85903.0</v>
      </c>
      <c r="J805" s="1" t="s">
        <v>4361</v>
      </c>
      <c r="K805" s="1" t="s">
        <v>4362</v>
      </c>
      <c r="L805" s="1">
        <v>92.0</v>
      </c>
      <c r="M805" s="1" t="s">
        <v>35</v>
      </c>
      <c r="N805" s="1" t="s">
        <v>36</v>
      </c>
      <c r="O805" s="1" t="s">
        <v>87</v>
      </c>
      <c r="P805" s="1">
        <v>5.0E7</v>
      </c>
      <c r="Q805" s="1">
        <v>1995.0</v>
      </c>
      <c r="R805" s="1">
        <v>795.0</v>
      </c>
      <c r="S805" s="1">
        <v>419.0</v>
      </c>
      <c r="T805" s="1">
        <v>394.0</v>
      </c>
      <c r="U805" s="1">
        <v>2638.0</v>
      </c>
      <c r="V805" s="1">
        <v>52.0</v>
      </c>
      <c r="W805" s="1">
        <v>0.0</v>
      </c>
      <c r="X805" s="1">
        <v>0.0</v>
      </c>
      <c r="Y805" s="1">
        <v>1.85</v>
      </c>
      <c r="Z805" s="1">
        <v>6.0</v>
      </c>
    </row>
    <row r="806" ht="14.25" customHeight="1">
      <c r="A806" s="1" t="s">
        <v>26</v>
      </c>
      <c r="B806" s="1" t="s">
        <v>2938</v>
      </c>
      <c r="C806" s="1" t="s">
        <v>4363</v>
      </c>
      <c r="D806" s="1">
        <v>1.01530738E8</v>
      </c>
      <c r="E806" s="1" t="s">
        <v>326</v>
      </c>
      <c r="F806" s="1" t="s">
        <v>1644</v>
      </c>
      <c r="G806" s="1" t="s">
        <v>475</v>
      </c>
      <c r="H806" s="1" t="s">
        <v>4364</v>
      </c>
      <c r="I806" s="1">
        <v>229574.0</v>
      </c>
      <c r="J806" s="1" t="s">
        <v>4365</v>
      </c>
      <c r="K806" s="1" t="s">
        <v>4366</v>
      </c>
      <c r="L806" s="1">
        <v>436.0</v>
      </c>
      <c r="M806" s="1" t="s">
        <v>35</v>
      </c>
      <c r="N806" s="1" t="s">
        <v>36</v>
      </c>
      <c r="O806" s="1" t="s">
        <v>628</v>
      </c>
      <c r="P806" s="1">
        <v>5.5E7</v>
      </c>
      <c r="Q806" s="1">
        <v>2014.0</v>
      </c>
      <c r="R806" s="1">
        <v>18000.0</v>
      </c>
      <c r="S806" s="1">
        <v>17000.0</v>
      </c>
      <c r="T806" s="1">
        <v>683.0</v>
      </c>
      <c r="U806" s="1">
        <v>37605.0</v>
      </c>
      <c r="V806" s="1">
        <v>845.0</v>
      </c>
      <c r="W806" s="1">
        <v>56000.0</v>
      </c>
      <c r="X806" s="1">
        <v>0.0</v>
      </c>
      <c r="Y806" s="1">
        <v>2.35</v>
      </c>
      <c r="Z806" s="1">
        <v>7.2</v>
      </c>
    </row>
    <row r="807" ht="14.25" customHeight="1">
      <c r="A807" s="1" t="s">
        <v>26</v>
      </c>
      <c r="B807" s="1" t="s">
        <v>4367</v>
      </c>
      <c r="C807" s="1" t="s">
        <v>4368</v>
      </c>
      <c r="D807" s="1">
        <v>9.3815117E7</v>
      </c>
      <c r="E807" s="1" t="s">
        <v>1359</v>
      </c>
      <c r="F807" s="1" t="s">
        <v>2307</v>
      </c>
      <c r="G807" s="1" t="s">
        <v>1476</v>
      </c>
      <c r="H807" s="1" t="s">
        <v>4369</v>
      </c>
      <c r="I807" s="1">
        <v>68417.0</v>
      </c>
      <c r="J807" s="1" t="s">
        <v>4370</v>
      </c>
      <c r="K807" s="1" t="s">
        <v>4371</v>
      </c>
      <c r="L807" s="1">
        <v>242.0</v>
      </c>
      <c r="M807" s="1" t="s">
        <v>35</v>
      </c>
      <c r="N807" s="1" t="s">
        <v>36</v>
      </c>
      <c r="O807" s="1" t="s">
        <v>37</v>
      </c>
      <c r="P807" s="1">
        <v>5.5E7</v>
      </c>
      <c r="Q807" s="1">
        <v>2002.0</v>
      </c>
      <c r="R807" s="1">
        <v>5000.0</v>
      </c>
      <c r="S807" s="1">
        <v>827.0</v>
      </c>
      <c r="T807" s="1">
        <v>708.0</v>
      </c>
      <c r="U807" s="1">
        <v>7184.0</v>
      </c>
      <c r="V807" s="1">
        <v>61.0</v>
      </c>
      <c r="W807" s="1">
        <v>0.0</v>
      </c>
      <c r="X807" s="1">
        <v>2.0</v>
      </c>
      <c r="Y807" s="1">
        <v>2.35</v>
      </c>
      <c r="Z807" s="1">
        <v>5.1</v>
      </c>
    </row>
    <row r="808" ht="14.25" customHeight="1">
      <c r="A808" s="1" t="s">
        <v>26</v>
      </c>
      <c r="B808" s="1" t="s">
        <v>1656</v>
      </c>
      <c r="C808" s="1" t="s">
        <v>4372</v>
      </c>
      <c r="D808" s="1">
        <v>9.14E7</v>
      </c>
      <c r="E808" s="1" t="s">
        <v>1827</v>
      </c>
      <c r="F808" s="1" t="s">
        <v>1644</v>
      </c>
      <c r="G808" s="1" t="s">
        <v>2682</v>
      </c>
      <c r="H808" s="1" t="s">
        <v>4373</v>
      </c>
      <c r="I808" s="1">
        <v>81026.0</v>
      </c>
      <c r="J808" s="1" t="s">
        <v>4374</v>
      </c>
      <c r="K808" s="1" t="s">
        <v>4375</v>
      </c>
      <c r="L808" s="1">
        <v>194.0</v>
      </c>
      <c r="M808" s="1" t="s">
        <v>35</v>
      </c>
      <c r="N808" s="1" t="s">
        <v>36</v>
      </c>
      <c r="O808" s="1" t="s">
        <v>628</v>
      </c>
      <c r="P808" s="1">
        <v>5.3E7</v>
      </c>
      <c r="Q808" s="1">
        <v>1995.0</v>
      </c>
      <c r="R808" s="1">
        <v>18000.0</v>
      </c>
      <c r="S808" s="1">
        <v>10000.0</v>
      </c>
      <c r="T808" s="1">
        <v>665.0</v>
      </c>
      <c r="U808" s="1">
        <v>30132.0</v>
      </c>
      <c r="V808" s="1">
        <v>12000.0</v>
      </c>
      <c r="W808" s="1">
        <v>0.0</v>
      </c>
      <c r="X808" s="1">
        <v>0.0</v>
      </c>
      <c r="Y808" s="1">
        <v>2.35</v>
      </c>
      <c r="Z808" s="1">
        <v>7.3</v>
      </c>
    </row>
    <row r="809" ht="14.25" customHeight="1">
      <c r="A809" s="1" t="s">
        <v>26</v>
      </c>
      <c r="B809" s="1" t="s">
        <v>4376</v>
      </c>
      <c r="C809" s="1" t="s">
        <v>4377</v>
      </c>
      <c r="D809" s="1">
        <v>1.62586036E8</v>
      </c>
      <c r="E809" s="1" t="s">
        <v>1474</v>
      </c>
      <c r="F809" s="1" t="s">
        <v>158</v>
      </c>
      <c r="G809" s="1" t="s">
        <v>4378</v>
      </c>
      <c r="H809" s="1" t="s">
        <v>4379</v>
      </c>
      <c r="I809" s="1">
        <v>338383.0</v>
      </c>
      <c r="J809" s="1" t="s">
        <v>4380</v>
      </c>
      <c r="K809" s="1" t="s">
        <v>4381</v>
      </c>
      <c r="L809" s="1">
        <v>611.0</v>
      </c>
      <c r="M809" s="1" t="s">
        <v>35</v>
      </c>
      <c r="N809" s="1" t="s">
        <v>36</v>
      </c>
      <c r="O809" s="1" t="s">
        <v>37</v>
      </c>
      <c r="P809" s="1">
        <v>5.5E7</v>
      </c>
      <c r="Q809" s="1">
        <v>2006.0</v>
      </c>
      <c r="R809" s="1">
        <v>10000.0</v>
      </c>
      <c r="S809" s="1">
        <v>617.0</v>
      </c>
      <c r="T809" s="1">
        <v>168.0</v>
      </c>
      <c r="U809" s="1">
        <v>11036.0</v>
      </c>
      <c r="V809" s="1">
        <v>125.0</v>
      </c>
      <c r="W809" s="1">
        <v>32000.0</v>
      </c>
      <c r="X809" s="1">
        <v>0.0</v>
      </c>
      <c r="Y809" s="1">
        <v>2.35</v>
      </c>
      <c r="Z809" s="1">
        <v>8.0</v>
      </c>
    </row>
    <row r="810" ht="14.25" customHeight="1">
      <c r="A810" s="1" t="s">
        <v>26</v>
      </c>
      <c r="B810" s="1" t="s">
        <v>1205</v>
      </c>
      <c r="C810" s="1" t="s">
        <v>4382</v>
      </c>
      <c r="D810" s="1">
        <v>8.9706988E7</v>
      </c>
      <c r="E810" s="1" t="s">
        <v>1842</v>
      </c>
      <c r="F810" s="1" t="s">
        <v>4383</v>
      </c>
      <c r="G810" s="1" t="s">
        <v>4127</v>
      </c>
      <c r="H810" s="1" t="s">
        <v>4384</v>
      </c>
      <c r="I810" s="1">
        <v>126746.0</v>
      </c>
      <c r="J810" s="1" t="s">
        <v>4385</v>
      </c>
      <c r="K810" s="1" t="s">
        <v>4386</v>
      </c>
      <c r="L810" s="1">
        <v>600.0</v>
      </c>
      <c r="M810" s="1" t="s">
        <v>35</v>
      </c>
      <c r="N810" s="1" t="s">
        <v>36</v>
      </c>
      <c r="O810" s="1" t="s">
        <v>37</v>
      </c>
      <c r="P810" s="1">
        <v>5.5E7</v>
      </c>
      <c r="Q810" s="1">
        <v>2005.0</v>
      </c>
      <c r="R810" s="1">
        <v>931.0</v>
      </c>
      <c r="S810" s="1">
        <v>507.0</v>
      </c>
      <c r="T810" s="1">
        <v>354.0</v>
      </c>
      <c r="U810" s="1">
        <v>2287.0</v>
      </c>
      <c r="V810" s="1">
        <v>124.0</v>
      </c>
      <c r="W810" s="1">
        <v>0.0</v>
      </c>
      <c r="X810" s="1">
        <v>1.0</v>
      </c>
      <c r="Y810" s="1">
        <v>2.35</v>
      </c>
      <c r="Z810" s="1">
        <v>6.2</v>
      </c>
    </row>
    <row r="811" ht="14.25" customHeight="1">
      <c r="A811" s="1" t="s">
        <v>26</v>
      </c>
      <c r="B811" s="1" t="s">
        <v>2962</v>
      </c>
      <c r="C811" s="1" t="s">
        <v>4387</v>
      </c>
      <c r="D811" s="1">
        <v>8.3E7</v>
      </c>
      <c r="E811" s="1" t="s">
        <v>3868</v>
      </c>
      <c r="F811" s="1" t="s">
        <v>1320</v>
      </c>
      <c r="G811" s="1" t="s">
        <v>4388</v>
      </c>
      <c r="H811" s="1" t="s">
        <v>1678</v>
      </c>
      <c r="I811" s="1">
        <v>36587.0</v>
      </c>
      <c r="J811" s="1" t="s">
        <v>4389</v>
      </c>
      <c r="K811" s="1" t="s">
        <v>4390</v>
      </c>
      <c r="L811" s="1">
        <v>95.0</v>
      </c>
      <c r="M811" s="1" t="s">
        <v>35</v>
      </c>
      <c r="N811" s="1" t="s">
        <v>36</v>
      </c>
      <c r="O811" s="1" t="s">
        <v>628</v>
      </c>
      <c r="P811" s="1">
        <v>5.5E7</v>
      </c>
      <c r="Q811" s="1">
        <v>1994.0</v>
      </c>
      <c r="R811" s="1">
        <v>2000.0</v>
      </c>
      <c r="S811" s="1">
        <v>812.0</v>
      </c>
      <c r="T811" s="1">
        <v>383.0</v>
      </c>
      <c r="U811" s="1">
        <v>3888.0</v>
      </c>
      <c r="V811" s="1">
        <v>272.0</v>
      </c>
      <c r="W811" s="1">
        <v>0.0</v>
      </c>
      <c r="X811" s="1">
        <v>0.0</v>
      </c>
      <c r="Y811" s="1">
        <v>2.35</v>
      </c>
      <c r="Z811" s="1">
        <v>6.0</v>
      </c>
    </row>
    <row r="812" ht="14.25" customHeight="1">
      <c r="A812" s="1" t="s">
        <v>26</v>
      </c>
      <c r="B812" s="1" t="s">
        <v>1790</v>
      </c>
      <c r="C812" s="1" t="s">
        <v>4391</v>
      </c>
      <c r="D812" s="1">
        <v>7.8745923E7</v>
      </c>
      <c r="E812" s="1" t="s">
        <v>650</v>
      </c>
      <c r="F812" s="1" t="s">
        <v>668</v>
      </c>
      <c r="G812" s="1" t="s">
        <v>677</v>
      </c>
      <c r="H812" s="1" t="s">
        <v>3950</v>
      </c>
      <c r="I812" s="1">
        <v>94407.0</v>
      </c>
      <c r="J812" s="1" t="s">
        <v>4392</v>
      </c>
      <c r="K812" s="1" t="s">
        <v>4393</v>
      </c>
      <c r="L812" s="1">
        <v>322.0</v>
      </c>
      <c r="M812" s="1" t="s">
        <v>35</v>
      </c>
      <c r="N812" s="1" t="s">
        <v>730</v>
      </c>
      <c r="O812" s="1" t="s">
        <v>37</v>
      </c>
      <c r="P812" s="1">
        <v>5.5E7</v>
      </c>
      <c r="Q812" s="1">
        <v>1998.0</v>
      </c>
      <c r="R812" s="1">
        <v>12000.0</v>
      </c>
      <c r="S812" s="1">
        <v>702.0</v>
      </c>
      <c r="T812" s="1">
        <v>539.0</v>
      </c>
      <c r="U812" s="1">
        <v>13905.0</v>
      </c>
      <c r="V812" s="1">
        <v>52.0</v>
      </c>
      <c r="W812" s="1">
        <v>0.0</v>
      </c>
      <c r="X812" s="1">
        <v>1.0</v>
      </c>
      <c r="Y812" s="1">
        <v>2.35</v>
      </c>
      <c r="Z812" s="1">
        <v>6.7</v>
      </c>
    </row>
    <row r="813" ht="14.25" customHeight="1">
      <c r="A813" s="1" t="s">
        <v>710</v>
      </c>
      <c r="B813" s="1" t="s">
        <v>1681</v>
      </c>
      <c r="C813" s="1" t="s">
        <v>4394</v>
      </c>
      <c r="D813" s="1">
        <v>7.0098138E7</v>
      </c>
      <c r="E813" s="1" t="s">
        <v>1270</v>
      </c>
      <c r="F813" s="1" t="s">
        <v>4395</v>
      </c>
      <c r="G813" s="1" t="s">
        <v>609</v>
      </c>
      <c r="H813" s="1" t="s">
        <v>4396</v>
      </c>
      <c r="I813" s="1">
        <v>735784.0</v>
      </c>
      <c r="J813" s="1" t="s">
        <v>4397</v>
      </c>
      <c r="K813" s="1" t="s">
        <v>4398</v>
      </c>
      <c r="L813" s="1">
        <v>2105.0</v>
      </c>
      <c r="M813" s="1" t="s">
        <v>35</v>
      </c>
      <c r="N813" s="1" t="s">
        <v>36</v>
      </c>
      <c r="O813" s="1" t="s">
        <v>628</v>
      </c>
      <c r="P813" s="1">
        <v>3.0E7</v>
      </c>
      <c r="Q813" s="1">
        <v>2003.0</v>
      </c>
      <c r="R813" s="1">
        <v>926.0</v>
      </c>
      <c r="S813" s="1">
        <v>890.0</v>
      </c>
      <c r="T813" s="1">
        <v>640.0</v>
      </c>
      <c r="U813" s="1">
        <v>3983.0</v>
      </c>
      <c r="V813" s="1">
        <v>16000.0</v>
      </c>
      <c r="W813" s="1">
        <v>13000.0</v>
      </c>
      <c r="X813" s="1">
        <v>0.0</v>
      </c>
      <c r="Y813" s="1">
        <v>2.35</v>
      </c>
      <c r="Z813" s="1">
        <v>8.1</v>
      </c>
    </row>
    <row r="814" ht="14.25" customHeight="1">
      <c r="A814" s="1" t="s">
        <v>26</v>
      </c>
      <c r="B814" s="1" t="s">
        <v>1872</v>
      </c>
      <c r="C814" s="1" t="s">
        <v>4399</v>
      </c>
      <c r="D814" s="1">
        <v>6.636529E7</v>
      </c>
      <c r="E814" s="1" t="s">
        <v>1885</v>
      </c>
      <c r="F814" s="1" t="s">
        <v>91</v>
      </c>
      <c r="G814" s="1" t="s">
        <v>4400</v>
      </c>
      <c r="H814" s="1" t="s">
        <v>1808</v>
      </c>
      <c r="I814" s="1">
        <v>56874.0</v>
      </c>
      <c r="J814" s="1" t="s">
        <v>4401</v>
      </c>
      <c r="K814" s="1" t="s">
        <v>4402</v>
      </c>
      <c r="L814" s="1">
        <v>358.0</v>
      </c>
      <c r="M814" s="1" t="s">
        <v>35</v>
      </c>
      <c r="N814" s="1" t="s">
        <v>36</v>
      </c>
      <c r="O814" s="1" t="s">
        <v>37</v>
      </c>
      <c r="P814" s="1">
        <v>5.5E7</v>
      </c>
      <c r="Q814" s="1">
        <v>1999.0</v>
      </c>
      <c r="R814" s="1">
        <v>21000.0</v>
      </c>
      <c r="S814" s="1">
        <v>860.0</v>
      </c>
      <c r="T814" s="1">
        <v>490.0</v>
      </c>
      <c r="U814" s="1">
        <v>22458.0</v>
      </c>
      <c r="V814" s="1">
        <v>0.0</v>
      </c>
      <c r="W814" s="1">
        <v>0.0</v>
      </c>
      <c r="X814" s="1">
        <v>2.0</v>
      </c>
      <c r="Y814" s="1">
        <v>1.37</v>
      </c>
      <c r="Z814" s="1">
        <v>6.4</v>
      </c>
    </row>
    <row r="815" ht="14.25" customHeight="1">
      <c r="A815" s="1" t="s">
        <v>710</v>
      </c>
      <c r="B815" s="1" t="s">
        <v>1681</v>
      </c>
      <c r="C815" s="1" t="s">
        <v>4403</v>
      </c>
      <c r="D815" s="1">
        <v>6.620792E7</v>
      </c>
      <c r="E815" s="1" t="s">
        <v>449</v>
      </c>
      <c r="F815" s="1" t="s">
        <v>609</v>
      </c>
      <c r="G815" s="1" t="s">
        <v>4404</v>
      </c>
      <c r="H815" s="1" t="s">
        <v>4306</v>
      </c>
      <c r="I815" s="1">
        <v>512749.0</v>
      </c>
      <c r="J815" s="1" t="s">
        <v>4405</v>
      </c>
      <c r="K815" s="1" t="s">
        <v>4406</v>
      </c>
      <c r="L815" s="1">
        <v>935.0</v>
      </c>
      <c r="M815" s="1" t="s">
        <v>35</v>
      </c>
      <c r="N815" s="1" t="s">
        <v>36</v>
      </c>
      <c r="O815" s="1" t="s">
        <v>628</v>
      </c>
      <c r="P815" s="1">
        <v>3.0E7</v>
      </c>
      <c r="Q815" s="1">
        <v>2004.0</v>
      </c>
      <c r="R815" s="1">
        <v>890.0</v>
      </c>
      <c r="S815" s="1">
        <v>387.0</v>
      </c>
      <c r="T815" s="1">
        <v>348.0</v>
      </c>
      <c r="U815" s="1">
        <v>1959.0</v>
      </c>
      <c r="V815" s="1">
        <v>16000.0</v>
      </c>
      <c r="W815" s="1">
        <v>0.0</v>
      </c>
      <c r="X815" s="1">
        <v>0.0</v>
      </c>
      <c r="Y815" s="1">
        <v>2.35</v>
      </c>
      <c r="Z815" s="1">
        <v>8.0</v>
      </c>
    </row>
    <row r="816" ht="14.25" customHeight="1">
      <c r="A816" s="1" t="s">
        <v>26</v>
      </c>
      <c r="B816" s="1" t="s">
        <v>2204</v>
      </c>
      <c r="C816" s="1" t="s">
        <v>4407</v>
      </c>
      <c r="D816" s="1">
        <v>6.3408614E7</v>
      </c>
      <c r="E816" s="1" t="s">
        <v>408</v>
      </c>
      <c r="F816" s="1" t="s">
        <v>1702</v>
      </c>
      <c r="G816" s="1" t="s">
        <v>4408</v>
      </c>
      <c r="H816" s="1" t="s">
        <v>4409</v>
      </c>
      <c r="I816" s="1">
        <v>75365.0</v>
      </c>
      <c r="J816" s="1" t="s">
        <v>4410</v>
      </c>
      <c r="K816" s="1" t="s">
        <v>4411</v>
      </c>
      <c r="L816" s="1">
        <v>149.0</v>
      </c>
      <c r="M816" s="1" t="s">
        <v>35</v>
      </c>
      <c r="N816" s="1" t="s">
        <v>36</v>
      </c>
      <c r="O816" s="1" t="s">
        <v>628</v>
      </c>
      <c r="P816" s="1">
        <v>5.5E7</v>
      </c>
      <c r="Q816" s="1">
        <v>1989.0</v>
      </c>
      <c r="R816" s="1">
        <v>13000.0</v>
      </c>
      <c r="S816" s="1">
        <v>549.0</v>
      </c>
      <c r="T816" s="1">
        <v>403.0</v>
      </c>
      <c r="U816" s="1">
        <v>14432.0</v>
      </c>
      <c r="V816" s="1">
        <v>96.0</v>
      </c>
      <c r="W816" s="1">
        <v>0.0</v>
      </c>
      <c r="X816" s="1">
        <v>1.0</v>
      </c>
      <c r="Y816" s="1">
        <v>2.35</v>
      </c>
      <c r="Z816" s="1">
        <v>6.3</v>
      </c>
    </row>
    <row r="817" ht="14.25" customHeight="1">
      <c r="A817" s="1" t="s">
        <v>26</v>
      </c>
      <c r="B817" s="1" t="s">
        <v>420</v>
      </c>
      <c r="C817" s="1" t="s">
        <v>4412</v>
      </c>
      <c r="D817" s="1">
        <v>5.842265E7</v>
      </c>
      <c r="E817" s="1" t="s">
        <v>846</v>
      </c>
      <c r="F817" s="1" t="s">
        <v>941</v>
      </c>
      <c r="G817" s="1" t="s">
        <v>2286</v>
      </c>
      <c r="H817" s="1" t="s">
        <v>3666</v>
      </c>
      <c r="I817" s="1">
        <v>78974.0</v>
      </c>
      <c r="J817" s="1" t="s">
        <v>4413</v>
      </c>
      <c r="K817" s="1" t="s">
        <v>4414</v>
      </c>
      <c r="L817" s="1">
        <v>173.0</v>
      </c>
      <c r="M817" s="1" t="s">
        <v>35</v>
      </c>
      <c r="N817" s="1" t="s">
        <v>36</v>
      </c>
      <c r="O817" s="1" t="s">
        <v>37</v>
      </c>
      <c r="P817" s="1">
        <v>5.5E7</v>
      </c>
      <c r="Q817" s="1">
        <v>1992.0</v>
      </c>
      <c r="R817" s="1">
        <v>13000.0</v>
      </c>
      <c r="S817" s="1">
        <v>11000.0</v>
      </c>
      <c r="T817" s="1">
        <v>812.0</v>
      </c>
      <c r="U817" s="1">
        <v>25599.0</v>
      </c>
      <c r="V817" s="1">
        <v>0.0</v>
      </c>
      <c r="W817" s="1">
        <v>8000.0</v>
      </c>
      <c r="X817" s="1">
        <v>3.0</v>
      </c>
      <c r="Y817" s="1">
        <v>1.85</v>
      </c>
      <c r="Z817" s="1">
        <v>6.4</v>
      </c>
    </row>
    <row r="818" ht="14.25" customHeight="1">
      <c r="A818" s="1" t="s">
        <v>26</v>
      </c>
      <c r="B818" s="1" t="s">
        <v>4415</v>
      </c>
      <c r="C818" s="1" t="s">
        <v>4416</v>
      </c>
      <c r="D818" s="1">
        <v>5.6932305E7</v>
      </c>
      <c r="E818" s="1" t="s">
        <v>4417</v>
      </c>
      <c r="F818" s="1" t="s">
        <v>4009</v>
      </c>
      <c r="G818" s="1" t="s">
        <v>4418</v>
      </c>
      <c r="H818" s="1" t="s">
        <v>4419</v>
      </c>
      <c r="I818" s="1">
        <v>96690.0</v>
      </c>
      <c r="J818" s="1" t="s">
        <v>4420</v>
      </c>
      <c r="K818" s="1" t="s">
        <v>4421</v>
      </c>
      <c r="L818" s="1">
        <v>293.0</v>
      </c>
      <c r="M818" s="1" t="s">
        <v>35</v>
      </c>
      <c r="N818" s="1" t="s">
        <v>36</v>
      </c>
      <c r="O818" s="1" t="s">
        <v>37</v>
      </c>
      <c r="P818" s="1">
        <v>5.5E7</v>
      </c>
      <c r="Q818" s="1">
        <v>2000.0</v>
      </c>
      <c r="R818" s="1">
        <v>485.0</v>
      </c>
      <c r="S818" s="1">
        <v>110.0</v>
      </c>
      <c r="T818" s="1">
        <v>95.0</v>
      </c>
      <c r="U818" s="1">
        <v>939.0</v>
      </c>
      <c r="V818" s="1">
        <v>9.0</v>
      </c>
      <c r="W818" s="1">
        <v>0.0</v>
      </c>
      <c r="X818" s="1">
        <v>2.0</v>
      </c>
      <c r="Y818" s="1">
        <v>2.35</v>
      </c>
      <c r="Z818" s="1">
        <v>6.6</v>
      </c>
    </row>
    <row r="819" ht="14.25" customHeight="1">
      <c r="A819" s="1" t="s">
        <v>26</v>
      </c>
      <c r="B819" s="1" t="s">
        <v>4039</v>
      </c>
      <c r="C819" s="1" t="s">
        <v>4422</v>
      </c>
      <c r="D819" s="1">
        <v>6.875E7</v>
      </c>
      <c r="E819" s="1" t="s">
        <v>48</v>
      </c>
      <c r="F819" s="1" t="s">
        <v>415</v>
      </c>
      <c r="G819" s="1" t="s">
        <v>1010</v>
      </c>
      <c r="H819" s="1" t="s">
        <v>4423</v>
      </c>
      <c r="I819" s="1">
        <v>40858.0</v>
      </c>
      <c r="J819" s="1" t="s">
        <v>4424</v>
      </c>
      <c r="K819" s="1" t="s">
        <v>4425</v>
      </c>
      <c r="L819" s="1">
        <v>144.0</v>
      </c>
      <c r="M819" s="1" t="s">
        <v>35</v>
      </c>
      <c r="N819" s="1" t="s">
        <v>36</v>
      </c>
      <c r="O819" s="1" t="s">
        <v>628</v>
      </c>
      <c r="P819" s="1">
        <v>5.5E7</v>
      </c>
      <c r="Q819" s="1">
        <v>1996.0</v>
      </c>
      <c r="R819" s="1">
        <v>1000.0</v>
      </c>
      <c r="S819" s="1">
        <v>780.0</v>
      </c>
      <c r="T819" s="1">
        <v>263.0</v>
      </c>
      <c r="U819" s="1">
        <v>2916.0</v>
      </c>
      <c r="V819" s="1">
        <v>53.0</v>
      </c>
      <c r="W819" s="1">
        <v>0.0</v>
      </c>
      <c r="X819" s="1">
        <v>0.0</v>
      </c>
      <c r="Y819" s="1">
        <v>2.35</v>
      </c>
      <c r="Z819" s="1">
        <v>6.4</v>
      </c>
    </row>
    <row r="820" ht="14.25" customHeight="1">
      <c r="A820" s="1" t="s">
        <v>26</v>
      </c>
      <c r="B820" s="1" t="s">
        <v>1961</v>
      </c>
      <c r="C820" s="1" t="s">
        <v>4426</v>
      </c>
      <c r="D820" s="1">
        <v>6.8218041E7</v>
      </c>
      <c r="E820" s="1" t="s">
        <v>501</v>
      </c>
      <c r="F820" s="1" t="s">
        <v>4427</v>
      </c>
      <c r="G820" s="1" t="s">
        <v>4428</v>
      </c>
      <c r="H820" s="1" t="s">
        <v>3360</v>
      </c>
      <c r="I820" s="1">
        <v>67191.0</v>
      </c>
      <c r="J820" s="1" t="s">
        <v>4429</v>
      </c>
      <c r="K820" s="1" t="s">
        <v>4430</v>
      </c>
      <c r="L820" s="1">
        <v>108.0</v>
      </c>
      <c r="M820" s="1" t="s">
        <v>35</v>
      </c>
      <c r="N820" s="1" t="s">
        <v>36</v>
      </c>
      <c r="O820" s="1" t="s">
        <v>87</v>
      </c>
      <c r="P820" s="1">
        <v>5.5E7</v>
      </c>
      <c r="Q820" s="1">
        <v>2011.0</v>
      </c>
      <c r="R820" s="1">
        <v>1000.0</v>
      </c>
      <c r="S820" s="1">
        <v>549.0</v>
      </c>
      <c r="T820" s="1">
        <v>497.0</v>
      </c>
      <c r="U820" s="1">
        <v>2820.0</v>
      </c>
      <c r="V820" s="1">
        <v>70.0</v>
      </c>
      <c r="W820" s="1">
        <v>14000.0</v>
      </c>
      <c r="X820" s="1">
        <v>1.0</v>
      </c>
      <c r="Y820" s="1">
        <v>1.85</v>
      </c>
      <c r="Z820" s="1">
        <v>6.0</v>
      </c>
    </row>
    <row r="821" ht="14.25" customHeight="1">
      <c r="A821" s="1" t="s">
        <v>26</v>
      </c>
      <c r="B821" s="1" t="s">
        <v>909</v>
      </c>
      <c r="C821" s="1" t="s">
        <v>4431</v>
      </c>
      <c r="D821" s="1">
        <v>2.5040293E7</v>
      </c>
      <c r="E821" s="1" t="s">
        <v>40</v>
      </c>
      <c r="F821" s="1" t="s">
        <v>487</v>
      </c>
      <c r="G821" s="1" t="s">
        <v>4432</v>
      </c>
      <c r="H821" s="1" t="s">
        <v>2214</v>
      </c>
      <c r="I821" s="1">
        <v>88049.0</v>
      </c>
      <c r="J821" s="1" t="s">
        <v>4433</v>
      </c>
      <c r="K821" s="1" t="s">
        <v>4434</v>
      </c>
      <c r="L821" s="1">
        <v>279.0</v>
      </c>
      <c r="M821" s="1" t="s">
        <v>35</v>
      </c>
      <c r="N821" s="1" t="s">
        <v>36</v>
      </c>
      <c r="O821" s="1" t="s">
        <v>37</v>
      </c>
      <c r="P821" s="1">
        <v>5.5E7</v>
      </c>
      <c r="Q821" s="1">
        <v>2008.0</v>
      </c>
      <c r="R821" s="1">
        <v>5000.0</v>
      </c>
      <c r="S821" s="1">
        <v>962.0</v>
      </c>
      <c r="T821" s="1">
        <v>947.0</v>
      </c>
      <c r="U821" s="1">
        <v>7247.0</v>
      </c>
      <c r="V821" s="1">
        <v>50.0</v>
      </c>
      <c r="W821" s="1">
        <v>0.0</v>
      </c>
      <c r="X821" s="1">
        <v>0.0</v>
      </c>
      <c r="Y821" s="1">
        <v>2.35</v>
      </c>
      <c r="Z821" s="1">
        <v>6.6</v>
      </c>
    </row>
    <row r="822" ht="14.25" customHeight="1">
      <c r="A822" s="1" t="s">
        <v>26</v>
      </c>
      <c r="B822" s="1" t="s">
        <v>4435</v>
      </c>
      <c r="C822" s="1" t="s">
        <v>4436</v>
      </c>
      <c r="D822" s="1">
        <v>5.5747724E7</v>
      </c>
      <c r="E822" s="1" t="s">
        <v>456</v>
      </c>
      <c r="F822" s="1" t="s">
        <v>464</v>
      </c>
      <c r="G822" s="1" t="s">
        <v>4437</v>
      </c>
      <c r="H822" s="1" t="s">
        <v>894</v>
      </c>
      <c r="I822" s="1">
        <v>18042.0</v>
      </c>
      <c r="J822" s="1" t="s">
        <v>4438</v>
      </c>
      <c r="K822" s="1" t="s">
        <v>4439</v>
      </c>
      <c r="L822" s="1">
        <v>73.0</v>
      </c>
      <c r="M822" s="1" t="s">
        <v>35</v>
      </c>
      <c r="N822" s="1" t="s">
        <v>36</v>
      </c>
      <c r="O822" s="1" t="s">
        <v>87</v>
      </c>
      <c r="P822" s="1">
        <v>5.5E7</v>
      </c>
      <c r="Q822" s="1">
        <v>2013.0</v>
      </c>
      <c r="R822" s="1">
        <v>1000.0</v>
      </c>
      <c r="S822" s="1">
        <v>591.0</v>
      </c>
      <c r="T822" s="1">
        <v>562.0</v>
      </c>
      <c r="U822" s="1">
        <v>3104.0</v>
      </c>
      <c r="V822" s="1">
        <v>39.0</v>
      </c>
      <c r="W822" s="1">
        <v>0.0</v>
      </c>
      <c r="X822" s="1">
        <v>1.0</v>
      </c>
      <c r="Y822" s="1">
        <v>1.85</v>
      </c>
      <c r="Z822" s="1">
        <v>5.9</v>
      </c>
    </row>
    <row r="823" ht="14.25" customHeight="1">
      <c r="A823" s="1" t="s">
        <v>26</v>
      </c>
      <c r="B823" s="1" t="s">
        <v>648</v>
      </c>
      <c r="C823" s="1" t="s">
        <v>4440</v>
      </c>
      <c r="D823" s="1">
        <v>5.54736E7</v>
      </c>
      <c r="E823" s="1" t="s">
        <v>3966</v>
      </c>
      <c r="F823" s="1" t="s">
        <v>4441</v>
      </c>
      <c r="G823" s="1" t="s">
        <v>4442</v>
      </c>
      <c r="H823" s="1" t="s">
        <v>4443</v>
      </c>
      <c r="I823" s="1">
        <v>207686.0</v>
      </c>
      <c r="J823" s="1" t="s">
        <v>4444</v>
      </c>
      <c r="K823" s="1" t="s">
        <v>4445</v>
      </c>
      <c r="L823" s="1">
        <v>776.0</v>
      </c>
      <c r="M823" s="1" t="s">
        <v>35</v>
      </c>
      <c r="N823" s="1" t="s">
        <v>36</v>
      </c>
      <c r="O823" s="1" t="s">
        <v>628</v>
      </c>
      <c r="P823" s="1">
        <v>5.0E7</v>
      </c>
      <c r="Q823" s="1">
        <v>1992.0</v>
      </c>
      <c r="R823" s="1">
        <v>534.0</v>
      </c>
      <c r="S823" s="1">
        <v>273.0</v>
      </c>
      <c r="T823" s="1">
        <v>243.0</v>
      </c>
      <c r="U823" s="1">
        <v>1543.0</v>
      </c>
      <c r="V823" s="1">
        <v>21000.0</v>
      </c>
      <c r="W823" s="1">
        <v>0.0</v>
      </c>
      <c r="X823" s="1">
        <v>0.0</v>
      </c>
      <c r="Y823" s="1">
        <v>2.35</v>
      </c>
      <c r="Z823" s="1">
        <v>6.4</v>
      </c>
    </row>
    <row r="824" ht="14.25" customHeight="1">
      <c r="A824" s="1" t="s">
        <v>26</v>
      </c>
      <c r="B824" s="1" t="s">
        <v>4446</v>
      </c>
      <c r="C824" s="1" t="s">
        <v>4447</v>
      </c>
      <c r="D824" s="1">
        <v>4.9994804E7</v>
      </c>
      <c r="E824" s="1" t="s">
        <v>4448</v>
      </c>
      <c r="F824" s="1" t="s">
        <v>4449</v>
      </c>
      <c r="G824" s="1" t="s">
        <v>4450</v>
      </c>
      <c r="H824" s="1" t="s">
        <v>4451</v>
      </c>
      <c r="I824" s="1">
        <v>29205.0</v>
      </c>
      <c r="J824" s="1" t="s">
        <v>4452</v>
      </c>
      <c r="K824" s="1" t="s">
        <v>4453</v>
      </c>
      <c r="L824" s="1">
        <v>194.0</v>
      </c>
      <c r="M824" s="1" t="s">
        <v>35</v>
      </c>
      <c r="N824" s="1" t="s">
        <v>36</v>
      </c>
      <c r="O824" s="1" t="s">
        <v>87</v>
      </c>
      <c r="P824" s="1">
        <v>5.5E7</v>
      </c>
      <c r="Q824" s="1">
        <v>1996.0</v>
      </c>
      <c r="R824" s="1">
        <v>57.0</v>
      </c>
      <c r="S824" s="1">
        <v>40.0</v>
      </c>
      <c r="T824" s="1">
        <v>34.0</v>
      </c>
      <c r="U824" s="1">
        <v>164.0</v>
      </c>
      <c r="V824" s="1">
        <v>317.0</v>
      </c>
      <c r="W824" s="1">
        <v>0.0</v>
      </c>
      <c r="X824" s="1">
        <v>1.0</v>
      </c>
      <c r="Y824" s="1">
        <v>2.35</v>
      </c>
      <c r="Z824" s="1">
        <v>6.3</v>
      </c>
    </row>
    <row r="825" ht="14.25" customHeight="1">
      <c r="A825" s="1" t="s">
        <v>26</v>
      </c>
      <c r="B825" s="1" t="s">
        <v>4454</v>
      </c>
      <c r="C825" s="1" t="s">
        <v>4455</v>
      </c>
      <c r="D825" s="1">
        <v>4.1609593E7</v>
      </c>
      <c r="E825" s="1" t="s">
        <v>3171</v>
      </c>
      <c r="F825" s="1" t="s">
        <v>1663</v>
      </c>
      <c r="G825" s="1" t="s">
        <v>2183</v>
      </c>
      <c r="H825" s="1" t="s">
        <v>4456</v>
      </c>
      <c r="I825" s="1">
        <v>145422.0</v>
      </c>
      <c r="J825" s="1" t="s">
        <v>4457</v>
      </c>
      <c r="K825" s="1" t="s">
        <v>4458</v>
      </c>
      <c r="L825" s="1">
        <v>572.0</v>
      </c>
      <c r="M825" s="1" t="s">
        <v>35</v>
      </c>
      <c r="N825" s="1" t="s">
        <v>54</v>
      </c>
      <c r="O825" s="1" t="s">
        <v>628</v>
      </c>
      <c r="P825" s="1">
        <v>5.5E7</v>
      </c>
      <c r="Q825" s="1">
        <v>1998.0</v>
      </c>
      <c r="R825" s="1">
        <v>22000.0</v>
      </c>
      <c r="S825" s="1">
        <v>2000.0</v>
      </c>
      <c r="T825" s="1">
        <v>135.0</v>
      </c>
      <c r="U825" s="1">
        <v>24270.0</v>
      </c>
      <c r="V825" s="1">
        <v>287.0</v>
      </c>
      <c r="W825" s="1">
        <v>0.0</v>
      </c>
      <c r="X825" s="1">
        <v>2.0</v>
      </c>
      <c r="Y825" s="1">
        <v>2.35</v>
      </c>
      <c r="Z825" s="1">
        <v>7.3</v>
      </c>
    </row>
    <row r="826" ht="14.25" customHeight="1">
      <c r="A826" s="1" t="s">
        <v>26</v>
      </c>
      <c r="B826" s="1" t="s">
        <v>2604</v>
      </c>
      <c r="C826" s="1" t="s">
        <v>4459</v>
      </c>
      <c r="D826" s="1">
        <v>3.8553833E7</v>
      </c>
      <c r="E826" s="1" t="s">
        <v>4460</v>
      </c>
      <c r="F826" s="1" t="s">
        <v>130</v>
      </c>
      <c r="G826" s="1" t="s">
        <v>1930</v>
      </c>
      <c r="H826" s="1" t="s">
        <v>4461</v>
      </c>
      <c r="I826" s="1">
        <v>46239.0</v>
      </c>
      <c r="J826" s="1" t="s">
        <v>4462</v>
      </c>
      <c r="K826" s="1" t="s">
        <v>4463</v>
      </c>
      <c r="L826" s="1">
        <v>155.0</v>
      </c>
      <c r="M826" s="1" t="s">
        <v>35</v>
      </c>
      <c r="N826" s="1" t="s">
        <v>36</v>
      </c>
      <c r="O826" s="1" t="s">
        <v>628</v>
      </c>
      <c r="P826" s="1">
        <v>5.5E7</v>
      </c>
      <c r="Q826" s="1">
        <v>1996.0</v>
      </c>
      <c r="R826" s="1">
        <v>1000.0</v>
      </c>
      <c r="S826" s="1">
        <v>416.0</v>
      </c>
      <c r="T826" s="1">
        <v>163.0</v>
      </c>
      <c r="U826" s="1">
        <v>1752.0</v>
      </c>
      <c r="V826" s="1">
        <v>81.0</v>
      </c>
      <c r="W826" s="1">
        <v>0.0</v>
      </c>
      <c r="X826" s="1">
        <v>0.0</v>
      </c>
      <c r="Y826" s="1">
        <v>2.35</v>
      </c>
      <c r="Z826" s="1">
        <v>6.8</v>
      </c>
    </row>
    <row r="827" ht="14.25" customHeight="1">
      <c r="A827" s="1" t="s">
        <v>26</v>
      </c>
      <c r="B827" s="1" t="s">
        <v>4464</v>
      </c>
      <c r="C827" s="1" t="s">
        <v>4465</v>
      </c>
      <c r="D827" s="1">
        <v>7.6137505E7</v>
      </c>
      <c r="E827" s="1" t="s">
        <v>756</v>
      </c>
      <c r="F827" s="1" t="s">
        <v>391</v>
      </c>
      <c r="G827" s="1" t="s">
        <v>4466</v>
      </c>
      <c r="H827" s="1" t="s">
        <v>4467</v>
      </c>
      <c r="I827" s="1">
        <v>49207.0</v>
      </c>
      <c r="J827" s="1" t="s">
        <v>4468</v>
      </c>
      <c r="K827" s="1" t="s">
        <v>4469</v>
      </c>
      <c r="L827" s="1">
        <v>174.0</v>
      </c>
      <c r="M827" s="1" t="s">
        <v>35</v>
      </c>
      <c r="N827" s="1" t="s">
        <v>54</v>
      </c>
      <c r="O827" s="1" t="s">
        <v>87</v>
      </c>
      <c r="P827" s="1">
        <v>5.5E7</v>
      </c>
      <c r="Q827" s="1">
        <v>2014.0</v>
      </c>
      <c r="R827" s="1">
        <v>838.0</v>
      </c>
      <c r="S827" s="1">
        <v>722.0</v>
      </c>
      <c r="T827" s="1">
        <v>594.0</v>
      </c>
      <c r="U827" s="1">
        <v>3697.0</v>
      </c>
      <c r="V827" s="1">
        <v>17.0</v>
      </c>
      <c r="W827" s="1">
        <v>30000.0</v>
      </c>
      <c r="X827" s="1">
        <v>0.0</v>
      </c>
      <c r="Y827" s="1">
        <v>2.35</v>
      </c>
      <c r="Z827" s="1">
        <v>7.2</v>
      </c>
    </row>
    <row r="828" ht="14.25" customHeight="1">
      <c r="A828" s="1" t="s">
        <v>26</v>
      </c>
      <c r="B828" s="1" t="s">
        <v>4470</v>
      </c>
      <c r="C828" s="1" t="s">
        <v>4471</v>
      </c>
      <c r="D828" s="1">
        <v>3.4350553E7</v>
      </c>
      <c r="E828" s="1" t="s">
        <v>1821</v>
      </c>
      <c r="F828" s="1" t="s">
        <v>2021</v>
      </c>
      <c r="G828" s="1" t="s">
        <v>4472</v>
      </c>
      <c r="H828" s="1" t="s">
        <v>2201</v>
      </c>
      <c r="I828" s="1">
        <v>104066.0</v>
      </c>
      <c r="J828" s="1" t="s">
        <v>4473</v>
      </c>
      <c r="K828" s="1" t="s">
        <v>4474</v>
      </c>
      <c r="L828" s="1">
        <v>207.0</v>
      </c>
      <c r="M828" s="1" t="s">
        <v>35</v>
      </c>
      <c r="N828" s="1" t="s">
        <v>36</v>
      </c>
      <c r="O828" s="1" t="s">
        <v>628</v>
      </c>
      <c r="P828" s="1">
        <v>6.8E7</v>
      </c>
      <c r="Q828" s="1">
        <v>2012.0</v>
      </c>
      <c r="R828" s="1">
        <v>622.0</v>
      </c>
      <c r="S828" s="1">
        <v>591.0</v>
      </c>
      <c r="T828" s="1">
        <v>537.0</v>
      </c>
      <c r="U828" s="1">
        <v>2488.0</v>
      </c>
      <c r="V828" s="1">
        <v>82.0</v>
      </c>
      <c r="W828" s="1">
        <v>15000.0</v>
      </c>
      <c r="X828" s="1">
        <v>4.0</v>
      </c>
      <c r="Y828" s="1">
        <v>2.35</v>
      </c>
      <c r="Z828" s="1">
        <v>5.7</v>
      </c>
    </row>
    <row r="829" ht="14.25" customHeight="1">
      <c r="A829" s="1" t="s">
        <v>26</v>
      </c>
      <c r="B829" s="1" t="s">
        <v>4475</v>
      </c>
      <c r="C829" s="1" t="s">
        <v>4476</v>
      </c>
      <c r="D829" s="1">
        <v>3.4238611E7</v>
      </c>
      <c r="E829" s="1" t="s">
        <v>449</v>
      </c>
      <c r="F829" s="1" t="s">
        <v>1611</v>
      </c>
      <c r="G829" s="1" t="s">
        <v>4477</v>
      </c>
      <c r="H829" s="1" t="s">
        <v>4478</v>
      </c>
      <c r="I829" s="1">
        <v>35830.0</v>
      </c>
      <c r="J829" s="1" t="s">
        <v>4479</v>
      </c>
      <c r="K829" s="1" t="s">
        <v>4480</v>
      </c>
      <c r="L829" s="1">
        <v>321.0</v>
      </c>
      <c r="M829" s="1" t="s">
        <v>35</v>
      </c>
      <c r="N829" s="1" t="s">
        <v>36</v>
      </c>
      <c r="O829" s="1" t="s">
        <v>628</v>
      </c>
      <c r="P829" s="1">
        <v>5.5E7</v>
      </c>
      <c r="Q829" s="1">
        <v>2003.0</v>
      </c>
      <c r="R829" s="1">
        <v>933.0</v>
      </c>
      <c r="S829" s="1">
        <v>518.0</v>
      </c>
      <c r="T829" s="1">
        <v>215.0</v>
      </c>
      <c r="U829" s="1">
        <v>2248.0</v>
      </c>
      <c r="V829" s="1">
        <v>607.0</v>
      </c>
      <c r="W829" s="1">
        <v>0.0</v>
      </c>
      <c r="X829" s="1">
        <v>1.0</v>
      </c>
      <c r="Y829" s="1">
        <v>1.85</v>
      </c>
      <c r="Z829" s="1">
        <v>6.0</v>
      </c>
    </row>
    <row r="830" ht="14.25" customHeight="1">
      <c r="A830" s="1" t="s">
        <v>26</v>
      </c>
      <c r="B830" s="1" t="s">
        <v>666</v>
      </c>
      <c r="C830" s="1" t="s">
        <v>4481</v>
      </c>
      <c r="D830" s="1">
        <v>3.4098563E7</v>
      </c>
      <c r="E830" s="1" t="s">
        <v>3868</v>
      </c>
      <c r="F830" s="1" t="s">
        <v>726</v>
      </c>
      <c r="G830" s="1" t="s">
        <v>3565</v>
      </c>
      <c r="H830" s="1" t="s">
        <v>4482</v>
      </c>
      <c r="I830" s="1">
        <v>27191.0</v>
      </c>
      <c r="J830" s="1" t="s">
        <v>4483</v>
      </c>
      <c r="K830" s="1" t="s">
        <v>4484</v>
      </c>
      <c r="L830" s="1">
        <v>232.0</v>
      </c>
      <c r="M830" s="1" t="s">
        <v>35</v>
      </c>
      <c r="N830" s="1" t="s">
        <v>36</v>
      </c>
      <c r="O830" s="1" t="s">
        <v>628</v>
      </c>
      <c r="P830" s="1">
        <v>5.5E7</v>
      </c>
      <c r="Q830" s="1">
        <v>1999.0</v>
      </c>
      <c r="R830" s="1">
        <v>12000.0</v>
      </c>
      <c r="S830" s="1">
        <v>509.0</v>
      </c>
      <c r="T830" s="1">
        <v>241.0</v>
      </c>
      <c r="U830" s="1">
        <v>13406.0</v>
      </c>
      <c r="V830" s="1">
        <v>226.0</v>
      </c>
      <c r="W830" s="1">
        <v>0.0</v>
      </c>
      <c r="X830" s="1">
        <v>1.0</v>
      </c>
      <c r="Y830" s="1">
        <v>2.35</v>
      </c>
      <c r="Z830" s="1">
        <v>6.5</v>
      </c>
    </row>
    <row r="831" ht="14.25" customHeight="1">
      <c r="A831" s="1" t="s">
        <v>26</v>
      </c>
      <c r="B831" s="1" t="s">
        <v>3322</v>
      </c>
      <c r="C831" s="1" t="s">
        <v>4485</v>
      </c>
      <c r="D831" s="1">
        <v>3.3828318E7</v>
      </c>
      <c r="E831" s="1" t="s">
        <v>1885</v>
      </c>
      <c r="F831" s="1" t="s">
        <v>1113</v>
      </c>
      <c r="G831" s="1" t="s">
        <v>4486</v>
      </c>
      <c r="H831" s="1" t="s">
        <v>4487</v>
      </c>
      <c r="I831" s="1">
        <v>44453.0</v>
      </c>
      <c r="J831" s="1" t="s">
        <v>4488</v>
      </c>
      <c r="K831" s="1" t="s">
        <v>4489</v>
      </c>
      <c r="L831" s="1">
        <v>154.0</v>
      </c>
      <c r="M831" s="1" t="s">
        <v>35</v>
      </c>
      <c r="N831" s="1" t="s">
        <v>36</v>
      </c>
      <c r="O831" s="1" t="s">
        <v>37</v>
      </c>
      <c r="P831" s="1">
        <v>5.5E7</v>
      </c>
      <c r="Q831" s="1">
        <v>2003.0</v>
      </c>
      <c r="R831" s="1">
        <v>13000.0</v>
      </c>
      <c r="S831" s="1">
        <v>390.0</v>
      </c>
      <c r="T831" s="1">
        <v>327.0</v>
      </c>
      <c r="U831" s="1">
        <v>14036.0</v>
      </c>
      <c r="V831" s="1">
        <v>101.0</v>
      </c>
      <c r="W831" s="1">
        <v>0.0</v>
      </c>
      <c r="X831" s="1">
        <v>2.0</v>
      </c>
      <c r="Y831" s="1">
        <v>2.35</v>
      </c>
      <c r="Z831" s="1">
        <v>5.8</v>
      </c>
    </row>
    <row r="832" ht="14.25" customHeight="1">
      <c r="A832" s="1" t="s">
        <v>26</v>
      </c>
      <c r="B832" s="1" t="s">
        <v>4490</v>
      </c>
      <c r="C832" s="1" t="s">
        <v>4491</v>
      </c>
      <c r="D832" s="1">
        <v>3.347285E7</v>
      </c>
      <c r="E832" s="1" t="s">
        <v>3714</v>
      </c>
      <c r="F832" s="1" t="s">
        <v>1197</v>
      </c>
      <c r="G832" s="1" t="s">
        <v>3565</v>
      </c>
      <c r="H832" s="1" t="s">
        <v>3493</v>
      </c>
      <c r="I832" s="1">
        <v>67005.0</v>
      </c>
      <c r="J832" s="1" t="s">
        <v>4492</v>
      </c>
      <c r="K832" s="1" t="s">
        <v>4493</v>
      </c>
      <c r="L832" s="1">
        <v>119.0</v>
      </c>
      <c r="M832" s="1" t="s">
        <v>35</v>
      </c>
      <c r="N832" s="1" t="s">
        <v>36</v>
      </c>
      <c r="O832" s="1" t="s">
        <v>628</v>
      </c>
      <c r="P832" s="1">
        <v>5.5E7</v>
      </c>
      <c r="Q832" s="1">
        <v>2008.0</v>
      </c>
      <c r="R832" s="1">
        <v>8000.0</v>
      </c>
      <c r="S832" s="1">
        <v>509.0</v>
      </c>
      <c r="T832" s="1">
        <v>490.0</v>
      </c>
      <c r="U832" s="1">
        <v>10026.0</v>
      </c>
      <c r="V832" s="1">
        <v>3.0</v>
      </c>
      <c r="W832" s="1">
        <v>0.0</v>
      </c>
      <c r="X832" s="1">
        <v>3.0</v>
      </c>
      <c r="Y832" s="1">
        <v>2.35</v>
      </c>
      <c r="Z832" s="1">
        <v>5.8</v>
      </c>
    </row>
    <row r="833" ht="14.25" customHeight="1">
      <c r="A833" s="1" t="s">
        <v>26</v>
      </c>
      <c r="B833" s="1" t="s">
        <v>4494</v>
      </c>
      <c r="C833" s="1" t="s">
        <v>4495</v>
      </c>
      <c r="D833" s="1">
        <v>3.1051126E7</v>
      </c>
      <c r="E833" s="1" t="s">
        <v>456</v>
      </c>
      <c r="F833" s="1" t="s">
        <v>480</v>
      </c>
      <c r="G833" s="1" t="s">
        <v>4496</v>
      </c>
      <c r="H833" s="1" t="s">
        <v>727</v>
      </c>
      <c r="I833" s="1">
        <v>36877.0</v>
      </c>
      <c r="J833" s="1" t="s">
        <v>4497</v>
      </c>
      <c r="K833" s="1" t="s">
        <v>4498</v>
      </c>
      <c r="L833" s="1">
        <v>101.0</v>
      </c>
      <c r="M833" s="1" t="s">
        <v>35</v>
      </c>
      <c r="N833" s="1" t="s">
        <v>54</v>
      </c>
      <c r="O833" s="1" t="s">
        <v>87</v>
      </c>
      <c r="P833" s="1">
        <v>5.5E7</v>
      </c>
      <c r="Q833" s="1">
        <v>2012.0</v>
      </c>
      <c r="R833" s="1">
        <v>4000.0</v>
      </c>
      <c r="S833" s="1">
        <v>796.0</v>
      </c>
      <c r="T833" s="1">
        <v>591.0</v>
      </c>
      <c r="U833" s="1">
        <v>6254.0</v>
      </c>
      <c r="V833" s="1">
        <v>91.0</v>
      </c>
      <c r="W833" s="1">
        <v>0.0</v>
      </c>
      <c r="X833" s="1">
        <v>0.0</v>
      </c>
      <c r="Y833" s="1">
        <v>2.35</v>
      </c>
      <c r="Z833" s="1">
        <v>6.7</v>
      </c>
    </row>
    <row r="834" ht="14.25" customHeight="1">
      <c r="A834" s="1" t="s">
        <v>26</v>
      </c>
      <c r="B834" s="1" t="s">
        <v>3503</v>
      </c>
      <c r="C834" s="1" t="s">
        <v>4499</v>
      </c>
      <c r="D834" s="1">
        <v>3.5707327E7</v>
      </c>
      <c r="E834" s="1" t="s">
        <v>2061</v>
      </c>
      <c r="F834" s="1" t="s">
        <v>550</v>
      </c>
      <c r="G834" s="1" t="s">
        <v>2893</v>
      </c>
      <c r="H834" s="1" t="s">
        <v>3950</v>
      </c>
      <c r="I834" s="1">
        <v>199056.0</v>
      </c>
      <c r="J834" s="1" t="s">
        <v>4500</v>
      </c>
      <c r="K834" s="1" t="s">
        <v>4501</v>
      </c>
      <c r="L834" s="1">
        <v>387.0</v>
      </c>
      <c r="M834" s="1" t="s">
        <v>35</v>
      </c>
      <c r="N834" s="1" t="s">
        <v>36</v>
      </c>
      <c r="O834" s="1" t="s">
        <v>628</v>
      </c>
      <c r="P834" s="1">
        <v>5.5E7</v>
      </c>
      <c r="Q834" s="1">
        <v>2008.0</v>
      </c>
      <c r="R834" s="1">
        <v>11000.0</v>
      </c>
      <c r="S834" s="1">
        <v>963.0</v>
      </c>
      <c r="T834" s="1">
        <v>539.0</v>
      </c>
      <c r="U834" s="1">
        <v>12840.0</v>
      </c>
      <c r="V834" s="1">
        <v>16000.0</v>
      </c>
      <c r="W834" s="1">
        <v>14000.0</v>
      </c>
      <c r="X834" s="1">
        <v>0.0</v>
      </c>
      <c r="Y834" s="1">
        <v>2.35</v>
      </c>
      <c r="Z834" s="1">
        <v>7.8</v>
      </c>
    </row>
    <row r="835" ht="14.25" customHeight="1">
      <c r="A835" s="1" t="s">
        <v>26</v>
      </c>
      <c r="B835" s="1" t="s">
        <v>2342</v>
      </c>
      <c r="C835" s="1" t="s">
        <v>4502</v>
      </c>
      <c r="D835" s="1">
        <v>2.0550712E7</v>
      </c>
      <c r="E835" s="1" t="s">
        <v>1335</v>
      </c>
      <c r="F835" s="1" t="s">
        <v>563</v>
      </c>
      <c r="G835" s="1" t="s">
        <v>451</v>
      </c>
      <c r="H835" s="1" t="s">
        <v>273</v>
      </c>
      <c r="I835" s="1">
        <v>40346.0</v>
      </c>
      <c r="J835" s="1" t="s">
        <v>4503</v>
      </c>
      <c r="K835" s="1" t="s">
        <v>4504</v>
      </c>
      <c r="L835" s="1">
        <v>95.0</v>
      </c>
      <c r="M835" s="1" t="s">
        <v>35</v>
      </c>
      <c r="N835" s="1" t="s">
        <v>36</v>
      </c>
      <c r="O835" s="1" t="s">
        <v>37</v>
      </c>
      <c r="P835" s="1">
        <v>5.0E7</v>
      </c>
      <c r="Q835" s="1">
        <v>1996.0</v>
      </c>
      <c r="R835" s="1">
        <v>18000.0</v>
      </c>
      <c r="S835" s="1">
        <v>11000.0</v>
      </c>
      <c r="T835" s="1">
        <v>581.0</v>
      </c>
      <c r="U835" s="1">
        <v>31014.0</v>
      </c>
      <c r="V835" s="1">
        <v>99.0</v>
      </c>
      <c r="W835" s="1">
        <v>1000.0</v>
      </c>
      <c r="X835" s="1">
        <v>1.0</v>
      </c>
      <c r="Y835" s="1">
        <v>1.85</v>
      </c>
      <c r="Z835" s="1">
        <v>5.6</v>
      </c>
    </row>
    <row r="836" ht="14.25" customHeight="1">
      <c r="A836" s="1" t="s">
        <v>26</v>
      </c>
      <c r="B836" s="1" t="s">
        <v>1656</v>
      </c>
      <c r="C836" s="1" t="s">
        <v>4505</v>
      </c>
      <c r="D836" s="1">
        <v>1.8573791E7</v>
      </c>
      <c r="E836" s="1" t="s">
        <v>4506</v>
      </c>
      <c r="F836" s="1" t="s">
        <v>1663</v>
      </c>
      <c r="G836" s="1" t="s">
        <v>4378</v>
      </c>
      <c r="H836" s="1" t="s">
        <v>4507</v>
      </c>
      <c r="I836" s="1">
        <v>38533.0</v>
      </c>
      <c r="J836" s="1" t="s">
        <v>4508</v>
      </c>
      <c r="K836" s="1" t="s">
        <v>4509</v>
      </c>
      <c r="L836" s="1">
        <v>89.0</v>
      </c>
      <c r="M836" s="1" t="s">
        <v>35</v>
      </c>
      <c r="N836" s="1" t="s">
        <v>36</v>
      </c>
      <c r="O836" s="1" t="s">
        <v>628</v>
      </c>
      <c r="P836" s="1">
        <v>5.5E7</v>
      </c>
      <c r="Q836" s="1">
        <v>1996.0</v>
      </c>
      <c r="R836" s="1">
        <v>22000.0</v>
      </c>
      <c r="S836" s="1">
        <v>617.0</v>
      </c>
      <c r="T836" s="1">
        <v>552.0</v>
      </c>
      <c r="U836" s="1">
        <v>24618.0</v>
      </c>
      <c r="V836" s="1">
        <v>12000.0</v>
      </c>
      <c r="W836" s="1">
        <v>0.0</v>
      </c>
      <c r="X836" s="1">
        <v>3.0</v>
      </c>
      <c r="Y836" s="1">
        <v>2.35</v>
      </c>
      <c r="Z836" s="1">
        <v>5.8</v>
      </c>
    </row>
    <row r="837" ht="14.25" customHeight="1">
      <c r="A837" s="1" t="s">
        <v>710</v>
      </c>
      <c r="B837" s="1" t="s">
        <v>1268</v>
      </c>
      <c r="C837" s="1" t="s">
        <v>4510</v>
      </c>
      <c r="D837" s="1">
        <v>5.1225796E7</v>
      </c>
      <c r="E837" s="1" t="s">
        <v>4511</v>
      </c>
      <c r="F837" s="1" t="s">
        <v>616</v>
      </c>
      <c r="G837" s="1" t="s">
        <v>3319</v>
      </c>
      <c r="H837" s="1" t="s">
        <v>4512</v>
      </c>
      <c r="I837" s="1">
        <v>96654.0</v>
      </c>
      <c r="J837" s="1" t="s">
        <v>4513</v>
      </c>
      <c r="K837" s="1" t="s">
        <v>4514</v>
      </c>
      <c r="L837" s="1">
        <v>2047.0</v>
      </c>
      <c r="M837" s="1" t="s">
        <v>35</v>
      </c>
      <c r="N837" s="1" t="s">
        <v>54</v>
      </c>
      <c r="O837" s="1" t="s">
        <v>37</v>
      </c>
      <c r="P837" s="1">
        <v>7.0E7</v>
      </c>
      <c r="Q837" s="1">
        <v>2004.0</v>
      </c>
      <c r="R837" s="1">
        <v>18000.0</v>
      </c>
      <c r="S837" s="1">
        <v>893.0</v>
      </c>
      <c r="T837" s="1">
        <v>530.0</v>
      </c>
      <c r="U837" s="1">
        <v>20660.0</v>
      </c>
      <c r="V837" s="1">
        <v>541.0</v>
      </c>
      <c r="W837" s="1">
        <v>0.0</v>
      </c>
      <c r="X837" s="1">
        <v>0.0</v>
      </c>
      <c r="Y837" s="1">
        <v>2.35</v>
      </c>
      <c r="Z837" s="1">
        <v>7.4</v>
      </c>
    </row>
    <row r="838" ht="14.25" customHeight="1">
      <c r="A838" s="1" t="s">
        <v>26</v>
      </c>
      <c r="B838" s="1" t="s">
        <v>4515</v>
      </c>
      <c r="C838" s="1" t="s">
        <v>4516</v>
      </c>
      <c r="D838" s="1">
        <v>1.6264475E7</v>
      </c>
      <c r="E838" s="1" t="s">
        <v>3075</v>
      </c>
      <c r="F838" s="1" t="s">
        <v>431</v>
      </c>
      <c r="G838" s="1" t="s">
        <v>1346</v>
      </c>
      <c r="H838" s="1" t="s">
        <v>1145</v>
      </c>
      <c r="I838" s="1">
        <v>54787.0</v>
      </c>
      <c r="J838" s="1" t="s">
        <v>4517</v>
      </c>
      <c r="K838" s="1" t="s">
        <v>4518</v>
      </c>
      <c r="L838" s="1">
        <v>216.0</v>
      </c>
      <c r="M838" s="1" t="s">
        <v>35</v>
      </c>
      <c r="N838" s="1" t="s">
        <v>54</v>
      </c>
      <c r="O838" s="1" t="s">
        <v>37</v>
      </c>
      <c r="P838" s="1">
        <v>5.5E7</v>
      </c>
      <c r="Q838" s="1">
        <v>2007.0</v>
      </c>
      <c r="R838" s="1">
        <v>13000.0</v>
      </c>
      <c r="S838" s="1">
        <v>2000.0</v>
      </c>
      <c r="T838" s="1">
        <v>877.0</v>
      </c>
      <c r="U838" s="1">
        <v>16899.0</v>
      </c>
      <c r="V838" s="1">
        <v>159.0</v>
      </c>
      <c r="W838" s="1">
        <v>0.0</v>
      </c>
      <c r="X838" s="1">
        <v>1.0</v>
      </c>
      <c r="Y838" s="1">
        <v>1.85</v>
      </c>
      <c r="Z838" s="1">
        <v>6.9</v>
      </c>
    </row>
    <row r="839" ht="14.25" customHeight="1">
      <c r="A839" s="1" t="s">
        <v>26</v>
      </c>
      <c r="B839" s="1" t="s">
        <v>4519</v>
      </c>
      <c r="C839" s="1" t="s">
        <v>4520</v>
      </c>
      <c r="D839" s="1">
        <v>2.5857987E7</v>
      </c>
      <c r="E839" s="1" t="s">
        <v>623</v>
      </c>
      <c r="F839" s="1" t="s">
        <v>741</v>
      </c>
      <c r="G839" s="1" t="s">
        <v>3922</v>
      </c>
      <c r="H839" s="1" t="s">
        <v>4521</v>
      </c>
      <c r="I839" s="1">
        <v>110614.0</v>
      </c>
      <c r="J839" s="1" t="s">
        <v>4522</v>
      </c>
      <c r="K839" s="1" t="s">
        <v>4523</v>
      </c>
      <c r="L839" s="1">
        <v>532.0</v>
      </c>
      <c r="M839" s="1" t="s">
        <v>35</v>
      </c>
      <c r="N839" s="1" t="s">
        <v>36</v>
      </c>
      <c r="O839" s="1" t="s">
        <v>37</v>
      </c>
      <c r="P839" s="1">
        <v>6.2E7</v>
      </c>
      <c r="Q839" s="1">
        <v>2005.0</v>
      </c>
      <c r="R839" s="1">
        <v>9000.0</v>
      </c>
      <c r="S839" s="1">
        <v>460.0</v>
      </c>
      <c r="T839" s="1">
        <v>352.0</v>
      </c>
      <c r="U839" s="1">
        <v>10185.0</v>
      </c>
      <c r="V839" s="1">
        <v>45.0</v>
      </c>
      <c r="W839" s="1">
        <v>0.0</v>
      </c>
      <c r="X839" s="1">
        <v>0.0</v>
      </c>
      <c r="Y839" s="1">
        <v>2.35</v>
      </c>
      <c r="Z839" s="1">
        <v>5.5</v>
      </c>
    </row>
    <row r="840" ht="14.25" customHeight="1">
      <c r="A840" s="1" t="s">
        <v>26</v>
      </c>
      <c r="B840" s="1" t="s">
        <v>4524</v>
      </c>
      <c r="C840" s="1" t="s">
        <v>4525</v>
      </c>
      <c r="D840" s="1">
        <v>1.2870569E7</v>
      </c>
      <c r="E840" s="1" t="s">
        <v>1880</v>
      </c>
      <c r="F840" s="1" t="s">
        <v>4526</v>
      </c>
      <c r="G840" s="1" t="s">
        <v>4527</v>
      </c>
      <c r="H840" s="1" t="s">
        <v>4528</v>
      </c>
      <c r="I840" s="1">
        <v>13215.0</v>
      </c>
      <c r="J840" s="1" t="s">
        <v>4529</v>
      </c>
      <c r="K840" s="1" t="s">
        <v>4530</v>
      </c>
      <c r="L840" s="1">
        <v>497.0</v>
      </c>
      <c r="M840" s="1" t="s">
        <v>35</v>
      </c>
      <c r="N840" s="1" t="s">
        <v>36</v>
      </c>
      <c r="O840" s="1" t="s">
        <v>37</v>
      </c>
      <c r="P840" s="1">
        <v>5.6E7</v>
      </c>
      <c r="Q840" s="1">
        <v>2003.0</v>
      </c>
      <c r="R840" s="1">
        <v>789.0</v>
      </c>
      <c r="S840" s="1">
        <v>640.0</v>
      </c>
      <c r="T840" s="1">
        <v>67.0</v>
      </c>
      <c r="U840" s="1">
        <v>1671.0</v>
      </c>
      <c r="V840" s="1">
        <v>33.0</v>
      </c>
      <c r="W840" s="1">
        <v>953.0</v>
      </c>
      <c r="X840" s="1">
        <v>0.0</v>
      </c>
      <c r="Y840" s="1">
        <v>2.35</v>
      </c>
      <c r="Z840" s="1">
        <v>6.3</v>
      </c>
    </row>
    <row r="841" ht="14.25" customHeight="1">
      <c r="A841" s="1" t="s">
        <v>26</v>
      </c>
      <c r="B841" s="1" t="s">
        <v>4531</v>
      </c>
      <c r="C841" s="1" t="s">
        <v>4532</v>
      </c>
      <c r="D841" s="1">
        <v>1.1466088E7</v>
      </c>
      <c r="E841" s="1" t="s">
        <v>57</v>
      </c>
      <c r="F841" s="1" t="s">
        <v>3140</v>
      </c>
      <c r="G841" s="1" t="s">
        <v>4533</v>
      </c>
      <c r="H841" s="1" t="s">
        <v>3097</v>
      </c>
      <c r="I841" s="1">
        <v>8983.0</v>
      </c>
      <c r="J841" s="1" t="s">
        <v>4534</v>
      </c>
      <c r="K841" s="1" t="s">
        <v>4535</v>
      </c>
      <c r="L841" s="1">
        <v>84.0</v>
      </c>
      <c r="M841" s="1" t="s">
        <v>35</v>
      </c>
      <c r="N841" s="1" t="s">
        <v>36</v>
      </c>
      <c r="O841" s="1" t="s">
        <v>628</v>
      </c>
      <c r="P841" s="1">
        <v>7.1E7</v>
      </c>
      <c r="Q841" s="1">
        <v>1997.0</v>
      </c>
      <c r="R841" s="1">
        <v>995.0</v>
      </c>
      <c r="S841" s="1">
        <v>879.0</v>
      </c>
      <c r="T841" s="1">
        <v>745.0</v>
      </c>
      <c r="U841" s="1">
        <v>3952.0</v>
      </c>
      <c r="V841" s="1">
        <v>0.0</v>
      </c>
      <c r="W841" s="1">
        <v>316.0</v>
      </c>
      <c r="X841" s="1">
        <v>0.0</v>
      </c>
      <c r="Y841" s="1">
        <v>2.35</v>
      </c>
      <c r="Z841" s="1">
        <v>4.7</v>
      </c>
    </row>
    <row r="842" ht="14.25" customHeight="1">
      <c r="A842" s="1" t="s">
        <v>26</v>
      </c>
      <c r="B842" s="1" t="s">
        <v>4536</v>
      </c>
      <c r="C842" s="1" t="s">
        <v>4537</v>
      </c>
      <c r="D842" s="1">
        <v>1.608861E7</v>
      </c>
      <c r="E842" s="1" t="s">
        <v>4538</v>
      </c>
      <c r="F842" s="1" t="s">
        <v>1102</v>
      </c>
      <c r="G842" s="1" t="s">
        <v>1250</v>
      </c>
      <c r="H842" s="1" t="s">
        <v>2838</v>
      </c>
      <c r="I842" s="1">
        <v>10417.0</v>
      </c>
      <c r="J842" s="1" t="s">
        <v>4539</v>
      </c>
      <c r="K842" s="1" t="s">
        <v>4540</v>
      </c>
      <c r="L842" s="1">
        <v>39.0</v>
      </c>
      <c r="M842" s="1" t="s">
        <v>35</v>
      </c>
      <c r="N842" s="1" t="s">
        <v>36</v>
      </c>
      <c r="O842" s="1" t="s">
        <v>87</v>
      </c>
      <c r="P842" s="1">
        <v>5.5E7</v>
      </c>
      <c r="Q842" s="1">
        <v>2009.0</v>
      </c>
      <c r="R842" s="1">
        <v>939.0</v>
      </c>
      <c r="S842" s="1">
        <v>605.0</v>
      </c>
      <c r="T842" s="1">
        <v>506.0</v>
      </c>
      <c r="U842" s="1">
        <v>3742.0</v>
      </c>
      <c r="V842" s="1">
        <v>11.0</v>
      </c>
      <c r="W842" s="1">
        <v>610.0</v>
      </c>
      <c r="X842" s="1">
        <v>2.0</v>
      </c>
      <c r="Y842" s="1">
        <v>2.35</v>
      </c>
      <c r="Z842" s="1">
        <v>5.6</v>
      </c>
    </row>
    <row r="843" ht="14.25" customHeight="1">
      <c r="A843" s="1" t="s">
        <v>26</v>
      </c>
      <c r="B843" s="1" t="s">
        <v>680</v>
      </c>
      <c r="C843" s="1" t="s">
        <v>4541</v>
      </c>
      <c r="D843" s="1">
        <v>5.1178893E7</v>
      </c>
      <c r="E843" s="1" t="s">
        <v>4542</v>
      </c>
      <c r="F843" s="1" t="s">
        <v>911</v>
      </c>
      <c r="G843" s="1" t="s">
        <v>4543</v>
      </c>
      <c r="H843" s="1" t="s">
        <v>4544</v>
      </c>
      <c r="I843" s="1">
        <v>24285.0</v>
      </c>
      <c r="J843" s="1" t="s">
        <v>4545</v>
      </c>
      <c r="K843" s="1" t="s">
        <v>4546</v>
      </c>
      <c r="L843" s="1">
        <v>110.0</v>
      </c>
      <c r="M843" s="1" t="s">
        <v>35</v>
      </c>
      <c r="N843" s="1" t="s">
        <v>36</v>
      </c>
      <c r="O843" s="1" t="s">
        <v>87</v>
      </c>
      <c r="P843" s="1">
        <v>5.0E7</v>
      </c>
      <c r="Q843" s="1">
        <v>2014.0</v>
      </c>
      <c r="R843" s="1">
        <v>3000.0</v>
      </c>
      <c r="S843" s="1">
        <v>2000.0</v>
      </c>
      <c r="T843" s="1">
        <v>518.0</v>
      </c>
      <c r="U843" s="1">
        <v>6089.0</v>
      </c>
      <c r="V843" s="1">
        <v>33.0</v>
      </c>
      <c r="W843" s="1">
        <v>10000.0</v>
      </c>
      <c r="X843" s="1">
        <v>4.0</v>
      </c>
      <c r="Y843" s="1">
        <v>1.85</v>
      </c>
      <c r="Z843" s="1">
        <v>6.4</v>
      </c>
    </row>
    <row r="844" ht="14.25" customHeight="1">
      <c r="A844" s="1" t="s">
        <v>26</v>
      </c>
      <c r="B844" s="1" t="s">
        <v>3204</v>
      </c>
      <c r="C844" s="1" t="s">
        <v>4547</v>
      </c>
      <c r="D844" s="1">
        <v>6768055.0</v>
      </c>
      <c r="E844" s="1" t="s">
        <v>2889</v>
      </c>
      <c r="F844" s="1" t="s">
        <v>279</v>
      </c>
      <c r="G844" s="1" t="s">
        <v>4122</v>
      </c>
      <c r="H844" s="1" t="s">
        <v>4548</v>
      </c>
      <c r="I844" s="1">
        <v>11148.0</v>
      </c>
      <c r="J844" s="1" t="s">
        <v>4549</v>
      </c>
      <c r="K844" s="1" t="s">
        <v>4550</v>
      </c>
      <c r="L844" s="1">
        <v>229.0</v>
      </c>
      <c r="M844" s="1" t="s">
        <v>35</v>
      </c>
      <c r="N844" s="1" t="s">
        <v>54</v>
      </c>
      <c r="O844" s="1" t="s">
        <v>87</v>
      </c>
      <c r="P844" s="1">
        <v>5.7E7</v>
      </c>
      <c r="Q844" s="1">
        <v>2004.0</v>
      </c>
      <c r="R844" s="1">
        <v>956.0</v>
      </c>
      <c r="S844" s="1">
        <v>579.0</v>
      </c>
      <c r="T844" s="1">
        <v>287.0</v>
      </c>
      <c r="U844" s="1">
        <v>2260.0</v>
      </c>
      <c r="V844" s="1">
        <v>906.0</v>
      </c>
      <c r="W844" s="1">
        <v>437.0</v>
      </c>
      <c r="X844" s="1">
        <v>0.0</v>
      </c>
      <c r="Y844" s="1">
        <v>1.85</v>
      </c>
      <c r="Z844" s="1">
        <v>4.2</v>
      </c>
    </row>
    <row r="845" ht="14.25" customHeight="1">
      <c r="A845" s="1" t="s">
        <v>26</v>
      </c>
      <c r="B845" s="1" t="s">
        <v>4551</v>
      </c>
      <c r="C845" s="1" t="s">
        <v>4552</v>
      </c>
      <c r="D845" s="1">
        <v>3.9440655E7</v>
      </c>
      <c r="E845" s="1" t="s">
        <v>4553</v>
      </c>
      <c r="F845" s="1" t="s">
        <v>3732</v>
      </c>
      <c r="G845" s="1" t="s">
        <v>4554</v>
      </c>
      <c r="H845" s="1" t="s">
        <v>4555</v>
      </c>
      <c r="I845" s="1">
        <v>61680.0</v>
      </c>
      <c r="J845" s="1" t="s">
        <v>4556</v>
      </c>
      <c r="K845" s="1" t="s">
        <v>4557</v>
      </c>
      <c r="L845" s="1">
        <v>222.0</v>
      </c>
      <c r="M845" s="1" t="s">
        <v>35</v>
      </c>
      <c r="N845" s="1" t="s">
        <v>36</v>
      </c>
      <c r="O845" s="1" t="s">
        <v>37</v>
      </c>
      <c r="P845" s="1">
        <v>5.5E7</v>
      </c>
      <c r="Q845" s="1">
        <v>2010.0</v>
      </c>
      <c r="R845" s="1">
        <v>2000.0</v>
      </c>
      <c r="S845" s="1">
        <v>828.0</v>
      </c>
      <c r="T845" s="1">
        <v>676.0</v>
      </c>
      <c r="U845" s="1">
        <v>4315.0</v>
      </c>
      <c r="V845" s="1">
        <v>59.0</v>
      </c>
      <c r="W845" s="1">
        <v>19000.0</v>
      </c>
      <c r="X845" s="1">
        <v>1.0</v>
      </c>
      <c r="Y845" s="1">
        <v>2.35</v>
      </c>
      <c r="Z845" s="1">
        <v>6.4</v>
      </c>
    </row>
    <row r="846" ht="14.25" customHeight="1">
      <c r="A846" s="1" t="s">
        <v>26</v>
      </c>
      <c r="B846" s="1" t="s">
        <v>3964</v>
      </c>
      <c r="C846" s="1" t="s">
        <v>4558</v>
      </c>
      <c r="D846" s="1">
        <v>6167817.0</v>
      </c>
      <c r="E846" s="1" t="s">
        <v>4559</v>
      </c>
      <c r="F846" s="1" t="s">
        <v>4560</v>
      </c>
      <c r="G846" s="1" t="s">
        <v>4561</v>
      </c>
      <c r="H846" s="1" t="s">
        <v>4562</v>
      </c>
      <c r="I846" s="1">
        <v>62607.0</v>
      </c>
      <c r="J846" s="1" t="s">
        <v>4563</v>
      </c>
      <c r="K846" s="1" t="s">
        <v>4564</v>
      </c>
      <c r="L846" s="1">
        <v>239.0</v>
      </c>
      <c r="M846" s="1" t="s">
        <v>2752</v>
      </c>
      <c r="N846" s="1" t="s">
        <v>1832</v>
      </c>
      <c r="O846" s="1" t="s">
        <v>628</v>
      </c>
      <c r="P846" s="1">
        <v>4.7E7</v>
      </c>
      <c r="Q846" s="1">
        <v>2004.0</v>
      </c>
      <c r="R846" s="1">
        <v>226.0</v>
      </c>
      <c r="S846" s="1">
        <v>52.0</v>
      </c>
      <c r="T846" s="1">
        <v>46.0</v>
      </c>
      <c r="U846" s="1">
        <v>405.0</v>
      </c>
      <c r="V846" s="1">
        <v>0.0</v>
      </c>
      <c r="W846" s="1">
        <v>0.0</v>
      </c>
      <c r="X846" s="1">
        <v>1.0</v>
      </c>
      <c r="Y846" s="1">
        <v>2.35</v>
      </c>
      <c r="Z846" s="1">
        <v>7.7</v>
      </c>
    </row>
    <row r="847" ht="14.25" customHeight="1">
      <c r="A847" s="1" t="s">
        <v>26</v>
      </c>
      <c r="B847" s="1" t="s">
        <v>370</v>
      </c>
      <c r="C847" s="1" t="s">
        <v>4565</v>
      </c>
      <c r="D847" s="1">
        <v>8.1645152E7</v>
      </c>
      <c r="E847" s="1" t="s">
        <v>2123</v>
      </c>
      <c r="F847" s="1" t="s">
        <v>4566</v>
      </c>
      <c r="G847" s="1" t="s">
        <v>201</v>
      </c>
      <c r="H847" s="1" t="s">
        <v>1169</v>
      </c>
      <c r="I847" s="1">
        <v>158267.0</v>
      </c>
      <c r="J847" s="1" t="s">
        <v>4567</v>
      </c>
      <c r="K847" s="1" t="s">
        <v>4568</v>
      </c>
      <c r="L847" s="1">
        <v>559.0</v>
      </c>
      <c r="M847" s="1" t="s">
        <v>35</v>
      </c>
      <c r="N847" s="1" t="s">
        <v>36</v>
      </c>
      <c r="O847" s="1" t="s">
        <v>628</v>
      </c>
      <c r="P847" s="1">
        <v>5.4E7</v>
      </c>
      <c r="Q847" s="1">
        <v>2002.0</v>
      </c>
      <c r="R847" s="1">
        <v>12000.0</v>
      </c>
      <c r="S847" s="1">
        <v>919.0</v>
      </c>
      <c r="T847" s="1">
        <v>845.0</v>
      </c>
      <c r="U847" s="1">
        <v>15371.0</v>
      </c>
      <c r="V847" s="1">
        <v>0.0</v>
      </c>
      <c r="W847" s="1">
        <v>0.0</v>
      </c>
      <c r="X847" s="1">
        <v>1.0</v>
      </c>
      <c r="Y847" s="1">
        <v>1.85</v>
      </c>
      <c r="Z847" s="1">
        <v>6.7</v>
      </c>
    </row>
    <row r="848" ht="14.25" customHeight="1">
      <c r="A848" s="1" t="s">
        <v>26</v>
      </c>
      <c r="B848" s="1" t="s">
        <v>4376</v>
      </c>
      <c r="C848" s="1" t="s">
        <v>4569</v>
      </c>
      <c r="D848" s="1">
        <v>6.9951824E7</v>
      </c>
      <c r="E848" s="1" t="s">
        <v>206</v>
      </c>
      <c r="F848" s="1" t="s">
        <v>158</v>
      </c>
      <c r="G848" s="1" t="s">
        <v>947</v>
      </c>
      <c r="H848" s="1" t="s">
        <v>4570</v>
      </c>
      <c r="I848" s="1">
        <v>232710.0</v>
      </c>
      <c r="J848" s="1" t="s">
        <v>4571</v>
      </c>
      <c r="K848" s="1" t="s">
        <v>4572</v>
      </c>
      <c r="L848" s="1">
        <v>599.0</v>
      </c>
      <c r="M848" s="1" t="s">
        <v>35</v>
      </c>
      <c r="N848" s="1" t="s">
        <v>36</v>
      </c>
      <c r="O848" s="1" t="s">
        <v>37</v>
      </c>
      <c r="P848" s="1">
        <v>5.5E7</v>
      </c>
      <c r="Q848" s="1">
        <v>2008.0</v>
      </c>
      <c r="R848" s="1">
        <v>10000.0</v>
      </c>
      <c r="S848" s="1">
        <v>3000.0</v>
      </c>
      <c r="T848" s="1">
        <v>835.0</v>
      </c>
      <c r="U848" s="1">
        <v>14727.0</v>
      </c>
      <c r="V848" s="1">
        <v>125.0</v>
      </c>
      <c r="W848" s="1">
        <v>26000.0</v>
      </c>
      <c r="X848" s="1">
        <v>1.0</v>
      </c>
      <c r="Y848" s="1">
        <v>2.35</v>
      </c>
      <c r="Z848" s="1">
        <v>7.7</v>
      </c>
    </row>
    <row r="849" ht="14.25" customHeight="1">
      <c r="A849" s="1" t="s">
        <v>26</v>
      </c>
      <c r="B849" s="1" t="s">
        <v>4130</v>
      </c>
      <c r="C849" s="1" t="s">
        <v>4573</v>
      </c>
      <c r="D849" s="1">
        <v>9483821.0</v>
      </c>
      <c r="E849" s="1" t="s">
        <v>57</v>
      </c>
      <c r="F849" s="1" t="s">
        <v>1702</v>
      </c>
      <c r="G849" s="1" t="s">
        <v>4574</v>
      </c>
      <c r="H849" s="1" t="s">
        <v>4575</v>
      </c>
      <c r="I849" s="1">
        <v>39247.0</v>
      </c>
      <c r="J849" s="1" t="s">
        <v>4576</v>
      </c>
      <c r="K849" s="1" t="s">
        <v>4577</v>
      </c>
      <c r="L849" s="1">
        <v>131.0</v>
      </c>
      <c r="M849" s="1" t="s">
        <v>35</v>
      </c>
      <c r="N849" s="1" t="s">
        <v>36</v>
      </c>
      <c r="O849" s="1" t="s">
        <v>628</v>
      </c>
      <c r="P849" s="1">
        <v>5.5E7</v>
      </c>
      <c r="Q849" s="1">
        <v>2012.0</v>
      </c>
      <c r="R849" s="1">
        <v>13000.0</v>
      </c>
      <c r="S849" s="1">
        <v>11000.0</v>
      </c>
      <c r="T849" s="1">
        <v>565.0</v>
      </c>
      <c r="U849" s="1">
        <v>25418.0</v>
      </c>
      <c r="V849" s="1">
        <v>394.0</v>
      </c>
      <c r="W849" s="1">
        <v>10000.0</v>
      </c>
      <c r="X849" s="1">
        <v>3.0</v>
      </c>
      <c r="Y849" s="1">
        <v>1.85</v>
      </c>
      <c r="Z849" s="1">
        <v>5.7</v>
      </c>
    </row>
    <row r="850" ht="14.25" customHeight="1">
      <c r="A850" s="1" t="s">
        <v>26</v>
      </c>
      <c r="B850" s="1" t="s">
        <v>4578</v>
      </c>
      <c r="C850" s="1" t="s">
        <v>4579</v>
      </c>
      <c r="D850" s="1">
        <v>6.6676062E7</v>
      </c>
      <c r="E850" s="1" t="s">
        <v>1854</v>
      </c>
      <c r="F850" s="1" t="s">
        <v>2292</v>
      </c>
      <c r="G850" s="1" t="s">
        <v>301</v>
      </c>
      <c r="H850" s="1" t="s">
        <v>3012</v>
      </c>
      <c r="I850" s="1">
        <v>267980.0</v>
      </c>
      <c r="J850" s="1" t="s">
        <v>4580</v>
      </c>
      <c r="K850" s="1" t="s">
        <v>4581</v>
      </c>
      <c r="L850" s="1">
        <v>545.0</v>
      </c>
      <c r="M850" s="1" t="s">
        <v>35</v>
      </c>
      <c r="N850" s="1" t="s">
        <v>36</v>
      </c>
      <c r="O850" s="1" t="s">
        <v>628</v>
      </c>
      <c r="P850" s="1">
        <v>5.4E7</v>
      </c>
      <c r="Q850" s="1">
        <v>1990.0</v>
      </c>
      <c r="R850" s="1">
        <v>14000.0</v>
      </c>
      <c r="S850" s="1">
        <v>1000.0</v>
      </c>
      <c r="T850" s="1">
        <v>889.0</v>
      </c>
      <c r="U850" s="1">
        <v>16949.0</v>
      </c>
      <c r="V850" s="1">
        <v>0.0</v>
      </c>
      <c r="W850" s="1">
        <v>0.0</v>
      </c>
      <c r="X850" s="1">
        <v>1.0</v>
      </c>
      <c r="Y850" s="1">
        <v>1.85</v>
      </c>
      <c r="Z850" s="1">
        <v>7.6</v>
      </c>
    </row>
    <row r="851" ht="14.25" customHeight="1">
      <c r="A851" s="1" t="s">
        <v>26</v>
      </c>
      <c r="B851" s="1" t="s">
        <v>3175</v>
      </c>
      <c r="C851" s="1" t="s">
        <v>4582</v>
      </c>
      <c r="D851" s="1">
        <v>2.6838389E7</v>
      </c>
      <c r="E851" s="1" t="s">
        <v>1359</v>
      </c>
      <c r="F851" s="1" t="s">
        <v>42</v>
      </c>
      <c r="G851" s="1" t="s">
        <v>76</v>
      </c>
      <c r="H851" s="1" t="s">
        <v>228</v>
      </c>
      <c r="I851" s="1">
        <v>58658.0</v>
      </c>
      <c r="J851" s="1" t="s">
        <v>4583</v>
      </c>
      <c r="K851" s="1" t="s">
        <v>4584</v>
      </c>
      <c r="L851" s="1">
        <v>495.0</v>
      </c>
      <c r="M851" s="1" t="s">
        <v>35</v>
      </c>
      <c r="N851" s="1" t="s">
        <v>36</v>
      </c>
      <c r="O851" s="1" t="s">
        <v>37</v>
      </c>
      <c r="P851" s="1">
        <v>5.7E7</v>
      </c>
      <c r="Q851" s="1">
        <v>2005.0</v>
      </c>
      <c r="R851" s="1">
        <v>5000.0</v>
      </c>
      <c r="S851" s="1">
        <v>4000.0</v>
      </c>
      <c r="T851" s="1">
        <v>2000.0</v>
      </c>
      <c r="U851" s="1">
        <v>12700.0</v>
      </c>
      <c r="V851" s="1">
        <v>488.0</v>
      </c>
      <c r="W851" s="1">
        <v>0.0</v>
      </c>
      <c r="X851" s="1">
        <v>0.0</v>
      </c>
      <c r="Y851" s="1">
        <v>1.85</v>
      </c>
      <c r="Z851" s="1">
        <v>6.4</v>
      </c>
    </row>
    <row r="852" ht="14.25" customHeight="1">
      <c r="A852" s="1" t="s">
        <v>26</v>
      </c>
      <c r="B852" s="1" t="s">
        <v>212</v>
      </c>
      <c r="C852" s="1" t="s">
        <v>4585</v>
      </c>
      <c r="D852" s="1">
        <v>7.560432E7</v>
      </c>
      <c r="E852" s="1" t="s">
        <v>1598</v>
      </c>
      <c r="F852" s="1" t="s">
        <v>4586</v>
      </c>
      <c r="G852" s="1" t="s">
        <v>4587</v>
      </c>
      <c r="H852" s="1" t="s">
        <v>4588</v>
      </c>
      <c r="I852" s="1">
        <v>68417.0</v>
      </c>
      <c r="J852" s="1" t="s">
        <v>4589</v>
      </c>
      <c r="K852" s="1" t="s">
        <v>4590</v>
      </c>
      <c r="L852" s="1">
        <v>195.0</v>
      </c>
      <c r="M852" s="1" t="s">
        <v>35</v>
      </c>
      <c r="N852" s="1" t="s">
        <v>36</v>
      </c>
      <c r="O852" s="1" t="s">
        <v>37</v>
      </c>
      <c r="P852" s="1">
        <v>5.4E7</v>
      </c>
      <c r="Q852" s="1">
        <v>2006.0</v>
      </c>
      <c r="R852" s="1">
        <v>277.0</v>
      </c>
      <c r="S852" s="1">
        <v>245.0</v>
      </c>
      <c r="T852" s="1">
        <v>240.0</v>
      </c>
      <c r="U852" s="1">
        <v>847.0</v>
      </c>
      <c r="V852" s="1">
        <v>94.0</v>
      </c>
      <c r="W852" s="1">
        <v>0.0</v>
      </c>
      <c r="X852" s="1">
        <v>1.0</v>
      </c>
      <c r="Y852" s="1">
        <v>1.85</v>
      </c>
      <c r="Z852" s="1">
        <v>5.6</v>
      </c>
    </row>
    <row r="853" ht="14.25" customHeight="1">
      <c r="A853" s="1" t="s">
        <v>26</v>
      </c>
      <c r="B853" s="1" t="s">
        <v>4591</v>
      </c>
      <c r="C853" s="1" t="s">
        <v>4592</v>
      </c>
      <c r="D853" s="1">
        <v>1.082E8</v>
      </c>
      <c r="E853" s="1" t="s">
        <v>4593</v>
      </c>
      <c r="F853" s="1" t="s">
        <v>4330</v>
      </c>
      <c r="G853" s="1" t="s">
        <v>3972</v>
      </c>
      <c r="H853" s="1" t="s">
        <v>4594</v>
      </c>
      <c r="I853" s="1">
        <v>76331.0</v>
      </c>
      <c r="J853" s="1" t="s">
        <v>4595</v>
      </c>
      <c r="K853" s="1" t="s">
        <v>4596</v>
      </c>
      <c r="L853" s="1">
        <v>269.0</v>
      </c>
      <c r="M853" s="1" t="s">
        <v>35</v>
      </c>
      <c r="N853" s="1" t="s">
        <v>36</v>
      </c>
      <c r="O853" s="1" t="s">
        <v>87</v>
      </c>
      <c r="P853" s="1">
        <v>5.4E7</v>
      </c>
      <c r="Q853" s="1">
        <v>1980.0</v>
      </c>
      <c r="R853" s="1">
        <v>593.0</v>
      </c>
      <c r="S853" s="1">
        <v>467.0</v>
      </c>
      <c r="T853" s="1">
        <v>420.0</v>
      </c>
      <c r="U853" s="1">
        <v>2908.0</v>
      </c>
      <c r="V853" s="1">
        <v>44.0</v>
      </c>
      <c r="W853" s="1">
        <v>0.0</v>
      </c>
      <c r="X853" s="1">
        <v>4.0</v>
      </c>
      <c r="Y853" s="1">
        <v>2.35</v>
      </c>
      <c r="Z853" s="1">
        <v>6.8</v>
      </c>
    </row>
    <row r="854" ht="14.25" customHeight="1">
      <c r="A854" s="1" t="s">
        <v>26</v>
      </c>
      <c r="B854" s="1" t="s">
        <v>2338</v>
      </c>
      <c r="C854" s="1" t="s">
        <v>4597</v>
      </c>
      <c r="D854" s="1">
        <v>5660084.0</v>
      </c>
      <c r="E854" s="1" t="s">
        <v>4045</v>
      </c>
      <c r="F854" s="1" t="s">
        <v>4598</v>
      </c>
      <c r="G854" s="1" t="s">
        <v>4599</v>
      </c>
      <c r="H854" s="1" t="s">
        <v>4600</v>
      </c>
      <c r="I854" s="1">
        <v>41620.0</v>
      </c>
      <c r="J854" s="1" t="s">
        <v>4601</v>
      </c>
      <c r="K854" s="1" t="s">
        <v>4602</v>
      </c>
      <c r="L854" s="1">
        <v>418.0</v>
      </c>
      <c r="M854" s="1" t="s">
        <v>35</v>
      </c>
      <c r="N854" s="1" t="s">
        <v>36</v>
      </c>
      <c r="O854" s="1" t="s">
        <v>628</v>
      </c>
      <c r="P854" s="1">
        <v>5.4E7</v>
      </c>
      <c r="Q854" s="1">
        <v>2003.0</v>
      </c>
      <c r="R854" s="1">
        <v>117.0</v>
      </c>
      <c r="S854" s="1">
        <v>62.0</v>
      </c>
      <c r="T854" s="1">
        <v>43.0</v>
      </c>
      <c r="U854" s="1">
        <v>286.0</v>
      </c>
      <c r="V854" s="1">
        <v>102.0</v>
      </c>
      <c r="W854" s="1">
        <v>2000.0</v>
      </c>
      <c r="X854" s="1">
        <v>0.0</v>
      </c>
      <c r="Y854" s="1">
        <v>2.35</v>
      </c>
      <c r="Z854" s="1">
        <v>2.4</v>
      </c>
    </row>
    <row r="855" ht="14.25" customHeight="1">
      <c r="A855" s="1" t="s">
        <v>710</v>
      </c>
      <c r="B855" s="1" t="s">
        <v>3912</v>
      </c>
      <c r="C855" s="1" t="s">
        <v>4603</v>
      </c>
      <c r="D855" s="1">
        <v>7221458.0</v>
      </c>
      <c r="E855" s="1" t="s">
        <v>3868</v>
      </c>
      <c r="F855" s="1" t="s">
        <v>208</v>
      </c>
      <c r="G855" s="1" t="s">
        <v>726</v>
      </c>
      <c r="H855" s="1" t="s">
        <v>273</v>
      </c>
      <c r="I855" s="1">
        <v>20740.0</v>
      </c>
      <c r="J855" s="1" t="s">
        <v>4604</v>
      </c>
      <c r="K855" s="1" t="s">
        <v>4605</v>
      </c>
      <c r="L855" s="1">
        <v>178.0</v>
      </c>
      <c r="M855" s="1" t="s">
        <v>35</v>
      </c>
      <c r="N855" s="1" t="s">
        <v>730</v>
      </c>
      <c r="O855" s="1" t="s">
        <v>37</v>
      </c>
      <c r="P855" s="1">
        <v>5.5E7</v>
      </c>
      <c r="Q855" s="1">
        <v>2006.0</v>
      </c>
      <c r="R855" s="1">
        <v>14000.0</v>
      </c>
      <c r="S855" s="1">
        <v>12000.0</v>
      </c>
      <c r="T855" s="1">
        <v>581.0</v>
      </c>
      <c r="U855" s="1">
        <v>27614.0</v>
      </c>
      <c r="V855" s="1">
        <v>234.0</v>
      </c>
      <c r="W855" s="1">
        <v>0.0</v>
      </c>
      <c r="X855" s="1">
        <v>0.0</v>
      </c>
      <c r="Y855" s="1">
        <v>1.85</v>
      </c>
      <c r="Z855" s="1">
        <v>6.2</v>
      </c>
    </row>
    <row r="856" ht="14.25" customHeight="1">
      <c r="A856" s="1" t="s">
        <v>26</v>
      </c>
      <c r="B856" s="1" t="s">
        <v>2793</v>
      </c>
      <c r="C856" s="1" t="s">
        <v>4606</v>
      </c>
      <c r="D856" s="1">
        <v>7.0327868E7</v>
      </c>
      <c r="E856" s="1" t="s">
        <v>326</v>
      </c>
      <c r="F856" s="1" t="s">
        <v>59</v>
      </c>
      <c r="G856" s="1" t="s">
        <v>1677</v>
      </c>
      <c r="H856" s="1" t="s">
        <v>3520</v>
      </c>
      <c r="I856" s="1">
        <v>58416.0</v>
      </c>
      <c r="J856" s="1" t="s">
        <v>4607</v>
      </c>
      <c r="K856" s="1" t="s">
        <v>4608</v>
      </c>
      <c r="L856" s="1">
        <v>301.0</v>
      </c>
      <c r="M856" s="1" t="s">
        <v>35</v>
      </c>
      <c r="N856" s="1" t="s">
        <v>730</v>
      </c>
      <c r="O856" s="1" t="s">
        <v>628</v>
      </c>
      <c r="P856" s="1">
        <v>4.6E7</v>
      </c>
      <c r="Q856" s="1">
        <v>2000.0</v>
      </c>
      <c r="R856" s="1">
        <v>23000.0</v>
      </c>
      <c r="S856" s="1">
        <v>1000.0</v>
      </c>
      <c r="T856" s="1">
        <v>577.0</v>
      </c>
      <c r="U856" s="1">
        <v>26527.0</v>
      </c>
      <c r="V856" s="1">
        <v>309.0</v>
      </c>
      <c r="W856" s="1">
        <v>0.0</v>
      </c>
      <c r="X856" s="1">
        <v>0.0</v>
      </c>
      <c r="Y856" s="1">
        <v>2.35</v>
      </c>
      <c r="Z856" s="1">
        <v>5.9</v>
      </c>
    </row>
    <row r="857" ht="14.25" customHeight="1">
      <c r="A857" s="1" t="s">
        <v>26</v>
      </c>
      <c r="B857" s="1" t="s">
        <v>2994</v>
      </c>
      <c r="C857" s="1" t="s">
        <v>4609</v>
      </c>
      <c r="D857" s="1">
        <v>5.829783E7</v>
      </c>
      <c r="E857" s="1" t="s">
        <v>4610</v>
      </c>
      <c r="F857" s="1" t="s">
        <v>76</v>
      </c>
      <c r="G857" s="1" t="s">
        <v>256</v>
      </c>
      <c r="H857" s="1" t="s">
        <v>4611</v>
      </c>
      <c r="I857" s="1">
        <v>86347.0</v>
      </c>
      <c r="J857" s="1" t="s">
        <v>4612</v>
      </c>
      <c r="K857" s="1" t="s">
        <v>4613</v>
      </c>
      <c r="L857" s="1">
        <v>191.0</v>
      </c>
      <c r="M857" s="1" t="s">
        <v>35</v>
      </c>
      <c r="N857" s="1" t="s">
        <v>36</v>
      </c>
      <c r="O857" s="1" t="s">
        <v>269</v>
      </c>
      <c r="P857" s="1">
        <v>5.0E7</v>
      </c>
      <c r="Q857" s="1">
        <v>1997.0</v>
      </c>
      <c r="R857" s="1">
        <v>4000.0</v>
      </c>
      <c r="S857" s="1">
        <v>808.0</v>
      </c>
      <c r="T857" s="1">
        <v>753.0</v>
      </c>
      <c r="U857" s="1">
        <v>6017.0</v>
      </c>
      <c r="V857" s="1">
        <v>383.0</v>
      </c>
      <c r="W857" s="1">
        <v>0.0</v>
      </c>
      <c r="X857" s="1">
        <v>1.0</v>
      </c>
      <c r="Y857" s="1">
        <v>2.35</v>
      </c>
      <c r="Z857" s="1">
        <v>7.1</v>
      </c>
    </row>
    <row r="858" ht="14.25" customHeight="1">
      <c r="A858" s="1" t="s">
        <v>710</v>
      </c>
      <c r="B858" s="1" t="s">
        <v>356</v>
      </c>
      <c r="C858" s="1" t="s">
        <v>4614</v>
      </c>
      <c r="D858" s="1">
        <v>5.7386369E7</v>
      </c>
      <c r="E858" s="1" t="s">
        <v>2707</v>
      </c>
      <c r="F858" s="1" t="s">
        <v>385</v>
      </c>
      <c r="G858" s="1" t="s">
        <v>4615</v>
      </c>
      <c r="H858" s="1" t="s">
        <v>1011</v>
      </c>
      <c r="I858" s="1">
        <v>224013.0</v>
      </c>
      <c r="J858" s="1" t="s">
        <v>4616</v>
      </c>
      <c r="K858" s="1" t="s">
        <v>4617</v>
      </c>
      <c r="L858" s="1">
        <v>2319.0</v>
      </c>
      <c r="M858" s="1" t="s">
        <v>35</v>
      </c>
      <c r="N858" s="1" t="s">
        <v>36</v>
      </c>
      <c r="O858" s="1" t="s">
        <v>37</v>
      </c>
      <c r="P858" s="1">
        <v>5.25E7</v>
      </c>
      <c r="Q858" s="1">
        <v>2001.0</v>
      </c>
      <c r="R858" s="1">
        <v>1000.0</v>
      </c>
      <c r="S858" s="1">
        <v>691.0</v>
      </c>
      <c r="T858" s="1">
        <v>653.0</v>
      </c>
      <c r="U858" s="1">
        <v>2601.0</v>
      </c>
      <c r="V858" s="1">
        <v>1000.0</v>
      </c>
      <c r="W858" s="1">
        <v>10000.0</v>
      </c>
      <c r="X858" s="1">
        <v>1.0</v>
      </c>
      <c r="Y858" s="1">
        <v>2.35</v>
      </c>
      <c r="Z858" s="1">
        <v>7.6</v>
      </c>
    </row>
    <row r="859" ht="14.25" customHeight="1">
      <c r="A859" s="1" t="s">
        <v>26</v>
      </c>
      <c r="B859" s="1" t="s">
        <v>4069</v>
      </c>
      <c r="C859" s="1" t="s">
        <v>4618</v>
      </c>
      <c r="D859" s="1">
        <v>4.5207112E7</v>
      </c>
      <c r="E859" s="1" t="s">
        <v>2130</v>
      </c>
      <c r="F859" s="1" t="s">
        <v>264</v>
      </c>
      <c r="G859" s="1" t="s">
        <v>1665</v>
      </c>
      <c r="H859" s="1" t="s">
        <v>4619</v>
      </c>
      <c r="I859" s="1">
        <v>21283.0</v>
      </c>
      <c r="J859" s="1" t="s">
        <v>4620</v>
      </c>
      <c r="K859" s="1" t="s">
        <v>4621</v>
      </c>
      <c r="L859" s="1">
        <v>190.0</v>
      </c>
      <c r="M859" s="1" t="s">
        <v>35</v>
      </c>
      <c r="N859" s="1" t="s">
        <v>36</v>
      </c>
      <c r="O859" s="1" t="s">
        <v>37</v>
      </c>
      <c r="P859" s="1">
        <v>5.3E7</v>
      </c>
      <c r="Q859" s="1">
        <v>2001.0</v>
      </c>
      <c r="R859" s="1">
        <v>12000.0</v>
      </c>
      <c r="S859" s="1">
        <v>708.0</v>
      </c>
      <c r="T859" s="1">
        <v>303.0</v>
      </c>
      <c r="U859" s="1">
        <v>13390.0</v>
      </c>
      <c r="V859" s="1">
        <v>17.0</v>
      </c>
      <c r="W859" s="1">
        <v>361.0</v>
      </c>
      <c r="X859" s="1">
        <v>1.0</v>
      </c>
      <c r="Y859" s="1">
        <v>2.35</v>
      </c>
      <c r="Z859" s="1">
        <v>5.5</v>
      </c>
    </row>
    <row r="860" ht="14.25" customHeight="1">
      <c r="A860" s="1" t="s">
        <v>26</v>
      </c>
      <c r="B860" s="1" t="s">
        <v>4622</v>
      </c>
      <c r="C860" s="1" t="s">
        <v>4623</v>
      </c>
      <c r="D860" s="1">
        <v>6.2563543E7</v>
      </c>
      <c r="E860" s="1" t="s">
        <v>1643</v>
      </c>
      <c r="F860" s="1" t="s">
        <v>41</v>
      </c>
      <c r="G860" s="1" t="s">
        <v>345</v>
      </c>
      <c r="H860" s="1" t="s">
        <v>1475</v>
      </c>
      <c r="I860" s="1">
        <v>115216.0</v>
      </c>
      <c r="J860" s="1" t="s">
        <v>4624</v>
      </c>
      <c r="K860" s="1" t="s">
        <v>4625</v>
      </c>
      <c r="L860" s="1">
        <v>289.0</v>
      </c>
      <c r="M860" s="1" t="s">
        <v>35</v>
      </c>
      <c r="N860" s="1" t="s">
        <v>36</v>
      </c>
      <c r="O860" s="1" t="s">
        <v>628</v>
      </c>
      <c r="P860" s="1">
        <v>5.3E7</v>
      </c>
      <c r="Q860" s="1">
        <v>2015.0</v>
      </c>
      <c r="R860" s="1">
        <v>40000.0</v>
      </c>
      <c r="S860" s="1">
        <v>19000.0</v>
      </c>
      <c r="T860" s="1">
        <v>3000.0</v>
      </c>
      <c r="U860" s="1">
        <v>63769.0</v>
      </c>
      <c r="V860" s="1">
        <v>108.0</v>
      </c>
      <c r="W860" s="1">
        <v>44000.0</v>
      </c>
      <c r="X860" s="1">
        <v>7.0</v>
      </c>
      <c r="Y860" s="1">
        <v>2.35</v>
      </c>
      <c r="Z860" s="1">
        <v>7.0</v>
      </c>
    </row>
    <row r="861" ht="14.25" customHeight="1">
      <c r="A861" s="1" t="s">
        <v>26</v>
      </c>
      <c r="B861" s="1" t="s">
        <v>3503</v>
      </c>
      <c r="C861" s="1" t="s">
        <v>4626</v>
      </c>
      <c r="D861" s="1">
        <v>3.3574332E7</v>
      </c>
      <c r="E861" s="1" t="s">
        <v>1880</v>
      </c>
      <c r="F861" s="1" t="s">
        <v>328</v>
      </c>
      <c r="G861" s="1" t="s">
        <v>582</v>
      </c>
      <c r="H861" s="1" t="s">
        <v>417</v>
      </c>
      <c r="I861" s="1">
        <v>101221.0</v>
      </c>
      <c r="J861" s="1" t="s">
        <v>4627</v>
      </c>
      <c r="K861" s="1" t="s">
        <v>4628</v>
      </c>
      <c r="L861" s="1">
        <v>415.0</v>
      </c>
      <c r="M861" s="1" t="s">
        <v>35</v>
      </c>
      <c r="N861" s="1" t="s">
        <v>36</v>
      </c>
      <c r="O861" s="1" t="s">
        <v>628</v>
      </c>
      <c r="P861" s="1">
        <v>9.0E7</v>
      </c>
      <c r="Q861" s="1">
        <v>2006.0</v>
      </c>
      <c r="R861" s="1">
        <v>23000.0</v>
      </c>
      <c r="S861" s="1">
        <v>638.0</v>
      </c>
      <c r="T861" s="1">
        <v>310.0</v>
      </c>
      <c r="U861" s="1">
        <v>24468.0</v>
      </c>
      <c r="V861" s="1">
        <v>16000.0</v>
      </c>
      <c r="W861" s="1">
        <v>0.0</v>
      </c>
      <c r="X861" s="1">
        <v>0.0</v>
      </c>
      <c r="Y861" s="1">
        <v>2.35</v>
      </c>
      <c r="Z861" s="1">
        <v>7.1</v>
      </c>
    </row>
    <row r="862" ht="14.25" customHeight="1">
      <c r="A862" s="1" t="s">
        <v>26</v>
      </c>
      <c r="B862" s="1" t="s">
        <v>2928</v>
      </c>
      <c r="C862" s="1" t="s">
        <v>4629</v>
      </c>
      <c r="D862" s="1">
        <v>7.3343413E7</v>
      </c>
      <c r="E862" s="1" t="s">
        <v>2045</v>
      </c>
      <c r="F862" s="1" t="s">
        <v>616</v>
      </c>
      <c r="G862" s="1" t="s">
        <v>2600</v>
      </c>
      <c r="H862" s="1" t="s">
        <v>2893</v>
      </c>
      <c r="I862" s="1">
        <v>217480.0</v>
      </c>
      <c r="J862" s="1" t="s">
        <v>4630</v>
      </c>
      <c r="K862" s="1" t="s">
        <v>4631</v>
      </c>
      <c r="L862" s="1">
        <v>429.0</v>
      </c>
      <c r="M862" s="1" t="s">
        <v>35</v>
      </c>
      <c r="N862" s="1" t="s">
        <v>36</v>
      </c>
      <c r="O862" s="1" t="s">
        <v>628</v>
      </c>
      <c r="P862" s="1">
        <v>5.0E7</v>
      </c>
      <c r="Q862" s="1">
        <v>2009.0</v>
      </c>
      <c r="R862" s="1">
        <v>18000.0</v>
      </c>
      <c r="S862" s="1">
        <v>1000.0</v>
      </c>
      <c r="T862" s="1">
        <v>963.0</v>
      </c>
      <c r="U862" s="1">
        <v>22517.0</v>
      </c>
      <c r="V862" s="1">
        <v>473.0</v>
      </c>
      <c r="W862" s="1">
        <v>21000.0</v>
      </c>
      <c r="X862" s="1">
        <v>0.0</v>
      </c>
      <c r="Y862" s="1">
        <v>2.35</v>
      </c>
      <c r="Z862" s="1">
        <v>7.4</v>
      </c>
    </row>
    <row r="863" ht="14.25" customHeight="1">
      <c r="A863" s="1" t="s">
        <v>26</v>
      </c>
      <c r="B863" s="1" t="s">
        <v>4632</v>
      </c>
      <c r="C863" s="1" t="s">
        <v>4633</v>
      </c>
      <c r="D863" s="1">
        <v>2.5031037E7</v>
      </c>
      <c r="E863" s="1" t="s">
        <v>4634</v>
      </c>
      <c r="F863" s="1" t="s">
        <v>1681</v>
      </c>
      <c r="G863" s="1" t="s">
        <v>947</v>
      </c>
      <c r="H863" s="1" t="s">
        <v>1373</v>
      </c>
      <c r="I863" s="1">
        <v>155496.0</v>
      </c>
      <c r="J863" s="1" t="s">
        <v>4635</v>
      </c>
      <c r="K863" s="1" t="s">
        <v>4636</v>
      </c>
      <c r="L863" s="1">
        <v>532.0</v>
      </c>
      <c r="M863" s="1" t="s">
        <v>35</v>
      </c>
      <c r="N863" s="1" t="s">
        <v>36</v>
      </c>
      <c r="O863" s="1" t="s">
        <v>628</v>
      </c>
      <c r="P863" s="1">
        <v>5.3E7</v>
      </c>
      <c r="Q863" s="1">
        <v>2007.0</v>
      </c>
      <c r="R863" s="1">
        <v>16000.0</v>
      </c>
      <c r="S863" s="1">
        <v>3000.0</v>
      </c>
      <c r="T863" s="1">
        <v>1000.0</v>
      </c>
      <c r="U863" s="1">
        <v>22186.0</v>
      </c>
      <c r="V863" s="1">
        <v>0.0</v>
      </c>
      <c r="W863" s="1">
        <v>0.0</v>
      </c>
      <c r="X863" s="1">
        <v>0.0</v>
      </c>
      <c r="Y863" s="1">
        <v>2.35</v>
      </c>
      <c r="Z863" s="1">
        <v>7.6</v>
      </c>
    </row>
    <row r="864" ht="14.25" customHeight="1">
      <c r="A864" s="1" t="s">
        <v>26</v>
      </c>
      <c r="B864" s="1" t="s">
        <v>2610</v>
      </c>
      <c r="C864" s="1" t="s">
        <v>4637</v>
      </c>
      <c r="D864" s="1">
        <v>2.2843047E7</v>
      </c>
      <c r="E864" s="1" t="s">
        <v>4638</v>
      </c>
      <c r="F864" s="1" t="s">
        <v>866</v>
      </c>
      <c r="G864" s="1" t="s">
        <v>4639</v>
      </c>
      <c r="H864" s="1" t="s">
        <v>4640</v>
      </c>
      <c r="I864" s="1">
        <v>6082.0</v>
      </c>
      <c r="J864" s="1" t="s">
        <v>4641</v>
      </c>
      <c r="K864" s="1" t="s">
        <v>4642</v>
      </c>
      <c r="L864" s="1">
        <v>207.0</v>
      </c>
      <c r="M864" s="1" t="s">
        <v>35</v>
      </c>
      <c r="N864" s="1" t="s">
        <v>36</v>
      </c>
      <c r="O864" s="1" t="s">
        <v>628</v>
      </c>
      <c r="P864" s="1">
        <v>5.5E7</v>
      </c>
      <c r="Q864" s="1">
        <v>1998.0</v>
      </c>
      <c r="R864" s="1">
        <v>852.0</v>
      </c>
      <c r="S864" s="1">
        <v>637.0</v>
      </c>
      <c r="T864" s="1">
        <v>466.0</v>
      </c>
      <c r="U864" s="1">
        <v>2397.0</v>
      </c>
      <c r="V864" s="1">
        <v>438.0</v>
      </c>
      <c r="W864" s="1">
        <v>853.0</v>
      </c>
      <c r="X864" s="1">
        <v>1.0</v>
      </c>
      <c r="Y864" s="1">
        <v>1.85</v>
      </c>
      <c r="Z864" s="1">
        <v>5.9</v>
      </c>
    </row>
    <row r="865" ht="14.25" customHeight="1">
      <c r="A865" s="1" t="s">
        <v>26</v>
      </c>
      <c r="B865" s="1" t="s">
        <v>4643</v>
      </c>
      <c r="C865" s="1" t="s">
        <v>4644</v>
      </c>
      <c r="D865" s="1">
        <v>5755286.0</v>
      </c>
      <c r="E865" s="1" t="s">
        <v>4645</v>
      </c>
      <c r="F865" s="1" t="s">
        <v>91</v>
      </c>
      <c r="G865" s="1" t="s">
        <v>1606</v>
      </c>
      <c r="H865" s="1" t="s">
        <v>4646</v>
      </c>
      <c r="I865" s="1">
        <v>18310.0</v>
      </c>
      <c r="J865" s="1" t="s">
        <v>4647</v>
      </c>
      <c r="K865" s="1" t="s">
        <v>4648</v>
      </c>
      <c r="L865" s="1">
        <v>63.0</v>
      </c>
      <c r="M865" s="1" t="s">
        <v>35</v>
      </c>
      <c r="N865" s="1" t="s">
        <v>36</v>
      </c>
      <c r="O865" s="1" t="s">
        <v>37</v>
      </c>
      <c r="P865" s="1">
        <v>5.5E7</v>
      </c>
      <c r="Q865" s="1">
        <v>2007.0</v>
      </c>
      <c r="R865" s="1">
        <v>21000.0</v>
      </c>
      <c r="S865" s="1">
        <v>3000.0</v>
      </c>
      <c r="T865" s="1">
        <v>681.0</v>
      </c>
      <c r="U865" s="1">
        <v>26334.0</v>
      </c>
      <c r="V865" s="1">
        <v>161.0</v>
      </c>
      <c r="W865" s="1">
        <v>672.0</v>
      </c>
      <c r="X865" s="1">
        <v>1.0</v>
      </c>
      <c r="Y865" s="1">
        <v>2.35</v>
      </c>
      <c r="Z865" s="1">
        <v>5.9</v>
      </c>
    </row>
    <row r="866" ht="14.25" customHeight="1">
      <c r="A866" s="1" t="s">
        <v>26</v>
      </c>
      <c r="B866" s="1" t="s">
        <v>381</v>
      </c>
      <c r="C866" s="1" t="s">
        <v>4649</v>
      </c>
      <c r="D866" s="1">
        <v>1.64435221E8</v>
      </c>
      <c r="E866" s="1" t="s">
        <v>1643</v>
      </c>
      <c r="F866" s="1" t="s">
        <v>207</v>
      </c>
      <c r="G866" s="1" t="s">
        <v>314</v>
      </c>
      <c r="H866" s="1" t="s">
        <v>713</v>
      </c>
      <c r="I866" s="1">
        <v>525801.0</v>
      </c>
      <c r="J866" s="1" t="s">
        <v>4650</v>
      </c>
      <c r="K866" s="1" t="s">
        <v>4651</v>
      </c>
      <c r="L866" s="1">
        <v>667.0</v>
      </c>
      <c r="M866" s="1" t="s">
        <v>35</v>
      </c>
      <c r="N866" s="1" t="s">
        <v>36</v>
      </c>
      <c r="O866" s="1" t="s">
        <v>37</v>
      </c>
      <c r="P866" s="1">
        <v>5.2E7</v>
      </c>
      <c r="Q866" s="1">
        <v>2002.0</v>
      </c>
      <c r="R866" s="1">
        <v>29000.0</v>
      </c>
      <c r="S866" s="1">
        <v>15000.0</v>
      </c>
      <c r="T866" s="1">
        <v>3000.0</v>
      </c>
      <c r="U866" s="1">
        <v>48153.0</v>
      </c>
      <c r="V866" s="1">
        <v>14000.0</v>
      </c>
      <c r="W866" s="1">
        <v>15000.0</v>
      </c>
      <c r="X866" s="1">
        <v>0.0</v>
      </c>
      <c r="Y866" s="1">
        <v>1.85</v>
      </c>
      <c r="Z866" s="1">
        <v>8.0</v>
      </c>
    </row>
    <row r="867" ht="14.25" customHeight="1">
      <c r="A867" s="1" t="s">
        <v>26</v>
      </c>
      <c r="B867" s="1" t="s">
        <v>2186</v>
      </c>
      <c r="C867" s="1" t="s">
        <v>4652</v>
      </c>
      <c r="D867" s="1">
        <v>9.5720716E7</v>
      </c>
      <c r="E867" s="1" t="s">
        <v>2676</v>
      </c>
      <c r="F867" s="1" t="s">
        <v>1347</v>
      </c>
      <c r="G867" s="1" t="s">
        <v>4653</v>
      </c>
      <c r="H867" s="1" t="s">
        <v>4654</v>
      </c>
      <c r="I867" s="1">
        <v>216032.0</v>
      </c>
      <c r="J867" s="1" t="s">
        <v>4655</v>
      </c>
      <c r="K867" s="1" t="s">
        <v>4656</v>
      </c>
      <c r="L867" s="1">
        <v>640.0</v>
      </c>
      <c r="M867" s="1" t="s">
        <v>35</v>
      </c>
      <c r="N867" s="1" t="s">
        <v>36</v>
      </c>
      <c r="O867" s="1" t="s">
        <v>628</v>
      </c>
      <c r="P867" s="1">
        <v>4.0E7</v>
      </c>
      <c r="Q867" s="1">
        <v>2012.0</v>
      </c>
      <c r="R867" s="1">
        <v>1000.0</v>
      </c>
      <c r="S867" s="1">
        <v>1000.0</v>
      </c>
      <c r="T867" s="1">
        <v>304.0</v>
      </c>
      <c r="U867" s="1">
        <v>2759.0</v>
      </c>
      <c r="V867" s="1">
        <v>0.0</v>
      </c>
      <c r="W867" s="1">
        <v>39000.0</v>
      </c>
      <c r="X867" s="1">
        <v>0.0</v>
      </c>
      <c r="Y867" s="1">
        <v>1.85</v>
      </c>
      <c r="Z867" s="1">
        <v>7.4</v>
      </c>
    </row>
    <row r="868" ht="14.25" customHeight="1">
      <c r="A868" s="1" t="s">
        <v>26</v>
      </c>
      <c r="B868" s="1" t="s">
        <v>1120</v>
      </c>
      <c r="C868" s="1" t="s">
        <v>4657</v>
      </c>
      <c r="D868" s="1">
        <v>1.18683135E8</v>
      </c>
      <c r="E868" s="1" t="s">
        <v>1359</v>
      </c>
      <c r="F868" s="1" t="s">
        <v>243</v>
      </c>
      <c r="G868" s="1" t="s">
        <v>973</v>
      </c>
      <c r="H868" s="1" t="s">
        <v>4658</v>
      </c>
      <c r="I868" s="1">
        <v>102167.0</v>
      </c>
      <c r="J868" s="1" t="s">
        <v>4659</v>
      </c>
      <c r="K868" s="1" t="s">
        <v>4660</v>
      </c>
      <c r="L868" s="1">
        <v>483.0</v>
      </c>
      <c r="M868" s="1" t="s">
        <v>35</v>
      </c>
      <c r="N868" s="1" t="s">
        <v>36</v>
      </c>
      <c r="O868" s="1" t="s">
        <v>37</v>
      </c>
      <c r="P868" s="1">
        <v>5.2E7</v>
      </c>
      <c r="Q868" s="1">
        <v>2006.0</v>
      </c>
      <c r="R868" s="1">
        <v>4000.0</v>
      </c>
      <c r="S868" s="1">
        <v>957.0</v>
      </c>
      <c r="T868" s="1">
        <v>931.0</v>
      </c>
      <c r="U868" s="1">
        <v>8315.0</v>
      </c>
      <c r="V868" s="1">
        <v>235.0</v>
      </c>
      <c r="W868" s="1">
        <v>0.0</v>
      </c>
      <c r="X868" s="1">
        <v>1.0</v>
      </c>
      <c r="Y868" s="1">
        <v>1.85</v>
      </c>
      <c r="Z868" s="1">
        <v>5.8</v>
      </c>
    </row>
    <row r="869" ht="14.25" customHeight="1">
      <c r="A869" s="1" t="s">
        <v>26</v>
      </c>
      <c r="B869" s="1" t="s">
        <v>4661</v>
      </c>
      <c r="C869" s="1" t="s">
        <v>4662</v>
      </c>
      <c r="D869" s="1">
        <v>1.4370421E8</v>
      </c>
      <c r="E869" s="1" t="s">
        <v>4663</v>
      </c>
      <c r="F869" s="1" t="s">
        <v>424</v>
      </c>
      <c r="G869" s="1" t="s">
        <v>2286</v>
      </c>
      <c r="H869" s="1" t="s">
        <v>391</v>
      </c>
      <c r="I869" s="1">
        <v>145974.0</v>
      </c>
      <c r="J869" s="1" t="s">
        <v>4664</v>
      </c>
      <c r="K869" s="1" t="s">
        <v>4665</v>
      </c>
      <c r="L869" s="1">
        <v>611.0</v>
      </c>
      <c r="M869" s="1" t="s">
        <v>35</v>
      </c>
      <c r="N869" s="1" t="s">
        <v>36</v>
      </c>
      <c r="O869" s="1" t="s">
        <v>37</v>
      </c>
      <c r="P869" s="1">
        <v>5.2E7</v>
      </c>
      <c r="Q869" s="1">
        <v>2008.0</v>
      </c>
      <c r="R869" s="1">
        <v>14000.0</v>
      </c>
      <c r="S869" s="1">
        <v>11000.0</v>
      </c>
      <c r="T869" s="1">
        <v>838.0</v>
      </c>
      <c r="U869" s="1">
        <v>26002.0</v>
      </c>
      <c r="V869" s="1">
        <v>58.0</v>
      </c>
      <c r="W869" s="1">
        <v>10000.0</v>
      </c>
      <c r="X869" s="1">
        <v>1.0</v>
      </c>
      <c r="Y869" s="1">
        <v>2.35</v>
      </c>
      <c r="Z869" s="1">
        <v>6.3</v>
      </c>
    </row>
    <row r="870" ht="14.25" customHeight="1">
      <c r="A870" s="1" t="s">
        <v>26</v>
      </c>
      <c r="B870" s="1" t="s">
        <v>3138</v>
      </c>
      <c r="C870" s="1" t="s">
        <v>4666</v>
      </c>
      <c r="D870" s="1">
        <v>1.10476776E8</v>
      </c>
      <c r="E870" s="1" t="s">
        <v>1598</v>
      </c>
      <c r="F870" s="1" t="s">
        <v>631</v>
      </c>
      <c r="G870" s="1" t="s">
        <v>1070</v>
      </c>
      <c r="H870" s="1" t="s">
        <v>249</v>
      </c>
      <c r="I870" s="1">
        <v>95437.0</v>
      </c>
      <c r="J870" s="1" t="s">
        <v>4667</v>
      </c>
      <c r="K870" s="1" t="s">
        <v>4668</v>
      </c>
      <c r="L870" s="1">
        <v>211.0</v>
      </c>
      <c r="M870" s="1" t="s">
        <v>35</v>
      </c>
      <c r="N870" s="1" t="s">
        <v>36</v>
      </c>
      <c r="O870" s="1" t="s">
        <v>37</v>
      </c>
      <c r="P870" s="1">
        <v>5.2E7</v>
      </c>
      <c r="Q870" s="1">
        <v>2010.0</v>
      </c>
      <c r="R870" s="1">
        <v>14000.0</v>
      </c>
      <c r="S870" s="1">
        <v>12000.0</v>
      </c>
      <c r="T870" s="1">
        <v>11000.0</v>
      </c>
      <c r="U870" s="1">
        <v>45696.0</v>
      </c>
      <c r="V870" s="1">
        <v>0.0</v>
      </c>
      <c r="W870" s="1">
        <v>9000.0</v>
      </c>
      <c r="X870" s="1">
        <v>12.0</v>
      </c>
      <c r="Y870" s="1">
        <v>1.85</v>
      </c>
      <c r="Z870" s="1">
        <v>5.7</v>
      </c>
    </row>
    <row r="871" ht="14.25" customHeight="1">
      <c r="A871" s="1" t="s">
        <v>26</v>
      </c>
      <c r="B871" s="1" t="s">
        <v>4669</v>
      </c>
      <c r="C871" s="1" t="s">
        <v>4670</v>
      </c>
      <c r="D871" s="1">
        <v>8.0270227E7</v>
      </c>
      <c r="E871" s="1" t="s">
        <v>1551</v>
      </c>
      <c r="F871" s="1" t="s">
        <v>4671</v>
      </c>
      <c r="G871" s="1" t="s">
        <v>4672</v>
      </c>
      <c r="H871" s="1" t="s">
        <v>4673</v>
      </c>
      <c r="I871" s="1">
        <v>66382.0</v>
      </c>
      <c r="J871" s="1" t="s">
        <v>4674</v>
      </c>
      <c r="K871" s="1" t="s">
        <v>4675</v>
      </c>
      <c r="L871" s="1">
        <v>612.0</v>
      </c>
      <c r="M871" s="1" t="s">
        <v>35</v>
      </c>
      <c r="N871" s="1" t="s">
        <v>36</v>
      </c>
      <c r="O871" s="1" t="s">
        <v>37</v>
      </c>
      <c r="P871" s="1">
        <v>5.0E7</v>
      </c>
      <c r="Q871" s="1">
        <v>2005.0</v>
      </c>
      <c r="R871" s="1">
        <v>631.0</v>
      </c>
      <c r="S871" s="1">
        <v>534.0</v>
      </c>
      <c r="T871" s="1">
        <v>379.0</v>
      </c>
      <c r="U871" s="1">
        <v>2297.0</v>
      </c>
      <c r="V871" s="1">
        <v>422.0</v>
      </c>
      <c r="W871" s="1">
        <v>0.0</v>
      </c>
      <c r="X871" s="1">
        <v>5.0</v>
      </c>
      <c r="Y871" s="1">
        <v>2.35</v>
      </c>
      <c r="Z871" s="1">
        <v>5.1</v>
      </c>
    </row>
    <row r="872" ht="14.25" customHeight="1">
      <c r="A872" s="1" t="s">
        <v>26</v>
      </c>
      <c r="B872" s="1" t="s">
        <v>4676</v>
      </c>
      <c r="C872" s="1" t="s">
        <v>4677</v>
      </c>
      <c r="D872" s="1">
        <v>3.6385763E7</v>
      </c>
      <c r="E872" s="1" t="s">
        <v>3225</v>
      </c>
      <c r="F872" s="1" t="s">
        <v>624</v>
      </c>
      <c r="G872" s="1" t="s">
        <v>2015</v>
      </c>
      <c r="H872" s="1" t="s">
        <v>4678</v>
      </c>
      <c r="I872" s="1">
        <v>138941.0</v>
      </c>
      <c r="J872" s="1" t="s">
        <v>4679</v>
      </c>
      <c r="K872" s="1" t="s">
        <v>4680</v>
      </c>
      <c r="L872" s="1">
        <v>1448.0</v>
      </c>
      <c r="M872" s="1" t="s">
        <v>35</v>
      </c>
      <c r="N872" s="1" t="s">
        <v>36</v>
      </c>
      <c r="O872" s="1" t="s">
        <v>628</v>
      </c>
      <c r="P872" s="1">
        <v>5.2E7</v>
      </c>
      <c r="Q872" s="1">
        <v>1998.0</v>
      </c>
      <c r="R872" s="1">
        <v>648.0</v>
      </c>
      <c r="S872" s="1">
        <v>568.0</v>
      </c>
      <c r="T872" s="1">
        <v>463.0</v>
      </c>
      <c r="U872" s="1">
        <v>1937.0</v>
      </c>
      <c r="V872" s="1">
        <v>0.0</v>
      </c>
      <c r="W872" s="1">
        <v>0.0</v>
      </c>
      <c r="X872" s="1">
        <v>0.0</v>
      </c>
      <c r="Y872" s="1">
        <v>2.35</v>
      </c>
      <c r="Z872" s="1">
        <v>7.6</v>
      </c>
    </row>
    <row r="873" ht="14.25" customHeight="1">
      <c r="A873" s="1" t="s">
        <v>26</v>
      </c>
      <c r="B873" s="1" t="s">
        <v>4681</v>
      </c>
      <c r="C873" s="1" t="s">
        <v>4682</v>
      </c>
      <c r="D873" s="1">
        <v>3.7035845E7</v>
      </c>
      <c r="E873" s="1" t="s">
        <v>2657</v>
      </c>
      <c r="F873" s="1" t="s">
        <v>307</v>
      </c>
      <c r="G873" s="1" t="s">
        <v>294</v>
      </c>
      <c r="H873" s="1" t="s">
        <v>4683</v>
      </c>
      <c r="I873" s="1">
        <v>136680.0</v>
      </c>
      <c r="J873" s="1" t="s">
        <v>4684</v>
      </c>
      <c r="K873" s="1" t="s">
        <v>4685</v>
      </c>
      <c r="L873" s="1">
        <v>149.0</v>
      </c>
      <c r="M873" s="1" t="s">
        <v>35</v>
      </c>
      <c r="N873" s="1" t="s">
        <v>36</v>
      </c>
      <c r="O873" s="1" t="s">
        <v>628</v>
      </c>
      <c r="P873" s="1">
        <v>5.2E7</v>
      </c>
      <c r="Q873" s="1">
        <v>2011.0</v>
      </c>
      <c r="R873" s="1">
        <v>16000.0</v>
      </c>
      <c r="S873" s="1">
        <v>10000.0</v>
      </c>
      <c r="T873" s="1">
        <v>634.0</v>
      </c>
      <c r="U873" s="1">
        <v>28045.0</v>
      </c>
      <c r="V873" s="1">
        <v>71.0</v>
      </c>
      <c r="W873" s="1">
        <v>13000.0</v>
      </c>
      <c r="X873" s="1">
        <v>2.0</v>
      </c>
      <c r="Y873" s="1">
        <v>2.35</v>
      </c>
      <c r="Z873" s="1">
        <v>6.4</v>
      </c>
    </row>
    <row r="874" ht="14.25" customHeight="1">
      <c r="A874" s="1" t="s">
        <v>26</v>
      </c>
      <c r="B874" s="1" t="s">
        <v>4686</v>
      </c>
      <c r="C874" s="1" t="s">
        <v>4687</v>
      </c>
      <c r="D874" s="1">
        <v>3.4580635E7</v>
      </c>
      <c r="E874" s="1" t="s">
        <v>3956</v>
      </c>
      <c r="F874" s="1" t="s">
        <v>4688</v>
      </c>
      <c r="G874" s="1" t="s">
        <v>4689</v>
      </c>
      <c r="H874" s="1" t="s">
        <v>4690</v>
      </c>
      <c r="I874" s="1">
        <v>100743.0</v>
      </c>
      <c r="J874" s="1" t="s">
        <v>4691</v>
      </c>
      <c r="K874" s="1" t="s">
        <v>4692</v>
      </c>
      <c r="L874" s="1">
        <v>549.0</v>
      </c>
      <c r="M874" s="1" t="s">
        <v>35</v>
      </c>
      <c r="N874" s="1" t="s">
        <v>54</v>
      </c>
      <c r="O874" s="1" t="s">
        <v>628</v>
      </c>
      <c r="P874" s="1">
        <v>5.2E7</v>
      </c>
      <c r="Q874" s="1">
        <v>1999.0</v>
      </c>
      <c r="R874" s="1">
        <v>134.0</v>
      </c>
      <c r="S874" s="1">
        <v>27.0</v>
      </c>
      <c r="T874" s="1">
        <v>21.0</v>
      </c>
      <c r="U874" s="1">
        <v>209.0</v>
      </c>
      <c r="V874" s="1">
        <v>869.0</v>
      </c>
      <c r="W874" s="1">
        <v>0.0</v>
      </c>
      <c r="X874" s="1">
        <v>1.0</v>
      </c>
      <c r="Y874" s="1">
        <v>2.35</v>
      </c>
      <c r="Z874" s="1">
        <v>7.4</v>
      </c>
    </row>
    <row r="875" ht="14.25" customHeight="1">
      <c r="A875" s="1" t="s">
        <v>26</v>
      </c>
      <c r="B875" s="1" t="s">
        <v>472</v>
      </c>
      <c r="C875" s="1" t="s">
        <v>4693</v>
      </c>
      <c r="D875" s="1">
        <v>4.24383E7</v>
      </c>
      <c r="E875" s="1" t="s">
        <v>1643</v>
      </c>
      <c r="F875" s="1" t="s">
        <v>1663</v>
      </c>
      <c r="G875" s="1" t="s">
        <v>316</v>
      </c>
      <c r="H875" s="1" t="s">
        <v>3070</v>
      </c>
      <c r="I875" s="1">
        <v>333542.0</v>
      </c>
      <c r="J875" s="1" t="s">
        <v>4694</v>
      </c>
      <c r="K875" s="1" t="s">
        <v>4695</v>
      </c>
      <c r="L875" s="1">
        <v>533.0</v>
      </c>
      <c r="M875" s="1" t="s">
        <v>35</v>
      </c>
      <c r="N875" s="1" t="s">
        <v>36</v>
      </c>
      <c r="O875" s="1" t="s">
        <v>628</v>
      </c>
      <c r="P875" s="1">
        <v>5.2E7</v>
      </c>
      <c r="Q875" s="1">
        <v>1995.0</v>
      </c>
      <c r="R875" s="1">
        <v>22000.0</v>
      </c>
      <c r="S875" s="1">
        <v>721.0</v>
      </c>
      <c r="T875" s="1">
        <v>574.0</v>
      </c>
      <c r="U875" s="1">
        <v>24183.0</v>
      </c>
      <c r="V875" s="1">
        <v>17000.0</v>
      </c>
      <c r="W875" s="1">
        <v>11000.0</v>
      </c>
      <c r="X875" s="1">
        <v>2.0</v>
      </c>
      <c r="Y875" s="1">
        <v>2.35</v>
      </c>
      <c r="Z875" s="1">
        <v>8.2</v>
      </c>
    </row>
    <row r="876" ht="14.25" customHeight="1">
      <c r="A876" s="1" t="s">
        <v>26</v>
      </c>
      <c r="B876" s="1" t="s">
        <v>4696</v>
      </c>
      <c r="C876" s="1" t="s">
        <v>4697</v>
      </c>
      <c r="D876" s="1">
        <v>2.3324666E7</v>
      </c>
      <c r="E876" s="1" t="s">
        <v>57</v>
      </c>
      <c r="F876" s="1" t="s">
        <v>4698</v>
      </c>
      <c r="G876" s="1" t="s">
        <v>4699</v>
      </c>
      <c r="H876" s="1" t="s">
        <v>4700</v>
      </c>
      <c r="I876" s="1">
        <v>97775.0</v>
      </c>
      <c r="J876" s="1" t="s">
        <v>4701</v>
      </c>
      <c r="K876" s="1" t="s">
        <v>4702</v>
      </c>
      <c r="L876" s="1">
        <v>211.0</v>
      </c>
      <c r="M876" s="1" t="s">
        <v>35</v>
      </c>
      <c r="N876" s="1" t="s">
        <v>1832</v>
      </c>
      <c r="O876" s="1" t="s">
        <v>628</v>
      </c>
      <c r="P876" s="1">
        <v>5.2E7</v>
      </c>
      <c r="Q876" s="1">
        <v>2010.0</v>
      </c>
      <c r="R876" s="1">
        <v>211.0</v>
      </c>
      <c r="S876" s="1">
        <v>135.0</v>
      </c>
      <c r="T876" s="1">
        <v>75.0</v>
      </c>
      <c r="U876" s="1">
        <v>488.0</v>
      </c>
      <c r="V876" s="1">
        <v>180.0</v>
      </c>
      <c r="W876" s="1">
        <v>0.0</v>
      </c>
      <c r="X876" s="1">
        <v>1.0</v>
      </c>
      <c r="Y876" s="1">
        <v>2.35</v>
      </c>
      <c r="Z876" s="1">
        <v>6.5</v>
      </c>
    </row>
    <row r="877" ht="14.25" customHeight="1">
      <c r="A877" s="1" t="s">
        <v>26</v>
      </c>
      <c r="B877" s="1" t="s">
        <v>4703</v>
      </c>
      <c r="C877" s="1" t="s">
        <v>4704</v>
      </c>
      <c r="D877" s="1">
        <v>2.3020488E7</v>
      </c>
      <c r="E877" s="1" t="s">
        <v>1207</v>
      </c>
      <c r="F877" s="1" t="s">
        <v>714</v>
      </c>
      <c r="G877" s="1" t="s">
        <v>715</v>
      </c>
      <c r="H877" s="1" t="s">
        <v>4705</v>
      </c>
      <c r="I877" s="1">
        <v>42324.0</v>
      </c>
      <c r="J877" s="1" t="s">
        <v>4706</v>
      </c>
      <c r="K877" s="1" t="s">
        <v>4707</v>
      </c>
      <c r="L877" s="1">
        <v>180.0</v>
      </c>
      <c r="M877" s="1" t="s">
        <v>35</v>
      </c>
      <c r="N877" s="1" t="s">
        <v>36</v>
      </c>
      <c r="O877" s="1" t="s">
        <v>37</v>
      </c>
      <c r="P877" s="1">
        <v>5.2E7</v>
      </c>
      <c r="Q877" s="1">
        <v>2003.0</v>
      </c>
      <c r="R877" s="1">
        <v>961.0</v>
      </c>
      <c r="S877" s="1">
        <v>691.0</v>
      </c>
      <c r="T877" s="1">
        <v>343.0</v>
      </c>
      <c r="U877" s="1">
        <v>2422.0</v>
      </c>
      <c r="V877" s="1">
        <v>13.0</v>
      </c>
      <c r="W877" s="1">
        <v>846.0</v>
      </c>
      <c r="X877" s="1">
        <v>3.0</v>
      </c>
      <c r="Y877" s="1">
        <v>2.35</v>
      </c>
      <c r="Z877" s="1">
        <v>5.5</v>
      </c>
    </row>
    <row r="878" ht="14.25" customHeight="1">
      <c r="A878" s="1" t="s">
        <v>26</v>
      </c>
      <c r="B878" s="1" t="s">
        <v>3322</v>
      </c>
      <c r="C878" s="1" t="s">
        <v>4708</v>
      </c>
      <c r="D878" s="1">
        <v>9.0567722E7</v>
      </c>
      <c r="E878" s="1" t="s">
        <v>1885</v>
      </c>
      <c r="F878" s="1" t="s">
        <v>4132</v>
      </c>
      <c r="G878" s="1" t="s">
        <v>4709</v>
      </c>
      <c r="H878" s="1" t="s">
        <v>4710</v>
      </c>
      <c r="I878" s="1">
        <v>185878.0</v>
      </c>
      <c r="J878" s="1" t="s">
        <v>4711</v>
      </c>
      <c r="K878" s="1" t="s">
        <v>4712</v>
      </c>
      <c r="L878" s="1">
        <v>481.0</v>
      </c>
      <c r="M878" s="1" t="s">
        <v>35</v>
      </c>
      <c r="N878" s="1" t="s">
        <v>36</v>
      </c>
      <c r="O878" s="1" t="s">
        <v>628</v>
      </c>
      <c r="P878" s="1">
        <v>5.1E7</v>
      </c>
      <c r="Q878" s="1">
        <v>2000.0</v>
      </c>
      <c r="R878" s="1">
        <v>889.0</v>
      </c>
      <c r="S878" s="1">
        <v>624.0</v>
      </c>
      <c r="T878" s="1">
        <v>79.0</v>
      </c>
      <c r="U878" s="1">
        <v>1711.0</v>
      </c>
      <c r="V878" s="1">
        <v>101.0</v>
      </c>
      <c r="W878" s="1">
        <v>0.0</v>
      </c>
      <c r="X878" s="1">
        <v>1.0</v>
      </c>
      <c r="Y878" s="1">
        <v>1.85</v>
      </c>
      <c r="Z878" s="1">
        <v>6.5</v>
      </c>
    </row>
    <row r="879" ht="14.25" customHeight="1">
      <c r="A879" s="1" t="s">
        <v>26</v>
      </c>
      <c r="B879" s="1" t="s">
        <v>4713</v>
      </c>
      <c r="C879" s="1" t="s">
        <v>4714</v>
      </c>
      <c r="D879" s="1">
        <v>7.2601713E7</v>
      </c>
      <c r="E879" s="1" t="s">
        <v>2816</v>
      </c>
      <c r="F879" s="1" t="s">
        <v>4715</v>
      </c>
      <c r="G879" s="1" t="s">
        <v>2167</v>
      </c>
      <c r="H879" s="1" t="s">
        <v>794</v>
      </c>
      <c r="I879" s="1">
        <v>21396.0</v>
      </c>
      <c r="J879" s="1" t="s">
        <v>4716</v>
      </c>
      <c r="K879" s="1" t="s">
        <v>4717</v>
      </c>
      <c r="L879" s="1">
        <v>155.0</v>
      </c>
      <c r="M879" s="1" t="s">
        <v>35</v>
      </c>
      <c r="N879" s="1" t="s">
        <v>730</v>
      </c>
      <c r="O879" s="1" t="s">
        <v>87</v>
      </c>
      <c r="P879" s="1">
        <v>5.1E7</v>
      </c>
      <c r="Q879" s="1">
        <v>2006.0</v>
      </c>
      <c r="R879" s="1">
        <v>677.0</v>
      </c>
      <c r="S879" s="1">
        <v>560.0</v>
      </c>
      <c r="T879" s="1">
        <v>523.0</v>
      </c>
      <c r="U879" s="1">
        <v>2055.0</v>
      </c>
      <c r="V879" s="1">
        <v>176.0</v>
      </c>
      <c r="W879" s="1">
        <v>605.0</v>
      </c>
      <c r="X879" s="1">
        <v>1.0</v>
      </c>
      <c r="Y879" s="1">
        <v>1.85</v>
      </c>
      <c r="Z879" s="1">
        <v>5.6</v>
      </c>
    </row>
    <row r="880" ht="14.25" customHeight="1">
      <c r="A880" s="1" t="s">
        <v>26</v>
      </c>
      <c r="B880" s="1" t="s">
        <v>190</v>
      </c>
      <c r="C880" s="1" t="s">
        <v>4718</v>
      </c>
      <c r="D880" s="1">
        <v>2.96623634E8</v>
      </c>
      <c r="E880" s="1" t="s">
        <v>1069</v>
      </c>
      <c r="F880" s="1" t="s">
        <v>732</v>
      </c>
      <c r="G880" s="1" t="s">
        <v>544</v>
      </c>
      <c r="H880" s="1" t="s">
        <v>1070</v>
      </c>
      <c r="I880" s="1">
        <v>220758.0</v>
      </c>
      <c r="J880" s="1" t="s">
        <v>4719</v>
      </c>
      <c r="K880" s="1" t="s">
        <v>4720</v>
      </c>
      <c r="L880" s="1">
        <v>919.0</v>
      </c>
      <c r="M880" s="1" t="s">
        <v>35</v>
      </c>
      <c r="N880" s="1" t="s">
        <v>36</v>
      </c>
      <c r="O880" s="1" t="s">
        <v>37</v>
      </c>
      <c r="P880" s="1">
        <v>5.0E7</v>
      </c>
      <c r="Q880" s="1">
        <v>2009.0</v>
      </c>
      <c r="R880" s="1">
        <v>21000.0</v>
      </c>
      <c r="S880" s="1">
        <v>17000.0</v>
      </c>
      <c r="T880" s="1">
        <v>12000.0</v>
      </c>
      <c r="U880" s="1">
        <v>64040.0</v>
      </c>
      <c r="V880" s="1">
        <v>129.0</v>
      </c>
      <c r="W880" s="1">
        <v>13000.0</v>
      </c>
      <c r="X880" s="1">
        <v>2.0</v>
      </c>
      <c r="Y880" s="1">
        <v>2.35</v>
      </c>
      <c r="Z880" s="1">
        <v>4.6</v>
      </c>
    </row>
    <row r="881" ht="14.25" customHeight="1">
      <c r="A881" s="1" t="s">
        <v>26</v>
      </c>
      <c r="B881" s="1" t="s">
        <v>138</v>
      </c>
      <c r="C881" s="1" t="s">
        <v>4721</v>
      </c>
      <c r="D881" s="1">
        <v>2.67652016E8</v>
      </c>
      <c r="E881" s="1" t="s">
        <v>263</v>
      </c>
      <c r="F881" s="1" t="s">
        <v>4722</v>
      </c>
      <c r="G881" s="1" t="s">
        <v>684</v>
      </c>
      <c r="H881" s="1" t="s">
        <v>4723</v>
      </c>
      <c r="I881" s="1">
        <v>467113.0</v>
      </c>
      <c r="J881" s="1" t="s">
        <v>4724</v>
      </c>
      <c r="K881" s="1" t="s">
        <v>4725</v>
      </c>
      <c r="L881" s="1">
        <v>945.0</v>
      </c>
      <c r="M881" s="1" t="s">
        <v>35</v>
      </c>
      <c r="N881" s="1" t="s">
        <v>36</v>
      </c>
      <c r="O881" s="1" t="s">
        <v>87</v>
      </c>
      <c r="P881" s="1">
        <v>6.0E7</v>
      </c>
      <c r="Q881" s="1">
        <v>2001.0</v>
      </c>
      <c r="R881" s="1">
        <v>145.0</v>
      </c>
      <c r="S881" s="1">
        <v>50.0</v>
      </c>
      <c r="T881" s="1">
        <v>21.0</v>
      </c>
      <c r="U881" s="1">
        <v>275.0</v>
      </c>
      <c r="V881" s="1">
        <v>80.0</v>
      </c>
      <c r="W881" s="1">
        <v>0.0</v>
      </c>
      <c r="X881" s="1">
        <v>1.0</v>
      </c>
      <c r="Y881" s="1">
        <v>1.85</v>
      </c>
      <c r="Z881" s="1">
        <v>7.9</v>
      </c>
    </row>
    <row r="882" ht="14.25" customHeight="1">
      <c r="A882" s="1" t="s">
        <v>26</v>
      </c>
      <c r="B882" s="1" t="s">
        <v>4726</v>
      </c>
      <c r="C882" s="1" t="s">
        <v>4727</v>
      </c>
      <c r="D882" s="1">
        <v>6.2453315E7</v>
      </c>
      <c r="E882" s="1" t="s">
        <v>4728</v>
      </c>
      <c r="F882" s="1" t="s">
        <v>1113</v>
      </c>
      <c r="G882" s="1" t="s">
        <v>2893</v>
      </c>
      <c r="H882" s="1" t="s">
        <v>4729</v>
      </c>
      <c r="I882" s="1">
        <v>200035.0</v>
      </c>
      <c r="J882" s="1" t="s">
        <v>4730</v>
      </c>
      <c r="K882" s="1" t="s">
        <v>4731</v>
      </c>
      <c r="L882" s="1">
        <v>407.0</v>
      </c>
      <c r="M882" s="1" t="s">
        <v>35</v>
      </c>
      <c r="N882" s="1" t="s">
        <v>36</v>
      </c>
      <c r="O882" s="1" t="s">
        <v>37</v>
      </c>
      <c r="P882" s="1">
        <v>5.02E7</v>
      </c>
      <c r="Q882" s="1">
        <v>2011.0</v>
      </c>
      <c r="R882" s="1">
        <v>13000.0</v>
      </c>
      <c r="S882" s="1">
        <v>963.0</v>
      </c>
      <c r="T882" s="1">
        <v>593.0</v>
      </c>
      <c r="U882" s="1">
        <v>14607.0</v>
      </c>
      <c r="V882" s="1">
        <v>53.0</v>
      </c>
      <c r="W882" s="1">
        <v>36000.0</v>
      </c>
      <c r="X882" s="1">
        <v>2.0</v>
      </c>
      <c r="Y882" s="1">
        <v>1.85</v>
      </c>
      <c r="Z882" s="1">
        <v>7.1</v>
      </c>
    </row>
    <row r="883" ht="14.25" customHeight="1">
      <c r="A883" s="1" t="s">
        <v>26</v>
      </c>
      <c r="B883" s="1" t="s">
        <v>513</v>
      </c>
      <c r="C883" s="1" t="s">
        <v>4732</v>
      </c>
      <c r="D883" s="1">
        <v>1.655E8</v>
      </c>
      <c r="E883" s="1" t="s">
        <v>199</v>
      </c>
      <c r="F883" s="1" t="s">
        <v>98</v>
      </c>
      <c r="G883" s="1" t="s">
        <v>451</v>
      </c>
      <c r="H883" s="1" t="s">
        <v>1787</v>
      </c>
      <c r="I883" s="1">
        <v>145257.0</v>
      </c>
      <c r="J883" s="1" t="s">
        <v>4733</v>
      </c>
      <c r="K883" s="1" t="s">
        <v>4734</v>
      </c>
      <c r="L883" s="1">
        <v>322.0</v>
      </c>
      <c r="M883" s="1" t="s">
        <v>35</v>
      </c>
      <c r="N883" s="1" t="s">
        <v>36</v>
      </c>
      <c r="O883" s="1" t="s">
        <v>37</v>
      </c>
      <c r="P883" s="1">
        <v>4.8E7</v>
      </c>
      <c r="Q883" s="1">
        <v>1991.0</v>
      </c>
      <c r="R883" s="1">
        <v>25000.0</v>
      </c>
      <c r="S883" s="1">
        <v>11000.0</v>
      </c>
      <c r="T883" s="1">
        <v>720.0</v>
      </c>
      <c r="U883" s="1">
        <v>38518.0</v>
      </c>
      <c r="V883" s="1">
        <v>58.0</v>
      </c>
      <c r="W883" s="1">
        <v>0.0</v>
      </c>
      <c r="X883" s="1">
        <v>0.0</v>
      </c>
      <c r="Y883" s="1">
        <v>1.85</v>
      </c>
      <c r="Z883" s="1">
        <v>6.9</v>
      </c>
    </row>
    <row r="884" ht="14.25" customHeight="1">
      <c r="A884" s="1" t="s">
        <v>26</v>
      </c>
      <c r="B884" s="1" t="s">
        <v>3175</v>
      </c>
      <c r="C884" s="1" t="s">
        <v>4735</v>
      </c>
      <c r="D884" s="1">
        <v>1.53620822E8</v>
      </c>
      <c r="E884" s="1" t="s">
        <v>4241</v>
      </c>
      <c r="F884" s="1" t="s">
        <v>508</v>
      </c>
      <c r="G884" s="1" t="s">
        <v>1562</v>
      </c>
      <c r="H884" s="1" t="s">
        <v>4736</v>
      </c>
      <c r="I884" s="1">
        <v>189923.0</v>
      </c>
      <c r="J884" s="1" t="s">
        <v>4737</v>
      </c>
      <c r="K884" s="1" t="s">
        <v>4738</v>
      </c>
      <c r="L884" s="1">
        <v>318.0</v>
      </c>
      <c r="M884" s="1" t="s">
        <v>35</v>
      </c>
      <c r="N884" s="1" t="s">
        <v>36</v>
      </c>
      <c r="O884" s="1" t="s">
        <v>628</v>
      </c>
      <c r="P884" s="1">
        <v>5.0E7</v>
      </c>
      <c r="Q884" s="1">
        <v>1996.0</v>
      </c>
      <c r="R884" s="1">
        <v>10000.0</v>
      </c>
      <c r="S884" s="1">
        <v>743.0</v>
      </c>
      <c r="T884" s="1">
        <v>597.0</v>
      </c>
      <c r="U884" s="1">
        <v>12182.0</v>
      </c>
      <c r="V884" s="1">
        <v>488.0</v>
      </c>
      <c r="W884" s="1">
        <v>0.0</v>
      </c>
      <c r="X884" s="1">
        <v>0.0</v>
      </c>
      <c r="Y884" s="1">
        <v>1.85</v>
      </c>
      <c r="Z884" s="1">
        <v>7.3</v>
      </c>
    </row>
    <row r="885" ht="14.25" customHeight="1">
      <c r="A885" s="1" t="s">
        <v>26</v>
      </c>
      <c r="B885" s="1" t="s">
        <v>2407</v>
      </c>
      <c r="C885" s="1" t="s">
        <v>4739</v>
      </c>
      <c r="D885" s="1">
        <v>2.1862868E8</v>
      </c>
      <c r="E885" s="1" t="s">
        <v>2657</v>
      </c>
      <c r="F885" s="1" t="s">
        <v>284</v>
      </c>
      <c r="G885" s="1" t="s">
        <v>2407</v>
      </c>
      <c r="H885" s="1" t="s">
        <v>2118</v>
      </c>
      <c r="I885" s="1">
        <v>471644.0</v>
      </c>
      <c r="J885" s="1" t="s">
        <v>4740</v>
      </c>
      <c r="K885" s="1" t="s">
        <v>4741</v>
      </c>
      <c r="L885" s="1">
        <v>623.0</v>
      </c>
      <c r="M885" s="1" t="s">
        <v>35</v>
      </c>
      <c r="N885" s="1" t="s">
        <v>36</v>
      </c>
      <c r="O885" s="1" t="s">
        <v>628</v>
      </c>
      <c r="P885" s="1">
        <v>5.0E7</v>
      </c>
      <c r="Q885" s="1">
        <v>2012.0</v>
      </c>
      <c r="R885" s="1">
        <v>15000.0</v>
      </c>
      <c r="S885" s="1">
        <v>3000.0</v>
      </c>
      <c r="T885" s="1">
        <v>1000.0</v>
      </c>
      <c r="U885" s="1">
        <v>21773.0</v>
      </c>
      <c r="V885" s="1">
        <v>3000.0</v>
      </c>
      <c r="W885" s="1">
        <v>74000.0</v>
      </c>
      <c r="X885" s="1">
        <v>1.0</v>
      </c>
      <c r="Y885" s="1">
        <v>1.85</v>
      </c>
      <c r="Z885" s="1">
        <v>7.0</v>
      </c>
    </row>
    <row r="886" ht="14.25" customHeight="1">
      <c r="A886" s="1" t="s">
        <v>26</v>
      </c>
      <c r="B886" s="1" t="s">
        <v>1357</v>
      </c>
      <c r="C886" s="1" t="s">
        <v>4742</v>
      </c>
      <c r="D886" s="1">
        <v>1.47637474E8</v>
      </c>
      <c r="E886" s="1" t="s">
        <v>1359</v>
      </c>
      <c r="F886" s="1" t="s">
        <v>4743</v>
      </c>
      <c r="G886" s="1" t="s">
        <v>3089</v>
      </c>
      <c r="H886" s="1" t="s">
        <v>4744</v>
      </c>
      <c r="I886" s="1">
        <v>224671.0</v>
      </c>
      <c r="J886" s="1" t="s">
        <v>4745</v>
      </c>
      <c r="K886" s="1" t="s">
        <v>4746</v>
      </c>
      <c r="L886" s="1">
        <v>470.0</v>
      </c>
      <c r="M886" s="1" t="s">
        <v>35</v>
      </c>
      <c r="N886" s="1" t="s">
        <v>36</v>
      </c>
      <c r="O886" s="1" t="s">
        <v>37</v>
      </c>
      <c r="P886" s="1">
        <v>5.0E7</v>
      </c>
      <c r="Q886" s="1">
        <v>1997.0</v>
      </c>
      <c r="R886" s="1">
        <v>625.0</v>
      </c>
      <c r="S886" s="1">
        <v>440.0</v>
      </c>
      <c r="T886" s="1">
        <v>285.0</v>
      </c>
      <c r="U886" s="1">
        <v>1474.0</v>
      </c>
      <c r="V886" s="1">
        <v>274.0</v>
      </c>
      <c r="W886" s="1">
        <v>11000.0</v>
      </c>
      <c r="X886" s="1">
        <v>0.0</v>
      </c>
      <c r="Y886" s="1">
        <v>1.85</v>
      </c>
      <c r="Z886" s="1">
        <v>7.7</v>
      </c>
    </row>
    <row r="887" ht="14.25" customHeight="1">
      <c r="A887" s="1" t="s">
        <v>26</v>
      </c>
      <c r="B887" s="1" t="s">
        <v>499</v>
      </c>
      <c r="C887" s="1" t="s">
        <v>4747</v>
      </c>
      <c r="D887" s="1">
        <v>1.35014968E8</v>
      </c>
      <c r="E887" s="1" t="s">
        <v>4748</v>
      </c>
      <c r="F887" s="1" t="s">
        <v>774</v>
      </c>
      <c r="G887" s="1" t="s">
        <v>662</v>
      </c>
      <c r="H887" s="1" t="s">
        <v>2519</v>
      </c>
      <c r="I887" s="1">
        <v>80580.0</v>
      </c>
      <c r="J887" s="1" t="s">
        <v>4749</v>
      </c>
      <c r="K887" s="1" t="s">
        <v>4750</v>
      </c>
      <c r="L887" s="1">
        <v>375.0</v>
      </c>
      <c r="M887" s="1" t="s">
        <v>35</v>
      </c>
      <c r="N887" s="1" t="s">
        <v>36</v>
      </c>
      <c r="O887" s="1" t="s">
        <v>37</v>
      </c>
      <c r="P887" s="1">
        <v>5.0E7</v>
      </c>
      <c r="Q887" s="1">
        <v>1998.0</v>
      </c>
      <c r="R887" s="1">
        <v>49000.0</v>
      </c>
      <c r="S887" s="1">
        <v>22000.0</v>
      </c>
      <c r="T887" s="1">
        <v>878.0</v>
      </c>
      <c r="U887" s="1">
        <v>74382.0</v>
      </c>
      <c r="V887" s="1">
        <v>293.0</v>
      </c>
      <c r="W887" s="1">
        <v>0.0</v>
      </c>
      <c r="X887" s="1">
        <v>1.0</v>
      </c>
      <c r="Y887" s="1">
        <v>2.35</v>
      </c>
      <c r="Z887" s="1">
        <v>6.7</v>
      </c>
    </row>
    <row r="888" ht="14.25" customHeight="1">
      <c r="A888" s="1" t="s">
        <v>26</v>
      </c>
      <c r="B888" s="1" t="s">
        <v>1668</v>
      </c>
      <c r="C888" s="1" t="s">
        <v>4751</v>
      </c>
      <c r="D888" s="1">
        <v>2175312.0</v>
      </c>
      <c r="E888" s="1" t="s">
        <v>1885</v>
      </c>
      <c r="F888" s="1" t="s">
        <v>383</v>
      </c>
      <c r="G888" s="1" t="s">
        <v>1197</v>
      </c>
      <c r="H888" s="1" t="s">
        <v>503</v>
      </c>
      <c r="I888" s="1">
        <v>131227.0</v>
      </c>
      <c r="J888" s="1" t="s">
        <v>4752</v>
      </c>
      <c r="K888" s="1" t="s">
        <v>4753</v>
      </c>
      <c r="L888" s="1">
        <v>346.0</v>
      </c>
      <c r="M888" s="1" t="s">
        <v>35</v>
      </c>
      <c r="N888" s="1" t="s">
        <v>36</v>
      </c>
      <c r="O888" s="1" t="s">
        <v>37</v>
      </c>
      <c r="P888" s="1">
        <v>5.0E7</v>
      </c>
      <c r="Q888" s="1">
        <v>2013.0</v>
      </c>
      <c r="R888" s="1">
        <v>11000.0</v>
      </c>
      <c r="S888" s="1">
        <v>8000.0</v>
      </c>
      <c r="T888" s="1">
        <v>7000.0</v>
      </c>
      <c r="U888" s="1">
        <v>28176.0</v>
      </c>
      <c r="V888" s="1">
        <v>285.0</v>
      </c>
      <c r="W888" s="1">
        <v>41000.0</v>
      </c>
      <c r="X888" s="1">
        <v>2.0</v>
      </c>
      <c r="Y888" s="1">
        <v>2.35</v>
      </c>
      <c r="Z888" s="1">
        <v>6.3</v>
      </c>
    </row>
    <row r="889" ht="14.25" customHeight="1">
      <c r="A889" s="1" t="s">
        <v>26</v>
      </c>
      <c r="B889" s="1" t="s">
        <v>2655</v>
      </c>
      <c r="C889" s="1" t="s">
        <v>4754</v>
      </c>
      <c r="D889" s="1">
        <v>1.2620332E8</v>
      </c>
      <c r="E889" s="1" t="s">
        <v>1598</v>
      </c>
      <c r="F889" s="1" t="s">
        <v>264</v>
      </c>
      <c r="G889" s="1" t="s">
        <v>2095</v>
      </c>
      <c r="H889" s="1" t="s">
        <v>4554</v>
      </c>
      <c r="I889" s="1">
        <v>110432.0</v>
      </c>
      <c r="J889" s="1" t="s">
        <v>4755</v>
      </c>
      <c r="K889" s="1" t="s">
        <v>4756</v>
      </c>
      <c r="L889" s="1">
        <v>309.0</v>
      </c>
      <c r="M889" s="1" t="s">
        <v>35</v>
      </c>
      <c r="N889" s="1" t="s">
        <v>36</v>
      </c>
      <c r="O889" s="1" t="s">
        <v>37</v>
      </c>
      <c r="P889" s="1">
        <v>5.0E7</v>
      </c>
      <c r="Q889" s="1">
        <v>2002.0</v>
      </c>
      <c r="R889" s="1">
        <v>12000.0</v>
      </c>
      <c r="S889" s="1">
        <v>11000.0</v>
      </c>
      <c r="T889" s="1">
        <v>828.0</v>
      </c>
      <c r="U889" s="1">
        <v>26826.0</v>
      </c>
      <c r="V889" s="1">
        <v>65.0</v>
      </c>
      <c r="W889" s="1">
        <v>0.0</v>
      </c>
      <c r="X889" s="1">
        <v>1.0</v>
      </c>
      <c r="Y889" s="1">
        <v>1.85</v>
      </c>
      <c r="Z889" s="1">
        <v>5.8</v>
      </c>
    </row>
    <row r="890" ht="14.25" customHeight="1">
      <c r="A890" s="1" t="s">
        <v>26</v>
      </c>
      <c r="B890" s="1" t="s">
        <v>343</v>
      </c>
      <c r="C890" s="1" t="s">
        <v>4757</v>
      </c>
      <c r="D890" s="1">
        <v>1.26975169E8</v>
      </c>
      <c r="E890" s="1" t="s">
        <v>4758</v>
      </c>
      <c r="F890" s="1" t="s">
        <v>4759</v>
      </c>
      <c r="G890" s="1" t="s">
        <v>1922</v>
      </c>
      <c r="H890" s="1" t="s">
        <v>4760</v>
      </c>
      <c r="I890" s="1">
        <v>287822.0</v>
      </c>
      <c r="J890" s="1" t="s">
        <v>4761</v>
      </c>
      <c r="K890" s="1" t="s">
        <v>4762</v>
      </c>
      <c r="L890" s="1">
        <v>849.0</v>
      </c>
      <c r="M890" s="1" t="s">
        <v>35</v>
      </c>
      <c r="N890" s="1" t="s">
        <v>36</v>
      </c>
      <c r="O890" s="1" t="s">
        <v>37</v>
      </c>
      <c r="P890" s="1">
        <v>5.0E7</v>
      </c>
      <c r="Q890" s="1">
        <v>2011.0</v>
      </c>
      <c r="R890" s="1">
        <v>1000.0</v>
      </c>
      <c r="S890" s="1">
        <v>560.0</v>
      </c>
      <c r="T890" s="1">
        <v>417.0</v>
      </c>
      <c r="U890" s="1">
        <v>3388.0</v>
      </c>
      <c r="V890" s="1">
        <v>14000.0</v>
      </c>
      <c r="W890" s="1">
        <v>37000.0</v>
      </c>
      <c r="X890" s="1">
        <v>0.0</v>
      </c>
      <c r="Y890" s="1">
        <v>2.35</v>
      </c>
      <c r="Z890" s="1">
        <v>7.1</v>
      </c>
    </row>
    <row r="891" ht="14.25" customHeight="1">
      <c r="A891" s="1" t="s">
        <v>26</v>
      </c>
      <c r="B891" s="1" t="s">
        <v>1456</v>
      </c>
      <c r="C891" s="1" t="s">
        <v>4763</v>
      </c>
      <c r="D891" s="1">
        <v>1.25548685E8</v>
      </c>
      <c r="E891" s="1" t="s">
        <v>1474</v>
      </c>
      <c r="F891" s="1" t="s">
        <v>1459</v>
      </c>
      <c r="G891" s="1" t="s">
        <v>233</v>
      </c>
      <c r="H891" s="1" t="s">
        <v>4764</v>
      </c>
      <c r="I891" s="1">
        <v>135246.0</v>
      </c>
      <c r="J891" s="1" t="s">
        <v>4765</v>
      </c>
      <c r="K891" s="1" t="s">
        <v>4766</v>
      </c>
      <c r="L891" s="1">
        <v>498.0</v>
      </c>
      <c r="M891" s="1" t="s">
        <v>35</v>
      </c>
      <c r="N891" s="1" t="s">
        <v>36</v>
      </c>
      <c r="O891" s="1" t="s">
        <v>628</v>
      </c>
      <c r="P891" s="1">
        <v>5.2E7</v>
      </c>
      <c r="Q891" s="1">
        <v>2000.0</v>
      </c>
      <c r="R891" s="1">
        <v>8000.0</v>
      </c>
      <c r="S891" s="1">
        <v>883.0</v>
      </c>
      <c r="T891" s="1">
        <v>658.0</v>
      </c>
      <c r="U891" s="1">
        <v>10003.0</v>
      </c>
      <c r="V891" s="1">
        <v>0.0</v>
      </c>
      <c r="W891" s="1">
        <v>0.0</v>
      </c>
      <c r="X891" s="1">
        <v>0.0</v>
      </c>
      <c r="Y891" s="1">
        <v>1.85</v>
      </c>
      <c r="Z891" s="1">
        <v>7.3</v>
      </c>
    </row>
    <row r="892" ht="14.25" customHeight="1">
      <c r="A892" s="1" t="s">
        <v>26</v>
      </c>
      <c r="B892" s="1" t="s">
        <v>4022</v>
      </c>
      <c r="C892" s="1" t="s">
        <v>4767</v>
      </c>
      <c r="D892" s="1">
        <v>1.0580752E8</v>
      </c>
      <c r="E892" s="1" t="s">
        <v>1598</v>
      </c>
      <c r="F892" s="1" t="s">
        <v>637</v>
      </c>
      <c r="G892" s="1" t="s">
        <v>2723</v>
      </c>
      <c r="H892" s="1" t="s">
        <v>4768</v>
      </c>
      <c r="I892" s="1">
        <v>156717.0</v>
      </c>
      <c r="J892" s="1" t="s">
        <v>4769</v>
      </c>
      <c r="K892" s="1" t="s">
        <v>4770</v>
      </c>
      <c r="L892" s="1">
        <v>357.0</v>
      </c>
      <c r="M892" s="1" t="s">
        <v>35</v>
      </c>
      <c r="N892" s="1" t="s">
        <v>36</v>
      </c>
      <c r="O892" s="1" t="s">
        <v>37</v>
      </c>
      <c r="P892" s="1">
        <v>5.0E7</v>
      </c>
      <c r="Q892" s="1">
        <v>2003.0</v>
      </c>
      <c r="R892" s="1">
        <v>11000.0</v>
      </c>
      <c r="S892" s="1">
        <v>1000.0</v>
      </c>
      <c r="T892" s="1">
        <v>651.0</v>
      </c>
      <c r="U892" s="1">
        <v>14087.0</v>
      </c>
      <c r="V892" s="1">
        <v>80.0</v>
      </c>
      <c r="W892" s="1">
        <v>0.0</v>
      </c>
      <c r="X892" s="1">
        <v>2.0</v>
      </c>
      <c r="Y892" s="1">
        <v>1.85</v>
      </c>
      <c r="Z892" s="1">
        <v>6.4</v>
      </c>
    </row>
    <row r="893" ht="14.25" customHeight="1">
      <c r="A893" s="1" t="s">
        <v>26</v>
      </c>
      <c r="B893" s="1" t="s">
        <v>2018</v>
      </c>
      <c r="C893" s="1" t="s">
        <v>4771</v>
      </c>
      <c r="D893" s="1">
        <v>1.91616238E8</v>
      </c>
      <c r="E893" s="1" t="s">
        <v>1670</v>
      </c>
      <c r="F893" s="1" t="s">
        <v>430</v>
      </c>
      <c r="G893" s="1" t="s">
        <v>4772</v>
      </c>
      <c r="H893" s="1" t="s">
        <v>2327</v>
      </c>
      <c r="I893" s="1">
        <v>258186.0</v>
      </c>
      <c r="J893" s="1" t="s">
        <v>4773</v>
      </c>
      <c r="K893" s="1" t="s">
        <v>4774</v>
      </c>
      <c r="L893" s="1">
        <v>322.0</v>
      </c>
      <c r="M893" s="1" t="s">
        <v>35</v>
      </c>
      <c r="N893" s="1" t="s">
        <v>36</v>
      </c>
      <c r="O893" s="1" t="s">
        <v>628</v>
      </c>
      <c r="P893" s="1">
        <v>5.0E7</v>
      </c>
      <c r="Q893" s="1">
        <v>2014.0</v>
      </c>
      <c r="R893" s="1">
        <v>17000.0</v>
      </c>
      <c r="S893" s="1">
        <v>920.0</v>
      </c>
      <c r="T893" s="1">
        <v>584.0</v>
      </c>
      <c r="U893" s="1">
        <v>19428.0</v>
      </c>
      <c r="V893" s="1">
        <v>97.0</v>
      </c>
      <c r="W893" s="1">
        <v>24000.0</v>
      </c>
      <c r="X893" s="1">
        <v>2.0</v>
      </c>
      <c r="Y893" s="1">
        <v>2.35</v>
      </c>
      <c r="Z893" s="1">
        <v>7.1</v>
      </c>
    </row>
    <row r="894" ht="14.25" customHeight="1">
      <c r="A894" s="1" t="s">
        <v>26</v>
      </c>
      <c r="B894" s="1" t="s">
        <v>4775</v>
      </c>
      <c r="C894" s="1" t="s">
        <v>4776</v>
      </c>
      <c r="D894" s="1">
        <v>1.05264608E8</v>
      </c>
      <c r="E894" s="1" t="s">
        <v>4777</v>
      </c>
      <c r="F894" s="1" t="s">
        <v>335</v>
      </c>
      <c r="G894" s="1" t="s">
        <v>508</v>
      </c>
      <c r="H894" s="1" t="s">
        <v>76</v>
      </c>
      <c r="I894" s="1">
        <v>239752.0</v>
      </c>
      <c r="J894" s="1" t="s">
        <v>4778</v>
      </c>
      <c r="K894" s="1" t="s">
        <v>4779</v>
      </c>
      <c r="L894" s="1">
        <v>406.0</v>
      </c>
      <c r="M894" s="1" t="s">
        <v>35</v>
      </c>
      <c r="N894" s="1" t="s">
        <v>36</v>
      </c>
      <c r="O894" s="1" t="s">
        <v>628</v>
      </c>
      <c r="P894" s="1">
        <v>6.0E7</v>
      </c>
      <c r="Q894" s="1">
        <v>1994.0</v>
      </c>
      <c r="R894" s="1">
        <v>11000.0</v>
      </c>
      <c r="S894" s="1">
        <v>10000.0</v>
      </c>
      <c r="T894" s="1">
        <v>4000.0</v>
      </c>
      <c r="U894" s="1">
        <v>25697.0</v>
      </c>
      <c r="V894" s="1">
        <v>277.0</v>
      </c>
      <c r="W894" s="1">
        <v>11000.0</v>
      </c>
      <c r="X894" s="1">
        <v>0.0</v>
      </c>
      <c r="Y894" s="1">
        <v>1.85</v>
      </c>
      <c r="Z894" s="1">
        <v>7.6</v>
      </c>
    </row>
    <row r="895" ht="14.25" customHeight="1">
      <c r="A895" s="1" t="s">
        <v>26</v>
      </c>
      <c r="B895" s="1" t="s">
        <v>1120</v>
      </c>
      <c r="C895" s="1" t="s">
        <v>4780</v>
      </c>
      <c r="D895" s="1">
        <v>9.7680195E7</v>
      </c>
      <c r="E895" s="1" t="s">
        <v>1598</v>
      </c>
      <c r="F895" s="1" t="s">
        <v>631</v>
      </c>
      <c r="G895" s="1" t="s">
        <v>1868</v>
      </c>
      <c r="H895" s="1" t="s">
        <v>4781</v>
      </c>
      <c r="I895" s="1">
        <v>271691.0</v>
      </c>
      <c r="J895" s="1" t="s">
        <v>4782</v>
      </c>
      <c r="K895" s="1" t="s">
        <v>4783</v>
      </c>
      <c r="L895" s="1">
        <v>243.0</v>
      </c>
      <c r="M895" s="1" t="s">
        <v>35</v>
      </c>
      <c r="N895" s="1" t="s">
        <v>36</v>
      </c>
      <c r="O895" s="1" t="s">
        <v>37</v>
      </c>
      <c r="P895" s="1">
        <v>7.0E7</v>
      </c>
      <c r="Q895" s="1">
        <v>2008.0</v>
      </c>
      <c r="R895" s="1">
        <v>14000.0</v>
      </c>
      <c r="S895" s="1">
        <v>11000.0</v>
      </c>
      <c r="T895" s="1">
        <v>1000.0</v>
      </c>
      <c r="U895" s="1">
        <v>29505.0</v>
      </c>
      <c r="V895" s="1">
        <v>235.0</v>
      </c>
      <c r="W895" s="1">
        <v>0.0</v>
      </c>
      <c r="X895" s="1">
        <v>1.0</v>
      </c>
      <c r="Y895" s="1">
        <v>2.35</v>
      </c>
      <c r="Z895" s="1">
        <v>6.8</v>
      </c>
    </row>
    <row r="896" ht="14.25" customHeight="1">
      <c r="A896" s="1" t="s">
        <v>26</v>
      </c>
      <c r="B896" s="1" t="s">
        <v>4784</v>
      </c>
      <c r="C896" s="1" t="s">
        <v>4785</v>
      </c>
      <c r="D896" s="1">
        <v>1.26088877E8</v>
      </c>
      <c r="E896" s="1" t="s">
        <v>1670</v>
      </c>
      <c r="F896" s="1" t="s">
        <v>1036</v>
      </c>
      <c r="G896" s="1" t="s">
        <v>201</v>
      </c>
      <c r="H896" s="1" t="s">
        <v>4786</v>
      </c>
      <c r="I896" s="1">
        <v>33354.0</v>
      </c>
      <c r="J896" s="1" t="s">
        <v>4787</v>
      </c>
      <c r="K896" s="1" t="s">
        <v>4788</v>
      </c>
      <c r="L896" s="1">
        <v>110.0</v>
      </c>
      <c r="M896" s="1" t="s">
        <v>35</v>
      </c>
      <c r="N896" s="1" t="s">
        <v>36</v>
      </c>
      <c r="O896" s="1" t="s">
        <v>37</v>
      </c>
      <c r="P896" s="1">
        <v>5.0E7</v>
      </c>
      <c r="Q896" s="1">
        <v>2016.0</v>
      </c>
      <c r="R896" s="1">
        <v>12000.0</v>
      </c>
      <c r="S896" s="1">
        <v>919.0</v>
      </c>
      <c r="T896" s="1">
        <v>569.0</v>
      </c>
      <c r="U896" s="1">
        <v>14569.0</v>
      </c>
      <c r="V896" s="1">
        <v>43.0</v>
      </c>
      <c r="W896" s="1">
        <v>10000.0</v>
      </c>
      <c r="X896" s="1">
        <v>2.0</v>
      </c>
      <c r="Y896" s="1">
        <v>2.35</v>
      </c>
      <c r="Z896" s="1">
        <v>6.6</v>
      </c>
    </row>
    <row r="897" ht="14.25" customHeight="1">
      <c r="A897" s="1" t="s">
        <v>26</v>
      </c>
      <c r="B897" s="1" t="s">
        <v>1200</v>
      </c>
      <c r="C897" s="1" t="s">
        <v>4789</v>
      </c>
      <c r="D897" s="1">
        <v>9.1030827E7</v>
      </c>
      <c r="E897" s="1" t="s">
        <v>2422</v>
      </c>
      <c r="F897" s="1" t="s">
        <v>1459</v>
      </c>
      <c r="G897" s="1" t="s">
        <v>2511</v>
      </c>
      <c r="H897" s="1" t="s">
        <v>4790</v>
      </c>
      <c r="I897" s="1">
        <v>46482.0</v>
      </c>
      <c r="J897" s="1" t="s">
        <v>4791</v>
      </c>
      <c r="K897" s="1" t="s">
        <v>4792</v>
      </c>
      <c r="L897" s="1">
        <v>252.0</v>
      </c>
      <c r="M897" s="1" t="s">
        <v>35</v>
      </c>
      <c r="N897" s="1" t="s">
        <v>36</v>
      </c>
      <c r="O897" s="1" t="s">
        <v>37</v>
      </c>
      <c r="P897" s="1">
        <v>5.0E7</v>
      </c>
      <c r="Q897" s="1">
        <v>1998.0</v>
      </c>
      <c r="R897" s="1">
        <v>8000.0</v>
      </c>
      <c r="S897" s="1">
        <v>818.0</v>
      </c>
      <c r="T897" s="1">
        <v>701.0</v>
      </c>
      <c r="U897" s="1">
        <v>9988.0</v>
      </c>
      <c r="V897" s="1">
        <v>0.0</v>
      </c>
      <c r="W897" s="1">
        <v>0.0</v>
      </c>
      <c r="X897" s="1">
        <v>2.0</v>
      </c>
      <c r="Y897" s="1">
        <v>2.35</v>
      </c>
      <c r="Z897" s="1">
        <v>6.7</v>
      </c>
    </row>
    <row r="898" ht="14.25" customHeight="1">
      <c r="A898" s="1" t="s">
        <v>26</v>
      </c>
      <c r="B898" s="1" t="s">
        <v>4270</v>
      </c>
      <c r="C898" s="1" t="s">
        <v>4793</v>
      </c>
      <c r="D898" s="1">
        <v>1.50315155E8</v>
      </c>
      <c r="E898" s="1" t="s">
        <v>2904</v>
      </c>
      <c r="F898" s="1" t="s">
        <v>1197</v>
      </c>
      <c r="G898" s="1" t="s">
        <v>2379</v>
      </c>
      <c r="H898" s="1" t="s">
        <v>4794</v>
      </c>
      <c r="I898" s="1">
        <v>54010.0</v>
      </c>
      <c r="J898" s="1" t="s">
        <v>4795</v>
      </c>
      <c r="K898" s="1" t="s">
        <v>4796</v>
      </c>
      <c r="L898" s="1">
        <v>130.0</v>
      </c>
      <c r="M898" s="1" t="s">
        <v>35</v>
      </c>
      <c r="N898" s="1" t="s">
        <v>36</v>
      </c>
      <c r="O898" s="1" t="s">
        <v>37</v>
      </c>
      <c r="P898" s="1">
        <v>5.0E7</v>
      </c>
      <c r="Q898" s="1">
        <v>2015.0</v>
      </c>
      <c r="R898" s="1">
        <v>8000.0</v>
      </c>
      <c r="S898" s="1">
        <v>2000.0</v>
      </c>
      <c r="T898" s="1">
        <v>322.0</v>
      </c>
      <c r="U898" s="1">
        <v>10886.0</v>
      </c>
      <c r="V898" s="1">
        <v>51.0</v>
      </c>
      <c r="W898" s="1">
        <v>13000.0</v>
      </c>
      <c r="X898" s="1">
        <v>2.0</v>
      </c>
      <c r="Y898" s="1">
        <v>1.85</v>
      </c>
      <c r="Z898" s="1">
        <v>6.1</v>
      </c>
    </row>
    <row r="899" ht="14.25" customHeight="1">
      <c r="A899" s="1" t="s">
        <v>26</v>
      </c>
      <c r="B899" s="1" t="s">
        <v>149</v>
      </c>
      <c r="C899" s="1" t="s">
        <v>4797</v>
      </c>
      <c r="D899" s="1">
        <v>1.27997349E8</v>
      </c>
      <c r="E899" s="1" t="s">
        <v>4798</v>
      </c>
      <c r="F899" s="1" t="s">
        <v>41</v>
      </c>
      <c r="G899" s="1" t="s">
        <v>2286</v>
      </c>
      <c r="H899" s="1" t="s">
        <v>2357</v>
      </c>
      <c r="I899" s="1">
        <v>101178.0</v>
      </c>
      <c r="J899" s="1" t="s">
        <v>4799</v>
      </c>
      <c r="K899" s="1" t="s">
        <v>4800</v>
      </c>
      <c r="L899" s="1">
        <v>779.0</v>
      </c>
      <c r="M899" s="1" t="s">
        <v>35</v>
      </c>
      <c r="N899" s="1" t="s">
        <v>36</v>
      </c>
      <c r="O899" s="1" t="s">
        <v>87</v>
      </c>
      <c r="P899" s="1">
        <v>5.0E7</v>
      </c>
      <c r="Q899" s="1">
        <v>2014.0</v>
      </c>
      <c r="R899" s="1">
        <v>40000.0</v>
      </c>
      <c r="S899" s="1">
        <v>11000.0</v>
      </c>
      <c r="T899" s="1">
        <v>10000.0</v>
      </c>
      <c r="U899" s="1">
        <v>62837.0</v>
      </c>
      <c r="V899" s="1">
        <v>252.0</v>
      </c>
      <c r="W899" s="1">
        <v>90000.0</v>
      </c>
      <c r="X899" s="1">
        <v>1.0</v>
      </c>
      <c r="Y899" s="1">
        <v>2.39</v>
      </c>
      <c r="Z899" s="1">
        <v>6.0</v>
      </c>
    </row>
    <row r="900" ht="14.25" customHeight="1">
      <c r="A900" s="1" t="s">
        <v>26</v>
      </c>
      <c r="B900" s="1" t="s">
        <v>4801</v>
      </c>
      <c r="C900" s="1" t="s">
        <v>4802</v>
      </c>
      <c r="D900" s="1">
        <v>8.850464E7</v>
      </c>
      <c r="E900" s="1" t="s">
        <v>2061</v>
      </c>
      <c r="F900" s="1" t="s">
        <v>1644</v>
      </c>
      <c r="G900" s="1" t="s">
        <v>4803</v>
      </c>
      <c r="H900" s="1" t="s">
        <v>3220</v>
      </c>
      <c r="I900" s="1">
        <v>273108.0</v>
      </c>
      <c r="J900" s="1" t="s">
        <v>4804</v>
      </c>
      <c r="K900" s="1" t="s">
        <v>4805</v>
      </c>
      <c r="L900" s="1">
        <v>646.0</v>
      </c>
      <c r="M900" s="1" t="s">
        <v>35</v>
      </c>
      <c r="N900" s="1" t="s">
        <v>36</v>
      </c>
      <c r="O900" s="1" t="s">
        <v>628</v>
      </c>
      <c r="P900" s="1">
        <v>4.5E7</v>
      </c>
      <c r="Q900" s="1">
        <v>2006.0</v>
      </c>
      <c r="R900" s="1">
        <v>18000.0</v>
      </c>
      <c r="S900" s="1">
        <v>412.0</v>
      </c>
      <c r="T900" s="1">
        <v>277.0</v>
      </c>
      <c r="U900" s="1">
        <v>19148.0</v>
      </c>
      <c r="V900" s="1">
        <v>0.0</v>
      </c>
      <c r="W900" s="1">
        <v>0.0</v>
      </c>
      <c r="X900" s="1">
        <v>2.0</v>
      </c>
      <c r="Y900" s="1">
        <v>2.35</v>
      </c>
      <c r="Z900" s="1">
        <v>7.6</v>
      </c>
    </row>
    <row r="901" ht="14.25" customHeight="1">
      <c r="A901" s="1" t="s">
        <v>26</v>
      </c>
      <c r="B901" s="1" t="s">
        <v>4806</v>
      </c>
      <c r="C901" s="1" t="s">
        <v>4807</v>
      </c>
      <c r="D901" s="1">
        <v>8.1517441E7</v>
      </c>
      <c r="E901" s="1" t="s">
        <v>449</v>
      </c>
      <c r="F901" s="1" t="s">
        <v>4808</v>
      </c>
      <c r="G901" s="1" t="s">
        <v>4809</v>
      </c>
      <c r="H901" s="1" t="s">
        <v>3506</v>
      </c>
      <c r="I901" s="1">
        <v>111368.0</v>
      </c>
      <c r="J901" s="1" t="s">
        <v>4810</v>
      </c>
      <c r="K901" s="1" t="s">
        <v>4811</v>
      </c>
      <c r="L901" s="1">
        <v>394.0</v>
      </c>
      <c r="M901" s="1" t="s">
        <v>35</v>
      </c>
      <c r="N901" s="1" t="s">
        <v>36</v>
      </c>
      <c r="O901" s="1" t="s">
        <v>628</v>
      </c>
      <c r="P901" s="1">
        <v>5.0E7</v>
      </c>
      <c r="Q901" s="1">
        <v>1999.0</v>
      </c>
      <c r="R901" s="1">
        <v>1000.0</v>
      </c>
      <c r="S901" s="1">
        <v>495.0</v>
      </c>
      <c r="T901" s="1">
        <v>416.0</v>
      </c>
      <c r="U901" s="1">
        <v>3148.0</v>
      </c>
      <c r="V901" s="1">
        <v>241.0</v>
      </c>
      <c r="W901" s="1">
        <v>0.0</v>
      </c>
      <c r="X901" s="1">
        <v>1.0</v>
      </c>
      <c r="Y901" s="1">
        <v>2.35</v>
      </c>
      <c r="Z901" s="1">
        <v>7.1</v>
      </c>
    </row>
    <row r="902" ht="14.25" customHeight="1">
      <c r="A902" s="1" t="s">
        <v>26</v>
      </c>
      <c r="B902" s="1" t="s">
        <v>4812</v>
      </c>
      <c r="C902" s="1" t="s">
        <v>4813</v>
      </c>
      <c r="D902" s="1">
        <v>8.1022333E7</v>
      </c>
      <c r="E902" s="1" t="s">
        <v>1372</v>
      </c>
      <c r="F902" s="1" t="s">
        <v>4814</v>
      </c>
      <c r="G902" s="1" t="s">
        <v>1449</v>
      </c>
      <c r="H902" s="1" t="s">
        <v>1427</v>
      </c>
      <c r="I902" s="1">
        <v>34471.0</v>
      </c>
      <c r="J902" s="1" t="s">
        <v>4815</v>
      </c>
      <c r="K902" s="1" t="s">
        <v>4816</v>
      </c>
      <c r="L902" s="1">
        <v>147.0</v>
      </c>
      <c r="M902" s="1" t="s">
        <v>35</v>
      </c>
      <c r="N902" s="1" t="s">
        <v>36</v>
      </c>
      <c r="O902" s="1" t="s">
        <v>37</v>
      </c>
      <c r="P902" s="1">
        <v>5.0E7</v>
      </c>
      <c r="Q902" s="1">
        <v>1995.0</v>
      </c>
      <c r="R902" s="1">
        <v>426.0</v>
      </c>
      <c r="S902" s="1">
        <v>387.0</v>
      </c>
      <c r="T902" s="1">
        <v>293.0</v>
      </c>
      <c r="U902" s="1">
        <v>1761.0</v>
      </c>
      <c r="V902" s="1">
        <v>155.0</v>
      </c>
      <c r="W902" s="1">
        <v>0.0</v>
      </c>
      <c r="X902" s="1">
        <v>0.0</v>
      </c>
      <c r="Y902" s="1">
        <v>1.85</v>
      </c>
      <c r="Z902" s="1">
        <v>5.0</v>
      </c>
    </row>
    <row r="903" ht="14.25" customHeight="1">
      <c r="A903" s="1" t="s">
        <v>26</v>
      </c>
      <c r="B903" s="1" t="s">
        <v>1002</v>
      </c>
      <c r="C903" s="1" t="s">
        <v>4817</v>
      </c>
      <c r="D903" s="1">
        <v>7.9948113E7</v>
      </c>
      <c r="E903" s="1" t="s">
        <v>2117</v>
      </c>
      <c r="F903" s="1" t="s">
        <v>668</v>
      </c>
      <c r="G903" s="1" t="s">
        <v>988</v>
      </c>
      <c r="H903" s="1" t="s">
        <v>4818</v>
      </c>
      <c r="I903" s="1">
        <v>186879.0</v>
      </c>
      <c r="J903" s="1" t="s">
        <v>4819</v>
      </c>
      <c r="K903" s="1" t="s">
        <v>4820</v>
      </c>
      <c r="L903" s="1">
        <v>791.0</v>
      </c>
      <c r="M903" s="1" t="s">
        <v>35</v>
      </c>
      <c r="N903" s="1" t="s">
        <v>36</v>
      </c>
      <c r="O903" s="1" t="s">
        <v>37</v>
      </c>
      <c r="P903" s="1">
        <v>5.0E7</v>
      </c>
      <c r="Q903" s="1">
        <v>2009.0</v>
      </c>
      <c r="R903" s="1">
        <v>12000.0</v>
      </c>
      <c r="S903" s="1">
        <v>748.0</v>
      </c>
      <c r="T903" s="1">
        <v>329.0</v>
      </c>
      <c r="U903" s="1">
        <v>13421.0</v>
      </c>
      <c r="V903" s="1">
        <v>295.0</v>
      </c>
      <c r="W903" s="1">
        <v>0.0</v>
      </c>
      <c r="X903" s="1">
        <v>0.0</v>
      </c>
      <c r="Y903" s="1">
        <v>2.35</v>
      </c>
      <c r="Z903" s="1">
        <v>6.2</v>
      </c>
    </row>
    <row r="904" ht="14.25" customHeight="1">
      <c r="A904" s="1" t="s">
        <v>26</v>
      </c>
      <c r="B904" s="1" t="s">
        <v>4415</v>
      </c>
      <c r="C904" s="1" t="s">
        <v>4821</v>
      </c>
      <c r="D904" s="1">
        <v>8.8658172E7</v>
      </c>
      <c r="E904" s="1" t="s">
        <v>1598</v>
      </c>
      <c r="F904" s="1" t="s">
        <v>631</v>
      </c>
      <c r="G904" s="1" t="s">
        <v>637</v>
      </c>
      <c r="H904" s="1" t="s">
        <v>1868</v>
      </c>
      <c r="I904" s="1">
        <v>58412.0</v>
      </c>
      <c r="J904" s="1" t="s">
        <v>4822</v>
      </c>
      <c r="K904" s="1" t="s">
        <v>4823</v>
      </c>
      <c r="L904" s="1">
        <v>242.0</v>
      </c>
      <c r="M904" s="1" t="s">
        <v>35</v>
      </c>
      <c r="N904" s="1" t="s">
        <v>36</v>
      </c>
      <c r="O904" s="1" t="s">
        <v>37</v>
      </c>
      <c r="P904" s="1">
        <v>5.0E7</v>
      </c>
      <c r="Q904" s="1">
        <v>2006.0</v>
      </c>
      <c r="R904" s="1">
        <v>14000.0</v>
      </c>
      <c r="S904" s="1">
        <v>11000.0</v>
      </c>
      <c r="T904" s="1">
        <v>11000.0</v>
      </c>
      <c r="U904" s="1">
        <v>37967.0</v>
      </c>
      <c r="V904" s="1">
        <v>9.0</v>
      </c>
      <c r="W904" s="1">
        <v>2000.0</v>
      </c>
      <c r="X904" s="1">
        <v>2.0</v>
      </c>
      <c r="Y904" s="1">
        <v>2.35</v>
      </c>
      <c r="Z904" s="1">
        <v>5.6</v>
      </c>
    </row>
    <row r="905" ht="14.25" customHeight="1">
      <c r="A905" s="1" t="s">
        <v>26</v>
      </c>
      <c r="B905" s="1" t="s">
        <v>3548</v>
      </c>
      <c r="C905" s="1" t="s">
        <v>4824</v>
      </c>
      <c r="D905" s="1">
        <v>8.4244877E7</v>
      </c>
      <c r="E905" s="1" t="s">
        <v>1359</v>
      </c>
      <c r="F905" s="1" t="s">
        <v>4002</v>
      </c>
      <c r="G905" s="1" t="s">
        <v>174</v>
      </c>
      <c r="H905" s="1" t="s">
        <v>503</v>
      </c>
      <c r="I905" s="1">
        <v>375456.0</v>
      </c>
      <c r="J905" s="1" t="s">
        <v>4825</v>
      </c>
      <c r="K905" s="1" t="s">
        <v>4826</v>
      </c>
      <c r="L905" s="1">
        <v>292.0</v>
      </c>
      <c r="M905" s="1" t="s">
        <v>35</v>
      </c>
      <c r="N905" s="1" t="s">
        <v>36</v>
      </c>
      <c r="O905" s="1" t="s">
        <v>37</v>
      </c>
      <c r="P905" s="1">
        <v>5.0E7</v>
      </c>
      <c r="Q905" s="1">
        <v>2011.0</v>
      </c>
      <c r="R905" s="1">
        <v>33000.0</v>
      </c>
      <c r="S905" s="1">
        <v>15000.0</v>
      </c>
      <c r="T905" s="1">
        <v>7000.0</v>
      </c>
      <c r="U905" s="1">
        <v>57426.0</v>
      </c>
      <c r="V905" s="1">
        <v>43.0</v>
      </c>
      <c r="W905" s="1">
        <v>44000.0</v>
      </c>
      <c r="X905" s="1">
        <v>7.0</v>
      </c>
      <c r="Y905" s="1">
        <v>2.39</v>
      </c>
      <c r="Z905" s="1">
        <v>7.4</v>
      </c>
    </row>
    <row r="906" ht="14.25" customHeight="1">
      <c r="A906" s="1" t="s">
        <v>26</v>
      </c>
      <c r="B906" s="1" t="s">
        <v>4827</v>
      </c>
      <c r="C906" s="1" t="s">
        <v>4828</v>
      </c>
      <c r="D906" s="1">
        <v>7.5367693E7</v>
      </c>
      <c r="E906" s="1" t="s">
        <v>756</v>
      </c>
      <c r="F906" s="1" t="s">
        <v>534</v>
      </c>
      <c r="G906" s="1" t="s">
        <v>4829</v>
      </c>
      <c r="H906" s="1" t="s">
        <v>4830</v>
      </c>
      <c r="I906" s="1">
        <v>58961.0</v>
      </c>
      <c r="J906" s="1" t="s">
        <v>4831</v>
      </c>
      <c r="K906" s="1" t="s">
        <v>4832</v>
      </c>
      <c r="L906" s="1">
        <v>232.0</v>
      </c>
      <c r="M906" s="1" t="s">
        <v>35</v>
      </c>
      <c r="N906" s="1" t="s">
        <v>36</v>
      </c>
      <c r="O906" s="1" t="s">
        <v>87</v>
      </c>
      <c r="P906" s="1">
        <v>3.5E7</v>
      </c>
      <c r="Q906" s="1">
        <v>2004.0</v>
      </c>
      <c r="R906" s="1">
        <v>13000.0</v>
      </c>
      <c r="S906" s="1">
        <v>258.0</v>
      </c>
      <c r="T906" s="1">
        <v>58.0</v>
      </c>
      <c r="U906" s="1">
        <v>13430.0</v>
      </c>
      <c r="V906" s="1">
        <v>12.0</v>
      </c>
      <c r="W906" s="1">
        <v>795.0</v>
      </c>
      <c r="X906" s="1">
        <v>0.0</v>
      </c>
      <c r="Y906" s="1">
        <v>1.85</v>
      </c>
      <c r="Z906" s="1">
        <v>5.0</v>
      </c>
    </row>
    <row r="907" ht="14.25" customHeight="1">
      <c r="A907" s="1" t="s">
        <v>26</v>
      </c>
      <c r="B907" s="1" t="s">
        <v>4833</v>
      </c>
      <c r="C907" s="1" t="s">
        <v>4834</v>
      </c>
      <c r="D907" s="1">
        <v>7.3701902E7</v>
      </c>
      <c r="E907" s="1" t="s">
        <v>2904</v>
      </c>
      <c r="F907" s="1" t="s">
        <v>1651</v>
      </c>
      <c r="G907" s="1" t="s">
        <v>3134</v>
      </c>
      <c r="H907" s="1" t="s">
        <v>1759</v>
      </c>
      <c r="I907" s="1">
        <v>27548.0</v>
      </c>
      <c r="J907" s="1" t="s">
        <v>4835</v>
      </c>
      <c r="K907" s="1" t="s">
        <v>4836</v>
      </c>
      <c r="L907" s="1">
        <v>209.0</v>
      </c>
      <c r="M907" s="1" t="s">
        <v>35</v>
      </c>
      <c r="N907" s="1" t="s">
        <v>36</v>
      </c>
      <c r="O907" s="1" t="s">
        <v>87</v>
      </c>
      <c r="P907" s="1">
        <v>6.0E7</v>
      </c>
      <c r="Q907" s="1">
        <v>2004.0</v>
      </c>
      <c r="R907" s="1">
        <v>2000.0</v>
      </c>
      <c r="S907" s="1">
        <v>843.0</v>
      </c>
      <c r="T907" s="1">
        <v>660.0</v>
      </c>
      <c r="U907" s="1">
        <v>6729.0</v>
      </c>
      <c r="V907" s="1">
        <v>148.0</v>
      </c>
      <c r="W907" s="1">
        <v>0.0</v>
      </c>
      <c r="X907" s="1">
        <v>1.0</v>
      </c>
      <c r="Y907" s="1">
        <v>2.35</v>
      </c>
      <c r="Z907" s="1">
        <v>5.2</v>
      </c>
    </row>
    <row r="908" ht="14.25" customHeight="1">
      <c r="A908" s="1" t="s">
        <v>26</v>
      </c>
      <c r="B908" s="1" t="s">
        <v>4837</v>
      </c>
      <c r="C908" s="1" t="s">
        <v>4838</v>
      </c>
      <c r="D908" s="1">
        <v>7.5605492E7</v>
      </c>
      <c r="E908" s="1" t="s">
        <v>1557</v>
      </c>
      <c r="F908" s="1" t="s">
        <v>662</v>
      </c>
      <c r="G908" s="1" t="s">
        <v>423</v>
      </c>
      <c r="H908" s="1" t="s">
        <v>335</v>
      </c>
      <c r="I908" s="1">
        <v>283563.0</v>
      </c>
      <c r="J908" s="1" t="s">
        <v>4839</v>
      </c>
      <c r="K908" s="1" t="s">
        <v>4840</v>
      </c>
      <c r="L908" s="1">
        <v>312.0</v>
      </c>
      <c r="M908" s="1" t="s">
        <v>35</v>
      </c>
      <c r="N908" s="1" t="s">
        <v>36</v>
      </c>
      <c r="O908" s="1" t="s">
        <v>37</v>
      </c>
      <c r="P908" s="1">
        <v>5.0E7</v>
      </c>
      <c r="Q908" s="1">
        <v>2011.0</v>
      </c>
      <c r="R908" s="1">
        <v>22000.0</v>
      </c>
      <c r="S908" s="1">
        <v>18000.0</v>
      </c>
      <c r="T908" s="1">
        <v>11000.0</v>
      </c>
      <c r="U908" s="1">
        <v>53094.0</v>
      </c>
      <c r="V908" s="1">
        <v>152.0</v>
      </c>
      <c r="W908" s="1">
        <v>27000.0</v>
      </c>
      <c r="X908" s="1">
        <v>1.0</v>
      </c>
      <c r="Y908" s="1">
        <v>1.85</v>
      </c>
      <c r="Z908" s="1">
        <v>7.6</v>
      </c>
    </row>
    <row r="909" ht="14.25" customHeight="1">
      <c r="A909" s="1" t="s">
        <v>26</v>
      </c>
      <c r="B909" s="1" t="s">
        <v>673</v>
      </c>
      <c r="C909" s="1" t="s">
        <v>4841</v>
      </c>
      <c r="D909" s="1">
        <v>6.7823573E7</v>
      </c>
      <c r="E909" s="1" t="s">
        <v>886</v>
      </c>
      <c r="F909" s="1" t="s">
        <v>112</v>
      </c>
      <c r="G909" s="1" t="s">
        <v>451</v>
      </c>
      <c r="H909" s="1" t="s">
        <v>1023</v>
      </c>
      <c r="I909" s="1">
        <v>91176.0</v>
      </c>
      <c r="J909" s="1" t="s">
        <v>4842</v>
      </c>
      <c r="K909" s="1" t="s">
        <v>4843</v>
      </c>
      <c r="L909" s="1">
        <v>130.0</v>
      </c>
      <c r="M909" s="1" t="s">
        <v>35</v>
      </c>
      <c r="N909" s="1" t="s">
        <v>36</v>
      </c>
      <c r="O909" s="1" t="s">
        <v>628</v>
      </c>
      <c r="P909" s="1">
        <v>5.0E7</v>
      </c>
      <c r="Q909" s="1">
        <v>1995.0</v>
      </c>
      <c r="R909" s="1">
        <v>18000.0</v>
      </c>
      <c r="S909" s="1">
        <v>11000.0</v>
      </c>
      <c r="T909" s="1">
        <v>808.0</v>
      </c>
      <c r="U909" s="1">
        <v>30383.0</v>
      </c>
      <c r="V909" s="1">
        <v>249.0</v>
      </c>
      <c r="W909" s="1">
        <v>0.0</v>
      </c>
      <c r="X909" s="1">
        <v>3.0</v>
      </c>
      <c r="Y909" s="1">
        <v>1.85</v>
      </c>
      <c r="Z909" s="1">
        <v>6.6</v>
      </c>
    </row>
    <row r="910" ht="14.25" customHeight="1">
      <c r="A910" s="1" t="s">
        <v>26</v>
      </c>
      <c r="B910" s="1" t="s">
        <v>4844</v>
      </c>
      <c r="C910" s="1" t="s">
        <v>4845</v>
      </c>
      <c r="D910" s="1">
        <v>9.14394E7</v>
      </c>
      <c r="E910" s="1" t="s">
        <v>1112</v>
      </c>
      <c r="F910" s="1" t="s">
        <v>220</v>
      </c>
      <c r="G910" s="1" t="s">
        <v>4263</v>
      </c>
      <c r="H910" s="1" t="s">
        <v>4846</v>
      </c>
      <c r="I910" s="1">
        <v>200647.0</v>
      </c>
      <c r="J910" s="1" t="s">
        <v>4847</v>
      </c>
      <c r="K910" s="1" t="s">
        <v>4848</v>
      </c>
      <c r="L910" s="1">
        <v>384.0</v>
      </c>
      <c r="M910" s="1" t="s">
        <v>35</v>
      </c>
      <c r="N910" s="1" t="s">
        <v>54</v>
      </c>
      <c r="O910" s="1" t="s">
        <v>37</v>
      </c>
      <c r="P910" s="1">
        <v>5.0E7</v>
      </c>
      <c r="Q910" s="1">
        <v>2014.0</v>
      </c>
      <c r="R910" s="1">
        <v>14000.0</v>
      </c>
      <c r="S910" s="1">
        <v>664.0</v>
      </c>
      <c r="T910" s="1">
        <v>660.0</v>
      </c>
      <c r="U910" s="1">
        <v>16967.0</v>
      </c>
      <c r="V910" s="1">
        <v>174.0</v>
      </c>
      <c r="W910" s="1">
        <v>24000.0</v>
      </c>
      <c r="X910" s="1">
        <v>0.0</v>
      </c>
      <c r="Y910" s="1">
        <v>2.35</v>
      </c>
      <c r="Z910" s="1">
        <v>7.0</v>
      </c>
    </row>
    <row r="911" ht="14.25" customHeight="1">
      <c r="A911" s="1" t="s">
        <v>26</v>
      </c>
      <c r="B911" s="1" t="s">
        <v>4849</v>
      </c>
      <c r="C911" s="1" t="s">
        <v>4850</v>
      </c>
      <c r="D911" s="1">
        <v>6.7128202E7</v>
      </c>
      <c r="E911" s="1" t="s">
        <v>4851</v>
      </c>
      <c r="F911" s="1" t="s">
        <v>1036</v>
      </c>
      <c r="G911" s="1" t="s">
        <v>4852</v>
      </c>
      <c r="H911" s="1" t="s">
        <v>895</v>
      </c>
      <c r="I911" s="1">
        <v>43328.0</v>
      </c>
      <c r="J911" s="1" t="s">
        <v>4853</v>
      </c>
      <c r="K911" s="1" t="s">
        <v>4854</v>
      </c>
      <c r="L911" s="1">
        <v>110.0</v>
      </c>
      <c r="M911" s="1" t="s">
        <v>35</v>
      </c>
      <c r="N911" s="1" t="s">
        <v>36</v>
      </c>
      <c r="O911" s="1" t="s">
        <v>87</v>
      </c>
      <c r="P911" s="1">
        <v>6.5E7</v>
      </c>
      <c r="Q911" s="1">
        <v>2009.0</v>
      </c>
      <c r="R911" s="1">
        <v>12000.0</v>
      </c>
      <c r="S911" s="1">
        <v>536.0</v>
      </c>
      <c r="T911" s="1">
        <v>433.0</v>
      </c>
      <c r="U911" s="1">
        <v>14007.0</v>
      </c>
      <c r="V911" s="1">
        <v>99.0</v>
      </c>
      <c r="W911" s="1">
        <v>0.0</v>
      </c>
      <c r="X911" s="1">
        <v>3.0</v>
      </c>
      <c r="Y911" s="1">
        <v>2.35</v>
      </c>
      <c r="Z911" s="1">
        <v>5.7</v>
      </c>
    </row>
    <row r="912" ht="14.25" customHeight="1">
      <c r="A912" s="1" t="s">
        <v>26</v>
      </c>
      <c r="B912" s="1" t="s">
        <v>4855</v>
      </c>
      <c r="C912" s="1" t="s">
        <v>4856</v>
      </c>
      <c r="D912" s="1">
        <v>7.0496802E7</v>
      </c>
      <c r="E912" s="1" t="s">
        <v>886</v>
      </c>
      <c r="F912" s="1" t="s">
        <v>805</v>
      </c>
      <c r="G912" s="1" t="s">
        <v>351</v>
      </c>
      <c r="H912" s="1" t="s">
        <v>4857</v>
      </c>
      <c r="I912" s="1">
        <v>791783.0</v>
      </c>
      <c r="J912" s="1" t="s">
        <v>4858</v>
      </c>
      <c r="K912" s="1" t="s">
        <v>4859</v>
      </c>
      <c r="L912" s="1">
        <v>2042.0</v>
      </c>
      <c r="M912" s="1" t="s">
        <v>35</v>
      </c>
      <c r="N912" s="1" t="s">
        <v>36</v>
      </c>
      <c r="O912" s="1" t="s">
        <v>628</v>
      </c>
      <c r="P912" s="1">
        <v>5.4E7</v>
      </c>
      <c r="Q912" s="1">
        <v>2005.0</v>
      </c>
      <c r="R912" s="1">
        <v>20000.0</v>
      </c>
      <c r="S912" s="1">
        <v>979.0</v>
      </c>
      <c r="T912" s="1">
        <v>443.0</v>
      </c>
      <c r="U912" s="1">
        <v>22417.0</v>
      </c>
      <c r="V912" s="1">
        <v>160.0</v>
      </c>
      <c r="W912" s="1">
        <v>48000.0</v>
      </c>
      <c r="X912" s="1">
        <v>1.0</v>
      </c>
      <c r="Y912" s="1">
        <v>2.35</v>
      </c>
      <c r="Z912" s="1">
        <v>8.2</v>
      </c>
    </row>
    <row r="913" ht="14.25" customHeight="1">
      <c r="A913" s="1" t="s">
        <v>26</v>
      </c>
      <c r="B913" s="1" t="s">
        <v>4681</v>
      </c>
      <c r="C913" s="1" t="s">
        <v>4860</v>
      </c>
      <c r="D913" s="1">
        <v>6.047022E7</v>
      </c>
      <c r="E913" s="1" t="s">
        <v>1551</v>
      </c>
      <c r="F913" s="1" t="s">
        <v>4861</v>
      </c>
      <c r="G913" s="1" t="s">
        <v>4862</v>
      </c>
      <c r="H913" s="1" t="s">
        <v>4863</v>
      </c>
      <c r="I913" s="1">
        <v>81444.0</v>
      </c>
      <c r="J913" s="1" t="s">
        <v>4864</v>
      </c>
      <c r="K913" s="1" t="s">
        <v>4865</v>
      </c>
      <c r="L913" s="1">
        <v>192.0</v>
      </c>
      <c r="M913" s="1" t="s">
        <v>35</v>
      </c>
      <c r="N913" s="1" t="s">
        <v>36</v>
      </c>
      <c r="O913" s="1" t="s">
        <v>37</v>
      </c>
      <c r="P913" s="1">
        <v>5.0E7</v>
      </c>
      <c r="Q913" s="1">
        <v>2003.0</v>
      </c>
      <c r="R913" s="1">
        <v>154.0</v>
      </c>
      <c r="S913" s="1">
        <v>131.0</v>
      </c>
      <c r="T913" s="1">
        <v>55.0</v>
      </c>
      <c r="U913" s="1">
        <v>428.0</v>
      </c>
      <c r="V913" s="1">
        <v>71.0</v>
      </c>
      <c r="W913" s="1">
        <v>955.0</v>
      </c>
      <c r="X913" s="1">
        <v>2.0</v>
      </c>
      <c r="Y913" s="1">
        <v>2.35</v>
      </c>
      <c r="Z913" s="1">
        <v>6.2</v>
      </c>
    </row>
    <row r="914" ht="14.25" customHeight="1">
      <c r="A914" s="1" t="s">
        <v>26</v>
      </c>
      <c r="B914" s="1" t="s">
        <v>4866</v>
      </c>
      <c r="C914" s="1" t="s">
        <v>4867</v>
      </c>
      <c r="D914" s="1">
        <v>5.8336565E7</v>
      </c>
      <c r="E914" s="1" t="s">
        <v>456</v>
      </c>
      <c r="F914" s="1" t="s">
        <v>1197</v>
      </c>
      <c r="G914" s="1" t="s">
        <v>1905</v>
      </c>
      <c r="H914" s="1" t="s">
        <v>1926</v>
      </c>
      <c r="I914" s="1">
        <v>12845.0</v>
      </c>
      <c r="J914" s="1" t="s">
        <v>4868</v>
      </c>
      <c r="K914" s="1" t="s">
        <v>4869</v>
      </c>
      <c r="L914" s="1">
        <v>118.0</v>
      </c>
      <c r="M914" s="1" t="s">
        <v>35</v>
      </c>
      <c r="N914" s="1" t="s">
        <v>36</v>
      </c>
      <c r="O914" s="1" t="s">
        <v>269</v>
      </c>
      <c r="P914" s="1">
        <v>5.0E7</v>
      </c>
      <c r="Q914" s="1">
        <v>2006.0</v>
      </c>
      <c r="R914" s="1">
        <v>8000.0</v>
      </c>
      <c r="S914" s="1">
        <v>2000.0</v>
      </c>
      <c r="T914" s="1">
        <v>1000.0</v>
      </c>
      <c r="U914" s="1">
        <v>11124.0</v>
      </c>
      <c r="V914" s="1">
        <v>5.0</v>
      </c>
      <c r="W914" s="1">
        <v>624.0</v>
      </c>
      <c r="X914" s="1">
        <v>0.0</v>
      </c>
      <c r="Y914" s="1">
        <v>1.85</v>
      </c>
      <c r="Z914" s="1">
        <v>6.6</v>
      </c>
    </row>
    <row r="915" ht="14.25" customHeight="1">
      <c r="A915" s="1" t="s">
        <v>26</v>
      </c>
      <c r="B915" s="1" t="s">
        <v>4870</v>
      </c>
      <c r="C915" s="1" t="s">
        <v>4871</v>
      </c>
      <c r="D915" s="1">
        <v>6.6002004E7</v>
      </c>
      <c r="E915" s="1" t="s">
        <v>4872</v>
      </c>
      <c r="F915" s="1" t="s">
        <v>4846</v>
      </c>
      <c r="G915" s="1" t="s">
        <v>4768</v>
      </c>
      <c r="H915" s="1" t="s">
        <v>4873</v>
      </c>
      <c r="I915" s="1">
        <v>36431.0</v>
      </c>
      <c r="J915" s="1" t="s">
        <v>4874</v>
      </c>
      <c r="K915" s="1" t="s">
        <v>4875</v>
      </c>
      <c r="L915" s="1">
        <v>168.0</v>
      </c>
      <c r="M915" s="1" t="s">
        <v>35</v>
      </c>
      <c r="N915" s="1" t="s">
        <v>36</v>
      </c>
      <c r="O915" s="1" t="s">
        <v>269</v>
      </c>
      <c r="P915" s="1">
        <v>5.0E7</v>
      </c>
      <c r="Q915" s="1">
        <v>2005.0</v>
      </c>
      <c r="R915" s="1">
        <v>660.0</v>
      </c>
      <c r="S915" s="1">
        <v>651.0</v>
      </c>
      <c r="T915" s="1">
        <v>541.0</v>
      </c>
      <c r="U915" s="1">
        <v>2177.0</v>
      </c>
      <c r="V915" s="1">
        <v>23.0</v>
      </c>
      <c r="W915" s="1">
        <v>1000.0</v>
      </c>
      <c r="X915" s="1">
        <v>1.0</v>
      </c>
      <c r="Y915" s="1">
        <v>1.85</v>
      </c>
      <c r="Z915" s="1">
        <v>4.7</v>
      </c>
    </row>
    <row r="916" ht="14.25" customHeight="1">
      <c r="A916" s="1" t="s">
        <v>26</v>
      </c>
      <c r="B916" s="1" t="s">
        <v>4876</v>
      </c>
      <c r="C916" s="1" t="s">
        <v>4877</v>
      </c>
      <c r="D916" s="1">
        <v>5.4997476E7</v>
      </c>
      <c r="E916" s="1" t="s">
        <v>2061</v>
      </c>
      <c r="F916" s="1" t="s">
        <v>415</v>
      </c>
      <c r="G916" s="1" t="s">
        <v>4878</v>
      </c>
      <c r="H916" s="1" t="s">
        <v>4879</v>
      </c>
      <c r="I916" s="1">
        <v>40362.0</v>
      </c>
      <c r="J916" s="1" t="s">
        <v>4880</v>
      </c>
      <c r="K916" s="1" t="s">
        <v>4881</v>
      </c>
      <c r="L916" s="1">
        <v>248.0</v>
      </c>
      <c r="M916" s="1" t="s">
        <v>35</v>
      </c>
      <c r="N916" s="1" t="s">
        <v>36</v>
      </c>
      <c r="O916" s="1" t="s">
        <v>628</v>
      </c>
      <c r="P916" s="1">
        <v>5.0E7</v>
      </c>
      <c r="Q916" s="1">
        <v>2001.0</v>
      </c>
      <c r="R916" s="1">
        <v>1000.0</v>
      </c>
      <c r="S916" s="1">
        <v>912.0</v>
      </c>
      <c r="T916" s="1">
        <v>477.0</v>
      </c>
      <c r="U916" s="1">
        <v>3341.0</v>
      </c>
      <c r="V916" s="1">
        <v>39.0</v>
      </c>
      <c r="W916" s="1">
        <v>970.0</v>
      </c>
      <c r="X916" s="1">
        <v>0.0</v>
      </c>
      <c r="Y916" s="1">
        <v>2.35</v>
      </c>
      <c r="Z916" s="1">
        <v>6.3</v>
      </c>
    </row>
    <row r="917" ht="14.25" customHeight="1">
      <c r="A917" s="1" t="s">
        <v>26</v>
      </c>
      <c r="B917" s="1" t="s">
        <v>4882</v>
      </c>
      <c r="C917" s="1" t="s">
        <v>4883</v>
      </c>
      <c r="D917" s="1">
        <v>5.568207E7</v>
      </c>
      <c r="E917" s="1" t="s">
        <v>3286</v>
      </c>
      <c r="F917" s="1" t="s">
        <v>851</v>
      </c>
      <c r="G917" s="1" t="s">
        <v>4884</v>
      </c>
      <c r="H917" s="1" t="s">
        <v>1783</v>
      </c>
      <c r="I917" s="1">
        <v>159868.0</v>
      </c>
      <c r="J917" s="1" t="s">
        <v>4885</v>
      </c>
      <c r="K917" s="1" t="s">
        <v>4886</v>
      </c>
      <c r="L917" s="1">
        <v>304.0</v>
      </c>
      <c r="M917" s="1" t="s">
        <v>35</v>
      </c>
      <c r="N917" s="1" t="s">
        <v>730</v>
      </c>
      <c r="O917" s="1" t="s">
        <v>628</v>
      </c>
      <c r="P917" s="1">
        <v>5.0E7</v>
      </c>
      <c r="Q917" s="1">
        <v>2013.0</v>
      </c>
      <c r="R917" s="1">
        <v>10000.0</v>
      </c>
      <c r="S917" s="1">
        <v>520.0</v>
      </c>
      <c r="T917" s="1">
        <v>467.0</v>
      </c>
      <c r="U917" s="1">
        <v>11946.0</v>
      </c>
      <c r="V917" s="1">
        <v>75.0</v>
      </c>
      <c r="W917" s="1">
        <v>45000.0</v>
      </c>
      <c r="X917" s="1">
        <v>2.0</v>
      </c>
      <c r="Y917" s="1">
        <v>2.35</v>
      </c>
      <c r="Z917" s="1">
        <v>6.1</v>
      </c>
    </row>
    <row r="918" ht="14.25" customHeight="1">
      <c r="A918" s="1" t="s">
        <v>26</v>
      </c>
      <c r="B918" s="1" t="s">
        <v>4887</v>
      </c>
      <c r="C918" s="1" t="s">
        <v>4888</v>
      </c>
      <c r="D918" s="1">
        <v>5.2752475E7</v>
      </c>
      <c r="E918" s="1" t="s">
        <v>3868</v>
      </c>
      <c r="F918" s="1" t="s">
        <v>4889</v>
      </c>
      <c r="G918" s="1" t="s">
        <v>4890</v>
      </c>
      <c r="H918" s="1" t="s">
        <v>4891</v>
      </c>
      <c r="I918" s="1">
        <v>63067.0</v>
      </c>
      <c r="J918" s="1" t="s">
        <v>4892</v>
      </c>
      <c r="K918" s="1" t="s">
        <v>4893</v>
      </c>
      <c r="L918" s="1">
        <v>533.0</v>
      </c>
      <c r="M918" s="1" t="s">
        <v>35</v>
      </c>
      <c r="N918" s="1" t="s">
        <v>36</v>
      </c>
      <c r="O918" s="1" t="s">
        <v>628</v>
      </c>
      <c r="P918" s="1">
        <v>5.0E7</v>
      </c>
      <c r="Q918" s="1">
        <v>2002.0</v>
      </c>
      <c r="R918" s="1">
        <v>838.0</v>
      </c>
      <c r="S918" s="1">
        <v>593.0</v>
      </c>
      <c r="T918" s="1">
        <v>372.0</v>
      </c>
      <c r="U918" s="1">
        <v>2583.0</v>
      </c>
      <c r="V918" s="1">
        <v>213.0</v>
      </c>
      <c r="W918" s="1">
        <v>0.0</v>
      </c>
      <c r="X918" s="1">
        <v>0.0</v>
      </c>
      <c r="Y918" s="1">
        <v>1.85</v>
      </c>
      <c r="Z918" s="1">
        <v>6.7</v>
      </c>
    </row>
    <row r="919" ht="14.25" customHeight="1">
      <c r="A919" s="1" t="s">
        <v>26</v>
      </c>
      <c r="B919" s="1" t="s">
        <v>2523</v>
      </c>
      <c r="C919" s="1" t="s">
        <v>4894</v>
      </c>
      <c r="D919" s="1">
        <v>5.509283E7</v>
      </c>
      <c r="E919" s="1" t="s">
        <v>219</v>
      </c>
      <c r="F919" s="1" t="s">
        <v>4895</v>
      </c>
      <c r="G919" s="1" t="s">
        <v>4896</v>
      </c>
      <c r="H919" s="1" t="s">
        <v>4897</v>
      </c>
      <c r="I919" s="1">
        <v>195043.0</v>
      </c>
      <c r="J919" s="1" t="s">
        <v>4898</v>
      </c>
      <c r="K919" s="1" t="s">
        <v>4899</v>
      </c>
      <c r="L919" s="1">
        <v>329.0</v>
      </c>
      <c r="M919" s="1" t="s">
        <v>35</v>
      </c>
      <c r="N919" s="1" t="s">
        <v>36</v>
      </c>
      <c r="O919" s="1" t="s">
        <v>37</v>
      </c>
      <c r="P919" s="1">
        <v>6.0E7</v>
      </c>
      <c r="Q919" s="1">
        <v>2011.0</v>
      </c>
      <c r="R919" s="1">
        <v>15000.0</v>
      </c>
      <c r="S919" s="1">
        <v>348.0</v>
      </c>
      <c r="T919" s="1">
        <v>144.0</v>
      </c>
      <c r="U919" s="1">
        <v>15608.0</v>
      </c>
      <c r="V919" s="1">
        <v>154.0</v>
      </c>
      <c r="W919" s="1">
        <v>27000.0</v>
      </c>
      <c r="X919" s="1">
        <v>1.0</v>
      </c>
      <c r="Y919" s="1">
        <v>1.85</v>
      </c>
      <c r="Z919" s="1">
        <v>6.1</v>
      </c>
    </row>
    <row r="920" ht="14.25" customHeight="1">
      <c r="A920" s="1" t="s">
        <v>26</v>
      </c>
      <c r="B920" s="1" t="s">
        <v>4900</v>
      </c>
      <c r="C920" s="1" t="s">
        <v>4901</v>
      </c>
      <c r="D920" s="1">
        <v>5.0815288E7</v>
      </c>
      <c r="E920" s="1" t="s">
        <v>3868</v>
      </c>
      <c r="F920" s="1" t="s">
        <v>1113</v>
      </c>
      <c r="G920" s="1" t="s">
        <v>4902</v>
      </c>
      <c r="H920" s="1" t="s">
        <v>4903</v>
      </c>
      <c r="I920" s="1">
        <v>109188.0</v>
      </c>
      <c r="J920" s="1" t="s">
        <v>4904</v>
      </c>
      <c r="K920" s="1" t="s">
        <v>4905</v>
      </c>
      <c r="L920" s="1">
        <v>625.0</v>
      </c>
      <c r="M920" s="1" t="s">
        <v>35</v>
      </c>
      <c r="N920" s="1" t="s">
        <v>36</v>
      </c>
      <c r="O920" s="1" t="s">
        <v>628</v>
      </c>
      <c r="P920" s="1">
        <v>5.0E7</v>
      </c>
      <c r="Q920" s="1">
        <v>2005.0</v>
      </c>
      <c r="R920" s="1">
        <v>13000.0</v>
      </c>
      <c r="S920" s="1">
        <v>903.0</v>
      </c>
      <c r="T920" s="1">
        <v>414.0</v>
      </c>
      <c r="U920" s="1">
        <v>14747.0</v>
      </c>
      <c r="V920" s="1">
        <v>79.0</v>
      </c>
      <c r="W920" s="1">
        <v>0.0</v>
      </c>
      <c r="X920" s="1">
        <v>0.0</v>
      </c>
      <c r="Y920" s="1">
        <v>2.35</v>
      </c>
      <c r="Z920" s="1">
        <v>7.0</v>
      </c>
    </row>
    <row r="921" ht="14.25" customHeight="1">
      <c r="A921" s="1" t="s">
        <v>26</v>
      </c>
      <c r="B921" s="1" t="s">
        <v>270</v>
      </c>
      <c r="C921" s="1" t="s">
        <v>4906</v>
      </c>
      <c r="D921" s="1">
        <v>5.2822418E7</v>
      </c>
      <c r="E921" s="1" t="s">
        <v>1827</v>
      </c>
      <c r="F921" s="1" t="s">
        <v>927</v>
      </c>
      <c r="G921" s="1" t="s">
        <v>4907</v>
      </c>
      <c r="H921" s="1" t="s">
        <v>4908</v>
      </c>
      <c r="I921" s="1">
        <v>47764.0</v>
      </c>
      <c r="J921" s="1" t="s">
        <v>4909</v>
      </c>
      <c r="K921" s="1" t="s">
        <v>4910</v>
      </c>
      <c r="L921" s="1">
        <v>219.0</v>
      </c>
      <c r="M921" s="1" t="s">
        <v>35</v>
      </c>
      <c r="N921" s="1" t="s">
        <v>36</v>
      </c>
      <c r="O921" s="1" t="s">
        <v>628</v>
      </c>
      <c r="P921" s="1">
        <v>5.0E7</v>
      </c>
      <c r="Q921" s="1">
        <v>2016.0</v>
      </c>
      <c r="R921" s="1">
        <v>769.0</v>
      </c>
      <c r="S921" s="1">
        <v>726.0</v>
      </c>
      <c r="T921" s="1">
        <v>681.0</v>
      </c>
      <c r="U921" s="1">
        <v>3580.0</v>
      </c>
      <c r="V921" s="1">
        <v>0.0</v>
      </c>
      <c r="W921" s="1">
        <v>44000.0</v>
      </c>
      <c r="X921" s="1">
        <v>0.0</v>
      </c>
      <c r="Y921" s="1">
        <v>2.35</v>
      </c>
      <c r="Z921" s="1">
        <v>7.4</v>
      </c>
    </row>
    <row r="922" ht="14.25" customHeight="1">
      <c r="A922" s="1" t="s">
        <v>26</v>
      </c>
      <c r="B922" s="1" t="s">
        <v>4911</v>
      </c>
      <c r="C922" s="1" t="s">
        <v>4912</v>
      </c>
      <c r="D922" s="1">
        <v>5.0150619E7</v>
      </c>
      <c r="E922" s="1" t="s">
        <v>3128</v>
      </c>
      <c r="F922" s="1" t="s">
        <v>430</v>
      </c>
      <c r="G922" s="1" t="s">
        <v>3140</v>
      </c>
      <c r="H922" s="1" t="s">
        <v>4913</v>
      </c>
      <c r="I922" s="1">
        <v>45580.0</v>
      </c>
      <c r="J922" s="1" t="s">
        <v>4914</v>
      </c>
      <c r="K922" s="1" t="s">
        <v>4915</v>
      </c>
      <c r="L922" s="1">
        <v>102.0</v>
      </c>
      <c r="M922" s="1" t="s">
        <v>35</v>
      </c>
      <c r="N922" s="1" t="s">
        <v>36</v>
      </c>
      <c r="O922" s="1" t="s">
        <v>87</v>
      </c>
      <c r="P922" s="1">
        <v>5.0E7</v>
      </c>
      <c r="Q922" s="1">
        <v>2014.0</v>
      </c>
      <c r="R922" s="1">
        <v>17000.0</v>
      </c>
      <c r="S922" s="1">
        <v>995.0</v>
      </c>
      <c r="T922" s="1">
        <v>679.0</v>
      </c>
      <c r="U922" s="1">
        <v>19513.0</v>
      </c>
      <c r="V922" s="1">
        <v>34.0</v>
      </c>
      <c r="W922" s="1">
        <v>18000.0</v>
      </c>
      <c r="X922" s="1">
        <v>1.0</v>
      </c>
      <c r="Y922" s="1">
        <v>2.35</v>
      </c>
      <c r="Z922" s="1">
        <v>7.3</v>
      </c>
    </row>
    <row r="923" ht="14.25" customHeight="1">
      <c r="A923" s="1" t="s">
        <v>26</v>
      </c>
      <c r="B923" s="1" t="s">
        <v>4916</v>
      </c>
      <c r="C923" s="1" t="s">
        <v>4917</v>
      </c>
      <c r="D923" s="1">
        <v>4.874515E7</v>
      </c>
      <c r="E923" s="1" t="s">
        <v>1458</v>
      </c>
      <c r="F923" s="1" t="s">
        <v>502</v>
      </c>
      <c r="G923" s="1" t="s">
        <v>383</v>
      </c>
      <c r="H923" s="1" t="s">
        <v>4918</v>
      </c>
      <c r="I923" s="1">
        <v>50170.0</v>
      </c>
      <c r="J923" s="1" t="s">
        <v>4919</v>
      </c>
      <c r="K923" s="1" t="s">
        <v>4920</v>
      </c>
      <c r="L923" s="1">
        <v>306.0</v>
      </c>
      <c r="M923" s="1" t="s">
        <v>35</v>
      </c>
      <c r="N923" s="1" t="s">
        <v>36</v>
      </c>
      <c r="O923" s="1" t="s">
        <v>37</v>
      </c>
      <c r="P923" s="1">
        <v>5.0E7</v>
      </c>
      <c r="Q923" s="1">
        <v>2006.0</v>
      </c>
      <c r="R923" s="1">
        <v>87000.0</v>
      </c>
      <c r="S923" s="1">
        <v>11000.0</v>
      </c>
      <c r="T923" s="1">
        <v>935.0</v>
      </c>
      <c r="U923" s="1">
        <v>101383.0</v>
      </c>
      <c r="V923" s="1">
        <v>12.0</v>
      </c>
      <c r="W923" s="1">
        <v>773.0</v>
      </c>
      <c r="X923" s="1">
        <v>1.0</v>
      </c>
      <c r="Y923" s="1">
        <v>2.35</v>
      </c>
      <c r="Z923" s="1">
        <v>5.8</v>
      </c>
    </row>
    <row r="924" ht="14.25" customHeight="1">
      <c r="A924" s="1" t="s">
        <v>26</v>
      </c>
      <c r="B924" s="1" t="s">
        <v>3503</v>
      </c>
      <c r="C924" s="1" t="s">
        <v>4921</v>
      </c>
      <c r="D924" s="1">
        <v>5.0007168E7</v>
      </c>
      <c r="E924" s="1" t="s">
        <v>449</v>
      </c>
      <c r="F924" s="1" t="s">
        <v>3503</v>
      </c>
      <c r="G924" s="1" t="s">
        <v>1739</v>
      </c>
      <c r="H924" s="1" t="s">
        <v>1264</v>
      </c>
      <c r="I924" s="1">
        <v>39529.0</v>
      </c>
      <c r="J924" s="1" t="s">
        <v>4922</v>
      </c>
      <c r="K924" s="1" t="s">
        <v>4923</v>
      </c>
      <c r="L924" s="1">
        <v>142.0</v>
      </c>
      <c r="M924" s="1" t="s">
        <v>35</v>
      </c>
      <c r="N924" s="1" t="s">
        <v>36</v>
      </c>
      <c r="O924" s="1" t="s">
        <v>628</v>
      </c>
      <c r="P924" s="1">
        <v>5.0E7</v>
      </c>
      <c r="Q924" s="1">
        <v>1997.0</v>
      </c>
      <c r="R924" s="1">
        <v>16000.0</v>
      </c>
      <c r="S924" s="1">
        <v>1000.0</v>
      </c>
      <c r="T924" s="1">
        <v>826.0</v>
      </c>
      <c r="U924" s="1">
        <v>19139.0</v>
      </c>
      <c r="V924" s="1">
        <v>16000.0</v>
      </c>
      <c r="W924" s="1">
        <v>1000.0</v>
      </c>
      <c r="X924" s="1">
        <v>0.0</v>
      </c>
      <c r="Y924" s="1">
        <v>2.35</v>
      </c>
      <c r="Z924" s="1">
        <v>6.7</v>
      </c>
    </row>
    <row r="925" ht="14.25" customHeight="1">
      <c r="A925" s="1" t="s">
        <v>26</v>
      </c>
      <c r="B925" s="1" t="s">
        <v>179</v>
      </c>
      <c r="C925" s="1" t="s">
        <v>4924</v>
      </c>
      <c r="D925" s="1">
        <v>4.8154732E7</v>
      </c>
      <c r="E925" s="1" t="s">
        <v>1402</v>
      </c>
      <c r="F925" s="1" t="s">
        <v>2682</v>
      </c>
      <c r="G925" s="1" t="s">
        <v>1320</v>
      </c>
      <c r="H925" s="1" t="s">
        <v>973</v>
      </c>
      <c r="I925" s="1">
        <v>60326.0</v>
      </c>
      <c r="J925" s="1" t="s">
        <v>4925</v>
      </c>
      <c r="K925" s="1" t="s">
        <v>4926</v>
      </c>
      <c r="L925" s="1">
        <v>142.0</v>
      </c>
      <c r="M925" s="1" t="s">
        <v>35</v>
      </c>
      <c r="N925" s="1" t="s">
        <v>36</v>
      </c>
      <c r="O925" s="1" t="s">
        <v>628</v>
      </c>
      <c r="P925" s="1">
        <v>5.0E7</v>
      </c>
      <c r="Q925" s="1">
        <v>1997.0</v>
      </c>
      <c r="R925" s="1">
        <v>10000.0</v>
      </c>
      <c r="S925" s="1">
        <v>2000.0</v>
      </c>
      <c r="T925" s="1">
        <v>957.0</v>
      </c>
      <c r="U925" s="1">
        <v>15569.0</v>
      </c>
      <c r="V925" s="1">
        <v>0.0</v>
      </c>
      <c r="W925" s="1">
        <v>2000.0</v>
      </c>
      <c r="X925" s="1">
        <v>1.0</v>
      </c>
      <c r="Y925" s="1">
        <v>2.35</v>
      </c>
      <c r="Z925" s="1">
        <v>5.8</v>
      </c>
    </row>
    <row r="926" ht="14.25" customHeight="1">
      <c r="A926" s="1" t="s">
        <v>26</v>
      </c>
      <c r="B926" s="1" t="s">
        <v>648</v>
      </c>
      <c r="C926" s="1" t="s">
        <v>4927</v>
      </c>
      <c r="D926" s="1">
        <v>4.8265581E7</v>
      </c>
      <c r="E926" s="1" t="s">
        <v>1842</v>
      </c>
      <c r="F926" s="1" t="s">
        <v>4809</v>
      </c>
      <c r="G926" s="1" t="s">
        <v>817</v>
      </c>
      <c r="H926" s="1" t="s">
        <v>4928</v>
      </c>
      <c r="I926" s="1">
        <v>261069.0</v>
      </c>
      <c r="J926" s="1" t="s">
        <v>4929</v>
      </c>
      <c r="K926" s="1" t="s">
        <v>4930</v>
      </c>
      <c r="L926" s="1">
        <v>506.0</v>
      </c>
      <c r="M926" s="1" t="s">
        <v>35</v>
      </c>
      <c r="N926" s="1" t="s">
        <v>36</v>
      </c>
      <c r="O926" s="1" t="s">
        <v>628</v>
      </c>
      <c r="P926" s="1">
        <v>5.0E7</v>
      </c>
      <c r="Q926" s="1">
        <v>1997.0</v>
      </c>
      <c r="R926" s="1">
        <v>495.0</v>
      </c>
      <c r="S926" s="1">
        <v>294.0</v>
      </c>
      <c r="T926" s="1">
        <v>283.0</v>
      </c>
      <c r="U926" s="1">
        <v>1397.0</v>
      </c>
      <c r="V926" s="1">
        <v>21000.0</v>
      </c>
      <c r="W926" s="1">
        <v>25000.0</v>
      </c>
      <c r="X926" s="1">
        <v>1.0</v>
      </c>
      <c r="Y926" s="1">
        <v>2.35</v>
      </c>
      <c r="Z926" s="1">
        <v>7.8</v>
      </c>
    </row>
    <row r="927" ht="14.25" customHeight="1">
      <c r="A927" s="1" t="s">
        <v>26</v>
      </c>
      <c r="B927" s="1" t="s">
        <v>4931</v>
      </c>
      <c r="C927" s="1" t="s">
        <v>4932</v>
      </c>
      <c r="D927" s="1">
        <v>4.6982632E7</v>
      </c>
      <c r="E927" s="1" t="s">
        <v>4933</v>
      </c>
      <c r="F927" s="1" t="s">
        <v>3201</v>
      </c>
      <c r="G927" s="1" t="s">
        <v>4809</v>
      </c>
      <c r="H927" s="1" t="s">
        <v>4934</v>
      </c>
      <c r="I927" s="1">
        <v>172792.0</v>
      </c>
      <c r="J927" s="1" t="s">
        <v>4935</v>
      </c>
      <c r="K927" s="1" t="s">
        <v>4936</v>
      </c>
      <c r="L927" s="1">
        <v>1740.0</v>
      </c>
      <c r="M927" s="1" t="s">
        <v>35</v>
      </c>
      <c r="N927" s="1" t="s">
        <v>260</v>
      </c>
      <c r="O927" s="1" t="s">
        <v>628</v>
      </c>
      <c r="P927" s="1">
        <v>5.0E7</v>
      </c>
      <c r="Q927" s="1">
        <v>2006.0</v>
      </c>
      <c r="R927" s="1">
        <v>992.0</v>
      </c>
      <c r="S927" s="1">
        <v>495.0</v>
      </c>
      <c r="T927" s="1">
        <v>368.0</v>
      </c>
      <c r="U927" s="1">
        <v>1933.0</v>
      </c>
      <c r="V927" s="1">
        <v>50.0</v>
      </c>
      <c r="W927" s="1">
        <v>0.0</v>
      </c>
      <c r="X927" s="1">
        <v>0.0</v>
      </c>
      <c r="Y927" s="1">
        <v>2.35</v>
      </c>
      <c r="Z927" s="1">
        <v>6.6</v>
      </c>
    </row>
    <row r="928" ht="14.25" customHeight="1">
      <c r="A928" s="1" t="s">
        <v>26</v>
      </c>
      <c r="B928" s="1" t="s">
        <v>4937</v>
      </c>
      <c r="C928" s="1" t="s">
        <v>4938</v>
      </c>
      <c r="D928" s="1">
        <v>4.4737059E7</v>
      </c>
      <c r="E928" s="1" t="s">
        <v>3714</v>
      </c>
      <c r="F928" s="1" t="s">
        <v>563</v>
      </c>
      <c r="G928" s="1" t="s">
        <v>243</v>
      </c>
      <c r="H928" s="1" t="s">
        <v>4939</v>
      </c>
      <c r="I928" s="1">
        <v>48322.0</v>
      </c>
      <c r="J928" s="1" t="s">
        <v>4940</v>
      </c>
      <c r="K928" s="1" t="s">
        <v>4941</v>
      </c>
      <c r="L928" s="1">
        <v>261.0</v>
      </c>
      <c r="M928" s="1" t="s">
        <v>35</v>
      </c>
      <c r="N928" s="1" t="s">
        <v>36</v>
      </c>
      <c r="O928" s="1" t="s">
        <v>37</v>
      </c>
      <c r="P928" s="1">
        <v>5.0E7</v>
      </c>
      <c r="Q928" s="1">
        <v>2000.0</v>
      </c>
      <c r="R928" s="1">
        <v>18000.0</v>
      </c>
      <c r="S928" s="1">
        <v>4000.0</v>
      </c>
      <c r="T928" s="1">
        <v>585.0</v>
      </c>
      <c r="U928" s="1">
        <v>24024.0</v>
      </c>
      <c r="V928" s="1">
        <v>41.0</v>
      </c>
      <c r="W928" s="1">
        <v>0.0</v>
      </c>
      <c r="X928" s="1">
        <v>1.0</v>
      </c>
      <c r="Y928" s="1">
        <v>1.85</v>
      </c>
      <c r="Z928" s="1">
        <v>6.5</v>
      </c>
    </row>
    <row r="929" ht="14.25" customHeight="1">
      <c r="A929" s="1" t="s">
        <v>26</v>
      </c>
      <c r="B929" s="1" t="s">
        <v>4942</v>
      </c>
      <c r="C929" s="1" t="s">
        <v>4943</v>
      </c>
      <c r="D929" s="1">
        <v>5.672408E7</v>
      </c>
      <c r="E929" s="1" t="s">
        <v>1885</v>
      </c>
      <c r="F929" s="1" t="s">
        <v>4347</v>
      </c>
      <c r="G929" s="1" t="s">
        <v>4944</v>
      </c>
      <c r="H929" s="1" t="s">
        <v>3561</v>
      </c>
      <c r="I929" s="1">
        <v>172112.0</v>
      </c>
      <c r="J929" s="1" t="s">
        <v>4945</v>
      </c>
      <c r="K929" s="1" t="s">
        <v>4946</v>
      </c>
      <c r="L929" s="1">
        <v>181.0</v>
      </c>
      <c r="M929" s="1" t="s">
        <v>35</v>
      </c>
      <c r="N929" s="1" t="s">
        <v>36</v>
      </c>
      <c r="O929" s="1" t="s">
        <v>628</v>
      </c>
      <c r="P929" s="1">
        <v>5.0E7</v>
      </c>
      <c r="Q929" s="1">
        <v>2012.0</v>
      </c>
      <c r="R929" s="1">
        <v>3000.0</v>
      </c>
      <c r="S929" s="1">
        <v>1000.0</v>
      </c>
      <c r="T929" s="1">
        <v>1000.0</v>
      </c>
      <c r="U929" s="1">
        <v>8398.0</v>
      </c>
      <c r="V929" s="1">
        <v>22.0</v>
      </c>
      <c r="W929" s="1">
        <v>39000.0</v>
      </c>
      <c r="X929" s="1">
        <v>7.0</v>
      </c>
      <c r="Y929" s="1">
        <v>1.85</v>
      </c>
      <c r="Z929" s="1">
        <v>6.7</v>
      </c>
    </row>
    <row r="930" ht="14.25" customHeight="1">
      <c r="A930" s="1" t="s">
        <v>26</v>
      </c>
      <c r="B930" s="1" t="s">
        <v>2928</v>
      </c>
      <c r="C930" s="1" t="s">
        <v>4947</v>
      </c>
      <c r="D930" s="1">
        <v>4.4484065E7</v>
      </c>
      <c r="E930" s="1" t="s">
        <v>2281</v>
      </c>
      <c r="F930" s="1" t="s">
        <v>112</v>
      </c>
      <c r="G930" s="1" t="s">
        <v>4948</v>
      </c>
      <c r="H930" s="1" t="s">
        <v>4310</v>
      </c>
      <c r="I930" s="1">
        <v>107227.0</v>
      </c>
      <c r="J930" s="1" t="s">
        <v>4949</v>
      </c>
      <c r="K930" s="1" t="s">
        <v>4950</v>
      </c>
      <c r="L930" s="1">
        <v>279.0</v>
      </c>
      <c r="M930" s="1" t="s">
        <v>35</v>
      </c>
      <c r="N930" s="1" t="s">
        <v>730</v>
      </c>
      <c r="O930" s="1" t="s">
        <v>628</v>
      </c>
      <c r="P930" s="1">
        <v>5.0E7</v>
      </c>
      <c r="Q930" s="1">
        <v>1998.0</v>
      </c>
      <c r="R930" s="1">
        <v>18000.0</v>
      </c>
      <c r="S930" s="1">
        <v>822.0</v>
      </c>
      <c r="T930" s="1">
        <v>294.0</v>
      </c>
      <c r="U930" s="1">
        <v>20152.0</v>
      </c>
      <c r="V930" s="1">
        <v>473.0</v>
      </c>
      <c r="W930" s="1">
        <v>3000.0</v>
      </c>
      <c r="X930" s="1">
        <v>2.0</v>
      </c>
      <c r="Y930" s="1">
        <v>2.35</v>
      </c>
      <c r="Z930" s="1">
        <v>7.3</v>
      </c>
    </row>
    <row r="931" ht="14.25" customHeight="1">
      <c r="A931" s="1" t="s">
        <v>26</v>
      </c>
      <c r="B931" s="1" t="s">
        <v>4951</v>
      </c>
      <c r="C931" s="1" t="s">
        <v>4952</v>
      </c>
      <c r="D931" s="1">
        <v>4.7553512E7</v>
      </c>
      <c r="E931" s="1" t="s">
        <v>57</v>
      </c>
      <c r="F931" s="1" t="s">
        <v>3493</v>
      </c>
      <c r="G931" s="1" t="s">
        <v>4953</v>
      </c>
      <c r="H931" s="1" t="s">
        <v>4954</v>
      </c>
      <c r="I931" s="1">
        <v>54101.0</v>
      </c>
      <c r="J931" s="1" t="s">
        <v>4955</v>
      </c>
      <c r="K931" s="1" t="s">
        <v>4956</v>
      </c>
      <c r="L931" s="1">
        <v>210.0</v>
      </c>
      <c r="M931" s="1" t="s">
        <v>35</v>
      </c>
      <c r="N931" s="1" t="s">
        <v>36</v>
      </c>
      <c r="O931" s="1" t="s">
        <v>37</v>
      </c>
      <c r="P931" s="1">
        <v>5.0E7</v>
      </c>
      <c r="Q931" s="1">
        <v>2014.0</v>
      </c>
      <c r="R931" s="1">
        <v>490.0</v>
      </c>
      <c r="S931" s="1">
        <v>298.0</v>
      </c>
      <c r="T931" s="1">
        <v>159.0</v>
      </c>
      <c r="U931" s="1">
        <v>1367.0</v>
      </c>
      <c r="V931" s="1">
        <v>77.0</v>
      </c>
      <c r="W931" s="1">
        <v>15000.0</v>
      </c>
      <c r="X931" s="1">
        <v>0.0</v>
      </c>
      <c r="Y931" s="1">
        <v>1.85</v>
      </c>
      <c r="Z931" s="1">
        <v>5.8</v>
      </c>
    </row>
    <row r="932" ht="14.25" customHeight="1">
      <c r="A932" s="1" t="s">
        <v>26</v>
      </c>
      <c r="B932" s="1" t="s">
        <v>4957</v>
      </c>
      <c r="C932" s="1" t="s">
        <v>4958</v>
      </c>
      <c r="D932" s="1">
        <v>4.261E7</v>
      </c>
      <c r="E932" s="1" t="s">
        <v>408</v>
      </c>
      <c r="F932" s="1" t="s">
        <v>4172</v>
      </c>
      <c r="G932" s="1" t="s">
        <v>4959</v>
      </c>
      <c r="H932" s="1" t="s">
        <v>4960</v>
      </c>
      <c r="I932" s="1">
        <v>60293.0</v>
      </c>
      <c r="J932" s="1" t="s">
        <v>4961</v>
      </c>
      <c r="K932" s="1" t="s">
        <v>4962</v>
      </c>
      <c r="L932" s="1">
        <v>114.0</v>
      </c>
      <c r="M932" s="1" t="s">
        <v>35</v>
      </c>
      <c r="N932" s="1" t="s">
        <v>36</v>
      </c>
      <c r="O932" s="1" t="s">
        <v>628</v>
      </c>
      <c r="P932" s="1">
        <v>5.5E7</v>
      </c>
      <c r="Q932" s="1">
        <v>1994.0</v>
      </c>
      <c r="R932" s="1">
        <v>437.0</v>
      </c>
      <c r="S932" s="1">
        <v>289.0</v>
      </c>
      <c r="T932" s="1">
        <v>174.0</v>
      </c>
      <c r="U932" s="1">
        <v>1093.0</v>
      </c>
      <c r="V932" s="1">
        <v>644.0</v>
      </c>
      <c r="W932" s="1">
        <v>669.0</v>
      </c>
      <c r="X932" s="1">
        <v>1.0</v>
      </c>
      <c r="Y932" s="1">
        <v>1.85</v>
      </c>
      <c r="Z932" s="1">
        <v>5.5</v>
      </c>
    </row>
    <row r="933" ht="14.25" customHeight="1">
      <c r="A933" s="1" t="s">
        <v>26</v>
      </c>
      <c r="B933" s="1" t="s">
        <v>2700</v>
      </c>
      <c r="C933" s="1" t="s">
        <v>4963</v>
      </c>
      <c r="D933" s="1">
        <v>4.1482207E7</v>
      </c>
      <c r="E933" s="1" t="s">
        <v>846</v>
      </c>
      <c r="F933" s="1" t="s">
        <v>193</v>
      </c>
      <c r="G933" s="1" t="s">
        <v>4964</v>
      </c>
      <c r="H933" s="1" t="s">
        <v>4965</v>
      </c>
      <c r="I933" s="1">
        <v>68428.0</v>
      </c>
      <c r="J933" s="1" t="s">
        <v>4966</v>
      </c>
      <c r="K933" s="1" t="s">
        <v>4967</v>
      </c>
      <c r="L933" s="1">
        <v>148.0</v>
      </c>
      <c r="M933" s="1" t="s">
        <v>35</v>
      </c>
      <c r="N933" s="1" t="s">
        <v>36</v>
      </c>
      <c r="O933" s="1" t="s">
        <v>37</v>
      </c>
      <c r="P933" s="1">
        <v>5.0E7</v>
      </c>
      <c r="Q933" s="1">
        <v>1990.0</v>
      </c>
      <c r="R933" s="1">
        <v>16000.0</v>
      </c>
      <c r="S933" s="1">
        <v>823.0</v>
      </c>
      <c r="T933" s="1">
        <v>767.0</v>
      </c>
      <c r="U933" s="1">
        <v>19610.0</v>
      </c>
      <c r="V933" s="1">
        <v>287.0</v>
      </c>
      <c r="W933" s="1">
        <v>0.0</v>
      </c>
      <c r="X933" s="1">
        <v>0.0</v>
      </c>
      <c r="Y933" s="1">
        <v>1.85</v>
      </c>
      <c r="Z933" s="1">
        <v>6.3</v>
      </c>
    </row>
    <row r="934" ht="14.25" customHeight="1">
      <c r="A934" s="1" t="s">
        <v>26</v>
      </c>
      <c r="B934" s="1" t="s">
        <v>4681</v>
      </c>
      <c r="C934" s="1" t="s">
        <v>4968</v>
      </c>
      <c r="D934" s="1">
        <v>4.7105085E7</v>
      </c>
      <c r="E934" s="1" t="s">
        <v>1854</v>
      </c>
      <c r="F934" s="1" t="s">
        <v>91</v>
      </c>
      <c r="G934" s="1" t="s">
        <v>1606</v>
      </c>
      <c r="H934" s="1" t="s">
        <v>4272</v>
      </c>
      <c r="I934" s="1">
        <v>136973.0</v>
      </c>
      <c r="J934" s="1" t="s">
        <v>4969</v>
      </c>
      <c r="K934" s="1" t="s">
        <v>4970</v>
      </c>
      <c r="L934" s="1">
        <v>275.0</v>
      </c>
      <c r="M934" s="1" t="s">
        <v>35</v>
      </c>
      <c r="N934" s="1" t="s">
        <v>36</v>
      </c>
      <c r="O934" s="1" t="s">
        <v>628</v>
      </c>
      <c r="P934" s="1">
        <v>5.0E7</v>
      </c>
      <c r="Q934" s="1">
        <v>2014.0</v>
      </c>
      <c r="R934" s="1">
        <v>21000.0</v>
      </c>
      <c r="S934" s="1">
        <v>3000.0</v>
      </c>
      <c r="T934" s="1">
        <v>3000.0</v>
      </c>
      <c r="U934" s="1">
        <v>30183.0</v>
      </c>
      <c r="V934" s="1">
        <v>71.0</v>
      </c>
      <c r="W934" s="1">
        <v>47000.0</v>
      </c>
      <c r="X934" s="1">
        <v>1.0</v>
      </c>
      <c r="Y934" s="1">
        <v>2.35</v>
      </c>
      <c r="Z934" s="1">
        <v>7.4</v>
      </c>
    </row>
    <row r="935" ht="14.25" customHeight="1">
      <c r="A935" s="1" t="s">
        <v>26</v>
      </c>
      <c r="B935" s="1" t="s">
        <v>2455</v>
      </c>
      <c r="C935" s="1" t="s">
        <v>4971</v>
      </c>
      <c r="D935" s="1">
        <v>4.1256277E7</v>
      </c>
      <c r="E935" s="1" t="s">
        <v>57</v>
      </c>
      <c r="F935" s="1" t="s">
        <v>817</v>
      </c>
      <c r="G935" s="1" t="s">
        <v>4442</v>
      </c>
      <c r="H935" s="1" t="s">
        <v>4972</v>
      </c>
      <c r="I935" s="1">
        <v>46451.0</v>
      </c>
      <c r="J935" s="1" t="s">
        <v>4973</v>
      </c>
      <c r="K935" s="1" t="s">
        <v>4974</v>
      </c>
      <c r="L935" s="1">
        <v>156.0</v>
      </c>
      <c r="M935" s="1" t="s">
        <v>35</v>
      </c>
      <c r="N935" s="1" t="s">
        <v>36</v>
      </c>
      <c r="O935" s="1" t="s">
        <v>628</v>
      </c>
      <c r="P935" s="1">
        <v>5.0E7</v>
      </c>
      <c r="Q935" s="1">
        <v>1997.0</v>
      </c>
      <c r="R935" s="1">
        <v>294.0</v>
      </c>
      <c r="S935" s="1">
        <v>273.0</v>
      </c>
      <c r="T935" s="1">
        <v>258.0</v>
      </c>
      <c r="U935" s="1">
        <v>1289.0</v>
      </c>
      <c r="V935" s="1">
        <v>75.0</v>
      </c>
      <c r="W935" s="1">
        <v>0.0</v>
      </c>
      <c r="X935" s="1">
        <v>2.0</v>
      </c>
      <c r="Y935" s="1">
        <v>2.35</v>
      </c>
      <c r="Z935" s="1">
        <v>5.9</v>
      </c>
    </row>
    <row r="936" ht="14.25" customHeight="1">
      <c r="A936" s="1" t="s">
        <v>26</v>
      </c>
      <c r="B936" s="1" t="s">
        <v>4975</v>
      </c>
      <c r="C936" s="1" t="s">
        <v>4976</v>
      </c>
      <c r="D936" s="1">
        <v>5.0740078E7</v>
      </c>
      <c r="E936" s="1" t="s">
        <v>2123</v>
      </c>
      <c r="F936" s="1" t="s">
        <v>1892</v>
      </c>
      <c r="G936" s="1" t="s">
        <v>201</v>
      </c>
      <c r="H936" s="1" t="s">
        <v>4977</v>
      </c>
      <c r="I936" s="1">
        <v>151580.0</v>
      </c>
      <c r="J936" s="1" t="s">
        <v>4978</v>
      </c>
      <c r="K936" s="1" t="s">
        <v>4979</v>
      </c>
      <c r="L936" s="1">
        <v>672.0</v>
      </c>
      <c r="M936" s="1" t="s">
        <v>35</v>
      </c>
      <c r="N936" s="1" t="s">
        <v>730</v>
      </c>
      <c r="O936" s="1" t="s">
        <v>628</v>
      </c>
      <c r="P936" s="1">
        <v>4.5E7</v>
      </c>
      <c r="Q936" s="1">
        <v>2004.0</v>
      </c>
      <c r="R936" s="1">
        <v>14000.0</v>
      </c>
      <c r="S936" s="1">
        <v>919.0</v>
      </c>
      <c r="T936" s="1">
        <v>706.0</v>
      </c>
      <c r="U936" s="1">
        <v>16791.0</v>
      </c>
      <c r="V936" s="1">
        <v>38.0</v>
      </c>
      <c r="W936" s="1">
        <v>0.0</v>
      </c>
      <c r="X936" s="1">
        <v>1.0</v>
      </c>
      <c r="Y936" s="1">
        <v>2.35</v>
      </c>
      <c r="Z936" s="1">
        <v>6.2</v>
      </c>
    </row>
    <row r="937" ht="14.25" customHeight="1">
      <c r="A937" s="1" t="s">
        <v>26</v>
      </c>
      <c r="B937" s="1" t="s">
        <v>4980</v>
      </c>
      <c r="C937" s="1" t="s">
        <v>4981</v>
      </c>
      <c r="D937" s="1">
        <v>4.020302E7</v>
      </c>
      <c r="E937" s="1" t="s">
        <v>1359</v>
      </c>
      <c r="F937" s="1" t="s">
        <v>424</v>
      </c>
      <c r="G937" s="1" t="s">
        <v>385</v>
      </c>
      <c r="H937" s="1" t="s">
        <v>4982</v>
      </c>
      <c r="I937" s="1">
        <v>74315.0</v>
      </c>
      <c r="J937" s="1" t="s">
        <v>4983</v>
      </c>
      <c r="K937" s="1" t="s">
        <v>4984</v>
      </c>
      <c r="L937" s="1">
        <v>259.0</v>
      </c>
      <c r="M937" s="1" t="s">
        <v>35</v>
      </c>
      <c r="N937" s="1" t="s">
        <v>54</v>
      </c>
      <c r="O937" s="1" t="s">
        <v>628</v>
      </c>
      <c r="P937" s="1">
        <v>4.0E7</v>
      </c>
      <c r="Q937" s="1">
        <v>2004.0</v>
      </c>
      <c r="R937" s="1">
        <v>14000.0</v>
      </c>
      <c r="S937" s="1">
        <v>1000.0</v>
      </c>
      <c r="T937" s="1">
        <v>186.0</v>
      </c>
      <c r="U937" s="1">
        <v>15634.0</v>
      </c>
      <c r="V937" s="1">
        <v>17.0</v>
      </c>
      <c r="W937" s="1">
        <v>0.0</v>
      </c>
      <c r="X937" s="1">
        <v>1.0</v>
      </c>
      <c r="Y937" s="1">
        <v>2.35</v>
      </c>
      <c r="Z937" s="1">
        <v>5.9</v>
      </c>
    </row>
    <row r="938" ht="14.25" customHeight="1">
      <c r="A938" s="1" t="s">
        <v>26</v>
      </c>
      <c r="B938" s="1" t="s">
        <v>4985</v>
      </c>
      <c r="C938" s="1" t="s">
        <v>4986</v>
      </c>
      <c r="D938" s="1">
        <v>4.0905277E7</v>
      </c>
      <c r="E938" s="1" t="s">
        <v>4987</v>
      </c>
      <c r="F938" s="1" t="s">
        <v>1644</v>
      </c>
      <c r="G938" s="1" t="s">
        <v>2147</v>
      </c>
      <c r="H938" s="1" t="s">
        <v>4988</v>
      </c>
      <c r="I938" s="1">
        <v>45895.0</v>
      </c>
      <c r="J938" s="1" t="s">
        <v>4989</v>
      </c>
      <c r="K938" s="1" t="s">
        <v>4990</v>
      </c>
      <c r="L938" s="1">
        <v>157.0</v>
      </c>
      <c r="M938" s="1" t="s">
        <v>35</v>
      </c>
      <c r="N938" s="1" t="s">
        <v>36</v>
      </c>
      <c r="O938" s="1" t="s">
        <v>628</v>
      </c>
      <c r="P938" s="1">
        <v>5.0E7</v>
      </c>
      <c r="Q938" s="1">
        <v>2003.0</v>
      </c>
      <c r="R938" s="1">
        <v>18000.0</v>
      </c>
      <c r="S938" s="1">
        <v>886.0</v>
      </c>
      <c r="T938" s="1">
        <v>323.0</v>
      </c>
      <c r="U938" s="1">
        <v>19739.0</v>
      </c>
      <c r="V938" s="1">
        <v>73.0</v>
      </c>
      <c r="W938" s="1">
        <v>1000.0</v>
      </c>
      <c r="X938" s="1">
        <v>3.0</v>
      </c>
      <c r="Y938" s="1">
        <v>2.35</v>
      </c>
      <c r="Z938" s="1">
        <v>6.5</v>
      </c>
    </row>
    <row r="939" ht="14.25" customHeight="1">
      <c r="A939" s="1" t="s">
        <v>26</v>
      </c>
      <c r="B939" s="1" t="s">
        <v>4991</v>
      </c>
      <c r="C939" s="1" t="s">
        <v>4992</v>
      </c>
      <c r="D939" s="1">
        <v>3.85905E7</v>
      </c>
      <c r="E939" s="1" t="s">
        <v>48</v>
      </c>
      <c r="F939" s="1" t="s">
        <v>3031</v>
      </c>
      <c r="G939" s="1" t="s">
        <v>4993</v>
      </c>
      <c r="H939" s="1" t="s">
        <v>4994</v>
      </c>
      <c r="I939" s="1">
        <v>17997.0</v>
      </c>
      <c r="J939" s="1" t="s">
        <v>4995</v>
      </c>
      <c r="K939" s="1" t="s">
        <v>4996</v>
      </c>
      <c r="L939" s="1">
        <v>140.0</v>
      </c>
      <c r="M939" s="1" t="s">
        <v>35</v>
      </c>
      <c r="N939" s="1" t="s">
        <v>36</v>
      </c>
      <c r="O939" s="1" t="s">
        <v>628</v>
      </c>
      <c r="P939" s="1">
        <v>5.0E7</v>
      </c>
      <c r="Q939" s="1">
        <v>1994.0</v>
      </c>
      <c r="R939" s="1">
        <v>854.0</v>
      </c>
      <c r="S939" s="1">
        <v>643.0</v>
      </c>
      <c r="T939" s="1">
        <v>158.0</v>
      </c>
      <c r="U939" s="1">
        <v>1860.0</v>
      </c>
      <c r="V939" s="1">
        <v>0.0</v>
      </c>
      <c r="W939" s="1">
        <v>812.0</v>
      </c>
      <c r="X939" s="1">
        <v>1.0</v>
      </c>
      <c r="Y939" s="1">
        <v>2.35</v>
      </c>
      <c r="Z939" s="1">
        <v>4.4</v>
      </c>
    </row>
    <row r="940" ht="14.25" customHeight="1">
      <c r="A940" s="1" t="s">
        <v>26</v>
      </c>
      <c r="B940" s="1" t="s">
        <v>4632</v>
      </c>
      <c r="C940" s="1" t="s">
        <v>4997</v>
      </c>
      <c r="D940" s="1">
        <v>3.9177541E7</v>
      </c>
      <c r="E940" s="1" t="s">
        <v>140</v>
      </c>
      <c r="F940" s="1" t="s">
        <v>1070</v>
      </c>
      <c r="G940" s="1" t="s">
        <v>1899</v>
      </c>
      <c r="H940" s="1" t="s">
        <v>4998</v>
      </c>
      <c r="I940" s="1">
        <v>20310.0</v>
      </c>
      <c r="J940" s="1" t="s">
        <v>4999</v>
      </c>
      <c r="K940" s="1" t="s">
        <v>5000</v>
      </c>
      <c r="L940" s="1">
        <v>177.0</v>
      </c>
      <c r="M940" s="1" t="s">
        <v>35</v>
      </c>
      <c r="N940" s="1" t="s">
        <v>36</v>
      </c>
      <c r="O940" s="1" t="s">
        <v>87</v>
      </c>
      <c r="P940" s="1">
        <v>5.0E7</v>
      </c>
      <c r="Q940" s="1">
        <v>2005.0</v>
      </c>
      <c r="R940" s="1">
        <v>12000.0</v>
      </c>
      <c r="S940" s="1">
        <v>722.0</v>
      </c>
      <c r="T940" s="1">
        <v>717.0</v>
      </c>
      <c r="U940" s="1">
        <v>14899.0</v>
      </c>
      <c r="V940" s="1">
        <v>0.0</v>
      </c>
      <c r="W940" s="1">
        <v>0.0</v>
      </c>
      <c r="X940" s="1">
        <v>1.0</v>
      </c>
      <c r="Y940" s="1">
        <v>1.85</v>
      </c>
      <c r="Z940" s="1">
        <v>3.5</v>
      </c>
    </row>
    <row r="941" ht="14.25" customHeight="1">
      <c r="A941" s="1" t="s">
        <v>26</v>
      </c>
      <c r="B941" s="1" t="s">
        <v>5001</v>
      </c>
      <c r="C941" s="1" t="s">
        <v>5002</v>
      </c>
      <c r="D941" s="1">
        <v>3.9778599E7</v>
      </c>
      <c r="E941" s="1" t="s">
        <v>1744</v>
      </c>
      <c r="F941" s="1" t="s">
        <v>207</v>
      </c>
      <c r="G941" s="1" t="s">
        <v>5003</v>
      </c>
      <c r="H941" s="1" t="s">
        <v>5004</v>
      </c>
      <c r="I941" s="1">
        <v>176169.0</v>
      </c>
      <c r="J941" s="1" t="s">
        <v>5005</v>
      </c>
      <c r="K941" s="1" t="s">
        <v>5006</v>
      </c>
      <c r="L941" s="1">
        <v>548.0</v>
      </c>
      <c r="M941" s="1" t="s">
        <v>35</v>
      </c>
      <c r="N941" s="1" t="s">
        <v>36</v>
      </c>
      <c r="O941" s="1" t="s">
        <v>628</v>
      </c>
      <c r="P941" s="1">
        <v>5.0E7</v>
      </c>
      <c r="Q941" s="1">
        <v>2000.0</v>
      </c>
      <c r="R941" s="1">
        <v>29000.0</v>
      </c>
      <c r="S941" s="1">
        <v>414.0</v>
      </c>
      <c r="T941" s="1">
        <v>39.0</v>
      </c>
      <c r="U941" s="1">
        <v>29461.0</v>
      </c>
      <c r="V941" s="1">
        <v>0.0</v>
      </c>
      <c r="W941" s="1">
        <v>0.0</v>
      </c>
      <c r="X941" s="1">
        <v>0.0</v>
      </c>
      <c r="Y941" s="1">
        <v>2.35</v>
      </c>
      <c r="Z941" s="1">
        <v>6.6</v>
      </c>
    </row>
    <row r="942" ht="14.25" customHeight="1">
      <c r="A942" s="1" t="s">
        <v>26</v>
      </c>
      <c r="B942" s="1" t="s">
        <v>3138</v>
      </c>
      <c r="C942" s="1" t="s">
        <v>5007</v>
      </c>
      <c r="D942" s="1">
        <v>3.7486138E7</v>
      </c>
      <c r="E942" s="1" t="s">
        <v>1359</v>
      </c>
      <c r="F942" s="1" t="s">
        <v>2014</v>
      </c>
      <c r="G942" s="1" t="s">
        <v>1844</v>
      </c>
      <c r="H942" s="1" t="s">
        <v>1563</v>
      </c>
      <c r="I942" s="1">
        <v>30890.0</v>
      </c>
      <c r="J942" s="1" t="s">
        <v>5008</v>
      </c>
      <c r="K942" s="1" t="s">
        <v>5009</v>
      </c>
      <c r="L942" s="1">
        <v>106.0</v>
      </c>
      <c r="M942" s="1" t="s">
        <v>35</v>
      </c>
      <c r="N942" s="1" t="s">
        <v>36</v>
      </c>
      <c r="O942" s="1" t="s">
        <v>37</v>
      </c>
      <c r="P942" s="1">
        <v>5.0E7</v>
      </c>
      <c r="Q942" s="1">
        <v>2004.0</v>
      </c>
      <c r="R942" s="1">
        <v>627.0</v>
      </c>
      <c r="S942" s="1">
        <v>508.0</v>
      </c>
      <c r="T942" s="1">
        <v>434.0</v>
      </c>
      <c r="U942" s="1">
        <v>2052.0</v>
      </c>
      <c r="V942" s="1">
        <v>0.0</v>
      </c>
      <c r="W942" s="1">
        <v>718.0</v>
      </c>
      <c r="X942" s="1">
        <v>1.0</v>
      </c>
      <c r="Y942" s="1">
        <v>1.85</v>
      </c>
      <c r="Z942" s="1">
        <v>6.0</v>
      </c>
    </row>
    <row r="943" ht="14.25" customHeight="1">
      <c r="A943" s="1" t="s">
        <v>26</v>
      </c>
      <c r="B943" s="1" t="s">
        <v>4855</v>
      </c>
      <c r="C943" s="1" t="s">
        <v>5010</v>
      </c>
      <c r="D943" s="1">
        <v>3.8105077E7</v>
      </c>
      <c r="E943" s="1" t="s">
        <v>326</v>
      </c>
      <c r="F943" s="1" t="s">
        <v>5011</v>
      </c>
      <c r="G943" s="1" t="s">
        <v>5012</v>
      </c>
      <c r="H943" s="1" t="s">
        <v>5013</v>
      </c>
      <c r="I943" s="1">
        <v>58349.0</v>
      </c>
      <c r="J943" s="1" t="s">
        <v>5014</v>
      </c>
      <c r="K943" s="1" t="s">
        <v>5015</v>
      </c>
      <c r="L943" s="1">
        <v>194.0</v>
      </c>
      <c r="M943" s="1" t="s">
        <v>35</v>
      </c>
      <c r="N943" s="1" t="s">
        <v>36</v>
      </c>
      <c r="O943" s="1" t="s">
        <v>628</v>
      </c>
      <c r="P943" s="1">
        <v>4.0E7</v>
      </c>
      <c r="Q943" s="1">
        <v>2009.0</v>
      </c>
      <c r="R943" s="1">
        <v>330.0</v>
      </c>
      <c r="S943" s="1">
        <v>119.0</v>
      </c>
      <c r="T943" s="1">
        <v>72.0</v>
      </c>
      <c r="U943" s="1">
        <v>701.0</v>
      </c>
      <c r="V943" s="1">
        <v>160.0</v>
      </c>
      <c r="W943" s="1">
        <v>0.0</v>
      </c>
      <c r="X943" s="1">
        <v>0.0</v>
      </c>
      <c r="Y943" s="1">
        <v>2.35</v>
      </c>
      <c r="Z943" s="1">
        <v>6.4</v>
      </c>
    </row>
    <row r="944" ht="14.25" customHeight="1">
      <c r="A944" s="1" t="s">
        <v>26</v>
      </c>
      <c r="B944" s="1" t="s">
        <v>71</v>
      </c>
      <c r="C944" s="1" t="s">
        <v>5016</v>
      </c>
      <c r="D944" s="1">
        <v>3.5168395E7</v>
      </c>
      <c r="E944" s="1" t="s">
        <v>4645</v>
      </c>
      <c r="F944" s="1" t="s">
        <v>74</v>
      </c>
      <c r="G944" s="1" t="s">
        <v>1562</v>
      </c>
      <c r="H944" s="1" t="s">
        <v>5017</v>
      </c>
      <c r="I944" s="1">
        <v>26034.0</v>
      </c>
      <c r="J944" s="1" t="s">
        <v>5018</v>
      </c>
      <c r="K944" s="1" t="s">
        <v>5019</v>
      </c>
      <c r="L944" s="1">
        <v>226.0</v>
      </c>
      <c r="M944" s="1" t="s">
        <v>35</v>
      </c>
      <c r="N944" s="1" t="s">
        <v>36</v>
      </c>
      <c r="O944" s="1" t="s">
        <v>37</v>
      </c>
      <c r="P944" s="1">
        <v>5.0E7</v>
      </c>
      <c r="Q944" s="1">
        <v>1999.0</v>
      </c>
      <c r="R944" s="1">
        <v>24000.0</v>
      </c>
      <c r="S944" s="1">
        <v>743.0</v>
      </c>
      <c r="T944" s="1">
        <v>432.0</v>
      </c>
      <c r="U944" s="1">
        <v>25469.0</v>
      </c>
      <c r="V944" s="1">
        <v>0.0</v>
      </c>
      <c r="W944" s="1">
        <v>0.0</v>
      </c>
      <c r="X944" s="1">
        <v>0.0</v>
      </c>
      <c r="Y944" s="1">
        <v>2.35</v>
      </c>
      <c r="Z944" s="1">
        <v>6.5</v>
      </c>
    </row>
    <row r="945" ht="14.25" customHeight="1">
      <c r="A945" s="1" t="s">
        <v>26</v>
      </c>
      <c r="B945" s="1" t="s">
        <v>5020</v>
      </c>
      <c r="C945" s="1" t="s">
        <v>5021</v>
      </c>
      <c r="D945" s="1">
        <v>3.28E7</v>
      </c>
      <c r="E945" s="1" t="s">
        <v>5022</v>
      </c>
      <c r="F945" s="1" t="s">
        <v>1320</v>
      </c>
      <c r="G945" s="1" t="s">
        <v>5023</v>
      </c>
      <c r="H945" s="1" t="s">
        <v>3567</v>
      </c>
      <c r="I945" s="1">
        <v>34896.0</v>
      </c>
      <c r="J945" s="1" t="s">
        <v>5024</v>
      </c>
      <c r="K945" s="1" t="s">
        <v>5025</v>
      </c>
      <c r="L945" s="1">
        <v>118.0</v>
      </c>
      <c r="M945" s="1" t="s">
        <v>35</v>
      </c>
      <c r="N945" s="1" t="s">
        <v>36</v>
      </c>
      <c r="O945" s="1" t="s">
        <v>628</v>
      </c>
      <c r="P945" s="1">
        <v>4.0E7</v>
      </c>
      <c r="Q945" s="1">
        <v>1996.0</v>
      </c>
      <c r="R945" s="1">
        <v>2000.0</v>
      </c>
      <c r="S945" s="1">
        <v>472.0</v>
      </c>
      <c r="T945" s="1">
        <v>210.0</v>
      </c>
      <c r="U945" s="1">
        <v>3016.0</v>
      </c>
      <c r="V945" s="1">
        <v>31.0</v>
      </c>
      <c r="W945" s="1">
        <v>877.0</v>
      </c>
      <c r="X945" s="1">
        <v>1.0</v>
      </c>
      <c r="Y945" s="1">
        <v>1.85</v>
      </c>
      <c r="Z945" s="1">
        <v>4.3</v>
      </c>
    </row>
    <row r="946" ht="14.25" customHeight="1">
      <c r="A946" s="1" t="s">
        <v>26</v>
      </c>
      <c r="B946" s="1" t="s">
        <v>4415</v>
      </c>
      <c r="C946" s="1" t="s">
        <v>5026</v>
      </c>
      <c r="D946" s="1">
        <v>3.3643461E7</v>
      </c>
      <c r="E946" s="1" t="s">
        <v>2904</v>
      </c>
      <c r="F946" s="1" t="s">
        <v>174</v>
      </c>
      <c r="G946" s="1" t="s">
        <v>228</v>
      </c>
      <c r="H946" s="1" t="s">
        <v>776</v>
      </c>
      <c r="I946" s="1">
        <v>11257.0</v>
      </c>
      <c r="J946" s="1" t="s">
        <v>5027</v>
      </c>
      <c r="K946" s="1" t="s">
        <v>5028</v>
      </c>
      <c r="L946" s="1">
        <v>65.0</v>
      </c>
      <c r="M946" s="1" t="s">
        <v>35</v>
      </c>
      <c r="N946" s="1" t="s">
        <v>36</v>
      </c>
      <c r="O946" s="1" t="s">
        <v>87</v>
      </c>
      <c r="P946" s="1">
        <v>5.0E7</v>
      </c>
      <c r="Q946" s="1">
        <v>2010.0</v>
      </c>
      <c r="R946" s="1">
        <v>15000.0</v>
      </c>
      <c r="S946" s="1">
        <v>2000.0</v>
      </c>
      <c r="T946" s="1">
        <v>1000.0</v>
      </c>
      <c r="U946" s="1">
        <v>20061.0</v>
      </c>
      <c r="V946" s="1">
        <v>9.0</v>
      </c>
      <c r="W946" s="1">
        <v>0.0</v>
      </c>
      <c r="X946" s="1">
        <v>0.0</v>
      </c>
      <c r="Y946" s="1">
        <v>2.35</v>
      </c>
      <c r="Z946" s="1">
        <v>4.2</v>
      </c>
    </row>
    <row r="947" ht="14.25" customHeight="1">
      <c r="A947" s="1" t="s">
        <v>26</v>
      </c>
      <c r="B947" s="1" t="s">
        <v>3503</v>
      </c>
      <c r="C947" s="1" t="s">
        <v>5029</v>
      </c>
      <c r="D947" s="1">
        <v>3.2741596E7</v>
      </c>
      <c r="E947" s="1" t="s">
        <v>5030</v>
      </c>
      <c r="F947" s="1" t="s">
        <v>1113</v>
      </c>
      <c r="G947" s="1" t="s">
        <v>5031</v>
      </c>
      <c r="H947" s="1" t="s">
        <v>1552</v>
      </c>
      <c r="I947" s="1">
        <v>80140.0</v>
      </c>
      <c r="J947" s="1" t="s">
        <v>5032</v>
      </c>
      <c r="K947" s="1" t="s">
        <v>5033</v>
      </c>
      <c r="L947" s="1">
        <v>323.0</v>
      </c>
      <c r="M947" s="1" t="s">
        <v>35</v>
      </c>
      <c r="N947" s="1" t="s">
        <v>36</v>
      </c>
      <c r="O947" s="1" t="s">
        <v>37</v>
      </c>
      <c r="P947" s="1">
        <v>5.0E7</v>
      </c>
      <c r="Q947" s="1">
        <v>2010.0</v>
      </c>
      <c r="R947" s="1">
        <v>13000.0</v>
      </c>
      <c r="S947" s="1">
        <v>563.0</v>
      </c>
      <c r="T947" s="1">
        <v>447.0</v>
      </c>
      <c r="U947" s="1">
        <v>14344.0</v>
      </c>
      <c r="V947" s="1">
        <v>16000.0</v>
      </c>
      <c r="W947" s="1">
        <v>16000.0</v>
      </c>
      <c r="X947" s="1">
        <v>0.0</v>
      </c>
      <c r="Y947" s="1">
        <v>2.35</v>
      </c>
      <c r="Z947" s="1">
        <v>6.5</v>
      </c>
    </row>
    <row r="948" ht="14.25" customHeight="1">
      <c r="A948" s="1" t="s">
        <v>26</v>
      </c>
      <c r="B948" s="1" t="s">
        <v>5034</v>
      </c>
      <c r="C948" s="1" t="s">
        <v>5035</v>
      </c>
      <c r="D948" s="1">
        <v>3.1874869E7</v>
      </c>
      <c r="E948" s="1" t="s">
        <v>2130</v>
      </c>
      <c r="F948" s="1" t="s">
        <v>4002</v>
      </c>
      <c r="G948" s="1" t="s">
        <v>4282</v>
      </c>
      <c r="H948" s="1" t="s">
        <v>5036</v>
      </c>
      <c r="I948" s="1">
        <v>43574.0</v>
      </c>
      <c r="J948" s="1" t="s">
        <v>5037</v>
      </c>
      <c r="K948" s="1" t="s">
        <v>5038</v>
      </c>
      <c r="L948" s="1">
        <v>302.0</v>
      </c>
      <c r="M948" s="1" t="s">
        <v>35</v>
      </c>
      <c r="N948" s="1" t="s">
        <v>36</v>
      </c>
      <c r="O948" s="1" t="s">
        <v>628</v>
      </c>
      <c r="P948" s="1">
        <v>5.0E7</v>
      </c>
      <c r="Q948" s="1">
        <v>2002.0</v>
      </c>
      <c r="R948" s="1">
        <v>33000.0</v>
      </c>
      <c r="S948" s="1">
        <v>455.0</v>
      </c>
      <c r="T948" s="1">
        <v>401.0</v>
      </c>
      <c r="U948" s="1">
        <v>34606.0</v>
      </c>
      <c r="V948" s="1">
        <v>58.0</v>
      </c>
      <c r="W948" s="1">
        <v>0.0</v>
      </c>
      <c r="X948" s="1">
        <v>0.0</v>
      </c>
      <c r="Y948" s="1">
        <v>1.85</v>
      </c>
      <c r="Z948" s="1">
        <v>6.1</v>
      </c>
    </row>
    <row r="949" ht="14.25" customHeight="1">
      <c r="A949" s="1" t="s">
        <v>710</v>
      </c>
      <c r="B949" s="1" t="s">
        <v>1021</v>
      </c>
      <c r="C949" s="1" t="s">
        <v>5039</v>
      </c>
      <c r="D949" s="1">
        <v>3.0306268E7</v>
      </c>
      <c r="E949" s="1" t="s">
        <v>326</v>
      </c>
      <c r="F949" s="1" t="s">
        <v>5040</v>
      </c>
      <c r="G949" s="1" t="s">
        <v>1702</v>
      </c>
      <c r="H949" s="1" t="s">
        <v>5041</v>
      </c>
      <c r="I949" s="1">
        <v>62981.0</v>
      </c>
      <c r="J949" s="1" t="s">
        <v>5042</v>
      </c>
      <c r="K949" s="1" t="s">
        <v>5043</v>
      </c>
      <c r="L949" s="1">
        <v>84.0</v>
      </c>
      <c r="M949" s="1" t="s">
        <v>35</v>
      </c>
      <c r="N949" s="1" t="s">
        <v>1832</v>
      </c>
      <c r="O949" s="1" t="s">
        <v>628</v>
      </c>
      <c r="P949" s="1">
        <v>5.0E7</v>
      </c>
      <c r="Q949" s="1">
        <v>1995.0</v>
      </c>
      <c r="R949" s="1">
        <v>45000.0</v>
      </c>
      <c r="S949" s="1">
        <v>13000.0</v>
      </c>
      <c r="T949" s="1">
        <v>282.0</v>
      </c>
      <c r="U949" s="1">
        <v>58528.0</v>
      </c>
      <c r="V949" s="1">
        <v>503.0</v>
      </c>
      <c r="W949" s="1">
        <v>0.0</v>
      </c>
      <c r="X949" s="1">
        <v>0.0</v>
      </c>
      <c r="Y949" s="1">
        <v>1.85</v>
      </c>
      <c r="Z949" s="1">
        <v>6.3</v>
      </c>
    </row>
    <row r="950" ht="14.25" customHeight="1">
      <c r="A950" s="1" t="s">
        <v>26</v>
      </c>
      <c r="B950" s="1" t="s">
        <v>5044</v>
      </c>
      <c r="C950" s="1" t="s">
        <v>5045</v>
      </c>
      <c r="D950" s="1">
        <v>2.7667947E7</v>
      </c>
      <c r="E950" s="1" t="s">
        <v>2045</v>
      </c>
      <c r="F950" s="1" t="s">
        <v>2322</v>
      </c>
      <c r="G950" s="1" t="s">
        <v>5046</v>
      </c>
      <c r="H950" s="1" t="s">
        <v>5047</v>
      </c>
      <c r="I950" s="1">
        <v>86374.0</v>
      </c>
      <c r="J950" s="1" t="s">
        <v>5048</v>
      </c>
      <c r="K950" s="1" t="s">
        <v>5049</v>
      </c>
      <c r="L950" s="1">
        <v>392.0</v>
      </c>
      <c r="M950" s="1" t="s">
        <v>35</v>
      </c>
      <c r="N950" s="1" t="s">
        <v>54</v>
      </c>
      <c r="O950" s="1" t="s">
        <v>628</v>
      </c>
      <c r="P950" s="1">
        <v>5.0E7</v>
      </c>
      <c r="Q950" s="1">
        <v>2007.0</v>
      </c>
      <c r="R950" s="1">
        <v>879.0</v>
      </c>
      <c r="S950" s="1">
        <v>184.0</v>
      </c>
      <c r="T950" s="1">
        <v>163.0</v>
      </c>
      <c r="U950" s="1">
        <v>1344.0</v>
      </c>
      <c r="V950" s="1">
        <v>73.0</v>
      </c>
      <c r="W950" s="1">
        <v>3000.0</v>
      </c>
      <c r="X950" s="1">
        <v>0.0</v>
      </c>
      <c r="Y950" s="1">
        <v>2.35</v>
      </c>
      <c r="Z950" s="1">
        <v>6.2</v>
      </c>
    </row>
    <row r="951" ht="14.25" customHeight="1">
      <c r="A951" s="1" t="s">
        <v>26</v>
      </c>
      <c r="B951" s="1" t="s">
        <v>3691</v>
      </c>
      <c r="C951" s="1" t="s">
        <v>5050</v>
      </c>
      <c r="D951" s="1">
        <v>2.706716E7</v>
      </c>
      <c r="E951" s="1" t="s">
        <v>1359</v>
      </c>
      <c r="F951" s="1" t="s">
        <v>941</v>
      </c>
      <c r="G951" s="1" t="s">
        <v>5051</v>
      </c>
      <c r="H951" s="1" t="s">
        <v>5052</v>
      </c>
      <c r="I951" s="1">
        <v>18404.0</v>
      </c>
      <c r="J951" s="1" t="s">
        <v>5053</v>
      </c>
      <c r="K951" s="1" t="s">
        <v>5054</v>
      </c>
      <c r="L951" s="1">
        <v>150.0</v>
      </c>
      <c r="M951" s="1" t="s">
        <v>35</v>
      </c>
      <c r="N951" s="1" t="s">
        <v>36</v>
      </c>
      <c r="O951" s="1" t="s">
        <v>628</v>
      </c>
      <c r="P951" s="1">
        <v>5.0E7</v>
      </c>
      <c r="Q951" s="1">
        <v>1999.0</v>
      </c>
      <c r="R951" s="1">
        <v>13000.0</v>
      </c>
      <c r="S951" s="1">
        <v>559.0</v>
      </c>
      <c r="T951" s="1">
        <v>323.0</v>
      </c>
      <c r="U951" s="1">
        <v>14706.0</v>
      </c>
      <c r="V951" s="1">
        <v>0.0</v>
      </c>
      <c r="W951" s="1">
        <v>0.0</v>
      </c>
      <c r="X951" s="1">
        <v>1.0</v>
      </c>
      <c r="Y951" s="1">
        <v>1.85</v>
      </c>
      <c r="Z951" s="1">
        <v>5.9</v>
      </c>
    </row>
    <row r="952" ht="14.25" customHeight="1">
      <c r="A952" s="1" t="s">
        <v>26</v>
      </c>
      <c r="B952" s="1" t="s">
        <v>5055</v>
      </c>
      <c r="C952" s="1" t="s">
        <v>5056</v>
      </c>
      <c r="D952" s="1">
        <v>2.6616999E7</v>
      </c>
      <c r="E952" s="1" t="s">
        <v>1593</v>
      </c>
      <c r="F952" s="1" t="s">
        <v>5057</v>
      </c>
      <c r="G952" s="1" t="s">
        <v>4818</v>
      </c>
      <c r="H952" s="1" t="s">
        <v>5058</v>
      </c>
      <c r="I952" s="1">
        <v>92461.0</v>
      </c>
      <c r="J952" s="1" t="s">
        <v>5059</v>
      </c>
      <c r="K952" s="1" t="s">
        <v>5060</v>
      </c>
      <c r="L952" s="1">
        <v>347.0</v>
      </c>
      <c r="M952" s="1" t="s">
        <v>35</v>
      </c>
      <c r="N952" s="1" t="s">
        <v>36</v>
      </c>
      <c r="O952" s="1" t="s">
        <v>37</v>
      </c>
      <c r="P952" s="1">
        <v>4.0E7</v>
      </c>
      <c r="Q952" s="1">
        <v>2013.0</v>
      </c>
      <c r="R952" s="1">
        <v>430.0</v>
      </c>
      <c r="S952" s="1">
        <v>329.0</v>
      </c>
      <c r="T952" s="1">
        <v>201.0</v>
      </c>
      <c r="U952" s="1">
        <v>1300.0</v>
      </c>
      <c r="V952" s="1">
        <v>487.0</v>
      </c>
      <c r="W952" s="1">
        <v>43000.0</v>
      </c>
      <c r="X952" s="1">
        <v>3.0</v>
      </c>
      <c r="Y952" s="1">
        <v>2.35</v>
      </c>
      <c r="Z952" s="1">
        <v>5.9</v>
      </c>
    </row>
    <row r="953" ht="14.25" customHeight="1">
      <c r="A953" s="1" t="s">
        <v>26</v>
      </c>
      <c r="B953" s="1" t="s">
        <v>1255</v>
      </c>
      <c r="C953" s="1" t="s">
        <v>5061</v>
      </c>
      <c r="D953" s="1">
        <v>2.653612E7</v>
      </c>
      <c r="E953" s="1" t="s">
        <v>2281</v>
      </c>
      <c r="F953" s="1" t="s">
        <v>1611</v>
      </c>
      <c r="G953" s="1" t="s">
        <v>5062</v>
      </c>
      <c r="H953" s="1" t="s">
        <v>5063</v>
      </c>
      <c r="I953" s="1">
        <v>49926.0</v>
      </c>
      <c r="J953" s="1" t="s">
        <v>5064</v>
      </c>
      <c r="K953" s="1" t="s">
        <v>5065</v>
      </c>
      <c r="L953" s="1">
        <v>286.0</v>
      </c>
      <c r="M953" s="1" t="s">
        <v>35</v>
      </c>
      <c r="N953" s="1" t="s">
        <v>730</v>
      </c>
      <c r="O953" s="1" t="s">
        <v>628</v>
      </c>
      <c r="P953" s="1">
        <v>5.0E7</v>
      </c>
      <c r="Q953" s="1">
        <v>2003.0</v>
      </c>
      <c r="R953" s="1">
        <v>933.0</v>
      </c>
      <c r="S953" s="1">
        <v>631.0</v>
      </c>
      <c r="T953" s="1">
        <v>511.0</v>
      </c>
      <c r="U953" s="1">
        <v>3357.0</v>
      </c>
      <c r="V953" s="1">
        <v>323.0</v>
      </c>
      <c r="W953" s="1">
        <v>0.0</v>
      </c>
      <c r="X953" s="1">
        <v>0.0</v>
      </c>
      <c r="Y953" s="1">
        <v>2.35</v>
      </c>
      <c r="Z953" s="1">
        <v>6.5</v>
      </c>
    </row>
    <row r="954" ht="14.25" customHeight="1">
      <c r="A954" s="1" t="s">
        <v>26</v>
      </c>
      <c r="B954" s="1" t="s">
        <v>3503</v>
      </c>
      <c r="C954" s="1" t="s">
        <v>5066</v>
      </c>
      <c r="D954" s="1">
        <v>2.6199517E7</v>
      </c>
      <c r="E954" s="1" t="s">
        <v>2281</v>
      </c>
      <c r="F954" s="1" t="s">
        <v>3503</v>
      </c>
      <c r="G954" s="1" t="s">
        <v>3774</v>
      </c>
      <c r="H954" s="1" t="s">
        <v>5067</v>
      </c>
      <c r="I954" s="1">
        <v>34356.0</v>
      </c>
      <c r="J954" s="1" t="s">
        <v>5068</v>
      </c>
      <c r="K954" s="1" t="s">
        <v>5069</v>
      </c>
      <c r="L954" s="1">
        <v>260.0</v>
      </c>
      <c r="M954" s="1" t="s">
        <v>35</v>
      </c>
      <c r="N954" s="1" t="s">
        <v>36</v>
      </c>
      <c r="O954" s="1" t="s">
        <v>628</v>
      </c>
      <c r="P954" s="1">
        <v>5.0E7</v>
      </c>
      <c r="Q954" s="1">
        <v>2002.0</v>
      </c>
      <c r="R954" s="1">
        <v>16000.0</v>
      </c>
      <c r="S954" s="1">
        <v>1000.0</v>
      </c>
      <c r="T954" s="1">
        <v>581.0</v>
      </c>
      <c r="U954" s="1">
        <v>18635.0</v>
      </c>
      <c r="V954" s="1">
        <v>16000.0</v>
      </c>
      <c r="W954" s="1">
        <v>705.0</v>
      </c>
      <c r="X954" s="1">
        <v>1.0</v>
      </c>
      <c r="Y954" s="1">
        <v>2.35</v>
      </c>
      <c r="Z954" s="1">
        <v>6.4</v>
      </c>
    </row>
    <row r="955" ht="14.25" customHeight="1">
      <c r="A955" s="1" t="s">
        <v>26</v>
      </c>
      <c r="B955" s="1" t="s">
        <v>1764</v>
      </c>
      <c r="C955" s="1" t="s">
        <v>5070</v>
      </c>
      <c r="D955" s="1">
        <v>2.5450527E7</v>
      </c>
      <c r="E955" s="1" t="s">
        <v>2281</v>
      </c>
      <c r="F955" s="1" t="s">
        <v>200</v>
      </c>
      <c r="G955" s="1" t="s">
        <v>2965</v>
      </c>
      <c r="H955" s="1" t="s">
        <v>817</v>
      </c>
      <c r="I955" s="1">
        <v>80196.0</v>
      </c>
      <c r="J955" s="1" t="s">
        <v>5071</v>
      </c>
      <c r="K955" s="1" t="s">
        <v>5072</v>
      </c>
      <c r="L955" s="1">
        <v>190.0</v>
      </c>
      <c r="M955" s="1" t="s">
        <v>35</v>
      </c>
      <c r="N955" s="1" t="s">
        <v>36</v>
      </c>
      <c r="O955" s="1" t="s">
        <v>628</v>
      </c>
      <c r="P955" s="1">
        <v>5.0E7</v>
      </c>
      <c r="Q955" s="1">
        <v>2009.0</v>
      </c>
      <c r="R955" s="1">
        <v>6000.0</v>
      </c>
      <c r="S955" s="1">
        <v>450.0</v>
      </c>
      <c r="T955" s="1">
        <v>294.0</v>
      </c>
      <c r="U955" s="1">
        <v>7654.0</v>
      </c>
      <c r="V955" s="1">
        <v>670.0</v>
      </c>
      <c r="W955" s="1">
        <v>0.0</v>
      </c>
      <c r="X955" s="1">
        <v>0.0</v>
      </c>
      <c r="Y955" s="1">
        <v>2.35</v>
      </c>
      <c r="Z955" s="1">
        <v>6.5</v>
      </c>
    </row>
    <row r="956" ht="14.25" customHeight="1">
      <c r="A956" s="1" t="s">
        <v>26</v>
      </c>
      <c r="B956" s="1" t="s">
        <v>5073</v>
      </c>
      <c r="C956" s="1" t="s">
        <v>5074</v>
      </c>
      <c r="D956" s="1">
        <v>2.540725E7</v>
      </c>
      <c r="E956" s="1" t="s">
        <v>219</v>
      </c>
      <c r="F956" s="1" t="s">
        <v>264</v>
      </c>
      <c r="G956" s="1" t="s">
        <v>5075</v>
      </c>
      <c r="H956" s="1" t="s">
        <v>5076</v>
      </c>
      <c r="I956" s="1">
        <v>54021.0</v>
      </c>
      <c r="J956" s="1" t="s">
        <v>5077</v>
      </c>
      <c r="K956" s="1" t="s">
        <v>5078</v>
      </c>
      <c r="L956" s="1">
        <v>227.0</v>
      </c>
      <c r="M956" s="1" t="s">
        <v>35</v>
      </c>
      <c r="N956" s="1" t="s">
        <v>36</v>
      </c>
      <c r="O956" s="1" t="s">
        <v>628</v>
      </c>
      <c r="P956" s="1">
        <v>5.0E7</v>
      </c>
      <c r="Q956" s="1">
        <v>1996.0</v>
      </c>
      <c r="R956" s="1">
        <v>12000.0</v>
      </c>
      <c r="S956" s="1">
        <v>898.0</v>
      </c>
      <c r="T956" s="1">
        <v>764.0</v>
      </c>
      <c r="U956" s="1">
        <v>15935.0</v>
      </c>
      <c r="V956" s="1">
        <v>0.0</v>
      </c>
      <c r="W956" s="1">
        <v>0.0</v>
      </c>
      <c r="X956" s="1">
        <v>0.0</v>
      </c>
      <c r="Y956" s="1">
        <v>2.35</v>
      </c>
      <c r="Z956" s="1">
        <v>5.7</v>
      </c>
    </row>
    <row r="957" ht="14.25" customHeight="1">
      <c r="A957" s="1" t="s">
        <v>26</v>
      </c>
      <c r="B957" s="1" t="s">
        <v>579</v>
      </c>
      <c r="C957" s="1" t="s">
        <v>5079</v>
      </c>
      <c r="D957" s="1">
        <v>2.3159305E7</v>
      </c>
      <c r="E957" s="1" t="s">
        <v>588</v>
      </c>
      <c r="F957" s="1" t="s">
        <v>329</v>
      </c>
      <c r="G957" s="1" t="s">
        <v>5062</v>
      </c>
      <c r="H957" s="1" t="s">
        <v>5080</v>
      </c>
      <c r="I957" s="1">
        <v>128455.0</v>
      </c>
      <c r="J957" s="1" t="s">
        <v>5081</v>
      </c>
      <c r="K957" s="1" t="s">
        <v>5082</v>
      </c>
      <c r="L957" s="1">
        <v>514.0</v>
      </c>
      <c r="M957" s="1" t="s">
        <v>35</v>
      </c>
      <c r="N957" s="1" t="s">
        <v>36</v>
      </c>
      <c r="O957" s="1" t="s">
        <v>87</v>
      </c>
      <c r="P957" s="1">
        <v>7.0E7</v>
      </c>
      <c r="Q957" s="1">
        <v>1999.0</v>
      </c>
      <c r="R957" s="1">
        <v>14000.0</v>
      </c>
      <c r="S957" s="1">
        <v>631.0</v>
      </c>
      <c r="T957" s="1">
        <v>521.0</v>
      </c>
      <c r="U957" s="1">
        <v>16358.0</v>
      </c>
      <c r="V957" s="1">
        <v>663.0</v>
      </c>
      <c r="W957" s="1">
        <v>0.0</v>
      </c>
      <c r="X957" s="1">
        <v>1.0</v>
      </c>
      <c r="Y957" s="1">
        <v>2.35</v>
      </c>
      <c r="Z957" s="1">
        <v>8.0</v>
      </c>
    </row>
    <row r="958" ht="14.25" customHeight="1">
      <c r="A958" s="1" t="s">
        <v>26</v>
      </c>
      <c r="B958" s="1" t="s">
        <v>5083</v>
      </c>
      <c r="C958" s="1" t="s">
        <v>5084</v>
      </c>
      <c r="D958" s="1">
        <v>2.4006726E7</v>
      </c>
      <c r="E958" s="1" t="s">
        <v>5085</v>
      </c>
      <c r="F958" s="1" t="s">
        <v>534</v>
      </c>
      <c r="G958" s="1" t="s">
        <v>3774</v>
      </c>
      <c r="H958" s="1" t="s">
        <v>4316</v>
      </c>
      <c r="I958" s="1">
        <v>139535.0</v>
      </c>
      <c r="J958" s="1" t="s">
        <v>5086</v>
      </c>
      <c r="K958" s="1" t="s">
        <v>5087</v>
      </c>
      <c r="L958" s="1">
        <v>632.0</v>
      </c>
      <c r="M958" s="1" t="s">
        <v>35</v>
      </c>
      <c r="N958" s="1" t="s">
        <v>36</v>
      </c>
      <c r="O958" s="1" t="s">
        <v>628</v>
      </c>
      <c r="P958" s="1">
        <v>5.0E7</v>
      </c>
      <c r="Q958" s="1">
        <v>2004.0</v>
      </c>
      <c r="R958" s="1">
        <v>13000.0</v>
      </c>
      <c r="S958" s="1">
        <v>1000.0</v>
      </c>
      <c r="T958" s="1">
        <v>639.0</v>
      </c>
      <c r="U958" s="1">
        <v>15757.0</v>
      </c>
      <c r="V958" s="1">
        <v>0.0</v>
      </c>
      <c r="W958" s="1">
        <v>0.0</v>
      </c>
      <c r="X958" s="1">
        <v>8.0</v>
      </c>
      <c r="Y958" s="1">
        <v>2.35</v>
      </c>
      <c r="Z958" s="1">
        <v>7.3</v>
      </c>
    </row>
    <row r="959" ht="14.25" customHeight="1">
      <c r="A959" s="1" t="s">
        <v>26</v>
      </c>
      <c r="B959" s="1" t="s">
        <v>2211</v>
      </c>
      <c r="C959" s="1" t="s">
        <v>5088</v>
      </c>
      <c r="D959" s="1">
        <v>2.0389967E7</v>
      </c>
      <c r="E959" s="1" t="s">
        <v>5089</v>
      </c>
      <c r="F959" s="1" t="s">
        <v>637</v>
      </c>
      <c r="G959" s="1" t="s">
        <v>5090</v>
      </c>
      <c r="H959" s="1" t="s">
        <v>5091</v>
      </c>
      <c r="I959" s="1">
        <v>3077.0</v>
      </c>
      <c r="J959" s="1" t="s">
        <v>5092</v>
      </c>
      <c r="K959" s="1" t="s">
        <v>5093</v>
      </c>
      <c r="L959" s="1">
        <v>47.0</v>
      </c>
      <c r="M959" s="1" t="s">
        <v>35</v>
      </c>
      <c r="N959" s="1" t="s">
        <v>36</v>
      </c>
      <c r="O959" s="1" t="s">
        <v>628</v>
      </c>
      <c r="P959" s="1">
        <v>5.0E7</v>
      </c>
      <c r="Q959" s="1">
        <v>2016.0</v>
      </c>
      <c r="R959" s="1">
        <v>11000.0</v>
      </c>
      <c r="S959" s="1">
        <v>552.0</v>
      </c>
      <c r="T959" s="1">
        <v>303.0</v>
      </c>
      <c r="U959" s="1">
        <v>12786.0</v>
      </c>
      <c r="V959" s="1">
        <v>378.0</v>
      </c>
      <c r="W959" s="1">
        <v>10000.0</v>
      </c>
      <c r="X959" s="1">
        <v>1.0</v>
      </c>
      <c r="Y959" s="1">
        <v>1.85</v>
      </c>
      <c r="Z959" s="1">
        <v>6.7</v>
      </c>
    </row>
    <row r="960" ht="14.25" customHeight="1">
      <c r="A960" s="1" t="s">
        <v>26</v>
      </c>
      <c r="B960" s="1" t="s">
        <v>4446</v>
      </c>
      <c r="C960" s="1" t="s">
        <v>5094</v>
      </c>
      <c r="D960" s="1">
        <v>1.959374E7</v>
      </c>
      <c r="E960" s="1" t="s">
        <v>2045</v>
      </c>
      <c r="F960" s="1" t="s">
        <v>112</v>
      </c>
      <c r="G960" s="1" t="s">
        <v>208</v>
      </c>
      <c r="H960" s="1" t="s">
        <v>888</v>
      </c>
      <c r="I960" s="1">
        <v>88270.0</v>
      </c>
      <c r="J960" s="1" t="s">
        <v>5095</v>
      </c>
      <c r="K960" s="1" t="s">
        <v>5096</v>
      </c>
      <c r="L960" s="1">
        <v>420.0</v>
      </c>
      <c r="M960" s="1" t="s">
        <v>35</v>
      </c>
      <c r="N960" s="1" t="s">
        <v>36</v>
      </c>
      <c r="O960" s="1" t="s">
        <v>628</v>
      </c>
      <c r="P960" s="1">
        <v>5.0E7</v>
      </c>
      <c r="Q960" s="1">
        <v>2003.0</v>
      </c>
      <c r="R960" s="1">
        <v>18000.0</v>
      </c>
      <c r="S960" s="1">
        <v>14000.0</v>
      </c>
      <c r="T960" s="1">
        <v>256.0</v>
      </c>
      <c r="U960" s="1">
        <v>32637.0</v>
      </c>
      <c r="V960" s="1">
        <v>317.0</v>
      </c>
      <c r="W960" s="1">
        <v>0.0</v>
      </c>
      <c r="X960" s="1">
        <v>0.0</v>
      </c>
      <c r="Y960" s="1">
        <v>2.35</v>
      </c>
      <c r="Z960" s="1">
        <v>7.5</v>
      </c>
    </row>
    <row r="961" ht="14.25" customHeight="1">
      <c r="A961" s="1" t="s">
        <v>26</v>
      </c>
      <c r="B961" s="1" t="s">
        <v>4205</v>
      </c>
      <c r="C961" s="1" t="s">
        <v>5097</v>
      </c>
      <c r="D961" s="1">
        <v>1.9118247E7</v>
      </c>
      <c r="E961" s="1" t="s">
        <v>2056</v>
      </c>
      <c r="F961" s="1" t="s">
        <v>2931</v>
      </c>
      <c r="G961" s="1" t="s">
        <v>5098</v>
      </c>
      <c r="H961" s="1" t="s">
        <v>834</v>
      </c>
      <c r="I961" s="1">
        <v>19829.0</v>
      </c>
      <c r="J961" s="1" t="s">
        <v>5099</v>
      </c>
      <c r="K961" s="1" t="s">
        <v>5100</v>
      </c>
      <c r="L961" s="1">
        <v>94.0</v>
      </c>
      <c r="M961" s="1" t="s">
        <v>35</v>
      </c>
      <c r="N961" s="1" t="s">
        <v>36</v>
      </c>
      <c r="O961" s="1" t="s">
        <v>37</v>
      </c>
      <c r="P961" s="1">
        <v>4.0E7</v>
      </c>
      <c r="Q961" s="1">
        <v>2005.0</v>
      </c>
      <c r="R961" s="1">
        <v>1000.0</v>
      </c>
      <c r="S961" s="1">
        <v>923.0</v>
      </c>
      <c r="T961" s="1">
        <v>730.0</v>
      </c>
      <c r="U961" s="1">
        <v>6171.0</v>
      </c>
      <c r="V961" s="1">
        <v>65.0</v>
      </c>
      <c r="W961" s="1">
        <v>779.0</v>
      </c>
      <c r="X961" s="1">
        <v>5.0</v>
      </c>
      <c r="Y961" s="1">
        <v>2.35</v>
      </c>
      <c r="Z961" s="1">
        <v>5.4</v>
      </c>
    </row>
    <row r="962" ht="14.25" customHeight="1">
      <c r="A962" s="1" t="s">
        <v>26</v>
      </c>
      <c r="B962" s="1" t="s">
        <v>4844</v>
      </c>
      <c r="C962" s="1" t="s">
        <v>5101</v>
      </c>
      <c r="D962" s="1">
        <v>2.6442251E7</v>
      </c>
      <c r="E962" s="1" t="s">
        <v>449</v>
      </c>
      <c r="F962" s="1" t="s">
        <v>220</v>
      </c>
      <c r="G962" s="1" t="s">
        <v>321</v>
      </c>
      <c r="H962" s="1" t="s">
        <v>2200</v>
      </c>
      <c r="I962" s="1">
        <v>76010.0</v>
      </c>
      <c r="J962" s="1" t="s">
        <v>5102</v>
      </c>
      <c r="K962" s="1" t="s">
        <v>5103</v>
      </c>
      <c r="L962" s="1">
        <v>205.0</v>
      </c>
      <c r="M962" s="1" t="s">
        <v>35</v>
      </c>
      <c r="N962" s="1" t="s">
        <v>36</v>
      </c>
      <c r="O962" s="1" t="s">
        <v>628</v>
      </c>
      <c r="P962" s="1">
        <v>5.0E7</v>
      </c>
      <c r="Q962" s="1">
        <v>2015.0</v>
      </c>
      <c r="R962" s="1">
        <v>14000.0</v>
      </c>
      <c r="S962" s="1">
        <v>988.0</v>
      </c>
      <c r="T962" s="1">
        <v>655.0</v>
      </c>
      <c r="U962" s="1">
        <v>16992.0</v>
      </c>
      <c r="V962" s="1">
        <v>174.0</v>
      </c>
      <c r="W962" s="1">
        <v>15000.0</v>
      </c>
      <c r="X962" s="1">
        <v>2.0</v>
      </c>
      <c r="Y962" s="1">
        <v>2.35</v>
      </c>
      <c r="Z962" s="1">
        <v>6.6</v>
      </c>
    </row>
    <row r="963" ht="14.25" customHeight="1">
      <c r="A963" s="1" t="s">
        <v>26</v>
      </c>
      <c r="B963" s="1" t="s">
        <v>5104</v>
      </c>
      <c r="C963" s="1" t="s">
        <v>5105</v>
      </c>
      <c r="D963" s="1">
        <v>1.7114882E7</v>
      </c>
      <c r="E963" s="1" t="s">
        <v>2130</v>
      </c>
      <c r="F963" s="1" t="s">
        <v>2682</v>
      </c>
      <c r="G963" s="1" t="s">
        <v>200</v>
      </c>
      <c r="H963" s="1" t="s">
        <v>5106</v>
      </c>
      <c r="I963" s="1">
        <v>189249.0</v>
      </c>
      <c r="J963" s="1" t="s">
        <v>5107</v>
      </c>
      <c r="K963" s="1" t="s">
        <v>5108</v>
      </c>
      <c r="L963" s="1">
        <v>398.0</v>
      </c>
      <c r="M963" s="1" t="s">
        <v>35</v>
      </c>
      <c r="N963" s="1" t="s">
        <v>36</v>
      </c>
      <c r="O963" s="1" t="s">
        <v>628</v>
      </c>
      <c r="P963" s="1">
        <v>2.5E7</v>
      </c>
      <c r="Q963" s="1">
        <v>2007.0</v>
      </c>
      <c r="R963" s="1">
        <v>10000.0</v>
      </c>
      <c r="S963" s="1">
        <v>6000.0</v>
      </c>
      <c r="T963" s="1">
        <v>509.0</v>
      </c>
      <c r="U963" s="1">
        <v>17211.0</v>
      </c>
      <c r="V963" s="1">
        <v>0.0</v>
      </c>
      <c r="W963" s="1">
        <v>0.0</v>
      </c>
      <c r="X963" s="1">
        <v>1.0</v>
      </c>
      <c r="Y963" s="1">
        <v>1.85</v>
      </c>
      <c r="Z963" s="1">
        <v>7.7</v>
      </c>
    </row>
    <row r="964" ht="14.25" customHeight="1">
      <c r="A964" s="1" t="s">
        <v>26</v>
      </c>
      <c r="B964" s="1" t="s">
        <v>5109</v>
      </c>
      <c r="C964" s="1" t="s">
        <v>5110</v>
      </c>
      <c r="D964" s="1">
        <v>1.8472363E7</v>
      </c>
      <c r="E964" s="1" t="s">
        <v>3171</v>
      </c>
      <c r="F964" s="1" t="s">
        <v>328</v>
      </c>
      <c r="G964" s="1" t="s">
        <v>295</v>
      </c>
      <c r="H964" s="1" t="s">
        <v>4305</v>
      </c>
      <c r="I964" s="1">
        <v>63599.0</v>
      </c>
      <c r="J964" s="1" t="s">
        <v>5111</v>
      </c>
      <c r="K964" s="1" t="s">
        <v>5112</v>
      </c>
      <c r="L964" s="1">
        <v>208.0</v>
      </c>
      <c r="M964" s="1" t="s">
        <v>35</v>
      </c>
      <c r="N964" s="1" t="s">
        <v>36</v>
      </c>
      <c r="O964" s="1" t="s">
        <v>37</v>
      </c>
      <c r="P964" s="1">
        <v>5.0E7</v>
      </c>
      <c r="Q964" s="1">
        <v>2005.0</v>
      </c>
      <c r="R964" s="1">
        <v>23000.0</v>
      </c>
      <c r="S964" s="1">
        <v>1000.0</v>
      </c>
      <c r="T964" s="1">
        <v>795.0</v>
      </c>
      <c r="U964" s="1">
        <v>25049.0</v>
      </c>
      <c r="V964" s="1">
        <v>134.0</v>
      </c>
      <c r="W964" s="1">
        <v>0.0</v>
      </c>
      <c r="X964" s="1">
        <v>3.0</v>
      </c>
      <c r="Y964" s="1">
        <v>2.35</v>
      </c>
      <c r="Z964" s="1">
        <v>5.8</v>
      </c>
    </row>
    <row r="965" ht="14.25" customHeight="1">
      <c r="A965" s="1" t="s">
        <v>26</v>
      </c>
      <c r="B965" s="1" t="s">
        <v>1890</v>
      </c>
      <c r="C965" s="1" t="s">
        <v>5113</v>
      </c>
      <c r="D965" s="1">
        <v>1.4131298E7</v>
      </c>
      <c r="E965" s="1" t="s">
        <v>3259</v>
      </c>
      <c r="F965" s="1" t="s">
        <v>5114</v>
      </c>
      <c r="G965" s="1" t="s">
        <v>5115</v>
      </c>
      <c r="H965" s="1" t="s">
        <v>5116</v>
      </c>
      <c r="I965" s="1">
        <v>55889.0</v>
      </c>
      <c r="J965" s="1" t="s">
        <v>5117</v>
      </c>
      <c r="K965" s="1" t="s">
        <v>5118</v>
      </c>
      <c r="L965" s="1">
        <v>390.0</v>
      </c>
      <c r="M965" s="1" t="s">
        <v>35</v>
      </c>
      <c r="N965" s="1" t="s">
        <v>1832</v>
      </c>
      <c r="O965" s="1" t="s">
        <v>628</v>
      </c>
      <c r="P965" s="1">
        <v>3.9E8</v>
      </c>
      <c r="Q965" s="1">
        <v>1999.0</v>
      </c>
      <c r="R965" s="1">
        <v>51.0</v>
      </c>
      <c r="S965" s="1">
        <v>40.0</v>
      </c>
      <c r="T965" s="1">
        <v>15.0</v>
      </c>
      <c r="U965" s="1">
        <v>144.0</v>
      </c>
      <c r="V965" s="1">
        <v>0.0</v>
      </c>
      <c r="W965" s="1">
        <v>0.0</v>
      </c>
      <c r="X965" s="1">
        <v>0.0</v>
      </c>
      <c r="Y965" s="1">
        <v>2.35</v>
      </c>
      <c r="Z965" s="1">
        <v>6.4</v>
      </c>
    </row>
    <row r="966" ht="14.25" customHeight="1">
      <c r="A966" s="1" t="s">
        <v>26</v>
      </c>
      <c r="B966" s="1" t="s">
        <v>5119</v>
      </c>
      <c r="C966" s="1" t="s">
        <v>5120</v>
      </c>
      <c r="D966" s="1">
        <v>2.155724E7</v>
      </c>
      <c r="E966" s="1" t="s">
        <v>5121</v>
      </c>
      <c r="F966" s="1" t="s">
        <v>805</v>
      </c>
      <c r="G966" s="1" t="s">
        <v>1868</v>
      </c>
      <c r="H966" s="1" t="s">
        <v>75</v>
      </c>
      <c r="I966" s="1">
        <v>85237.0</v>
      </c>
      <c r="J966" s="1" t="s">
        <v>5122</v>
      </c>
      <c r="K966" s="1" t="s">
        <v>5123</v>
      </c>
      <c r="L966" s="1">
        <v>274.0</v>
      </c>
      <c r="M966" s="1" t="s">
        <v>35</v>
      </c>
      <c r="N966" s="1" t="s">
        <v>36</v>
      </c>
      <c r="O966" s="1" t="s">
        <v>628</v>
      </c>
      <c r="P966" s="1">
        <v>4.99E7</v>
      </c>
      <c r="Q966" s="1">
        <v>2011.0</v>
      </c>
      <c r="R966" s="1">
        <v>20000.0</v>
      </c>
      <c r="S966" s="1">
        <v>11000.0</v>
      </c>
      <c r="T966" s="1">
        <v>11000.0</v>
      </c>
      <c r="U966" s="1">
        <v>45202.0</v>
      </c>
      <c r="V966" s="1">
        <v>234.0</v>
      </c>
      <c r="W966" s="1">
        <v>18000.0</v>
      </c>
      <c r="X966" s="1">
        <v>3.0</v>
      </c>
      <c r="Y966" s="1">
        <v>2.35</v>
      </c>
      <c r="Z966" s="1">
        <v>5.6</v>
      </c>
    </row>
    <row r="967" ht="14.25" customHeight="1">
      <c r="A967" s="1" t="s">
        <v>26</v>
      </c>
      <c r="B967" s="1" t="s">
        <v>5124</v>
      </c>
      <c r="C967" s="1" t="s">
        <v>5125</v>
      </c>
      <c r="D967" s="1">
        <v>2.128344E7</v>
      </c>
      <c r="E967" s="1" t="s">
        <v>1842</v>
      </c>
      <c r="F967" s="1" t="s">
        <v>200</v>
      </c>
      <c r="G967" s="1" t="s">
        <v>5126</v>
      </c>
      <c r="H967" s="1" t="s">
        <v>3245</v>
      </c>
      <c r="I967" s="1">
        <v>46239.0</v>
      </c>
      <c r="J967" s="1" t="s">
        <v>5127</v>
      </c>
      <c r="K967" s="1" t="s">
        <v>5128</v>
      </c>
      <c r="L967" s="1">
        <v>137.0</v>
      </c>
      <c r="M967" s="1" t="s">
        <v>35</v>
      </c>
      <c r="N967" s="1" t="s">
        <v>36</v>
      </c>
      <c r="O967" s="1" t="s">
        <v>37</v>
      </c>
      <c r="P967" s="1">
        <v>5.5E7</v>
      </c>
      <c r="Q967" s="1">
        <v>2011.0</v>
      </c>
      <c r="R967" s="1">
        <v>6000.0</v>
      </c>
      <c r="S967" s="1">
        <v>694.0</v>
      </c>
      <c r="T967" s="1">
        <v>692.0</v>
      </c>
      <c r="U967" s="1">
        <v>8018.0</v>
      </c>
      <c r="V967" s="1">
        <v>260.0</v>
      </c>
      <c r="W967" s="1">
        <v>0.0</v>
      </c>
      <c r="X967" s="1">
        <v>0.0</v>
      </c>
      <c r="Y967" s="1">
        <v>2.35</v>
      </c>
      <c r="Z967" s="1">
        <v>6.0</v>
      </c>
    </row>
    <row r="968" ht="14.25" customHeight="1">
      <c r="A968" s="1" t="s">
        <v>26</v>
      </c>
      <c r="B968" s="1" t="s">
        <v>5129</v>
      </c>
      <c r="C968" s="1" t="s">
        <v>5130</v>
      </c>
      <c r="D968" s="1">
        <v>1.0556196E7</v>
      </c>
      <c r="E968" s="1" t="s">
        <v>2045</v>
      </c>
      <c r="F968" s="1" t="s">
        <v>4116</v>
      </c>
      <c r="G968" s="1" t="s">
        <v>1664</v>
      </c>
      <c r="H968" s="1" t="s">
        <v>5131</v>
      </c>
      <c r="I968" s="1">
        <v>16562.0</v>
      </c>
      <c r="J968" s="1" t="s">
        <v>5132</v>
      </c>
      <c r="K968" s="1" t="s">
        <v>5133</v>
      </c>
      <c r="L968" s="1">
        <v>73.0</v>
      </c>
      <c r="M968" s="1" t="s">
        <v>35</v>
      </c>
      <c r="N968" s="1" t="s">
        <v>36</v>
      </c>
      <c r="O968" s="1" t="s">
        <v>37</v>
      </c>
      <c r="P968" s="1">
        <v>5.0E7</v>
      </c>
      <c r="Q968" s="1">
        <v>1997.0</v>
      </c>
      <c r="R968" s="1">
        <v>972.0</v>
      </c>
      <c r="S968" s="1">
        <v>713.0</v>
      </c>
      <c r="T968" s="1">
        <v>317.0</v>
      </c>
      <c r="U968" s="1">
        <v>2606.0</v>
      </c>
      <c r="V968" s="1">
        <v>333.0</v>
      </c>
      <c r="W968" s="1">
        <v>697.0</v>
      </c>
      <c r="X968" s="1">
        <v>2.0</v>
      </c>
      <c r="Y968" s="1">
        <v>2.35</v>
      </c>
      <c r="Z968" s="1">
        <v>6.2</v>
      </c>
    </row>
    <row r="969" ht="14.25" customHeight="1">
      <c r="A969" s="1" t="s">
        <v>26</v>
      </c>
      <c r="B969" s="1" t="s">
        <v>5134</v>
      </c>
      <c r="C969" s="1" t="s">
        <v>5135</v>
      </c>
      <c r="D969" s="1">
        <v>1.6671505E7</v>
      </c>
      <c r="E969" s="1" t="s">
        <v>5136</v>
      </c>
      <c r="F969" s="1" t="s">
        <v>301</v>
      </c>
      <c r="G969" s="1" t="s">
        <v>5137</v>
      </c>
      <c r="H969" s="1" t="s">
        <v>5138</v>
      </c>
      <c r="I969" s="1">
        <v>33186.0</v>
      </c>
      <c r="J969" s="1" t="s">
        <v>5139</v>
      </c>
      <c r="K969" s="1" t="s">
        <v>5140</v>
      </c>
      <c r="L969" s="1">
        <v>78.0</v>
      </c>
      <c r="M969" s="1" t="s">
        <v>35</v>
      </c>
      <c r="N969" s="1" t="s">
        <v>36</v>
      </c>
      <c r="O969" s="1" t="s">
        <v>87</v>
      </c>
      <c r="P969" s="1">
        <v>5.0E7</v>
      </c>
      <c r="Q969" s="1">
        <v>1994.0</v>
      </c>
      <c r="R969" s="1">
        <v>1000.0</v>
      </c>
      <c r="S969" s="1">
        <v>619.0</v>
      </c>
      <c r="T969" s="1">
        <v>479.0</v>
      </c>
      <c r="U969" s="1">
        <v>2949.0</v>
      </c>
      <c r="V969" s="1">
        <v>32.0</v>
      </c>
      <c r="W969" s="1">
        <v>0.0</v>
      </c>
      <c r="X969" s="1">
        <v>1.0</v>
      </c>
      <c r="Y969" s="1">
        <v>1.85</v>
      </c>
      <c r="Z969" s="1">
        <v>5.9</v>
      </c>
    </row>
    <row r="970" ht="14.25" customHeight="1">
      <c r="A970" s="1" t="s">
        <v>26</v>
      </c>
      <c r="B970" s="1" t="s">
        <v>5141</v>
      </c>
      <c r="C970" s="1" t="s">
        <v>5142</v>
      </c>
      <c r="D970" s="1">
        <v>1.04E7</v>
      </c>
      <c r="E970" s="1" t="s">
        <v>206</v>
      </c>
      <c r="F970" s="1" t="s">
        <v>425</v>
      </c>
      <c r="G970" s="1" t="s">
        <v>1606</v>
      </c>
      <c r="H970" s="1" t="s">
        <v>1320</v>
      </c>
      <c r="I970" s="1">
        <v>12037.0</v>
      </c>
      <c r="J970" s="1" t="s">
        <v>5143</v>
      </c>
      <c r="K970" s="1" t="s">
        <v>5144</v>
      </c>
      <c r="L970" s="1">
        <v>90.0</v>
      </c>
      <c r="M970" s="1" t="s">
        <v>35</v>
      </c>
      <c r="N970" s="1" t="s">
        <v>36</v>
      </c>
      <c r="O970" s="1" t="s">
        <v>628</v>
      </c>
      <c r="P970" s="1">
        <v>5.0E7</v>
      </c>
      <c r="Q970" s="1">
        <v>1995.0</v>
      </c>
      <c r="R970" s="1">
        <v>10000.0</v>
      </c>
      <c r="S970" s="1">
        <v>3000.0</v>
      </c>
      <c r="T970" s="1">
        <v>2000.0</v>
      </c>
      <c r="U970" s="1">
        <v>15820.0</v>
      </c>
      <c r="V970" s="1">
        <v>596.0</v>
      </c>
      <c r="W970" s="1">
        <v>943.0</v>
      </c>
      <c r="X970" s="1">
        <v>1.0</v>
      </c>
      <c r="Y970" s="1">
        <v>2.35</v>
      </c>
      <c r="Z970" s="1">
        <v>5.1</v>
      </c>
    </row>
    <row r="971" ht="14.25" customHeight="1">
      <c r="A971" s="1" t="s">
        <v>26</v>
      </c>
      <c r="B971" s="1" t="s">
        <v>506</v>
      </c>
      <c r="C971" s="1" t="s">
        <v>5145</v>
      </c>
      <c r="D971" s="1">
        <v>9528092.0</v>
      </c>
      <c r="E971" s="1" t="s">
        <v>3404</v>
      </c>
      <c r="F971" s="1" t="s">
        <v>200</v>
      </c>
      <c r="G971" s="1" t="s">
        <v>911</v>
      </c>
      <c r="H971" s="1" t="s">
        <v>3268</v>
      </c>
      <c r="I971" s="1">
        <v>38513.0</v>
      </c>
      <c r="J971" s="1" t="s">
        <v>5146</v>
      </c>
      <c r="K971" s="1" t="s">
        <v>5147</v>
      </c>
      <c r="L971" s="1">
        <v>127.0</v>
      </c>
      <c r="M971" s="1" t="s">
        <v>35</v>
      </c>
      <c r="N971" s="1" t="s">
        <v>36</v>
      </c>
      <c r="O971" s="1" t="s">
        <v>37</v>
      </c>
      <c r="P971" s="1">
        <v>2.2E7</v>
      </c>
      <c r="Q971" s="1">
        <v>2010.0</v>
      </c>
      <c r="R971" s="1">
        <v>6000.0</v>
      </c>
      <c r="S971" s="1">
        <v>3000.0</v>
      </c>
      <c r="T971" s="1">
        <v>405.0</v>
      </c>
      <c r="U971" s="1">
        <v>10191.0</v>
      </c>
      <c r="V971" s="1">
        <v>218.0</v>
      </c>
      <c r="W971" s="1">
        <v>9000.0</v>
      </c>
      <c r="X971" s="1">
        <v>2.0</v>
      </c>
      <c r="Y971" s="1">
        <v>2.35</v>
      </c>
      <c r="Z971" s="1">
        <v>6.8</v>
      </c>
    </row>
    <row r="972" ht="14.25" customHeight="1">
      <c r="A972" s="1" t="s">
        <v>26</v>
      </c>
      <c r="B972" s="1" t="s">
        <v>1656</v>
      </c>
      <c r="C972" s="1" t="s">
        <v>5148</v>
      </c>
      <c r="D972" s="1">
        <v>1.0137232E7</v>
      </c>
      <c r="E972" s="1" t="s">
        <v>5149</v>
      </c>
      <c r="F972" s="1" t="s">
        <v>5150</v>
      </c>
      <c r="G972" s="1" t="s">
        <v>5151</v>
      </c>
      <c r="H972" s="1" t="s">
        <v>841</v>
      </c>
      <c r="I972" s="1">
        <v>58015.0</v>
      </c>
      <c r="J972" s="1" t="s">
        <v>5152</v>
      </c>
      <c r="K972" s="1" t="s">
        <v>5153</v>
      </c>
      <c r="L972" s="1">
        <v>374.0</v>
      </c>
      <c r="M972" s="1" t="s">
        <v>35</v>
      </c>
      <c r="N972" s="1" t="s">
        <v>1832</v>
      </c>
      <c r="O972" s="1" t="s">
        <v>628</v>
      </c>
      <c r="P972" s="1">
        <v>5.0E7</v>
      </c>
      <c r="Q972" s="1">
        <v>2005.0</v>
      </c>
      <c r="R972" s="1">
        <v>984.0</v>
      </c>
      <c r="S972" s="1">
        <v>940.0</v>
      </c>
      <c r="T972" s="1">
        <v>897.0</v>
      </c>
      <c r="U972" s="1">
        <v>5702.0</v>
      </c>
      <c r="V972" s="1">
        <v>12000.0</v>
      </c>
      <c r="W972" s="1">
        <v>0.0</v>
      </c>
      <c r="X972" s="1">
        <v>0.0</v>
      </c>
      <c r="Y972" s="1">
        <v>2.35</v>
      </c>
      <c r="Z972" s="1">
        <v>6.0</v>
      </c>
    </row>
    <row r="973" ht="14.25" customHeight="1">
      <c r="A973" s="1" t="s">
        <v>26</v>
      </c>
      <c r="B973" s="1" t="s">
        <v>4475</v>
      </c>
      <c r="C973" s="1" t="s">
        <v>5154</v>
      </c>
      <c r="D973" s="1">
        <v>9795017.0</v>
      </c>
      <c r="E973" s="1" t="s">
        <v>2045</v>
      </c>
      <c r="F973" s="1" t="s">
        <v>2860</v>
      </c>
      <c r="G973" s="1" t="s">
        <v>1576</v>
      </c>
      <c r="H973" s="1" t="s">
        <v>1996</v>
      </c>
      <c r="I973" s="1">
        <v>9227.0</v>
      </c>
      <c r="J973" s="1" t="s">
        <v>5155</v>
      </c>
      <c r="K973" s="1" t="s">
        <v>5156</v>
      </c>
      <c r="L973" s="1">
        <v>70.0</v>
      </c>
      <c r="M973" s="1" t="s">
        <v>35</v>
      </c>
      <c r="N973" s="1" t="s">
        <v>36</v>
      </c>
      <c r="O973" s="1" t="s">
        <v>628</v>
      </c>
      <c r="P973" s="1">
        <v>5.0E7</v>
      </c>
      <c r="Q973" s="1">
        <v>1995.0</v>
      </c>
      <c r="R973" s="1">
        <v>2000.0</v>
      </c>
      <c r="S973" s="1">
        <v>979.0</v>
      </c>
      <c r="T973" s="1">
        <v>602.0</v>
      </c>
      <c r="U973" s="1">
        <v>5461.0</v>
      </c>
      <c r="V973" s="1">
        <v>607.0</v>
      </c>
      <c r="W973" s="1">
        <v>422.0</v>
      </c>
      <c r="X973" s="1">
        <v>0.0</v>
      </c>
      <c r="Y973" s="1">
        <v>1.85</v>
      </c>
      <c r="Z973" s="1">
        <v>5.1</v>
      </c>
    </row>
    <row r="974" ht="14.25" customHeight="1">
      <c r="A974" s="1" t="s">
        <v>26</v>
      </c>
      <c r="B974" s="1" t="s">
        <v>4285</v>
      </c>
      <c r="C974" s="1" t="s">
        <v>5157</v>
      </c>
      <c r="D974" s="1">
        <v>2.0488579E7</v>
      </c>
      <c r="E974" s="1" t="s">
        <v>2670</v>
      </c>
      <c r="F974" s="1" t="s">
        <v>616</v>
      </c>
      <c r="G974" s="1" t="s">
        <v>1162</v>
      </c>
      <c r="H974" s="1" t="s">
        <v>3214</v>
      </c>
      <c r="I974" s="1">
        <v>113483.0</v>
      </c>
      <c r="J974" s="1" t="s">
        <v>5158</v>
      </c>
      <c r="K974" s="1" t="s">
        <v>5159</v>
      </c>
      <c r="L974" s="1">
        <v>245.0</v>
      </c>
      <c r="M974" s="1" t="s">
        <v>35</v>
      </c>
      <c r="N974" s="1" t="s">
        <v>36</v>
      </c>
      <c r="O974" s="1" t="s">
        <v>628</v>
      </c>
      <c r="P974" s="1">
        <v>5.0E7</v>
      </c>
      <c r="Q974" s="1">
        <v>2009.0</v>
      </c>
      <c r="R974" s="1">
        <v>18000.0</v>
      </c>
      <c r="S974" s="1">
        <v>8000.0</v>
      </c>
      <c r="T974" s="1">
        <v>1000.0</v>
      </c>
      <c r="U974" s="1">
        <v>29926.0</v>
      </c>
      <c r="V974" s="1">
        <v>83.0</v>
      </c>
      <c r="W974" s="1">
        <v>0.0</v>
      </c>
      <c r="X974" s="1">
        <v>1.0</v>
      </c>
      <c r="Y974" s="1">
        <v>1.85</v>
      </c>
      <c r="Z974" s="1">
        <v>5.8</v>
      </c>
    </row>
    <row r="975" ht="14.25" customHeight="1">
      <c r="A975" s="1" t="s">
        <v>26</v>
      </c>
      <c r="B975" s="1" t="s">
        <v>5160</v>
      </c>
      <c r="C975" s="1" t="s">
        <v>5161</v>
      </c>
      <c r="D975" s="1">
        <v>1.9445217E7</v>
      </c>
      <c r="E975" s="1" t="s">
        <v>650</v>
      </c>
      <c r="F975" s="1" t="s">
        <v>5162</v>
      </c>
      <c r="G975" s="1" t="s">
        <v>5163</v>
      </c>
      <c r="H975" s="1" t="s">
        <v>5164</v>
      </c>
      <c r="I975" s="1">
        <v>67796.0</v>
      </c>
      <c r="J975" s="1" t="s">
        <v>5165</v>
      </c>
      <c r="K975" s="1" t="s">
        <v>5166</v>
      </c>
      <c r="L975" s="1">
        <v>258.0</v>
      </c>
      <c r="M975" s="1" t="s">
        <v>35</v>
      </c>
      <c r="N975" s="1" t="s">
        <v>36</v>
      </c>
      <c r="O975" s="1" t="s">
        <v>37</v>
      </c>
      <c r="P975" s="1">
        <v>6.0E7</v>
      </c>
      <c r="Q975" s="1">
        <v>2013.0</v>
      </c>
      <c r="R975" s="1">
        <v>1000.0</v>
      </c>
      <c r="S975" s="1">
        <v>852.0</v>
      </c>
      <c r="T975" s="1">
        <v>592.0</v>
      </c>
      <c r="U975" s="1">
        <v>3580.0</v>
      </c>
      <c r="V975" s="1">
        <v>98.0</v>
      </c>
      <c r="W975" s="1">
        <v>14000.0</v>
      </c>
      <c r="X975" s="1">
        <v>7.0</v>
      </c>
      <c r="Y975" s="1">
        <v>2.35</v>
      </c>
      <c r="Z975" s="1">
        <v>6.2</v>
      </c>
    </row>
    <row r="976" ht="14.25" customHeight="1">
      <c r="A976" s="1" t="s">
        <v>26</v>
      </c>
      <c r="B976" s="1" t="s">
        <v>5167</v>
      </c>
      <c r="C976" s="1" t="s">
        <v>5168</v>
      </c>
      <c r="D976" s="1">
        <v>8355815.0</v>
      </c>
      <c r="E976" s="1" t="s">
        <v>5022</v>
      </c>
      <c r="F976" s="1" t="s">
        <v>774</v>
      </c>
      <c r="G976" s="1" t="s">
        <v>1448</v>
      </c>
      <c r="H976" s="1" t="s">
        <v>1413</v>
      </c>
      <c r="I976" s="1">
        <v>34730.0</v>
      </c>
      <c r="J976" s="1" t="s">
        <v>5169</v>
      </c>
      <c r="K976" s="1" t="s">
        <v>5170</v>
      </c>
      <c r="L976" s="1">
        <v>341.0</v>
      </c>
      <c r="M976" s="1" t="s">
        <v>35</v>
      </c>
      <c r="N976" s="1" t="s">
        <v>54</v>
      </c>
      <c r="O976" s="1" t="s">
        <v>628</v>
      </c>
      <c r="P976" s="1">
        <v>5.5E7</v>
      </c>
      <c r="Q976" s="1">
        <v>2002.0</v>
      </c>
      <c r="R976" s="1">
        <v>49000.0</v>
      </c>
      <c r="S976" s="1">
        <v>811.0</v>
      </c>
      <c r="T976" s="1">
        <v>809.0</v>
      </c>
      <c r="U976" s="1">
        <v>52885.0</v>
      </c>
      <c r="V976" s="1">
        <v>0.0</v>
      </c>
      <c r="W976" s="1">
        <v>0.0</v>
      </c>
      <c r="X976" s="1">
        <v>2.0</v>
      </c>
      <c r="Y976" s="1">
        <v>1.85</v>
      </c>
      <c r="Z976" s="1">
        <v>6.4</v>
      </c>
    </row>
    <row r="977" ht="14.25" customHeight="1">
      <c r="A977" s="1" t="s">
        <v>26</v>
      </c>
      <c r="B977" s="1" t="s">
        <v>2031</v>
      </c>
      <c r="C977" s="1" t="s">
        <v>5171</v>
      </c>
      <c r="D977" s="1">
        <v>2.8837115E7</v>
      </c>
      <c r="E977" s="1" t="s">
        <v>1885</v>
      </c>
      <c r="F977" s="1" t="s">
        <v>1892</v>
      </c>
      <c r="G977" s="1" t="s">
        <v>1197</v>
      </c>
      <c r="H977" s="1" t="s">
        <v>1321</v>
      </c>
      <c r="I977" s="1">
        <v>34964.0</v>
      </c>
      <c r="J977" s="1" t="s">
        <v>5172</v>
      </c>
      <c r="K977" s="1" t="s">
        <v>5173</v>
      </c>
      <c r="L977" s="1">
        <v>150.0</v>
      </c>
      <c r="M977" s="1" t="s">
        <v>35</v>
      </c>
      <c r="N977" s="1" t="s">
        <v>36</v>
      </c>
      <c r="O977" s="1" t="s">
        <v>37</v>
      </c>
      <c r="P977" s="1">
        <v>5.0E7</v>
      </c>
      <c r="Q977" s="1">
        <v>2016.0</v>
      </c>
      <c r="R977" s="1">
        <v>14000.0</v>
      </c>
      <c r="S977" s="1">
        <v>8000.0</v>
      </c>
      <c r="T977" s="1">
        <v>1000.0</v>
      </c>
      <c r="U977" s="1">
        <v>24107.0</v>
      </c>
      <c r="V977" s="1">
        <v>0.0</v>
      </c>
      <c r="W977" s="1">
        <v>28000.0</v>
      </c>
      <c r="X977" s="1">
        <v>4.0</v>
      </c>
      <c r="Y977" s="1">
        <v>2.35</v>
      </c>
      <c r="Z977" s="1">
        <v>4.8</v>
      </c>
    </row>
    <row r="978" ht="14.25" customHeight="1">
      <c r="A978" s="1" t="s">
        <v>26</v>
      </c>
      <c r="B978" s="1" t="s">
        <v>5174</v>
      </c>
      <c r="C978" s="1" t="s">
        <v>5175</v>
      </c>
      <c r="D978" s="1">
        <v>6471394.0</v>
      </c>
      <c r="E978" s="1" t="s">
        <v>972</v>
      </c>
      <c r="F978" s="1" t="s">
        <v>451</v>
      </c>
      <c r="G978" s="1" t="s">
        <v>5176</v>
      </c>
      <c r="H978" s="1" t="s">
        <v>5177</v>
      </c>
      <c r="I978" s="1">
        <v>15880.0</v>
      </c>
      <c r="J978" s="1" t="s">
        <v>5178</v>
      </c>
      <c r="K978" s="1" t="s">
        <v>5179</v>
      </c>
      <c r="L978" s="1">
        <v>93.0</v>
      </c>
      <c r="M978" s="1" t="s">
        <v>35</v>
      </c>
      <c r="N978" s="1" t="s">
        <v>36</v>
      </c>
      <c r="O978" s="1" t="s">
        <v>37</v>
      </c>
      <c r="P978" s="1">
        <v>5.0E7</v>
      </c>
      <c r="Q978" s="1">
        <v>2004.0</v>
      </c>
      <c r="R978" s="1">
        <v>11000.0</v>
      </c>
      <c r="S978" s="1">
        <v>387.0</v>
      </c>
      <c r="T978" s="1">
        <v>338.0</v>
      </c>
      <c r="U978" s="1">
        <v>11972.0</v>
      </c>
      <c r="V978" s="1">
        <v>5.0</v>
      </c>
      <c r="W978" s="1">
        <v>288.0</v>
      </c>
      <c r="X978" s="1">
        <v>5.0</v>
      </c>
      <c r="Y978" s="1">
        <v>2.35</v>
      </c>
      <c r="Z978" s="1">
        <v>4.9</v>
      </c>
    </row>
    <row r="979" ht="14.25" customHeight="1">
      <c r="A979" s="1" t="s">
        <v>26</v>
      </c>
      <c r="B979" s="1" t="s">
        <v>2913</v>
      </c>
      <c r="C979" s="1" t="s">
        <v>5180</v>
      </c>
      <c r="D979" s="1">
        <v>6291602.0</v>
      </c>
      <c r="E979" s="1" t="s">
        <v>5181</v>
      </c>
      <c r="F979" s="1" t="s">
        <v>228</v>
      </c>
      <c r="G979" s="1" t="s">
        <v>1996</v>
      </c>
      <c r="H979" s="1" t="s">
        <v>535</v>
      </c>
      <c r="I979" s="1">
        <v>8070.0</v>
      </c>
      <c r="J979" s="1" t="s">
        <v>5182</v>
      </c>
      <c r="K979" s="1" t="s">
        <v>5183</v>
      </c>
      <c r="L979" s="1">
        <v>91.0</v>
      </c>
      <c r="M979" s="1" t="s">
        <v>35</v>
      </c>
      <c r="N979" s="1" t="s">
        <v>36</v>
      </c>
      <c r="O979" s="1" t="s">
        <v>628</v>
      </c>
      <c r="P979" s="1">
        <v>5.0E7</v>
      </c>
      <c r="Q979" s="1">
        <v>2000.0</v>
      </c>
      <c r="R979" s="1">
        <v>2000.0</v>
      </c>
      <c r="S979" s="1">
        <v>602.0</v>
      </c>
      <c r="T979" s="1">
        <v>591.0</v>
      </c>
      <c r="U979" s="1">
        <v>3954.0</v>
      </c>
      <c r="V979" s="1">
        <v>0.0</v>
      </c>
      <c r="W979" s="1">
        <v>255.0</v>
      </c>
      <c r="X979" s="1">
        <v>0.0</v>
      </c>
      <c r="Y979" s="1">
        <v>1.85</v>
      </c>
      <c r="Z979" s="1">
        <v>5.6</v>
      </c>
    </row>
    <row r="980" ht="14.25" customHeight="1">
      <c r="A980" s="1" t="s">
        <v>26</v>
      </c>
      <c r="B980" s="1" t="s">
        <v>5184</v>
      </c>
      <c r="C980" s="1" t="s">
        <v>5185</v>
      </c>
      <c r="D980" s="1">
        <v>1.0706786E7</v>
      </c>
      <c r="E980" s="1" t="s">
        <v>1308</v>
      </c>
      <c r="F980" s="1" t="s">
        <v>668</v>
      </c>
      <c r="G980" s="1" t="s">
        <v>3848</v>
      </c>
      <c r="H980" s="1" t="s">
        <v>2491</v>
      </c>
      <c r="I980" s="1">
        <v>81800.0</v>
      </c>
      <c r="J980" s="1" t="s">
        <v>5186</v>
      </c>
      <c r="K980" s="1" t="s">
        <v>5187</v>
      </c>
      <c r="L980" s="1">
        <v>211.0</v>
      </c>
      <c r="M980" s="1" t="s">
        <v>35</v>
      </c>
      <c r="N980" s="1" t="s">
        <v>36</v>
      </c>
      <c r="O980" s="1" t="s">
        <v>628</v>
      </c>
      <c r="P980" s="1">
        <v>5.0E7</v>
      </c>
      <c r="Q980" s="1">
        <v>2011.0</v>
      </c>
      <c r="R980" s="1">
        <v>12000.0</v>
      </c>
      <c r="S980" s="1">
        <v>2000.0</v>
      </c>
      <c r="T980" s="1">
        <v>982.0</v>
      </c>
      <c r="U980" s="1">
        <v>16481.0</v>
      </c>
      <c r="V980" s="1">
        <v>71.0</v>
      </c>
      <c r="W980" s="1">
        <v>15000.0</v>
      </c>
      <c r="X980" s="1">
        <v>1.0</v>
      </c>
      <c r="Y980" s="1">
        <v>1.85</v>
      </c>
      <c r="Z980" s="1">
        <v>5.5</v>
      </c>
    </row>
    <row r="981" ht="14.25" customHeight="1">
      <c r="A981" s="1" t="s">
        <v>26</v>
      </c>
      <c r="B981" s="1" t="s">
        <v>3272</v>
      </c>
      <c r="C981" s="1" t="s">
        <v>5188</v>
      </c>
      <c r="D981" s="1">
        <v>8742261.0</v>
      </c>
      <c r="E981" s="1" t="s">
        <v>2281</v>
      </c>
      <c r="F981" s="1" t="s">
        <v>3197</v>
      </c>
      <c r="G981" s="1" t="s">
        <v>5189</v>
      </c>
      <c r="H981" s="1" t="s">
        <v>5190</v>
      </c>
      <c r="I981" s="1">
        <v>19824.0</v>
      </c>
      <c r="J981" s="1" t="s">
        <v>5191</v>
      </c>
      <c r="K981" s="1" t="s">
        <v>5192</v>
      </c>
      <c r="L981" s="1">
        <v>179.0</v>
      </c>
      <c r="M981" s="1" t="s">
        <v>35</v>
      </c>
      <c r="N981" s="1" t="s">
        <v>260</v>
      </c>
      <c r="O981" s="1" t="s">
        <v>37</v>
      </c>
      <c r="P981" s="1">
        <v>1.8E7</v>
      </c>
      <c r="Q981" s="1">
        <v>2009.0</v>
      </c>
      <c r="R981" s="1">
        <v>841.0</v>
      </c>
      <c r="S981" s="1">
        <v>342.0</v>
      </c>
      <c r="T981" s="1">
        <v>77.0</v>
      </c>
      <c r="U981" s="1">
        <v>1385.0</v>
      </c>
      <c r="V981" s="1">
        <v>43.0</v>
      </c>
      <c r="W981" s="1">
        <v>0.0</v>
      </c>
      <c r="X981" s="1">
        <v>2.0</v>
      </c>
      <c r="Y981" s="1">
        <v>2.35</v>
      </c>
      <c r="Z981" s="1">
        <v>3.7</v>
      </c>
    </row>
    <row r="982" ht="14.25" customHeight="1">
      <c r="A982" s="1" t="s">
        <v>26</v>
      </c>
      <c r="B982" s="1" t="s">
        <v>5193</v>
      </c>
      <c r="C982" s="1" t="s">
        <v>5194</v>
      </c>
      <c r="D982" s="1">
        <v>4.3905746E7</v>
      </c>
      <c r="E982" s="1" t="s">
        <v>2670</v>
      </c>
      <c r="F982" s="1" t="s">
        <v>327</v>
      </c>
      <c r="G982" s="1" t="s">
        <v>487</v>
      </c>
      <c r="H982" s="1" t="s">
        <v>457</v>
      </c>
      <c r="I982" s="1">
        <v>77684.0</v>
      </c>
      <c r="J982" s="1" t="s">
        <v>5195</v>
      </c>
      <c r="K982" s="1" t="s">
        <v>5196</v>
      </c>
      <c r="L982" s="1">
        <v>294.0</v>
      </c>
      <c r="M982" s="1" t="s">
        <v>35</v>
      </c>
      <c r="N982" s="1" t="s">
        <v>36</v>
      </c>
      <c r="O982" s="1" t="s">
        <v>37</v>
      </c>
      <c r="P982" s="1">
        <v>4.9E7</v>
      </c>
      <c r="Q982" s="1">
        <v>2001.0</v>
      </c>
      <c r="R982" s="1">
        <v>26000.0</v>
      </c>
      <c r="S982" s="1">
        <v>5000.0</v>
      </c>
      <c r="T982" s="1">
        <v>848.0</v>
      </c>
      <c r="U982" s="1">
        <v>32831.0</v>
      </c>
      <c r="V982" s="1">
        <v>70.0</v>
      </c>
      <c r="W982" s="1">
        <v>0.0</v>
      </c>
      <c r="X982" s="1">
        <v>1.0</v>
      </c>
      <c r="Y982" s="1">
        <v>2.35</v>
      </c>
      <c r="Z982" s="1">
        <v>5.9</v>
      </c>
    </row>
    <row r="983" ht="14.25" customHeight="1">
      <c r="A983" s="1" t="s">
        <v>26</v>
      </c>
      <c r="B983" s="1" t="s">
        <v>1985</v>
      </c>
      <c r="C983" s="1" t="s">
        <v>5197</v>
      </c>
      <c r="D983" s="1">
        <v>2.1413502E7</v>
      </c>
      <c r="E983" s="1" t="s">
        <v>5198</v>
      </c>
      <c r="F983" s="1" t="s">
        <v>4533</v>
      </c>
      <c r="G983" s="1" t="s">
        <v>5199</v>
      </c>
      <c r="H983" s="1" t="s">
        <v>5200</v>
      </c>
      <c r="I983" s="1">
        <v>14429.0</v>
      </c>
      <c r="J983" s="1" t="s">
        <v>5201</v>
      </c>
      <c r="K983" s="1" t="s">
        <v>5202</v>
      </c>
      <c r="L983" s="1">
        <v>113.0</v>
      </c>
      <c r="M983" s="1" t="s">
        <v>35</v>
      </c>
      <c r="N983" s="1" t="s">
        <v>36</v>
      </c>
      <c r="O983" s="1" t="s">
        <v>628</v>
      </c>
      <c r="P983" s="1">
        <v>4.0E7</v>
      </c>
      <c r="Q983" s="1">
        <v>1990.0</v>
      </c>
      <c r="R983" s="1">
        <v>879.0</v>
      </c>
      <c r="S983" s="1">
        <v>560.0</v>
      </c>
      <c r="T983" s="1">
        <v>380.0</v>
      </c>
      <c r="U983" s="1">
        <v>2795.0</v>
      </c>
      <c r="V983" s="1">
        <v>212.0</v>
      </c>
      <c r="W983" s="1">
        <v>2000.0</v>
      </c>
      <c r="X983" s="1">
        <v>5.0</v>
      </c>
      <c r="Y983" s="1">
        <v>2.35</v>
      </c>
      <c r="Z983" s="1">
        <v>6.3</v>
      </c>
    </row>
    <row r="984" ht="14.25" customHeight="1">
      <c r="A984" s="1" t="s">
        <v>26</v>
      </c>
      <c r="B984" s="1" t="s">
        <v>1456</v>
      </c>
      <c r="C984" s="1" t="s">
        <v>5203</v>
      </c>
      <c r="D984" s="1">
        <v>1.24107476E8</v>
      </c>
      <c r="E984" s="1" t="s">
        <v>2045</v>
      </c>
      <c r="F984" s="1" t="s">
        <v>720</v>
      </c>
      <c r="G984" s="1" t="s">
        <v>5204</v>
      </c>
      <c r="H984" s="1" t="s">
        <v>5205</v>
      </c>
      <c r="I984" s="1">
        <v>170684.0</v>
      </c>
      <c r="J984" s="1" t="s">
        <v>5206</v>
      </c>
      <c r="K984" s="1" t="s">
        <v>5207</v>
      </c>
      <c r="L984" s="1">
        <v>867.0</v>
      </c>
      <c r="M984" s="1" t="s">
        <v>35</v>
      </c>
      <c r="N984" s="1" t="s">
        <v>36</v>
      </c>
      <c r="O984" s="1" t="s">
        <v>628</v>
      </c>
      <c r="P984" s="1">
        <v>4.8E7</v>
      </c>
      <c r="Q984" s="1">
        <v>2000.0</v>
      </c>
      <c r="R984" s="1">
        <v>599.0</v>
      </c>
      <c r="S984" s="1">
        <v>399.0</v>
      </c>
      <c r="T984" s="1">
        <v>215.0</v>
      </c>
      <c r="U984" s="1">
        <v>1418.0</v>
      </c>
      <c r="V984" s="1">
        <v>0.0</v>
      </c>
      <c r="W984" s="1">
        <v>0.0</v>
      </c>
      <c r="X984" s="1">
        <v>0.0</v>
      </c>
      <c r="Y984" s="1">
        <v>1.85</v>
      </c>
      <c r="Z984" s="1">
        <v>7.6</v>
      </c>
    </row>
    <row r="985" ht="14.25" customHeight="1">
      <c r="A985" s="1" t="s">
        <v>26</v>
      </c>
      <c r="B985" s="1" t="s">
        <v>381</v>
      </c>
      <c r="C985" s="1" t="s">
        <v>5208</v>
      </c>
      <c r="D985" s="1">
        <v>1.97171806E8</v>
      </c>
      <c r="E985" s="1" t="s">
        <v>40</v>
      </c>
      <c r="F985" s="1" t="s">
        <v>383</v>
      </c>
      <c r="G985" s="1" t="s">
        <v>918</v>
      </c>
      <c r="H985" s="1" t="s">
        <v>5209</v>
      </c>
      <c r="I985" s="1">
        <v>515306.0</v>
      </c>
      <c r="J985" s="1" t="s">
        <v>5210</v>
      </c>
      <c r="K985" s="1" t="s">
        <v>5211</v>
      </c>
      <c r="L985" s="1">
        <v>477.0</v>
      </c>
      <c r="M985" s="1" t="s">
        <v>35</v>
      </c>
      <c r="N985" s="1" t="s">
        <v>36</v>
      </c>
      <c r="O985" s="1" t="s">
        <v>37</v>
      </c>
      <c r="P985" s="1">
        <v>4.8E7</v>
      </c>
      <c r="Q985" s="1">
        <v>1989.0</v>
      </c>
      <c r="R985" s="1">
        <v>11000.0</v>
      </c>
      <c r="S985" s="1">
        <v>844.0</v>
      </c>
      <c r="T985" s="1">
        <v>440.0</v>
      </c>
      <c r="U985" s="1">
        <v>12884.0</v>
      </c>
      <c r="V985" s="1">
        <v>14000.0</v>
      </c>
      <c r="W985" s="1">
        <v>0.0</v>
      </c>
      <c r="X985" s="1">
        <v>5.0</v>
      </c>
      <c r="Y985" s="1">
        <v>2.35</v>
      </c>
      <c r="Z985" s="1">
        <v>8.3</v>
      </c>
    </row>
    <row r="986" ht="14.25" customHeight="1">
      <c r="A986" s="1" t="s">
        <v>26</v>
      </c>
      <c r="B986" s="1" t="s">
        <v>1333</v>
      </c>
      <c r="C986" s="1" t="s">
        <v>5212</v>
      </c>
      <c r="D986" s="1">
        <v>3.1569268E7</v>
      </c>
      <c r="E986" s="1" t="s">
        <v>5213</v>
      </c>
      <c r="F986" s="1" t="s">
        <v>255</v>
      </c>
      <c r="G986" s="1" t="s">
        <v>551</v>
      </c>
      <c r="H986" s="1" t="s">
        <v>2613</v>
      </c>
      <c r="I986" s="1">
        <v>172965.0</v>
      </c>
      <c r="J986" s="1" t="s">
        <v>5214</v>
      </c>
      <c r="K986" s="1" t="s">
        <v>5215</v>
      </c>
      <c r="L986" s="1">
        <v>627.0</v>
      </c>
      <c r="M986" s="1" t="s">
        <v>35</v>
      </c>
      <c r="N986" s="1" t="s">
        <v>36</v>
      </c>
      <c r="O986" s="1" t="s">
        <v>628</v>
      </c>
      <c r="P986" s="1">
        <v>4.9E7</v>
      </c>
      <c r="Q986" s="1">
        <v>2015.0</v>
      </c>
      <c r="R986" s="1">
        <v>20000.0</v>
      </c>
      <c r="S986" s="1">
        <v>2000.0</v>
      </c>
      <c r="T986" s="1">
        <v>502.0</v>
      </c>
      <c r="U986" s="1">
        <v>23051.0</v>
      </c>
      <c r="V986" s="1">
        <v>662.0</v>
      </c>
      <c r="W986" s="1">
        <v>67000.0</v>
      </c>
      <c r="X986" s="1">
        <v>0.0</v>
      </c>
      <c r="Y986" s="1">
        <v>2.35</v>
      </c>
      <c r="Z986" s="1">
        <v>6.9</v>
      </c>
    </row>
    <row r="987" ht="14.25" customHeight="1">
      <c r="A987" s="1" t="s">
        <v>26</v>
      </c>
      <c r="B987" s="1" t="s">
        <v>1153</v>
      </c>
      <c r="C987" s="1" t="s">
        <v>5216</v>
      </c>
      <c r="D987" s="1">
        <v>6.648809E7</v>
      </c>
      <c r="E987" s="1" t="s">
        <v>2061</v>
      </c>
      <c r="F987" s="1" t="s">
        <v>1644</v>
      </c>
      <c r="G987" s="1" t="s">
        <v>550</v>
      </c>
      <c r="H987" s="1" t="s">
        <v>5217</v>
      </c>
      <c r="I987" s="1">
        <v>120202.0</v>
      </c>
      <c r="J987" s="1" t="s">
        <v>5218</v>
      </c>
      <c r="K987" s="1" t="s">
        <v>5219</v>
      </c>
      <c r="L987" s="1">
        <v>397.0</v>
      </c>
      <c r="M987" s="1" t="s">
        <v>35</v>
      </c>
      <c r="N987" s="1" t="s">
        <v>36</v>
      </c>
      <c r="O987" s="1" t="s">
        <v>628</v>
      </c>
      <c r="P987" s="1">
        <v>4.8E7</v>
      </c>
      <c r="Q987" s="1">
        <v>1999.0</v>
      </c>
      <c r="R987" s="1">
        <v>18000.0</v>
      </c>
      <c r="S987" s="1">
        <v>11000.0</v>
      </c>
      <c r="T987" s="1">
        <v>308.0</v>
      </c>
      <c r="U987" s="1">
        <v>29748.0</v>
      </c>
      <c r="V987" s="1">
        <v>176.0</v>
      </c>
      <c r="W987" s="1">
        <v>0.0</v>
      </c>
      <c r="X987" s="1">
        <v>2.0</v>
      </c>
      <c r="Y987" s="1">
        <v>2.35</v>
      </c>
      <c r="Z987" s="1">
        <v>6.7</v>
      </c>
    </row>
    <row r="988" ht="14.25" customHeight="1">
      <c r="A988" s="1" t="s">
        <v>26</v>
      </c>
      <c r="B988" s="1" t="s">
        <v>648</v>
      </c>
      <c r="C988" s="1" t="s">
        <v>5220</v>
      </c>
      <c r="D988" s="1">
        <v>9.5308367E7</v>
      </c>
      <c r="E988" s="1" t="s">
        <v>2045</v>
      </c>
      <c r="F988" s="1" t="s">
        <v>544</v>
      </c>
      <c r="G988" s="1" t="s">
        <v>5221</v>
      </c>
      <c r="H988" s="1" t="s">
        <v>5222</v>
      </c>
      <c r="I988" s="1">
        <v>206104.0</v>
      </c>
      <c r="J988" s="1" t="s">
        <v>5223</v>
      </c>
      <c r="K988" s="1" t="s">
        <v>5224</v>
      </c>
      <c r="L988" s="1">
        <v>850.0</v>
      </c>
      <c r="M988" s="1" t="s">
        <v>35</v>
      </c>
      <c r="N988" s="1" t="s">
        <v>36</v>
      </c>
      <c r="O988" s="1" t="s">
        <v>628</v>
      </c>
      <c r="P988" s="1">
        <v>4.8E7</v>
      </c>
      <c r="Q988" s="1">
        <v>2002.0</v>
      </c>
      <c r="R988" s="1">
        <v>17000.0</v>
      </c>
      <c r="S988" s="1">
        <v>324.0</v>
      </c>
      <c r="T988" s="1">
        <v>237.0</v>
      </c>
      <c r="U988" s="1">
        <v>18141.0</v>
      </c>
      <c r="V988" s="1">
        <v>21000.0</v>
      </c>
      <c r="W988" s="1">
        <v>0.0</v>
      </c>
      <c r="X988" s="1">
        <v>0.0</v>
      </c>
      <c r="Y988" s="1">
        <v>2.35</v>
      </c>
      <c r="Z988" s="1">
        <v>6.8</v>
      </c>
    </row>
    <row r="989" ht="14.25" customHeight="1">
      <c r="A989" s="1" t="s">
        <v>26</v>
      </c>
      <c r="B989" s="1" t="s">
        <v>3954</v>
      </c>
      <c r="C989" s="1" t="s">
        <v>5225</v>
      </c>
      <c r="D989" s="1">
        <v>6.0652036E7</v>
      </c>
      <c r="E989" s="1" t="s">
        <v>5226</v>
      </c>
      <c r="F989" s="1" t="s">
        <v>228</v>
      </c>
      <c r="G989" s="1" t="s">
        <v>1808</v>
      </c>
      <c r="H989" s="1" t="s">
        <v>5227</v>
      </c>
      <c r="I989" s="1">
        <v>137854.0</v>
      </c>
      <c r="J989" s="1" t="s">
        <v>5228</v>
      </c>
      <c r="K989" s="1" t="s">
        <v>5229</v>
      </c>
      <c r="L989" s="1">
        <v>560.0</v>
      </c>
      <c r="M989" s="1" t="s">
        <v>35</v>
      </c>
      <c r="N989" s="1" t="s">
        <v>36</v>
      </c>
      <c r="O989" s="1" t="s">
        <v>628</v>
      </c>
      <c r="P989" s="1">
        <v>4.8E7</v>
      </c>
      <c r="Q989" s="1">
        <v>1999.0</v>
      </c>
      <c r="R989" s="1">
        <v>2000.0</v>
      </c>
      <c r="S989" s="1">
        <v>490.0</v>
      </c>
      <c r="T989" s="1">
        <v>393.0</v>
      </c>
      <c r="U989" s="1">
        <v>3743.0</v>
      </c>
      <c r="V989" s="1">
        <v>737.0</v>
      </c>
      <c r="W989" s="1">
        <v>3000.0</v>
      </c>
      <c r="X989" s="1">
        <v>1.0</v>
      </c>
      <c r="Y989" s="1">
        <v>2.35</v>
      </c>
      <c r="Z989" s="1">
        <v>7.1</v>
      </c>
    </row>
    <row r="990" ht="14.25" customHeight="1">
      <c r="A990" s="1" t="s">
        <v>26</v>
      </c>
      <c r="B990" s="1" t="s">
        <v>2262</v>
      </c>
      <c r="C990" s="1" t="s">
        <v>5230</v>
      </c>
      <c r="D990" s="1">
        <v>1206135.0</v>
      </c>
      <c r="E990" s="1" t="s">
        <v>2045</v>
      </c>
      <c r="F990" s="1" t="s">
        <v>58</v>
      </c>
      <c r="G990" s="1" t="s">
        <v>5231</v>
      </c>
      <c r="H990" s="1" t="s">
        <v>5232</v>
      </c>
      <c r="I990" s="1">
        <v>40568.0</v>
      </c>
      <c r="J990" s="1" t="s">
        <v>5233</v>
      </c>
      <c r="K990" s="1" t="s">
        <v>5234</v>
      </c>
      <c r="L990" s="1">
        <v>185.0</v>
      </c>
      <c r="M990" s="1" t="s">
        <v>35</v>
      </c>
      <c r="N990" s="1" t="s">
        <v>5235</v>
      </c>
      <c r="O990" s="1" t="s">
        <v>628</v>
      </c>
      <c r="P990" s="1">
        <v>5.0E7</v>
      </c>
      <c r="Q990" s="1">
        <v>2015.0</v>
      </c>
      <c r="R990" s="1">
        <v>27000.0</v>
      </c>
      <c r="S990" s="1">
        <v>254.0</v>
      </c>
      <c r="T990" s="1">
        <v>194.0</v>
      </c>
      <c r="U990" s="1">
        <v>27666.0</v>
      </c>
      <c r="V990" s="1">
        <v>79.0</v>
      </c>
      <c r="W990" s="1">
        <v>18000.0</v>
      </c>
      <c r="X990" s="1">
        <v>3.0</v>
      </c>
      <c r="Y990" s="1">
        <v>2.35</v>
      </c>
      <c r="Z990" s="1">
        <v>6.4</v>
      </c>
    </row>
    <row r="991" ht="14.25" customHeight="1">
      <c r="A991" s="1" t="s">
        <v>26</v>
      </c>
      <c r="B991" s="1" t="s">
        <v>2969</v>
      </c>
      <c r="C991" s="1" t="s">
        <v>5236</v>
      </c>
      <c r="D991" s="1">
        <v>5.6607223E7</v>
      </c>
      <c r="E991" s="1" t="s">
        <v>4008</v>
      </c>
      <c r="F991" s="1" t="s">
        <v>5237</v>
      </c>
      <c r="G991" s="1" t="s">
        <v>5238</v>
      </c>
      <c r="H991" s="1" t="s">
        <v>5239</v>
      </c>
      <c r="I991" s="1">
        <v>93367.0</v>
      </c>
      <c r="J991" s="1" t="s">
        <v>5240</v>
      </c>
      <c r="K991" s="1" t="s">
        <v>5241</v>
      </c>
      <c r="L991" s="1">
        <v>497.0</v>
      </c>
      <c r="M991" s="1" t="s">
        <v>35</v>
      </c>
      <c r="N991" s="1" t="s">
        <v>260</v>
      </c>
      <c r="O991" s="1" t="s">
        <v>37</v>
      </c>
      <c r="P991" s="1">
        <v>4.8E7</v>
      </c>
      <c r="Q991" s="1">
        <v>2001.0</v>
      </c>
      <c r="R991" s="1">
        <v>779.0</v>
      </c>
      <c r="S991" s="1">
        <v>629.0</v>
      </c>
      <c r="T991" s="1">
        <v>261.0</v>
      </c>
      <c r="U991" s="1">
        <v>1823.0</v>
      </c>
      <c r="V991" s="1">
        <v>109.0</v>
      </c>
      <c r="W991" s="1">
        <v>0.0</v>
      </c>
      <c r="X991" s="1">
        <v>8.0</v>
      </c>
      <c r="Y991" s="1">
        <v>2.35</v>
      </c>
      <c r="Z991" s="1">
        <v>6.4</v>
      </c>
    </row>
    <row r="992" ht="14.25" customHeight="1">
      <c r="A992" s="1" t="s">
        <v>26</v>
      </c>
      <c r="B992" s="1" t="s">
        <v>4166</v>
      </c>
      <c r="C992" s="1" t="s">
        <v>5242</v>
      </c>
      <c r="D992" s="1">
        <v>5.017319E7</v>
      </c>
      <c r="E992" s="1" t="s">
        <v>5243</v>
      </c>
      <c r="F992" s="1" t="s">
        <v>112</v>
      </c>
      <c r="G992" s="1" t="s">
        <v>293</v>
      </c>
      <c r="H992" s="1" t="s">
        <v>1186</v>
      </c>
      <c r="I992" s="1">
        <v>148490.0</v>
      </c>
      <c r="J992" s="1" t="s">
        <v>5244</v>
      </c>
      <c r="K992" s="1" t="s">
        <v>5245</v>
      </c>
      <c r="L992" s="1">
        <v>537.0</v>
      </c>
      <c r="M992" s="1" t="s">
        <v>35</v>
      </c>
      <c r="N992" s="1" t="s">
        <v>36</v>
      </c>
      <c r="O992" s="1" t="s">
        <v>37</v>
      </c>
      <c r="P992" s="1">
        <v>4.8E7</v>
      </c>
      <c r="Q992" s="1">
        <v>2001.0</v>
      </c>
      <c r="R992" s="1">
        <v>18000.0</v>
      </c>
      <c r="S992" s="1">
        <v>12000.0</v>
      </c>
      <c r="T992" s="1">
        <v>1000.0</v>
      </c>
      <c r="U992" s="1">
        <v>33615.0</v>
      </c>
      <c r="V992" s="1">
        <v>34.0</v>
      </c>
      <c r="W992" s="1">
        <v>0.0</v>
      </c>
      <c r="X992" s="1">
        <v>1.0</v>
      </c>
      <c r="Y992" s="1">
        <v>2.35</v>
      </c>
      <c r="Z992" s="1">
        <v>7.4</v>
      </c>
    </row>
    <row r="993" ht="14.25" customHeight="1">
      <c r="A993" s="1" t="s">
        <v>26</v>
      </c>
      <c r="B993" s="1" t="s">
        <v>1365</v>
      </c>
      <c r="C993" s="1" t="s">
        <v>5246</v>
      </c>
      <c r="D993" s="1">
        <v>4.7095453E7</v>
      </c>
      <c r="E993" s="1" t="s">
        <v>3439</v>
      </c>
      <c r="F993" s="1" t="s">
        <v>255</v>
      </c>
      <c r="G993" s="1" t="s">
        <v>3561</v>
      </c>
      <c r="H993" s="1" t="s">
        <v>5247</v>
      </c>
      <c r="I993" s="1">
        <v>64595.0</v>
      </c>
      <c r="J993" s="1" t="s">
        <v>5248</v>
      </c>
      <c r="K993" s="1" t="s">
        <v>5249</v>
      </c>
      <c r="L993" s="1">
        <v>316.0</v>
      </c>
      <c r="M993" s="1" t="s">
        <v>35</v>
      </c>
      <c r="N993" s="1" t="s">
        <v>36</v>
      </c>
      <c r="O993" s="1" t="s">
        <v>37</v>
      </c>
      <c r="P993" s="1">
        <v>4.8E7</v>
      </c>
      <c r="Q993" s="1">
        <v>2001.0</v>
      </c>
      <c r="R993" s="1">
        <v>20000.0</v>
      </c>
      <c r="S993" s="1">
        <v>1000.0</v>
      </c>
      <c r="T993" s="1">
        <v>821.0</v>
      </c>
      <c r="U993" s="1">
        <v>22209.0</v>
      </c>
      <c r="V993" s="1">
        <v>446.0</v>
      </c>
      <c r="W993" s="1">
        <v>0.0</v>
      </c>
      <c r="X993" s="1">
        <v>1.0</v>
      </c>
      <c r="Y993" s="1">
        <v>1.85</v>
      </c>
      <c r="Z993" s="1">
        <v>6.4</v>
      </c>
    </row>
    <row r="994" ht="14.25" customHeight="1">
      <c r="A994" s="1" t="s">
        <v>26</v>
      </c>
      <c r="B994" s="1" t="s">
        <v>4006</v>
      </c>
      <c r="C994" s="1" t="s">
        <v>5250</v>
      </c>
      <c r="D994" s="1">
        <v>3.7879996E7</v>
      </c>
      <c r="E994" s="1" t="s">
        <v>3439</v>
      </c>
      <c r="F994" s="1" t="s">
        <v>488</v>
      </c>
      <c r="G994" s="1" t="s">
        <v>5251</v>
      </c>
      <c r="H994" s="1" t="s">
        <v>5252</v>
      </c>
      <c r="I994" s="1">
        <v>81888.0</v>
      </c>
      <c r="J994" s="1" t="s">
        <v>5253</v>
      </c>
      <c r="K994" s="1" t="s">
        <v>5254</v>
      </c>
      <c r="L994" s="1">
        <v>254.0</v>
      </c>
      <c r="M994" s="1" t="s">
        <v>35</v>
      </c>
      <c r="N994" s="1" t="s">
        <v>36</v>
      </c>
      <c r="O994" s="1" t="s">
        <v>37</v>
      </c>
      <c r="P994" s="1">
        <v>4.8E7</v>
      </c>
      <c r="Q994" s="1">
        <v>2000.0</v>
      </c>
      <c r="R994" s="1">
        <v>3000.0</v>
      </c>
      <c r="S994" s="1">
        <v>575.0</v>
      </c>
      <c r="T994" s="1">
        <v>484.0</v>
      </c>
      <c r="U994" s="1">
        <v>5390.0</v>
      </c>
      <c r="V994" s="1">
        <v>11000.0</v>
      </c>
      <c r="W994" s="1">
        <v>0.0</v>
      </c>
      <c r="X994" s="1">
        <v>2.0</v>
      </c>
      <c r="Y994" s="1">
        <v>2.35</v>
      </c>
      <c r="Z994" s="1">
        <v>6.0</v>
      </c>
    </row>
    <row r="995" ht="14.25" customHeight="1">
      <c r="A995" s="1" t="s">
        <v>26</v>
      </c>
      <c r="B995" s="1" t="s">
        <v>4578</v>
      </c>
      <c r="C995" s="1" t="s">
        <v>5255</v>
      </c>
      <c r="D995" s="1">
        <v>2.59E7</v>
      </c>
      <c r="E995" s="1" t="s">
        <v>5256</v>
      </c>
      <c r="F995" s="1" t="s">
        <v>668</v>
      </c>
      <c r="G995" s="1" t="s">
        <v>2307</v>
      </c>
      <c r="H995" s="1" t="s">
        <v>5257</v>
      </c>
      <c r="I995" s="1">
        <v>12771.0</v>
      </c>
      <c r="J995" s="1" t="s">
        <v>5258</v>
      </c>
      <c r="K995" s="1" t="s">
        <v>5259</v>
      </c>
      <c r="L995" s="1">
        <v>84.0</v>
      </c>
      <c r="M995" s="1" t="s">
        <v>35</v>
      </c>
      <c r="N995" s="1" t="s">
        <v>36</v>
      </c>
      <c r="O995" s="1" t="s">
        <v>628</v>
      </c>
      <c r="P995" s="1">
        <v>5.8E7</v>
      </c>
      <c r="Q995" s="1">
        <v>1984.0</v>
      </c>
      <c r="R995" s="1">
        <v>12000.0</v>
      </c>
      <c r="S995" s="1">
        <v>5000.0</v>
      </c>
      <c r="T995" s="1">
        <v>886.0</v>
      </c>
      <c r="U995" s="1">
        <v>18793.0</v>
      </c>
      <c r="V995" s="1">
        <v>0.0</v>
      </c>
      <c r="W995" s="1">
        <v>828.0</v>
      </c>
      <c r="X995" s="1">
        <v>1.0</v>
      </c>
      <c r="Y995" s="1">
        <v>1.85</v>
      </c>
      <c r="Z995" s="1">
        <v>6.5</v>
      </c>
    </row>
    <row r="996" ht="14.25" customHeight="1">
      <c r="A996" s="1" t="s">
        <v>26</v>
      </c>
      <c r="B996" s="1" t="s">
        <v>1365</v>
      </c>
      <c r="C996" s="1" t="s">
        <v>5260</v>
      </c>
      <c r="D996" s="1">
        <v>5.3574088E7</v>
      </c>
      <c r="E996" s="1" t="s">
        <v>5261</v>
      </c>
      <c r="F996" s="1" t="s">
        <v>59</v>
      </c>
      <c r="G996" s="1" t="s">
        <v>1162</v>
      </c>
      <c r="H996" s="1" t="s">
        <v>5262</v>
      </c>
      <c r="I996" s="1">
        <v>237872.0</v>
      </c>
      <c r="J996" s="1" t="s">
        <v>5263</v>
      </c>
      <c r="K996" s="1" t="s">
        <v>5264</v>
      </c>
      <c r="L996" s="1">
        <v>560.0</v>
      </c>
      <c r="M996" s="1" t="s">
        <v>35</v>
      </c>
      <c r="N996" s="1" t="s">
        <v>36</v>
      </c>
      <c r="O996" s="1" t="s">
        <v>628</v>
      </c>
      <c r="P996" s="1">
        <v>5.5E7</v>
      </c>
      <c r="Q996" s="1">
        <v>2007.0</v>
      </c>
      <c r="R996" s="1">
        <v>23000.0</v>
      </c>
      <c r="S996" s="1">
        <v>8000.0</v>
      </c>
      <c r="T996" s="1">
        <v>600.0</v>
      </c>
      <c r="U996" s="1">
        <v>33548.0</v>
      </c>
      <c r="V996" s="1">
        <v>446.0</v>
      </c>
      <c r="W996" s="1">
        <v>0.0</v>
      </c>
      <c r="X996" s="1">
        <v>1.0</v>
      </c>
      <c r="Y996" s="1">
        <v>2.35</v>
      </c>
      <c r="Z996" s="1">
        <v>7.8</v>
      </c>
    </row>
    <row r="997" ht="14.25" customHeight="1">
      <c r="A997" s="1" t="s">
        <v>26</v>
      </c>
      <c r="B997" s="1" t="s">
        <v>5265</v>
      </c>
      <c r="C997" s="1" t="s">
        <v>5266</v>
      </c>
      <c r="D997" s="1">
        <v>8.925334E7</v>
      </c>
      <c r="E997" s="1" t="s">
        <v>57</v>
      </c>
      <c r="F997" s="1" t="s">
        <v>220</v>
      </c>
      <c r="G997" s="1" t="s">
        <v>1286</v>
      </c>
      <c r="H997" s="1" t="s">
        <v>5267</v>
      </c>
      <c r="I997" s="1">
        <v>133436.0</v>
      </c>
      <c r="J997" s="1" t="s">
        <v>5268</v>
      </c>
      <c r="K997" s="1" t="s">
        <v>5269</v>
      </c>
      <c r="L997" s="1">
        <v>323.0</v>
      </c>
      <c r="M997" s="1" t="s">
        <v>35</v>
      </c>
      <c r="N997" s="1" t="s">
        <v>1832</v>
      </c>
      <c r="O997" s="1" t="s">
        <v>37</v>
      </c>
      <c r="P997" s="1">
        <v>4.8E7</v>
      </c>
      <c r="Q997" s="1">
        <v>2014.0</v>
      </c>
      <c r="R997" s="1">
        <v>14000.0</v>
      </c>
      <c r="S997" s="1">
        <v>794.0</v>
      </c>
      <c r="T997" s="1">
        <v>482.0</v>
      </c>
      <c r="U997" s="1">
        <v>16967.0</v>
      </c>
      <c r="V997" s="1">
        <v>118.0</v>
      </c>
      <c r="W997" s="1">
        <v>38000.0</v>
      </c>
      <c r="X997" s="1">
        <v>0.0</v>
      </c>
      <c r="Y997" s="1">
        <v>2.35</v>
      </c>
      <c r="Z997" s="1">
        <v>6.0</v>
      </c>
    </row>
    <row r="998" ht="14.25" customHeight="1">
      <c r="A998" s="1" t="s">
        <v>26</v>
      </c>
      <c r="B998" s="1" t="s">
        <v>1456</v>
      </c>
      <c r="C998" s="1" t="s">
        <v>5270</v>
      </c>
      <c r="D998" s="1">
        <v>3.7339525E7</v>
      </c>
      <c r="E998" s="1" t="s">
        <v>4987</v>
      </c>
      <c r="F998" s="1" t="s">
        <v>244</v>
      </c>
      <c r="G998" s="1" t="s">
        <v>2818</v>
      </c>
      <c r="H998" s="1" t="s">
        <v>5271</v>
      </c>
      <c r="I998" s="1">
        <v>71708.0</v>
      </c>
      <c r="J998" s="1" t="s">
        <v>5272</v>
      </c>
      <c r="K998" s="1" t="s">
        <v>5273</v>
      </c>
      <c r="L998" s="1">
        <v>307.0</v>
      </c>
      <c r="M998" s="1" t="s">
        <v>35</v>
      </c>
      <c r="N998" s="1" t="s">
        <v>36</v>
      </c>
      <c r="O998" s="1" t="s">
        <v>628</v>
      </c>
      <c r="P998" s="1">
        <v>4.8E7</v>
      </c>
      <c r="Q998" s="1">
        <v>1998.0</v>
      </c>
      <c r="R998" s="1">
        <v>3000.0</v>
      </c>
      <c r="S998" s="1">
        <v>745.0</v>
      </c>
      <c r="T998" s="1">
        <v>23.0</v>
      </c>
      <c r="U998" s="1">
        <v>3768.0</v>
      </c>
      <c r="V998" s="1">
        <v>0.0</v>
      </c>
      <c r="W998" s="1">
        <v>0.0</v>
      </c>
      <c r="X998" s="1">
        <v>1.0</v>
      </c>
      <c r="Y998" s="1">
        <v>1.85</v>
      </c>
      <c r="Z998" s="1">
        <v>7.0</v>
      </c>
    </row>
    <row r="999" ht="14.25" customHeight="1">
      <c r="A999" s="1" t="s">
        <v>26</v>
      </c>
      <c r="B999" s="1" t="s">
        <v>2031</v>
      </c>
      <c r="C999" s="1" t="s">
        <v>5274</v>
      </c>
      <c r="D999" s="1">
        <v>6.0154431E7</v>
      </c>
      <c r="E999" s="1" t="s">
        <v>5275</v>
      </c>
      <c r="F999" s="1" t="s">
        <v>865</v>
      </c>
      <c r="G999" s="1" t="s">
        <v>757</v>
      </c>
      <c r="H999" s="1" t="s">
        <v>5276</v>
      </c>
      <c r="I999" s="1">
        <v>122347.0</v>
      </c>
      <c r="J999" s="1" t="s">
        <v>5277</v>
      </c>
      <c r="K999" s="1" t="s">
        <v>5278</v>
      </c>
      <c r="L999" s="1">
        <v>345.0</v>
      </c>
      <c r="M999" s="1" t="s">
        <v>35</v>
      </c>
      <c r="N999" s="1" t="s">
        <v>36</v>
      </c>
      <c r="O999" s="1" t="s">
        <v>37</v>
      </c>
      <c r="P999" s="1">
        <v>4.7E7</v>
      </c>
      <c r="Q999" s="1">
        <v>1996.0</v>
      </c>
      <c r="R999" s="1">
        <v>2000.0</v>
      </c>
      <c r="S999" s="1">
        <v>1000.0</v>
      </c>
      <c r="T999" s="1">
        <v>302.0</v>
      </c>
      <c r="U999" s="1">
        <v>3718.0</v>
      </c>
      <c r="V999" s="1">
        <v>0.0</v>
      </c>
      <c r="W999" s="1">
        <v>0.0</v>
      </c>
      <c r="X999" s="1">
        <v>1.0</v>
      </c>
      <c r="Y999" s="1">
        <v>2.35</v>
      </c>
      <c r="Z999" s="1">
        <v>6.0</v>
      </c>
    </row>
    <row r="1000" ht="14.25" customHeight="1">
      <c r="A1000" s="1" t="s">
        <v>26</v>
      </c>
      <c r="B1000" s="1" t="s">
        <v>1600</v>
      </c>
      <c r="C1000" s="1" t="s">
        <v>5279</v>
      </c>
      <c r="D1000" s="1">
        <v>1.03738726E8</v>
      </c>
      <c r="E1000" s="1" t="s">
        <v>5280</v>
      </c>
      <c r="F1000" s="1" t="s">
        <v>5281</v>
      </c>
      <c r="G1000" s="1" t="s">
        <v>1600</v>
      </c>
      <c r="H1000" s="1" t="s">
        <v>4487</v>
      </c>
      <c r="I1000" s="1">
        <v>47819.0</v>
      </c>
      <c r="J1000" s="1" t="s">
        <v>5282</v>
      </c>
      <c r="K1000" s="1" t="s">
        <v>5283</v>
      </c>
      <c r="L1000" s="1">
        <v>164.0</v>
      </c>
      <c r="M1000" s="1" t="s">
        <v>35</v>
      </c>
      <c r="N1000" s="1" t="s">
        <v>36</v>
      </c>
      <c r="O1000" s="1" t="s">
        <v>87</v>
      </c>
      <c r="P1000" s="1">
        <v>1.0E8</v>
      </c>
      <c r="Q1000" s="1">
        <v>1990.0</v>
      </c>
      <c r="R1000" s="1">
        <v>678.0</v>
      </c>
      <c r="S1000" s="1">
        <v>631.0</v>
      </c>
      <c r="T1000" s="1">
        <v>327.0</v>
      </c>
      <c r="U1000" s="1">
        <v>2096.0</v>
      </c>
      <c r="V1000" s="1">
        <v>631.0</v>
      </c>
      <c r="W1000" s="1">
        <v>2000.0</v>
      </c>
      <c r="X1000" s="1">
        <v>1.0</v>
      </c>
      <c r="Y1000" s="1">
        <v>1.85</v>
      </c>
      <c r="Z1000" s="1">
        <v>6.1</v>
      </c>
    </row>
    <row r="1001" ht="14.25" customHeight="1">
      <c r="A1001" s="1" t="s">
        <v>26</v>
      </c>
      <c r="B1001" s="1" t="s">
        <v>1255</v>
      </c>
      <c r="C1001" s="1" t="s">
        <v>5284</v>
      </c>
      <c r="D1001" s="1">
        <v>6.9304264E7</v>
      </c>
      <c r="E1001" s="1" t="s">
        <v>5285</v>
      </c>
      <c r="F1001" s="1" t="s">
        <v>1739</v>
      </c>
      <c r="G1001" s="1" t="s">
        <v>5286</v>
      </c>
      <c r="H1001" s="1" t="s">
        <v>2026</v>
      </c>
      <c r="I1001" s="1">
        <v>73068.0</v>
      </c>
      <c r="J1001" s="1" t="s">
        <v>5287</v>
      </c>
      <c r="K1001" s="1" t="s">
        <v>5288</v>
      </c>
      <c r="L1001" s="1">
        <v>419.0</v>
      </c>
      <c r="M1001" s="1" t="s">
        <v>35</v>
      </c>
      <c r="N1001" s="1" t="s">
        <v>36</v>
      </c>
      <c r="O1001" s="1" t="s">
        <v>628</v>
      </c>
      <c r="P1001" s="1">
        <v>4.8E7</v>
      </c>
      <c r="Q1001" s="1">
        <v>1999.0</v>
      </c>
      <c r="R1001" s="1">
        <v>1000.0</v>
      </c>
      <c r="S1001" s="1">
        <v>977.0</v>
      </c>
      <c r="T1001" s="1">
        <v>835.0</v>
      </c>
      <c r="U1001" s="1">
        <v>4660.0</v>
      </c>
      <c r="V1001" s="1">
        <v>323.0</v>
      </c>
      <c r="W1001" s="1">
        <v>0.0</v>
      </c>
      <c r="X1001" s="1">
        <v>0.0</v>
      </c>
      <c r="Y1001" s="1">
        <v>2.35</v>
      </c>
      <c r="Z1001" s="1">
        <v>6.8</v>
      </c>
    </row>
    <row r="1002" ht="14.25" customHeight="1">
      <c r="A1002" s="1" t="s">
        <v>26</v>
      </c>
      <c r="B1002" s="1" t="s">
        <v>5289</v>
      </c>
      <c r="C1002" s="1" t="s">
        <v>5290</v>
      </c>
      <c r="D1002" s="1">
        <v>2.9781453E7</v>
      </c>
      <c r="E1002" s="1" t="s">
        <v>3956</v>
      </c>
      <c r="F1002" s="1" t="s">
        <v>1906</v>
      </c>
      <c r="G1002" s="1" t="s">
        <v>5291</v>
      </c>
      <c r="H1002" s="1" t="s">
        <v>5292</v>
      </c>
      <c r="I1002" s="1">
        <v>22447.0</v>
      </c>
      <c r="J1002" s="1" t="s">
        <v>5293</v>
      </c>
      <c r="K1002" s="1" t="s">
        <v>5294</v>
      </c>
      <c r="L1002" s="1">
        <v>210.0</v>
      </c>
      <c r="M1002" s="1" t="s">
        <v>35</v>
      </c>
      <c r="N1002" s="1" t="s">
        <v>36</v>
      </c>
      <c r="O1002" s="1" t="s">
        <v>37</v>
      </c>
      <c r="P1002" s="1">
        <v>4.8E7</v>
      </c>
      <c r="Q1002" s="1">
        <v>2001.0</v>
      </c>
      <c r="R1002" s="1">
        <v>919.0</v>
      </c>
      <c r="S1002" s="1">
        <v>811.0</v>
      </c>
      <c r="T1002" s="1">
        <v>807.0</v>
      </c>
      <c r="U1002" s="1">
        <v>4796.0</v>
      </c>
      <c r="V1002" s="1">
        <v>545.0</v>
      </c>
      <c r="W1002" s="1">
        <v>0.0</v>
      </c>
      <c r="X1002" s="1">
        <v>1.0</v>
      </c>
      <c r="Y1002" s="1">
        <v>1.85</v>
      </c>
      <c r="Z1002" s="1">
        <v>6.4</v>
      </c>
    </row>
    <row r="1003" ht="14.25" customHeight="1">
      <c r="A1003" s="1" t="s">
        <v>26</v>
      </c>
      <c r="B1003" s="1" t="s">
        <v>5295</v>
      </c>
      <c r="C1003" s="1" t="s">
        <v>5296</v>
      </c>
      <c r="D1003" s="1">
        <v>1.5519841E7</v>
      </c>
      <c r="E1003" s="1" t="s">
        <v>263</v>
      </c>
      <c r="F1003" s="1" t="s">
        <v>2378</v>
      </c>
      <c r="G1003" s="1" t="s">
        <v>3135</v>
      </c>
      <c r="H1003" s="1" t="s">
        <v>4715</v>
      </c>
      <c r="I1003" s="1">
        <v>8693.0</v>
      </c>
      <c r="J1003" s="1" t="s">
        <v>5297</v>
      </c>
      <c r="K1003" s="1" t="s">
        <v>5298</v>
      </c>
      <c r="L1003" s="1">
        <v>71.0</v>
      </c>
      <c r="M1003" s="1" t="s">
        <v>35</v>
      </c>
      <c r="N1003" s="1" t="s">
        <v>36</v>
      </c>
      <c r="O1003" s="1" t="s">
        <v>87</v>
      </c>
      <c r="P1003" s="1">
        <v>4.7E7</v>
      </c>
      <c r="Q1003" s="1">
        <v>2006.0</v>
      </c>
      <c r="R1003" s="1">
        <v>4000.0</v>
      </c>
      <c r="S1003" s="1">
        <v>769.0</v>
      </c>
      <c r="T1003" s="1">
        <v>677.0</v>
      </c>
      <c r="U1003" s="1">
        <v>6863.0</v>
      </c>
      <c r="V1003" s="1">
        <v>0.0</v>
      </c>
      <c r="W1003" s="1">
        <v>261.0</v>
      </c>
      <c r="X1003" s="1">
        <v>3.0</v>
      </c>
      <c r="Y1003" s="1">
        <v>1.85</v>
      </c>
      <c r="Z1003" s="1">
        <v>4.5</v>
      </c>
    </row>
    <row r="1004" ht="14.25" customHeight="1">
      <c r="A1004" s="1" t="s">
        <v>26</v>
      </c>
      <c r="B1004" s="1" t="s">
        <v>5299</v>
      </c>
      <c r="C1004" s="1" t="s">
        <v>5300</v>
      </c>
      <c r="D1004" s="1">
        <v>5600000.0</v>
      </c>
      <c r="E1004" s="1" t="s">
        <v>3218</v>
      </c>
      <c r="F1004" s="1" t="s">
        <v>1459</v>
      </c>
      <c r="G1004" s="1" t="s">
        <v>5301</v>
      </c>
      <c r="H1004" s="1" t="s">
        <v>5302</v>
      </c>
      <c r="I1004" s="1">
        <v>11913.0</v>
      </c>
      <c r="J1004" s="1" t="s">
        <v>5303</v>
      </c>
      <c r="K1004" s="1" t="s">
        <v>5304</v>
      </c>
      <c r="L1004" s="1">
        <v>97.0</v>
      </c>
      <c r="M1004" s="1" t="s">
        <v>35</v>
      </c>
      <c r="N1004" s="1" t="s">
        <v>36</v>
      </c>
      <c r="O1004" s="1" t="s">
        <v>628</v>
      </c>
      <c r="P1004" s="1">
        <v>4.7E7</v>
      </c>
      <c r="Q1004" s="1">
        <v>1996.0</v>
      </c>
      <c r="R1004" s="1">
        <v>8000.0</v>
      </c>
      <c r="S1004" s="1">
        <v>115.0</v>
      </c>
      <c r="T1004" s="1">
        <v>77.0</v>
      </c>
      <c r="U1004" s="1">
        <v>8349.0</v>
      </c>
      <c r="V1004" s="1">
        <v>350.0</v>
      </c>
      <c r="W1004" s="1">
        <v>616.0</v>
      </c>
      <c r="X1004" s="1">
        <v>1.0</v>
      </c>
      <c r="Y1004" s="1">
        <v>1.85</v>
      </c>
      <c r="Z1004" s="1">
        <v>5.8</v>
      </c>
    </row>
    <row r="1005" ht="14.25" customHeight="1">
      <c r="A1005" s="1" t="s">
        <v>26</v>
      </c>
      <c r="B1005" s="1" t="s">
        <v>5305</v>
      </c>
      <c r="C1005" s="1" t="s">
        <v>5306</v>
      </c>
      <c r="D1005" s="1">
        <v>1.26805112E8</v>
      </c>
      <c r="E1005" s="1" t="s">
        <v>1598</v>
      </c>
      <c r="F1005" s="1" t="s">
        <v>1459</v>
      </c>
      <c r="G1005" s="1" t="s">
        <v>1987</v>
      </c>
      <c r="H1005" s="1" t="s">
        <v>688</v>
      </c>
      <c r="I1005" s="1">
        <v>98199.0</v>
      </c>
      <c r="J1005" s="1" t="s">
        <v>5307</v>
      </c>
      <c r="K1005" s="1" t="s">
        <v>5308</v>
      </c>
      <c r="L1005" s="1">
        <v>169.0</v>
      </c>
      <c r="M1005" s="1" t="s">
        <v>35</v>
      </c>
      <c r="N1005" s="1" t="s">
        <v>36</v>
      </c>
      <c r="O1005" s="1" t="s">
        <v>37</v>
      </c>
      <c r="P1005" s="1">
        <v>4.6E7</v>
      </c>
      <c r="Q1005" s="1">
        <v>1997.0</v>
      </c>
      <c r="R1005" s="1">
        <v>8000.0</v>
      </c>
      <c r="S1005" s="1">
        <v>1000.0</v>
      </c>
      <c r="T1005" s="1">
        <v>692.0</v>
      </c>
      <c r="U1005" s="1">
        <v>12344.0</v>
      </c>
      <c r="V1005" s="1">
        <v>29.0</v>
      </c>
      <c r="W1005" s="1">
        <v>0.0</v>
      </c>
      <c r="X1005" s="1">
        <v>1.0</v>
      </c>
      <c r="Y1005" s="1">
        <v>2.35</v>
      </c>
      <c r="Z1005" s="1">
        <v>6.3</v>
      </c>
    </row>
    <row r="1006" ht="14.25" customHeight="1">
      <c r="A1006" s="1" t="s">
        <v>26</v>
      </c>
      <c r="B1006" s="1" t="s">
        <v>4833</v>
      </c>
      <c r="C1006" s="1" t="s">
        <v>5309</v>
      </c>
      <c r="D1006" s="1">
        <v>9.3607673E7</v>
      </c>
      <c r="E1006" s="1" t="s">
        <v>1598</v>
      </c>
      <c r="F1006" s="1" t="s">
        <v>1459</v>
      </c>
      <c r="G1006" s="1" t="s">
        <v>465</v>
      </c>
      <c r="H1006" s="1" t="s">
        <v>2119</v>
      </c>
      <c r="I1006" s="1">
        <v>47573.0</v>
      </c>
      <c r="J1006" s="1" t="s">
        <v>5310</v>
      </c>
      <c r="K1006" s="1" t="s">
        <v>5311</v>
      </c>
      <c r="L1006" s="1">
        <v>343.0</v>
      </c>
      <c r="M1006" s="1" t="s">
        <v>35</v>
      </c>
      <c r="N1006" s="1" t="s">
        <v>36</v>
      </c>
      <c r="O1006" s="1" t="s">
        <v>37</v>
      </c>
      <c r="P1006" s="1">
        <v>4.8E7</v>
      </c>
      <c r="Q1006" s="1">
        <v>2001.0</v>
      </c>
      <c r="R1006" s="1">
        <v>8000.0</v>
      </c>
      <c r="S1006" s="1">
        <v>973.0</v>
      </c>
      <c r="T1006" s="1">
        <v>135.0</v>
      </c>
      <c r="U1006" s="1">
        <v>9176.0</v>
      </c>
      <c r="V1006" s="1">
        <v>148.0</v>
      </c>
      <c r="W1006" s="1">
        <v>881.0</v>
      </c>
      <c r="X1006" s="1">
        <v>4.0</v>
      </c>
      <c r="Y1006" s="1">
        <v>2.35</v>
      </c>
      <c r="Z1006" s="1">
        <v>5.7</v>
      </c>
    </row>
    <row r="1007" ht="14.25" customHeight="1">
      <c r="A1007" s="1" t="s">
        <v>26</v>
      </c>
      <c r="B1007" s="1" t="s">
        <v>55</v>
      </c>
      <c r="C1007" s="1" t="s">
        <v>5312</v>
      </c>
      <c r="D1007" s="1">
        <v>6.7263182E7</v>
      </c>
      <c r="E1007" s="1" t="s">
        <v>1842</v>
      </c>
      <c r="F1007" s="1" t="s">
        <v>2292</v>
      </c>
      <c r="G1007" s="1" t="s">
        <v>3565</v>
      </c>
      <c r="H1007" s="1" t="s">
        <v>5313</v>
      </c>
      <c r="I1007" s="1">
        <v>218771.0</v>
      </c>
      <c r="J1007" s="1" t="s">
        <v>5314</v>
      </c>
      <c r="K1007" s="1" t="s">
        <v>5315</v>
      </c>
      <c r="L1007" s="1">
        <v>651.0</v>
      </c>
      <c r="M1007" s="1" t="s">
        <v>35</v>
      </c>
      <c r="N1007" s="1" t="s">
        <v>36</v>
      </c>
      <c r="O1007" s="1" t="s">
        <v>628</v>
      </c>
      <c r="P1007" s="1">
        <v>4.6E7</v>
      </c>
      <c r="Q1007" s="1">
        <v>2002.0</v>
      </c>
      <c r="R1007" s="1">
        <v>14000.0</v>
      </c>
      <c r="S1007" s="1">
        <v>509.0</v>
      </c>
      <c r="T1007" s="1">
        <v>319.0</v>
      </c>
      <c r="U1007" s="1">
        <v>15658.0</v>
      </c>
      <c r="V1007" s="1">
        <v>22000.0</v>
      </c>
      <c r="W1007" s="1">
        <v>0.0</v>
      </c>
      <c r="X1007" s="1">
        <v>0.0</v>
      </c>
      <c r="Y1007" s="1">
        <v>2.35</v>
      </c>
      <c r="Z1007" s="1">
        <v>7.2</v>
      </c>
    </row>
    <row r="1008" ht="14.25" customHeight="1">
      <c r="A1008" s="1" t="s">
        <v>26</v>
      </c>
      <c r="B1008" s="1" t="s">
        <v>3204</v>
      </c>
      <c r="C1008" s="1" t="s">
        <v>5316</v>
      </c>
      <c r="D1008" s="1">
        <v>9.2001027E7</v>
      </c>
      <c r="E1008" s="1" t="s">
        <v>5317</v>
      </c>
      <c r="F1008" s="1" t="s">
        <v>3206</v>
      </c>
      <c r="G1008" s="1" t="s">
        <v>1186</v>
      </c>
      <c r="H1008" s="1" t="s">
        <v>3204</v>
      </c>
      <c r="I1008" s="1">
        <v>97838.0</v>
      </c>
      <c r="J1008" s="1" t="s">
        <v>5318</v>
      </c>
      <c r="K1008" s="1" t="s">
        <v>5319</v>
      </c>
      <c r="L1008" s="1">
        <v>286.0</v>
      </c>
      <c r="M1008" s="1" t="s">
        <v>35</v>
      </c>
      <c r="N1008" s="1" t="s">
        <v>36</v>
      </c>
      <c r="O1008" s="1" t="s">
        <v>37</v>
      </c>
      <c r="P1008" s="1">
        <v>4.5E7</v>
      </c>
      <c r="Q1008" s="1">
        <v>1996.0</v>
      </c>
      <c r="R1008" s="1">
        <v>1000.0</v>
      </c>
      <c r="S1008" s="1">
        <v>1000.0</v>
      </c>
      <c r="T1008" s="1">
        <v>906.0</v>
      </c>
      <c r="U1008" s="1">
        <v>6315.0</v>
      </c>
      <c r="V1008" s="1">
        <v>906.0</v>
      </c>
      <c r="W1008" s="1">
        <v>3000.0</v>
      </c>
      <c r="X1008" s="1">
        <v>2.0</v>
      </c>
      <c r="Y1008" s="1">
        <v>2.35</v>
      </c>
      <c r="Z1008" s="1">
        <v>7.6</v>
      </c>
    </row>
    <row r="1009" ht="14.25" customHeight="1">
      <c r="A1009" s="1" t="s">
        <v>26</v>
      </c>
      <c r="B1009" s="1" t="s">
        <v>4435</v>
      </c>
      <c r="C1009" s="1" t="s">
        <v>5320</v>
      </c>
      <c r="D1009" s="1">
        <v>1.0539414E7</v>
      </c>
      <c r="E1009" s="1" t="s">
        <v>5321</v>
      </c>
      <c r="F1009" s="1" t="s">
        <v>444</v>
      </c>
      <c r="G1009" s="1" t="s">
        <v>5322</v>
      </c>
      <c r="H1009" s="1" t="s">
        <v>5323</v>
      </c>
      <c r="I1009" s="1">
        <v>45729.0</v>
      </c>
      <c r="J1009" s="1" t="s">
        <v>5324</v>
      </c>
      <c r="K1009" s="1" t="s">
        <v>5325</v>
      </c>
      <c r="L1009" s="1">
        <v>176.0</v>
      </c>
      <c r="M1009" s="1" t="s">
        <v>35</v>
      </c>
      <c r="N1009" s="1" t="s">
        <v>36</v>
      </c>
      <c r="O1009" s="1" t="s">
        <v>37</v>
      </c>
      <c r="P1009" s="1">
        <v>4.7E7</v>
      </c>
      <c r="Q1009" s="1">
        <v>2010.0</v>
      </c>
      <c r="R1009" s="1">
        <v>13000.0</v>
      </c>
      <c r="S1009" s="1">
        <v>541.0</v>
      </c>
      <c r="T1009" s="1">
        <v>364.0</v>
      </c>
      <c r="U1009" s="1">
        <v>14619.0</v>
      </c>
      <c r="V1009" s="1">
        <v>39.0</v>
      </c>
      <c r="W1009" s="1">
        <v>0.0</v>
      </c>
      <c r="X1009" s="1">
        <v>1.0</v>
      </c>
      <c r="Y1009" s="1">
        <v>2.35</v>
      </c>
      <c r="Z1009" s="1">
        <v>4.7</v>
      </c>
    </row>
    <row r="1010" ht="14.25" customHeight="1">
      <c r="A1010" s="1" t="s">
        <v>26</v>
      </c>
      <c r="B1010" s="1" t="s">
        <v>978</v>
      </c>
      <c r="C1010" s="1" t="s">
        <v>5326</v>
      </c>
      <c r="D1010" s="1">
        <v>5.8918501E7</v>
      </c>
      <c r="E1010" s="1" t="s">
        <v>5327</v>
      </c>
      <c r="F1010" s="1" t="s">
        <v>1644</v>
      </c>
      <c r="G1010" s="1" t="s">
        <v>1113</v>
      </c>
      <c r="H1010" s="1" t="s">
        <v>1264</v>
      </c>
      <c r="I1010" s="1">
        <v>40126.0</v>
      </c>
      <c r="J1010" s="1" t="s">
        <v>5328</v>
      </c>
      <c r="K1010" s="1" t="s">
        <v>5329</v>
      </c>
      <c r="L1010" s="1">
        <v>107.0</v>
      </c>
      <c r="M1010" s="1" t="s">
        <v>35</v>
      </c>
      <c r="N1010" s="1" t="s">
        <v>36</v>
      </c>
      <c r="O1010" s="1" t="s">
        <v>628</v>
      </c>
      <c r="P1010" s="1">
        <v>4.6E7</v>
      </c>
      <c r="Q1010" s="1">
        <v>1996.0</v>
      </c>
      <c r="R1010" s="1">
        <v>18000.0</v>
      </c>
      <c r="S1010" s="1">
        <v>13000.0</v>
      </c>
      <c r="T1010" s="1">
        <v>826.0</v>
      </c>
      <c r="U1010" s="1">
        <v>33233.0</v>
      </c>
      <c r="V1010" s="1">
        <v>380.0</v>
      </c>
      <c r="W1010" s="1">
        <v>975.0</v>
      </c>
      <c r="X1010" s="1">
        <v>1.0</v>
      </c>
      <c r="Y1010" s="1">
        <v>1.85</v>
      </c>
      <c r="Z1010" s="1">
        <v>6.6</v>
      </c>
    </row>
    <row r="1011" ht="14.25" customHeight="1">
      <c r="A1011" s="1" t="s">
        <v>26</v>
      </c>
      <c r="B1011" s="1" t="s">
        <v>499</v>
      </c>
      <c r="C1011" s="1" t="s">
        <v>5330</v>
      </c>
      <c r="D1011" s="1">
        <v>1.8139538E8</v>
      </c>
      <c r="E1011" s="1" t="s">
        <v>3439</v>
      </c>
      <c r="F1011" s="1" t="s">
        <v>3565</v>
      </c>
      <c r="G1011" s="1" t="s">
        <v>5331</v>
      </c>
      <c r="H1011" s="1" t="s">
        <v>5332</v>
      </c>
      <c r="I1011" s="1">
        <v>220392.0</v>
      </c>
      <c r="J1011" s="1" t="s">
        <v>5333</v>
      </c>
      <c r="K1011" s="1" t="s">
        <v>5334</v>
      </c>
      <c r="L1011" s="1">
        <v>243.0</v>
      </c>
      <c r="M1011" s="1" t="s">
        <v>35</v>
      </c>
      <c r="N1011" s="1" t="s">
        <v>36</v>
      </c>
      <c r="O1011" s="1" t="s">
        <v>37</v>
      </c>
      <c r="P1011" s="1">
        <v>4.5E7</v>
      </c>
      <c r="Q1011" s="1">
        <v>1997.0</v>
      </c>
      <c r="R1011" s="1">
        <v>509.0</v>
      </c>
      <c r="S1011" s="1">
        <v>418.0</v>
      </c>
      <c r="T1011" s="1">
        <v>255.0</v>
      </c>
      <c r="U1011" s="1">
        <v>2070.0</v>
      </c>
      <c r="V1011" s="1">
        <v>293.0</v>
      </c>
      <c r="W1011" s="1">
        <v>0.0</v>
      </c>
      <c r="X1011" s="1">
        <v>1.0</v>
      </c>
      <c r="Y1011" s="1">
        <v>1.85</v>
      </c>
      <c r="Z1011" s="1">
        <v>6.8</v>
      </c>
    </row>
    <row r="1012" ht="14.25" customHeight="1">
      <c r="A1012" s="1" t="s">
        <v>26</v>
      </c>
      <c r="B1012" s="1" t="s">
        <v>3900</v>
      </c>
      <c r="C1012" s="1" t="s">
        <v>5335</v>
      </c>
      <c r="D1012" s="1">
        <v>1.30512915E8</v>
      </c>
      <c r="E1012" s="1" t="s">
        <v>501</v>
      </c>
      <c r="F1012" s="1" t="s">
        <v>2811</v>
      </c>
      <c r="G1012" s="1" t="s">
        <v>3719</v>
      </c>
      <c r="H1012" s="1" t="s">
        <v>3903</v>
      </c>
      <c r="I1012" s="1">
        <v>60884.0</v>
      </c>
      <c r="J1012" s="1" t="s">
        <v>5336</v>
      </c>
      <c r="K1012" s="1" t="s">
        <v>5337</v>
      </c>
      <c r="L1012" s="1">
        <v>85.0</v>
      </c>
      <c r="M1012" s="1" t="s">
        <v>35</v>
      </c>
      <c r="N1012" s="1" t="s">
        <v>36</v>
      </c>
      <c r="O1012" s="1" t="s">
        <v>87</v>
      </c>
      <c r="P1012" s="1">
        <v>4.5E7</v>
      </c>
      <c r="Q1012" s="1">
        <v>1994.0</v>
      </c>
      <c r="R1012" s="1">
        <v>924.0</v>
      </c>
      <c r="S1012" s="1">
        <v>664.0</v>
      </c>
      <c r="T1012" s="1">
        <v>628.0</v>
      </c>
      <c r="U1012" s="1">
        <v>3244.0</v>
      </c>
      <c r="V1012" s="1">
        <v>32.0</v>
      </c>
      <c r="W1012" s="1">
        <v>0.0</v>
      </c>
      <c r="X1012" s="1">
        <v>2.0</v>
      </c>
      <c r="Y1012" s="1">
        <v>1.33</v>
      </c>
      <c r="Z1012" s="1">
        <v>4.8</v>
      </c>
    </row>
    <row r="1013" ht="14.25" customHeight="1">
      <c r="A1013" s="1" t="s">
        <v>26</v>
      </c>
      <c r="B1013" s="1" t="s">
        <v>5265</v>
      </c>
      <c r="C1013" s="1" t="s">
        <v>5338</v>
      </c>
      <c r="D1013" s="1">
        <v>1.39852971E8</v>
      </c>
      <c r="E1013" s="1" t="s">
        <v>326</v>
      </c>
      <c r="F1013" s="1" t="s">
        <v>220</v>
      </c>
      <c r="G1013" s="1" t="s">
        <v>5339</v>
      </c>
      <c r="H1013" s="1" t="s">
        <v>1187</v>
      </c>
      <c r="I1013" s="1">
        <v>238671.0</v>
      </c>
      <c r="J1013" s="1" t="s">
        <v>5340</v>
      </c>
      <c r="K1013" s="1" t="s">
        <v>5341</v>
      </c>
      <c r="L1013" s="1">
        <v>461.0</v>
      </c>
      <c r="M1013" s="1" t="s">
        <v>35</v>
      </c>
      <c r="N1013" s="1" t="s">
        <v>1832</v>
      </c>
      <c r="O1013" s="1" t="s">
        <v>37</v>
      </c>
      <c r="P1013" s="1">
        <v>4.5E7</v>
      </c>
      <c r="Q1013" s="1">
        <v>2012.0</v>
      </c>
      <c r="R1013" s="1">
        <v>14000.0</v>
      </c>
      <c r="S1013" s="1">
        <v>935.0</v>
      </c>
      <c r="T1013" s="1">
        <v>558.0</v>
      </c>
      <c r="U1013" s="1">
        <v>16410.0</v>
      </c>
      <c r="V1013" s="1">
        <v>118.0</v>
      </c>
      <c r="W1013" s="1">
        <v>63000.0</v>
      </c>
      <c r="X1013" s="1">
        <v>0.0</v>
      </c>
      <c r="Y1013" s="1">
        <v>2.35</v>
      </c>
      <c r="Z1013" s="1">
        <v>6.3</v>
      </c>
    </row>
    <row r="1014" ht="14.25" customHeight="1">
      <c r="A1014" s="1" t="s">
        <v>26</v>
      </c>
      <c r="B1014" s="1" t="s">
        <v>5342</v>
      </c>
      <c r="C1014" s="1" t="s">
        <v>5343</v>
      </c>
      <c r="D1014" s="1">
        <v>1.10000082E8</v>
      </c>
      <c r="E1014" s="1" t="s">
        <v>1885</v>
      </c>
      <c r="F1014" s="1" t="s">
        <v>5344</v>
      </c>
      <c r="G1014" s="1" t="s">
        <v>5345</v>
      </c>
      <c r="H1014" s="1" t="s">
        <v>5346</v>
      </c>
      <c r="I1014" s="1">
        <v>111526.0</v>
      </c>
      <c r="J1014" s="1" t="s">
        <v>5347</v>
      </c>
      <c r="K1014" s="1" t="s">
        <v>5348</v>
      </c>
      <c r="L1014" s="1">
        <v>347.0</v>
      </c>
      <c r="M1014" s="1" t="s">
        <v>35</v>
      </c>
      <c r="N1014" s="1" t="s">
        <v>36</v>
      </c>
      <c r="O1014" s="1" t="s">
        <v>37</v>
      </c>
      <c r="P1014" s="1">
        <v>4.8E7</v>
      </c>
      <c r="Q1014" s="1">
        <v>2003.0</v>
      </c>
      <c r="R1014" s="1">
        <v>807.0</v>
      </c>
      <c r="S1014" s="1">
        <v>780.0</v>
      </c>
      <c r="T1014" s="1">
        <v>750.0</v>
      </c>
      <c r="U1014" s="1">
        <v>3629.0</v>
      </c>
      <c r="V1014" s="1">
        <v>119.0</v>
      </c>
      <c r="W1014" s="1">
        <v>0.0</v>
      </c>
      <c r="X1014" s="1">
        <v>7.0</v>
      </c>
      <c r="Y1014" s="1">
        <v>1.85</v>
      </c>
      <c r="Z1014" s="1">
        <v>5.5</v>
      </c>
    </row>
    <row r="1015" ht="14.25" customHeight="1">
      <c r="A1015" s="1" t="s">
        <v>26</v>
      </c>
      <c r="B1015" s="1" t="s">
        <v>4022</v>
      </c>
      <c r="C1015" s="1" t="s">
        <v>5349</v>
      </c>
      <c r="D1015" s="1">
        <v>1.06807667E8</v>
      </c>
      <c r="E1015" s="1" t="s">
        <v>5350</v>
      </c>
      <c r="F1015" s="1" t="s">
        <v>5351</v>
      </c>
      <c r="G1015" s="1" t="s">
        <v>5352</v>
      </c>
      <c r="H1015" s="1" t="s">
        <v>5353</v>
      </c>
      <c r="I1015" s="1">
        <v>137377.0</v>
      </c>
      <c r="J1015" s="1" t="s">
        <v>5354</v>
      </c>
      <c r="K1015" s="1" t="s">
        <v>5355</v>
      </c>
      <c r="L1015" s="1">
        <v>370.0</v>
      </c>
      <c r="M1015" s="1" t="s">
        <v>35</v>
      </c>
      <c r="N1015" s="1" t="s">
        <v>36</v>
      </c>
      <c r="O1015" s="1" t="s">
        <v>37</v>
      </c>
      <c r="P1015" s="1">
        <v>4.5E7</v>
      </c>
      <c r="Q1015" s="1">
        <v>2000.0</v>
      </c>
      <c r="R1015" s="1">
        <v>545.0</v>
      </c>
      <c r="S1015" s="1">
        <v>337.0</v>
      </c>
      <c r="T1015" s="1">
        <v>213.0</v>
      </c>
      <c r="U1015" s="1">
        <v>1574.0</v>
      </c>
      <c r="V1015" s="1">
        <v>80.0</v>
      </c>
      <c r="W1015" s="1">
        <v>0.0</v>
      </c>
      <c r="X1015" s="1">
        <v>1.0</v>
      </c>
      <c r="Y1015" s="1">
        <v>1.85</v>
      </c>
      <c r="Z1015" s="1">
        <v>6.2</v>
      </c>
    </row>
    <row r="1016" ht="14.25" customHeight="1">
      <c r="A1016" s="1" t="s">
        <v>26</v>
      </c>
      <c r="B1016" s="1" t="s">
        <v>2585</v>
      </c>
      <c r="C1016" s="1" t="s">
        <v>5356</v>
      </c>
      <c r="D1016" s="1">
        <v>1.0170206E8</v>
      </c>
      <c r="E1016" s="1" t="s">
        <v>5357</v>
      </c>
      <c r="F1016" s="1" t="s">
        <v>663</v>
      </c>
      <c r="G1016" s="1" t="s">
        <v>488</v>
      </c>
      <c r="H1016" s="1" t="s">
        <v>5358</v>
      </c>
      <c r="I1016" s="1">
        <v>85323.0</v>
      </c>
      <c r="J1016" s="1" t="s">
        <v>5359</v>
      </c>
      <c r="K1016" s="1" t="s">
        <v>5360</v>
      </c>
      <c r="L1016" s="1">
        <v>212.0</v>
      </c>
      <c r="M1016" s="1" t="s">
        <v>35</v>
      </c>
      <c r="N1016" s="1" t="s">
        <v>36</v>
      </c>
      <c r="O1016" s="1" t="s">
        <v>87</v>
      </c>
      <c r="P1016" s="1">
        <v>4.5E7</v>
      </c>
      <c r="Q1016" s="1">
        <v>2008.0</v>
      </c>
      <c r="R1016" s="1">
        <v>14000.0</v>
      </c>
      <c r="S1016" s="1">
        <v>3000.0</v>
      </c>
      <c r="T1016" s="1">
        <v>311.0</v>
      </c>
      <c r="U1016" s="1">
        <v>17925.0</v>
      </c>
      <c r="V1016" s="1">
        <v>40.0</v>
      </c>
      <c r="W1016" s="1">
        <v>0.0</v>
      </c>
      <c r="X1016" s="1">
        <v>0.0</v>
      </c>
      <c r="Y1016" s="1">
        <v>1.85</v>
      </c>
      <c r="Z1016" s="1">
        <v>5.8</v>
      </c>
    </row>
    <row r="1017" ht="14.25" customHeight="1">
      <c r="A1017" s="1" t="s">
        <v>26</v>
      </c>
      <c r="B1017" s="1" t="s">
        <v>3138</v>
      </c>
      <c r="C1017" s="1" t="s">
        <v>5361</v>
      </c>
      <c r="D1017" s="1">
        <v>9.5149435E7</v>
      </c>
      <c r="E1017" s="1" t="s">
        <v>2599</v>
      </c>
      <c r="F1017" s="1" t="s">
        <v>249</v>
      </c>
      <c r="G1017" s="1" t="s">
        <v>3069</v>
      </c>
      <c r="H1017" s="1" t="s">
        <v>3140</v>
      </c>
      <c r="I1017" s="1">
        <v>53687.0</v>
      </c>
      <c r="J1017" s="1" t="s">
        <v>5362</v>
      </c>
      <c r="K1017" s="1" t="s">
        <v>5363</v>
      </c>
      <c r="L1017" s="1">
        <v>152.0</v>
      </c>
      <c r="M1017" s="1" t="s">
        <v>35</v>
      </c>
      <c r="N1017" s="1" t="s">
        <v>36</v>
      </c>
      <c r="O1017" s="1" t="s">
        <v>269</v>
      </c>
      <c r="P1017" s="1">
        <v>4.0E7</v>
      </c>
      <c r="Q1017" s="1">
        <v>2004.0</v>
      </c>
      <c r="R1017" s="1">
        <v>11000.0</v>
      </c>
      <c r="S1017" s="1">
        <v>1000.0</v>
      </c>
      <c r="T1017" s="1">
        <v>995.0</v>
      </c>
      <c r="U1017" s="1">
        <v>15362.0</v>
      </c>
      <c r="V1017" s="1">
        <v>0.0</v>
      </c>
      <c r="W1017" s="1">
        <v>1000.0</v>
      </c>
      <c r="X1017" s="1">
        <v>2.0</v>
      </c>
      <c r="Y1017" s="1">
        <v>1.85</v>
      </c>
      <c r="Z1017" s="1">
        <v>5.7</v>
      </c>
    </row>
    <row r="1018" ht="14.25" customHeight="1">
      <c r="A1018" s="1" t="s">
        <v>26</v>
      </c>
      <c r="B1018" s="1" t="s">
        <v>2181</v>
      </c>
      <c r="C1018" s="1" t="s">
        <v>5364</v>
      </c>
      <c r="D1018" s="1">
        <v>1.00768056E8</v>
      </c>
      <c r="E1018" s="1" t="s">
        <v>2061</v>
      </c>
      <c r="F1018" s="1" t="s">
        <v>1644</v>
      </c>
      <c r="G1018" s="1" t="s">
        <v>1459</v>
      </c>
      <c r="H1018" s="1" t="s">
        <v>981</v>
      </c>
      <c r="I1018" s="1">
        <v>59569.0</v>
      </c>
      <c r="J1018" s="1" t="s">
        <v>5365</v>
      </c>
      <c r="K1018" s="1" t="s">
        <v>5366</v>
      </c>
      <c r="L1018" s="1">
        <v>89.0</v>
      </c>
      <c r="M1018" s="1" t="s">
        <v>35</v>
      </c>
      <c r="N1018" s="1" t="s">
        <v>36</v>
      </c>
      <c r="O1018" s="1" t="s">
        <v>37</v>
      </c>
      <c r="P1018" s="1">
        <v>4.5E7</v>
      </c>
      <c r="Q1018" s="1">
        <v>1993.0</v>
      </c>
      <c r="R1018" s="1">
        <v>18000.0</v>
      </c>
      <c r="S1018" s="1">
        <v>8000.0</v>
      </c>
      <c r="T1018" s="1">
        <v>956.0</v>
      </c>
      <c r="U1018" s="1">
        <v>30063.0</v>
      </c>
      <c r="V1018" s="1">
        <v>79.0</v>
      </c>
      <c r="W1018" s="1">
        <v>0.0</v>
      </c>
      <c r="X1018" s="1">
        <v>0.0</v>
      </c>
      <c r="Y1018" s="1">
        <v>2.35</v>
      </c>
      <c r="Z1018" s="1">
        <v>6.5</v>
      </c>
    </row>
    <row r="1019" ht="14.25" customHeight="1">
      <c r="A1019" s="1" t="s">
        <v>26</v>
      </c>
      <c r="B1019" s="1" t="s">
        <v>1268</v>
      </c>
      <c r="C1019" s="1" t="s">
        <v>5367</v>
      </c>
      <c r="D1019" s="1">
        <v>9.2115211E7</v>
      </c>
      <c r="E1019" s="1" t="s">
        <v>2061</v>
      </c>
      <c r="F1019" s="1" t="s">
        <v>5247</v>
      </c>
      <c r="G1019" s="1" t="s">
        <v>1772</v>
      </c>
      <c r="H1019" s="1" t="s">
        <v>5368</v>
      </c>
      <c r="I1019" s="1">
        <v>45798.0</v>
      </c>
      <c r="J1019" s="1" t="s">
        <v>5369</v>
      </c>
      <c r="K1019" s="1" t="s">
        <v>5370</v>
      </c>
      <c r="L1019" s="1">
        <v>94.0</v>
      </c>
      <c r="M1019" s="1" t="s">
        <v>35</v>
      </c>
      <c r="N1019" s="1" t="s">
        <v>36</v>
      </c>
      <c r="O1019" s="1" t="s">
        <v>37</v>
      </c>
      <c r="P1019" s="1">
        <v>4.5E7</v>
      </c>
      <c r="Q1019" s="1">
        <v>1994.0</v>
      </c>
      <c r="R1019" s="1">
        <v>821.0</v>
      </c>
      <c r="S1019" s="1">
        <v>577.0</v>
      </c>
      <c r="T1019" s="1">
        <v>551.0</v>
      </c>
      <c r="U1019" s="1">
        <v>4043.0</v>
      </c>
      <c r="V1019" s="1">
        <v>541.0</v>
      </c>
      <c r="W1019" s="1">
        <v>1000.0</v>
      </c>
      <c r="X1019" s="1">
        <v>3.0</v>
      </c>
      <c r="Y1019" s="1">
        <v>2.35</v>
      </c>
      <c r="Z1019" s="1">
        <v>6.7</v>
      </c>
    </row>
    <row r="1020" ht="14.25" customHeight="1">
      <c r="A1020" s="1" t="s">
        <v>26</v>
      </c>
      <c r="B1020" s="1" t="s">
        <v>3691</v>
      </c>
      <c r="C1020" s="1" t="s">
        <v>5371</v>
      </c>
      <c r="D1020" s="1">
        <v>9.3452056E7</v>
      </c>
      <c r="E1020" s="1" t="s">
        <v>5085</v>
      </c>
      <c r="F1020" s="1" t="s">
        <v>451</v>
      </c>
      <c r="G1020" s="1" t="s">
        <v>5372</v>
      </c>
      <c r="H1020" s="1" t="s">
        <v>266</v>
      </c>
      <c r="I1020" s="1">
        <v>184795.0</v>
      </c>
      <c r="J1020" s="1" t="s">
        <v>5373</v>
      </c>
      <c r="K1020" s="1" t="s">
        <v>5374</v>
      </c>
      <c r="L1020" s="1">
        <v>310.0</v>
      </c>
      <c r="M1020" s="1" t="s">
        <v>35</v>
      </c>
      <c r="N1020" s="1" t="s">
        <v>36</v>
      </c>
      <c r="O1020" s="1" t="s">
        <v>37</v>
      </c>
      <c r="P1020" s="1">
        <v>4.5E7</v>
      </c>
      <c r="Q1020" s="1">
        <v>2007.0</v>
      </c>
      <c r="R1020" s="1">
        <v>11000.0</v>
      </c>
      <c r="S1020" s="1">
        <v>2000.0</v>
      </c>
      <c r="T1020" s="1">
        <v>760.0</v>
      </c>
      <c r="U1020" s="1">
        <v>14868.0</v>
      </c>
      <c r="V1020" s="1">
        <v>0.0</v>
      </c>
      <c r="W1020" s="1">
        <v>22000.0</v>
      </c>
      <c r="X1020" s="1">
        <v>1.0</v>
      </c>
      <c r="Y1020" s="1">
        <v>1.85</v>
      </c>
      <c r="Z1020" s="1">
        <v>7.4</v>
      </c>
    </row>
    <row r="1021" ht="14.25" customHeight="1">
      <c r="A1021" s="1" t="s">
        <v>26</v>
      </c>
      <c r="B1021" s="1" t="s">
        <v>1153</v>
      </c>
      <c r="C1021" s="1" t="s">
        <v>5375</v>
      </c>
      <c r="D1021" s="1">
        <v>8.3287363E7</v>
      </c>
      <c r="E1021" s="1" t="s">
        <v>57</v>
      </c>
      <c r="F1021" s="1" t="s">
        <v>383</v>
      </c>
      <c r="G1021" s="1" t="s">
        <v>68</v>
      </c>
      <c r="H1021" s="1" t="s">
        <v>5376</v>
      </c>
      <c r="I1021" s="1">
        <v>81442.0</v>
      </c>
      <c r="J1021" s="1" t="s">
        <v>5377</v>
      </c>
      <c r="K1021" s="1" t="s">
        <v>5378</v>
      </c>
      <c r="L1021" s="1">
        <v>137.0</v>
      </c>
      <c r="M1021" s="1" t="s">
        <v>35</v>
      </c>
      <c r="N1021" s="1" t="s">
        <v>36</v>
      </c>
      <c r="O1021" s="1" t="s">
        <v>628</v>
      </c>
      <c r="P1021" s="1">
        <v>4.5E7</v>
      </c>
      <c r="Q1021" s="1">
        <v>1992.0</v>
      </c>
      <c r="R1021" s="1">
        <v>11000.0</v>
      </c>
      <c r="S1021" s="1">
        <v>530.0</v>
      </c>
      <c r="T1021" s="1">
        <v>308.0</v>
      </c>
      <c r="U1021" s="1">
        <v>12757.0</v>
      </c>
      <c r="V1021" s="1">
        <v>176.0</v>
      </c>
      <c r="W1021" s="1">
        <v>0.0</v>
      </c>
      <c r="X1021" s="1">
        <v>1.0</v>
      </c>
      <c r="Y1021" s="1">
        <v>2.35</v>
      </c>
      <c r="Z1021" s="1">
        <v>6.9</v>
      </c>
    </row>
    <row r="1022" ht="14.25" customHeight="1">
      <c r="A1022" s="1" t="s">
        <v>26</v>
      </c>
      <c r="B1022" s="1" t="s">
        <v>2942</v>
      </c>
      <c r="C1022" s="1" t="s">
        <v>5379</v>
      </c>
      <c r="D1022" s="1">
        <v>8.2931301E7</v>
      </c>
      <c r="E1022" s="1" t="s">
        <v>1598</v>
      </c>
      <c r="F1022" s="1" t="s">
        <v>1475</v>
      </c>
      <c r="G1022" s="1" t="s">
        <v>5380</v>
      </c>
      <c r="H1022" s="1" t="s">
        <v>3918</v>
      </c>
      <c r="I1022" s="1">
        <v>43358.0</v>
      </c>
      <c r="J1022" s="1" t="s">
        <v>5381</v>
      </c>
      <c r="K1022" s="1" t="s">
        <v>5382</v>
      </c>
      <c r="L1022" s="1">
        <v>228.0</v>
      </c>
      <c r="M1022" s="1" t="s">
        <v>35</v>
      </c>
      <c r="N1022" s="1" t="s">
        <v>730</v>
      </c>
      <c r="O1022" s="1" t="s">
        <v>37</v>
      </c>
      <c r="P1022" s="1">
        <v>6.0E7</v>
      </c>
      <c r="Q1022" s="1">
        <v>2005.0</v>
      </c>
      <c r="R1022" s="1">
        <v>3000.0</v>
      </c>
      <c r="S1022" s="1">
        <v>949.0</v>
      </c>
      <c r="T1022" s="1">
        <v>586.0</v>
      </c>
      <c r="U1022" s="1">
        <v>6292.0</v>
      </c>
      <c r="V1022" s="1">
        <v>126.0</v>
      </c>
      <c r="W1022" s="1">
        <v>0.0</v>
      </c>
      <c r="X1022" s="1">
        <v>0.0</v>
      </c>
      <c r="Y1022" s="1">
        <v>2.35</v>
      </c>
      <c r="Z1022" s="1">
        <v>5.5</v>
      </c>
    </row>
    <row r="1023" ht="14.25" customHeight="1">
      <c r="A1023" s="1" t="s">
        <v>26</v>
      </c>
      <c r="B1023" s="1" t="s">
        <v>5383</v>
      </c>
      <c r="C1023" s="1" t="s">
        <v>5384</v>
      </c>
      <c r="D1023" s="1">
        <v>6.0962878E7</v>
      </c>
      <c r="E1023" s="1" t="s">
        <v>2061</v>
      </c>
      <c r="F1023" s="1" t="s">
        <v>255</v>
      </c>
      <c r="G1023" s="1" t="s">
        <v>365</v>
      </c>
      <c r="H1023" s="1" t="s">
        <v>4220</v>
      </c>
      <c r="I1023" s="1">
        <v>383591.0</v>
      </c>
      <c r="J1023" s="1" t="s">
        <v>5385</v>
      </c>
      <c r="K1023" s="1" t="s">
        <v>5386</v>
      </c>
      <c r="L1023" s="1">
        <v>620.0</v>
      </c>
      <c r="M1023" s="1" t="s">
        <v>35</v>
      </c>
      <c r="N1023" s="1" t="s">
        <v>36</v>
      </c>
      <c r="O1023" s="1" t="s">
        <v>628</v>
      </c>
      <c r="P1023" s="1">
        <v>4.6E7</v>
      </c>
      <c r="Q1023" s="1">
        <v>2013.0</v>
      </c>
      <c r="R1023" s="1">
        <v>20000.0</v>
      </c>
      <c r="S1023" s="1">
        <v>15000.0</v>
      </c>
      <c r="T1023" s="1">
        <v>1000.0</v>
      </c>
      <c r="U1023" s="1">
        <v>37321.0</v>
      </c>
      <c r="V1023" s="1">
        <v>777.0</v>
      </c>
      <c r="W1023" s="1">
        <v>86000.0</v>
      </c>
      <c r="X1023" s="1">
        <v>2.0</v>
      </c>
      <c r="Y1023" s="1">
        <v>1.85</v>
      </c>
      <c r="Z1023" s="1">
        <v>8.1</v>
      </c>
    </row>
    <row r="1024" ht="14.25" customHeight="1">
      <c r="A1024" s="1" t="s">
        <v>26</v>
      </c>
      <c r="B1024" s="1" t="s">
        <v>2938</v>
      </c>
      <c r="C1024" s="1" t="s">
        <v>5387</v>
      </c>
      <c r="D1024" s="1">
        <v>7.6261036E7</v>
      </c>
      <c r="E1024" s="1" t="s">
        <v>2045</v>
      </c>
      <c r="F1024" s="1" t="s">
        <v>1644</v>
      </c>
      <c r="G1024" s="1" t="s">
        <v>1096</v>
      </c>
      <c r="H1024" s="1" t="s">
        <v>5388</v>
      </c>
      <c r="I1024" s="1">
        <v>305929.0</v>
      </c>
      <c r="J1024" s="1" t="s">
        <v>5389</v>
      </c>
      <c r="K1024" s="1" t="s">
        <v>5390</v>
      </c>
      <c r="L1024" s="1">
        <v>633.0</v>
      </c>
      <c r="M1024" s="1" t="s">
        <v>35</v>
      </c>
      <c r="N1024" s="1" t="s">
        <v>36</v>
      </c>
      <c r="O1024" s="1" t="s">
        <v>628</v>
      </c>
      <c r="P1024" s="1">
        <v>4.5E7</v>
      </c>
      <c r="Q1024" s="1">
        <v>2001.0</v>
      </c>
      <c r="R1024" s="1">
        <v>18000.0</v>
      </c>
      <c r="S1024" s="1">
        <v>881.0</v>
      </c>
      <c r="T1024" s="1">
        <v>854.0</v>
      </c>
      <c r="U1024" s="1">
        <v>22370.0</v>
      </c>
      <c r="V1024" s="1">
        <v>845.0</v>
      </c>
      <c r="W1024" s="1">
        <v>0.0</v>
      </c>
      <c r="X1024" s="1">
        <v>2.0</v>
      </c>
      <c r="Y1024" s="1">
        <v>2.35</v>
      </c>
      <c r="Z1024" s="1">
        <v>7.7</v>
      </c>
    </row>
    <row r="1025" ht="14.25" customHeight="1">
      <c r="A1025" s="1" t="s">
        <v>26</v>
      </c>
      <c r="B1025" s="1" t="s">
        <v>970</v>
      </c>
      <c r="C1025" s="1" t="s">
        <v>5391</v>
      </c>
      <c r="D1025" s="1">
        <v>7.1423726E7</v>
      </c>
      <c r="E1025" s="1" t="s">
        <v>1792</v>
      </c>
      <c r="F1025" s="1" t="s">
        <v>98</v>
      </c>
      <c r="G1025" s="1" t="s">
        <v>5392</v>
      </c>
      <c r="H1025" s="1" t="s">
        <v>5393</v>
      </c>
      <c r="I1025" s="1">
        <v>123558.0</v>
      </c>
      <c r="J1025" s="1" t="s">
        <v>5394</v>
      </c>
      <c r="K1025" s="1" t="s">
        <v>5395</v>
      </c>
      <c r="L1025" s="1">
        <v>609.0</v>
      </c>
      <c r="M1025" s="1" t="s">
        <v>35</v>
      </c>
      <c r="N1025" s="1" t="s">
        <v>36</v>
      </c>
      <c r="O1025" s="1" t="s">
        <v>87</v>
      </c>
      <c r="P1025" s="1">
        <v>4.5E7</v>
      </c>
      <c r="Q1025" s="1">
        <v>1999.0</v>
      </c>
      <c r="R1025" s="1">
        <v>25000.0</v>
      </c>
      <c r="S1025" s="1">
        <v>724.0</v>
      </c>
      <c r="T1025" s="1">
        <v>436.0</v>
      </c>
      <c r="U1025" s="1">
        <v>26998.0</v>
      </c>
      <c r="V1025" s="1">
        <v>23.0</v>
      </c>
      <c r="W1025" s="1">
        <v>19000.0</v>
      </c>
      <c r="X1025" s="1">
        <v>3.0</v>
      </c>
      <c r="Y1025" s="1">
        <v>2.35</v>
      </c>
      <c r="Z1025" s="1">
        <v>7.3</v>
      </c>
    </row>
    <row r="1026" ht="14.25" customHeight="1">
      <c r="A1026" s="1" t="s">
        <v>26</v>
      </c>
      <c r="B1026" s="1" t="s">
        <v>3680</v>
      </c>
      <c r="C1026" s="1" t="s">
        <v>5396</v>
      </c>
      <c r="D1026" s="1">
        <v>7.127742E7</v>
      </c>
      <c r="E1026" s="1" t="s">
        <v>1885</v>
      </c>
      <c r="F1026" s="1" t="s">
        <v>3561</v>
      </c>
      <c r="G1026" s="1" t="s">
        <v>2805</v>
      </c>
      <c r="H1026" s="1" t="s">
        <v>1107</v>
      </c>
      <c r="I1026" s="1">
        <v>119590.0</v>
      </c>
      <c r="J1026" s="1" t="s">
        <v>5397</v>
      </c>
      <c r="K1026" s="1" t="s">
        <v>5398</v>
      </c>
      <c r="L1026" s="1">
        <v>548.0</v>
      </c>
      <c r="M1026" s="1" t="s">
        <v>35</v>
      </c>
      <c r="N1026" s="1" t="s">
        <v>36</v>
      </c>
      <c r="O1026" s="1" t="s">
        <v>628</v>
      </c>
      <c r="P1026" s="1">
        <v>4.5E7</v>
      </c>
      <c r="Q1026" s="1">
        <v>2001.0</v>
      </c>
      <c r="R1026" s="1">
        <v>1000.0</v>
      </c>
      <c r="S1026" s="1">
        <v>422.0</v>
      </c>
      <c r="T1026" s="1">
        <v>179.0</v>
      </c>
      <c r="U1026" s="1">
        <v>1645.0</v>
      </c>
      <c r="V1026" s="1">
        <v>322.0</v>
      </c>
      <c r="W1026" s="1">
        <v>0.0</v>
      </c>
      <c r="X1026" s="1">
        <v>7.0</v>
      </c>
      <c r="Y1026" s="1">
        <v>1.85</v>
      </c>
      <c r="Z1026" s="1">
        <v>5.2</v>
      </c>
    </row>
    <row r="1027" ht="14.25" customHeight="1">
      <c r="A1027" s="1" t="s">
        <v>26</v>
      </c>
      <c r="B1027" s="1" t="s">
        <v>680</v>
      </c>
      <c r="C1027" s="1" t="s">
        <v>5399</v>
      </c>
      <c r="D1027" s="1">
        <v>8.8625922E7</v>
      </c>
      <c r="E1027" s="1" t="s">
        <v>5400</v>
      </c>
      <c r="F1027" s="1" t="s">
        <v>3633</v>
      </c>
      <c r="G1027" s="1" t="s">
        <v>5401</v>
      </c>
      <c r="H1027" s="1" t="s">
        <v>5402</v>
      </c>
      <c r="I1027" s="1">
        <v>75176.0</v>
      </c>
      <c r="J1027" s="1" t="s">
        <v>5403</v>
      </c>
      <c r="K1027" s="1" t="s">
        <v>5404</v>
      </c>
      <c r="L1027" s="1">
        <v>252.0</v>
      </c>
      <c r="M1027" s="1" t="s">
        <v>35</v>
      </c>
      <c r="N1027" s="1" t="s">
        <v>36</v>
      </c>
      <c r="O1027" s="1" t="s">
        <v>87</v>
      </c>
      <c r="P1027" s="1">
        <v>4.5E7</v>
      </c>
      <c r="Q1027" s="1">
        <v>2011.0</v>
      </c>
      <c r="R1027" s="1">
        <v>970.0</v>
      </c>
      <c r="S1027" s="1">
        <v>91.0</v>
      </c>
      <c r="T1027" s="1">
        <v>84.0</v>
      </c>
      <c r="U1027" s="1">
        <v>1336.0</v>
      </c>
      <c r="V1027" s="1">
        <v>33.0</v>
      </c>
      <c r="W1027" s="1">
        <v>26000.0</v>
      </c>
      <c r="X1027" s="1">
        <v>3.0</v>
      </c>
      <c r="Y1027" s="1">
        <v>1.85</v>
      </c>
      <c r="Z1027" s="1">
        <v>7.1</v>
      </c>
    </row>
    <row r="1028" ht="14.25" customHeight="1">
      <c r="A1028" s="1" t="s">
        <v>26</v>
      </c>
      <c r="B1028" s="1" t="s">
        <v>2822</v>
      </c>
      <c r="C1028" s="1" t="s">
        <v>5405</v>
      </c>
      <c r="D1028" s="1">
        <v>7.0001065E7</v>
      </c>
      <c r="E1028" s="1" t="s">
        <v>5406</v>
      </c>
      <c r="F1028" s="1" t="s">
        <v>2147</v>
      </c>
      <c r="G1028" s="1" t="s">
        <v>5407</v>
      </c>
      <c r="H1028" s="1" t="s">
        <v>1740</v>
      </c>
      <c r="I1028" s="1">
        <v>191437.0</v>
      </c>
      <c r="J1028" s="1" t="s">
        <v>5408</v>
      </c>
      <c r="K1028" s="1" t="s">
        <v>5409</v>
      </c>
      <c r="L1028" s="1">
        <v>582.0</v>
      </c>
      <c r="M1028" s="1" t="s">
        <v>35</v>
      </c>
      <c r="N1028" s="1" t="s">
        <v>36</v>
      </c>
      <c r="O1028" s="1" t="s">
        <v>628</v>
      </c>
      <c r="P1028" s="1">
        <v>4.5E7</v>
      </c>
      <c r="Q1028" s="1">
        <v>1998.0</v>
      </c>
      <c r="R1028" s="1">
        <v>886.0</v>
      </c>
      <c r="S1028" s="1">
        <v>650.0</v>
      </c>
      <c r="T1028" s="1">
        <v>595.0</v>
      </c>
      <c r="U1028" s="1">
        <v>3174.0</v>
      </c>
      <c r="V1028" s="1">
        <v>45.0</v>
      </c>
      <c r="W1028" s="1">
        <v>0.0</v>
      </c>
      <c r="X1028" s="1">
        <v>1.0</v>
      </c>
      <c r="Y1028" s="1">
        <v>2.35</v>
      </c>
      <c r="Z1028" s="1">
        <v>7.1</v>
      </c>
    </row>
    <row r="1029" ht="14.25" customHeight="1">
      <c r="A1029" s="1" t="s">
        <v>26</v>
      </c>
      <c r="B1029" s="1" t="s">
        <v>5410</v>
      </c>
      <c r="C1029" s="1" t="s">
        <v>5411</v>
      </c>
      <c r="D1029" s="1">
        <v>6.7253092E7</v>
      </c>
      <c r="E1029" s="1" t="s">
        <v>3598</v>
      </c>
      <c r="F1029" s="1" t="s">
        <v>430</v>
      </c>
      <c r="G1029" s="1" t="s">
        <v>1140</v>
      </c>
      <c r="H1029" s="1" t="s">
        <v>5412</v>
      </c>
      <c r="I1029" s="1">
        <v>92702.0</v>
      </c>
      <c r="J1029" s="1" t="s">
        <v>5413</v>
      </c>
      <c r="K1029" s="1" t="s">
        <v>5414</v>
      </c>
      <c r="L1029" s="1">
        <v>209.0</v>
      </c>
      <c r="M1029" s="1" t="s">
        <v>35</v>
      </c>
      <c r="N1029" s="1" t="s">
        <v>36</v>
      </c>
      <c r="O1029" s="1" t="s">
        <v>37</v>
      </c>
      <c r="P1029" s="1">
        <v>3.0E7</v>
      </c>
      <c r="Q1029" s="1">
        <v>2005.0</v>
      </c>
      <c r="R1029" s="1">
        <v>17000.0</v>
      </c>
      <c r="S1029" s="1">
        <v>807.0</v>
      </c>
      <c r="T1029" s="1">
        <v>730.0</v>
      </c>
      <c r="U1029" s="1">
        <v>20299.0</v>
      </c>
      <c r="V1029" s="1">
        <v>49.0</v>
      </c>
      <c r="W1029" s="1">
        <v>0.0</v>
      </c>
      <c r="X1029" s="1">
        <v>0.0</v>
      </c>
      <c r="Y1029" s="1">
        <v>2.35</v>
      </c>
      <c r="Z1029" s="1">
        <v>7.2</v>
      </c>
    </row>
    <row r="1030" ht="14.25" customHeight="1">
      <c r="A1030" s="1" t="s">
        <v>26</v>
      </c>
      <c r="B1030" s="1" t="s">
        <v>5415</v>
      </c>
      <c r="C1030" s="1" t="s">
        <v>5416</v>
      </c>
      <c r="D1030" s="1">
        <v>6.6790248E7</v>
      </c>
      <c r="E1030" s="1" t="s">
        <v>3868</v>
      </c>
      <c r="F1030" s="1" t="s">
        <v>2128</v>
      </c>
      <c r="G1030" s="1" t="s">
        <v>5417</v>
      </c>
      <c r="H1030" s="1" t="s">
        <v>5418</v>
      </c>
      <c r="I1030" s="1">
        <v>57281.0</v>
      </c>
      <c r="J1030" s="1" t="s">
        <v>5419</v>
      </c>
      <c r="K1030" s="1" t="s">
        <v>5420</v>
      </c>
      <c r="L1030" s="1">
        <v>350.0</v>
      </c>
      <c r="M1030" s="1" t="s">
        <v>35</v>
      </c>
      <c r="N1030" s="1" t="s">
        <v>36</v>
      </c>
      <c r="O1030" s="1" t="s">
        <v>628</v>
      </c>
      <c r="P1030" s="1">
        <v>4.5E7</v>
      </c>
      <c r="Q1030" s="1">
        <v>2002.0</v>
      </c>
      <c r="R1030" s="1">
        <v>521.0</v>
      </c>
      <c r="S1030" s="1">
        <v>108.0</v>
      </c>
      <c r="T1030" s="1">
        <v>67.0</v>
      </c>
      <c r="U1030" s="1">
        <v>758.0</v>
      </c>
      <c r="V1030" s="1">
        <v>50.0</v>
      </c>
      <c r="W1030" s="1">
        <v>0.0</v>
      </c>
      <c r="X1030" s="1">
        <v>0.0</v>
      </c>
      <c r="Y1030" s="1">
        <v>2.35</v>
      </c>
      <c r="Z1030" s="1">
        <v>6.5</v>
      </c>
    </row>
    <row r="1031" ht="14.25" customHeight="1">
      <c r="A1031" s="1" t="s">
        <v>26</v>
      </c>
      <c r="B1031" s="1" t="s">
        <v>5421</v>
      </c>
      <c r="C1031" s="1" t="s">
        <v>5422</v>
      </c>
      <c r="D1031" s="1">
        <v>6.5557989E7</v>
      </c>
      <c r="E1031" s="1" t="s">
        <v>5423</v>
      </c>
      <c r="F1031" s="1" t="s">
        <v>1905</v>
      </c>
      <c r="G1031" s="1" t="s">
        <v>5424</v>
      </c>
      <c r="H1031" s="1" t="s">
        <v>5425</v>
      </c>
      <c r="I1031" s="1">
        <v>73539.0</v>
      </c>
      <c r="J1031" s="1" t="s">
        <v>5426</v>
      </c>
      <c r="K1031" s="1" t="s">
        <v>5427</v>
      </c>
      <c r="L1031" s="1">
        <v>271.0</v>
      </c>
      <c r="M1031" s="1" t="s">
        <v>35</v>
      </c>
      <c r="N1031" s="1" t="s">
        <v>36</v>
      </c>
      <c r="O1031" s="1" t="s">
        <v>37</v>
      </c>
      <c r="P1031" s="1">
        <v>4.5E7</v>
      </c>
      <c r="Q1031" s="1">
        <v>1997.0</v>
      </c>
      <c r="R1031" s="1">
        <v>2000.0</v>
      </c>
      <c r="S1031" s="1">
        <v>902.0</v>
      </c>
      <c r="T1031" s="1">
        <v>514.0</v>
      </c>
      <c r="U1031" s="1">
        <v>3717.0</v>
      </c>
      <c r="V1031" s="1">
        <v>49.0</v>
      </c>
      <c r="W1031" s="1">
        <v>0.0</v>
      </c>
      <c r="X1031" s="1">
        <v>0.0</v>
      </c>
      <c r="Y1031" s="1">
        <v>2.35</v>
      </c>
      <c r="Z1031" s="1">
        <v>4.6</v>
      </c>
    </row>
    <row r="1032" ht="14.25" customHeight="1">
      <c r="A1032" s="1" t="s">
        <v>26</v>
      </c>
      <c r="B1032" s="1" t="s">
        <v>3873</v>
      </c>
      <c r="C1032" s="1" t="s">
        <v>5428</v>
      </c>
      <c r="D1032" s="1">
        <v>6.0786269E7</v>
      </c>
      <c r="E1032" s="1" t="s">
        <v>5429</v>
      </c>
      <c r="F1032" s="1" t="s">
        <v>5291</v>
      </c>
      <c r="G1032" s="1" t="s">
        <v>5430</v>
      </c>
      <c r="H1032" s="1" t="s">
        <v>5431</v>
      </c>
      <c r="I1032" s="1">
        <v>90539.0</v>
      </c>
      <c r="J1032" s="1" t="s">
        <v>5432</v>
      </c>
      <c r="K1032" s="1" t="s">
        <v>5433</v>
      </c>
      <c r="L1032" s="1">
        <v>379.0</v>
      </c>
      <c r="M1032" s="1" t="s">
        <v>35</v>
      </c>
      <c r="N1032" s="1" t="s">
        <v>36</v>
      </c>
      <c r="O1032" s="1" t="s">
        <v>37</v>
      </c>
      <c r="P1032" s="1">
        <v>4.5E7</v>
      </c>
      <c r="Q1032" s="1">
        <v>2000.0</v>
      </c>
      <c r="R1032" s="1">
        <v>811.0</v>
      </c>
      <c r="S1032" s="1">
        <v>625.0</v>
      </c>
      <c r="T1032" s="1">
        <v>560.0</v>
      </c>
      <c r="U1032" s="1">
        <v>3106.0</v>
      </c>
      <c r="V1032" s="1">
        <v>18.0</v>
      </c>
      <c r="W1032" s="1">
        <v>0.0</v>
      </c>
      <c r="X1032" s="1">
        <v>5.0</v>
      </c>
      <c r="Y1032" s="1">
        <v>2.35</v>
      </c>
      <c r="Z1032" s="1">
        <v>5.6</v>
      </c>
    </row>
    <row r="1033" ht="14.25" customHeight="1">
      <c r="A1033" s="1" t="s">
        <v>26</v>
      </c>
      <c r="B1033" s="1" t="s">
        <v>5434</v>
      </c>
      <c r="C1033" s="1" t="s">
        <v>5435</v>
      </c>
      <c r="D1033" s="1">
        <v>5.9365105E7</v>
      </c>
      <c r="E1033" s="1" t="s">
        <v>1359</v>
      </c>
      <c r="F1033" s="1" t="s">
        <v>424</v>
      </c>
      <c r="G1033" s="1" t="s">
        <v>220</v>
      </c>
      <c r="H1033" s="1" t="s">
        <v>5436</v>
      </c>
      <c r="I1033" s="1">
        <v>318634.0</v>
      </c>
      <c r="J1033" s="1" t="s">
        <v>5437</v>
      </c>
      <c r="K1033" s="1" t="s">
        <v>5438</v>
      </c>
      <c r="L1033" s="1">
        <v>1004.0</v>
      </c>
      <c r="M1033" s="1" t="s">
        <v>35</v>
      </c>
      <c r="N1033" s="1" t="s">
        <v>54</v>
      </c>
      <c r="O1033" s="1" t="s">
        <v>628</v>
      </c>
      <c r="P1033" s="1">
        <v>4.5E7</v>
      </c>
      <c r="Q1033" s="1">
        <v>2003.0</v>
      </c>
      <c r="R1033" s="1">
        <v>14000.0</v>
      </c>
      <c r="S1033" s="1">
        <v>14000.0</v>
      </c>
      <c r="T1033" s="1">
        <v>548.0</v>
      </c>
      <c r="U1033" s="1">
        <v>28886.0</v>
      </c>
      <c r="V1033" s="1">
        <v>628.0</v>
      </c>
      <c r="W1033" s="1">
        <v>52000.0</v>
      </c>
      <c r="X1033" s="1">
        <v>9.0</v>
      </c>
      <c r="Y1033" s="1">
        <v>2.35</v>
      </c>
      <c r="Z1033" s="1">
        <v>7.7</v>
      </c>
    </row>
    <row r="1034" ht="14.25" customHeight="1">
      <c r="A1034" s="1" t="s">
        <v>26</v>
      </c>
      <c r="B1034" s="1" t="s">
        <v>298</v>
      </c>
      <c r="C1034" s="1" t="s">
        <v>5439</v>
      </c>
      <c r="D1034" s="1">
        <v>1.62792677E8</v>
      </c>
      <c r="E1034" s="1" t="s">
        <v>263</v>
      </c>
      <c r="F1034" s="1" t="s">
        <v>112</v>
      </c>
      <c r="G1034" s="1" t="s">
        <v>5440</v>
      </c>
      <c r="H1034" s="1" t="s">
        <v>315</v>
      </c>
      <c r="I1034" s="1">
        <v>211226.0</v>
      </c>
      <c r="J1034" s="1" t="s">
        <v>5441</v>
      </c>
      <c r="K1034" s="1" t="s">
        <v>5442</v>
      </c>
      <c r="L1034" s="1">
        <v>317.0</v>
      </c>
      <c r="M1034" s="1" t="s">
        <v>35</v>
      </c>
      <c r="N1034" s="1" t="s">
        <v>36</v>
      </c>
      <c r="O1034" s="1" t="s">
        <v>269</v>
      </c>
      <c r="P1034" s="1">
        <v>1.2E8</v>
      </c>
      <c r="Q1034" s="1">
        <v>1998.0</v>
      </c>
      <c r="R1034" s="1">
        <v>18000.0</v>
      </c>
      <c r="S1034" s="1">
        <v>1000.0</v>
      </c>
      <c r="T1034" s="1">
        <v>1000.0</v>
      </c>
      <c r="U1034" s="1">
        <v>24205.0</v>
      </c>
      <c r="V1034" s="1">
        <v>487.0</v>
      </c>
      <c r="W1034" s="1">
        <v>0.0</v>
      </c>
      <c r="X1034" s="1">
        <v>0.0</v>
      </c>
      <c r="Y1034" s="1">
        <v>2.35</v>
      </c>
      <c r="Z1034" s="1">
        <v>7.2</v>
      </c>
    </row>
    <row r="1035" ht="14.25" customHeight="1">
      <c r="A1035" s="1" t="s">
        <v>26</v>
      </c>
      <c r="B1035" s="1" t="s">
        <v>2534</v>
      </c>
      <c r="C1035" s="1" t="s">
        <v>5443</v>
      </c>
      <c r="D1035" s="1">
        <v>3.1598308E7</v>
      </c>
      <c r="E1035" s="1" t="s">
        <v>2882</v>
      </c>
      <c r="F1035" s="1" t="s">
        <v>41</v>
      </c>
      <c r="G1035" s="1" t="s">
        <v>651</v>
      </c>
      <c r="H1035" s="1" t="s">
        <v>5444</v>
      </c>
      <c r="I1035" s="1">
        <v>124765.0</v>
      </c>
      <c r="J1035" s="1" t="s">
        <v>5445</v>
      </c>
      <c r="K1035" s="1" t="s">
        <v>5446</v>
      </c>
      <c r="L1035" s="1">
        <v>541.0</v>
      </c>
      <c r="M1035" s="1" t="s">
        <v>35</v>
      </c>
      <c r="N1035" s="1" t="s">
        <v>36</v>
      </c>
      <c r="O1035" s="1" t="s">
        <v>628</v>
      </c>
      <c r="P1035" s="1">
        <v>3.5E7</v>
      </c>
      <c r="Q1035" s="1">
        <v>2001.0</v>
      </c>
      <c r="R1035" s="1">
        <v>40000.0</v>
      </c>
      <c r="S1035" s="1">
        <v>1000.0</v>
      </c>
      <c r="T1035" s="1">
        <v>140.0</v>
      </c>
      <c r="U1035" s="1">
        <v>41636.0</v>
      </c>
      <c r="V1035" s="1">
        <v>117.0</v>
      </c>
      <c r="W1035" s="1">
        <v>0.0</v>
      </c>
      <c r="X1035" s="1">
        <v>1.0</v>
      </c>
      <c r="Y1035" s="1">
        <v>2.35</v>
      </c>
      <c r="Z1035" s="1">
        <v>6.8</v>
      </c>
    </row>
    <row r="1036" ht="14.25" customHeight="1">
      <c r="A1036" s="1" t="s">
        <v>26</v>
      </c>
      <c r="B1036" s="1" t="s">
        <v>5421</v>
      </c>
      <c r="C1036" s="1" t="s">
        <v>5447</v>
      </c>
      <c r="D1036" s="1">
        <v>5.7362581E7</v>
      </c>
      <c r="E1036" s="1" t="s">
        <v>5448</v>
      </c>
      <c r="F1036" s="1" t="s">
        <v>1702</v>
      </c>
      <c r="G1036" s="1" t="s">
        <v>5449</v>
      </c>
      <c r="H1036" s="1" t="s">
        <v>5450</v>
      </c>
      <c r="I1036" s="1">
        <v>50148.0</v>
      </c>
      <c r="J1036" s="1" t="s">
        <v>5451</v>
      </c>
      <c r="K1036" s="1" t="s">
        <v>5452</v>
      </c>
      <c r="L1036" s="1">
        <v>116.0</v>
      </c>
      <c r="M1036" s="1" t="s">
        <v>35</v>
      </c>
      <c r="N1036" s="1" t="s">
        <v>5453</v>
      </c>
      <c r="O1036" s="1" t="s">
        <v>628</v>
      </c>
      <c r="P1036" s="1">
        <v>4.5E7</v>
      </c>
      <c r="Q1036" s="1">
        <v>1994.0</v>
      </c>
      <c r="R1036" s="1">
        <v>13000.0</v>
      </c>
      <c r="S1036" s="1">
        <v>279.0</v>
      </c>
      <c r="T1036" s="1">
        <v>20.0</v>
      </c>
      <c r="U1036" s="1">
        <v>13331.0</v>
      </c>
      <c r="V1036" s="1">
        <v>49.0</v>
      </c>
      <c r="W1036" s="1">
        <v>0.0</v>
      </c>
      <c r="X1036" s="1">
        <v>2.0</v>
      </c>
      <c r="Y1036" s="1">
        <v>1.85</v>
      </c>
      <c r="Z1036" s="1">
        <v>5.4</v>
      </c>
    </row>
    <row r="1037" ht="14.25" customHeight="1">
      <c r="A1037" s="1" t="s">
        <v>26</v>
      </c>
      <c r="B1037" s="1" t="s">
        <v>2999</v>
      </c>
      <c r="C1037" s="1" t="s">
        <v>5454</v>
      </c>
      <c r="D1037" s="1">
        <v>5.3854588E7</v>
      </c>
      <c r="E1037" s="1" t="s">
        <v>4241</v>
      </c>
      <c r="F1037" s="1" t="s">
        <v>5455</v>
      </c>
      <c r="G1037" s="1" t="s">
        <v>3134</v>
      </c>
      <c r="H1037" s="1" t="s">
        <v>1023</v>
      </c>
      <c r="I1037" s="1">
        <v>37911.0</v>
      </c>
      <c r="J1037" s="1" t="s">
        <v>5456</v>
      </c>
      <c r="K1037" s="1" t="s">
        <v>5457</v>
      </c>
      <c r="L1037" s="1">
        <v>73.0</v>
      </c>
      <c r="M1037" s="1" t="s">
        <v>35</v>
      </c>
      <c r="N1037" s="1" t="s">
        <v>36</v>
      </c>
      <c r="O1037" s="1" t="s">
        <v>628</v>
      </c>
      <c r="P1037" s="1">
        <v>4.5E7</v>
      </c>
      <c r="Q1037" s="1">
        <v>1996.0</v>
      </c>
      <c r="R1037" s="1">
        <v>982.0</v>
      </c>
      <c r="S1037" s="1">
        <v>843.0</v>
      </c>
      <c r="T1037" s="1">
        <v>808.0</v>
      </c>
      <c r="U1037" s="1">
        <v>3648.0</v>
      </c>
      <c r="V1037" s="1">
        <v>41.0</v>
      </c>
      <c r="W1037" s="1">
        <v>1000.0</v>
      </c>
      <c r="X1037" s="1">
        <v>0.0</v>
      </c>
      <c r="Y1037" s="1">
        <v>2.35</v>
      </c>
      <c r="Z1037" s="1">
        <v>6.3</v>
      </c>
    </row>
    <row r="1038" ht="14.25" customHeight="1">
      <c r="A1038" s="1" t="s">
        <v>26</v>
      </c>
      <c r="B1038" s="1" t="s">
        <v>4345</v>
      </c>
      <c r="C1038" s="1" t="s">
        <v>5458</v>
      </c>
      <c r="D1038" s="1">
        <v>5.2580895E7</v>
      </c>
      <c r="E1038" s="1" t="s">
        <v>5459</v>
      </c>
      <c r="F1038" s="1" t="s">
        <v>663</v>
      </c>
      <c r="G1038" s="1" t="s">
        <v>1197</v>
      </c>
      <c r="H1038" s="1" t="s">
        <v>1606</v>
      </c>
      <c r="I1038" s="1">
        <v>30255.0</v>
      </c>
      <c r="J1038" s="1" t="s">
        <v>5460</v>
      </c>
      <c r="K1038" s="1" t="s">
        <v>5461</v>
      </c>
      <c r="L1038" s="1">
        <v>118.0</v>
      </c>
      <c r="M1038" s="1" t="s">
        <v>35</v>
      </c>
      <c r="N1038" s="1" t="s">
        <v>36</v>
      </c>
      <c r="O1038" s="1" t="s">
        <v>87</v>
      </c>
      <c r="P1038" s="1">
        <v>4.5E7</v>
      </c>
      <c r="Q1038" s="1">
        <v>2005.0</v>
      </c>
      <c r="R1038" s="1">
        <v>14000.0</v>
      </c>
      <c r="S1038" s="1">
        <v>8000.0</v>
      </c>
      <c r="T1038" s="1">
        <v>3000.0</v>
      </c>
      <c r="U1038" s="1">
        <v>27351.0</v>
      </c>
      <c r="V1038" s="1">
        <v>58.0</v>
      </c>
      <c r="W1038" s="1">
        <v>743.0</v>
      </c>
      <c r="X1038" s="1">
        <v>1.0</v>
      </c>
      <c r="Y1038" s="1">
        <v>2.35</v>
      </c>
      <c r="Z1038" s="1">
        <v>5.6</v>
      </c>
    </row>
    <row r="1039" ht="14.25" customHeight="1">
      <c r="A1039" s="1" t="s">
        <v>26</v>
      </c>
      <c r="B1039" s="1" t="s">
        <v>5462</v>
      </c>
      <c r="C1039" s="1" t="s">
        <v>5463</v>
      </c>
      <c r="D1039" s="1">
        <v>5.1019112E7</v>
      </c>
      <c r="E1039" s="1" t="s">
        <v>1792</v>
      </c>
      <c r="F1039" s="1" t="s">
        <v>1868</v>
      </c>
      <c r="G1039" s="1" t="s">
        <v>390</v>
      </c>
      <c r="H1039" s="1" t="s">
        <v>4768</v>
      </c>
      <c r="I1039" s="1">
        <v>155745.0</v>
      </c>
      <c r="J1039" s="1" t="s">
        <v>5464</v>
      </c>
      <c r="K1039" s="1" t="s">
        <v>5465</v>
      </c>
      <c r="L1039" s="1">
        <v>1053.0</v>
      </c>
      <c r="M1039" s="1" t="s">
        <v>35</v>
      </c>
      <c r="N1039" s="1" t="s">
        <v>36</v>
      </c>
      <c r="O1039" s="1" t="s">
        <v>87</v>
      </c>
      <c r="P1039" s="1">
        <v>5.0E7</v>
      </c>
      <c r="Q1039" s="1">
        <v>2005.0</v>
      </c>
      <c r="R1039" s="1">
        <v>11000.0</v>
      </c>
      <c r="S1039" s="1">
        <v>2000.0</v>
      </c>
      <c r="T1039" s="1">
        <v>651.0</v>
      </c>
      <c r="U1039" s="1">
        <v>14073.0</v>
      </c>
      <c r="V1039" s="1">
        <v>37.0</v>
      </c>
      <c r="W1039" s="1">
        <v>10000.0</v>
      </c>
      <c r="X1039" s="1">
        <v>0.0</v>
      </c>
      <c r="Y1039" s="1">
        <v>2.35</v>
      </c>
      <c r="Z1039" s="1">
        <v>6.8</v>
      </c>
    </row>
    <row r="1040" ht="14.25" customHeight="1">
      <c r="A1040" s="1" t="s">
        <v>26</v>
      </c>
      <c r="B1040" s="1" t="s">
        <v>5466</v>
      </c>
      <c r="C1040" s="1" t="s">
        <v>5467</v>
      </c>
      <c r="D1040" s="1">
        <v>4.8114556E7</v>
      </c>
      <c r="E1040" s="1" t="s">
        <v>2504</v>
      </c>
      <c r="F1040" s="1" t="s">
        <v>4944</v>
      </c>
      <c r="G1040" s="1" t="s">
        <v>5468</v>
      </c>
      <c r="H1040" s="1" t="s">
        <v>4671</v>
      </c>
      <c r="I1040" s="1">
        <v>9380.0</v>
      </c>
      <c r="J1040" s="1" t="s">
        <v>5469</v>
      </c>
      <c r="K1040" s="1" t="s">
        <v>5470</v>
      </c>
      <c r="L1040" s="1">
        <v>91.0</v>
      </c>
      <c r="M1040" s="1" t="s">
        <v>35</v>
      </c>
      <c r="N1040" s="1" t="s">
        <v>36</v>
      </c>
      <c r="O1040" s="1" t="s">
        <v>87</v>
      </c>
      <c r="P1040" s="1">
        <v>2.6E7</v>
      </c>
      <c r="Q1040" s="1">
        <v>2004.0</v>
      </c>
      <c r="R1040" s="1">
        <v>1000.0</v>
      </c>
      <c r="S1040" s="1">
        <v>641.0</v>
      </c>
      <c r="T1040" s="1">
        <v>631.0</v>
      </c>
      <c r="U1040" s="1">
        <v>4604.0</v>
      </c>
      <c r="V1040" s="1">
        <v>38.0</v>
      </c>
      <c r="W1040" s="1">
        <v>531.0</v>
      </c>
      <c r="X1040" s="1">
        <v>1.0</v>
      </c>
      <c r="Y1040" s="1">
        <v>2.35</v>
      </c>
      <c r="Z1040" s="1">
        <v>4.3</v>
      </c>
    </row>
    <row r="1041" ht="14.25" customHeight="1">
      <c r="A1041" s="1" t="s">
        <v>26</v>
      </c>
      <c r="B1041" s="1" t="s">
        <v>5471</v>
      </c>
      <c r="C1041" s="1" t="s">
        <v>5472</v>
      </c>
      <c r="D1041" s="1">
        <v>5.0648679E7</v>
      </c>
      <c r="E1041" s="1" t="s">
        <v>2123</v>
      </c>
      <c r="F1041" s="1" t="s">
        <v>1892</v>
      </c>
      <c r="G1041" s="1" t="s">
        <v>4977</v>
      </c>
      <c r="H1041" s="1" t="s">
        <v>5473</v>
      </c>
      <c r="I1041" s="1">
        <v>149549.0</v>
      </c>
      <c r="J1041" s="1" t="s">
        <v>5474</v>
      </c>
      <c r="K1041" s="1" t="s">
        <v>5475</v>
      </c>
      <c r="L1041" s="1">
        <v>348.0</v>
      </c>
      <c r="M1041" s="1" t="s">
        <v>35</v>
      </c>
      <c r="N1041" s="1" t="s">
        <v>1832</v>
      </c>
      <c r="O1041" s="1" t="s">
        <v>628</v>
      </c>
      <c r="P1041" s="1">
        <v>4.5E7</v>
      </c>
      <c r="Q1041" s="1">
        <v>2007.0</v>
      </c>
      <c r="R1041" s="1">
        <v>14000.0</v>
      </c>
      <c r="S1041" s="1">
        <v>706.0</v>
      </c>
      <c r="T1041" s="1">
        <v>443.0</v>
      </c>
      <c r="U1041" s="1">
        <v>16225.0</v>
      </c>
      <c r="V1041" s="1">
        <v>85.0</v>
      </c>
      <c r="W1041" s="1">
        <v>0.0</v>
      </c>
      <c r="X1041" s="1">
        <v>1.0</v>
      </c>
      <c r="Y1041" s="1">
        <v>2.35</v>
      </c>
      <c r="Z1041" s="1">
        <v>6.3</v>
      </c>
    </row>
    <row r="1042" ht="14.25" customHeight="1">
      <c r="A1042" s="1" t="s">
        <v>26</v>
      </c>
      <c r="B1042" s="1" t="s">
        <v>1549</v>
      </c>
      <c r="C1042" s="1" t="s">
        <v>5476</v>
      </c>
      <c r="D1042" s="1">
        <v>4.6280507E7</v>
      </c>
      <c r="E1042" s="1" t="s">
        <v>1598</v>
      </c>
      <c r="F1042" s="1" t="s">
        <v>2084</v>
      </c>
      <c r="G1042" s="1" t="s">
        <v>2095</v>
      </c>
      <c r="H1042" s="1" t="s">
        <v>5477</v>
      </c>
      <c r="I1042" s="1">
        <v>87165.0</v>
      </c>
      <c r="J1042" s="1" t="s">
        <v>5478</v>
      </c>
      <c r="K1042" s="1" t="s">
        <v>5479</v>
      </c>
      <c r="L1042" s="1">
        <v>184.0</v>
      </c>
      <c r="M1042" s="1" t="s">
        <v>35</v>
      </c>
      <c r="N1042" s="1" t="s">
        <v>36</v>
      </c>
      <c r="O1042" s="1" t="s">
        <v>37</v>
      </c>
      <c r="P1042" s="1">
        <v>4.0E7</v>
      </c>
      <c r="Q1042" s="1">
        <v>2014.0</v>
      </c>
      <c r="R1042" s="1">
        <v>35000.0</v>
      </c>
      <c r="S1042" s="1">
        <v>11000.0</v>
      </c>
      <c r="T1042" s="1">
        <v>734.0</v>
      </c>
      <c r="U1042" s="1">
        <v>49743.0</v>
      </c>
      <c r="V1042" s="1">
        <v>153.0</v>
      </c>
      <c r="W1042" s="1">
        <v>12000.0</v>
      </c>
      <c r="X1042" s="1">
        <v>0.0</v>
      </c>
      <c r="Y1042" s="1">
        <v>1.85</v>
      </c>
      <c r="Z1042" s="1">
        <v>6.5</v>
      </c>
    </row>
    <row r="1043" ht="14.25" customHeight="1">
      <c r="A1043" s="1" t="s">
        <v>26</v>
      </c>
      <c r="B1043" s="1" t="s">
        <v>4367</v>
      </c>
      <c r="C1043" s="1" t="s">
        <v>5480</v>
      </c>
      <c r="D1043" s="1">
        <v>3.8360195E7</v>
      </c>
      <c r="E1043" s="1" t="s">
        <v>5085</v>
      </c>
      <c r="F1043" s="1" t="s">
        <v>2040</v>
      </c>
      <c r="G1043" s="1" t="s">
        <v>3793</v>
      </c>
      <c r="H1043" s="1" t="s">
        <v>3758</v>
      </c>
      <c r="I1043" s="1">
        <v>21215.0</v>
      </c>
      <c r="J1043" s="1" t="s">
        <v>5481</v>
      </c>
      <c r="K1043" s="1" t="s">
        <v>5482</v>
      </c>
      <c r="L1043" s="1">
        <v>116.0</v>
      </c>
      <c r="M1043" s="1" t="s">
        <v>35</v>
      </c>
      <c r="N1043" s="1" t="s">
        <v>36</v>
      </c>
      <c r="O1043" s="1" t="s">
        <v>37</v>
      </c>
      <c r="P1043" s="1">
        <v>4.5E7</v>
      </c>
      <c r="Q1043" s="1">
        <v>2006.0</v>
      </c>
      <c r="R1043" s="1">
        <v>1000.0</v>
      </c>
      <c r="S1043" s="1">
        <v>976.0</v>
      </c>
      <c r="T1043" s="1">
        <v>501.0</v>
      </c>
      <c r="U1043" s="1">
        <v>3757.0</v>
      </c>
      <c r="V1043" s="1">
        <v>61.0</v>
      </c>
      <c r="W1043" s="1">
        <v>0.0</v>
      </c>
      <c r="X1043" s="1">
        <v>1.0</v>
      </c>
      <c r="Y1043" s="1">
        <v>2.35</v>
      </c>
      <c r="Z1043" s="1">
        <v>6.4</v>
      </c>
    </row>
    <row r="1044" ht="14.25" customHeight="1">
      <c r="A1044" s="1" t="s">
        <v>26</v>
      </c>
      <c r="B1044" s="1" t="s">
        <v>4643</v>
      </c>
      <c r="C1044" s="1" t="s">
        <v>5483</v>
      </c>
      <c r="D1044" s="1">
        <v>4.6815748E7</v>
      </c>
      <c r="E1044" s="1" t="s">
        <v>3171</v>
      </c>
      <c r="F1044" s="1" t="s">
        <v>2286</v>
      </c>
      <c r="G1044" s="1" t="s">
        <v>272</v>
      </c>
      <c r="H1044" s="1" t="s">
        <v>5484</v>
      </c>
      <c r="I1044" s="1">
        <v>32544.0</v>
      </c>
      <c r="J1044" s="1" t="s">
        <v>5485</v>
      </c>
      <c r="K1044" s="1" t="s">
        <v>5486</v>
      </c>
      <c r="L1044" s="1">
        <v>69.0</v>
      </c>
      <c r="M1044" s="1" t="s">
        <v>35</v>
      </c>
      <c r="N1044" s="1" t="s">
        <v>36</v>
      </c>
      <c r="O1044" s="1" t="s">
        <v>37</v>
      </c>
      <c r="P1044" s="1">
        <v>4.5E7</v>
      </c>
      <c r="Q1044" s="1">
        <v>1994.0</v>
      </c>
      <c r="R1044" s="1">
        <v>11000.0</v>
      </c>
      <c r="S1044" s="1">
        <v>894.0</v>
      </c>
      <c r="T1044" s="1">
        <v>132.0</v>
      </c>
      <c r="U1044" s="1">
        <v>12161.0</v>
      </c>
      <c r="V1044" s="1">
        <v>161.0</v>
      </c>
      <c r="W1044" s="1">
        <v>0.0</v>
      </c>
      <c r="X1044" s="1">
        <v>1.0</v>
      </c>
      <c r="Y1044" s="1">
        <v>2.35</v>
      </c>
      <c r="Z1044" s="1">
        <v>6.3</v>
      </c>
    </row>
    <row r="1045" ht="14.25" customHeight="1">
      <c r="A1045" s="1" t="s">
        <v>26</v>
      </c>
      <c r="B1045" s="1" t="s">
        <v>1872</v>
      </c>
      <c r="C1045" s="1" t="s">
        <v>5487</v>
      </c>
      <c r="D1045" s="1">
        <v>3.5617599E7</v>
      </c>
      <c r="E1045" s="1" t="s">
        <v>5488</v>
      </c>
      <c r="F1045" s="1" t="s">
        <v>776</v>
      </c>
      <c r="G1045" s="1" t="s">
        <v>5489</v>
      </c>
      <c r="H1045" s="1" t="s">
        <v>3688</v>
      </c>
      <c r="I1045" s="1">
        <v>20688.0</v>
      </c>
      <c r="J1045" s="1" t="s">
        <v>5490</v>
      </c>
      <c r="K1045" s="1" t="s">
        <v>5491</v>
      </c>
      <c r="L1045" s="1">
        <v>47.0</v>
      </c>
      <c r="M1045" s="1" t="s">
        <v>35</v>
      </c>
      <c r="N1045" s="1" t="s">
        <v>36</v>
      </c>
      <c r="O1045" s="1" t="s">
        <v>87</v>
      </c>
      <c r="P1045" s="1">
        <v>4.5E7</v>
      </c>
      <c r="Q1045" s="1">
        <v>1995.0</v>
      </c>
      <c r="R1045" s="1">
        <v>1000.0</v>
      </c>
      <c r="S1045" s="1">
        <v>845.0</v>
      </c>
      <c r="T1045" s="1">
        <v>563.0</v>
      </c>
      <c r="U1045" s="1">
        <v>2965.0</v>
      </c>
      <c r="V1045" s="1">
        <v>0.0</v>
      </c>
      <c r="W1045" s="1">
        <v>0.0</v>
      </c>
      <c r="X1045" s="1">
        <v>1.0</v>
      </c>
      <c r="Y1045" s="1">
        <v>1.85</v>
      </c>
      <c r="Z1045" s="1">
        <v>5.9</v>
      </c>
    </row>
    <row r="1046" ht="14.25" customHeight="1">
      <c r="A1046" s="1" t="s">
        <v>710</v>
      </c>
      <c r="B1046" s="1" t="s">
        <v>723</v>
      </c>
      <c r="C1046" s="1" t="s">
        <v>5492</v>
      </c>
      <c r="D1046" s="1">
        <v>4.730755E7</v>
      </c>
      <c r="E1046" s="1" t="s">
        <v>2045</v>
      </c>
      <c r="F1046" s="1" t="s">
        <v>5493</v>
      </c>
      <c r="G1046" s="1" t="s">
        <v>5494</v>
      </c>
      <c r="H1046" s="1" t="s">
        <v>5495</v>
      </c>
      <c r="I1046" s="1">
        <v>104301.0</v>
      </c>
      <c r="J1046" s="1" t="s">
        <v>5496</v>
      </c>
      <c r="K1046" s="1" t="s">
        <v>5497</v>
      </c>
      <c r="L1046" s="1">
        <v>269.0</v>
      </c>
      <c r="M1046" s="1" t="s">
        <v>35</v>
      </c>
      <c r="N1046" s="1" t="s">
        <v>36</v>
      </c>
      <c r="O1046" s="1" t="s">
        <v>628</v>
      </c>
      <c r="P1046" s="1">
        <v>4.5E7</v>
      </c>
      <c r="Q1046" s="1">
        <v>2012.0</v>
      </c>
      <c r="R1046" s="1">
        <v>749.0</v>
      </c>
      <c r="S1046" s="1">
        <v>463.0</v>
      </c>
      <c r="T1046" s="1">
        <v>404.0</v>
      </c>
      <c r="U1046" s="1">
        <v>1948.0</v>
      </c>
      <c r="V1046" s="1">
        <v>0.0</v>
      </c>
      <c r="W1046" s="1">
        <v>28000.0</v>
      </c>
      <c r="X1046" s="1">
        <v>4.0</v>
      </c>
      <c r="Y1046" s="1">
        <v>2.35</v>
      </c>
      <c r="Z1046" s="1">
        <v>6.5</v>
      </c>
    </row>
    <row r="1047" ht="14.25" customHeight="1">
      <c r="A1047" s="1" t="s">
        <v>26</v>
      </c>
      <c r="B1047" s="1" t="s">
        <v>5498</v>
      </c>
      <c r="C1047" s="1" t="s">
        <v>5499</v>
      </c>
      <c r="D1047" s="1">
        <v>3.200362E7</v>
      </c>
      <c r="E1047" s="1" t="s">
        <v>326</v>
      </c>
      <c r="F1047" s="1" t="s">
        <v>974</v>
      </c>
      <c r="G1047" s="1" t="s">
        <v>5500</v>
      </c>
      <c r="H1047" s="1" t="s">
        <v>5501</v>
      </c>
      <c r="I1047" s="1">
        <v>79141.0</v>
      </c>
      <c r="J1047" s="1" t="s">
        <v>5502</v>
      </c>
      <c r="K1047" s="1" t="s">
        <v>5503</v>
      </c>
      <c r="L1047" s="1">
        <v>355.0</v>
      </c>
      <c r="M1047" s="1" t="s">
        <v>35</v>
      </c>
      <c r="N1047" s="1" t="s">
        <v>36</v>
      </c>
      <c r="O1047" s="1" t="s">
        <v>37</v>
      </c>
      <c r="P1047" s="1">
        <v>2.5E7</v>
      </c>
      <c r="Q1047" s="1">
        <v>2004.0</v>
      </c>
      <c r="R1047" s="1">
        <v>550.0</v>
      </c>
      <c r="S1047" s="1">
        <v>216.0</v>
      </c>
      <c r="T1047" s="1">
        <v>167.0</v>
      </c>
      <c r="U1047" s="1">
        <v>1102.0</v>
      </c>
      <c r="V1047" s="1">
        <v>160.0</v>
      </c>
      <c r="W1047" s="1">
        <v>2000.0</v>
      </c>
      <c r="X1047" s="1">
        <v>1.0</v>
      </c>
      <c r="Y1047" s="1">
        <v>2.35</v>
      </c>
      <c r="Z1047" s="1">
        <v>6.5</v>
      </c>
    </row>
    <row r="1048" ht="14.25" customHeight="1">
      <c r="A1048" s="1" t="s">
        <v>26</v>
      </c>
      <c r="B1048" s="1" t="s">
        <v>5504</v>
      </c>
      <c r="C1048" s="1" t="s">
        <v>5505</v>
      </c>
      <c r="D1048" s="1">
        <v>2.797241E7</v>
      </c>
      <c r="E1048" s="1" t="s">
        <v>1551</v>
      </c>
      <c r="F1048" s="1" t="s">
        <v>3416</v>
      </c>
      <c r="G1048" s="1" t="s">
        <v>5506</v>
      </c>
      <c r="H1048" s="1" t="s">
        <v>5507</v>
      </c>
      <c r="I1048" s="1">
        <v>114692.0</v>
      </c>
      <c r="J1048" s="1" t="s">
        <v>5508</v>
      </c>
      <c r="K1048" s="1" t="s">
        <v>5509</v>
      </c>
      <c r="L1048" s="1">
        <v>285.0</v>
      </c>
      <c r="M1048" s="1" t="s">
        <v>35</v>
      </c>
      <c r="N1048" s="1" t="s">
        <v>54</v>
      </c>
      <c r="O1048" s="1" t="s">
        <v>87</v>
      </c>
      <c r="P1048" s="1">
        <v>3.5E7</v>
      </c>
      <c r="Q1048" s="1">
        <v>2003.0</v>
      </c>
      <c r="R1048" s="1">
        <v>427.0</v>
      </c>
      <c r="S1048" s="1">
        <v>304.0</v>
      </c>
      <c r="T1048" s="1">
        <v>252.0</v>
      </c>
      <c r="U1048" s="1">
        <v>1461.0</v>
      </c>
      <c r="V1048" s="1">
        <v>29.0</v>
      </c>
      <c r="W1048" s="1">
        <v>2000.0</v>
      </c>
      <c r="X1048" s="1">
        <v>1.0</v>
      </c>
      <c r="Y1048" s="1">
        <v>1.85</v>
      </c>
      <c r="Z1048" s="1">
        <v>6.1</v>
      </c>
    </row>
    <row r="1049" ht="14.25" customHeight="1">
      <c r="A1049" s="1" t="s">
        <v>26</v>
      </c>
      <c r="B1049" s="1" t="s">
        <v>5510</v>
      </c>
      <c r="C1049" s="1" t="s">
        <v>5511</v>
      </c>
      <c r="D1049" s="1">
        <v>2.8133159E7</v>
      </c>
      <c r="E1049" s="1" t="s">
        <v>263</v>
      </c>
      <c r="F1049" s="1" t="s">
        <v>668</v>
      </c>
      <c r="G1049" s="1" t="s">
        <v>2286</v>
      </c>
      <c r="H1049" s="1" t="s">
        <v>1459</v>
      </c>
      <c r="I1049" s="1">
        <v>30055.0</v>
      </c>
      <c r="J1049" s="1" t="s">
        <v>5512</v>
      </c>
      <c r="K1049" s="1" t="s">
        <v>5513</v>
      </c>
      <c r="L1049" s="1">
        <v>70.0</v>
      </c>
      <c r="M1049" s="1" t="s">
        <v>35</v>
      </c>
      <c r="N1049" s="1" t="s">
        <v>36</v>
      </c>
      <c r="O1049" s="1" t="s">
        <v>87</v>
      </c>
      <c r="P1049" s="1">
        <v>5.0E7</v>
      </c>
      <c r="Q1049" s="1">
        <v>2006.0</v>
      </c>
      <c r="R1049" s="1">
        <v>12000.0</v>
      </c>
      <c r="S1049" s="1">
        <v>11000.0</v>
      </c>
      <c r="T1049" s="1">
        <v>8000.0</v>
      </c>
      <c r="U1049" s="1">
        <v>33822.0</v>
      </c>
      <c r="V1049" s="1">
        <v>8.0</v>
      </c>
      <c r="W1049" s="1">
        <v>593.0</v>
      </c>
      <c r="X1049" s="1">
        <v>1.0</v>
      </c>
      <c r="Y1049" s="1">
        <v>1.85</v>
      </c>
      <c r="Z1049" s="1">
        <v>5.9</v>
      </c>
    </row>
    <row r="1050" ht="14.25" customHeight="1">
      <c r="A1050" s="1" t="s">
        <v>26</v>
      </c>
      <c r="B1050" s="1" t="s">
        <v>5514</v>
      </c>
      <c r="C1050" s="1" t="s">
        <v>5515</v>
      </c>
      <c r="D1050" s="1">
        <v>2.74E7</v>
      </c>
      <c r="E1050" s="1" t="s">
        <v>65</v>
      </c>
      <c r="F1050" s="1" t="s">
        <v>2548</v>
      </c>
      <c r="G1050" s="1" t="s">
        <v>1219</v>
      </c>
      <c r="H1050" s="1" t="s">
        <v>5516</v>
      </c>
      <c r="I1050" s="1">
        <v>97087.0</v>
      </c>
      <c r="J1050" s="1" t="s">
        <v>5517</v>
      </c>
      <c r="K1050" s="1" t="s">
        <v>5518</v>
      </c>
      <c r="L1050" s="1">
        <v>569.0</v>
      </c>
      <c r="M1050" s="1" t="s">
        <v>35</v>
      </c>
      <c r="N1050" s="1" t="s">
        <v>36</v>
      </c>
      <c r="O1050" s="1" t="s">
        <v>37</v>
      </c>
      <c r="P1050" s="1">
        <v>4.0E7</v>
      </c>
      <c r="Q1050" s="1">
        <v>1984.0</v>
      </c>
      <c r="R1050" s="1">
        <v>913.0</v>
      </c>
      <c r="S1050" s="1">
        <v>362.0</v>
      </c>
      <c r="T1050" s="1">
        <v>202.0</v>
      </c>
      <c r="U1050" s="1">
        <v>2449.0</v>
      </c>
      <c r="V1050" s="1">
        <v>0.0</v>
      </c>
      <c r="W1050" s="1">
        <v>11000.0</v>
      </c>
      <c r="X1050" s="1">
        <v>3.0</v>
      </c>
      <c r="Y1050" s="1">
        <v>2.35</v>
      </c>
      <c r="Z1050" s="1">
        <v>6.6</v>
      </c>
    </row>
    <row r="1051" ht="14.25" customHeight="1">
      <c r="A1051" s="1" t="s">
        <v>26</v>
      </c>
      <c r="B1051" s="1" t="s">
        <v>5519</v>
      </c>
      <c r="C1051" s="1" t="s">
        <v>5520</v>
      </c>
      <c r="D1051" s="1">
        <v>2.4343673E7</v>
      </c>
      <c r="E1051" s="1" t="s">
        <v>5521</v>
      </c>
      <c r="F1051" s="1" t="s">
        <v>1767</v>
      </c>
      <c r="G1051" s="1" t="s">
        <v>5522</v>
      </c>
      <c r="H1051" s="1" t="s">
        <v>5523</v>
      </c>
      <c r="I1051" s="1">
        <v>91860.0</v>
      </c>
      <c r="J1051" s="1" t="s">
        <v>5524</v>
      </c>
      <c r="K1051" s="1" t="s">
        <v>5525</v>
      </c>
      <c r="L1051" s="1">
        <v>524.0</v>
      </c>
      <c r="M1051" s="1" t="s">
        <v>35</v>
      </c>
      <c r="N1051" s="1" t="s">
        <v>36</v>
      </c>
      <c r="O1051" s="1" t="s">
        <v>37</v>
      </c>
      <c r="P1051" s="1">
        <v>4.5E7</v>
      </c>
      <c r="Q1051" s="1">
        <v>2007.0</v>
      </c>
      <c r="R1051" s="1">
        <v>5000.0</v>
      </c>
      <c r="S1051" s="1">
        <v>117.0</v>
      </c>
      <c r="T1051" s="1">
        <v>107.0</v>
      </c>
      <c r="U1051" s="1">
        <v>5405.0</v>
      </c>
      <c r="V1051" s="1">
        <v>278.0</v>
      </c>
      <c r="W1051" s="1">
        <v>14000.0</v>
      </c>
      <c r="X1051" s="1">
        <v>0.0</v>
      </c>
      <c r="Y1051" s="1">
        <v>2.35</v>
      </c>
      <c r="Z1051" s="1">
        <v>7.4</v>
      </c>
    </row>
    <row r="1052" ht="14.25" customHeight="1">
      <c r="A1052" s="1" t="s">
        <v>26</v>
      </c>
      <c r="B1052" s="1" t="s">
        <v>46</v>
      </c>
      <c r="C1052" s="1" t="s">
        <v>5526</v>
      </c>
      <c r="D1052" s="1">
        <v>2.2877808E7</v>
      </c>
      <c r="E1052" s="1" t="s">
        <v>206</v>
      </c>
      <c r="F1052" s="1" t="s">
        <v>207</v>
      </c>
      <c r="G1052" s="1" t="s">
        <v>208</v>
      </c>
      <c r="H1052" s="1" t="s">
        <v>5527</v>
      </c>
      <c r="I1052" s="1">
        <v>152591.0</v>
      </c>
      <c r="J1052" s="1" t="s">
        <v>5528</v>
      </c>
      <c r="K1052" s="1" t="s">
        <v>5529</v>
      </c>
      <c r="L1052" s="1">
        <v>414.0</v>
      </c>
      <c r="M1052" s="1" t="s">
        <v>35</v>
      </c>
      <c r="N1052" s="1" t="s">
        <v>36</v>
      </c>
      <c r="O1052" s="1" t="s">
        <v>628</v>
      </c>
      <c r="P1052" s="1">
        <v>3.5E7</v>
      </c>
      <c r="Q1052" s="1">
        <v>2008.0</v>
      </c>
      <c r="R1052" s="1">
        <v>29000.0</v>
      </c>
      <c r="S1052" s="1">
        <v>14000.0</v>
      </c>
      <c r="T1052" s="1">
        <v>10000.0</v>
      </c>
      <c r="U1052" s="1">
        <v>53895.0</v>
      </c>
      <c r="V1052" s="1">
        <v>0.0</v>
      </c>
      <c r="W1052" s="1">
        <v>0.0</v>
      </c>
      <c r="X1052" s="1">
        <v>0.0</v>
      </c>
      <c r="Y1052" s="1">
        <v>2.35</v>
      </c>
      <c r="Z1052" s="1">
        <v>7.3</v>
      </c>
    </row>
    <row r="1053" ht="14.25" customHeight="1">
      <c r="A1053" s="1" t="s">
        <v>26</v>
      </c>
      <c r="B1053" s="1" t="s">
        <v>1021</v>
      </c>
      <c r="C1053" s="1" t="s">
        <v>5530</v>
      </c>
      <c r="D1053" s="1">
        <v>3.6883539E7</v>
      </c>
      <c r="E1053" s="1" t="s">
        <v>449</v>
      </c>
      <c r="F1053" s="1" t="s">
        <v>941</v>
      </c>
      <c r="G1053" s="1" t="s">
        <v>3545</v>
      </c>
      <c r="H1053" s="1" t="s">
        <v>2759</v>
      </c>
      <c r="I1053" s="1">
        <v>112769.0</v>
      </c>
      <c r="J1053" s="1" t="s">
        <v>5531</v>
      </c>
      <c r="K1053" s="1" t="s">
        <v>5532</v>
      </c>
      <c r="L1053" s="1">
        <v>305.0</v>
      </c>
      <c r="M1053" s="1" t="s">
        <v>35</v>
      </c>
      <c r="N1053" s="1" t="s">
        <v>730</v>
      </c>
      <c r="O1053" s="1" t="s">
        <v>37</v>
      </c>
      <c r="P1053" s="1">
        <v>5.2E7</v>
      </c>
      <c r="Q1053" s="1">
        <v>2006.0</v>
      </c>
      <c r="R1053" s="1">
        <v>13000.0</v>
      </c>
      <c r="S1053" s="1">
        <v>929.0</v>
      </c>
      <c r="T1053" s="1">
        <v>795.0</v>
      </c>
      <c r="U1053" s="1">
        <v>15053.0</v>
      </c>
      <c r="V1053" s="1">
        <v>503.0</v>
      </c>
      <c r="W1053" s="1">
        <v>0.0</v>
      </c>
      <c r="X1053" s="1">
        <v>2.0</v>
      </c>
      <c r="Y1053" s="1">
        <v>2.35</v>
      </c>
      <c r="Z1053" s="1">
        <v>6.6</v>
      </c>
    </row>
    <row r="1054" ht="14.25" customHeight="1">
      <c r="A1054" s="1" t="s">
        <v>26</v>
      </c>
      <c r="B1054" s="1" t="s">
        <v>5533</v>
      </c>
      <c r="C1054" s="1" t="s">
        <v>5534</v>
      </c>
      <c r="D1054" s="1">
        <v>2.2531698E7</v>
      </c>
      <c r="E1054" s="1" t="s">
        <v>219</v>
      </c>
      <c r="F1054" s="1" t="s">
        <v>329</v>
      </c>
      <c r="G1054" s="1" t="s">
        <v>3340</v>
      </c>
      <c r="H1054" s="1" t="s">
        <v>5535</v>
      </c>
      <c r="I1054" s="1">
        <v>81523.0</v>
      </c>
      <c r="J1054" s="1" t="s">
        <v>5536</v>
      </c>
      <c r="K1054" s="1" t="s">
        <v>5537</v>
      </c>
      <c r="L1054" s="1">
        <v>214.0</v>
      </c>
      <c r="M1054" s="1" t="s">
        <v>35</v>
      </c>
      <c r="N1054" s="1" t="s">
        <v>1832</v>
      </c>
      <c r="O1054" s="1" t="s">
        <v>37</v>
      </c>
      <c r="P1054" s="1">
        <v>7.0E7</v>
      </c>
      <c r="Q1054" s="1">
        <v>2008.0</v>
      </c>
      <c r="R1054" s="1">
        <v>14000.0</v>
      </c>
      <c r="S1054" s="1">
        <v>844.0</v>
      </c>
      <c r="T1054" s="1">
        <v>510.0</v>
      </c>
      <c r="U1054" s="1">
        <v>15990.0</v>
      </c>
      <c r="V1054" s="1">
        <v>326.0</v>
      </c>
      <c r="W1054" s="1">
        <v>0.0</v>
      </c>
      <c r="X1054" s="1">
        <v>0.0</v>
      </c>
      <c r="Y1054" s="1">
        <v>2.35</v>
      </c>
      <c r="Z1054" s="1">
        <v>5.6</v>
      </c>
    </row>
    <row r="1055" ht="14.25" customHeight="1">
      <c r="A1055" s="1" t="s">
        <v>26</v>
      </c>
      <c r="B1055" s="1" t="s">
        <v>5538</v>
      </c>
      <c r="C1055" s="1" t="s">
        <v>5539</v>
      </c>
      <c r="D1055" s="1">
        <v>2.0400913E7</v>
      </c>
      <c r="E1055" s="1" t="s">
        <v>3376</v>
      </c>
      <c r="F1055" s="1" t="s">
        <v>5540</v>
      </c>
      <c r="G1055" s="1" t="s">
        <v>1292</v>
      </c>
      <c r="H1055" s="1" t="s">
        <v>3680</v>
      </c>
      <c r="I1055" s="1">
        <v>15455.0</v>
      </c>
      <c r="J1055" s="1" t="s">
        <v>5541</v>
      </c>
      <c r="K1055" s="1" t="s">
        <v>5542</v>
      </c>
      <c r="L1055" s="1">
        <v>80.0</v>
      </c>
      <c r="M1055" s="1" t="s">
        <v>35</v>
      </c>
      <c r="N1055" s="1" t="s">
        <v>36</v>
      </c>
      <c r="O1055" s="1" t="s">
        <v>628</v>
      </c>
      <c r="P1055" s="1">
        <v>4.5E7</v>
      </c>
      <c r="Q1055" s="1">
        <v>1996.0</v>
      </c>
      <c r="R1055" s="1">
        <v>2000.0</v>
      </c>
      <c r="S1055" s="1">
        <v>461.0</v>
      </c>
      <c r="T1055" s="1">
        <v>322.0</v>
      </c>
      <c r="U1055" s="1">
        <v>3855.0</v>
      </c>
      <c r="V1055" s="1">
        <v>29.0</v>
      </c>
      <c r="W1055" s="1">
        <v>451.0</v>
      </c>
      <c r="X1055" s="1">
        <v>1.0</v>
      </c>
      <c r="Y1055" s="1">
        <v>1.85</v>
      </c>
      <c r="Z1055" s="1">
        <v>5.3</v>
      </c>
    </row>
    <row r="1056" ht="14.25" customHeight="1">
      <c r="A1056" s="1" t="s">
        <v>26</v>
      </c>
      <c r="B1056" s="1" t="s">
        <v>4006</v>
      </c>
      <c r="C1056" s="1" t="s">
        <v>5543</v>
      </c>
      <c r="D1056" s="1">
        <v>2.0101861E7</v>
      </c>
      <c r="E1056" s="1" t="s">
        <v>2370</v>
      </c>
      <c r="F1056" s="1" t="s">
        <v>5544</v>
      </c>
      <c r="G1056" s="1" t="s">
        <v>5252</v>
      </c>
      <c r="H1056" s="1" t="s">
        <v>5545</v>
      </c>
      <c r="I1056" s="1">
        <v>24757.0</v>
      </c>
      <c r="J1056" s="1" t="s">
        <v>5546</v>
      </c>
      <c r="K1056" s="1" t="s">
        <v>5547</v>
      </c>
      <c r="L1056" s="1">
        <v>81.0</v>
      </c>
      <c r="M1056" s="1" t="s">
        <v>35</v>
      </c>
      <c r="N1056" s="1" t="s">
        <v>36</v>
      </c>
      <c r="O1056" s="1" t="s">
        <v>37</v>
      </c>
      <c r="P1056" s="1">
        <v>4.5E7</v>
      </c>
      <c r="Q1056" s="1">
        <v>1996.0</v>
      </c>
      <c r="R1056" s="1">
        <v>905.0</v>
      </c>
      <c r="S1056" s="1">
        <v>484.0</v>
      </c>
      <c r="T1056" s="1">
        <v>451.0</v>
      </c>
      <c r="U1056" s="1">
        <v>2348.0</v>
      </c>
      <c r="V1056" s="1">
        <v>11000.0</v>
      </c>
      <c r="W1056" s="1">
        <v>0.0</v>
      </c>
      <c r="X1056" s="1">
        <v>0.0</v>
      </c>
      <c r="Y1056" s="1">
        <v>2.35</v>
      </c>
      <c r="Z1056" s="1">
        <v>6.0</v>
      </c>
    </row>
    <row r="1057" ht="14.25" customHeight="1">
      <c r="A1057" s="1" t="s">
        <v>26</v>
      </c>
      <c r="B1057" s="1" t="s">
        <v>5548</v>
      </c>
      <c r="C1057" s="1" t="s">
        <v>5549</v>
      </c>
      <c r="D1057" s="1">
        <v>2.5200412E7</v>
      </c>
      <c r="E1057" s="1" t="s">
        <v>5550</v>
      </c>
      <c r="F1057" s="1" t="s">
        <v>5551</v>
      </c>
      <c r="G1057" s="1" t="s">
        <v>5552</v>
      </c>
      <c r="H1057" s="1" t="s">
        <v>2790</v>
      </c>
      <c r="I1057" s="1">
        <v>16580.0</v>
      </c>
      <c r="J1057" s="1" t="s">
        <v>5553</v>
      </c>
      <c r="K1057" s="1" t="s">
        <v>5554</v>
      </c>
      <c r="L1057" s="1">
        <v>55.0</v>
      </c>
      <c r="M1057" s="1" t="s">
        <v>35</v>
      </c>
      <c r="N1057" s="1" t="s">
        <v>36</v>
      </c>
      <c r="O1057" s="1" t="s">
        <v>87</v>
      </c>
      <c r="P1057" s="1">
        <v>4.5E7</v>
      </c>
      <c r="Q1057" s="1">
        <v>2009.0</v>
      </c>
      <c r="R1057" s="1">
        <v>1000.0</v>
      </c>
      <c r="S1057" s="1">
        <v>701.0</v>
      </c>
      <c r="T1057" s="1">
        <v>553.0</v>
      </c>
      <c r="U1057" s="1">
        <v>3423.0</v>
      </c>
      <c r="V1057" s="1">
        <v>13.0</v>
      </c>
      <c r="W1057" s="1">
        <v>916.0</v>
      </c>
      <c r="X1057" s="1">
        <v>3.0</v>
      </c>
      <c r="Y1057" s="1">
        <v>1.85</v>
      </c>
      <c r="Z1057" s="1">
        <v>5.4</v>
      </c>
    </row>
    <row r="1058" ht="14.25" customHeight="1">
      <c r="A1058" s="1" t="s">
        <v>26</v>
      </c>
      <c r="B1058" s="1" t="s">
        <v>5555</v>
      </c>
      <c r="C1058" s="1" t="s">
        <v>5556</v>
      </c>
      <c r="D1058" s="1">
        <v>1.971993E7</v>
      </c>
      <c r="E1058" s="1" t="s">
        <v>2061</v>
      </c>
      <c r="F1058" s="1" t="s">
        <v>5557</v>
      </c>
      <c r="G1058" s="1" t="s">
        <v>5558</v>
      </c>
      <c r="H1058" s="1" t="s">
        <v>5559</v>
      </c>
      <c r="I1058" s="1">
        <v>42621.0</v>
      </c>
      <c r="J1058" s="1" t="s">
        <v>5560</v>
      </c>
      <c r="K1058" s="1" t="s">
        <v>5561</v>
      </c>
      <c r="L1058" s="1">
        <v>531.0</v>
      </c>
      <c r="M1058" s="1" t="s">
        <v>35</v>
      </c>
      <c r="N1058" s="1" t="s">
        <v>36</v>
      </c>
      <c r="O1058" s="1" t="s">
        <v>628</v>
      </c>
      <c r="P1058" s="1">
        <v>4.5E7</v>
      </c>
      <c r="Q1058" s="1">
        <v>2001.0</v>
      </c>
      <c r="R1058" s="1">
        <v>723.0</v>
      </c>
      <c r="S1058" s="1">
        <v>44.0</v>
      </c>
      <c r="T1058" s="1">
        <v>19.0</v>
      </c>
      <c r="U1058" s="1">
        <v>793.0</v>
      </c>
      <c r="V1058" s="1">
        <v>0.0</v>
      </c>
      <c r="W1058" s="1">
        <v>0.0</v>
      </c>
      <c r="X1058" s="1">
        <v>0.0</v>
      </c>
      <c r="Y1058" s="1">
        <v>2.35</v>
      </c>
      <c r="Z1058" s="1">
        <v>6.8</v>
      </c>
    </row>
    <row r="1059" ht="14.25" customHeight="1">
      <c r="A1059" s="1" t="s">
        <v>26</v>
      </c>
      <c r="B1059" s="1" t="s">
        <v>5562</v>
      </c>
      <c r="C1059" s="1" t="s">
        <v>5563</v>
      </c>
      <c r="D1059" s="1">
        <v>1.9377727E7</v>
      </c>
      <c r="E1059" s="1" t="s">
        <v>5564</v>
      </c>
      <c r="F1059" s="1" t="s">
        <v>1875</v>
      </c>
      <c r="G1059" s="1" t="s">
        <v>1197</v>
      </c>
      <c r="H1059" s="1" t="s">
        <v>865</v>
      </c>
      <c r="I1059" s="1">
        <v>35140.0</v>
      </c>
      <c r="J1059" s="1" t="s">
        <v>5565</v>
      </c>
      <c r="K1059" s="1" t="s">
        <v>5566</v>
      </c>
      <c r="L1059" s="1">
        <v>409.0</v>
      </c>
      <c r="M1059" s="1" t="s">
        <v>35</v>
      </c>
      <c r="N1059" s="1" t="s">
        <v>36</v>
      </c>
      <c r="O1059" s="1" t="s">
        <v>37</v>
      </c>
      <c r="P1059" s="1">
        <v>4.5E7</v>
      </c>
      <c r="Q1059" s="1">
        <v>2005.0</v>
      </c>
      <c r="R1059" s="1">
        <v>11000.0</v>
      </c>
      <c r="S1059" s="1">
        <v>8000.0</v>
      </c>
      <c r="T1059" s="1">
        <v>2000.0</v>
      </c>
      <c r="U1059" s="1">
        <v>24351.0</v>
      </c>
      <c r="V1059" s="1">
        <v>38.0</v>
      </c>
      <c r="W1059" s="1">
        <v>0.0</v>
      </c>
      <c r="X1059" s="1">
        <v>3.0</v>
      </c>
      <c r="Y1059" s="1">
        <v>2.35</v>
      </c>
      <c r="Z1059" s="1">
        <v>6.4</v>
      </c>
    </row>
    <row r="1060" ht="14.25" customHeight="1">
      <c r="A1060" s="1" t="s">
        <v>26</v>
      </c>
      <c r="B1060" s="1" t="s">
        <v>2383</v>
      </c>
      <c r="C1060" s="1" t="s">
        <v>2384</v>
      </c>
      <c r="D1060" s="1">
        <v>1.3401683E7</v>
      </c>
      <c r="E1060" s="1" t="s">
        <v>623</v>
      </c>
      <c r="F1060" s="1" t="s">
        <v>2385</v>
      </c>
      <c r="G1060" s="1" t="s">
        <v>2386</v>
      </c>
      <c r="H1060" s="1" t="s">
        <v>2387</v>
      </c>
      <c r="I1060" s="1">
        <v>203461.0</v>
      </c>
      <c r="J1060" s="1" t="s">
        <v>2388</v>
      </c>
      <c r="K1060" s="1" t="s">
        <v>2389</v>
      </c>
      <c r="L1060" s="1">
        <v>588.0</v>
      </c>
      <c r="M1060" s="1" t="s">
        <v>35</v>
      </c>
      <c r="N1060" s="1" t="s">
        <v>54</v>
      </c>
      <c r="O1060" s="1" t="s">
        <v>628</v>
      </c>
      <c r="P1060" s="1">
        <v>3.5E7</v>
      </c>
      <c r="Q1060" s="1">
        <v>2012.0</v>
      </c>
      <c r="R1060" s="1">
        <v>409.0</v>
      </c>
      <c r="S1060" s="1">
        <v>107.0</v>
      </c>
      <c r="T1060" s="1">
        <v>20.0</v>
      </c>
      <c r="U1060" s="1">
        <v>578.0</v>
      </c>
      <c r="V1060" s="1">
        <v>38.0</v>
      </c>
      <c r="W1060" s="1">
        <v>46000.0</v>
      </c>
      <c r="X1060" s="1">
        <v>0.0</v>
      </c>
      <c r="Y1060" s="1">
        <v>2.35</v>
      </c>
      <c r="Z1060" s="1">
        <v>7.1</v>
      </c>
    </row>
    <row r="1061" ht="14.25" customHeight="1">
      <c r="A1061" s="1" t="s">
        <v>26</v>
      </c>
      <c r="B1061" s="1" t="s">
        <v>5567</v>
      </c>
      <c r="C1061" s="1" t="s">
        <v>5568</v>
      </c>
      <c r="D1061" s="1">
        <v>1.7300889E7</v>
      </c>
      <c r="E1061" s="1" t="s">
        <v>2316</v>
      </c>
      <c r="F1061" s="1" t="s">
        <v>564</v>
      </c>
      <c r="G1061" s="1" t="s">
        <v>3994</v>
      </c>
      <c r="H1061" s="1" t="s">
        <v>5569</v>
      </c>
      <c r="I1061" s="1">
        <v>27648.0</v>
      </c>
      <c r="J1061" s="1" t="s">
        <v>5570</v>
      </c>
      <c r="K1061" s="1" t="s">
        <v>5571</v>
      </c>
      <c r="L1061" s="1">
        <v>148.0</v>
      </c>
      <c r="M1061" s="1" t="s">
        <v>35</v>
      </c>
      <c r="N1061" s="1" t="s">
        <v>362</v>
      </c>
      <c r="O1061" s="1" t="s">
        <v>87</v>
      </c>
      <c r="P1061" s="1">
        <v>4.5E7</v>
      </c>
      <c r="Q1061" s="1">
        <v>1996.0</v>
      </c>
      <c r="R1061" s="1">
        <v>1000.0</v>
      </c>
      <c r="S1061" s="1">
        <v>642.0</v>
      </c>
      <c r="T1061" s="1">
        <v>579.0</v>
      </c>
      <c r="U1061" s="1">
        <v>3855.0</v>
      </c>
      <c r="V1061" s="1">
        <v>23.0</v>
      </c>
      <c r="W1061" s="1">
        <v>0.0</v>
      </c>
      <c r="X1061" s="1">
        <v>0.0</v>
      </c>
      <c r="Y1061" s="1">
        <v>2.35</v>
      </c>
      <c r="Z1061" s="1">
        <v>4.9</v>
      </c>
    </row>
    <row r="1062" ht="14.25" customHeight="1">
      <c r="A1062" s="1" t="s">
        <v>26</v>
      </c>
      <c r="B1062" s="1" t="s">
        <v>5572</v>
      </c>
      <c r="C1062" s="1" t="s">
        <v>5573</v>
      </c>
      <c r="D1062" s="1">
        <v>1.5527125E7</v>
      </c>
      <c r="E1062" s="1" t="s">
        <v>3836</v>
      </c>
      <c r="F1062" s="1" t="s">
        <v>1113</v>
      </c>
      <c r="G1062" s="1" t="s">
        <v>5574</v>
      </c>
      <c r="H1062" s="1" t="s">
        <v>1009</v>
      </c>
      <c r="I1062" s="1">
        <v>11388.0</v>
      </c>
      <c r="J1062" s="1" t="s">
        <v>5575</v>
      </c>
      <c r="K1062" s="1" t="s">
        <v>5576</v>
      </c>
      <c r="L1062" s="1">
        <v>183.0</v>
      </c>
      <c r="M1062" s="1" t="s">
        <v>35</v>
      </c>
      <c r="N1062" s="1" t="s">
        <v>36</v>
      </c>
      <c r="O1062" s="1" t="s">
        <v>37</v>
      </c>
      <c r="P1062" s="1">
        <v>5.7E7</v>
      </c>
      <c r="Q1062" s="1">
        <v>2000.0</v>
      </c>
      <c r="R1062" s="1">
        <v>13000.0</v>
      </c>
      <c r="S1062" s="1">
        <v>861.0</v>
      </c>
      <c r="T1062" s="1">
        <v>820.0</v>
      </c>
      <c r="U1062" s="1">
        <v>15006.0</v>
      </c>
      <c r="V1062" s="1">
        <v>0.0</v>
      </c>
      <c r="W1062" s="1">
        <v>652.0</v>
      </c>
      <c r="X1062" s="1">
        <v>2.0</v>
      </c>
      <c r="Y1062" s="1">
        <v>2.35</v>
      </c>
      <c r="Z1062" s="1">
        <v>5.8</v>
      </c>
    </row>
    <row r="1063" ht="14.25" customHeight="1">
      <c r="A1063" s="1" t="s">
        <v>710</v>
      </c>
      <c r="B1063" s="1" t="s">
        <v>723</v>
      </c>
      <c r="C1063" s="1" t="s">
        <v>5577</v>
      </c>
      <c r="D1063" s="1">
        <v>1.356096E7</v>
      </c>
      <c r="E1063" s="1" t="s">
        <v>5578</v>
      </c>
      <c r="F1063" s="1" t="s">
        <v>726</v>
      </c>
      <c r="G1063" s="1" t="s">
        <v>2307</v>
      </c>
      <c r="H1063" s="1" t="s">
        <v>2234</v>
      </c>
      <c r="I1063" s="1">
        <v>23996.0</v>
      </c>
      <c r="J1063" s="1" t="s">
        <v>5579</v>
      </c>
      <c r="K1063" s="1" t="s">
        <v>5580</v>
      </c>
      <c r="L1063" s="1">
        <v>161.0</v>
      </c>
      <c r="M1063" s="1" t="s">
        <v>35</v>
      </c>
      <c r="N1063" s="1" t="s">
        <v>36</v>
      </c>
      <c r="O1063" s="1" t="s">
        <v>628</v>
      </c>
      <c r="P1063" s="1">
        <v>5.0E7</v>
      </c>
      <c r="Q1063" s="1">
        <v>1995.0</v>
      </c>
      <c r="R1063" s="1">
        <v>12000.0</v>
      </c>
      <c r="S1063" s="1">
        <v>5000.0</v>
      </c>
      <c r="T1063" s="1">
        <v>805.0</v>
      </c>
      <c r="U1063" s="1">
        <v>21130.0</v>
      </c>
      <c r="V1063" s="1">
        <v>0.0</v>
      </c>
      <c r="W1063" s="1">
        <v>915.0</v>
      </c>
      <c r="X1063" s="1">
        <v>0.0</v>
      </c>
      <c r="Y1063" s="1">
        <v>2.35</v>
      </c>
      <c r="Z1063" s="1">
        <v>7.1</v>
      </c>
    </row>
    <row r="1064" ht="14.25" customHeight="1">
      <c r="A1064" s="1" t="s">
        <v>26</v>
      </c>
      <c r="B1064" s="1" t="s">
        <v>3617</v>
      </c>
      <c r="C1064" s="1" t="s">
        <v>5581</v>
      </c>
      <c r="D1064" s="1">
        <v>1.5523168E7</v>
      </c>
      <c r="E1064" s="1" t="s">
        <v>815</v>
      </c>
      <c r="F1064" s="1" t="s">
        <v>3902</v>
      </c>
      <c r="G1064" s="1" t="s">
        <v>1938</v>
      </c>
      <c r="H1064" s="1" t="s">
        <v>3758</v>
      </c>
      <c r="I1064" s="1">
        <v>132423.0</v>
      </c>
      <c r="J1064" s="1" t="s">
        <v>5582</v>
      </c>
      <c r="K1064" s="1" t="s">
        <v>5583</v>
      </c>
      <c r="L1064" s="1">
        <v>349.0</v>
      </c>
      <c r="M1064" s="1" t="s">
        <v>35</v>
      </c>
      <c r="N1064" s="1" t="s">
        <v>1832</v>
      </c>
      <c r="O1064" s="1" t="s">
        <v>37</v>
      </c>
      <c r="P1064" s="1">
        <v>4.5E7</v>
      </c>
      <c r="Q1064" s="1">
        <v>2010.0</v>
      </c>
      <c r="R1064" s="1">
        <v>854.0</v>
      </c>
      <c r="S1064" s="1">
        <v>766.0</v>
      </c>
      <c r="T1064" s="1">
        <v>501.0</v>
      </c>
      <c r="U1064" s="1">
        <v>2507.0</v>
      </c>
      <c r="V1064" s="1">
        <v>2000.0</v>
      </c>
      <c r="W1064" s="1">
        <v>15000.0</v>
      </c>
      <c r="X1064" s="1">
        <v>2.0</v>
      </c>
      <c r="Y1064" s="1">
        <v>2.35</v>
      </c>
      <c r="Z1064" s="1">
        <v>7.2</v>
      </c>
    </row>
    <row r="1065" ht="14.25" customHeight="1">
      <c r="A1065" s="1" t="s">
        <v>26</v>
      </c>
      <c r="B1065" s="1" t="s">
        <v>520</v>
      </c>
      <c r="C1065" s="1" t="s">
        <v>5584</v>
      </c>
      <c r="D1065" s="1">
        <v>1.1146409E7</v>
      </c>
      <c r="E1065" s="1" t="s">
        <v>3274</v>
      </c>
      <c r="F1065" s="1" t="s">
        <v>632</v>
      </c>
      <c r="G1065" s="1" t="s">
        <v>651</v>
      </c>
      <c r="H1065" s="1" t="s">
        <v>32</v>
      </c>
      <c r="I1065" s="1">
        <v>26551.0</v>
      </c>
      <c r="J1065" s="1" t="s">
        <v>5585</v>
      </c>
      <c r="K1065" s="1" t="s">
        <v>5586</v>
      </c>
      <c r="L1065" s="1">
        <v>273.0</v>
      </c>
      <c r="M1065" s="1" t="s">
        <v>35</v>
      </c>
      <c r="N1065" s="1" t="s">
        <v>36</v>
      </c>
      <c r="O1065" s="1" t="s">
        <v>628</v>
      </c>
      <c r="P1065" s="1">
        <v>4.5E7</v>
      </c>
      <c r="Q1065" s="1">
        <v>1998.0</v>
      </c>
      <c r="R1065" s="1">
        <v>3000.0</v>
      </c>
      <c r="S1065" s="1">
        <v>1000.0</v>
      </c>
      <c r="T1065" s="1">
        <v>855.0</v>
      </c>
      <c r="U1065" s="1">
        <v>6558.0</v>
      </c>
      <c r="V1065" s="1">
        <v>208.0</v>
      </c>
      <c r="W1065" s="1">
        <v>0.0</v>
      </c>
      <c r="X1065" s="1">
        <v>0.0</v>
      </c>
      <c r="Y1065" s="1">
        <v>2.35</v>
      </c>
      <c r="Z1065" s="1">
        <v>6.0</v>
      </c>
    </row>
    <row r="1066" ht="14.25" customHeight="1">
      <c r="A1066" s="1" t="s">
        <v>26</v>
      </c>
      <c r="B1066" s="1" t="s">
        <v>4801</v>
      </c>
      <c r="C1066" s="1" t="s">
        <v>5587</v>
      </c>
      <c r="D1066" s="1">
        <v>7916887.0</v>
      </c>
      <c r="E1066" s="1" t="s">
        <v>5588</v>
      </c>
      <c r="F1066" s="1" t="s">
        <v>60</v>
      </c>
      <c r="G1066" s="1" t="s">
        <v>5589</v>
      </c>
      <c r="H1066" s="1" t="s">
        <v>5590</v>
      </c>
      <c r="I1066" s="1">
        <v>15697.0</v>
      </c>
      <c r="J1066" s="1" t="s">
        <v>5591</v>
      </c>
      <c r="K1066" s="1" t="s">
        <v>5592</v>
      </c>
      <c r="L1066" s="1">
        <v>182.0</v>
      </c>
      <c r="M1066" s="1" t="s">
        <v>35</v>
      </c>
      <c r="N1066" s="1" t="s">
        <v>36</v>
      </c>
      <c r="O1066" s="1" t="s">
        <v>628</v>
      </c>
      <c r="P1066" s="1">
        <v>4.5E7</v>
      </c>
      <c r="Q1066" s="1">
        <v>2008.0</v>
      </c>
      <c r="R1066" s="1">
        <v>23000.0</v>
      </c>
      <c r="S1066" s="1">
        <v>1000.0</v>
      </c>
      <c r="T1066" s="1">
        <v>826.0</v>
      </c>
      <c r="U1066" s="1">
        <v>26982.0</v>
      </c>
      <c r="V1066" s="1">
        <v>0.0</v>
      </c>
      <c r="W1066" s="1">
        <v>0.0</v>
      </c>
      <c r="X1066" s="1">
        <v>0.0</v>
      </c>
      <c r="Y1066" s="1">
        <v>2.35</v>
      </c>
      <c r="Z1066" s="1">
        <v>6.0</v>
      </c>
    </row>
    <row r="1067" ht="14.25" customHeight="1">
      <c r="A1067" s="1" t="s">
        <v>26</v>
      </c>
      <c r="B1067" s="1" t="s">
        <v>1857</v>
      </c>
      <c r="C1067" s="1" t="s">
        <v>5593</v>
      </c>
      <c r="D1067" s="1">
        <v>6565495.0</v>
      </c>
      <c r="E1067" s="1" t="s">
        <v>206</v>
      </c>
      <c r="F1067" s="1" t="s">
        <v>2322</v>
      </c>
      <c r="G1067" s="1" t="s">
        <v>5594</v>
      </c>
      <c r="H1067" s="1" t="s">
        <v>5595</v>
      </c>
      <c r="I1067" s="1">
        <v>36455.0</v>
      </c>
      <c r="J1067" s="1" t="s">
        <v>5596</v>
      </c>
      <c r="K1067" s="1" t="s">
        <v>5597</v>
      </c>
      <c r="L1067" s="1">
        <v>229.0</v>
      </c>
      <c r="M1067" s="1" t="s">
        <v>1864</v>
      </c>
      <c r="N1067" s="1" t="s">
        <v>855</v>
      </c>
      <c r="O1067" s="1" t="s">
        <v>628</v>
      </c>
      <c r="P1067" s="1">
        <v>4.5E7</v>
      </c>
      <c r="Q1067" s="1">
        <v>2006.0</v>
      </c>
      <c r="R1067" s="1">
        <v>879.0</v>
      </c>
      <c r="S1067" s="1">
        <v>52.0</v>
      </c>
      <c r="T1067" s="1">
        <v>10.0</v>
      </c>
      <c r="U1067" s="1">
        <v>949.0</v>
      </c>
      <c r="V1067" s="1">
        <v>611.0</v>
      </c>
      <c r="W1067" s="1">
        <v>0.0</v>
      </c>
      <c r="X1067" s="1">
        <v>2.0</v>
      </c>
      <c r="Y1067" s="1">
        <v>2.35</v>
      </c>
      <c r="Z1067" s="1">
        <v>7.0</v>
      </c>
    </row>
    <row r="1068" ht="14.25" customHeight="1">
      <c r="A1068" s="1" t="s">
        <v>26</v>
      </c>
      <c r="B1068" s="1" t="s">
        <v>5598</v>
      </c>
      <c r="C1068" s="1" t="s">
        <v>5599</v>
      </c>
      <c r="D1068" s="1">
        <v>1.527968E7</v>
      </c>
      <c r="E1068" s="1" t="s">
        <v>326</v>
      </c>
      <c r="F1068" s="1" t="s">
        <v>668</v>
      </c>
      <c r="G1068" s="1" t="s">
        <v>5600</v>
      </c>
      <c r="H1068" s="1" t="s">
        <v>5601</v>
      </c>
      <c r="I1068" s="1">
        <v>48245.0</v>
      </c>
      <c r="J1068" s="1" t="s">
        <v>5602</v>
      </c>
      <c r="K1068" s="1" t="s">
        <v>5603</v>
      </c>
      <c r="L1068" s="1">
        <v>154.0</v>
      </c>
      <c r="M1068" s="1" t="s">
        <v>35</v>
      </c>
      <c r="N1068" s="1" t="s">
        <v>36</v>
      </c>
      <c r="O1068" s="1" t="s">
        <v>628</v>
      </c>
      <c r="P1068" s="1">
        <v>4.0E7</v>
      </c>
      <c r="Q1068" s="1">
        <v>2008.0</v>
      </c>
      <c r="R1068" s="1">
        <v>12000.0</v>
      </c>
      <c r="S1068" s="1">
        <v>68.0</v>
      </c>
      <c r="T1068" s="1">
        <v>61.0</v>
      </c>
      <c r="U1068" s="1">
        <v>12166.0</v>
      </c>
      <c r="V1068" s="1">
        <v>15.0</v>
      </c>
      <c r="W1068" s="1">
        <v>0.0</v>
      </c>
      <c r="X1068" s="1">
        <v>1.0</v>
      </c>
      <c r="Y1068" s="1">
        <v>1.85</v>
      </c>
      <c r="Z1068" s="1">
        <v>5.4</v>
      </c>
    </row>
    <row r="1069" ht="14.25" customHeight="1">
      <c r="A1069" s="1" t="s">
        <v>26</v>
      </c>
      <c r="B1069" s="1" t="s">
        <v>155</v>
      </c>
      <c r="C1069" s="1" t="s">
        <v>5604</v>
      </c>
      <c r="D1069" s="1">
        <v>7262288.0</v>
      </c>
      <c r="E1069" s="1" t="s">
        <v>5605</v>
      </c>
      <c r="F1069" s="1" t="s">
        <v>1868</v>
      </c>
      <c r="G1069" s="1" t="s">
        <v>757</v>
      </c>
      <c r="H1069" s="1" t="s">
        <v>5606</v>
      </c>
      <c r="I1069" s="1">
        <v>17307.0</v>
      </c>
      <c r="J1069" s="1" t="s">
        <v>5607</v>
      </c>
      <c r="K1069" s="1" t="s">
        <v>5608</v>
      </c>
      <c r="L1069" s="1">
        <v>186.0</v>
      </c>
      <c r="M1069" s="1" t="s">
        <v>35</v>
      </c>
      <c r="N1069" s="1" t="s">
        <v>36</v>
      </c>
      <c r="O1069" s="1" t="s">
        <v>37</v>
      </c>
      <c r="P1069" s="1">
        <v>4.0E7</v>
      </c>
      <c r="Q1069" s="1">
        <v>2002.0</v>
      </c>
      <c r="R1069" s="1">
        <v>11000.0</v>
      </c>
      <c r="S1069" s="1">
        <v>1000.0</v>
      </c>
      <c r="T1069" s="1">
        <v>865.0</v>
      </c>
      <c r="U1069" s="1">
        <v>13917.0</v>
      </c>
      <c r="V1069" s="1">
        <v>188.0</v>
      </c>
      <c r="W1069" s="1">
        <v>892.0</v>
      </c>
      <c r="X1069" s="1">
        <v>2.0</v>
      </c>
      <c r="Y1069" s="1">
        <v>1.85</v>
      </c>
      <c r="Z1069" s="1">
        <v>6.5</v>
      </c>
    </row>
    <row r="1070" ht="14.25" customHeight="1">
      <c r="A1070" s="1" t="s">
        <v>26</v>
      </c>
      <c r="B1070" s="1" t="s">
        <v>363</v>
      </c>
      <c r="C1070" s="1" t="s">
        <v>5609</v>
      </c>
      <c r="D1070" s="1">
        <v>4584886.0</v>
      </c>
      <c r="E1070" s="1" t="s">
        <v>206</v>
      </c>
      <c r="F1070" s="1" t="s">
        <v>5610</v>
      </c>
      <c r="G1070" s="1" t="s">
        <v>5611</v>
      </c>
      <c r="H1070" s="1" t="s">
        <v>5612</v>
      </c>
      <c r="I1070" s="1">
        <v>19114.0</v>
      </c>
      <c r="J1070" s="1" t="s">
        <v>5613</v>
      </c>
      <c r="K1070" s="1" t="s">
        <v>5614</v>
      </c>
      <c r="L1070" s="1">
        <v>115.0</v>
      </c>
      <c r="M1070" s="1" t="s">
        <v>35</v>
      </c>
      <c r="N1070" s="1" t="s">
        <v>36</v>
      </c>
      <c r="O1070" s="1" t="s">
        <v>628</v>
      </c>
      <c r="P1070" s="1">
        <v>4.5E7</v>
      </c>
      <c r="Q1070" s="1">
        <v>2007.0</v>
      </c>
      <c r="R1070" s="1">
        <v>267.0</v>
      </c>
      <c r="S1070" s="1">
        <v>202.0</v>
      </c>
      <c r="T1070" s="1">
        <v>50.0</v>
      </c>
      <c r="U1070" s="1">
        <v>538.0</v>
      </c>
      <c r="V1070" s="1">
        <v>179.0</v>
      </c>
      <c r="W1070" s="1">
        <v>0.0</v>
      </c>
      <c r="X1070" s="1">
        <v>0.0</v>
      </c>
      <c r="Y1070" s="1">
        <v>2.35</v>
      </c>
      <c r="Z1070" s="1">
        <v>6.4</v>
      </c>
    </row>
    <row r="1071" ht="14.25" customHeight="1">
      <c r="A1071" s="1" t="s">
        <v>26</v>
      </c>
      <c r="B1071" s="1" t="s">
        <v>5615</v>
      </c>
      <c r="C1071" s="1" t="s">
        <v>5616</v>
      </c>
      <c r="D1071" s="1">
        <v>2154540.0</v>
      </c>
      <c r="E1071" s="1" t="s">
        <v>57</v>
      </c>
      <c r="F1071" s="1" t="s">
        <v>5617</v>
      </c>
      <c r="G1071" s="1" t="s">
        <v>1843</v>
      </c>
      <c r="H1071" s="1" t="s">
        <v>2601</v>
      </c>
      <c r="I1071" s="1">
        <v>3803.0</v>
      </c>
      <c r="J1071" s="1" t="s">
        <v>5618</v>
      </c>
      <c r="K1071" s="1" t="s">
        <v>5619</v>
      </c>
      <c r="L1071" s="1">
        <v>41.0</v>
      </c>
      <c r="M1071" s="1" t="s">
        <v>35</v>
      </c>
      <c r="N1071" s="1" t="s">
        <v>36</v>
      </c>
      <c r="O1071" s="1" t="s">
        <v>628</v>
      </c>
      <c r="P1071" s="1">
        <v>4.5E7</v>
      </c>
      <c r="Q1071" s="1">
        <v>1997.0</v>
      </c>
      <c r="R1071" s="1">
        <v>849.0</v>
      </c>
      <c r="S1071" s="1">
        <v>623.0</v>
      </c>
      <c r="T1071" s="1">
        <v>269.0</v>
      </c>
      <c r="U1071" s="1">
        <v>2457.0</v>
      </c>
      <c r="V1071" s="1">
        <v>170.0</v>
      </c>
      <c r="W1071" s="1">
        <v>68.0</v>
      </c>
      <c r="X1071" s="1">
        <v>2.0</v>
      </c>
      <c r="Y1071" s="1">
        <v>2.35</v>
      </c>
      <c r="Z1071" s="1">
        <v>4.9</v>
      </c>
    </row>
    <row r="1072" ht="14.25" customHeight="1">
      <c r="A1072" s="1" t="s">
        <v>26</v>
      </c>
      <c r="B1072" s="1" t="s">
        <v>5620</v>
      </c>
      <c r="C1072" s="1" t="s">
        <v>5621</v>
      </c>
      <c r="D1072" s="1">
        <v>8129455.0</v>
      </c>
      <c r="E1072" s="1" t="s">
        <v>1319</v>
      </c>
      <c r="F1072" s="1" t="s">
        <v>5622</v>
      </c>
      <c r="G1072" s="1" t="s">
        <v>5623</v>
      </c>
      <c r="H1072" s="1" t="s">
        <v>5624</v>
      </c>
      <c r="I1072" s="1">
        <v>89568.0</v>
      </c>
      <c r="J1072" s="1" t="s">
        <v>5625</v>
      </c>
      <c r="K1072" s="1" t="s">
        <v>5626</v>
      </c>
      <c r="L1072" s="1">
        <v>142.0</v>
      </c>
      <c r="M1072" s="1" t="s">
        <v>35</v>
      </c>
      <c r="N1072" s="1" t="s">
        <v>36</v>
      </c>
      <c r="O1072" s="1" t="s">
        <v>87</v>
      </c>
      <c r="P1072" s="1">
        <v>4.5E7</v>
      </c>
      <c r="Q1072" s="1">
        <v>2011.0</v>
      </c>
      <c r="R1072" s="1">
        <v>219.0</v>
      </c>
      <c r="S1072" s="1">
        <v>141.0</v>
      </c>
      <c r="T1072" s="1">
        <v>104.0</v>
      </c>
      <c r="U1072" s="1">
        <v>661.0</v>
      </c>
      <c r="V1072" s="1">
        <v>32.0</v>
      </c>
      <c r="W1072" s="1">
        <v>17000.0</v>
      </c>
      <c r="X1072" s="1">
        <v>1.0</v>
      </c>
      <c r="Y1072" s="1">
        <v>2.35</v>
      </c>
      <c r="Z1072" s="1">
        <v>6.3</v>
      </c>
    </row>
    <row r="1073" ht="14.25" customHeight="1">
      <c r="A1073" s="1" t="s">
        <v>26</v>
      </c>
      <c r="B1073" s="1" t="s">
        <v>5627</v>
      </c>
      <c r="C1073" s="1" t="s">
        <v>5628</v>
      </c>
      <c r="D1073" s="1">
        <v>1.36019448E8</v>
      </c>
      <c r="E1073" s="1" t="s">
        <v>5629</v>
      </c>
      <c r="F1073" s="1" t="s">
        <v>5630</v>
      </c>
      <c r="G1073" s="1" t="s">
        <v>4846</v>
      </c>
      <c r="H1073" s="1" t="s">
        <v>3971</v>
      </c>
      <c r="I1073" s="1">
        <v>452465.0</v>
      </c>
      <c r="J1073" s="1" t="s">
        <v>5631</v>
      </c>
      <c r="K1073" s="1" t="s">
        <v>5632</v>
      </c>
      <c r="L1073" s="1">
        <v>695.0</v>
      </c>
      <c r="M1073" s="1" t="s">
        <v>35</v>
      </c>
      <c r="N1073" s="1" t="s">
        <v>36</v>
      </c>
      <c r="O1073" s="1" t="s">
        <v>628</v>
      </c>
      <c r="P1073" s="1">
        <v>4.45E7</v>
      </c>
      <c r="Q1073" s="1">
        <v>2012.0</v>
      </c>
      <c r="R1073" s="1">
        <v>1000.0</v>
      </c>
      <c r="S1073" s="1">
        <v>660.0</v>
      </c>
      <c r="T1073" s="1">
        <v>650.0</v>
      </c>
      <c r="U1073" s="1">
        <v>3133.0</v>
      </c>
      <c r="V1073" s="1">
        <v>0.0</v>
      </c>
      <c r="W1073" s="1">
        <v>89000.0</v>
      </c>
      <c r="X1073" s="1">
        <v>1.0</v>
      </c>
      <c r="Y1073" s="1">
        <v>2.35</v>
      </c>
      <c r="Z1073" s="1">
        <v>7.7</v>
      </c>
    </row>
    <row r="1074" ht="14.25" customHeight="1">
      <c r="A1074" s="1" t="s">
        <v>26</v>
      </c>
      <c r="B1074" s="1" t="s">
        <v>2342</v>
      </c>
      <c r="C1074" s="1" t="s">
        <v>5633</v>
      </c>
      <c r="D1074" s="1">
        <v>1.8387576E8</v>
      </c>
      <c r="E1074" s="1" t="s">
        <v>5634</v>
      </c>
      <c r="F1074" s="1" t="s">
        <v>383</v>
      </c>
      <c r="G1074" s="1" t="s">
        <v>5635</v>
      </c>
      <c r="H1074" s="1" t="s">
        <v>610</v>
      </c>
      <c r="I1074" s="1">
        <v>213668.0</v>
      </c>
      <c r="J1074" s="1" t="s">
        <v>5636</v>
      </c>
      <c r="K1074" s="1" t="s">
        <v>5637</v>
      </c>
      <c r="L1074" s="1">
        <v>270.0</v>
      </c>
      <c r="M1074" s="1" t="s">
        <v>35</v>
      </c>
      <c r="N1074" s="1" t="s">
        <v>36</v>
      </c>
      <c r="O1074" s="1" t="s">
        <v>37</v>
      </c>
      <c r="P1074" s="1">
        <v>4.4E7</v>
      </c>
      <c r="Q1074" s="1">
        <v>1993.0</v>
      </c>
      <c r="R1074" s="1">
        <v>11000.0</v>
      </c>
      <c r="S1074" s="1">
        <v>1000.0</v>
      </c>
      <c r="T1074" s="1">
        <v>812.0</v>
      </c>
      <c r="U1074" s="1">
        <v>13357.0</v>
      </c>
      <c r="V1074" s="1">
        <v>99.0</v>
      </c>
      <c r="W1074" s="1">
        <v>0.0</v>
      </c>
      <c r="X1074" s="1">
        <v>1.0</v>
      </c>
      <c r="Y1074" s="1">
        <v>1.85</v>
      </c>
      <c r="Z1074" s="1">
        <v>7.8</v>
      </c>
    </row>
    <row r="1075" ht="14.25" customHeight="1">
      <c r="A1075" s="1" t="s">
        <v>26</v>
      </c>
      <c r="B1075" s="1" t="s">
        <v>2976</v>
      </c>
      <c r="C1075" s="1" t="s">
        <v>5638</v>
      </c>
      <c r="D1075" s="1">
        <v>6.7061228E7</v>
      </c>
      <c r="E1075" s="1" t="s">
        <v>1367</v>
      </c>
      <c r="F1075" s="1" t="s">
        <v>616</v>
      </c>
      <c r="G1075" s="1" t="s">
        <v>2612</v>
      </c>
      <c r="H1075" s="1" t="s">
        <v>3944</v>
      </c>
      <c r="I1075" s="1">
        <v>96565.0</v>
      </c>
      <c r="J1075" s="1" t="s">
        <v>5639</v>
      </c>
      <c r="K1075" s="1" t="s">
        <v>5640</v>
      </c>
      <c r="L1075" s="1">
        <v>135.0</v>
      </c>
      <c r="M1075" s="1" t="s">
        <v>35</v>
      </c>
      <c r="N1075" s="1" t="s">
        <v>36</v>
      </c>
      <c r="O1075" s="1" t="s">
        <v>37</v>
      </c>
      <c r="P1075" s="1">
        <v>4.0E7</v>
      </c>
      <c r="Q1075" s="1">
        <v>2010.0</v>
      </c>
      <c r="R1075" s="1">
        <v>18000.0</v>
      </c>
      <c r="S1075" s="1">
        <v>1000.0</v>
      </c>
      <c r="T1075" s="1">
        <v>789.0</v>
      </c>
      <c r="U1075" s="1">
        <v>21554.0</v>
      </c>
      <c r="V1075" s="1">
        <v>72.0</v>
      </c>
      <c r="W1075" s="1">
        <v>0.0</v>
      </c>
      <c r="X1075" s="1">
        <v>1.0</v>
      </c>
      <c r="Y1075" s="1">
        <v>2.35</v>
      </c>
      <c r="Z1075" s="1">
        <v>5.5</v>
      </c>
    </row>
    <row r="1076" ht="14.25" customHeight="1">
      <c r="A1076" s="1" t="s">
        <v>710</v>
      </c>
      <c r="B1076" s="1" t="s">
        <v>2962</v>
      </c>
      <c r="C1076" s="1" t="s">
        <v>5641</v>
      </c>
      <c r="D1076" s="1">
        <v>5.3300852E7</v>
      </c>
      <c r="E1076" s="1" t="s">
        <v>2045</v>
      </c>
      <c r="F1076" s="1" t="s">
        <v>1663</v>
      </c>
      <c r="G1076" s="1" t="s">
        <v>335</v>
      </c>
      <c r="H1076" s="1" t="s">
        <v>3319</v>
      </c>
      <c r="I1076" s="1">
        <v>154487.0</v>
      </c>
      <c r="J1076" s="1" t="s">
        <v>5642</v>
      </c>
      <c r="K1076" s="1" t="s">
        <v>5643</v>
      </c>
      <c r="L1076" s="1">
        <v>259.0</v>
      </c>
      <c r="M1076" s="1" t="s">
        <v>35</v>
      </c>
      <c r="N1076" s="1" t="s">
        <v>36</v>
      </c>
      <c r="O1076" s="1" t="s">
        <v>628</v>
      </c>
      <c r="P1076" s="1">
        <v>4.4E7</v>
      </c>
      <c r="Q1076" s="1">
        <v>1996.0</v>
      </c>
      <c r="R1076" s="1">
        <v>22000.0</v>
      </c>
      <c r="S1076" s="1">
        <v>11000.0</v>
      </c>
      <c r="T1076" s="1">
        <v>893.0</v>
      </c>
      <c r="U1076" s="1">
        <v>37076.0</v>
      </c>
      <c r="V1076" s="1">
        <v>272.0</v>
      </c>
      <c r="W1076" s="1">
        <v>0.0</v>
      </c>
      <c r="X1076" s="1">
        <v>3.0</v>
      </c>
      <c r="Y1076" s="1">
        <v>2.35</v>
      </c>
      <c r="Z1076" s="1">
        <v>7.5</v>
      </c>
    </row>
    <row r="1077" ht="14.25" customHeight="1">
      <c r="A1077" s="1" t="s">
        <v>26</v>
      </c>
      <c r="B1077" s="1" t="s">
        <v>5615</v>
      </c>
      <c r="C1077" s="1" t="s">
        <v>5644</v>
      </c>
      <c r="D1077" s="1">
        <v>1.50415432E8</v>
      </c>
      <c r="E1077" s="1" t="s">
        <v>4235</v>
      </c>
      <c r="F1077" s="1" t="s">
        <v>1702</v>
      </c>
      <c r="G1077" s="1" t="s">
        <v>5645</v>
      </c>
      <c r="H1077" s="1" t="s">
        <v>5646</v>
      </c>
      <c r="I1077" s="1">
        <v>117606.0</v>
      </c>
      <c r="J1077" s="1" t="s">
        <v>5647</v>
      </c>
      <c r="K1077" s="1" t="s">
        <v>5648</v>
      </c>
      <c r="L1077" s="1">
        <v>217.0</v>
      </c>
      <c r="M1077" s="1" t="s">
        <v>35</v>
      </c>
      <c r="N1077" s="1" t="s">
        <v>36</v>
      </c>
      <c r="O1077" s="1" t="s">
        <v>628</v>
      </c>
      <c r="P1077" s="1">
        <v>4.4E7</v>
      </c>
      <c r="Q1077" s="1">
        <v>1985.0</v>
      </c>
      <c r="R1077" s="1">
        <v>13000.0</v>
      </c>
      <c r="S1077" s="1">
        <v>738.0</v>
      </c>
      <c r="T1077" s="1">
        <v>668.0</v>
      </c>
      <c r="U1077" s="1">
        <v>15662.0</v>
      </c>
      <c r="V1077" s="1">
        <v>170.0</v>
      </c>
      <c r="W1077" s="1">
        <v>0.0</v>
      </c>
      <c r="X1077" s="1">
        <v>0.0</v>
      </c>
      <c r="Y1077" s="1">
        <v>2.35</v>
      </c>
      <c r="Z1077" s="1">
        <v>6.4</v>
      </c>
    </row>
    <row r="1078" ht="14.25" customHeight="1">
      <c r="A1078" s="1" t="s">
        <v>26</v>
      </c>
      <c r="B1078" s="1" t="s">
        <v>5649</v>
      </c>
      <c r="C1078" s="1" t="s">
        <v>5650</v>
      </c>
      <c r="D1078" s="1">
        <v>4.4834712E7</v>
      </c>
      <c r="E1078" s="1" t="s">
        <v>3868</v>
      </c>
      <c r="F1078" s="1" t="s">
        <v>60</v>
      </c>
      <c r="G1078" s="1" t="s">
        <v>1320</v>
      </c>
      <c r="H1078" s="1" t="s">
        <v>2177</v>
      </c>
      <c r="I1078" s="1">
        <v>13995.0</v>
      </c>
      <c r="J1078" s="1" t="s">
        <v>5651</v>
      </c>
      <c r="K1078" s="1" t="s">
        <v>5652</v>
      </c>
      <c r="L1078" s="1">
        <v>62.0</v>
      </c>
      <c r="M1078" s="1" t="s">
        <v>35</v>
      </c>
      <c r="N1078" s="1" t="s">
        <v>36</v>
      </c>
      <c r="O1078" s="1" t="s">
        <v>628</v>
      </c>
      <c r="P1078" s="1">
        <v>4.4E7</v>
      </c>
      <c r="Q1078" s="1">
        <v>1996.0</v>
      </c>
      <c r="R1078" s="1">
        <v>23000.0</v>
      </c>
      <c r="S1078" s="1">
        <v>2000.0</v>
      </c>
      <c r="T1078" s="1">
        <v>643.0</v>
      </c>
      <c r="U1078" s="1">
        <v>26907.0</v>
      </c>
      <c r="V1078" s="1">
        <v>13.0</v>
      </c>
      <c r="W1078" s="1">
        <v>353.0</v>
      </c>
      <c r="X1078" s="1">
        <v>1.0</v>
      </c>
      <c r="Y1078" s="1">
        <v>2.35</v>
      </c>
      <c r="Z1078" s="1">
        <v>5.6</v>
      </c>
    </row>
    <row r="1079" ht="14.25" customHeight="1">
      <c r="A1079" s="1" t="s">
        <v>26</v>
      </c>
      <c r="B1079" s="1" t="s">
        <v>5653</v>
      </c>
      <c r="C1079" s="1" t="s">
        <v>5654</v>
      </c>
      <c r="D1079" s="1">
        <v>8.43E7</v>
      </c>
      <c r="E1079" s="1" t="s">
        <v>5655</v>
      </c>
      <c r="F1079" s="1" t="s">
        <v>5656</v>
      </c>
      <c r="G1079" s="1" t="s">
        <v>5657</v>
      </c>
      <c r="H1079" s="1" t="s">
        <v>5658</v>
      </c>
      <c r="I1079" s="1">
        <v>90360.0</v>
      </c>
      <c r="J1079" s="1" t="s">
        <v>5659</v>
      </c>
      <c r="K1079" s="1" t="s">
        <v>5660</v>
      </c>
      <c r="L1079" s="1">
        <v>147.0</v>
      </c>
      <c r="M1079" s="1" t="s">
        <v>35</v>
      </c>
      <c r="N1079" s="1" t="s">
        <v>36</v>
      </c>
      <c r="O1079" s="1" t="s">
        <v>5661</v>
      </c>
      <c r="P1079" s="1">
        <v>2600000.0</v>
      </c>
      <c r="Q1079" s="1">
        <v>1940.0</v>
      </c>
      <c r="R1079" s="1">
        <v>1000.0</v>
      </c>
      <c r="S1079" s="1">
        <v>48.0</v>
      </c>
      <c r="T1079" s="1">
        <v>40.0</v>
      </c>
      <c r="U1079" s="1">
        <v>1178.0</v>
      </c>
      <c r="V1079" s="1">
        <v>3.0</v>
      </c>
      <c r="W1079" s="1">
        <v>0.0</v>
      </c>
      <c r="X1079" s="1">
        <v>0.0</v>
      </c>
      <c r="Y1079" s="1">
        <v>1.37</v>
      </c>
      <c r="Z1079" s="1">
        <v>7.5</v>
      </c>
    </row>
    <row r="1080" ht="14.25" customHeight="1">
      <c r="A1080" s="1" t="s">
        <v>26</v>
      </c>
      <c r="B1080" s="1" t="s">
        <v>5662</v>
      </c>
      <c r="C1080" s="1" t="s">
        <v>5663</v>
      </c>
      <c r="D1080" s="1">
        <v>1500000.0</v>
      </c>
      <c r="E1080" s="1" t="s">
        <v>5664</v>
      </c>
      <c r="F1080" s="1" t="s">
        <v>293</v>
      </c>
      <c r="G1080" s="1" t="s">
        <v>5617</v>
      </c>
      <c r="H1080" s="1" t="s">
        <v>5665</v>
      </c>
      <c r="I1080" s="1">
        <v>9830.0</v>
      </c>
      <c r="J1080" s="1" t="s">
        <v>5666</v>
      </c>
      <c r="K1080" s="1" t="s">
        <v>5667</v>
      </c>
      <c r="L1080" s="1">
        <v>189.0</v>
      </c>
      <c r="M1080" s="1" t="s">
        <v>35</v>
      </c>
      <c r="N1080" s="1" t="s">
        <v>36</v>
      </c>
      <c r="O1080" s="1" t="s">
        <v>628</v>
      </c>
      <c r="P1080" s="1">
        <v>4.4E7</v>
      </c>
      <c r="Q1080" s="1">
        <v>1980.0</v>
      </c>
      <c r="R1080" s="1">
        <v>12000.0</v>
      </c>
      <c r="S1080" s="1">
        <v>849.0</v>
      </c>
      <c r="T1080" s="1">
        <v>678.0</v>
      </c>
      <c r="U1080" s="1">
        <v>14255.0</v>
      </c>
      <c r="V1080" s="1">
        <v>517.0</v>
      </c>
      <c r="W1080" s="1">
        <v>1000.0</v>
      </c>
      <c r="X1080" s="1">
        <v>0.0</v>
      </c>
      <c r="Y1080" s="1">
        <v>2.35</v>
      </c>
      <c r="Z1080" s="1">
        <v>6.8</v>
      </c>
    </row>
    <row r="1081" ht="14.25" customHeight="1">
      <c r="A1081" s="1" t="s">
        <v>26</v>
      </c>
      <c r="B1081" s="1" t="s">
        <v>1539</v>
      </c>
      <c r="C1081" s="1" t="s">
        <v>5668</v>
      </c>
      <c r="D1081" s="1">
        <v>6.2318875E7</v>
      </c>
      <c r="E1081" s="1" t="s">
        <v>254</v>
      </c>
      <c r="F1081" s="1" t="s">
        <v>279</v>
      </c>
      <c r="G1081" s="1" t="s">
        <v>1169</v>
      </c>
      <c r="H1081" s="1" t="s">
        <v>1916</v>
      </c>
      <c r="I1081" s="1">
        <v>156225.0</v>
      </c>
      <c r="J1081" s="1" t="s">
        <v>5669</v>
      </c>
      <c r="K1081" s="1" t="s">
        <v>5670</v>
      </c>
      <c r="L1081" s="1">
        <v>502.0</v>
      </c>
      <c r="M1081" s="1" t="s">
        <v>35</v>
      </c>
      <c r="N1081" s="1" t="s">
        <v>36</v>
      </c>
      <c r="O1081" s="1" t="s">
        <v>628</v>
      </c>
      <c r="P1081" s="1">
        <v>5.0E7</v>
      </c>
      <c r="Q1081" s="1">
        <v>2006.0</v>
      </c>
      <c r="R1081" s="1">
        <v>956.0</v>
      </c>
      <c r="S1081" s="1">
        <v>845.0</v>
      </c>
      <c r="T1081" s="1">
        <v>520.0</v>
      </c>
      <c r="U1081" s="1">
        <v>2998.0</v>
      </c>
      <c r="V1081" s="1">
        <v>235.0</v>
      </c>
      <c r="W1081" s="1">
        <v>0.0</v>
      </c>
      <c r="X1081" s="1">
        <v>1.0</v>
      </c>
      <c r="Y1081" s="1">
        <v>2.35</v>
      </c>
      <c r="Z1081" s="1">
        <v>6.8</v>
      </c>
    </row>
    <row r="1082" ht="14.25" customHeight="1">
      <c r="A1082" s="1" t="s">
        <v>26</v>
      </c>
      <c r="B1082" s="1" t="s">
        <v>5671</v>
      </c>
      <c r="C1082" s="1" t="s">
        <v>5672</v>
      </c>
      <c r="D1082" s="1">
        <v>5773519.0</v>
      </c>
      <c r="E1082" s="1" t="s">
        <v>3448</v>
      </c>
      <c r="F1082" s="1" t="s">
        <v>99</v>
      </c>
      <c r="G1082" s="1" t="s">
        <v>4287</v>
      </c>
      <c r="H1082" s="1" t="s">
        <v>5673</v>
      </c>
      <c r="I1082" s="1">
        <v>28618.0</v>
      </c>
      <c r="J1082" s="1" t="s">
        <v>5674</v>
      </c>
      <c r="K1082" s="1" t="s">
        <v>5675</v>
      </c>
      <c r="L1082" s="1">
        <v>91.0</v>
      </c>
      <c r="M1082" s="1" t="s">
        <v>35</v>
      </c>
      <c r="N1082" s="1" t="s">
        <v>36</v>
      </c>
      <c r="O1082" s="1" t="s">
        <v>37</v>
      </c>
      <c r="P1082" s="1">
        <v>4.0E7</v>
      </c>
      <c r="Q1082" s="1">
        <v>2015.0</v>
      </c>
      <c r="R1082" s="1">
        <v>11000.0</v>
      </c>
      <c r="S1082" s="1">
        <v>1000.0</v>
      </c>
      <c r="T1082" s="1">
        <v>287.0</v>
      </c>
      <c r="U1082" s="1">
        <v>12876.0</v>
      </c>
      <c r="V1082" s="1">
        <v>118.0</v>
      </c>
      <c r="W1082" s="1">
        <v>11000.0</v>
      </c>
      <c r="X1082" s="1">
        <v>2.0</v>
      </c>
      <c r="Y1082" s="1">
        <v>2.35</v>
      </c>
      <c r="Z1082" s="1">
        <v>6.0</v>
      </c>
    </row>
    <row r="1083" ht="14.25" customHeight="1">
      <c r="A1083" s="1" t="s">
        <v>26</v>
      </c>
      <c r="B1083" s="1" t="s">
        <v>5676</v>
      </c>
      <c r="C1083" s="1" t="s">
        <v>5677</v>
      </c>
      <c r="D1083" s="1">
        <v>5.1768623E7</v>
      </c>
      <c r="E1083" s="1" t="s">
        <v>3238</v>
      </c>
      <c r="F1083" s="1" t="s">
        <v>2317</v>
      </c>
      <c r="G1083" s="1" t="s">
        <v>5678</v>
      </c>
      <c r="H1083" s="1" t="s">
        <v>5679</v>
      </c>
      <c r="I1083" s="1">
        <v>73006.0</v>
      </c>
      <c r="J1083" s="1" t="s">
        <v>5680</v>
      </c>
      <c r="K1083" s="1" t="s">
        <v>5681</v>
      </c>
      <c r="L1083" s="1">
        <v>297.0</v>
      </c>
      <c r="M1083" s="1" t="s">
        <v>35</v>
      </c>
      <c r="N1083" s="1" t="s">
        <v>36</v>
      </c>
      <c r="O1083" s="1" t="s">
        <v>37</v>
      </c>
      <c r="P1083" s="1">
        <v>4.3E7</v>
      </c>
      <c r="Q1083" s="1">
        <v>2000.0</v>
      </c>
      <c r="R1083" s="1">
        <v>670.0</v>
      </c>
      <c r="S1083" s="1">
        <v>370.0</v>
      </c>
      <c r="T1083" s="1">
        <v>225.0</v>
      </c>
      <c r="U1083" s="1">
        <v>1801.0</v>
      </c>
      <c r="V1083" s="1">
        <v>835.0</v>
      </c>
      <c r="W1083" s="1">
        <v>0.0</v>
      </c>
      <c r="X1083" s="1">
        <v>1.0</v>
      </c>
      <c r="Y1083" s="1">
        <v>2.35</v>
      </c>
      <c r="Z1083" s="1">
        <v>7.3</v>
      </c>
    </row>
    <row r="1084" ht="14.25" customHeight="1">
      <c r="A1084" s="1" t="s">
        <v>26</v>
      </c>
      <c r="B1084" s="1" t="s">
        <v>3116</v>
      </c>
      <c r="C1084" s="1" t="s">
        <v>5682</v>
      </c>
      <c r="D1084" s="1">
        <v>3.7035515E7</v>
      </c>
      <c r="E1084" s="1" t="s">
        <v>2422</v>
      </c>
      <c r="F1084" s="1" t="s">
        <v>264</v>
      </c>
      <c r="G1084" s="1" t="s">
        <v>2682</v>
      </c>
      <c r="H1084" s="1" t="s">
        <v>3719</v>
      </c>
      <c r="I1084" s="1">
        <v>34597.0</v>
      </c>
      <c r="J1084" s="1" t="s">
        <v>5683</v>
      </c>
      <c r="K1084" s="1" t="s">
        <v>5684</v>
      </c>
      <c r="L1084" s="1">
        <v>194.0</v>
      </c>
      <c r="M1084" s="1" t="s">
        <v>35</v>
      </c>
      <c r="N1084" s="1" t="s">
        <v>36</v>
      </c>
      <c r="O1084" s="1" t="s">
        <v>37</v>
      </c>
      <c r="P1084" s="1">
        <v>4.3E7</v>
      </c>
      <c r="Q1084" s="1">
        <v>2000.0</v>
      </c>
      <c r="R1084" s="1">
        <v>12000.0</v>
      </c>
      <c r="S1084" s="1">
        <v>10000.0</v>
      </c>
      <c r="T1084" s="1">
        <v>664.0</v>
      </c>
      <c r="U1084" s="1">
        <v>23864.0</v>
      </c>
      <c r="V1084" s="1">
        <v>84.0</v>
      </c>
      <c r="W1084" s="1">
        <v>0.0</v>
      </c>
      <c r="X1084" s="1">
        <v>1.0</v>
      </c>
      <c r="Y1084" s="1">
        <v>1.37</v>
      </c>
      <c r="Z1084" s="1">
        <v>6.0</v>
      </c>
    </row>
    <row r="1085" ht="14.25" customHeight="1">
      <c r="A1085" s="1" t="s">
        <v>26</v>
      </c>
      <c r="B1085" s="1" t="s">
        <v>1077</v>
      </c>
      <c r="C1085" s="1" t="s">
        <v>5685</v>
      </c>
      <c r="D1085" s="1">
        <v>2.4520892E7</v>
      </c>
      <c r="E1085" s="1" t="s">
        <v>449</v>
      </c>
      <c r="F1085" s="1" t="s">
        <v>451</v>
      </c>
      <c r="G1085" s="1" t="s">
        <v>487</v>
      </c>
      <c r="H1085" s="1" t="s">
        <v>2307</v>
      </c>
      <c r="I1085" s="1">
        <v>85198.0</v>
      </c>
      <c r="J1085" s="1" t="s">
        <v>5686</v>
      </c>
      <c r="K1085" s="1" t="s">
        <v>5687</v>
      </c>
      <c r="L1085" s="1">
        <v>303.0</v>
      </c>
      <c r="M1085" s="1" t="s">
        <v>35</v>
      </c>
      <c r="N1085" s="1" t="s">
        <v>1832</v>
      </c>
      <c r="O1085" s="1" t="s">
        <v>628</v>
      </c>
      <c r="P1085" s="1">
        <v>4.5E7</v>
      </c>
      <c r="Q1085" s="1">
        <v>2005.0</v>
      </c>
      <c r="R1085" s="1">
        <v>11000.0</v>
      </c>
      <c r="S1085" s="1">
        <v>5000.0</v>
      </c>
      <c r="T1085" s="1">
        <v>5000.0</v>
      </c>
      <c r="U1085" s="1">
        <v>22383.0</v>
      </c>
      <c r="V1085" s="1">
        <v>255.0</v>
      </c>
      <c r="W1085" s="1">
        <v>0.0</v>
      </c>
      <c r="X1085" s="1">
        <v>1.0</v>
      </c>
      <c r="Y1085" s="1">
        <v>2.35</v>
      </c>
      <c r="Z1085" s="1">
        <v>7.0</v>
      </c>
    </row>
    <row r="1086" ht="14.25" customHeight="1">
      <c r="A1086" s="1" t="s">
        <v>26</v>
      </c>
      <c r="B1086" s="1" t="s">
        <v>5688</v>
      </c>
      <c r="C1086" s="1" t="s">
        <v>5689</v>
      </c>
      <c r="D1086" s="1">
        <v>2.4430272E7</v>
      </c>
      <c r="E1086" s="1" t="s">
        <v>1598</v>
      </c>
      <c r="F1086" s="1" t="s">
        <v>5690</v>
      </c>
      <c r="G1086" s="1" t="s">
        <v>5691</v>
      </c>
      <c r="H1086" s="1" t="s">
        <v>5692</v>
      </c>
      <c r="I1086" s="1">
        <v>46158.0</v>
      </c>
      <c r="J1086" s="1" t="s">
        <v>5693</v>
      </c>
      <c r="K1086" s="1" t="s">
        <v>5694</v>
      </c>
      <c r="L1086" s="1">
        <v>403.0</v>
      </c>
      <c r="M1086" s="1" t="s">
        <v>35</v>
      </c>
      <c r="N1086" s="1" t="s">
        <v>36</v>
      </c>
      <c r="O1086" s="1" t="s">
        <v>628</v>
      </c>
      <c r="P1086" s="1">
        <v>4.3E7</v>
      </c>
      <c r="Q1086" s="1">
        <v>2002.0</v>
      </c>
      <c r="R1086" s="1">
        <v>44.0</v>
      </c>
      <c r="S1086" s="1">
        <v>28.0</v>
      </c>
      <c r="T1086" s="1">
        <v>16.0</v>
      </c>
      <c r="U1086" s="1">
        <v>132.0</v>
      </c>
      <c r="V1086" s="1">
        <v>16.0</v>
      </c>
      <c r="W1086" s="1">
        <v>0.0</v>
      </c>
      <c r="X1086" s="1">
        <v>3.0</v>
      </c>
      <c r="Y1086" s="1">
        <v>1.85</v>
      </c>
      <c r="Z1086" s="1">
        <v>5.1</v>
      </c>
    </row>
    <row r="1087" ht="14.25" customHeight="1">
      <c r="A1087" s="1" t="s">
        <v>26</v>
      </c>
      <c r="B1087" s="1" t="s">
        <v>2128</v>
      </c>
      <c r="C1087" s="1" t="s">
        <v>5695</v>
      </c>
      <c r="D1087" s="1">
        <v>1.583484E8</v>
      </c>
      <c r="E1087" s="1" t="s">
        <v>1842</v>
      </c>
      <c r="F1087" s="1" t="s">
        <v>508</v>
      </c>
      <c r="G1087" s="1" t="s">
        <v>1980</v>
      </c>
      <c r="H1087" s="1" t="s">
        <v>5696</v>
      </c>
      <c r="I1087" s="1">
        <v>88844.0</v>
      </c>
      <c r="J1087" s="1" t="s">
        <v>5697</v>
      </c>
      <c r="K1087" s="1" t="s">
        <v>5698</v>
      </c>
      <c r="L1087" s="1">
        <v>142.0</v>
      </c>
      <c r="M1087" s="1" t="s">
        <v>35</v>
      </c>
      <c r="N1087" s="1" t="s">
        <v>36</v>
      </c>
      <c r="O1087" s="1" t="s">
        <v>628</v>
      </c>
      <c r="P1087" s="1">
        <v>4.2E7</v>
      </c>
      <c r="Q1087" s="1">
        <v>1993.0</v>
      </c>
      <c r="R1087" s="1">
        <v>10000.0</v>
      </c>
      <c r="S1087" s="1">
        <v>1000.0</v>
      </c>
      <c r="T1087" s="1">
        <v>957.0</v>
      </c>
      <c r="U1087" s="1">
        <v>14244.0</v>
      </c>
      <c r="V1087" s="1">
        <v>521.0</v>
      </c>
      <c r="W1087" s="1">
        <v>0.0</v>
      </c>
      <c r="X1087" s="1">
        <v>0.0</v>
      </c>
      <c r="Y1087" s="1">
        <v>1.85</v>
      </c>
      <c r="Z1087" s="1">
        <v>6.8</v>
      </c>
    </row>
    <row r="1088" ht="14.25" customHeight="1">
      <c r="A1088" s="1" t="s">
        <v>26</v>
      </c>
      <c r="B1088" s="1" t="s">
        <v>5699</v>
      </c>
      <c r="C1088" s="1" t="s">
        <v>5700</v>
      </c>
      <c r="D1088" s="1">
        <v>3.113695E7</v>
      </c>
      <c r="E1088" s="1" t="s">
        <v>650</v>
      </c>
      <c r="F1088" s="1" t="s">
        <v>5701</v>
      </c>
      <c r="G1088" s="1" t="s">
        <v>5702</v>
      </c>
      <c r="H1088" s="1" t="s">
        <v>5703</v>
      </c>
      <c r="I1088" s="1">
        <v>47364.0</v>
      </c>
      <c r="J1088" s="1" t="s">
        <v>5704</v>
      </c>
      <c r="K1088" s="1" t="s">
        <v>5705</v>
      </c>
      <c r="L1088" s="1">
        <v>75.0</v>
      </c>
      <c r="M1088" s="1" t="s">
        <v>35</v>
      </c>
      <c r="N1088" s="1" t="s">
        <v>36</v>
      </c>
      <c r="O1088" s="1" t="s">
        <v>37</v>
      </c>
      <c r="P1088" s="1">
        <v>4.4E7</v>
      </c>
      <c r="Q1088" s="1">
        <v>2010.0</v>
      </c>
      <c r="R1088" s="1">
        <v>405.0</v>
      </c>
      <c r="S1088" s="1">
        <v>268.0</v>
      </c>
      <c r="T1088" s="1">
        <v>135.0</v>
      </c>
      <c r="U1088" s="1">
        <v>1066.0</v>
      </c>
      <c r="V1088" s="1">
        <v>23.0</v>
      </c>
      <c r="W1088" s="1">
        <v>0.0</v>
      </c>
      <c r="X1088" s="1">
        <v>1.0</v>
      </c>
      <c r="Y1088" s="1">
        <v>2.35</v>
      </c>
      <c r="Z1088" s="1">
        <v>6.5</v>
      </c>
    </row>
    <row r="1089" ht="14.25" customHeight="1">
      <c r="A1089" s="1" t="s">
        <v>26</v>
      </c>
      <c r="B1089" s="1" t="s">
        <v>1700</v>
      </c>
      <c r="C1089" s="1" t="s">
        <v>5706</v>
      </c>
      <c r="D1089" s="1">
        <v>2.9113588E7</v>
      </c>
      <c r="E1089" s="1" t="s">
        <v>326</v>
      </c>
      <c r="F1089" s="1" t="s">
        <v>327</v>
      </c>
      <c r="G1089" s="1" t="s">
        <v>981</v>
      </c>
      <c r="H1089" s="1" t="s">
        <v>1460</v>
      </c>
      <c r="I1089" s="1">
        <v>117999.0</v>
      </c>
      <c r="J1089" s="1" t="s">
        <v>5707</v>
      </c>
      <c r="K1089" s="1" t="s">
        <v>5708</v>
      </c>
      <c r="L1089" s="1">
        <v>181.0</v>
      </c>
      <c r="M1089" s="1" t="s">
        <v>35</v>
      </c>
      <c r="N1089" s="1" t="s">
        <v>36</v>
      </c>
      <c r="O1089" s="1" t="s">
        <v>628</v>
      </c>
      <c r="P1089" s="1">
        <v>4.0E7</v>
      </c>
      <c r="Q1089" s="1">
        <v>2011.0</v>
      </c>
      <c r="R1089" s="1">
        <v>26000.0</v>
      </c>
      <c r="S1089" s="1">
        <v>956.0</v>
      </c>
      <c r="T1089" s="1">
        <v>350.0</v>
      </c>
      <c r="U1089" s="1">
        <v>27834.0</v>
      </c>
      <c r="V1089" s="1">
        <v>165.0</v>
      </c>
      <c r="W1089" s="1">
        <v>16000.0</v>
      </c>
      <c r="X1089" s="1">
        <v>0.0</v>
      </c>
      <c r="Y1089" s="1">
        <v>2.35</v>
      </c>
      <c r="Z1089" s="1">
        <v>6.6</v>
      </c>
    </row>
    <row r="1090" ht="14.25" customHeight="1">
      <c r="A1090" s="1" t="s">
        <v>26</v>
      </c>
      <c r="B1090" s="1" t="s">
        <v>2018</v>
      </c>
      <c r="C1090" s="1" t="s">
        <v>5709</v>
      </c>
      <c r="D1090" s="1">
        <v>1.38447667E8</v>
      </c>
      <c r="E1090" s="1" t="s">
        <v>1670</v>
      </c>
      <c r="F1090" s="1" t="s">
        <v>430</v>
      </c>
      <c r="G1090" s="1" t="s">
        <v>5710</v>
      </c>
      <c r="H1090" s="1" t="s">
        <v>4254</v>
      </c>
      <c r="I1090" s="1">
        <v>408302.0</v>
      </c>
      <c r="J1090" s="1" t="s">
        <v>5711</v>
      </c>
      <c r="K1090" s="1" t="s">
        <v>5712</v>
      </c>
      <c r="L1090" s="1">
        <v>345.0</v>
      </c>
      <c r="M1090" s="1" t="s">
        <v>35</v>
      </c>
      <c r="N1090" s="1" t="s">
        <v>36</v>
      </c>
      <c r="O1090" s="1" t="s">
        <v>628</v>
      </c>
      <c r="P1090" s="1">
        <v>4.2E7</v>
      </c>
      <c r="Q1090" s="1">
        <v>2012.0</v>
      </c>
      <c r="R1090" s="1">
        <v>17000.0</v>
      </c>
      <c r="S1090" s="1">
        <v>971.0</v>
      </c>
      <c r="T1090" s="1">
        <v>839.0</v>
      </c>
      <c r="U1090" s="1">
        <v>19968.0</v>
      </c>
      <c r="V1090" s="1">
        <v>97.0</v>
      </c>
      <c r="W1090" s="1">
        <v>39000.0</v>
      </c>
      <c r="X1090" s="1">
        <v>2.0</v>
      </c>
      <c r="Y1090" s="1">
        <v>2.35</v>
      </c>
      <c r="Z1090" s="1">
        <v>7.2</v>
      </c>
    </row>
    <row r="1091" ht="14.25" customHeight="1">
      <c r="A1091" s="1" t="s">
        <v>26</v>
      </c>
      <c r="B1091" s="1" t="s">
        <v>5415</v>
      </c>
      <c r="C1091" s="1" t="s">
        <v>5713</v>
      </c>
      <c r="D1091" s="1">
        <v>1.1600608E8</v>
      </c>
      <c r="E1091" s="1" t="s">
        <v>1359</v>
      </c>
      <c r="F1091" s="1" t="s">
        <v>1459</v>
      </c>
      <c r="G1091" s="1" t="s">
        <v>5714</v>
      </c>
      <c r="H1091" s="1" t="s">
        <v>5715</v>
      </c>
      <c r="I1091" s="1">
        <v>203269.0</v>
      </c>
      <c r="J1091" s="1" t="s">
        <v>5716</v>
      </c>
      <c r="K1091" s="1" t="s">
        <v>5717</v>
      </c>
      <c r="L1091" s="1">
        <v>602.0</v>
      </c>
      <c r="M1091" s="1" t="s">
        <v>35</v>
      </c>
      <c r="N1091" s="1" t="s">
        <v>54</v>
      </c>
      <c r="O1091" s="1" t="s">
        <v>37</v>
      </c>
      <c r="P1091" s="1">
        <v>4.2E7</v>
      </c>
      <c r="Q1091" s="1">
        <v>1999.0</v>
      </c>
      <c r="R1091" s="1">
        <v>8000.0</v>
      </c>
      <c r="S1091" s="1">
        <v>437.0</v>
      </c>
      <c r="T1091" s="1">
        <v>427.0</v>
      </c>
      <c r="U1091" s="1">
        <v>9255.0</v>
      </c>
      <c r="V1091" s="1">
        <v>50.0</v>
      </c>
      <c r="W1091" s="1">
        <v>11000.0</v>
      </c>
      <c r="X1091" s="1">
        <v>1.0</v>
      </c>
      <c r="Y1091" s="1">
        <v>2.35</v>
      </c>
      <c r="Z1091" s="1">
        <v>7.0</v>
      </c>
    </row>
    <row r="1092" ht="14.25" customHeight="1">
      <c r="A1092" s="1" t="s">
        <v>26</v>
      </c>
      <c r="B1092" s="1" t="s">
        <v>4494</v>
      </c>
      <c r="C1092" s="1" t="s">
        <v>5718</v>
      </c>
      <c r="D1092" s="1">
        <v>1.06793915E8</v>
      </c>
      <c r="E1092" s="1" t="s">
        <v>826</v>
      </c>
      <c r="F1092" s="1" t="s">
        <v>2334</v>
      </c>
      <c r="G1092" s="1" t="s">
        <v>4512</v>
      </c>
      <c r="H1092" s="1" t="s">
        <v>5719</v>
      </c>
      <c r="I1092" s="1">
        <v>140499.0</v>
      </c>
      <c r="J1092" s="1" t="s">
        <v>5720</v>
      </c>
      <c r="K1092" s="1" t="s">
        <v>5721</v>
      </c>
      <c r="L1092" s="1">
        <v>358.0</v>
      </c>
      <c r="M1092" s="1" t="s">
        <v>35</v>
      </c>
      <c r="N1092" s="1" t="s">
        <v>54</v>
      </c>
      <c r="O1092" s="1" t="s">
        <v>269</v>
      </c>
      <c r="P1092" s="1">
        <v>4.5E7</v>
      </c>
      <c r="Q1092" s="1">
        <v>2000.0</v>
      </c>
      <c r="R1092" s="1">
        <v>579.0</v>
      </c>
      <c r="S1092" s="1">
        <v>530.0</v>
      </c>
      <c r="T1092" s="1">
        <v>206.0</v>
      </c>
      <c r="U1092" s="1">
        <v>1817.0</v>
      </c>
      <c r="V1092" s="1">
        <v>91.0</v>
      </c>
      <c r="W1092" s="1">
        <v>0.0</v>
      </c>
      <c r="X1092" s="1">
        <v>0.0</v>
      </c>
      <c r="Y1092" s="1">
        <v>1.85</v>
      </c>
      <c r="Z1092" s="1">
        <v>7.0</v>
      </c>
    </row>
    <row r="1093" ht="14.25" customHeight="1">
      <c r="A1093" s="1" t="s">
        <v>26</v>
      </c>
      <c r="B1093" s="1" t="s">
        <v>5722</v>
      </c>
      <c r="C1093" s="1" t="s">
        <v>5723</v>
      </c>
      <c r="D1093" s="1">
        <v>8.7856565E7</v>
      </c>
      <c r="E1093" s="1" t="s">
        <v>1598</v>
      </c>
      <c r="F1093" s="1" t="s">
        <v>662</v>
      </c>
      <c r="G1093" s="1" t="s">
        <v>5724</v>
      </c>
      <c r="H1093" s="1" t="s">
        <v>2297</v>
      </c>
      <c r="I1093" s="1">
        <v>106909.0</v>
      </c>
      <c r="J1093" s="1" t="s">
        <v>5725</v>
      </c>
      <c r="K1093" s="1" t="s">
        <v>5726</v>
      </c>
      <c r="L1093" s="1">
        <v>268.0</v>
      </c>
      <c r="M1093" s="1" t="s">
        <v>35</v>
      </c>
      <c r="N1093" s="1" t="s">
        <v>36</v>
      </c>
      <c r="O1093" s="1" t="s">
        <v>37</v>
      </c>
      <c r="P1093" s="1">
        <v>4.2E7</v>
      </c>
      <c r="Q1093" s="1">
        <v>2004.0</v>
      </c>
      <c r="R1093" s="1">
        <v>22000.0</v>
      </c>
      <c r="S1093" s="1">
        <v>923.0</v>
      </c>
      <c r="T1093" s="1">
        <v>650.0</v>
      </c>
      <c r="U1093" s="1">
        <v>24534.0</v>
      </c>
      <c r="V1093" s="1">
        <v>29.0</v>
      </c>
      <c r="W1093" s="1">
        <v>0.0</v>
      </c>
      <c r="X1093" s="1">
        <v>1.0</v>
      </c>
      <c r="Y1093" s="1">
        <v>1.85</v>
      </c>
      <c r="Z1093" s="1">
        <v>5.9</v>
      </c>
    </row>
    <row r="1094" ht="14.25" customHeight="1">
      <c r="A1094" s="1" t="s">
        <v>26</v>
      </c>
      <c r="B1094" s="1" t="s">
        <v>5727</v>
      </c>
      <c r="C1094" s="1" t="s">
        <v>5728</v>
      </c>
      <c r="D1094" s="1">
        <v>7.01E7</v>
      </c>
      <c r="E1094" s="1" t="s">
        <v>1359</v>
      </c>
      <c r="F1094" s="1" t="s">
        <v>3683</v>
      </c>
      <c r="G1094" s="1" t="s">
        <v>1695</v>
      </c>
      <c r="H1094" s="1" t="s">
        <v>5729</v>
      </c>
      <c r="I1094" s="1">
        <v>20183.0</v>
      </c>
      <c r="J1094" s="1" t="s">
        <v>5730</v>
      </c>
      <c r="K1094" s="1" t="s">
        <v>5731</v>
      </c>
      <c r="L1094" s="1">
        <v>41.0</v>
      </c>
      <c r="M1094" s="1" t="s">
        <v>35</v>
      </c>
      <c r="N1094" s="1" t="s">
        <v>36</v>
      </c>
      <c r="O1094" s="1" t="s">
        <v>628</v>
      </c>
      <c r="P1094" s="1">
        <v>4.0E7</v>
      </c>
      <c r="Q1094" s="1">
        <v>1992.0</v>
      </c>
      <c r="R1094" s="1">
        <v>723.0</v>
      </c>
      <c r="S1094" s="1">
        <v>558.0</v>
      </c>
      <c r="T1094" s="1">
        <v>547.0</v>
      </c>
      <c r="U1094" s="1">
        <v>3841.0</v>
      </c>
      <c r="V1094" s="1">
        <v>71.0</v>
      </c>
      <c r="W1094" s="1">
        <v>0.0</v>
      </c>
      <c r="X1094" s="1">
        <v>1.0</v>
      </c>
      <c r="Y1094" s="1">
        <v>1.85</v>
      </c>
      <c r="Z1094" s="1">
        <v>5.4</v>
      </c>
    </row>
    <row r="1095" ht="14.25" customHeight="1">
      <c r="A1095" s="1" t="s">
        <v>26</v>
      </c>
      <c r="B1095" s="1" t="s">
        <v>932</v>
      </c>
      <c r="C1095" s="1" t="s">
        <v>5732</v>
      </c>
      <c r="D1095" s="1">
        <v>1.59578352E8</v>
      </c>
      <c r="E1095" s="1" t="s">
        <v>1670</v>
      </c>
      <c r="F1095" s="1" t="s">
        <v>2418</v>
      </c>
      <c r="G1095" s="1" t="s">
        <v>5733</v>
      </c>
      <c r="H1095" s="1" t="s">
        <v>5493</v>
      </c>
      <c r="I1095" s="1">
        <v>133177.0</v>
      </c>
      <c r="J1095" s="1" t="s">
        <v>5734</v>
      </c>
      <c r="K1095" s="1" t="s">
        <v>5735</v>
      </c>
      <c r="L1095" s="1">
        <v>380.0</v>
      </c>
      <c r="M1095" s="1" t="s">
        <v>35</v>
      </c>
      <c r="N1095" s="1" t="s">
        <v>36</v>
      </c>
      <c r="O1095" s="1" t="s">
        <v>628</v>
      </c>
      <c r="P1095" s="1">
        <v>4.3E7</v>
      </c>
      <c r="Q1095" s="1">
        <v>2013.0</v>
      </c>
      <c r="R1095" s="1">
        <v>975.0</v>
      </c>
      <c r="S1095" s="1">
        <v>815.0</v>
      </c>
      <c r="T1095" s="1">
        <v>749.0</v>
      </c>
      <c r="U1095" s="1">
        <v>4825.0</v>
      </c>
      <c r="V1095" s="1">
        <v>176.0</v>
      </c>
      <c r="W1095" s="1">
        <v>24000.0</v>
      </c>
      <c r="X1095" s="1">
        <v>7.0</v>
      </c>
      <c r="Y1095" s="1">
        <v>2.35</v>
      </c>
      <c r="Z1095" s="1">
        <v>6.6</v>
      </c>
    </row>
    <row r="1096" ht="14.25" customHeight="1">
      <c r="A1096" s="1" t="s">
        <v>26</v>
      </c>
      <c r="B1096" s="1" t="s">
        <v>5736</v>
      </c>
      <c r="C1096" s="1" t="s">
        <v>5737</v>
      </c>
      <c r="D1096" s="1">
        <v>5.775E7</v>
      </c>
      <c r="E1096" s="1" t="s">
        <v>5738</v>
      </c>
      <c r="F1096" s="1" t="s">
        <v>3095</v>
      </c>
      <c r="G1096" s="1" t="s">
        <v>5739</v>
      </c>
      <c r="H1096" s="1" t="s">
        <v>5740</v>
      </c>
      <c r="I1096" s="1">
        <v>21554.0</v>
      </c>
      <c r="J1096" s="1" t="s">
        <v>5741</v>
      </c>
      <c r="K1096" s="1" t="s">
        <v>5742</v>
      </c>
      <c r="L1096" s="1">
        <v>192.0</v>
      </c>
      <c r="M1096" s="1" t="s">
        <v>35</v>
      </c>
      <c r="N1096" s="1" t="s">
        <v>54</v>
      </c>
      <c r="O1096" s="1" t="s">
        <v>5661</v>
      </c>
      <c r="P1096" s="1">
        <v>3.1115E7</v>
      </c>
      <c r="Q1096" s="1">
        <v>1963.0</v>
      </c>
      <c r="R1096" s="1">
        <v>940.0</v>
      </c>
      <c r="S1096" s="1">
        <v>726.0</v>
      </c>
      <c r="T1096" s="1">
        <v>595.0</v>
      </c>
      <c r="U1096" s="1">
        <v>2957.0</v>
      </c>
      <c r="V1096" s="1">
        <v>311.0</v>
      </c>
      <c r="W1096" s="1">
        <v>0.0</v>
      </c>
      <c r="X1096" s="1">
        <v>2.0</v>
      </c>
      <c r="Y1096" s="1">
        <v>2.2</v>
      </c>
      <c r="Z1096" s="1">
        <v>7.0</v>
      </c>
    </row>
    <row r="1097" ht="14.25" customHeight="1">
      <c r="A1097" s="1" t="s">
        <v>26</v>
      </c>
      <c r="B1097" s="1" t="s">
        <v>1549</v>
      </c>
      <c r="C1097" s="1" t="s">
        <v>5743</v>
      </c>
      <c r="D1097" s="1">
        <v>4.5290318E7</v>
      </c>
      <c r="E1097" s="1" t="s">
        <v>3063</v>
      </c>
      <c r="F1097" s="1" t="s">
        <v>480</v>
      </c>
      <c r="G1097" s="1" t="s">
        <v>5744</v>
      </c>
      <c r="H1097" s="1" t="s">
        <v>5745</v>
      </c>
      <c r="I1097" s="1">
        <v>74169.0</v>
      </c>
      <c r="J1097" s="1" t="s">
        <v>5746</v>
      </c>
      <c r="K1097" s="1" t="s">
        <v>5747</v>
      </c>
      <c r="L1097" s="1">
        <v>112.0</v>
      </c>
      <c r="M1097" s="1" t="s">
        <v>35</v>
      </c>
      <c r="N1097" s="1" t="s">
        <v>36</v>
      </c>
      <c r="O1097" s="1" t="s">
        <v>87</v>
      </c>
      <c r="P1097" s="1">
        <v>4.2E7</v>
      </c>
      <c r="Q1097" s="1">
        <v>2012.0</v>
      </c>
      <c r="R1097" s="1">
        <v>4000.0</v>
      </c>
      <c r="S1097" s="1">
        <v>828.0</v>
      </c>
      <c r="T1097" s="1">
        <v>491.0</v>
      </c>
      <c r="U1097" s="1">
        <v>6727.0</v>
      </c>
      <c r="V1097" s="1">
        <v>153.0</v>
      </c>
      <c r="W1097" s="1">
        <v>17000.0</v>
      </c>
      <c r="X1097" s="1">
        <v>2.0</v>
      </c>
      <c r="Y1097" s="1">
        <v>1.85</v>
      </c>
      <c r="Z1097" s="1">
        <v>6.5</v>
      </c>
    </row>
    <row r="1098" ht="14.25" customHeight="1">
      <c r="A1098" s="1" t="s">
        <v>26</v>
      </c>
      <c r="B1098" s="1" t="s">
        <v>4985</v>
      </c>
      <c r="C1098" s="1" t="s">
        <v>5748</v>
      </c>
      <c r="D1098" s="1">
        <v>4.1543207E7</v>
      </c>
      <c r="E1098" s="1" t="s">
        <v>2061</v>
      </c>
      <c r="F1098" s="1" t="s">
        <v>451</v>
      </c>
      <c r="G1098" s="1" t="s">
        <v>1475</v>
      </c>
      <c r="H1098" s="1" t="s">
        <v>1231</v>
      </c>
      <c r="I1098" s="1">
        <v>30077.0</v>
      </c>
      <c r="J1098" s="1" t="s">
        <v>5749</v>
      </c>
      <c r="K1098" s="1" t="s">
        <v>5750</v>
      </c>
      <c r="L1098" s="1">
        <v>175.0</v>
      </c>
      <c r="M1098" s="1" t="s">
        <v>35</v>
      </c>
      <c r="N1098" s="1" t="s">
        <v>36</v>
      </c>
      <c r="O1098" s="1" t="s">
        <v>37</v>
      </c>
      <c r="P1098" s="1">
        <v>4.2E7</v>
      </c>
      <c r="Q1098" s="1">
        <v>2002.0</v>
      </c>
      <c r="R1098" s="1">
        <v>11000.0</v>
      </c>
      <c r="S1098" s="1">
        <v>3000.0</v>
      </c>
      <c r="T1098" s="1">
        <v>505.0</v>
      </c>
      <c r="U1098" s="1">
        <v>15571.0</v>
      </c>
      <c r="V1098" s="1">
        <v>73.0</v>
      </c>
      <c r="W1098" s="1">
        <v>893.0</v>
      </c>
      <c r="X1098" s="1">
        <v>1.0</v>
      </c>
      <c r="Y1098" s="1">
        <v>2.35</v>
      </c>
      <c r="Z1098" s="1">
        <v>6.3</v>
      </c>
    </row>
    <row r="1099" ht="14.25" customHeight="1">
      <c r="A1099" s="1" t="s">
        <v>26</v>
      </c>
      <c r="B1099" s="1" t="s">
        <v>5751</v>
      </c>
      <c r="C1099" s="1" t="s">
        <v>5752</v>
      </c>
      <c r="D1099" s="1">
        <v>4.1252428E7</v>
      </c>
      <c r="E1099" s="1" t="s">
        <v>1359</v>
      </c>
      <c r="F1099" s="1" t="s">
        <v>293</v>
      </c>
      <c r="G1099" s="1" t="s">
        <v>2765</v>
      </c>
      <c r="H1099" s="1" t="s">
        <v>5753</v>
      </c>
      <c r="I1099" s="1">
        <v>11453.0</v>
      </c>
      <c r="J1099" s="1" t="s">
        <v>5754</v>
      </c>
      <c r="K1099" s="1" t="s">
        <v>5755</v>
      </c>
      <c r="L1099" s="1">
        <v>71.0</v>
      </c>
      <c r="M1099" s="1" t="s">
        <v>35</v>
      </c>
      <c r="N1099" s="1" t="s">
        <v>36</v>
      </c>
      <c r="O1099" s="1" t="s">
        <v>37</v>
      </c>
      <c r="P1099" s="1">
        <v>4.2E7</v>
      </c>
      <c r="Q1099" s="1">
        <v>1996.0</v>
      </c>
      <c r="R1099" s="1">
        <v>12000.0</v>
      </c>
      <c r="S1099" s="1">
        <v>592.0</v>
      </c>
      <c r="T1099" s="1">
        <v>292.0</v>
      </c>
      <c r="U1099" s="1">
        <v>13716.0</v>
      </c>
      <c r="V1099" s="1">
        <v>0.0</v>
      </c>
      <c r="W1099" s="1">
        <v>0.0</v>
      </c>
      <c r="X1099" s="1">
        <v>0.0</v>
      </c>
      <c r="Y1099" s="1">
        <v>1.85</v>
      </c>
      <c r="Z1099" s="1">
        <v>6.5</v>
      </c>
    </row>
    <row r="1100" ht="14.25" customHeight="1">
      <c r="A1100" s="1" t="s">
        <v>26</v>
      </c>
      <c r="B1100" s="1" t="s">
        <v>5756</v>
      </c>
      <c r="C1100" s="1" t="s">
        <v>5757</v>
      </c>
      <c r="D1100" s="1">
        <v>3.5228696E7</v>
      </c>
      <c r="E1100" s="1" t="s">
        <v>5758</v>
      </c>
      <c r="F1100" s="1" t="s">
        <v>2297</v>
      </c>
      <c r="G1100" s="1" t="s">
        <v>942</v>
      </c>
      <c r="H1100" s="1" t="s">
        <v>5759</v>
      </c>
      <c r="I1100" s="1">
        <v>63677.0</v>
      </c>
      <c r="J1100" s="1" t="s">
        <v>5760</v>
      </c>
      <c r="K1100" s="1" t="s">
        <v>5761</v>
      </c>
      <c r="L1100" s="1">
        <v>460.0</v>
      </c>
      <c r="M1100" s="1" t="s">
        <v>35</v>
      </c>
      <c r="N1100" s="1" t="s">
        <v>36</v>
      </c>
      <c r="O1100" s="1" t="s">
        <v>37</v>
      </c>
      <c r="P1100" s="1">
        <v>3.2E7</v>
      </c>
      <c r="Q1100" s="1">
        <v>2002.0</v>
      </c>
      <c r="R1100" s="1">
        <v>650.0</v>
      </c>
      <c r="S1100" s="1">
        <v>537.0</v>
      </c>
      <c r="T1100" s="1">
        <v>395.0</v>
      </c>
      <c r="U1100" s="1">
        <v>1651.0</v>
      </c>
      <c r="V1100" s="1">
        <v>89.0</v>
      </c>
      <c r="W1100" s="1">
        <v>0.0</v>
      </c>
      <c r="X1100" s="1">
        <v>0.0</v>
      </c>
      <c r="Y1100" s="1">
        <v>2.35</v>
      </c>
      <c r="Z1100" s="1">
        <v>6.5</v>
      </c>
    </row>
    <row r="1101" ht="14.25" customHeight="1">
      <c r="A1101" s="1" t="s">
        <v>26</v>
      </c>
      <c r="B1101" s="1" t="s">
        <v>3531</v>
      </c>
      <c r="C1101" s="1" t="s">
        <v>5762</v>
      </c>
      <c r="D1101" s="1">
        <v>5.999276E7</v>
      </c>
      <c r="E1101" s="1" t="s">
        <v>1885</v>
      </c>
      <c r="F1101" s="1" t="s">
        <v>5763</v>
      </c>
      <c r="G1101" s="1" t="s">
        <v>1907</v>
      </c>
      <c r="H1101" s="1" t="s">
        <v>5764</v>
      </c>
      <c r="I1101" s="1">
        <v>119622.0</v>
      </c>
      <c r="J1101" s="1" t="s">
        <v>5765</v>
      </c>
      <c r="K1101" s="1" t="s">
        <v>5766</v>
      </c>
      <c r="L1101" s="1">
        <v>396.0</v>
      </c>
      <c r="M1101" s="1" t="s">
        <v>35</v>
      </c>
      <c r="N1101" s="1" t="s">
        <v>36</v>
      </c>
      <c r="O1101" s="1" t="s">
        <v>628</v>
      </c>
      <c r="P1101" s="1">
        <v>4.2E7</v>
      </c>
      <c r="Q1101" s="1">
        <v>2009.0</v>
      </c>
      <c r="R1101" s="1">
        <v>468.0</v>
      </c>
      <c r="S1101" s="1">
        <v>442.0</v>
      </c>
      <c r="T1101" s="1">
        <v>412.0</v>
      </c>
      <c r="U1101" s="1">
        <v>2134.0</v>
      </c>
      <c r="V1101" s="1">
        <v>119.0</v>
      </c>
      <c r="W1101" s="1">
        <v>0.0</v>
      </c>
      <c r="X1101" s="1">
        <v>1.0</v>
      </c>
      <c r="Y1101" s="1">
        <v>1.85</v>
      </c>
      <c r="Z1101" s="1">
        <v>5.8</v>
      </c>
    </row>
    <row r="1102" ht="14.25" customHeight="1">
      <c r="A1102" s="1" t="s">
        <v>26</v>
      </c>
      <c r="B1102" s="1" t="s">
        <v>5767</v>
      </c>
      <c r="C1102" s="1" t="s">
        <v>5768</v>
      </c>
      <c r="D1102" s="1">
        <v>3.4667015E7</v>
      </c>
      <c r="E1102" s="1" t="s">
        <v>48</v>
      </c>
      <c r="F1102" s="1" t="s">
        <v>5769</v>
      </c>
      <c r="G1102" s="1" t="s">
        <v>3313</v>
      </c>
      <c r="H1102" s="1" t="s">
        <v>5770</v>
      </c>
      <c r="I1102" s="1">
        <v>74009.0</v>
      </c>
      <c r="J1102" s="1" t="s">
        <v>5771</v>
      </c>
      <c r="K1102" s="1" t="s">
        <v>5772</v>
      </c>
      <c r="L1102" s="1">
        <v>317.0</v>
      </c>
      <c r="M1102" s="1" t="s">
        <v>35</v>
      </c>
      <c r="N1102" s="1" t="s">
        <v>54</v>
      </c>
      <c r="O1102" s="1" t="s">
        <v>37</v>
      </c>
      <c r="P1102" s="1">
        <v>3.2E7</v>
      </c>
      <c r="Q1102" s="1">
        <v>1989.0</v>
      </c>
      <c r="R1102" s="1">
        <v>683.0</v>
      </c>
      <c r="S1102" s="1">
        <v>349.0</v>
      </c>
      <c r="T1102" s="1">
        <v>275.0</v>
      </c>
      <c r="U1102" s="1">
        <v>2371.0</v>
      </c>
      <c r="V1102" s="1">
        <v>46.0</v>
      </c>
      <c r="W1102" s="1">
        <v>0.0</v>
      </c>
      <c r="X1102" s="1">
        <v>0.0</v>
      </c>
      <c r="Y1102" s="1">
        <v>2.35</v>
      </c>
      <c r="Z1102" s="1">
        <v>6.6</v>
      </c>
    </row>
    <row r="1103" ht="14.25" customHeight="1">
      <c r="A1103" s="1" t="s">
        <v>26</v>
      </c>
      <c r="B1103" s="1" t="s">
        <v>5773</v>
      </c>
      <c r="C1103" s="1" t="s">
        <v>5774</v>
      </c>
      <c r="D1103" s="1">
        <v>3.7652565E7</v>
      </c>
      <c r="E1103" s="1" t="s">
        <v>2546</v>
      </c>
      <c r="F1103" s="1" t="s">
        <v>425</v>
      </c>
      <c r="G1103" s="1" t="s">
        <v>3848</v>
      </c>
      <c r="H1103" s="1" t="s">
        <v>2548</v>
      </c>
      <c r="I1103" s="1">
        <v>91151.0</v>
      </c>
      <c r="J1103" s="1" t="s">
        <v>5775</v>
      </c>
      <c r="K1103" s="1" t="s">
        <v>5776</v>
      </c>
      <c r="L1103" s="1">
        <v>283.0</v>
      </c>
      <c r="M1103" s="1" t="s">
        <v>35</v>
      </c>
      <c r="N1103" s="1" t="s">
        <v>36</v>
      </c>
      <c r="O1103" s="1" t="s">
        <v>37</v>
      </c>
      <c r="P1103" s="1">
        <v>4.2E7</v>
      </c>
      <c r="Q1103" s="1">
        <v>2011.0</v>
      </c>
      <c r="R1103" s="1">
        <v>10000.0</v>
      </c>
      <c r="S1103" s="1">
        <v>2000.0</v>
      </c>
      <c r="T1103" s="1">
        <v>913.0</v>
      </c>
      <c r="U1103" s="1">
        <v>15369.0</v>
      </c>
      <c r="V1103" s="1">
        <v>308.0</v>
      </c>
      <c r="W1103" s="1">
        <v>20000.0</v>
      </c>
      <c r="X1103" s="1">
        <v>2.0</v>
      </c>
      <c r="Y1103" s="1">
        <v>2.35</v>
      </c>
      <c r="Z1103" s="1">
        <v>5.4</v>
      </c>
    </row>
    <row r="1104" ht="14.25" customHeight="1">
      <c r="A1104" s="1" t="s">
        <v>26</v>
      </c>
      <c r="B1104" s="1" t="s">
        <v>5777</v>
      </c>
      <c r="C1104" s="1" t="s">
        <v>5778</v>
      </c>
      <c r="D1104" s="1">
        <v>2.4375436E7</v>
      </c>
      <c r="E1104" s="1" t="s">
        <v>449</v>
      </c>
      <c r="F1104" s="1" t="s">
        <v>1663</v>
      </c>
      <c r="G1104" s="1" t="s">
        <v>741</v>
      </c>
      <c r="H1104" s="1" t="s">
        <v>256</v>
      </c>
      <c r="I1104" s="1">
        <v>42547.0</v>
      </c>
      <c r="J1104" s="1" t="s">
        <v>5779</v>
      </c>
      <c r="K1104" s="1" t="s">
        <v>5780</v>
      </c>
      <c r="L1104" s="1">
        <v>265.0</v>
      </c>
      <c r="M1104" s="1" t="s">
        <v>35</v>
      </c>
      <c r="N1104" s="1" t="s">
        <v>36</v>
      </c>
      <c r="O1104" s="1" t="s">
        <v>628</v>
      </c>
      <c r="P1104" s="1">
        <v>4.2E7</v>
      </c>
      <c r="Q1104" s="1">
        <v>2001.0</v>
      </c>
      <c r="R1104" s="1">
        <v>22000.0</v>
      </c>
      <c r="S1104" s="1">
        <v>9000.0</v>
      </c>
      <c r="T1104" s="1">
        <v>808.0</v>
      </c>
      <c r="U1104" s="1">
        <v>33585.0</v>
      </c>
      <c r="V1104" s="1">
        <v>17.0</v>
      </c>
      <c r="W1104" s="1">
        <v>748.0</v>
      </c>
      <c r="X1104" s="1">
        <v>1.0</v>
      </c>
      <c r="Y1104" s="1">
        <v>2.35</v>
      </c>
      <c r="Z1104" s="1">
        <v>6.1</v>
      </c>
    </row>
    <row r="1105" ht="14.25" customHeight="1">
      <c r="A1105" s="1" t="s">
        <v>26</v>
      </c>
      <c r="B1105" s="1" t="s">
        <v>5781</v>
      </c>
      <c r="C1105" s="1" t="s">
        <v>5782</v>
      </c>
      <c r="D1105" s="1">
        <v>2.0915465E7</v>
      </c>
      <c r="E1105" s="1" t="s">
        <v>5550</v>
      </c>
      <c r="F1105" s="1" t="s">
        <v>2307</v>
      </c>
      <c r="G1105" s="1" t="s">
        <v>5783</v>
      </c>
      <c r="H1105" s="1" t="s">
        <v>733</v>
      </c>
      <c r="I1105" s="1">
        <v>38203.0</v>
      </c>
      <c r="J1105" s="1" t="s">
        <v>5784</v>
      </c>
      <c r="K1105" s="1" t="s">
        <v>5785</v>
      </c>
      <c r="L1105" s="1">
        <v>290.0</v>
      </c>
      <c r="M1105" s="1" t="s">
        <v>35</v>
      </c>
      <c r="N1105" s="1" t="s">
        <v>54</v>
      </c>
      <c r="O1105" s="1" t="s">
        <v>87</v>
      </c>
      <c r="P1105" s="1">
        <v>4.2E7</v>
      </c>
      <c r="Q1105" s="1">
        <v>1993.0</v>
      </c>
      <c r="R1105" s="1">
        <v>5000.0</v>
      </c>
      <c r="S1105" s="1">
        <v>922.0</v>
      </c>
      <c r="T1105" s="1">
        <v>687.0</v>
      </c>
      <c r="U1105" s="1">
        <v>7723.0</v>
      </c>
      <c r="V1105" s="1">
        <v>5.0</v>
      </c>
      <c r="W1105" s="1">
        <v>0.0</v>
      </c>
      <c r="X1105" s="1">
        <v>0.0</v>
      </c>
      <c r="Y1105" s="1">
        <v>1.85</v>
      </c>
      <c r="Z1105" s="1">
        <v>4.0</v>
      </c>
    </row>
    <row r="1106" ht="14.25" customHeight="1">
      <c r="A1106" s="1" t="s">
        <v>26</v>
      </c>
      <c r="B1106" s="1" t="s">
        <v>5055</v>
      </c>
      <c r="C1106" s="1" t="s">
        <v>5786</v>
      </c>
      <c r="D1106" s="1">
        <v>2.4127895E7</v>
      </c>
      <c r="E1106" s="1" t="s">
        <v>2045</v>
      </c>
      <c r="F1106" s="1" t="s">
        <v>668</v>
      </c>
      <c r="G1106" s="1" t="s">
        <v>5787</v>
      </c>
      <c r="H1106" s="1" t="s">
        <v>5788</v>
      </c>
      <c r="I1106" s="1">
        <v>248123.0</v>
      </c>
      <c r="J1106" s="1" t="s">
        <v>5789</v>
      </c>
      <c r="K1106" s="1" t="s">
        <v>5790</v>
      </c>
      <c r="L1106" s="1">
        <v>437.0</v>
      </c>
      <c r="M1106" s="1" t="s">
        <v>35</v>
      </c>
      <c r="N1106" s="1" t="s">
        <v>36</v>
      </c>
      <c r="O1106" s="1" t="s">
        <v>628</v>
      </c>
      <c r="P1106" s="1">
        <v>5.0E7</v>
      </c>
      <c r="Q1106" s="1">
        <v>2005.0</v>
      </c>
      <c r="R1106" s="1">
        <v>12000.0</v>
      </c>
      <c r="S1106" s="1">
        <v>43.0</v>
      </c>
      <c r="T1106" s="1">
        <v>16.0</v>
      </c>
      <c r="U1106" s="1">
        <v>12076.0</v>
      </c>
      <c r="V1106" s="1">
        <v>487.0</v>
      </c>
      <c r="W1106" s="1">
        <v>10000.0</v>
      </c>
      <c r="X1106" s="1">
        <v>2.0</v>
      </c>
      <c r="Y1106" s="1">
        <v>2.35</v>
      </c>
      <c r="Z1106" s="1">
        <v>7.6</v>
      </c>
    </row>
    <row r="1107" ht="14.25" customHeight="1">
      <c r="A1107" s="1" t="s">
        <v>710</v>
      </c>
      <c r="B1107" s="1" t="s">
        <v>1857</v>
      </c>
      <c r="C1107" s="1" t="s">
        <v>5791</v>
      </c>
      <c r="D1107" s="1">
        <v>84961.0</v>
      </c>
      <c r="E1107" s="1" t="s">
        <v>1257</v>
      </c>
      <c r="F1107" s="1" t="s">
        <v>487</v>
      </c>
      <c r="G1107" s="1" t="s">
        <v>5792</v>
      </c>
      <c r="H1107" s="1" t="s">
        <v>5793</v>
      </c>
      <c r="I1107" s="1">
        <v>149414.0</v>
      </c>
      <c r="J1107" s="1" t="s">
        <v>5794</v>
      </c>
      <c r="K1107" s="1" t="s">
        <v>5795</v>
      </c>
      <c r="L1107" s="1">
        <v>841.0</v>
      </c>
      <c r="M1107" s="1" t="s">
        <v>1864</v>
      </c>
      <c r="N1107" s="1" t="s">
        <v>855</v>
      </c>
      <c r="O1107" s="1" t="s">
        <v>37</v>
      </c>
      <c r="P1107" s="1">
        <v>3.1E7</v>
      </c>
      <c r="Q1107" s="1">
        <v>2002.0</v>
      </c>
      <c r="R1107" s="1">
        <v>5000.0</v>
      </c>
      <c r="S1107" s="1">
        <v>643.0</v>
      </c>
      <c r="T1107" s="1">
        <v>576.0</v>
      </c>
      <c r="U1107" s="1">
        <v>6229.0</v>
      </c>
      <c r="V1107" s="1">
        <v>611.0</v>
      </c>
      <c r="W1107" s="1">
        <v>0.0</v>
      </c>
      <c r="X1107" s="1">
        <v>4.0</v>
      </c>
      <c r="Y1107" s="1">
        <v>2.35</v>
      </c>
      <c r="Z1107" s="1">
        <v>7.9</v>
      </c>
    </row>
    <row r="1108" ht="14.25" customHeight="1">
      <c r="A1108" s="1" t="s">
        <v>26</v>
      </c>
      <c r="B1108" s="1" t="s">
        <v>5796</v>
      </c>
      <c r="C1108" s="1" t="s">
        <v>5797</v>
      </c>
      <c r="D1108" s="1">
        <v>2.6404753E7</v>
      </c>
      <c r="E1108" s="1" t="s">
        <v>1464</v>
      </c>
      <c r="F1108" s="1" t="s">
        <v>5783</v>
      </c>
      <c r="G1108" s="1" t="s">
        <v>5798</v>
      </c>
      <c r="H1108" s="1" t="s">
        <v>3778</v>
      </c>
      <c r="I1108" s="1">
        <v>34203.0</v>
      </c>
      <c r="J1108" s="1" t="s">
        <v>5799</v>
      </c>
      <c r="K1108" s="1" t="s">
        <v>5800</v>
      </c>
      <c r="L1108" s="1">
        <v>169.0</v>
      </c>
      <c r="M1108" s="1" t="s">
        <v>35</v>
      </c>
      <c r="N1108" s="1" t="s">
        <v>36</v>
      </c>
      <c r="O1108" s="1" t="s">
        <v>37</v>
      </c>
      <c r="P1108" s="1">
        <v>4.0E7</v>
      </c>
      <c r="Q1108" s="1">
        <v>2012.0</v>
      </c>
      <c r="R1108" s="1">
        <v>922.0</v>
      </c>
      <c r="S1108" s="1">
        <v>786.0</v>
      </c>
      <c r="T1108" s="1">
        <v>497.0</v>
      </c>
      <c r="U1108" s="1">
        <v>3301.0</v>
      </c>
      <c r="V1108" s="1">
        <v>30.0</v>
      </c>
      <c r="W1108" s="1">
        <v>19000.0</v>
      </c>
      <c r="X1108" s="1">
        <v>1.0</v>
      </c>
      <c r="Y1108" s="1">
        <v>2.35</v>
      </c>
      <c r="Z1108" s="1">
        <v>5.3</v>
      </c>
    </row>
    <row r="1109" ht="14.25" customHeight="1">
      <c r="A1109" s="1" t="s">
        <v>26</v>
      </c>
      <c r="B1109" s="1" t="s">
        <v>5801</v>
      </c>
      <c r="C1109" s="1" t="s">
        <v>5802</v>
      </c>
      <c r="D1109" s="1">
        <v>6105175.0</v>
      </c>
      <c r="E1109" s="1" t="s">
        <v>1885</v>
      </c>
      <c r="F1109" s="1" t="s">
        <v>75</v>
      </c>
      <c r="G1109" s="1" t="s">
        <v>5803</v>
      </c>
      <c r="H1109" s="1" t="s">
        <v>5804</v>
      </c>
      <c r="I1109" s="1">
        <v>247020.0</v>
      </c>
      <c r="J1109" s="1" t="s">
        <v>5805</v>
      </c>
      <c r="K1109" s="1" t="s">
        <v>5806</v>
      </c>
      <c r="L1109" s="1">
        <v>835.0</v>
      </c>
      <c r="M1109" s="1" t="s">
        <v>35</v>
      </c>
      <c r="N1109" s="1" t="s">
        <v>36</v>
      </c>
      <c r="O1109" s="1" t="s">
        <v>628</v>
      </c>
      <c r="P1109" s="1">
        <v>4.4E7</v>
      </c>
      <c r="Q1109" s="1">
        <v>2014.0</v>
      </c>
      <c r="R1109" s="1">
        <v>11000.0</v>
      </c>
      <c r="S1109" s="1">
        <v>392.0</v>
      </c>
      <c r="T1109" s="1">
        <v>365.0</v>
      </c>
      <c r="U1109" s="1">
        <v>12239.0</v>
      </c>
      <c r="V1109" s="1">
        <v>133.0</v>
      </c>
      <c r="W1109" s="1">
        <v>50000.0</v>
      </c>
      <c r="X1109" s="1">
        <v>4.0</v>
      </c>
      <c r="Y1109" s="1">
        <v>2.35</v>
      </c>
      <c r="Z1109" s="1">
        <v>6.6</v>
      </c>
    </row>
    <row r="1110" ht="14.25" customHeight="1">
      <c r="A1110" s="1" t="s">
        <v>26</v>
      </c>
      <c r="B1110" s="1" t="s">
        <v>5807</v>
      </c>
      <c r="C1110" s="1" t="s">
        <v>5808</v>
      </c>
      <c r="D1110" s="1">
        <v>5664251.0</v>
      </c>
      <c r="E1110" s="1" t="s">
        <v>5809</v>
      </c>
      <c r="F1110" s="1" t="s">
        <v>4709</v>
      </c>
      <c r="G1110" s="1" t="s">
        <v>5810</v>
      </c>
      <c r="H1110" s="1" t="s">
        <v>5811</v>
      </c>
      <c r="I1110" s="1">
        <v>22309.0</v>
      </c>
      <c r="J1110" s="1" t="s">
        <v>5812</v>
      </c>
      <c r="K1110" s="1" t="s">
        <v>5813</v>
      </c>
      <c r="L1110" s="1">
        <v>102.0</v>
      </c>
      <c r="M1110" s="1" t="s">
        <v>35</v>
      </c>
      <c r="N1110" s="1" t="s">
        <v>171</v>
      </c>
      <c r="O1110" s="1" t="s">
        <v>628</v>
      </c>
      <c r="P1110" s="1">
        <v>4.5E7</v>
      </c>
      <c r="Q1110" s="1">
        <v>2010.0</v>
      </c>
      <c r="R1110" s="1">
        <v>624.0</v>
      </c>
      <c r="S1110" s="1">
        <v>489.0</v>
      </c>
      <c r="T1110" s="1">
        <v>433.0</v>
      </c>
      <c r="U1110" s="1">
        <v>2056.0</v>
      </c>
      <c r="V1110" s="1">
        <v>19.0</v>
      </c>
      <c r="W1110" s="1">
        <v>0.0</v>
      </c>
      <c r="X1110" s="1">
        <v>1.0</v>
      </c>
      <c r="Y1110" s="1">
        <v>2.35</v>
      </c>
      <c r="Z1110" s="1">
        <v>6.3</v>
      </c>
    </row>
    <row r="1111" ht="14.25" customHeight="1">
      <c r="A1111" s="1" t="s">
        <v>26</v>
      </c>
      <c r="B1111" s="1" t="s">
        <v>3964</v>
      </c>
      <c r="C1111" s="1" t="s">
        <v>5814</v>
      </c>
      <c r="D1111" s="1">
        <v>1260917.0</v>
      </c>
      <c r="E1111" s="1" t="s">
        <v>1670</v>
      </c>
      <c r="F1111" s="1" t="s">
        <v>229</v>
      </c>
      <c r="G1111" s="1" t="s">
        <v>5815</v>
      </c>
      <c r="H1111" s="1" t="s">
        <v>4561</v>
      </c>
      <c r="I1111" s="1">
        <v>24657.0</v>
      </c>
      <c r="J1111" s="1" t="s">
        <v>5816</v>
      </c>
      <c r="K1111" s="1" t="s">
        <v>5817</v>
      </c>
      <c r="L1111" s="1">
        <v>71.0</v>
      </c>
      <c r="M1111" s="1" t="s">
        <v>2752</v>
      </c>
      <c r="N1111" s="1" t="s">
        <v>1832</v>
      </c>
      <c r="O1111" s="1" t="s">
        <v>628</v>
      </c>
      <c r="P1111" s="1">
        <v>2.7E7</v>
      </c>
      <c r="Q1111" s="1">
        <v>2009.0</v>
      </c>
      <c r="R1111" s="1">
        <v>1000.0</v>
      </c>
      <c r="S1111" s="1">
        <v>172.0</v>
      </c>
      <c r="T1111" s="1">
        <v>52.0</v>
      </c>
      <c r="U1111" s="1">
        <v>1342.0</v>
      </c>
      <c r="V1111" s="1">
        <v>0.0</v>
      </c>
      <c r="W1111" s="1">
        <v>0.0</v>
      </c>
      <c r="X1111" s="1">
        <v>4.0</v>
      </c>
      <c r="Y1111" s="1">
        <v>2.35</v>
      </c>
      <c r="Z1111" s="1">
        <v>7.2</v>
      </c>
    </row>
    <row r="1112" ht="14.25" customHeight="1">
      <c r="A1112" s="1" t="s">
        <v>26</v>
      </c>
      <c r="B1112" s="1" t="s">
        <v>4643</v>
      </c>
      <c r="C1112" s="1" t="s">
        <v>5818</v>
      </c>
      <c r="D1112" s="1">
        <v>1.16724075E8</v>
      </c>
      <c r="E1112" s="1" t="s">
        <v>5819</v>
      </c>
      <c r="F1112" s="1" t="s">
        <v>1470</v>
      </c>
      <c r="G1112" s="1" t="s">
        <v>669</v>
      </c>
      <c r="H1112" s="1" t="s">
        <v>5820</v>
      </c>
      <c r="I1112" s="1">
        <v>187181.0</v>
      </c>
      <c r="J1112" s="1" t="s">
        <v>5821</v>
      </c>
      <c r="K1112" s="1" t="s">
        <v>5822</v>
      </c>
      <c r="L1112" s="1">
        <v>564.0</v>
      </c>
      <c r="M1112" s="1" t="s">
        <v>35</v>
      </c>
      <c r="N1112" s="1" t="s">
        <v>36</v>
      </c>
      <c r="O1112" s="1" t="s">
        <v>628</v>
      </c>
      <c r="P1112" s="1">
        <v>4.1E7</v>
      </c>
      <c r="Q1112" s="1">
        <v>2002.0</v>
      </c>
      <c r="R1112" s="1">
        <v>1000.0</v>
      </c>
      <c r="S1112" s="1">
        <v>418.0</v>
      </c>
      <c r="T1112" s="1">
        <v>196.0</v>
      </c>
      <c r="U1112" s="1">
        <v>1954.0</v>
      </c>
      <c r="V1112" s="1">
        <v>161.0</v>
      </c>
      <c r="W1112" s="1">
        <v>0.0</v>
      </c>
      <c r="X1112" s="1">
        <v>0.0</v>
      </c>
      <c r="Y1112" s="1">
        <v>2.35</v>
      </c>
      <c r="Z1112" s="1">
        <v>7.0</v>
      </c>
    </row>
    <row r="1113" ht="14.25" customHeight="1">
      <c r="A1113" s="1" t="s">
        <v>26</v>
      </c>
      <c r="B1113" s="1" t="s">
        <v>4806</v>
      </c>
      <c r="C1113" s="1" t="s">
        <v>5823</v>
      </c>
      <c r="D1113" s="1">
        <v>5.6083966E7</v>
      </c>
      <c r="E1113" s="1" t="s">
        <v>73</v>
      </c>
      <c r="F1113" s="1" t="s">
        <v>450</v>
      </c>
      <c r="G1113" s="1" t="s">
        <v>1733</v>
      </c>
      <c r="H1113" s="1" t="s">
        <v>5824</v>
      </c>
      <c r="I1113" s="1">
        <v>137003.0</v>
      </c>
      <c r="J1113" s="1" t="s">
        <v>5825</v>
      </c>
      <c r="K1113" s="1" t="s">
        <v>5826</v>
      </c>
      <c r="L1113" s="1">
        <v>658.0</v>
      </c>
      <c r="M1113" s="1" t="s">
        <v>35</v>
      </c>
      <c r="N1113" s="1" t="s">
        <v>36</v>
      </c>
      <c r="O1113" s="1" t="s">
        <v>37</v>
      </c>
      <c r="P1113" s="1">
        <v>6.5E7</v>
      </c>
      <c r="Q1113" s="1">
        <v>2001.0</v>
      </c>
      <c r="R1113" s="1">
        <v>13000.0</v>
      </c>
      <c r="S1113" s="1">
        <v>3000.0</v>
      </c>
      <c r="T1113" s="1">
        <v>996.0</v>
      </c>
      <c r="U1113" s="1">
        <v>18761.0</v>
      </c>
      <c r="V1113" s="1">
        <v>241.0</v>
      </c>
      <c r="W1113" s="1">
        <v>0.0</v>
      </c>
      <c r="X1113" s="1">
        <v>1.0</v>
      </c>
      <c r="Y1113" s="1">
        <v>2.35</v>
      </c>
      <c r="Z1113" s="1">
        <v>6.9</v>
      </c>
    </row>
    <row r="1114" ht="14.25" customHeight="1">
      <c r="A1114" s="1" t="s">
        <v>26</v>
      </c>
      <c r="B1114" s="1" t="s">
        <v>5827</v>
      </c>
      <c r="C1114" s="1" t="s">
        <v>5828</v>
      </c>
      <c r="D1114" s="1">
        <v>2.2108977E7</v>
      </c>
      <c r="E1114" s="1" t="s">
        <v>1207</v>
      </c>
      <c r="F1114" s="1" t="s">
        <v>5829</v>
      </c>
      <c r="G1114" s="1" t="s">
        <v>5830</v>
      </c>
      <c r="H1114" s="1" t="s">
        <v>5831</v>
      </c>
      <c r="I1114" s="1">
        <v>29861.0</v>
      </c>
      <c r="J1114" s="1" t="s">
        <v>5832</v>
      </c>
      <c r="K1114" s="1" t="s">
        <v>5833</v>
      </c>
      <c r="L1114" s="1">
        <v>132.0</v>
      </c>
      <c r="M1114" s="1" t="s">
        <v>35</v>
      </c>
      <c r="N1114" s="1" t="s">
        <v>3659</v>
      </c>
      <c r="O1114" s="1" t="s">
        <v>37</v>
      </c>
      <c r="P1114" s="1">
        <v>4.1E7</v>
      </c>
      <c r="Q1114" s="1">
        <v>2003.0</v>
      </c>
      <c r="R1114" s="1">
        <v>687.0</v>
      </c>
      <c r="S1114" s="1">
        <v>312.0</v>
      </c>
      <c r="T1114" s="1">
        <v>96.0</v>
      </c>
      <c r="U1114" s="1">
        <v>1134.0</v>
      </c>
      <c r="V1114" s="1">
        <v>4.0</v>
      </c>
      <c r="W1114" s="1">
        <v>505.0</v>
      </c>
      <c r="X1114" s="1">
        <v>1.0</v>
      </c>
      <c r="Y1114" s="1">
        <v>2.35</v>
      </c>
      <c r="Z1114" s="1">
        <v>5.2</v>
      </c>
    </row>
    <row r="1115" ht="14.25" customHeight="1">
      <c r="A1115" s="1" t="s">
        <v>26</v>
      </c>
      <c r="B1115" s="1" t="s">
        <v>875</v>
      </c>
      <c r="C1115" s="1" t="s">
        <v>5834</v>
      </c>
      <c r="D1115" s="1">
        <v>2.93501675E8</v>
      </c>
      <c r="E1115" s="1" t="s">
        <v>1842</v>
      </c>
      <c r="F1115" s="1" t="s">
        <v>941</v>
      </c>
      <c r="G1115" s="1" t="s">
        <v>2105</v>
      </c>
      <c r="H1115" s="1" t="s">
        <v>1938</v>
      </c>
      <c r="I1115" s="1">
        <v>704766.0</v>
      </c>
      <c r="J1115" s="1" t="s">
        <v>5835</v>
      </c>
      <c r="K1115" s="1" t="s">
        <v>5836</v>
      </c>
      <c r="L1115" s="1">
        <v>2073.0</v>
      </c>
      <c r="M1115" s="1" t="s">
        <v>35</v>
      </c>
      <c r="N1115" s="1" t="s">
        <v>36</v>
      </c>
      <c r="O1115" s="1" t="s">
        <v>37</v>
      </c>
      <c r="P1115" s="1">
        <v>4.0E7</v>
      </c>
      <c r="Q1115" s="1">
        <v>1999.0</v>
      </c>
      <c r="R1115" s="1">
        <v>13000.0</v>
      </c>
      <c r="S1115" s="1">
        <v>3000.0</v>
      </c>
      <c r="T1115" s="1">
        <v>766.0</v>
      </c>
      <c r="U1115" s="1">
        <v>17540.0</v>
      </c>
      <c r="V1115" s="1">
        <v>0.0</v>
      </c>
      <c r="W1115" s="1">
        <v>14000.0</v>
      </c>
      <c r="X1115" s="1">
        <v>0.0</v>
      </c>
      <c r="Y1115" s="1">
        <v>1.85</v>
      </c>
      <c r="Z1115" s="1">
        <v>8.1</v>
      </c>
    </row>
    <row r="1116" ht="14.25" customHeight="1">
      <c r="A1116" s="1" t="s">
        <v>26</v>
      </c>
      <c r="B1116" s="1" t="s">
        <v>5837</v>
      </c>
      <c r="C1116" s="1" t="s">
        <v>5838</v>
      </c>
      <c r="D1116" s="1">
        <v>1.8600911E7</v>
      </c>
      <c r="E1116" s="1" t="s">
        <v>326</v>
      </c>
      <c r="F1116" s="1" t="s">
        <v>5523</v>
      </c>
      <c r="G1116" s="1" t="s">
        <v>5839</v>
      </c>
      <c r="H1116" s="1" t="s">
        <v>5840</v>
      </c>
      <c r="I1116" s="1">
        <v>125198.0</v>
      </c>
      <c r="J1116" s="1" t="s">
        <v>5841</v>
      </c>
      <c r="K1116" s="1" t="s">
        <v>5842</v>
      </c>
      <c r="L1116" s="1">
        <v>153.0</v>
      </c>
      <c r="M1116" s="1" t="s">
        <v>35</v>
      </c>
      <c r="N1116" s="1" t="s">
        <v>36</v>
      </c>
      <c r="O1116" s="1" t="s">
        <v>37</v>
      </c>
      <c r="P1116" s="1">
        <v>4.2E7</v>
      </c>
      <c r="Q1116" s="1">
        <v>2012.0</v>
      </c>
      <c r="R1116" s="1">
        <v>107.0</v>
      </c>
      <c r="S1116" s="1">
        <v>81.0</v>
      </c>
      <c r="T1116" s="1">
        <v>54.0</v>
      </c>
      <c r="U1116" s="1">
        <v>362.0</v>
      </c>
      <c r="V1116" s="1">
        <v>20.0</v>
      </c>
      <c r="W1116" s="1">
        <v>11000.0</v>
      </c>
      <c r="X1116" s="1">
        <v>6.0</v>
      </c>
      <c r="Y1116" s="1">
        <v>2.35</v>
      </c>
      <c r="Z1116" s="1">
        <v>6.6</v>
      </c>
    </row>
    <row r="1117" ht="14.25" customHeight="1">
      <c r="A1117" s="1" t="s">
        <v>26</v>
      </c>
      <c r="B1117" s="1" t="s">
        <v>3729</v>
      </c>
      <c r="C1117" s="1" t="s">
        <v>5843</v>
      </c>
      <c r="D1117" s="1">
        <v>7204138.0</v>
      </c>
      <c r="E1117" s="1" t="s">
        <v>1885</v>
      </c>
      <c r="F1117" s="1" t="s">
        <v>5477</v>
      </c>
      <c r="G1117" s="1" t="s">
        <v>3070</v>
      </c>
      <c r="H1117" s="1" t="s">
        <v>5844</v>
      </c>
      <c r="I1117" s="1">
        <v>34809.0</v>
      </c>
      <c r="J1117" s="1" t="s">
        <v>5845</v>
      </c>
      <c r="K1117" s="1" t="s">
        <v>5846</v>
      </c>
      <c r="L1117" s="1">
        <v>125.0</v>
      </c>
      <c r="M1117" s="1" t="s">
        <v>35</v>
      </c>
      <c r="N1117" s="1" t="s">
        <v>36</v>
      </c>
      <c r="O1117" s="1" t="s">
        <v>87</v>
      </c>
      <c r="P1117" s="1">
        <v>4.1E7</v>
      </c>
      <c r="Q1117" s="1">
        <v>2011.0</v>
      </c>
      <c r="R1117" s="1">
        <v>734.0</v>
      </c>
      <c r="S1117" s="1">
        <v>574.0</v>
      </c>
      <c r="T1117" s="1">
        <v>296.0</v>
      </c>
      <c r="U1117" s="1">
        <v>2085.0</v>
      </c>
      <c r="V1117" s="1">
        <v>64.0</v>
      </c>
      <c r="W1117" s="1">
        <v>11000.0</v>
      </c>
      <c r="X1117" s="1">
        <v>0.0</v>
      </c>
      <c r="Y1117" s="1">
        <v>2.35</v>
      </c>
      <c r="Z1117" s="1">
        <v>6.2</v>
      </c>
    </row>
    <row r="1118" ht="14.25" customHeight="1">
      <c r="A1118" s="1" t="s">
        <v>26</v>
      </c>
      <c r="B1118" s="1" t="s">
        <v>5847</v>
      </c>
      <c r="C1118" s="1" t="s">
        <v>5848</v>
      </c>
      <c r="D1118" s="1">
        <v>9.08E7</v>
      </c>
      <c r="E1118" s="1" t="s">
        <v>5849</v>
      </c>
      <c r="F1118" s="1" t="s">
        <v>5646</v>
      </c>
      <c r="G1118" s="1" t="s">
        <v>5850</v>
      </c>
      <c r="H1118" s="1" t="s">
        <v>5851</v>
      </c>
      <c r="I1118" s="1">
        <v>126907.0</v>
      </c>
      <c r="J1118" s="1" t="s">
        <v>5852</v>
      </c>
      <c r="K1118" s="1" t="s">
        <v>5853</v>
      </c>
      <c r="L1118" s="1">
        <v>235.0</v>
      </c>
      <c r="M1118" s="1" t="s">
        <v>35</v>
      </c>
      <c r="N1118" s="1" t="s">
        <v>36</v>
      </c>
      <c r="O1118" s="1" t="s">
        <v>87</v>
      </c>
      <c r="P1118" s="1">
        <v>8000000.0</v>
      </c>
      <c r="Q1118" s="1">
        <v>1984.0</v>
      </c>
      <c r="R1118" s="1">
        <v>668.0</v>
      </c>
      <c r="S1118" s="1">
        <v>641.0</v>
      </c>
      <c r="T1118" s="1">
        <v>225.0</v>
      </c>
      <c r="U1118" s="1">
        <v>2004.0</v>
      </c>
      <c r="V1118" s="1">
        <v>80.0</v>
      </c>
      <c r="W1118" s="1">
        <v>0.0</v>
      </c>
      <c r="X1118" s="1">
        <v>0.0</v>
      </c>
      <c r="Y1118" s="1">
        <v>1.85</v>
      </c>
      <c r="Z1118" s="1">
        <v>7.2</v>
      </c>
    </row>
    <row r="1119" ht="14.25" customHeight="1">
      <c r="A1119" s="1" t="s">
        <v>26</v>
      </c>
      <c r="B1119" s="1" t="s">
        <v>3954</v>
      </c>
      <c r="C1119" s="1" t="s">
        <v>5854</v>
      </c>
      <c r="D1119" s="1">
        <v>1.50117807E8</v>
      </c>
      <c r="E1119" s="1" t="s">
        <v>1854</v>
      </c>
      <c r="F1119" s="1" t="s">
        <v>340</v>
      </c>
      <c r="G1119" s="1" t="s">
        <v>59</v>
      </c>
      <c r="H1119" s="1" t="s">
        <v>631</v>
      </c>
      <c r="I1119" s="1">
        <v>358416.0</v>
      </c>
      <c r="J1119" s="1" t="s">
        <v>5855</v>
      </c>
      <c r="K1119" s="1" t="s">
        <v>5856</v>
      </c>
      <c r="L1119" s="1">
        <v>751.0</v>
      </c>
      <c r="M1119" s="1" t="s">
        <v>35</v>
      </c>
      <c r="N1119" s="1" t="s">
        <v>36</v>
      </c>
      <c r="O1119" s="1" t="s">
        <v>628</v>
      </c>
      <c r="P1119" s="1">
        <v>4.0E7</v>
      </c>
      <c r="Q1119" s="1">
        <v>2013.0</v>
      </c>
      <c r="R1119" s="1">
        <v>34000.0</v>
      </c>
      <c r="S1119" s="1">
        <v>23000.0</v>
      </c>
      <c r="T1119" s="1">
        <v>14000.0</v>
      </c>
      <c r="U1119" s="1">
        <v>83012.0</v>
      </c>
      <c r="V1119" s="1">
        <v>737.0</v>
      </c>
      <c r="W1119" s="1">
        <v>63000.0</v>
      </c>
      <c r="X1119" s="1">
        <v>5.0</v>
      </c>
      <c r="Y1119" s="1">
        <v>2.35</v>
      </c>
      <c r="Z1119" s="1">
        <v>7.3</v>
      </c>
    </row>
    <row r="1120" ht="14.25" customHeight="1">
      <c r="A1120" s="1" t="s">
        <v>26</v>
      </c>
      <c r="B1120" s="1" t="s">
        <v>5857</v>
      </c>
      <c r="C1120" s="1" t="s">
        <v>5858</v>
      </c>
      <c r="D1120" s="1">
        <v>1.63947053E8</v>
      </c>
      <c r="E1120" s="1" t="s">
        <v>1359</v>
      </c>
      <c r="F1120" s="1" t="s">
        <v>307</v>
      </c>
      <c r="G1120" s="1" t="s">
        <v>4019</v>
      </c>
      <c r="H1120" s="1" t="s">
        <v>1981</v>
      </c>
      <c r="I1120" s="1">
        <v>227824.0</v>
      </c>
      <c r="J1120" s="1" t="s">
        <v>5859</v>
      </c>
      <c r="K1120" s="1" t="s">
        <v>5860</v>
      </c>
      <c r="L1120" s="1">
        <v>273.0</v>
      </c>
      <c r="M1120" s="1" t="s">
        <v>35</v>
      </c>
      <c r="N1120" s="1" t="s">
        <v>36</v>
      </c>
      <c r="O1120" s="1" t="s">
        <v>37</v>
      </c>
      <c r="P1120" s="1">
        <v>4.0E7</v>
      </c>
      <c r="Q1120" s="1">
        <v>2009.0</v>
      </c>
      <c r="R1120" s="1">
        <v>16000.0</v>
      </c>
      <c r="S1120" s="1">
        <v>896.0</v>
      </c>
      <c r="T1120" s="1">
        <v>723.0</v>
      </c>
      <c r="U1120" s="1">
        <v>18656.0</v>
      </c>
      <c r="V1120" s="1">
        <v>98.0</v>
      </c>
      <c r="W1120" s="1">
        <v>10000.0</v>
      </c>
      <c r="X1120" s="1">
        <v>1.0</v>
      </c>
      <c r="Y1120" s="1">
        <v>2.35</v>
      </c>
      <c r="Z1120" s="1">
        <v>6.7</v>
      </c>
    </row>
    <row r="1121" ht="14.25" customHeight="1">
      <c r="A1121" s="1" t="s">
        <v>26</v>
      </c>
      <c r="B1121" s="1" t="s">
        <v>5861</v>
      </c>
      <c r="C1121" s="1" t="s">
        <v>5862</v>
      </c>
      <c r="D1121" s="1">
        <v>1.16735231E8</v>
      </c>
      <c r="E1121" s="1" t="s">
        <v>2130</v>
      </c>
      <c r="F1121" s="1" t="s">
        <v>346</v>
      </c>
      <c r="G1121" s="1" t="s">
        <v>5863</v>
      </c>
      <c r="H1121" s="1" t="s">
        <v>5864</v>
      </c>
      <c r="I1121" s="1">
        <v>56646.0</v>
      </c>
      <c r="J1121" s="1" t="s">
        <v>5865</v>
      </c>
      <c r="K1121" s="1" t="s">
        <v>5866</v>
      </c>
      <c r="L1121" s="1">
        <v>336.0</v>
      </c>
      <c r="M1121" s="1" t="s">
        <v>35</v>
      </c>
      <c r="N1121" s="1" t="s">
        <v>36</v>
      </c>
      <c r="O1121" s="1" t="s">
        <v>628</v>
      </c>
      <c r="P1121" s="1">
        <v>7.0E7</v>
      </c>
      <c r="Q1121" s="1">
        <v>1999.0</v>
      </c>
      <c r="R1121" s="1">
        <v>984.0</v>
      </c>
      <c r="S1121" s="1">
        <v>489.0</v>
      </c>
      <c r="T1121" s="1">
        <v>298.0</v>
      </c>
      <c r="U1121" s="1">
        <v>2129.0</v>
      </c>
      <c r="V1121" s="1">
        <v>78.0</v>
      </c>
      <c r="W1121" s="1">
        <v>0.0</v>
      </c>
      <c r="X1121" s="1">
        <v>0.0</v>
      </c>
      <c r="Y1121" s="1">
        <v>2.35</v>
      </c>
      <c r="Z1121" s="1">
        <v>6.4</v>
      </c>
    </row>
    <row r="1122" ht="14.25" customHeight="1">
      <c r="A1122" s="1" t="s">
        <v>26</v>
      </c>
      <c r="B1122" s="1" t="s">
        <v>420</v>
      </c>
      <c r="C1122" s="1" t="s">
        <v>5867</v>
      </c>
      <c r="D1122" s="1">
        <v>1.185E8</v>
      </c>
      <c r="E1122" s="1" t="s">
        <v>1792</v>
      </c>
      <c r="F1122" s="1" t="s">
        <v>5868</v>
      </c>
      <c r="G1122" s="1" t="s">
        <v>5869</v>
      </c>
      <c r="H1122" s="1" t="s">
        <v>5870</v>
      </c>
      <c r="I1122" s="1">
        <v>340085.0</v>
      </c>
      <c r="J1122" s="1" t="s">
        <v>5871</v>
      </c>
      <c r="K1122" s="1" t="s">
        <v>5872</v>
      </c>
      <c r="L1122" s="1">
        <v>327.0</v>
      </c>
      <c r="M1122" s="1" t="s">
        <v>35</v>
      </c>
      <c r="N1122" s="1" t="s">
        <v>36</v>
      </c>
      <c r="O1122" s="1" t="s">
        <v>87</v>
      </c>
      <c r="P1122" s="1">
        <v>4.0E7</v>
      </c>
      <c r="Q1122" s="1">
        <v>1989.0</v>
      </c>
      <c r="R1122" s="1">
        <v>1000.0</v>
      </c>
      <c r="S1122" s="1">
        <v>869.0</v>
      </c>
      <c r="T1122" s="1">
        <v>690.0</v>
      </c>
      <c r="U1122" s="1">
        <v>3660.0</v>
      </c>
      <c r="V1122" s="1">
        <v>0.0</v>
      </c>
      <c r="W1122" s="1">
        <v>12000.0</v>
      </c>
      <c r="X1122" s="1">
        <v>0.0</v>
      </c>
      <c r="Y1122" s="1">
        <v>1.85</v>
      </c>
      <c r="Z1122" s="1">
        <v>7.8</v>
      </c>
    </row>
    <row r="1123" ht="14.25" customHeight="1">
      <c r="A1123" s="1" t="s">
        <v>26</v>
      </c>
      <c r="B1123" s="1" t="s">
        <v>1890</v>
      </c>
      <c r="C1123" s="1" t="s">
        <v>5873</v>
      </c>
      <c r="D1123" s="1">
        <v>1.26546825E8</v>
      </c>
      <c r="E1123" s="1" t="s">
        <v>2670</v>
      </c>
      <c r="F1123" s="1" t="s">
        <v>92</v>
      </c>
      <c r="G1123" s="1" t="s">
        <v>451</v>
      </c>
      <c r="H1123" s="1" t="s">
        <v>4902</v>
      </c>
      <c r="I1123" s="1">
        <v>327367.0</v>
      </c>
      <c r="J1123" s="1" t="s">
        <v>5874</v>
      </c>
      <c r="K1123" s="1" t="s">
        <v>5875</v>
      </c>
      <c r="L1123" s="1">
        <v>918.0</v>
      </c>
      <c r="M1123" s="1" t="s">
        <v>35</v>
      </c>
      <c r="N1123" s="1" t="s">
        <v>1832</v>
      </c>
      <c r="O1123" s="1" t="s">
        <v>628</v>
      </c>
      <c r="P1123" s="1">
        <v>4.0E7</v>
      </c>
      <c r="Q1123" s="1">
        <v>2014.0</v>
      </c>
      <c r="R1123" s="1">
        <v>19000.0</v>
      </c>
      <c r="S1123" s="1">
        <v>11000.0</v>
      </c>
      <c r="T1123" s="1">
        <v>903.0</v>
      </c>
      <c r="U1123" s="1">
        <v>32325.0</v>
      </c>
      <c r="V1123" s="1">
        <v>0.0</v>
      </c>
      <c r="W1123" s="1">
        <v>83000.0</v>
      </c>
      <c r="X1123" s="1">
        <v>0.0</v>
      </c>
      <c r="Y1123" s="1">
        <v>2.35</v>
      </c>
      <c r="Z1123" s="1">
        <v>6.4</v>
      </c>
    </row>
    <row r="1124" ht="14.25" customHeight="1">
      <c r="A1124" s="1" t="s">
        <v>26</v>
      </c>
      <c r="B1124" s="1" t="s">
        <v>5876</v>
      </c>
      <c r="C1124" s="1" t="s">
        <v>5877</v>
      </c>
      <c r="D1124" s="1">
        <v>1.66147885E8</v>
      </c>
      <c r="E1124" s="1" t="s">
        <v>206</v>
      </c>
      <c r="F1124" s="1" t="s">
        <v>1347</v>
      </c>
      <c r="G1124" s="1" t="s">
        <v>5339</v>
      </c>
      <c r="H1124" s="1" t="s">
        <v>694</v>
      </c>
      <c r="I1124" s="1">
        <v>220020.0</v>
      </c>
      <c r="J1124" s="1" t="s">
        <v>5878</v>
      </c>
      <c r="K1124" s="1" t="s">
        <v>5879</v>
      </c>
      <c r="L1124" s="1">
        <v>1360.0</v>
      </c>
      <c r="M1124" s="1" t="s">
        <v>35</v>
      </c>
      <c r="N1124" s="1" t="s">
        <v>36</v>
      </c>
      <c r="O1124" s="1" t="s">
        <v>628</v>
      </c>
      <c r="P1124" s="1">
        <v>4.0E7</v>
      </c>
      <c r="Q1124" s="1">
        <v>2015.0</v>
      </c>
      <c r="R1124" s="1">
        <v>1000.0</v>
      </c>
      <c r="S1124" s="1">
        <v>935.0</v>
      </c>
      <c r="T1124" s="1">
        <v>716.0</v>
      </c>
      <c r="U1124" s="1">
        <v>4585.0</v>
      </c>
      <c r="V1124" s="1">
        <v>456.0</v>
      </c>
      <c r="W1124" s="1">
        <v>101000.0</v>
      </c>
      <c r="X1124" s="1">
        <v>0.0</v>
      </c>
      <c r="Y1124" s="1">
        <v>2.35</v>
      </c>
      <c r="Z1124" s="1">
        <v>4.1</v>
      </c>
    </row>
    <row r="1125" ht="14.25" customHeight="1">
      <c r="A1125" s="1" t="s">
        <v>26</v>
      </c>
      <c r="B1125" s="1" t="s">
        <v>4632</v>
      </c>
      <c r="C1125" s="1" t="s">
        <v>5880</v>
      </c>
      <c r="D1125" s="1">
        <v>1.11760631E8</v>
      </c>
      <c r="E1125" s="1" t="s">
        <v>2889</v>
      </c>
      <c r="F1125" s="1" t="s">
        <v>1702</v>
      </c>
      <c r="G1125" s="1" t="s">
        <v>480</v>
      </c>
      <c r="H1125" s="1" t="s">
        <v>5540</v>
      </c>
      <c r="I1125" s="1">
        <v>40227.0</v>
      </c>
      <c r="J1125" s="1" t="s">
        <v>5881</v>
      </c>
      <c r="K1125" s="1" t="s">
        <v>5882</v>
      </c>
      <c r="L1125" s="1">
        <v>188.0</v>
      </c>
      <c r="M1125" s="1" t="s">
        <v>35</v>
      </c>
      <c r="N1125" s="1" t="s">
        <v>36</v>
      </c>
      <c r="O1125" s="1" t="s">
        <v>87</v>
      </c>
      <c r="P1125" s="1">
        <v>3.8E7</v>
      </c>
      <c r="Q1125" s="1">
        <v>2003.0</v>
      </c>
      <c r="R1125" s="1">
        <v>13000.0</v>
      </c>
      <c r="S1125" s="1">
        <v>4000.0</v>
      </c>
      <c r="T1125" s="1">
        <v>2000.0</v>
      </c>
      <c r="U1125" s="1">
        <v>22935.0</v>
      </c>
      <c r="V1125" s="1">
        <v>0.0</v>
      </c>
      <c r="W1125" s="1">
        <v>681.0</v>
      </c>
      <c r="X1125" s="1">
        <v>3.0</v>
      </c>
      <c r="Y1125" s="1">
        <v>1.85</v>
      </c>
      <c r="Z1125" s="1">
        <v>4.1</v>
      </c>
    </row>
    <row r="1126" ht="14.25" customHeight="1">
      <c r="A1126" s="1" t="s">
        <v>26</v>
      </c>
      <c r="B1126" s="1" t="s">
        <v>1268</v>
      </c>
      <c r="C1126" s="1" t="s">
        <v>5883</v>
      </c>
      <c r="D1126" s="1">
        <v>1.08706165E8</v>
      </c>
      <c r="E1126" s="1" t="s">
        <v>2045</v>
      </c>
      <c r="F1126" s="1" t="s">
        <v>112</v>
      </c>
      <c r="G1126" s="1" t="s">
        <v>637</v>
      </c>
      <c r="H1126" s="1" t="s">
        <v>415</v>
      </c>
      <c r="I1126" s="1">
        <v>99558.0</v>
      </c>
      <c r="J1126" s="1" t="s">
        <v>5884</v>
      </c>
      <c r="K1126" s="1" t="s">
        <v>5885</v>
      </c>
      <c r="L1126" s="1">
        <v>236.0</v>
      </c>
      <c r="M1126" s="1" t="s">
        <v>35</v>
      </c>
      <c r="N1126" s="1" t="s">
        <v>36</v>
      </c>
      <c r="O1126" s="1" t="s">
        <v>628</v>
      </c>
      <c r="P1126" s="1">
        <v>4.0E7</v>
      </c>
      <c r="Q1126" s="1">
        <v>1996.0</v>
      </c>
      <c r="R1126" s="1">
        <v>18000.0</v>
      </c>
      <c r="S1126" s="1">
        <v>11000.0</v>
      </c>
      <c r="T1126" s="1">
        <v>1000.0</v>
      </c>
      <c r="U1126" s="1">
        <v>31349.0</v>
      </c>
      <c r="V1126" s="1">
        <v>541.0</v>
      </c>
      <c r="W1126" s="1">
        <v>0.0</v>
      </c>
      <c r="X1126" s="1">
        <v>3.0</v>
      </c>
      <c r="Y1126" s="1">
        <v>2.35</v>
      </c>
      <c r="Z1126" s="1">
        <v>7.4</v>
      </c>
    </row>
    <row r="1127" ht="14.25" customHeight="1">
      <c r="A1127" s="1" t="s">
        <v>26</v>
      </c>
      <c r="B1127" s="1" t="s">
        <v>772</v>
      </c>
      <c r="C1127" s="1" t="s">
        <v>5886</v>
      </c>
      <c r="D1127" s="1">
        <v>1.38614544E8</v>
      </c>
      <c r="E1127" s="1" t="s">
        <v>2904</v>
      </c>
      <c r="F1127" s="1" t="s">
        <v>3810</v>
      </c>
      <c r="G1127" s="1" t="s">
        <v>3811</v>
      </c>
      <c r="H1127" s="1" t="s">
        <v>4736</v>
      </c>
      <c r="I1127" s="1">
        <v>75152.0</v>
      </c>
      <c r="J1127" s="1" t="s">
        <v>5887</v>
      </c>
      <c r="K1127" s="1" t="s">
        <v>5888</v>
      </c>
      <c r="L1127" s="1">
        <v>288.0</v>
      </c>
      <c r="M1127" s="1" t="s">
        <v>35</v>
      </c>
      <c r="N1127" s="1" t="s">
        <v>36</v>
      </c>
      <c r="O1127" s="1" t="s">
        <v>87</v>
      </c>
      <c r="P1127" s="1">
        <v>4.0E7</v>
      </c>
      <c r="Q1127" s="1">
        <v>2003.0</v>
      </c>
      <c r="R1127" s="1">
        <v>3000.0</v>
      </c>
      <c r="S1127" s="1">
        <v>2000.0</v>
      </c>
      <c r="T1127" s="1">
        <v>597.0</v>
      </c>
      <c r="U1127" s="1">
        <v>7014.0</v>
      </c>
      <c r="V1127" s="1">
        <v>189.0</v>
      </c>
      <c r="W1127" s="1">
        <v>0.0</v>
      </c>
      <c r="X1127" s="1">
        <v>15.0</v>
      </c>
      <c r="Y1127" s="1">
        <v>1.85</v>
      </c>
      <c r="Z1127" s="1">
        <v>5.8</v>
      </c>
    </row>
    <row r="1128" ht="14.25" customHeight="1">
      <c r="A1128" s="1" t="s">
        <v>26</v>
      </c>
      <c r="B1128" s="1" t="s">
        <v>217</v>
      </c>
      <c r="C1128" s="1" t="s">
        <v>5889</v>
      </c>
      <c r="D1128" s="1">
        <v>1.25069696E8</v>
      </c>
      <c r="E1128" s="1" t="s">
        <v>5890</v>
      </c>
      <c r="F1128" s="1" t="s">
        <v>5891</v>
      </c>
      <c r="G1128" s="1" t="s">
        <v>5892</v>
      </c>
      <c r="H1128" s="1" t="s">
        <v>5893</v>
      </c>
      <c r="I1128" s="1">
        <v>203963.0</v>
      </c>
      <c r="J1128" s="1" t="s">
        <v>5894</v>
      </c>
      <c r="K1128" s="1" t="s">
        <v>5895</v>
      </c>
      <c r="L1128" s="1">
        <v>420.0</v>
      </c>
      <c r="M1128" s="1" t="s">
        <v>35</v>
      </c>
      <c r="N1128" s="1" t="s">
        <v>36</v>
      </c>
      <c r="O1128" s="1" t="s">
        <v>628</v>
      </c>
      <c r="P1128" s="1">
        <v>4.0E7</v>
      </c>
      <c r="Q1128" s="1">
        <v>2013.0</v>
      </c>
      <c r="R1128" s="1">
        <v>480.0</v>
      </c>
      <c r="S1128" s="1">
        <v>449.0</v>
      </c>
      <c r="T1128" s="1">
        <v>127.0</v>
      </c>
      <c r="U1128" s="1">
        <v>1261.0</v>
      </c>
      <c r="V1128" s="1">
        <v>532.0</v>
      </c>
      <c r="W1128" s="1">
        <v>58000.0</v>
      </c>
      <c r="X1128" s="1">
        <v>0.0</v>
      </c>
      <c r="Y1128" s="1">
        <v>2.35</v>
      </c>
      <c r="Z1128" s="1">
        <v>7.6</v>
      </c>
    </row>
    <row r="1129" ht="14.25" customHeight="1">
      <c r="A1129" s="1" t="s">
        <v>710</v>
      </c>
      <c r="B1129" s="1" t="s">
        <v>5289</v>
      </c>
      <c r="C1129" s="1" t="s">
        <v>5896</v>
      </c>
      <c r="D1129" s="1">
        <v>1.07458785E8</v>
      </c>
      <c r="E1129" s="1" t="s">
        <v>5897</v>
      </c>
      <c r="F1129" s="1" t="s">
        <v>314</v>
      </c>
      <c r="G1129" s="1" t="s">
        <v>5898</v>
      </c>
      <c r="H1129" s="1" t="s">
        <v>5899</v>
      </c>
      <c r="I1129" s="1">
        <v>71754.0</v>
      </c>
      <c r="J1129" s="1" t="s">
        <v>5900</v>
      </c>
      <c r="K1129" s="1" t="s">
        <v>5901</v>
      </c>
      <c r="L1129" s="1">
        <v>166.0</v>
      </c>
      <c r="M1129" s="1" t="s">
        <v>35</v>
      </c>
      <c r="N1129" s="1" t="s">
        <v>36</v>
      </c>
      <c r="O1129" s="1" t="s">
        <v>87</v>
      </c>
      <c r="P1129" s="1">
        <v>4.0E7</v>
      </c>
      <c r="Q1129" s="1">
        <v>1992.0</v>
      </c>
      <c r="R1129" s="1">
        <v>15000.0</v>
      </c>
      <c r="S1129" s="1">
        <v>923.0</v>
      </c>
      <c r="T1129" s="1">
        <v>251.0</v>
      </c>
      <c r="U1129" s="1">
        <v>16751.0</v>
      </c>
      <c r="V1129" s="1">
        <v>545.0</v>
      </c>
      <c r="W1129" s="1">
        <v>0.0</v>
      </c>
      <c r="X1129" s="1">
        <v>3.0</v>
      </c>
      <c r="Y1129" s="1">
        <v>2.35</v>
      </c>
      <c r="Z1129" s="1">
        <v>7.2</v>
      </c>
    </row>
    <row r="1130" ht="14.25" customHeight="1">
      <c r="A1130" s="1" t="s">
        <v>26</v>
      </c>
      <c r="B1130" s="1" t="s">
        <v>324</v>
      </c>
      <c r="C1130" s="1" t="s">
        <v>5902</v>
      </c>
      <c r="D1130" s="1">
        <v>1.02310175E8</v>
      </c>
      <c r="E1130" s="1" t="s">
        <v>2882</v>
      </c>
      <c r="F1130" s="1" t="s">
        <v>5903</v>
      </c>
      <c r="G1130" s="1" t="s">
        <v>5251</v>
      </c>
      <c r="H1130" s="1" t="s">
        <v>495</v>
      </c>
      <c r="I1130" s="1">
        <v>64989.0</v>
      </c>
      <c r="J1130" s="1" t="s">
        <v>5904</v>
      </c>
      <c r="K1130" s="1" t="s">
        <v>5905</v>
      </c>
      <c r="L1130" s="1">
        <v>279.0</v>
      </c>
      <c r="M1130" s="1" t="s">
        <v>35</v>
      </c>
      <c r="N1130" s="1" t="s">
        <v>36</v>
      </c>
      <c r="O1130" s="1" t="s">
        <v>628</v>
      </c>
      <c r="P1130" s="1">
        <v>4.0E7</v>
      </c>
      <c r="Q1130" s="1">
        <v>2016.0</v>
      </c>
      <c r="R1130" s="1">
        <v>1000.0</v>
      </c>
      <c r="S1130" s="1">
        <v>575.0</v>
      </c>
      <c r="T1130" s="1">
        <v>336.0</v>
      </c>
      <c r="U1130" s="1">
        <v>2676.0</v>
      </c>
      <c r="V1130" s="1">
        <v>0.0</v>
      </c>
      <c r="W1130" s="1">
        <v>40000.0</v>
      </c>
      <c r="X1130" s="1">
        <v>0.0</v>
      </c>
      <c r="Y1130" s="1">
        <v>2.35</v>
      </c>
      <c r="Z1130" s="1">
        <v>7.8</v>
      </c>
    </row>
    <row r="1131" ht="14.25" customHeight="1">
      <c r="A1131" s="1" t="s">
        <v>26</v>
      </c>
      <c r="B1131" s="1" t="s">
        <v>648</v>
      </c>
      <c r="C1131" s="1" t="s">
        <v>5906</v>
      </c>
      <c r="D1131" s="1">
        <v>9.6917897E7</v>
      </c>
      <c r="E1131" s="1" t="s">
        <v>1474</v>
      </c>
      <c r="F1131" s="1" t="s">
        <v>175</v>
      </c>
      <c r="G1131" s="1" t="s">
        <v>5907</v>
      </c>
      <c r="H1131" s="1" t="s">
        <v>5908</v>
      </c>
      <c r="I1131" s="1">
        <v>479453.0</v>
      </c>
      <c r="J1131" s="1" t="s">
        <v>5909</v>
      </c>
      <c r="K1131" s="1" t="s">
        <v>5910</v>
      </c>
      <c r="L1131" s="1">
        <v>696.0</v>
      </c>
      <c r="M1131" s="1" t="s">
        <v>35</v>
      </c>
      <c r="N1131" s="1" t="s">
        <v>36</v>
      </c>
      <c r="O1131" s="1" t="s">
        <v>37</v>
      </c>
      <c r="P1131" s="1">
        <v>4.0E7</v>
      </c>
      <c r="Q1131" s="1">
        <v>2010.0</v>
      </c>
      <c r="R1131" s="1">
        <v>10000.0</v>
      </c>
      <c r="S1131" s="1">
        <v>349.0</v>
      </c>
      <c r="T1131" s="1">
        <v>81.0</v>
      </c>
      <c r="U1131" s="1">
        <v>10555.0</v>
      </c>
      <c r="V1131" s="1">
        <v>21000.0</v>
      </c>
      <c r="W1131" s="1">
        <v>74000.0</v>
      </c>
      <c r="X1131" s="1">
        <v>0.0</v>
      </c>
      <c r="Y1131" s="1">
        <v>2.35</v>
      </c>
      <c r="Z1131" s="1">
        <v>7.7</v>
      </c>
    </row>
    <row r="1132" ht="14.25" customHeight="1">
      <c r="A1132" s="1" t="s">
        <v>26</v>
      </c>
      <c r="B1132" s="1" t="s">
        <v>5911</v>
      </c>
      <c r="C1132" s="1" t="s">
        <v>5912</v>
      </c>
      <c r="D1132" s="1">
        <v>9.3952276E7</v>
      </c>
      <c r="E1132" s="1" t="s">
        <v>1359</v>
      </c>
      <c r="F1132" s="1" t="s">
        <v>5913</v>
      </c>
      <c r="G1132" s="1" t="s">
        <v>5914</v>
      </c>
      <c r="H1132" s="1" t="s">
        <v>5915</v>
      </c>
      <c r="I1132" s="1">
        <v>132048.0</v>
      </c>
      <c r="J1132" s="1" t="s">
        <v>5916</v>
      </c>
      <c r="K1132" s="1" t="s">
        <v>5917</v>
      </c>
      <c r="L1132" s="1">
        <v>203.0</v>
      </c>
      <c r="M1132" s="1" t="s">
        <v>35</v>
      </c>
      <c r="N1132" s="1" t="s">
        <v>36</v>
      </c>
      <c r="O1132" s="1" t="s">
        <v>37</v>
      </c>
      <c r="P1132" s="1">
        <v>4.0E7</v>
      </c>
      <c r="Q1132" s="1">
        <v>2009.0</v>
      </c>
      <c r="R1132" s="1">
        <v>97.0</v>
      </c>
      <c r="S1132" s="1">
        <v>50.0</v>
      </c>
      <c r="T1132" s="1">
        <v>49.0</v>
      </c>
      <c r="U1132" s="1">
        <v>318.0</v>
      </c>
      <c r="V1132" s="1">
        <v>42.0</v>
      </c>
      <c r="W1132" s="1">
        <v>12000.0</v>
      </c>
      <c r="X1132" s="1">
        <v>7.0</v>
      </c>
      <c r="Y1132" s="1">
        <v>2.35</v>
      </c>
      <c r="Z1132" s="1">
        <v>6.4</v>
      </c>
    </row>
    <row r="1133" ht="14.25" customHeight="1">
      <c r="A1133" s="1" t="s">
        <v>26</v>
      </c>
      <c r="B1133" s="1" t="s">
        <v>5342</v>
      </c>
      <c r="C1133" s="1" t="s">
        <v>5918</v>
      </c>
      <c r="D1133" s="1">
        <v>9.0703745E7</v>
      </c>
      <c r="E1133" s="1" t="s">
        <v>1885</v>
      </c>
      <c r="F1133" s="1" t="s">
        <v>5919</v>
      </c>
      <c r="G1133" s="1" t="s">
        <v>2505</v>
      </c>
      <c r="H1133" s="1" t="s">
        <v>5344</v>
      </c>
      <c r="I1133" s="1">
        <v>93748.0</v>
      </c>
      <c r="J1133" s="1" t="s">
        <v>5920</v>
      </c>
      <c r="K1133" s="1" t="s">
        <v>5921</v>
      </c>
      <c r="L1133" s="1">
        <v>410.0</v>
      </c>
      <c r="M1133" s="1" t="s">
        <v>35</v>
      </c>
      <c r="N1133" s="1" t="s">
        <v>36</v>
      </c>
      <c r="O1133" s="1" t="s">
        <v>37</v>
      </c>
      <c r="P1133" s="1">
        <v>4.5E7</v>
      </c>
      <c r="Q1133" s="1">
        <v>2006.0</v>
      </c>
      <c r="R1133" s="1">
        <v>2000.0</v>
      </c>
      <c r="S1133" s="1">
        <v>869.0</v>
      </c>
      <c r="T1133" s="1">
        <v>807.0</v>
      </c>
      <c r="U1133" s="1">
        <v>5855.0</v>
      </c>
      <c r="V1133" s="1">
        <v>119.0</v>
      </c>
      <c r="W1133" s="1">
        <v>1000.0</v>
      </c>
      <c r="X1133" s="1">
        <v>8.0</v>
      </c>
      <c r="Y1133" s="1">
        <v>1.85</v>
      </c>
      <c r="Z1133" s="1">
        <v>5.1</v>
      </c>
    </row>
    <row r="1134" ht="14.25" customHeight="1">
      <c r="A1134" s="1" t="s">
        <v>26</v>
      </c>
      <c r="B1134" s="1" t="s">
        <v>5922</v>
      </c>
      <c r="C1134" s="1" t="s">
        <v>5923</v>
      </c>
      <c r="D1134" s="1">
        <v>8.9138076E7</v>
      </c>
      <c r="E1134" s="1" t="s">
        <v>5924</v>
      </c>
      <c r="F1134" s="1" t="s">
        <v>5925</v>
      </c>
      <c r="G1134" s="1" t="s">
        <v>5926</v>
      </c>
      <c r="H1134" s="1" t="s">
        <v>1523</v>
      </c>
      <c r="I1134" s="1">
        <v>98535.0</v>
      </c>
      <c r="J1134" s="1" t="s">
        <v>5927</v>
      </c>
      <c r="K1134" s="1" t="s">
        <v>5928</v>
      </c>
      <c r="L1134" s="1">
        <v>734.0</v>
      </c>
      <c r="M1134" s="1" t="s">
        <v>35</v>
      </c>
      <c r="N1134" s="1" t="s">
        <v>36</v>
      </c>
      <c r="O1134" s="1" t="s">
        <v>628</v>
      </c>
      <c r="P1134" s="1">
        <v>4.0E7</v>
      </c>
      <c r="Q1134" s="1">
        <v>2000.0</v>
      </c>
      <c r="R1134" s="1">
        <v>287.0</v>
      </c>
      <c r="S1134" s="1">
        <v>157.0</v>
      </c>
      <c r="T1134" s="1">
        <v>71.0</v>
      </c>
      <c r="U1134" s="1">
        <v>600.0</v>
      </c>
      <c r="V1134" s="1">
        <v>0.0</v>
      </c>
      <c r="W1134" s="1">
        <v>0.0</v>
      </c>
      <c r="X1134" s="1">
        <v>4.0</v>
      </c>
      <c r="Y1134" s="1">
        <v>2.35</v>
      </c>
      <c r="Z1134" s="1">
        <v>5.5</v>
      </c>
    </row>
    <row r="1135" ht="14.25" customHeight="1">
      <c r="A1135" s="1" t="s">
        <v>26</v>
      </c>
      <c r="B1135" s="1" t="s">
        <v>420</v>
      </c>
      <c r="C1135" s="1" t="s">
        <v>5929</v>
      </c>
      <c r="D1135" s="1">
        <v>8.7666629E7</v>
      </c>
      <c r="E1135" s="1" t="s">
        <v>5930</v>
      </c>
      <c r="F1135" s="1" t="s">
        <v>5868</v>
      </c>
      <c r="G1135" s="1" t="s">
        <v>5869</v>
      </c>
      <c r="H1135" s="1" t="s">
        <v>5870</v>
      </c>
      <c r="I1135" s="1">
        <v>283480.0</v>
      </c>
      <c r="J1135" s="1" t="s">
        <v>5931</v>
      </c>
      <c r="K1135" s="1" t="s">
        <v>5932</v>
      </c>
      <c r="L1135" s="1">
        <v>263.0</v>
      </c>
      <c r="M1135" s="1" t="s">
        <v>35</v>
      </c>
      <c r="N1135" s="1" t="s">
        <v>36</v>
      </c>
      <c r="O1135" s="1" t="s">
        <v>87</v>
      </c>
      <c r="P1135" s="1">
        <v>4.0E7</v>
      </c>
      <c r="Q1135" s="1">
        <v>1990.0</v>
      </c>
      <c r="R1135" s="1">
        <v>1000.0</v>
      </c>
      <c r="S1135" s="1">
        <v>869.0</v>
      </c>
      <c r="T1135" s="1">
        <v>690.0</v>
      </c>
      <c r="U1135" s="1">
        <v>3986.0</v>
      </c>
      <c r="V1135" s="1">
        <v>0.0</v>
      </c>
      <c r="W1135" s="1">
        <v>0.0</v>
      </c>
      <c r="X1135" s="1">
        <v>0.0</v>
      </c>
      <c r="Y1135" s="1">
        <v>1.37</v>
      </c>
      <c r="Z1135" s="1">
        <v>7.4</v>
      </c>
    </row>
    <row r="1136" ht="14.25" customHeight="1">
      <c r="A1136" s="1" t="s">
        <v>26</v>
      </c>
      <c r="B1136" s="1" t="s">
        <v>5933</v>
      </c>
      <c r="C1136" s="1" t="s">
        <v>5934</v>
      </c>
      <c r="D1136" s="1">
        <v>9.0353764E7</v>
      </c>
      <c r="E1136" s="1" t="s">
        <v>972</v>
      </c>
      <c r="F1136" s="1" t="s">
        <v>1197</v>
      </c>
      <c r="G1136" s="1" t="s">
        <v>3988</v>
      </c>
      <c r="H1136" s="1" t="s">
        <v>1981</v>
      </c>
      <c r="I1136" s="1">
        <v>85629.0</v>
      </c>
      <c r="J1136" s="1" t="s">
        <v>5935</v>
      </c>
      <c r="K1136" s="1" t="s">
        <v>5936</v>
      </c>
      <c r="L1136" s="1">
        <v>144.0</v>
      </c>
      <c r="M1136" s="1" t="s">
        <v>35</v>
      </c>
      <c r="N1136" s="1" t="s">
        <v>36</v>
      </c>
      <c r="O1136" s="1" t="s">
        <v>628</v>
      </c>
      <c r="P1136" s="1">
        <v>4.0E7</v>
      </c>
      <c r="Q1136" s="1">
        <v>2015.0</v>
      </c>
      <c r="R1136" s="1">
        <v>8000.0</v>
      </c>
      <c r="S1136" s="1">
        <v>2000.0</v>
      </c>
      <c r="T1136" s="1">
        <v>723.0</v>
      </c>
      <c r="U1136" s="1">
        <v>12556.0</v>
      </c>
      <c r="V1136" s="1">
        <v>164.0</v>
      </c>
      <c r="W1136" s="1">
        <v>14000.0</v>
      </c>
      <c r="X1136" s="1">
        <v>2.0</v>
      </c>
      <c r="Y1136" s="1">
        <v>1.85</v>
      </c>
      <c r="Z1136" s="1">
        <v>6.0</v>
      </c>
    </row>
    <row r="1137" ht="14.25" customHeight="1">
      <c r="A1137" s="1" t="s">
        <v>26</v>
      </c>
      <c r="B1137" s="1" t="s">
        <v>4578</v>
      </c>
      <c r="C1137" s="1" t="s">
        <v>5937</v>
      </c>
      <c r="D1137" s="1">
        <v>8.252279E7</v>
      </c>
      <c r="E1137" s="1" t="s">
        <v>5938</v>
      </c>
      <c r="F1137" s="1" t="s">
        <v>563</v>
      </c>
      <c r="G1137" s="1" t="s">
        <v>726</v>
      </c>
      <c r="H1137" s="1" t="s">
        <v>425</v>
      </c>
      <c r="I1137" s="1">
        <v>143835.0</v>
      </c>
      <c r="J1137" s="1" t="s">
        <v>5939</v>
      </c>
      <c r="K1137" s="1" t="s">
        <v>5940</v>
      </c>
      <c r="L1137" s="1">
        <v>654.0</v>
      </c>
      <c r="M1137" s="1" t="s">
        <v>35</v>
      </c>
      <c r="N1137" s="1" t="s">
        <v>36</v>
      </c>
      <c r="O1137" s="1" t="s">
        <v>628</v>
      </c>
      <c r="P1137" s="1">
        <v>4.0E7</v>
      </c>
      <c r="Q1137" s="1">
        <v>1992.0</v>
      </c>
      <c r="R1137" s="1">
        <v>18000.0</v>
      </c>
      <c r="S1137" s="1">
        <v>12000.0</v>
      </c>
      <c r="T1137" s="1">
        <v>10000.0</v>
      </c>
      <c r="U1137" s="1">
        <v>42220.0</v>
      </c>
      <c r="V1137" s="1">
        <v>0.0</v>
      </c>
      <c r="W1137" s="1">
        <v>14000.0</v>
      </c>
      <c r="X1137" s="1">
        <v>0.0</v>
      </c>
      <c r="Y1137" s="1">
        <v>1.85</v>
      </c>
      <c r="Z1137" s="1">
        <v>7.5</v>
      </c>
    </row>
    <row r="1138" ht="14.25" customHeight="1">
      <c r="A1138" s="1" t="s">
        <v>26</v>
      </c>
      <c r="B1138" s="1" t="s">
        <v>3477</v>
      </c>
      <c r="C1138" s="1" t="s">
        <v>5941</v>
      </c>
      <c r="D1138" s="1">
        <v>9.4125426E7</v>
      </c>
      <c r="E1138" s="1" t="s">
        <v>5942</v>
      </c>
      <c r="F1138" s="1" t="s">
        <v>2286</v>
      </c>
      <c r="G1138" s="1" t="s">
        <v>4918</v>
      </c>
      <c r="H1138" s="1" t="s">
        <v>5098</v>
      </c>
      <c r="I1138" s="1">
        <v>79264.0</v>
      </c>
      <c r="J1138" s="1" t="s">
        <v>5943</v>
      </c>
      <c r="K1138" s="1" t="s">
        <v>5944</v>
      </c>
      <c r="L1138" s="1">
        <v>277.0</v>
      </c>
      <c r="M1138" s="1" t="s">
        <v>35</v>
      </c>
      <c r="N1138" s="1" t="s">
        <v>36</v>
      </c>
      <c r="O1138" s="1" t="s">
        <v>37</v>
      </c>
      <c r="P1138" s="1">
        <v>4.0E7</v>
      </c>
      <c r="Q1138" s="1">
        <v>2009.0</v>
      </c>
      <c r="R1138" s="1">
        <v>11000.0</v>
      </c>
      <c r="S1138" s="1">
        <v>935.0</v>
      </c>
      <c r="T1138" s="1">
        <v>923.0</v>
      </c>
      <c r="U1138" s="1">
        <v>13321.0</v>
      </c>
      <c r="V1138" s="1">
        <v>0.0</v>
      </c>
      <c r="W1138" s="1">
        <v>13000.0</v>
      </c>
      <c r="X1138" s="1">
        <v>2.0</v>
      </c>
      <c r="Y1138" s="1">
        <v>1.85</v>
      </c>
      <c r="Z1138" s="1">
        <v>7.0</v>
      </c>
    </row>
    <row r="1139" ht="14.25" customHeight="1">
      <c r="A1139" s="1" t="s">
        <v>26</v>
      </c>
      <c r="B1139" s="1" t="s">
        <v>4806</v>
      </c>
      <c r="C1139" s="1">
        <v>42.0</v>
      </c>
      <c r="D1139" s="1">
        <v>9.5001343E7</v>
      </c>
      <c r="E1139" s="1" t="s">
        <v>1557</v>
      </c>
      <c r="F1139" s="1" t="s">
        <v>383</v>
      </c>
      <c r="G1139" s="1" t="s">
        <v>134</v>
      </c>
      <c r="H1139" s="1" t="s">
        <v>5945</v>
      </c>
      <c r="I1139" s="1">
        <v>66511.0</v>
      </c>
      <c r="J1139" s="1" t="s">
        <v>5946</v>
      </c>
      <c r="K1139" s="1" t="s">
        <v>5947</v>
      </c>
      <c r="L1139" s="1">
        <v>200.0</v>
      </c>
      <c r="M1139" s="1" t="s">
        <v>35</v>
      </c>
      <c r="N1139" s="1" t="s">
        <v>36</v>
      </c>
      <c r="O1139" s="1" t="s">
        <v>37</v>
      </c>
      <c r="P1139" s="1">
        <v>4.0E7</v>
      </c>
      <c r="Q1139" s="1">
        <v>2013.0</v>
      </c>
      <c r="R1139" s="1">
        <v>11000.0</v>
      </c>
      <c r="S1139" s="1">
        <v>3000.0</v>
      </c>
      <c r="T1139" s="1">
        <v>898.0</v>
      </c>
      <c r="U1139" s="1">
        <v>16911.0</v>
      </c>
      <c r="V1139" s="1">
        <v>241.0</v>
      </c>
      <c r="W1139" s="1">
        <v>28000.0</v>
      </c>
      <c r="X1139" s="1">
        <v>0.0</v>
      </c>
      <c r="Y1139" s="1">
        <v>2.35</v>
      </c>
      <c r="Z1139" s="1">
        <v>7.5</v>
      </c>
    </row>
    <row r="1140" ht="14.25" customHeight="1">
      <c r="A1140" s="1" t="s">
        <v>26</v>
      </c>
      <c r="B1140" s="1" t="s">
        <v>2529</v>
      </c>
      <c r="C1140" s="1" t="s">
        <v>5948</v>
      </c>
      <c r="D1140" s="1">
        <v>8.1292135E7</v>
      </c>
      <c r="E1140" s="1" t="s">
        <v>2045</v>
      </c>
      <c r="F1140" s="1" t="s">
        <v>662</v>
      </c>
      <c r="G1140" s="1" t="s">
        <v>1113</v>
      </c>
      <c r="H1140" s="1" t="s">
        <v>43</v>
      </c>
      <c r="I1140" s="1">
        <v>137891.0</v>
      </c>
      <c r="J1140" s="1" t="s">
        <v>5949</v>
      </c>
      <c r="K1140" s="1" t="s">
        <v>5950</v>
      </c>
      <c r="L1140" s="1">
        <v>696.0</v>
      </c>
      <c r="M1140" s="1" t="s">
        <v>35</v>
      </c>
      <c r="N1140" s="1" t="s">
        <v>36</v>
      </c>
      <c r="O1140" s="1" t="s">
        <v>628</v>
      </c>
      <c r="P1140" s="1">
        <v>4.0E7</v>
      </c>
      <c r="Q1140" s="1">
        <v>1999.0</v>
      </c>
      <c r="R1140" s="1">
        <v>22000.0</v>
      </c>
      <c r="S1140" s="1">
        <v>13000.0</v>
      </c>
      <c r="T1140" s="1">
        <v>1000.0</v>
      </c>
      <c r="U1140" s="1">
        <v>36810.0</v>
      </c>
      <c r="V1140" s="1">
        <v>333.0</v>
      </c>
      <c r="W1140" s="1">
        <v>0.0</v>
      </c>
      <c r="X1140" s="1">
        <v>1.0</v>
      </c>
      <c r="Y1140" s="1">
        <v>1.85</v>
      </c>
      <c r="Z1140" s="1">
        <v>7.3</v>
      </c>
    </row>
    <row r="1141" ht="14.25" customHeight="1">
      <c r="A1141" s="1" t="s">
        <v>26</v>
      </c>
      <c r="B1141" s="1" t="s">
        <v>3322</v>
      </c>
      <c r="C1141" s="1" t="s">
        <v>5951</v>
      </c>
      <c r="D1141" s="1">
        <v>8.620801E7</v>
      </c>
      <c r="E1141" s="1" t="s">
        <v>1885</v>
      </c>
      <c r="F1141" s="1" t="s">
        <v>534</v>
      </c>
      <c r="G1141" s="1" t="s">
        <v>3733</v>
      </c>
      <c r="H1141" s="1" t="s">
        <v>4254</v>
      </c>
      <c r="I1141" s="1">
        <v>97045.0</v>
      </c>
      <c r="J1141" s="1" t="s">
        <v>5952</v>
      </c>
      <c r="K1141" s="1" t="s">
        <v>5953</v>
      </c>
      <c r="L1141" s="1">
        <v>285.0</v>
      </c>
      <c r="M1141" s="1" t="s">
        <v>35</v>
      </c>
      <c r="N1141" s="1" t="s">
        <v>36</v>
      </c>
      <c r="O1141" s="1" t="s">
        <v>37</v>
      </c>
      <c r="P1141" s="1">
        <v>3.5E7</v>
      </c>
      <c r="Q1141" s="1">
        <v>2014.0</v>
      </c>
      <c r="R1141" s="1">
        <v>13000.0</v>
      </c>
      <c r="S1141" s="1">
        <v>899.0</v>
      </c>
      <c r="T1141" s="1">
        <v>839.0</v>
      </c>
      <c r="U1141" s="1">
        <v>16179.0</v>
      </c>
      <c r="V1141" s="1">
        <v>101.0</v>
      </c>
      <c r="W1141" s="1">
        <v>55000.0</v>
      </c>
      <c r="X1141" s="1">
        <v>1.0</v>
      </c>
      <c r="Y1141" s="1">
        <v>1.85</v>
      </c>
      <c r="Z1141" s="1">
        <v>5.7</v>
      </c>
    </row>
    <row r="1142" ht="14.25" customHeight="1">
      <c r="A1142" s="1" t="s">
        <v>26</v>
      </c>
      <c r="B1142" s="1" t="s">
        <v>4812</v>
      </c>
      <c r="C1142" s="1" t="s">
        <v>5954</v>
      </c>
      <c r="D1142" s="1">
        <v>8.1593527E7</v>
      </c>
      <c r="E1142" s="1" t="s">
        <v>3106</v>
      </c>
      <c r="F1142" s="1" t="s">
        <v>328</v>
      </c>
      <c r="G1142" s="1" t="s">
        <v>346</v>
      </c>
      <c r="H1142" s="1" t="s">
        <v>5955</v>
      </c>
      <c r="I1142" s="1">
        <v>48806.0</v>
      </c>
      <c r="J1142" s="1" t="s">
        <v>5956</v>
      </c>
      <c r="K1142" s="1" t="s">
        <v>5957</v>
      </c>
      <c r="L1142" s="1">
        <v>263.0</v>
      </c>
      <c r="M1142" s="1" t="s">
        <v>35</v>
      </c>
      <c r="N1142" s="1" t="s">
        <v>36</v>
      </c>
      <c r="O1142" s="1" t="s">
        <v>87</v>
      </c>
      <c r="P1142" s="1">
        <v>4.0E7</v>
      </c>
      <c r="Q1142" s="1">
        <v>2006.0</v>
      </c>
      <c r="R1142" s="1">
        <v>23000.0</v>
      </c>
      <c r="S1142" s="1">
        <v>984.0</v>
      </c>
      <c r="T1142" s="1">
        <v>249.0</v>
      </c>
      <c r="U1142" s="1">
        <v>24300.0</v>
      </c>
      <c r="V1142" s="1">
        <v>155.0</v>
      </c>
      <c r="W1142" s="1">
        <v>11000.0</v>
      </c>
      <c r="X1142" s="1">
        <v>1.0</v>
      </c>
      <c r="Y1142" s="1">
        <v>2.35</v>
      </c>
      <c r="Z1142" s="1">
        <v>7.3</v>
      </c>
    </row>
    <row r="1143" ht="14.25" customHeight="1">
      <c r="A1143" s="1" t="s">
        <v>26</v>
      </c>
      <c r="B1143" s="1" t="s">
        <v>2275</v>
      </c>
      <c r="C1143" s="1" t="s">
        <v>5958</v>
      </c>
      <c r="D1143" s="1">
        <v>7.5274748E7</v>
      </c>
      <c r="E1143" s="1" t="s">
        <v>2422</v>
      </c>
      <c r="F1143" s="1" t="s">
        <v>1663</v>
      </c>
      <c r="G1143" s="1" t="s">
        <v>249</v>
      </c>
      <c r="H1143" s="1" t="s">
        <v>1023</v>
      </c>
      <c r="I1143" s="1">
        <v>130661.0</v>
      </c>
      <c r="J1143" s="1" t="s">
        <v>5959</v>
      </c>
      <c r="K1143" s="1" t="s">
        <v>5960</v>
      </c>
      <c r="L1143" s="1">
        <v>304.0</v>
      </c>
      <c r="M1143" s="1" t="s">
        <v>35</v>
      </c>
      <c r="N1143" s="1" t="s">
        <v>36</v>
      </c>
      <c r="O1143" s="1" t="s">
        <v>37</v>
      </c>
      <c r="P1143" s="1">
        <v>3.5E7</v>
      </c>
      <c r="Q1143" s="1">
        <v>2015.0</v>
      </c>
      <c r="R1143" s="1">
        <v>22000.0</v>
      </c>
      <c r="S1143" s="1">
        <v>11000.0</v>
      </c>
      <c r="T1143" s="1">
        <v>808.0</v>
      </c>
      <c r="U1143" s="1">
        <v>36010.0</v>
      </c>
      <c r="V1143" s="1">
        <v>278.0</v>
      </c>
      <c r="W1143" s="1">
        <v>54000.0</v>
      </c>
      <c r="X1143" s="1">
        <v>2.0</v>
      </c>
      <c r="Y1143" s="1">
        <v>1.85</v>
      </c>
      <c r="Z1143" s="1">
        <v>7.2</v>
      </c>
    </row>
    <row r="1144" ht="14.25" customHeight="1">
      <c r="A1144" s="1" t="s">
        <v>26</v>
      </c>
      <c r="B1144" s="1" t="s">
        <v>1295</v>
      </c>
      <c r="C1144" s="1" t="s">
        <v>5961</v>
      </c>
      <c r="D1144" s="1">
        <v>9.083503E7</v>
      </c>
      <c r="E1144" s="1" t="s">
        <v>2056</v>
      </c>
      <c r="F1144" s="1" t="s">
        <v>4178</v>
      </c>
      <c r="G1144" s="1" t="s">
        <v>5962</v>
      </c>
      <c r="H1144" s="1" t="s">
        <v>2200</v>
      </c>
      <c r="I1144" s="1">
        <v>28621.0</v>
      </c>
      <c r="J1144" s="1" t="s">
        <v>5963</v>
      </c>
      <c r="K1144" s="1" t="s">
        <v>5964</v>
      </c>
      <c r="L1144" s="1">
        <v>58.0</v>
      </c>
      <c r="M1144" s="1" t="s">
        <v>35</v>
      </c>
      <c r="N1144" s="1" t="s">
        <v>36</v>
      </c>
      <c r="O1144" s="1" t="s">
        <v>37</v>
      </c>
      <c r="P1144" s="1">
        <v>4.0E7</v>
      </c>
      <c r="Q1144" s="1">
        <v>2016.0</v>
      </c>
      <c r="R1144" s="1">
        <v>2000.0</v>
      </c>
      <c r="S1144" s="1">
        <v>874.0</v>
      </c>
      <c r="T1144" s="1">
        <v>655.0</v>
      </c>
      <c r="U1144" s="1">
        <v>5178.0</v>
      </c>
      <c r="V1144" s="1">
        <v>167.0</v>
      </c>
      <c r="W1144" s="1">
        <v>0.0</v>
      </c>
      <c r="X1144" s="1">
        <v>0.0</v>
      </c>
      <c r="Y1144" s="1">
        <v>2.35</v>
      </c>
      <c r="Z1144" s="1">
        <v>5.9</v>
      </c>
    </row>
    <row r="1145" ht="14.25" customHeight="1">
      <c r="A1145" s="1" t="s">
        <v>26</v>
      </c>
      <c r="B1145" s="1" t="s">
        <v>1555</v>
      </c>
      <c r="C1145" s="1" t="s">
        <v>5965</v>
      </c>
      <c r="D1145" s="1">
        <v>7.2455275E7</v>
      </c>
      <c r="E1145" s="1" t="s">
        <v>5966</v>
      </c>
      <c r="F1145" s="1" t="s">
        <v>32</v>
      </c>
      <c r="G1145" s="1" t="s">
        <v>5967</v>
      </c>
      <c r="H1145" s="1" t="s">
        <v>5968</v>
      </c>
      <c r="I1145" s="1">
        <v>113068.0</v>
      </c>
      <c r="J1145" s="1" t="s">
        <v>5969</v>
      </c>
      <c r="K1145" s="1" t="s">
        <v>5970</v>
      </c>
      <c r="L1145" s="1">
        <v>382.0</v>
      </c>
      <c r="M1145" s="1" t="s">
        <v>35</v>
      </c>
      <c r="N1145" s="1" t="s">
        <v>36</v>
      </c>
      <c r="O1145" s="1" t="s">
        <v>628</v>
      </c>
      <c r="P1145" s="1">
        <v>4.0E7</v>
      </c>
      <c r="Q1145" s="1">
        <v>1992.0</v>
      </c>
      <c r="R1145" s="1">
        <v>855.0</v>
      </c>
      <c r="S1145" s="1">
        <v>363.0</v>
      </c>
      <c r="T1145" s="1">
        <v>322.0</v>
      </c>
      <c r="U1145" s="1">
        <v>2144.0</v>
      </c>
      <c r="V1145" s="1">
        <v>0.0</v>
      </c>
      <c r="W1145" s="1">
        <v>0.0</v>
      </c>
      <c r="X1145" s="1">
        <v>1.0</v>
      </c>
      <c r="Y1145" s="1">
        <v>2.35</v>
      </c>
      <c r="Z1145" s="1">
        <v>7.8</v>
      </c>
    </row>
    <row r="1146" ht="14.25" customHeight="1">
      <c r="A1146" s="1" t="s">
        <v>26</v>
      </c>
      <c r="B1146" s="1" t="s">
        <v>3582</v>
      </c>
      <c r="C1146" s="1" t="s">
        <v>5971</v>
      </c>
      <c r="D1146" s="1">
        <v>7.5305995E7</v>
      </c>
      <c r="E1146" s="1" t="s">
        <v>4075</v>
      </c>
      <c r="F1146" s="1" t="s">
        <v>2861</v>
      </c>
      <c r="G1146" s="1" t="s">
        <v>5972</v>
      </c>
      <c r="H1146" s="1" t="s">
        <v>135</v>
      </c>
      <c r="I1146" s="1">
        <v>110394.0</v>
      </c>
      <c r="J1146" s="1" t="s">
        <v>5973</v>
      </c>
      <c r="K1146" s="1" t="s">
        <v>5974</v>
      </c>
      <c r="L1146" s="1">
        <v>433.0</v>
      </c>
      <c r="M1146" s="1" t="s">
        <v>35</v>
      </c>
      <c r="N1146" s="1" t="s">
        <v>36</v>
      </c>
      <c r="O1146" s="1" t="s">
        <v>37</v>
      </c>
      <c r="P1146" s="1">
        <v>4.0E7</v>
      </c>
      <c r="Q1146" s="1">
        <v>2004.0</v>
      </c>
      <c r="R1146" s="1">
        <v>904.0</v>
      </c>
      <c r="S1146" s="1">
        <v>876.0</v>
      </c>
      <c r="T1146" s="1">
        <v>748.0</v>
      </c>
      <c r="U1146" s="1">
        <v>5074.0</v>
      </c>
      <c r="V1146" s="1">
        <v>138.0</v>
      </c>
      <c r="W1146" s="1">
        <v>0.0</v>
      </c>
      <c r="X1146" s="1">
        <v>0.0</v>
      </c>
      <c r="Y1146" s="1">
        <v>1.85</v>
      </c>
      <c r="Z1146" s="1">
        <v>7.7</v>
      </c>
    </row>
    <row r="1147" ht="14.25" customHeight="1">
      <c r="A1147" s="1" t="s">
        <v>710</v>
      </c>
      <c r="B1147" s="1" t="s">
        <v>3627</v>
      </c>
      <c r="C1147" s="1" t="s">
        <v>5975</v>
      </c>
      <c r="D1147" s="1">
        <v>7.4098862E7</v>
      </c>
      <c r="E1147" s="1" t="s">
        <v>1458</v>
      </c>
      <c r="F1147" s="1" t="s">
        <v>947</v>
      </c>
      <c r="G1147" s="1" t="s">
        <v>5976</v>
      </c>
      <c r="H1147" s="1" t="s">
        <v>5977</v>
      </c>
      <c r="I1147" s="1">
        <v>656640.0</v>
      </c>
      <c r="J1147" s="1" t="s">
        <v>5978</v>
      </c>
      <c r="K1147" s="1" t="s">
        <v>5979</v>
      </c>
      <c r="L1147" s="1">
        <v>1732.0</v>
      </c>
      <c r="M1147" s="1" t="s">
        <v>35</v>
      </c>
      <c r="N1147" s="1" t="s">
        <v>36</v>
      </c>
      <c r="O1147" s="1" t="s">
        <v>628</v>
      </c>
      <c r="P1147" s="1">
        <v>4.0E7</v>
      </c>
      <c r="Q1147" s="1">
        <v>2005.0</v>
      </c>
      <c r="R1147" s="1">
        <v>3000.0</v>
      </c>
      <c r="S1147" s="1">
        <v>472.0</v>
      </c>
      <c r="T1147" s="1">
        <v>175.0</v>
      </c>
      <c r="U1147" s="1">
        <v>3924.0</v>
      </c>
      <c r="V1147" s="1">
        <v>436.0</v>
      </c>
      <c r="W1147" s="1">
        <v>13000.0</v>
      </c>
      <c r="X1147" s="1">
        <v>1.0</v>
      </c>
      <c r="Y1147" s="1">
        <v>1.85</v>
      </c>
      <c r="Z1147" s="1">
        <v>8.1</v>
      </c>
    </row>
    <row r="1148" ht="14.25" customHeight="1">
      <c r="A1148" s="1" t="s">
        <v>26</v>
      </c>
      <c r="B1148" s="1" t="s">
        <v>2383</v>
      </c>
      <c r="C1148" s="1" t="s">
        <v>5980</v>
      </c>
      <c r="D1148" s="1">
        <v>7.2266306E7</v>
      </c>
      <c r="E1148" s="1" t="s">
        <v>2061</v>
      </c>
      <c r="F1148" s="1" t="s">
        <v>522</v>
      </c>
      <c r="G1148" s="1" t="s">
        <v>841</v>
      </c>
      <c r="H1148" s="1" t="s">
        <v>183</v>
      </c>
      <c r="I1148" s="1">
        <v>127528.0</v>
      </c>
      <c r="J1148" s="1" t="s">
        <v>5981</v>
      </c>
      <c r="K1148" s="1" t="s">
        <v>5982</v>
      </c>
      <c r="L1148" s="1">
        <v>422.0</v>
      </c>
      <c r="M1148" s="1" t="s">
        <v>35</v>
      </c>
      <c r="N1148" s="1" t="s">
        <v>36</v>
      </c>
      <c r="O1148" s="1" t="s">
        <v>37</v>
      </c>
      <c r="P1148" s="1">
        <v>4.0E7</v>
      </c>
      <c r="Q1148" s="1">
        <v>2008.0</v>
      </c>
      <c r="R1148" s="1">
        <v>2000.0</v>
      </c>
      <c r="S1148" s="1">
        <v>897.0</v>
      </c>
      <c r="T1148" s="1">
        <v>882.0</v>
      </c>
      <c r="U1148" s="1">
        <v>6775.0</v>
      </c>
      <c r="V1148" s="1">
        <v>38.0</v>
      </c>
      <c r="W1148" s="1">
        <v>0.0</v>
      </c>
      <c r="X1148" s="1">
        <v>4.0</v>
      </c>
      <c r="Y1148" s="1">
        <v>2.35</v>
      </c>
      <c r="Z1148" s="1">
        <v>6.6</v>
      </c>
    </row>
    <row r="1149" ht="14.25" customHeight="1">
      <c r="A1149" s="1" t="s">
        <v>26</v>
      </c>
      <c r="B1149" s="1" t="s">
        <v>5722</v>
      </c>
      <c r="C1149" s="1" t="s">
        <v>5983</v>
      </c>
      <c r="D1149" s="1">
        <v>7.134701E7</v>
      </c>
      <c r="E1149" s="1" t="s">
        <v>1598</v>
      </c>
      <c r="F1149" s="1" t="s">
        <v>74</v>
      </c>
      <c r="G1149" s="1" t="s">
        <v>243</v>
      </c>
      <c r="H1149" s="1" t="s">
        <v>5984</v>
      </c>
      <c r="I1149" s="1">
        <v>166194.0</v>
      </c>
      <c r="J1149" s="1" t="s">
        <v>5985</v>
      </c>
      <c r="K1149" s="1" t="s">
        <v>5986</v>
      </c>
      <c r="L1149" s="1">
        <v>215.0</v>
      </c>
      <c r="M1149" s="1" t="s">
        <v>35</v>
      </c>
      <c r="N1149" s="1" t="s">
        <v>36</v>
      </c>
      <c r="O1149" s="1" t="s">
        <v>628</v>
      </c>
      <c r="P1149" s="1">
        <v>4.0E7</v>
      </c>
      <c r="Q1149" s="1">
        <v>2009.0</v>
      </c>
      <c r="R1149" s="1">
        <v>24000.0</v>
      </c>
      <c r="S1149" s="1">
        <v>4000.0</v>
      </c>
      <c r="T1149" s="1">
        <v>257.0</v>
      </c>
      <c r="U1149" s="1">
        <v>28928.0</v>
      </c>
      <c r="V1149" s="1">
        <v>29.0</v>
      </c>
      <c r="W1149" s="1">
        <v>0.0</v>
      </c>
      <c r="X1149" s="1">
        <v>2.0</v>
      </c>
      <c r="Y1149" s="1">
        <v>1.85</v>
      </c>
      <c r="Z1149" s="1">
        <v>7.1</v>
      </c>
    </row>
    <row r="1150" ht="14.25" customHeight="1">
      <c r="A1150" s="1" t="s">
        <v>26</v>
      </c>
      <c r="B1150" s="1" t="s">
        <v>3322</v>
      </c>
      <c r="C1150" s="1" t="s">
        <v>5987</v>
      </c>
      <c r="D1150" s="1">
        <v>7.0836296E7</v>
      </c>
      <c r="E1150" s="1" t="s">
        <v>2391</v>
      </c>
      <c r="F1150" s="1" t="s">
        <v>1689</v>
      </c>
      <c r="G1150" s="1" t="s">
        <v>2200</v>
      </c>
      <c r="H1150" s="1" t="s">
        <v>5988</v>
      </c>
      <c r="I1150" s="1">
        <v>109445.0</v>
      </c>
      <c r="J1150" s="1" t="s">
        <v>5989</v>
      </c>
      <c r="K1150" s="1" t="s">
        <v>5990</v>
      </c>
      <c r="L1150" s="1">
        <v>426.0</v>
      </c>
      <c r="M1150" s="1" t="s">
        <v>35</v>
      </c>
      <c r="N1150" s="1" t="s">
        <v>36</v>
      </c>
      <c r="O1150" s="1" t="s">
        <v>37</v>
      </c>
      <c r="P1150" s="1">
        <v>4.0E7</v>
      </c>
      <c r="Q1150" s="1">
        <v>2001.0</v>
      </c>
      <c r="R1150" s="1">
        <v>700.0</v>
      </c>
      <c r="S1150" s="1">
        <v>655.0</v>
      </c>
      <c r="T1150" s="1">
        <v>398.0</v>
      </c>
      <c r="U1150" s="1">
        <v>2842.0</v>
      </c>
      <c r="V1150" s="1">
        <v>101.0</v>
      </c>
      <c r="W1150" s="1">
        <v>0.0</v>
      </c>
      <c r="X1150" s="1">
        <v>2.0</v>
      </c>
      <c r="Y1150" s="1">
        <v>1.85</v>
      </c>
      <c r="Z1150" s="1">
        <v>5.9</v>
      </c>
    </row>
    <row r="1151" ht="14.25" customHeight="1">
      <c r="A1151" s="1" t="s">
        <v>710</v>
      </c>
      <c r="B1151" s="1" t="s">
        <v>723</v>
      </c>
      <c r="C1151" s="1" t="s">
        <v>5991</v>
      </c>
      <c r="D1151" s="1">
        <v>7.0405498E7</v>
      </c>
      <c r="E1151" s="1" t="s">
        <v>2676</v>
      </c>
      <c r="F1151" s="1" t="s">
        <v>5992</v>
      </c>
      <c r="G1151" s="1" t="s">
        <v>5993</v>
      </c>
      <c r="H1151" s="1" t="s">
        <v>5994</v>
      </c>
      <c r="I1151" s="1">
        <v>113472.0</v>
      </c>
      <c r="J1151" s="1" t="s">
        <v>5995</v>
      </c>
      <c r="K1151" s="1" t="s">
        <v>5996</v>
      </c>
      <c r="L1151" s="1">
        <v>442.0</v>
      </c>
      <c r="M1151" s="1" t="s">
        <v>35</v>
      </c>
      <c r="N1151" s="1" t="s">
        <v>1832</v>
      </c>
      <c r="O1151" s="1" t="s">
        <v>628</v>
      </c>
      <c r="P1151" s="1">
        <v>4.0E7</v>
      </c>
      <c r="Q1151" s="1">
        <v>1991.0</v>
      </c>
      <c r="R1151" s="1">
        <v>433.0</v>
      </c>
      <c r="S1151" s="1">
        <v>256.0</v>
      </c>
      <c r="T1151" s="1">
        <v>4.0</v>
      </c>
      <c r="U1151" s="1">
        <v>698.0</v>
      </c>
      <c r="V1151" s="1">
        <v>0.0</v>
      </c>
      <c r="W1151" s="1">
        <v>0.0</v>
      </c>
      <c r="X1151" s="1">
        <v>1.0</v>
      </c>
      <c r="Y1151" s="1">
        <v>2.35</v>
      </c>
      <c r="Z1151" s="1">
        <v>8.0</v>
      </c>
    </row>
    <row r="1152" ht="14.25" customHeight="1">
      <c r="A1152" s="1" t="s">
        <v>26</v>
      </c>
      <c r="B1152" s="1" t="s">
        <v>5997</v>
      </c>
      <c r="C1152" s="1" t="s">
        <v>5998</v>
      </c>
      <c r="D1152" s="1">
        <v>7.0163652E7</v>
      </c>
      <c r="E1152" s="1" t="s">
        <v>972</v>
      </c>
      <c r="F1152" s="1" t="s">
        <v>475</v>
      </c>
      <c r="G1152" s="1" t="s">
        <v>5999</v>
      </c>
      <c r="H1152" s="1" t="s">
        <v>6000</v>
      </c>
      <c r="I1152" s="1">
        <v>31968.0</v>
      </c>
      <c r="J1152" s="1" t="s">
        <v>6001</v>
      </c>
      <c r="K1152" s="1" t="s">
        <v>6002</v>
      </c>
      <c r="L1152" s="1">
        <v>82.0</v>
      </c>
      <c r="M1152" s="1" t="s">
        <v>35</v>
      </c>
      <c r="N1152" s="1" t="s">
        <v>36</v>
      </c>
      <c r="O1152" s="1" t="s">
        <v>37</v>
      </c>
      <c r="P1152" s="1">
        <v>4.0E7</v>
      </c>
      <c r="Q1152" s="1">
        <v>2006.0</v>
      </c>
      <c r="R1152" s="1">
        <v>17000.0</v>
      </c>
      <c r="S1152" s="1">
        <v>826.0</v>
      </c>
      <c r="T1152" s="1">
        <v>633.0</v>
      </c>
      <c r="U1152" s="1">
        <v>19334.0</v>
      </c>
      <c r="V1152" s="1">
        <v>14.0</v>
      </c>
      <c r="W1152" s="1">
        <v>663.0</v>
      </c>
      <c r="X1152" s="1">
        <v>0.0</v>
      </c>
      <c r="Y1152" s="1">
        <v>1.85</v>
      </c>
      <c r="Z1152" s="1">
        <v>4.6</v>
      </c>
    </row>
    <row r="1153" ht="14.25" customHeight="1">
      <c r="A1153" s="1" t="s">
        <v>26</v>
      </c>
      <c r="B1153" s="1" t="s">
        <v>38</v>
      </c>
      <c r="C1153" s="1" t="s">
        <v>6003</v>
      </c>
      <c r="D1153" s="1">
        <v>6.6808615E7</v>
      </c>
      <c r="E1153" s="1" t="s">
        <v>6004</v>
      </c>
      <c r="F1153" s="1" t="s">
        <v>74</v>
      </c>
      <c r="G1153" s="1" t="s">
        <v>335</v>
      </c>
      <c r="H1153" s="1" t="s">
        <v>1459</v>
      </c>
      <c r="I1153" s="1">
        <v>87351.0</v>
      </c>
      <c r="J1153" s="1" t="s">
        <v>6005</v>
      </c>
      <c r="K1153" s="1" t="s">
        <v>6006</v>
      </c>
      <c r="L1153" s="1">
        <v>344.0</v>
      </c>
      <c r="M1153" s="1" t="s">
        <v>35</v>
      </c>
      <c r="N1153" s="1" t="s">
        <v>36</v>
      </c>
      <c r="O1153" s="1" t="s">
        <v>628</v>
      </c>
      <c r="P1153" s="1">
        <v>3.4E7</v>
      </c>
      <c r="Q1153" s="1">
        <v>2001.0</v>
      </c>
      <c r="R1153" s="1">
        <v>24000.0</v>
      </c>
      <c r="S1153" s="1">
        <v>11000.0</v>
      </c>
      <c r="T1153" s="1">
        <v>8000.0</v>
      </c>
      <c r="U1153" s="1">
        <v>43917.0</v>
      </c>
      <c r="V1153" s="1">
        <v>563.0</v>
      </c>
      <c r="W1153" s="1">
        <v>2000.0</v>
      </c>
      <c r="X1153" s="1">
        <v>0.0</v>
      </c>
      <c r="Y1153" s="1">
        <v>2.35</v>
      </c>
      <c r="Z1153" s="1">
        <v>6.1</v>
      </c>
    </row>
    <row r="1154" ht="14.25" customHeight="1">
      <c r="A1154" s="1" t="s">
        <v>26</v>
      </c>
      <c r="B1154" s="1" t="s">
        <v>550</v>
      </c>
      <c r="C1154" s="1" t="s">
        <v>3496</v>
      </c>
      <c r="D1154" s="1">
        <v>1.1560398E8</v>
      </c>
      <c r="E1154" s="1" t="s">
        <v>3497</v>
      </c>
      <c r="F1154" s="1" t="s">
        <v>3498</v>
      </c>
      <c r="G1154" s="1" t="s">
        <v>3499</v>
      </c>
      <c r="H1154" s="1" t="s">
        <v>3500</v>
      </c>
      <c r="I1154" s="1">
        <v>103589.0</v>
      </c>
      <c r="J1154" s="1" t="s">
        <v>3501</v>
      </c>
      <c r="K1154" s="1" t="s">
        <v>3502</v>
      </c>
      <c r="L1154" s="1">
        <v>351.0</v>
      </c>
      <c r="M1154" s="1" t="s">
        <v>35</v>
      </c>
      <c r="N1154" s="1" t="s">
        <v>36</v>
      </c>
      <c r="O1154" s="1" t="s">
        <v>37</v>
      </c>
      <c r="P1154" s="1">
        <v>6.5E7</v>
      </c>
      <c r="Q1154" s="1">
        <v>2014.0</v>
      </c>
      <c r="R1154" s="1">
        <v>769.0</v>
      </c>
      <c r="S1154" s="1">
        <v>698.0</v>
      </c>
      <c r="T1154" s="1">
        <v>465.0</v>
      </c>
      <c r="U1154" s="1">
        <v>2938.0</v>
      </c>
      <c r="V1154" s="1">
        <v>11000.0</v>
      </c>
      <c r="W1154" s="1">
        <v>35000.0</v>
      </c>
      <c r="X1154" s="1">
        <v>0.0</v>
      </c>
      <c r="Y1154" s="1">
        <v>2.35</v>
      </c>
      <c r="Z1154" s="1">
        <v>7.2</v>
      </c>
    </row>
    <row r="1155" ht="14.25" customHeight="1">
      <c r="A1155" s="1" t="s">
        <v>26</v>
      </c>
      <c r="B1155" s="1" t="s">
        <v>5699</v>
      </c>
      <c r="C1155" s="1" t="s">
        <v>6007</v>
      </c>
      <c r="D1155" s="1">
        <v>6.4149837E7</v>
      </c>
      <c r="E1155" s="1" t="s">
        <v>6008</v>
      </c>
      <c r="F1155" s="1" t="s">
        <v>6009</v>
      </c>
      <c r="G1155" s="1" t="s">
        <v>2287</v>
      </c>
      <c r="H1155" s="1" t="s">
        <v>4768</v>
      </c>
      <c r="I1155" s="1">
        <v>146899.0</v>
      </c>
      <c r="J1155" s="1" t="s">
        <v>6010</v>
      </c>
      <c r="K1155" s="1" t="s">
        <v>6011</v>
      </c>
      <c r="L1155" s="1">
        <v>185.0</v>
      </c>
      <c r="M1155" s="1" t="s">
        <v>35</v>
      </c>
      <c r="N1155" s="1" t="s">
        <v>36</v>
      </c>
      <c r="O1155" s="1" t="s">
        <v>37</v>
      </c>
      <c r="P1155" s="1">
        <v>2.0E7</v>
      </c>
      <c r="Q1155" s="1">
        <v>2009.0</v>
      </c>
      <c r="R1155" s="1">
        <v>2000.0</v>
      </c>
      <c r="S1155" s="1">
        <v>2000.0</v>
      </c>
      <c r="T1155" s="1">
        <v>651.0</v>
      </c>
      <c r="U1155" s="1">
        <v>7009.0</v>
      </c>
      <c r="V1155" s="1">
        <v>23.0</v>
      </c>
      <c r="W1155" s="1">
        <v>0.0</v>
      </c>
      <c r="X1155" s="1">
        <v>1.0</v>
      </c>
      <c r="Y1155" s="1">
        <v>2.35</v>
      </c>
      <c r="Z1155" s="1">
        <v>6.4</v>
      </c>
    </row>
    <row r="1156" ht="14.25" customHeight="1">
      <c r="A1156" s="1" t="s">
        <v>26</v>
      </c>
      <c r="B1156" s="1" t="s">
        <v>6012</v>
      </c>
      <c r="C1156" s="1" t="s">
        <v>6013</v>
      </c>
      <c r="D1156" s="1">
        <v>8.3906114E7</v>
      </c>
      <c r="E1156" s="1" t="s">
        <v>1598</v>
      </c>
      <c r="F1156" s="1" t="s">
        <v>5455</v>
      </c>
      <c r="G1156" s="1" t="s">
        <v>6014</v>
      </c>
      <c r="H1156" s="1" t="s">
        <v>6015</v>
      </c>
      <c r="I1156" s="1">
        <v>104481.0</v>
      </c>
      <c r="J1156" s="1" t="s">
        <v>6016</v>
      </c>
      <c r="K1156" s="1" t="s">
        <v>6017</v>
      </c>
      <c r="L1156" s="1">
        <v>189.0</v>
      </c>
      <c r="M1156" s="1" t="s">
        <v>35</v>
      </c>
      <c r="N1156" s="1" t="s">
        <v>36</v>
      </c>
      <c r="O1156" s="1" t="s">
        <v>37</v>
      </c>
      <c r="P1156" s="1">
        <v>4.0E7</v>
      </c>
      <c r="Q1156" s="1">
        <v>2014.0</v>
      </c>
      <c r="R1156" s="1">
        <v>982.0</v>
      </c>
      <c r="S1156" s="1">
        <v>971.0</v>
      </c>
      <c r="T1156" s="1">
        <v>119.0</v>
      </c>
      <c r="U1156" s="1">
        <v>2357.0</v>
      </c>
      <c r="V1156" s="1">
        <v>415.0</v>
      </c>
      <c r="W1156" s="1">
        <v>16000.0</v>
      </c>
      <c r="X1156" s="1">
        <v>2.0</v>
      </c>
      <c r="Y1156" s="1">
        <v>2.35</v>
      </c>
      <c r="Z1156" s="1">
        <v>6.0</v>
      </c>
    </row>
    <row r="1157" ht="14.25" customHeight="1">
      <c r="A1157" s="1" t="s">
        <v>26</v>
      </c>
      <c r="B1157" s="1" t="s">
        <v>5498</v>
      </c>
      <c r="C1157" s="1" t="s">
        <v>6018</v>
      </c>
      <c r="D1157" s="1">
        <v>6.6466372E7</v>
      </c>
      <c r="E1157" s="1" t="s">
        <v>6019</v>
      </c>
      <c r="F1157" s="1" t="s">
        <v>6020</v>
      </c>
      <c r="G1157" s="1" t="s">
        <v>6021</v>
      </c>
      <c r="H1157" s="1" t="s">
        <v>6022</v>
      </c>
      <c r="I1157" s="1">
        <v>75345.0</v>
      </c>
      <c r="J1157" s="1" t="s">
        <v>6023</v>
      </c>
      <c r="K1157" s="1" t="s">
        <v>6024</v>
      </c>
      <c r="L1157" s="1">
        <v>290.0</v>
      </c>
      <c r="M1157" s="1" t="s">
        <v>35</v>
      </c>
      <c r="N1157" s="1" t="s">
        <v>36</v>
      </c>
      <c r="O1157" s="1" t="s">
        <v>628</v>
      </c>
      <c r="P1157" s="1">
        <v>4.0E7</v>
      </c>
      <c r="Q1157" s="1">
        <v>2009.0</v>
      </c>
      <c r="R1157" s="1">
        <v>164000.0</v>
      </c>
      <c r="S1157" s="1">
        <v>137000.0</v>
      </c>
      <c r="T1157" s="1">
        <v>748.0</v>
      </c>
      <c r="U1157" s="1">
        <v>303717.0</v>
      </c>
      <c r="V1157" s="1">
        <v>160.0</v>
      </c>
      <c r="W1157" s="1">
        <v>0.0</v>
      </c>
      <c r="X1157" s="1">
        <v>0.0</v>
      </c>
      <c r="Y1157" s="1">
        <v>2.35</v>
      </c>
      <c r="Z1157" s="1">
        <v>5.2</v>
      </c>
    </row>
    <row r="1158" ht="14.25" customHeight="1">
      <c r="A1158" s="1" t="s">
        <v>26</v>
      </c>
      <c r="B1158" s="1" t="s">
        <v>381</v>
      </c>
      <c r="C1158" s="1" t="s">
        <v>6025</v>
      </c>
      <c r="D1158" s="1">
        <v>7.2306065E7</v>
      </c>
      <c r="E1158" s="1" t="s">
        <v>2676</v>
      </c>
      <c r="F1158" s="1" t="s">
        <v>314</v>
      </c>
      <c r="G1158" s="1" t="s">
        <v>1083</v>
      </c>
      <c r="H1158" s="1" t="s">
        <v>6026</v>
      </c>
      <c r="I1158" s="1">
        <v>178118.0</v>
      </c>
      <c r="J1158" s="1" t="s">
        <v>6027</v>
      </c>
      <c r="K1158" s="1" t="s">
        <v>6028</v>
      </c>
      <c r="L1158" s="1">
        <v>355.0</v>
      </c>
      <c r="M1158" s="1" t="s">
        <v>35</v>
      </c>
      <c r="N1158" s="1" t="s">
        <v>36</v>
      </c>
      <c r="O1158" s="1" t="s">
        <v>37</v>
      </c>
      <c r="P1158" s="1">
        <v>4.0E7</v>
      </c>
      <c r="Q1158" s="1">
        <v>2015.0</v>
      </c>
      <c r="R1158" s="1">
        <v>15000.0</v>
      </c>
      <c r="S1158" s="1">
        <v>535.0</v>
      </c>
      <c r="T1158" s="1">
        <v>423.0</v>
      </c>
      <c r="U1158" s="1">
        <v>16944.0</v>
      </c>
      <c r="V1158" s="1">
        <v>14000.0</v>
      </c>
      <c r="W1158" s="1">
        <v>55000.0</v>
      </c>
      <c r="X1158" s="1">
        <v>0.0</v>
      </c>
      <c r="Y1158" s="1">
        <v>2.35</v>
      </c>
      <c r="Z1158" s="1">
        <v>7.6</v>
      </c>
    </row>
    <row r="1159" ht="14.25" customHeight="1">
      <c r="A1159" s="1" t="s">
        <v>26</v>
      </c>
      <c r="B1159" s="1" t="s">
        <v>1967</v>
      </c>
      <c r="C1159" s="1" t="s">
        <v>6029</v>
      </c>
      <c r="D1159" s="1">
        <v>5.9068786E7</v>
      </c>
      <c r="E1159" s="1" t="s">
        <v>1827</v>
      </c>
      <c r="F1159" s="1" t="s">
        <v>6030</v>
      </c>
      <c r="G1159" s="1" t="s">
        <v>3688</v>
      </c>
      <c r="H1159" s="1" t="s">
        <v>6031</v>
      </c>
      <c r="I1159" s="1">
        <v>86902.0</v>
      </c>
      <c r="J1159" s="1" t="s">
        <v>6032</v>
      </c>
      <c r="K1159" s="1" t="s">
        <v>6033</v>
      </c>
      <c r="L1159" s="1">
        <v>411.0</v>
      </c>
      <c r="M1159" s="1" t="s">
        <v>35</v>
      </c>
      <c r="N1159" s="1" t="s">
        <v>36</v>
      </c>
      <c r="O1159" s="1" t="s">
        <v>37</v>
      </c>
      <c r="P1159" s="1">
        <v>4.0E7</v>
      </c>
      <c r="Q1159" s="1">
        <v>2001.0</v>
      </c>
      <c r="R1159" s="1">
        <v>578.0</v>
      </c>
      <c r="S1159" s="1">
        <v>563.0</v>
      </c>
      <c r="T1159" s="1">
        <v>389.0</v>
      </c>
      <c r="U1159" s="1">
        <v>2544.0</v>
      </c>
      <c r="V1159" s="1">
        <v>212.0</v>
      </c>
      <c r="W1159" s="1">
        <v>0.0</v>
      </c>
      <c r="X1159" s="1">
        <v>2.0</v>
      </c>
      <c r="Y1159" s="1">
        <v>2.35</v>
      </c>
      <c r="Z1159" s="1">
        <v>6.4</v>
      </c>
    </row>
    <row r="1160" ht="14.25" customHeight="1">
      <c r="A1160" s="1" t="s">
        <v>26</v>
      </c>
      <c r="B1160" s="1" t="s">
        <v>1596</v>
      </c>
      <c r="C1160" s="1" t="s">
        <v>6034</v>
      </c>
      <c r="D1160" s="1">
        <v>5.7887882E7</v>
      </c>
      <c r="E1160" s="1" t="s">
        <v>1359</v>
      </c>
      <c r="F1160" s="1" t="s">
        <v>1139</v>
      </c>
      <c r="G1160" s="1" t="s">
        <v>6035</v>
      </c>
      <c r="H1160" s="1" t="s">
        <v>669</v>
      </c>
      <c r="I1160" s="1">
        <v>35508.0</v>
      </c>
      <c r="J1160" s="1" t="s">
        <v>6036</v>
      </c>
      <c r="K1160" s="1" t="s">
        <v>6037</v>
      </c>
      <c r="L1160" s="1">
        <v>211.0</v>
      </c>
      <c r="M1160" s="1" t="s">
        <v>35</v>
      </c>
      <c r="N1160" s="1" t="s">
        <v>36</v>
      </c>
      <c r="O1160" s="1" t="s">
        <v>37</v>
      </c>
      <c r="P1160" s="1">
        <v>5.0E7</v>
      </c>
      <c r="Q1160" s="1">
        <v>2004.0</v>
      </c>
      <c r="R1160" s="1">
        <v>1000.0</v>
      </c>
      <c r="S1160" s="1">
        <v>593.0</v>
      </c>
      <c r="T1160" s="1">
        <v>418.0</v>
      </c>
      <c r="U1160" s="1">
        <v>2325.0</v>
      </c>
      <c r="V1160" s="1">
        <v>23.0</v>
      </c>
      <c r="W1160" s="1">
        <v>0.0</v>
      </c>
      <c r="X1160" s="1">
        <v>2.0</v>
      </c>
      <c r="Y1160" s="1">
        <v>1.85</v>
      </c>
      <c r="Z1160" s="1">
        <v>6.1</v>
      </c>
    </row>
    <row r="1161" ht="14.25" customHeight="1">
      <c r="A1161" s="1" t="s">
        <v>26</v>
      </c>
      <c r="B1161" s="1" t="s">
        <v>2700</v>
      </c>
      <c r="C1161" s="1" t="s">
        <v>6038</v>
      </c>
      <c r="D1161" s="1">
        <v>5.3955614E7</v>
      </c>
      <c r="E1161" s="1" t="s">
        <v>2889</v>
      </c>
      <c r="F1161" s="1" t="s">
        <v>76</v>
      </c>
      <c r="G1161" s="1" t="s">
        <v>2026</v>
      </c>
      <c r="H1161" s="1" t="s">
        <v>4964</v>
      </c>
      <c r="I1161" s="1">
        <v>77415.0</v>
      </c>
      <c r="J1161" s="1" t="s">
        <v>6039</v>
      </c>
      <c r="K1161" s="1" t="s">
        <v>6040</v>
      </c>
      <c r="L1161" s="1">
        <v>139.0</v>
      </c>
      <c r="M1161" s="1" t="s">
        <v>35</v>
      </c>
      <c r="N1161" s="1" t="s">
        <v>36</v>
      </c>
      <c r="O1161" s="1" t="s">
        <v>37</v>
      </c>
      <c r="P1161" s="1">
        <v>4.0E7</v>
      </c>
      <c r="Q1161" s="1">
        <v>1998.0</v>
      </c>
      <c r="R1161" s="1">
        <v>4000.0</v>
      </c>
      <c r="S1161" s="1">
        <v>835.0</v>
      </c>
      <c r="T1161" s="1">
        <v>823.0</v>
      </c>
      <c r="U1161" s="1">
        <v>8610.0</v>
      </c>
      <c r="V1161" s="1">
        <v>287.0</v>
      </c>
      <c r="W1161" s="1">
        <v>0.0</v>
      </c>
      <c r="X1161" s="1">
        <v>0.0</v>
      </c>
      <c r="Y1161" s="1">
        <v>2.35</v>
      </c>
      <c r="Z1161" s="1">
        <v>6.1</v>
      </c>
    </row>
    <row r="1162" ht="14.25" customHeight="1">
      <c r="A1162" s="1" t="s">
        <v>26</v>
      </c>
      <c r="B1162" s="1" t="s">
        <v>6041</v>
      </c>
      <c r="C1162" s="1" t="s">
        <v>6042</v>
      </c>
      <c r="D1162" s="1">
        <v>5.4967359E7</v>
      </c>
      <c r="E1162" s="1" t="s">
        <v>5406</v>
      </c>
      <c r="F1162" s="1" t="s">
        <v>6043</v>
      </c>
      <c r="G1162" s="1" t="s">
        <v>1905</v>
      </c>
      <c r="H1162" s="1" t="s">
        <v>3462</v>
      </c>
      <c r="I1162" s="1">
        <v>52805.0</v>
      </c>
      <c r="J1162" s="1" t="s">
        <v>6044</v>
      </c>
      <c r="K1162" s="1" t="s">
        <v>6045</v>
      </c>
      <c r="L1162" s="1">
        <v>209.0</v>
      </c>
      <c r="M1162" s="1" t="s">
        <v>35</v>
      </c>
      <c r="N1162" s="1" t="s">
        <v>36</v>
      </c>
      <c r="O1162" s="1" t="s">
        <v>628</v>
      </c>
      <c r="P1162" s="1">
        <v>4.0E7</v>
      </c>
      <c r="Q1162" s="1">
        <v>1997.0</v>
      </c>
      <c r="R1162" s="1">
        <v>2000.0</v>
      </c>
      <c r="S1162" s="1">
        <v>2000.0</v>
      </c>
      <c r="T1162" s="1">
        <v>968.0</v>
      </c>
      <c r="U1162" s="1">
        <v>7039.0</v>
      </c>
      <c r="V1162" s="1">
        <v>20.0</v>
      </c>
      <c r="W1162" s="1">
        <v>0.0</v>
      </c>
      <c r="X1162" s="1">
        <v>0.0</v>
      </c>
      <c r="Y1162" s="1">
        <v>1.85</v>
      </c>
      <c r="Z1162" s="1">
        <v>5.2</v>
      </c>
    </row>
    <row r="1163" ht="14.25" customHeight="1">
      <c r="A1163" s="1" t="s">
        <v>26</v>
      </c>
      <c r="B1163" s="1" t="s">
        <v>513</v>
      </c>
      <c r="C1163" s="1" t="s">
        <v>6046</v>
      </c>
      <c r="D1163" s="1">
        <v>5.4228104E7</v>
      </c>
      <c r="E1163" s="1" t="s">
        <v>6047</v>
      </c>
      <c r="F1163" s="1" t="s">
        <v>105</v>
      </c>
      <c r="G1163" s="1" t="s">
        <v>295</v>
      </c>
      <c r="H1163" s="1" t="s">
        <v>1787</v>
      </c>
      <c r="I1163" s="1">
        <v>104991.0</v>
      </c>
      <c r="J1163" s="1" t="s">
        <v>6048</v>
      </c>
      <c r="K1163" s="1" t="s">
        <v>6049</v>
      </c>
      <c r="L1163" s="1">
        <v>544.0</v>
      </c>
      <c r="M1163" s="1" t="s">
        <v>35</v>
      </c>
      <c r="N1163" s="1" t="s">
        <v>54</v>
      </c>
      <c r="O1163" s="1" t="s">
        <v>37</v>
      </c>
      <c r="P1163" s="1">
        <v>3.5E7</v>
      </c>
      <c r="Q1163" s="1">
        <v>2002.0</v>
      </c>
      <c r="R1163" s="1">
        <v>15000.0</v>
      </c>
      <c r="S1163" s="1">
        <v>1000.0</v>
      </c>
      <c r="T1163" s="1">
        <v>720.0</v>
      </c>
      <c r="U1163" s="1">
        <v>17152.0</v>
      </c>
      <c r="V1163" s="1">
        <v>58.0</v>
      </c>
      <c r="W1163" s="1">
        <v>0.0</v>
      </c>
      <c r="X1163" s="1">
        <v>1.0</v>
      </c>
      <c r="Y1163" s="1">
        <v>1.85</v>
      </c>
      <c r="Z1163" s="1">
        <v>7.7</v>
      </c>
    </row>
    <row r="1164" ht="14.25" customHeight="1">
      <c r="A1164" s="1" t="s">
        <v>26</v>
      </c>
      <c r="B1164" s="1" t="s">
        <v>6050</v>
      </c>
      <c r="C1164" s="1" t="s">
        <v>6051</v>
      </c>
      <c r="D1164" s="1">
        <v>5.7981889E7</v>
      </c>
      <c r="E1164" s="1" t="s">
        <v>2045</v>
      </c>
      <c r="F1164" s="1" t="s">
        <v>637</v>
      </c>
      <c r="G1164" s="1" t="s">
        <v>6052</v>
      </c>
      <c r="H1164" s="1" t="s">
        <v>3058</v>
      </c>
      <c r="I1164" s="1">
        <v>173848.0</v>
      </c>
      <c r="J1164" s="1" t="s">
        <v>6053</v>
      </c>
      <c r="K1164" s="1" t="s">
        <v>6054</v>
      </c>
      <c r="L1164" s="1">
        <v>203.0</v>
      </c>
      <c r="M1164" s="1" t="s">
        <v>35</v>
      </c>
      <c r="N1164" s="1" t="s">
        <v>36</v>
      </c>
      <c r="O1164" s="1" t="s">
        <v>628</v>
      </c>
      <c r="P1164" s="1">
        <v>4.0E7</v>
      </c>
      <c r="Q1164" s="1">
        <v>2011.0</v>
      </c>
      <c r="R1164" s="1">
        <v>11000.0</v>
      </c>
      <c r="S1164" s="1">
        <v>980.0</v>
      </c>
      <c r="T1164" s="1">
        <v>638.0</v>
      </c>
      <c r="U1164" s="1">
        <v>13943.0</v>
      </c>
      <c r="V1164" s="1">
        <v>65.0</v>
      </c>
      <c r="W1164" s="1">
        <v>25000.0</v>
      </c>
      <c r="X1164" s="1">
        <v>1.0</v>
      </c>
      <c r="Y1164" s="1">
        <v>2.35</v>
      </c>
      <c r="Z1164" s="1">
        <v>7.3</v>
      </c>
    </row>
    <row r="1165" ht="14.25" customHeight="1">
      <c r="A1165" s="1" t="s">
        <v>26</v>
      </c>
      <c r="B1165" s="1" t="s">
        <v>4844</v>
      </c>
      <c r="C1165" s="1" t="s">
        <v>6055</v>
      </c>
      <c r="D1165" s="1">
        <v>6.1094903E7</v>
      </c>
      <c r="E1165" s="1" t="s">
        <v>1112</v>
      </c>
      <c r="F1165" s="1" t="s">
        <v>220</v>
      </c>
      <c r="G1165" s="1" t="s">
        <v>114</v>
      </c>
      <c r="H1165" s="1" t="s">
        <v>6056</v>
      </c>
      <c r="I1165" s="1">
        <v>210542.0</v>
      </c>
      <c r="J1165" s="1" t="s">
        <v>6057</v>
      </c>
      <c r="K1165" s="1" t="s">
        <v>6058</v>
      </c>
      <c r="L1165" s="1">
        <v>332.0</v>
      </c>
      <c r="M1165" s="1" t="s">
        <v>35</v>
      </c>
      <c r="N1165" s="1" t="s">
        <v>54</v>
      </c>
      <c r="O1165" s="1" t="s">
        <v>37</v>
      </c>
      <c r="P1165" s="1">
        <v>3.0E7</v>
      </c>
      <c r="Q1165" s="1">
        <v>2011.0</v>
      </c>
      <c r="R1165" s="1">
        <v>14000.0</v>
      </c>
      <c r="S1165" s="1">
        <v>903.0</v>
      </c>
      <c r="T1165" s="1">
        <v>767.0</v>
      </c>
      <c r="U1165" s="1">
        <v>17152.0</v>
      </c>
      <c r="V1165" s="1">
        <v>174.0</v>
      </c>
      <c r="W1165" s="1">
        <v>29000.0</v>
      </c>
      <c r="X1165" s="1">
        <v>3.0</v>
      </c>
      <c r="Y1165" s="1">
        <v>2.35</v>
      </c>
      <c r="Z1165" s="1">
        <v>6.9</v>
      </c>
    </row>
    <row r="1166" ht="14.25" customHeight="1">
      <c r="A1166" s="1" t="s">
        <v>26</v>
      </c>
      <c r="B1166" s="1" t="s">
        <v>55</v>
      </c>
      <c r="C1166" s="1" t="s">
        <v>6059</v>
      </c>
      <c r="D1166" s="1">
        <v>5.3082743E7</v>
      </c>
      <c r="E1166" s="1" t="s">
        <v>2117</v>
      </c>
      <c r="F1166" s="1" t="s">
        <v>59</v>
      </c>
      <c r="G1166" s="1" t="s">
        <v>255</v>
      </c>
      <c r="H1166" s="1" t="s">
        <v>92</v>
      </c>
      <c r="I1166" s="1">
        <v>844052.0</v>
      </c>
      <c r="J1166" s="1" t="s">
        <v>6060</v>
      </c>
      <c r="K1166" s="1" t="s">
        <v>6061</v>
      </c>
      <c r="L1166" s="1">
        <v>1100.0</v>
      </c>
      <c r="M1166" s="1" t="s">
        <v>35</v>
      </c>
      <c r="N1166" s="1" t="s">
        <v>36</v>
      </c>
      <c r="O1166" s="1" t="s">
        <v>37</v>
      </c>
      <c r="P1166" s="1">
        <v>4.0E7</v>
      </c>
      <c r="Q1166" s="1">
        <v>2006.0</v>
      </c>
      <c r="R1166" s="1">
        <v>23000.0</v>
      </c>
      <c r="S1166" s="1">
        <v>20000.0</v>
      </c>
      <c r="T1166" s="1">
        <v>19000.0</v>
      </c>
      <c r="U1166" s="1">
        <v>63986.0</v>
      </c>
      <c r="V1166" s="1">
        <v>22000.0</v>
      </c>
      <c r="W1166" s="1">
        <v>49000.0</v>
      </c>
      <c r="X1166" s="1">
        <v>1.0</v>
      </c>
      <c r="Y1166" s="1">
        <v>2.35</v>
      </c>
      <c r="Z1166" s="1">
        <v>8.5</v>
      </c>
    </row>
    <row r="1167" ht="14.25" customHeight="1">
      <c r="A1167" s="1" t="s">
        <v>26</v>
      </c>
      <c r="B1167" s="1" t="s">
        <v>4270</v>
      </c>
      <c r="C1167" s="1" t="s">
        <v>6062</v>
      </c>
      <c r="D1167" s="1">
        <v>5.4414716E7</v>
      </c>
      <c r="E1167" s="1" t="s">
        <v>972</v>
      </c>
      <c r="F1167" s="1" t="s">
        <v>112</v>
      </c>
      <c r="G1167" s="1" t="s">
        <v>49</v>
      </c>
      <c r="H1167" s="1" t="s">
        <v>6063</v>
      </c>
      <c r="I1167" s="1">
        <v>114294.0</v>
      </c>
      <c r="J1167" s="1" t="s">
        <v>6064</v>
      </c>
      <c r="K1167" s="1" t="s">
        <v>6065</v>
      </c>
      <c r="L1167" s="1">
        <v>187.0</v>
      </c>
      <c r="M1167" s="1" t="s">
        <v>35</v>
      </c>
      <c r="N1167" s="1" t="s">
        <v>36</v>
      </c>
      <c r="O1167" s="1" t="s">
        <v>628</v>
      </c>
      <c r="P1167" s="1">
        <v>4.2E7</v>
      </c>
      <c r="Q1167" s="1">
        <v>2014.0</v>
      </c>
      <c r="R1167" s="1">
        <v>18000.0</v>
      </c>
      <c r="S1167" s="1">
        <v>11000.0</v>
      </c>
      <c r="T1167" s="1">
        <v>465.0</v>
      </c>
      <c r="U1167" s="1">
        <v>30571.0</v>
      </c>
      <c r="V1167" s="1">
        <v>51.0</v>
      </c>
      <c r="W1167" s="1">
        <v>12000.0</v>
      </c>
      <c r="X1167" s="1">
        <v>7.0</v>
      </c>
      <c r="Y1167" s="1">
        <v>2.35</v>
      </c>
      <c r="Z1167" s="1">
        <v>6.3</v>
      </c>
    </row>
    <row r="1168" ht="14.25" customHeight="1">
      <c r="A1168" s="1" t="s">
        <v>26</v>
      </c>
      <c r="B1168" s="1" t="s">
        <v>6066</v>
      </c>
      <c r="C1168" s="1" t="s">
        <v>6067</v>
      </c>
      <c r="D1168" s="1">
        <v>5.7011847E7</v>
      </c>
      <c r="E1168" s="1" t="s">
        <v>596</v>
      </c>
      <c r="F1168" s="1" t="s">
        <v>488</v>
      </c>
      <c r="G1168" s="1" t="s">
        <v>6068</v>
      </c>
      <c r="H1168" s="1" t="s">
        <v>6069</v>
      </c>
      <c r="I1168" s="1">
        <v>20615.0</v>
      </c>
      <c r="J1168" s="1" t="s">
        <v>6070</v>
      </c>
      <c r="K1168" s="1" t="s">
        <v>6071</v>
      </c>
      <c r="L1168" s="1">
        <v>44.0</v>
      </c>
      <c r="M1168" s="1" t="s">
        <v>35</v>
      </c>
      <c r="N1168" s="1" t="s">
        <v>36</v>
      </c>
      <c r="O1168" s="1" t="s">
        <v>87</v>
      </c>
      <c r="P1168" s="1">
        <v>4.0E7</v>
      </c>
      <c r="Q1168" s="1">
        <v>2013.0</v>
      </c>
      <c r="R1168" s="1">
        <v>3000.0</v>
      </c>
      <c r="S1168" s="1">
        <v>190.0</v>
      </c>
      <c r="T1168" s="1">
        <v>91.0</v>
      </c>
      <c r="U1168" s="1">
        <v>3361.0</v>
      </c>
      <c r="V1168" s="1">
        <v>7.0</v>
      </c>
      <c r="W1168" s="1">
        <v>0.0</v>
      </c>
      <c r="X1168" s="1">
        <v>2.0</v>
      </c>
      <c r="Y1168" s="1">
        <v>2.35</v>
      </c>
      <c r="Z1168" s="1">
        <v>5.9</v>
      </c>
    </row>
    <row r="1169" ht="14.25" customHeight="1">
      <c r="A1169" s="1" t="s">
        <v>26</v>
      </c>
      <c r="B1169" s="1" t="s">
        <v>3073</v>
      </c>
      <c r="C1169" s="1" t="s">
        <v>6072</v>
      </c>
      <c r="D1169" s="1">
        <v>5.0859889E7</v>
      </c>
      <c r="E1169" s="1" t="s">
        <v>675</v>
      </c>
      <c r="F1169" s="1" t="s">
        <v>6073</v>
      </c>
      <c r="G1169" s="1" t="s">
        <v>6074</v>
      </c>
      <c r="H1169" s="1" t="s">
        <v>6075</v>
      </c>
      <c r="I1169" s="1">
        <v>236000.0</v>
      </c>
      <c r="J1169" s="1" t="s">
        <v>6076</v>
      </c>
      <c r="K1169" s="1" t="s">
        <v>6077</v>
      </c>
      <c r="L1169" s="1">
        <v>1043.0</v>
      </c>
      <c r="M1169" s="1" t="s">
        <v>6078</v>
      </c>
      <c r="N1169" s="1" t="s">
        <v>36</v>
      </c>
      <c r="O1169" s="1" t="s">
        <v>628</v>
      </c>
      <c r="P1169" s="1">
        <v>4.0E7</v>
      </c>
      <c r="Q1169" s="1">
        <v>2006.0</v>
      </c>
      <c r="R1169" s="1">
        <v>708.0</v>
      </c>
      <c r="S1169" s="1">
        <v>78.0</v>
      </c>
      <c r="T1169" s="1">
        <v>19.0</v>
      </c>
      <c r="U1169" s="1">
        <v>848.0</v>
      </c>
      <c r="V1169" s="1">
        <v>0.0</v>
      </c>
      <c r="W1169" s="1">
        <v>14000.0</v>
      </c>
      <c r="X1169" s="1">
        <v>0.0</v>
      </c>
      <c r="Y1169" s="1">
        <v>1.85</v>
      </c>
      <c r="Z1169" s="1">
        <v>7.8</v>
      </c>
    </row>
    <row r="1170" ht="14.25" customHeight="1">
      <c r="A1170" s="1" t="s">
        <v>26</v>
      </c>
      <c r="B1170" s="1" t="s">
        <v>5767</v>
      </c>
      <c r="C1170" s="1" t="s">
        <v>6079</v>
      </c>
      <c r="D1170" s="1">
        <v>5.1185897E7</v>
      </c>
      <c r="E1170" s="1" t="s">
        <v>48</v>
      </c>
      <c r="F1170" s="1" t="s">
        <v>1449</v>
      </c>
      <c r="G1170" s="1" t="s">
        <v>1056</v>
      </c>
      <c r="H1170" s="1" t="s">
        <v>860</v>
      </c>
      <c r="I1170" s="1">
        <v>69457.0</v>
      </c>
      <c r="J1170" s="1" t="s">
        <v>6080</v>
      </c>
      <c r="K1170" s="1" t="s">
        <v>6081</v>
      </c>
      <c r="L1170" s="1">
        <v>271.0</v>
      </c>
      <c r="M1170" s="1" t="s">
        <v>35</v>
      </c>
      <c r="N1170" s="1" t="s">
        <v>54</v>
      </c>
      <c r="O1170" s="1" t="s">
        <v>87</v>
      </c>
      <c r="P1170" s="1">
        <v>3.0E7</v>
      </c>
      <c r="Q1170" s="1">
        <v>1987.0</v>
      </c>
      <c r="R1170" s="1">
        <v>387.0</v>
      </c>
      <c r="S1170" s="1">
        <v>244.0</v>
      </c>
      <c r="T1170" s="1">
        <v>162.0</v>
      </c>
      <c r="U1170" s="1">
        <v>1233.0</v>
      </c>
      <c r="V1170" s="1">
        <v>46.0</v>
      </c>
      <c r="W1170" s="1">
        <v>0.0</v>
      </c>
      <c r="X1170" s="1">
        <v>1.0</v>
      </c>
      <c r="Y1170" s="1">
        <v>2.35</v>
      </c>
      <c r="Z1170" s="1">
        <v>6.7</v>
      </c>
    </row>
    <row r="1171" ht="14.25" customHeight="1">
      <c r="A1171" s="1" t="s">
        <v>26</v>
      </c>
      <c r="B1171" s="1" t="s">
        <v>6082</v>
      </c>
      <c r="C1171" s="1" t="s">
        <v>6083</v>
      </c>
      <c r="D1171" s="1">
        <v>5.2000688E7</v>
      </c>
      <c r="E1171" s="1" t="s">
        <v>219</v>
      </c>
      <c r="F1171" s="1" t="s">
        <v>6084</v>
      </c>
      <c r="G1171" s="1" t="s">
        <v>746</v>
      </c>
      <c r="H1171" s="1" t="s">
        <v>4884</v>
      </c>
      <c r="I1171" s="1">
        <v>171418.0</v>
      </c>
      <c r="J1171" s="1" t="s">
        <v>6085</v>
      </c>
      <c r="K1171" s="1" t="s">
        <v>6086</v>
      </c>
      <c r="L1171" s="1">
        <v>619.0</v>
      </c>
      <c r="M1171" s="1" t="s">
        <v>35</v>
      </c>
      <c r="N1171" s="1" t="s">
        <v>36</v>
      </c>
      <c r="O1171" s="1" t="s">
        <v>628</v>
      </c>
      <c r="P1171" s="1">
        <v>4.0E7</v>
      </c>
      <c r="Q1171" s="1">
        <v>2010.0</v>
      </c>
      <c r="R1171" s="1">
        <v>2000.0</v>
      </c>
      <c r="S1171" s="1">
        <v>1000.0</v>
      </c>
      <c r="T1171" s="1">
        <v>520.0</v>
      </c>
      <c r="U1171" s="1">
        <v>4243.0</v>
      </c>
      <c r="V1171" s="1">
        <v>190.0</v>
      </c>
      <c r="W1171" s="1">
        <v>17000.0</v>
      </c>
      <c r="X1171" s="1">
        <v>0.0</v>
      </c>
      <c r="Y1171" s="1">
        <v>2.35</v>
      </c>
      <c r="Z1171" s="1">
        <v>6.4</v>
      </c>
    </row>
    <row r="1172" ht="14.25" customHeight="1">
      <c r="A1172" s="1" t="s">
        <v>26</v>
      </c>
      <c r="B1172" s="1" t="s">
        <v>2580</v>
      </c>
      <c r="C1172" s="1" t="s">
        <v>6087</v>
      </c>
      <c r="D1172" s="1">
        <v>4.9851591E7</v>
      </c>
      <c r="E1172" s="1" t="s">
        <v>4045</v>
      </c>
      <c r="F1172" s="1" t="s">
        <v>758</v>
      </c>
      <c r="G1172" s="1" t="s">
        <v>6088</v>
      </c>
      <c r="H1172" s="1" t="s">
        <v>6089</v>
      </c>
      <c r="I1172" s="1">
        <v>7900.0</v>
      </c>
      <c r="J1172" s="1" t="s">
        <v>6090</v>
      </c>
      <c r="K1172" s="1" t="s">
        <v>6091</v>
      </c>
      <c r="L1172" s="1">
        <v>34.0</v>
      </c>
      <c r="M1172" s="1" t="s">
        <v>35</v>
      </c>
      <c r="N1172" s="1" t="s">
        <v>36</v>
      </c>
      <c r="O1172" s="1" t="s">
        <v>87</v>
      </c>
      <c r="P1172" s="1">
        <v>4.0E7</v>
      </c>
      <c r="Q1172" s="1">
        <v>1986.0</v>
      </c>
      <c r="R1172" s="1">
        <v>954.0</v>
      </c>
      <c r="S1172" s="1">
        <v>568.0</v>
      </c>
      <c r="T1172" s="1">
        <v>204.0</v>
      </c>
      <c r="U1172" s="1">
        <v>2179.0</v>
      </c>
      <c r="V1172" s="1">
        <v>425.0</v>
      </c>
      <c r="W1172" s="1">
        <v>263.0</v>
      </c>
      <c r="X1172" s="1">
        <v>3.0</v>
      </c>
      <c r="Y1172" s="1">
        <v>2.35</v>
      </c>
      <c r="Z1172" s="1">
        <v>5.9</v>
      </c>
    </row>
    <row r="1173" ht="14.25" customHeight="1">
      <c r="A1173" s="1" t="s">
        <v>26</v>
      </c>
      <c r="B1173" s="1" t="s">
        <v>4175</v>
      </c>
      <c r="C1173" s="1" t="s">
        <v>6092</v>
      </c>
      <c r="D1173" s="1">
        <v>4.7781388E7</v>
      </c>
      <c r="E1173" s="1" t="s">
        <v>815</v>
      </c>
      <c r="F1173" s="1" t="s">
        <v>41</v>
      </c>
      <c r="G1173" s="1" t="s">
        <v>4441</v>
      </c>
      <c r="H1173" s="1" t="s">
        <v>3758</v>
      </c>
      <c r="I1173" s="1">
        <v>147504.0</v>
      </c>
      <c r="J1173" s="1" t="s">
        <v>6093</v>
      </c>
      <c r="K1173" s="1" t="s">
        <v>6094</v>
      </c>
      <c r="L1173" s="1">
        <v>531.0</v>
      </c>
      <c r="M1173" s="1" t="s">
        <v>35</v>
      </c>
      <c r="N1173" s="1" t="s">
        <v>36</v>
      </c>
      <c r="O1173" s="1" t="s">
        <v>37</v>
      </c>
      <c r="P1173" s="1">
        <v>4.0E7</v>
      </c>
      <c r="Q1173" s="1">
        <v>2004.0</v>
      </c>
      <c r="R1173" s="1">
        <v>40000.0</v>
      </c>
      <c r="S1173" s="1">
        <v>534.0</v>
      </c>
      <c r="T1173" s="1">
        <v>501.0</v>
      </c>
      <c r="U1173" s="1">
        <v>41293.0</v>
      </c>
      <c r="V1173" s="1">
        <v>192.0</v>
      </c>
      <c r="W1173" s="1">
        <v>0.0</v>
      </c>
      <c r="X1173" s="1">
        <v>1.0</v>
      </c>
      <c r="Y1173" s="1">
        <v>2.35</v>
      </c>
      <c r="Z1173" s="1">
        <v>6.6</v>
      </c>
    </row>
    <row r="1174" ht="14.25" customHeight="1">
      <c r="A1174" s="1" t="s">
        <v>26</v>
      </c>
      <c r="B1174" s="1" t="s">
        <v>6095</v>
      </c>
      <c r="C1174" s="1" t="s">
        <v>6096</v>
      </c>
      <c r="D1174" s="1">
        <v>5.2320979E7</v>
      </c>
      <c r="E1174" s="1" t="s">
        <v>650</v>
      </c>
      <c r="F1174" s="1" t="s">
        <v>563</v>
      </c>
      <c r="G1174" s="1" t="s">
        <v>4814</v>
      </c>
      <c r="H1174" s="1" t="s">
        <v>6097</v>
      </c>
      <c r="I1174" s="1">
        <v>114321.0</v>
      </c>
      <c r="J1174" s="1" t="s">
        <v>6098</v>
      </c>
      <c r="K1174" s="1" t="s">
        <v>6099</v>
      </c>
      <c r="L1174" s="1">
        <v>548.0</v>
      </c>
      <c r="M1174" s="1" t="s">
        <v>35</v>
      </c>
      <c r="N1174" s="1" t="s">
        <v>36</v>
      </c>
      <c r="O1174" s="1" t="s">
        <v>87</v>
      </c>
      <c r="P1174" s="1">
        <v>4.0E7</v>
      </c>
      <c r="Q1174" s="1">
        <v>2006.0</v>
      </c>
      <c r="R1174" s="1">
        <v>18000.0</v>
      </c>
      <c r="S1174" s="1">
        <v>426.0</v>
      </c>
      <c r="T1174" s="1">
        <v>211.0</v>
      </c>
      <c r="U1174" s="1">
        <v>18693.0</v>
      </c>
      <c r="V1174" s="1">
        <v>18.0</v>
      </c>
      <c r="W1174" s="1">
        <v>0.0</v>
      </c>
      <c r="X1174" s="1">
        <v>0.0</v>
      </c>
      <c r="Y1174" s="1">
        <v>2.35</v>
      </c>
      <c r="Z1174" s="1">
        <v>6.8</v>
      </c>
    </row>
    <row r="1175" ht="14.25" customHeight="1">
      <c r="A1175" s="1" t="s">
        <v>710</v>
      </c>
      <c r="B1175" s="1" t="s">
        <v>4166</v>
      </c>
      <c r="C1175" s="1" t="s">
        <v>6100</v>
      </c>
      <c r="D1175" s="1">
        <v>4.7806295E7</v>
      </c>
      <c r="E1175" s="1" t="s">
        <v>2882</v>
      </c>
      <c r="F1175" s="1" t="s">
        <v>6101</v>
      </c>
      <c r="G1175" s="1" t="s">
        <v>6102</v>
      </c>
      <c r="H1175" s="1" t="s">
        <v>6103</v>
      </c>
      <c r="I1175" s="1">
        <v>87447.0</v>
      </c>
      <c r="J1175" s="1" t="s">
        <v>6104</v>
      </c>
      <c r="K1175" s="1" t="s">
        <v>6105</v>
      </c>
      <c r="L1175" s="1">
        <v>371.0</v>
      </c>
      <c r="M1175" s="1" t="s">
        <v>35</v>
      </c>
      <c r="N1175" s="1" t="s">
        <v>36</v>
      </c>
      <c r="O1175" s="1" t="s">
        <v>37</v>
      </c>
      <c r="P1175" s="1">
        <v>4.3E7</v>
      </c>
      <c r="Q1175" s="1">
        <v>2005.0</v>
      </c>
      <c r="R1175" s="1">
        <v>545.0</v>
      </c>
      <c r="S1175" s="1">
        <v>351.0</v>
      </c>
      <c r="T1175" s="1">
        <v>280.0</v>
      </c>
      <c r="U1175" s="1">
        <v>1274.0</v>
      </c>
      <c r="V1175" s="1">
        <v>34.0</v>
      </c>
      <c r="W1175" s="1">
        <v>0.0</v>
      </c>
      <c r="X1175" s="1">
        <v>0.0</v>
      </c>
      <c r="Y1175" s="1">
        <v>2.35</v>
      </c>
      <c r="Z1175" s="1">
        <v>6.5</v>
      </c>
    </row>
    <row r="1176" ht="14.25" customHeight="1">
      <c r="A1176" s="1" t="s">
        <v>26</v>
      </c>
      <c r="B1176" s="1" t="s">
        <v>6106</v>
      </c>
      <c r="C1176" s="1" t="s">
        <v>6107</v>
      </c>
      <c r="D1176" s="1">
        <v>5.185345E7</v>
      </c>
      <c r="E1176" s="1" t="s">
        <v>4538</v>
      </c>
      <c r="F1176" s="1" t="s">
        <v>713</v>
      </c>
      <c r="G1176" s="1" t="s">
        <v>4219</v>
      </c>
      <c r="H1176" s="1" t="s">
        <v>321</v>
      </c>
      <c r="I1176" s="1">
        <v>37398.0</v>
      </c>
      <c r="J1176" s="1" t="s">
        <v>6108</v>
      </c>
      <c r="K1176" s="1" t="s">
        <v>6109</v>
      </c>
      <c r="L1176" s="1">
        <v>110.0</v>
      </c>
      <c r="M1176" s="1" t="s">
        <v>35</v>
      </c>
      <c r="N1176" s="1" t="s">
        <v>36</v>
      </c>
      <c r="O1176" s="1" t="s">
        <v>87</v>
      </c>
      <c r="P1176" s="1">
        <v>2.5E7</v>
      </c>
      <c r="Q1176" s="1">
        <v>2012.0</v>
      </c>
      <c r="R1176" s="1">
        <v>3000.0</v>
      </c>
      <c r="S1176" s="1">
        <v>2000.0</v>
      </c>
      <c r="T1176" s="1">
        <v>988.0</v>
      </c>
      <c r="U1176" s="1">
        <v>9069.0</v>
      </c>
      <c r="V1176" s="1">
        <v>54.0</v>
      </c>
      <c r="W1176" s="1">
        <v>11000.0</v>
      </c>
      <c r="X1176" s="1">
        <v>0.0</v>
      </c>
      <c r="Y1176" s="1">
        <v>1.85</v>
      </c>
      <c r="Z1176" s="1">
        <v>6.6</v>
      </c>
    </row>
    <row r="1177" ht="14.25" customHeight="1">
      <c r="A1177" s="1" t="s">
        <v>26</v>
      </c>
      <c r="B1177" s="1" t="s">
        <v>6110</v>
      </c>
      <c r="C1177" s="1" t="s">
        <v>6111</v>
      </c>
      <c r="D1177" s="1">
        <v>4.6012734E7</v>
      </c>
      <c r="E1177" s="1" t="s">
        <v>1598</v>
      </c>
      <c r="F1177" s="1" t="s">
        <v>6112</v>
      </c>
      <c r="G1177" s="1" t="s">
        <v>6113</v>
      </c>
      <c r="H1177" s="1" t="s">
        <v>2106</v>
      </c>
      <c r="I1177" s="1">
        <v>54421.0</v>
      </c>
      <c r="J1177" s="1" t="s">
        <v>6114</v>
      </c>
      <c r="K1177" s="1" t="s">
        <v>6115</v>
      </c>
      <c r="L1177" s="1">
        <v>101.0</v>
      </c>
      <c r="M1177" s="1" t="s">
        <v>35</v>
      </c>
      <c r="N1177" s="1" t="s">
        <v>36</v>
      </c>
      <c r="O1177" s="1" t="s">
        <v>37</v>
      </c>
      <c r="P1177" s="1">
        <v>4.0E7</v>
      </c>
      <c r="Q1177" s="1">
        <v>2008.0</v>
      </c>
      <c r="R1177" s="1">
        <v>1000.0</v>
      </c>
      <c r="S1177" s="1">
        <v>689.0</v>
      </c>
      <c r="T1177" s="1">
        <v>681.0</v>
      </c>
      <c r="U1177" s="1">
        <v>4298.0</v>
      </c>
      <c r="V1177" s="1">
        <v>10.0</v>
      </c>
      <c r="W1177" s="1">
        <v>3000.0</v>
      </c>
      <c r="X1177" s="1">
        <v>2.0</v>
      </c>
      <c r="Y1177" s="1">
        <v>2.35</v>
      </c>
      <c r="Z1177" s="1">
        <v>5.8</v>
      </c>
    </row>
    <row r="1178" ht="14.25" customHeight="1">
      <c r="A1178" s="1" t="s">
        <v>26</v>
      </c>
      <c r="B1178" s="1" t="s">
        <v>3503</v>
      </c>
      <c r="C1178" s="1" t="s">
        <v>6116</v>
      </c>
      <c r="D1178" s="1">
        <v>4.7034272E7</v>
      </c>
      <c r="E1178" s="1" t="s">
        <v>6117</v>
      </c>
      <c r="F1178" s="1" t="s">
        <v>6118</v>
      </c>
      <c r="G1178" s="1" t="s">
        <v>6119</v>
      </c>
      <c r="H1178" s="1" t="s">
        <v>6120</v>
      </c>
      <c r="I1178" s="1">
        <v>25465.0</v>
      </c>
      <c r="J1178" s="1" t="s">
        <v>6121</v>
      </c>
      <c r="K1178" s="1" t="s">
        <v>6122</v>
      </c>
      <c r="L1178" s="1">
        <v>190.0</v>
      </c>
      <c r="M1178" s="1" t="s">
        <v>35</v>
      </c>
      <c r="N1178" s="1" t="s">
        <v>36</v>
      </c>
      <c r="O1178" s="1" t="s">
        <v>628</v>
      </c>
      <c r="P1178" s="1">
        <v>4.0E7</v>
      </c>
      <c r="Q1178" s="1">
        <v>2014.0</v>
      </c>
      <c r="R1178" s="1">
        <v>880.0</v>
      </c>
      <c r="S1178" s="1">
        <v>413.0</v>
      </c>
      <c r="T1178" s="1">
        <v>235.0</v>
      </c>
      <c r="U1178" s="1">
        <v>2281.0</v>
      </c>
      <c r="V1178" s="1">
        <v>16000.0</v>
      </c>
      <c r="W1178" s="1">
        <v>16000.0</v>
      </c>
      <c r="X1178" s="1">
        <v>1.0</v>
      </c>
      <c r="Y1178" s="1">
        <v>2.35</v>
      </c>
      <c r="Z1178" s="1">
        <v>6.9</v>
      </c>
    </row>
    <row r="1179" ht="14.25" customHeight="1">
      <c r="A1179" s="1" t="s">
        <v>26</v>
      </c>
      <c r="B1179" s="1" t="s">
        <v>4578</v>
      </c>
      <c r="C1179" s="1" t="s">
        <v>6123</v>
      </c>
      <c r="D1179" s="1">
        <v>4.5856732E7</v>
      </c>
      <c r="E1179" s="1" t="s">
        <v>2045</v>
      </c>
      <c r="F1179" s="1" t="s">
        <v>1113</v>
      </c>
      <c r="G1179" s="1" t="s">
        <v>2239</v>
      </c>
      <c r="H1179" s="1" t="s">
        <v>2548</v>
      </c>
      <c r="I1179" s="1">
        <v>46221.0</v>
      </c>
      <c r="J1179" s="1" t="s">
        <v>6124</v>
      </c>
      <c r="K1179" s="1" t="s">
        <v>6125</v>
      </c>
      <c r="L1179" s="1">
        <v>141.0</v>
      </c>
      <c r="M1179" s="1" t="s">
        <v>35</v>
      </c>
      <c r="N1179" s="1" t="s">
        <v>36</v>
      </c>
      <c r="O1179" s="1" t="s">
        <v>37</v>
      </c>
      <c r="P1179" s="1">
        <v>4.0E7</v>
      </c>
      <c r="Q1179" s="1">
        <v>1997.0</v>
      </c>
      <c r="R1179" s="1">
        <v>13000.0</v>
      </c>
      <c r="S1179" s="1">
        <v>936.0</v>
      </c>
      <c r="T1179" s="1">
        <v>913.0</v>
      </c>
      <c r="U1179" s="1">
        <v>16762.0</v>
      </c>
      <c r="V1179" s="1">
        <v>0.0</v>
      </c>
      <c r="W1179" s="1">
        <v>0.0</v>
      </c>
      <c r="X1179" s="1">
        <v>1.0</v>
      </c>
      <c r="Y1179" s="1">
        <v>2.35</v>
      </c>
      <c r="Z1179" s="1">
        <v>7.1</v>
      </c>
    </row>
    <row r="1180" ht="14.25" customHeight="1">
      <c r="A1180" s="1" t="s">
        <v>26</v>
      </c>
      <c r="B1180" s="1" t="s">
        <v>5533</v>
      </c>
      <c r="C1180" s="1" t="s">
        <v>6126</v>
      </c>
      <c r="D1180" s="1">
        <v>5.9588068E7</v>
      </c>
      <c r="E1180" s="1" t="s">
        <v>2882</v>
      </c>
      <c r="F1180" s="1" t="s">
        <v>91</v>
      </c>
      <c r="G1180" s="1" t="s">
        <v>4441</v>
      </c>
      <c r="H1180" s="1" t="s">
        <v>1930</v>
      </c>
      <c r="I1180" s="1">
        <v>89557.0</v>
      </c>
      <c r="J1180" s="1" t="s">
        <v>6127</v>
      </c>
      <c r="K1180" s="1" t="s">
        <v>6128</v>
      </c>
      <c r="L1180" s="1">
        <v>376.0</v>
      </c>
      <c r="M1180" s="1" t="s">
        <v>35</v>
      </c>
      <c r="N1180" s="1" t="s">
        <v>36</v>
      </c>
      <c r="O1180" s="1" t="s">
        <v>628</v>
      </c>
      <c r="P1180" s="1">
        <v>4.0E7</v>
      </c>
      <c r="Q1180" s="1">
        <v>2003.0</v>
      </c>
      <c r="R1180" s="1">
        <v>21000.0</v>
      </c>
      <c r="S1180" s="1">
        <v>534.0</v>
      </c>
      <c r="T1180" s="1">
        <v>416.0</v>
      </c>
      <c r="U1180" s="1">
        <v>22318.0</v>
      </c>
      <c r="V1180" s="1">
        <v>326.0</v>
      </c>
      <c r="W1180" s="1">
        <v>0.0</v>
      </c>
      <c r="X1180" s="1">
        <v>1.0</v>
      </c>
      <c r="Y1180" s="1">
        <v>1.85</v>
      </c>
      <c r="Z1180" s="1">
        <v>5.8</v>
      </c>
    </row>
    <row r="1181" ht="14.25" customHeight="1">
      <c r="A1181" s="1" t="s">
        <v>26</v>
      </c>
      <c r="B1181" s="1" t="s">
        <v>381</v>
      </c>
      <c r="C1181" s="1" t="s">
        <v>6129</v>
      </c>
      <c r="D1181" s="1">
        <v>4.4175394E7</v>
      </c>
      <c r="E1181" s="1" t="s">
        <v>6130</v>
      </c>
      <c r="F1181" s="1" t="s">
        <v>726</v>
      </c>
      <c r="G1181" s="1" t="s">
        <v>451</v>
      </c>
      <c r="H1181" s="1" t="s">
        <v>637</v>
      </c>
      <c r="I1181" s="1">
        <v>56509.0</v>
      </c>
      <c r="J1181" s="1" t="s">
        <v>6131</v>
      </c>
      <c r="K1181" s="1" t="s">
        <v>6132</v>
      </c>
      <c r="L1181" s="1">
        <v>227.0</v>
      </c>
      <c r="M1181" s="1" t="s">
        <v>35</v>
      </c>
      <c r="N1181" s="1" t="s">
        <v>36</v>
      </c>
      <c r="O1181" s="1" t="s">
        <v>628</v>
      </c>
      <c r="P1181" s="1">
        <v>3.6E7</v>
      </c>
      <c r="Q1181" s="1">
        <v>1997.0</v>
      </c>
      <c r="R1181" s="1">
        <v>12000.0</v>
      </c>
      <c r="S1181" s="1">
        <v>11000.0</v>
      </c>
      <c r="T1181" s="1">
        <v>11000.0</v>
      </c>
      <c r="U1181" s="1">
        <v>37570.0</v>
      </c>
      <c r="V1181" s="1">
        <v>14000.0</v>
      </c>
      <c r="W1181" s="1">
        <v>0.0</v>
      </c>
      <c r="X1181" s="1">
        <v>2.0</v>
      </c>
      <c r="Y1181" s="1">
        <v>1.85</v>
      </c>
      <c r="Z1181" s="1">
        <v>7.2</v>
      </c>
    </row>
    <row r="1182" ht="14.25" customHeight="1">
      <c r="A1182" s="1" t="s">
        <v>26</v>
      </c>
      <c r="B1182" s="1" t="s">
        <v>1255</v>
      </c>
      <c r="C1182" s="1" t="s">
        <v>6133</v>
      </c>
      <c r="D1182" s="1">
        <v>4.5500797E7</v>
      </c>
      <c r="E1182" s="1" t="s">
        <v>2223</v>
      </c>
      <c r="F1182" s="1" t="s">
        <v>6134</v>
      </c>
      <c r="G1182" s="1" t="s">
        <v>6135</v>
      </c>
      <c r="H1182" s="1" t="s">
        <v>6136</v>
      </c>
      <c r="I1182" s="1">
        <v>17443.0</v>
      </c>
      <c r="J1182" s="1" t="s">
        <v>6137</v>
      </c>
      <c r="K1182" s="1" t="s">
        <v>6138</v>
      </c>
      <c r="L1182" s="1">
        <v>56.0</v>
      </c>
      <c r="M1182" s="1" t="s">
        <v>35</v>
      </c>
      <c r="N1182" s="1" t="s">
        <v>36</v>
      </c>
      <c r="O1182" s="1" t="s">
        <v>37</v>
      </c>
      <c r="P1182" s="1">
        <v>4.0E7</v>
      </c>
      <c r="Q1182" s="1">
        <v>1992.0</v>
      </c>
      <c r="R1182" s="1">
        <v>472.0</v>
      </c>
      <c r="S1182" s="1">
        <v>47.0</v>
      </c>
      <c r="T1182" s="1">
        <v>0.0</v>
      </c>
      <c r="U1182" s="1">
        <v>519.0</v>
      </c>
      <c r="V1182" s="1">
        <v>323.0</v>
      </c>
      <c r="W1182" s="1">
        <v>694.0</v>
      </c>
      <c r="X1182" s="1">
        <v>2.0</v>
      </c>
      <c r="Y1182" s="1">
        <v>2.35</v>
      </c>
      <c r="Z1182" s="1">
        <v>6.0</v>
      </c>
    </row>
    <row r="1183" ht="14.25" customHeight="1">
      <c r="A1183" s="1" t="s">
        <v>26</v>
      </c>
      <c r="B1183" s="1" t="s">
        <v>6139</v>
      </c>
      <c r="C1183" s="1" t="s">
        <v>6140</v>
      </c>
      <c r="D1183" s="1">
        <v>4.1797066E7</v>
      </c>
      <c r="E1183" s="1" t="s">
        <v>2123</v>
      </c>
      <c r="F1183" s="1" t="s">
        <v>6141</v>
      </c>
      <c r="G1183" s="1" t="s">
        <v>6142</v>
      </c>
      <c r="H1183" s="1" t="s">
        <v>6143</v>
      </c>
      <c r="I1183" s="1">
        <v>92789.0</v>
      </c>
      <c r="J1183" s="1" t="s">
        <v>6144</v>
      </c>
      <c r="K1183" s="1" t="s">
        <v>6145</v>
      </c>
      <c r="L1183" s="1">
        <v>998.0</v>
      </c>
      <c r="M1183" s="1" t="s">
        <v>35</v>
      </c>
      <c r="N1183" s="1" t="s">
        <v>36</v>
      </c>
      <c r="O1183" s="1" t="s">
        <v>628</v>
      </c>
      <c r="P1183" s="1">
        <v>4.0E7</v>
      </c>
      <c r="Q1183" s="1">
        <v>2007.0</v>
      </c>
      <c r="R1183" s="1">
        <v>1000.0</v>
      </c>
      <c r="S1183" s="1">
        <v>741.0</v>
      </c>
      <c r="T1183" s="1">
        <v>473.0</v>
      </c>
      <c r="U1183" s="1">
        <v>4324.0</v>
      </c>
      <c r="V1183" s="1">
        <v>25.0</v>
      </c>
      <c r="W1183" s="1">
        <v>0.0</v>
      </c>
      <c r="X1183" s="1">
        <v>0.0</v>
      </c>
      <c r="Y1183" s="1">
        <v>2.35</v>
      </c>
      <c r="Z1183" s="1">
        <v>4.7</v>
      </c>
    </row>
    <row r="1184" ht="14.25" customHeight="1">
      <c r="A1184" s="1" t="s">
        <v>26</v>
      </c>
      <c r="B1184" s="1" t="s">
        <v>4022</v>
      </c>
      <c r="C1184" s="1" t="s">
        <v>6146</v>
      </c>
      <c r="D1184" s="1">
        <v>3.8087756E7</v>
      </c>
      <c r="E1184" s="1" t="s">
        <v>2904</v>
      </c>
      <c r="F1184" s="1" t="s">
        <v>6147</v>
      </c>
      <c r="G1184" s="1" t="s">
        <v>6148</v>
      </c>
      <c r="H1184" s="1" t="s">
        <v>6149</v>
      </c>
      <c r="I1184" s="1">
        <v>49612.0</v>
      </c>
      <c r="J1184" s="1" t="s">
        <v>6150</v>
      </c>
      <c r="K1184" s="1" t="s">
        <v>6151</v>
      </c>
      <c r="L1184" s="1">
        <v>39.0</v>
      </c>
      <c r="M1184" s="1" t="s">
        <v>35</v>
      </c>
      <c r="N1184" s="1" t="s">
        <v>36</v>
      </c>
      <c r="O1184" s="1" t="s">
        <v>87</v>
      </c>
      <c r="P1184" s="1">
        <v>4.0E7</v>
      </c>
      <c r="Q1184" s="1">
        <v>1994.0</v>
      </c>
      <c r="R1184" s="1">
        <v>3000.0</v>
      </c>
      <c r="S1184" s="1">
        <v>450.0</v>
      </c>
      <c r="T1184" s="1">
        <v>287.0</v>
      </c>
      <c r="U1184" s="1">
        <v>4634.0</v>
      </c>
      <c r="V1184" s="1">
        <v>80.0</v>
      </c>
      <c r="W1184" s="1">
        <v>0.0</v>
      </c>
      <c r="X1184" s="1">
        <v>1.0</v>
      </c>
      <c r="Y1184" s="1">
        <v>1.85</v>
      </c>
      <c r="Z1184" s="1">
        <v>5.2</v>
      </c>
    </row>
    <row r="1185" ht="14.25" customHeight="1">
      <c r="A1185" s="1" t="s">
        <v>26</v>
      </c>
      <c r="B1185" s="1" t="s">
        <v>4993</v>
      </c>
      <c r="C1185" s="1" t="s">
        <v>6152</v>
      </c>
      <c r="D1185" s="1">
        <v>3.7752931E7</v>
      </c>
      <c r="E1185" s="1" t="s">
        <v>206</v>
      </c>
      <c r="F1185" s="1" t="s">
        <v>74</v>
      </c>
      <c r="G1185" s="1" t="s">
        <v>6141</v>
      </c>
      <c r="H1185" s="1" t="s">
        <v>3918</v>
      </c>
      <c r="I1185" s="1">
        <v>20201.0</v>
      </c>
      <c r="J1185" s="1" t="s">
        <v>6153</v>
      </c>
      <c r="K1185" s="1" t="s">
        <v>6154</v>
      </c>
      <c r="L1185" s="1">
        <v>180.0</v>
      </c>
      <c r="M1185" s="1" t="s">
        <v>35</v>
      </c>
      <c r="N1185" s="1" t="s">
        <v>36</v>
      </c>
      <c r="O1185" s="1" t="s">
        <v>37</v>
      </c>
      <c r="P1185" s="1">
        <v>4.0E7</v>
      </c>
      <c r="Q1185" s="1">
        <v>2000.0</v>
      </c>
      <c r="R1185" s="1">
        <v>24000.0</v>
      </c>
      <c r="S1185" s="1">
        <v>1000.0</v>
      </c>
      <c r="T1185" s="1">
        <v>586.0</v>
      </c>
      <c r="U1185" s="1">
        <v>26938.0</v>
      </c>
      <c r="V1185" s="1">
        <v>643.0</v>
      </c>
      <c r="W1185" s="1">
        <v>0.0</v>
      </c>
      <c r="X1185" s="1">
        <v>2.0</v>
      </c>
      <c r="Y1185" s="1">
        <v>1.85</v>
      </c>
      <c r="Z1185" s="1">
        <v>5.5</v>
      </c>
    </row>
    <row r="1186" ht="14.25" customHeight="1">
      <c r="A1186" s="1" t="s">
        <v>26</v>
      </c>
      <c r="B1186" s="1" t="s">
        <v>6155</v>
      </c>
      <c r="C1186" s="1" t="s">
        <v>6156</v>
      </c>
      <c r="D1186" s="1">
        <v>3.7371385E7</v>
      </c>
      <c r="E1186" s="1" t="s">
        <v>1792</v>
      </c>
      <c r="F1186" s="1" t="s">
        <v>6157</v>
      </c>
      <c r="G1186" s="1" t="s">
        <v>6158</v>
      </c>
      <c r="H1186" s="1" t="s">
        <v>6159</v>
      </c>
      <c r="I1186" s="1">
        <v>192462.0</v>
      </c>
      <c r="J1186" s="1" t="s">
        <v>6160</v>
      </c>
      <c r="K1186" s="1" t="s">
        <v>6161</v>
      </c>
      <c r="L1186" s="1">
        <v>334.0</v>
      </c>
      <c r="M1186" s="1" t="s">
        <v>35</v>
      </c>
      <c r="N1186" s="1" t="s">
        <v>36</v>
      </c>
      <c r="O1186" s="1" t="s">
        <v>628</v>
      </c>
      <c r="P1186" s="1">
        <v>4.0E7</v>
      </c>
      <c r="Q1186" s="1">
        <v>2011.0</v>
      </c>
      <c r="R1186" s="1">
        <v>176.0</v>
      </c>
      <c r="S1186" s="1">
        <v>61.0</v>
      </c>
      <c r="T1186" s="1">
        <v>57.0</v>
      </c>
      <c r="U1186" s="1">
        <v>390.0</v>
      </c>
      <c r="V1186" s="1">
        <v>99.0</v>
      </c>
      <c r="W1186" s="1">
        <v>42000.0</v>
      </c>
      <c r="X1186" s="1">
        <v>0.0</v>
      </c>
      <c r="Y1186" s="1">
        <v>2.35</v>
      </c>
      <c r="Z1186" s="1">
        <v>7.0</v>
      </c>
    </row>
    <row r="1187" ht="14.25" customHeight="1">
      <c r="A1187" s="1" t="s">
        <v>26</v>
      </c>
      <c r="B1187" s="1" t="s">
        <v>5857</v>
      </c>
      <c r="C1187" s="1" t="s">
        <v>6162</v>
      </c>
      <c r="D1187" s="1">
        <v>3.7101011E7</v>
      </c>
      <c r="E1187" s="1" t="s">
        <v>2422</v>
      </c>
      <c r="F1187" s="1" t="s">
        <v>3784</v>
      </c>
      <c r="G1187" s="1" t="s">
        <v>6163</v>
      </c>
      <c r="H1187" s="1" t="s">
        <v>6164</v>
      </c>
      <c r="I1187" s="1">
        <v>30394.0</v>
      </c>
      <c r="J1187" s="1" t="s">
        <v>6165</v>
      </c>
      <c r="K1187" s="1" t="s">
        <v>6166</v>
      </c>
      <c r="L1187" s="1">
        <v>103.0</v>
      </c>
      <c r="M1187" s="1" t="s">
        <v>35</v>
      </c>
      <c r="N1187" s="1" t="s">
        <v>36</v>
      </c>
      <c r="O1187" s="1" t="s">
        <v>37</v>
      </c>
      <c r="P1187" s="1">
        <v>4.0E7</v>
      </c>
      <c r="Q1187" s="1">
        <v>2012.0</v>
      </c>
      <c r="R1187" s="1">
        <v>405.0</v>
      </c>
      <c r="S1187" s="1">
        <v>358.0</v>
      </c>
      <c r="T1187" s="1">
        <v>78.0</v>
      </c>
      <c r="U1187" s="1">
        <v>1070.0</v>
      </c>
      <c r="V1187" s="1">
        <v>98.0</v>
      </c>
      <c r="W1187" s="1">
        <v>0.0</v>
      </c>
      <c r="X1187" s="1">
        <v>1.0</v>
      </c>
      <c r="Y1187" s="1">
        <v>2.35</v>
      </c>
      <c r="Z1187" s="1">
        <v>5.8</v>
      </c>
    </row>
    <row r="1188" ht="14.25" customHeight="1">
      <c r="A1188" s="1" t="s">
        <v>26</v>
      </c>
      <c r="B1188" s="1" t="s">
        <v>5922</v>
      </c>
      <c r="C1188" s="1" t="s">
        <v>6167</v>
      </c>
      <c r="D1188" s="1">
        <v>3.8176892E7</v>
      </c>
      <c r="E1188" s="1" t="s">
        <v>5924</v>
      </c>
      <c r="F1188" s="1" t="s">
        <v>3988</v>
      </c>
      <c r="G1188" s="1" t="s">
        <v>6168</v>
      </c>
      <c r="H1188" s="1" t="s">
        <v>6169</v>
      </c>
      <c r="I1188" s="1">
        <v>104119.0</v>
      </c>
      <c r="J1188" s="1" t="s">
        <v>6170</v>
      </c>
      <c r="K1188" s="1" t="s">
        <v>6171</v>
      </c>
      <c r="L1188" s="1">
        <v>518.0</v>
      </c>
      <c r="M1188" s="1" t="s">
        <v>35</v>
      </c>
      <c r="N1188" s="1" t="s">
        <v>36</v>
      </c>
      <c r="O1188" s="1" t="s">
        <v>628</v>
      </c>
      <c r="P1188" s="1">
        <v>4.0E7</v>
      </c>
      <c r="Q1188" s="1">
        <v>2011.0</v>
      </c>
      <c r="R1188" s="1">
        <v>2000.0</v>
      </c>
      <c r="S1188" s="1">
        <v>741.0</v>
      </c>
      <c r="T1188" s="1">
        <v>687.0</v>
      </c>
      <c r="U1188" s="1">
        <v>4486.0</v>
      </c>
      <c r="V1188" s="1">
        <v>0.0</v>
      </c>
      <c r="W1188" s="1">
        <v>26000.0</v>
      </c>
      <c r="X1188" s="1">
        <v>0.0</v>
      </c>
      <c r="Y1188" s="1">
        <v>2.35</v>
      </c>
      <c r="Z1188" s="1">
        <v>6.2</v>
      </c>
    </row>
    <row r="1189" ht="14.25" customHeight="1">
      <c r="A1189" s="1" t="s">
        <v>26</v>
      </c>
      <c r="B1189" s="1" t="s">
        <v>1268</v>
      </c>
      <c r="C1189" s="1" t="s">
        <v>6172</v>
      </c>
      <c r="D1189" s="1">
        <v>3.6283504E7</v>
      </c>
      <c r="E1189" s="1" t="s">
        <v>815</v>
      </c>
      <c r="F1189" s="1" t="s">
        <v>668</v>
      </c>
      <c r="G1189" s="1" t="s">
        <v>582</v>
      </c>
      <c r="H1189" s="1" t="s">
        <v>6173</v>
      </c>
      <c r="I1189" s="1">
        <v>104564.0</v>
      </c>
      <c r="J1189" s="1" t="s">
        <v>6174</v>
      </c>
      <c r="K1189" s="1" t="s">
        <v>6175</v>
      </c>
      <c r="L1189" s="1">
        <v>587.0</v>
      </c>
      <c r="M1189" s="1" t="s">
        <v>35</v>
      </c>
      <c r="N1189" s="1" t="s">
        <v>730</v>
      </c>
      <c r="O1189" s="1" t="s">
        <v>628</v>
      </c>
      <c r="P1189" s="1">
        <v>4.0E7</v>
      </c>
      <c r="Q1189" s="1">
        <v>1999.0</v>
      </c>
      <c r="R1189" s="1">
        <v>12000.0</v>
      </c>
      <c r="S1189" s="1">
        <v>638.0</v>
      </c>
      <c r="T1189" s="1">
        <v>173.0</v>
      </c>
      <c r="U1189" s="1">
        <v>12970.0</v>
      </c>
      <c r="V1189" s="1">
        <v>541.0</v>
      </c>
      <c r="W1189" s="1">
        <v>0.0</v>
      </c>
      <c r="X1189" s="1">
        <v>1.0</v>
      </c>
      <c r="Y1189" s="1">
        <v>2.35</v>
      </c>
      <c r="Z1189" s="1">
        <v>6.5</v>
      </c>
    </row>
    <row r="1190" ht="14.25" customHeight="1">
      <c r="A1190" s="1" t="s">
        <v>26</v>
      </c>
      <c r="B1190" s="1" t="s">
        <v>723</v>
      </c>
      <c r="C1190" s="1" t="s">
        <v>6176</v>
      </c>
      <c r="D1190" s="1">
        <v>3.5183792E7</v>
      </c>
      <c r="E1190" s="1" t="s">
        <v>6117</v>
      </c>
      <c r="F1190" s="1" t="s">
        <v>1787</v>
      </c>
      <c r="G1190" s="1" t="s">
        <v>2905</v>
      </c>
      <c r="H1190" s="1" t="s">
        <v>3463</v>
      </c>
      <c r="I1190" s="1">
        <v>68159.0</v>
      </c>
      <c r="J1190" s="1" t="s">
        <v>6177</v>
      </c>
      <c r="K1190" s="1" t="s">
        <v>6178</v>
      </c>
      <c r="L1190" s="1">
        <v>209.0</v>
      </c>
      <c r="M1190" s="1" t="s">
        <v>35</v>
      </c>
      <c r="N1190" s="1" t="s">
        <v>36</v>
      </c>
      <c r="O1190" s="1" t="s">
        <v>628</v>
      </c>
      <c r="P1190" s="1">
        <v>3.8E7</v>
      </c>
      <c r="Q1190" s="1">
        <v>1991.0</v>
      </c>
      <c r="R1190" s="1">
        <v>720.0</v>
      </c>
      <c r="S1190" s="1">
        <v>576.0</v>
      </c>
      <c r="T1190" s="1">
        <v>552.0</v>
      </c>
      <c r="U1190" s="1">
        <v>3044.0</v>
      </c>
      <c r="V1190" s="1">
        <v>0.0</v>
      </c>
      <c r="W1190" s="1">
        <v>0.0</v>
      </c>
      <c r="X1190" s="1">
        <v>1.0</v>
      </c>
      <c r="Y1190" s="1">
        <v>2.35</v>
      </c>
      <c r="Z1190" s="1">
        <v>7.2</v>
      </c>
    </row>
    <row r="1191" ht="14.25" customHeight="1">
      <c r="A1191" s="1" t="s">
        <v>26</v>
      </c>
      <c r="B1191" s="1" t="s">
        <v>6179</v>
      </c>
      <c r="C1191" s="1" t="s">
        <v>6180</v>
      </c>
      <c r="D1191" s="1">
        <v>3.8543473E7</v>
      </c>
      <c r="E1191" s="1" t="s">
        <v>1885</v>
      </c>
      <c r="F1191" s="1" t="s">
        <v>4364</v>
      </c>
      <c r="G1191" s="1" t="s">
        <v>5803</v>
      </c>
      <c r="H1191" s="1" t="s">
        <v>6181</v>
      </c>
      <c r="I1191" s="1">
        <v>84382.0</v>
      </c>
      <c r="J1191" s="1" t="s">
        <v>6182</v>
      </c>
      <c r="K1191" s="1" t="s">
        <v>6183</v>
      </c>
      <c r="L1191" s="1">
        <v>158.0</v>
      </c>
      <c r="M1191" s="1" t="s">
        <v>35</v>
      </c>
      <c r="N1191" s="1" t="s">
        <v>36</v>
      </c>
      <c r="O1191" s="1" t="s">
        <v>628</v>
      </c>
      <c r="P1191" s="1">
        <v>4.0E7</v>
      </c>
      <c r="Q1191" s="1">
        <v>2014.0</v>
      </c>
      <c r="R1191" s="1">
        <v>683.0</v>
      </c>
      <c r="S1191" s="1">
        <v>392.0</v>
      </c>
      <c r="T1191" s="1">
        <v>214.0</v>
      </c>
      <c r="U1191" s="1">
        <v>1488.0</v>
      </c>
      <c r="V1191" s="1">
        <v>52.0</v>
      </c>
      <c r="W1191" s="1">
        <v>0.0</v>
      </c>
      <c r="X1191" s="1">
        <v>2.0</v>
      </c>
      <c r="Y1191" s="1">
        <v>1.85</v>
      </c>
      <c r="Z1191" s="1">
        <v>5.1</v>
      </c>
    </row>
    <row r="1192" ht="14.25" customHeight="1">
      <c r="A1192" s="1" t="s">
        <v>26</v>
      </c>
      <c r="B1192" s="1" t="s">
        <v>6184</v>
      </c>
      <c r="C1192" s="1" t="s">
        <v>6185</v>
      </c>
      <c r="D1192" s="1">
        <v>3.6037909E7</v>
      </c>
      <c r="E1192" s="1" t="s">
        <v>2422</v>
      </c>
      <c r="F1192" s="1" t="s">
        <v>6186</v>
      </c>
      <c r="G1192" s="1" t="s">
        <v>1031</v>
      </c>
      <c r="H1192" s="1" t="s">
        <v>6187</v>
      </c>
      <c r="I1192" s="1">
        <v>10132.0</v>
      </c>
      <c r="J1192" s="1" t="s">
        <v>6188</v>
      </c>
      <c r="K1192" s="1" t="s">
        <v>6189</v>
      </c>
      <c r="L1192" s="1">
        <v>130.0</v>
      </c>
      <c r="M1192" s="1" t="s">
        <v>35</v>
      </c>
      <c r="N1192" s="1" t="s">
        <v>730</v>
      </c>
      <c r="O1192" s="1" t="s">
        <v>37</v>
      </c>
      <c r="P1192" s="1">
        <v>6.0E7</v>
      </c>
      <c r="Q1192" s="1">
        <v>2000.0</v>
      </c>
      <c r="R1192" s="1">
        <v>374.0</v>
      </c>
      <c r="S1192" s="1">
        <v>258.0</v>
      </c>
      <c r="T1192" s="1">
        <v>235.0</v>
      </c>
      <c r="U1192" s="1">
        <v>1238.0</v>
      </c>
      <c r="V1192" s="1">
        <v>0.0</v>
      </c>
      <c r="W1192" s="1">
        <v>390.0</v>
      </c>
      <c r="X1192" s="1">
        <v>3.0</v>
      </c>
      <c r="Y1192" s="1">
        <v>1.85</v>
      </c>
      <c r="Z1192" s="1">
        <v>4.7</v>
      </c>
    </row>
    <row r="1193" ht="14.25" customHeight="1">
      <c r="A1193" s="1" t="s">
        <v>26</v>
      </c>
      <c r="B1193" s="1" t="s">
        <v>4951</v>
      </c>
      <c r="C1193" s="1" t="s">
        <v>6190</v>
      </c>
      <c r="D1193" s="1">
        <v>4.2575718E7</v>
      </c>
      <c r="E1193" s="1" t="s">
        <v>6019</v>
      </c>
      <c r="F1193" s="1" t="s">
        <v>6191</v>
      </c>
      <c r="G1193" s="1" t="s">
        <v>6192</v>
      </c>
      <c r="H1193" s="1" t="s">
        <v>3505</v>
      </c>
      <c r="I1193" s="1">
        <v>83788.0</v>
      </c>
      <c r="J1193" s="1" t="s">
        <v>6193</v>
      </c>
      <c r="K1193" s="1" t="s">
        <v>6194</v>
      </c>
      <c r="L1193" s="1">
        <v>227.0</v>
      </c>
      <c r="M1193" s="1" t="s">
        <v>35</v>
      </c>
      <c r="N1193" s="1" t="s">
        <v>36</v>
      </c>
      <c r="O1193" s="1" t="s">
        <v>628</v>
      </c>
      <c r="P1193" s="1">
        <v>4.0E7</v>
      </c>
      <c r="Q1193" s="1">
        <v>2011.0</v>
      </c>
      <c r="R1193" s="1">
        <v>703.0</v>
      </c>
      <c r="S1193" s="1">
        <v>682.0</v>
      </c>
      <c r="T1193" s="1">
        <v>495.0</v>
      </c>
      <c r="U1193" s="1">
        <v>3074.0</v>
      </c>
      <c r="V1193" s="1">
        <v>77.0</v>
      </c>
      <c r="W1193" s="1">
        <v>20000.0</v>
      </c>
      <c r="X1193" s="1">
        <v>0.0</v>
      </c>
      <c r="Y1193" s="1">
        <v>2.35</v>
      </c>
      <c r="Z1193" s="1">
        <v>5.9</v>
      </c>
    </row>
    <row r="1194" ht="14.25" customHeight="1">
      <c r="A1194" s="1" t="s">
        <v>26</v>
      </c>
      <c r="B1194" s="1" t="s">
        <v>6195</v>
      </c>
      <c r="C1194" s="1" t="s">
        <v>6196</v>
      </c>
      <c r="D1194" s="1">
        <v>3.3864342E7</v>
      </c>
      <c r="E1194" s="1" t="s">
        <v>4045</v>
      </c>
      <c r="F1194" s="1" t="s">
        <v>515</v>
      </c>
      <c r="G1194" s="1" t="s">
        <v>1823</v>
      </c>
      <c r="H1194" s="1" t="s">
        <v>3377</v>
      </c>
      <c r="I1194" s="1">
        <v>29968.0</v>
      </c>
      <c r="J1194" s="1" t="s">
        <v>6197</v>
      </c>
      <c r="K1194" s="1" t="s">
        <v>6198</v>
      </c>
      <c r="L1194" s="1">
        <v>117.0</v>
      </c>
      <c r="M1194" s="1" t="s">
        <v>35</v>
      </c>
      <c r="N1194" s="1" t="s">
        <v>54</v>
      </c>
      <c r="O1194" s="1" t="s">
        <v>37</v>
      </c>
      <c r="P1194" s="1">
        <v>4.0E7</v>
      </c>
      <c r="Q1194" s="1">
        <v>1999.0</v>
      </c>
      <c r="R1194" s="1">
        <v>711.0</v>
      </c>
      <c r="S1194" s="1">
        <v>683.0</v>
      </c>
      <c r="T1194" s="1">
        <v>584.0</v>
      </c>
      <c r="U1194" s="1">
        <v>2913.0</v>
      </c>
      <c r="V1194" s="1">
        <v>6.0</v>
      </c>
      <c r="W1194" s="1">
        <v>445.0</v>
      </c>
      <c r="X1194" s="1">
        <v>1.0</v>
      </c>
      <c r="Y1194" s="1">
        <v>1.85</v>
      </c>
      <c r="Z1194" s="1">
        <v>5.8</v>
      </c>
    </row>
    <row r="1195" ht="14.25" customHeight="1">
      <c r="A1195" s="1" t="s">
        <v>26</v>
      </c>
      <c r="B1195" s="1" t="s">
        <v>2455</v>
      </c>
      <c r="C1195" s="1" t="s">
        <v>6199</v>
      </c>
      <c r="D1195" s="1">
        <v>3.3508922E7</v>
      </c>
      <c r="E1195" s="1" t="s">
        <v>3238</v>
      </c>
      <c r="F1195" s="1" t="s">
        <v>112</v>
      </c>
      <c r="G1195" s="1" t="s">
        <v>2105</v>
      </c>
      <c r="H1195" s="1" t="s">
        <v>6200</v>
      </c>
      <c r="I1195" s="1">
        <v>95860.0</v>
      </c>
      <c r="J1195" s="1" t="s">
        <v>6201</v>
      </c>
      <c r="K1195" s="1" t="s">
        <v>6202</v>
      </c>
      <c r="L1195" s="1">
        <v>660.0</v>
      </c>
      <c r="M1195" s="1" t="s">
        <v>35</v>
      </c>
      <c r="N1195" s="1" t="s">
        <v>36</v>
      </c>
      <c r="O1195" s="1" t="s">
        <v>37</v>
      </c>
      <c r="P1195" s="1">
        <v>4.0E7</v>
      </c>
      <c r="Q1195" s="1">
        <v>2000.0</v>
      </c>
      <c r="R1195" s="1">
        <v>18000.0</v>
      </c>
      <c r="S1195" s="1">
        <v>3000.0</v>
      </c>
      <c r="T1195" s="1">
        <v>754.0</v>
      </c>
      <c r="U1195" s="1">
        <v>23920.0</v>
      </c>
      <c r="V1195" s="1">
        <v>75.0</v>
      </c>
      <c r="W1195" s="1">
        <v>16000.0</v>
      </c>
      <c r="X1195" s="1">
        <v>2.0</v>
      </c>
      <c r="Y1195" s="1">
        <v>1.85</v>
      </c>
      <c r="Z1195" s="1">
        <v>7.2</v>
      </c>
    </row>
    <row r="1196" ht="14.25" customHeight="1">
      <c r="A1196" s="1" t="s">
        <v>26</v>
      </c>
      <c r="B1196" s="1" t="s">
        <v>3322</v>
      </c>
      <c r="C1196" s="1" t="s">
        <v>6203</v>
      </c>
      <c r="D1196" s="1">
        <v>4.2071069E7</v>
      </c>
      <c r="E1196" s="1" t="s">
        <v>4241</v>
      </c>
      <c r="F1196" s="1" t="s">
        <v>6204</v>
      </c>
      <c r="G1196" s="1" t="s">
        <v>6205</v>
      </c>
      <c r="H1196" s="1" t="s">
        <v>6206</v>
      </c>
      <c r="I1196" s="1">
        <v>36223.0</v>
      </c>
      <c r="J1196" s="1" t="s">
        <v>6207</v>
      </c>
      <c r="K1196" s="1" t="s">
        <v>6208</v>
      </c>
      <c r="L1196" s="1">
        <v>208.0</v>
      </c>
      <c r="M1196" s="1" t="s">
        <v>35</v>
      </c>
      <c r="N1196" s="1" t="s">
        <v>36</v>
      </c>
      <c r="O1196" s="1" t="s">
        <v>37</v>
      </c>
      <c r="P1196" s="1">
        <v>3.0E7</v>
      </c>
      <c r="Q1196" s="1">
        <v>2005.0</v>
      </c>
      <c r="R1196" s="1">
        <v>787.0</v>
      </c>
      <c r="S1196" s="1">
        <v>299.0</v>
      </c>
      <c r="T1196" s="1">
        <v>223.0</v>
      </c>
      <c r="U1196" s="1">
        <v>1827.0</v>
      </c>
      <c r="V1196" s="1">
        <v>101.0</v>
      </c>
      <c r="W1196" s="1">
        <v>0.0</v>
      </c>
      <c r="X1196" s="1">
        <v>1.0</v>
      </c>
      <c r="Y1196" s="1">
        <v>2.35</v>
      </c>
      <c r="Z1196" s="1">
        <v>6.2</v>
      </c>
    </row>
    <row r="1197" ht="14.25" customHeight="1">
      <c r="A1197" s="1" t="s">
        <v>26</v>
      </c>
      <c r="B1197" s="1" t="s">
        <v>2655</v>
      </c>
      <c r="C1197" s="1" t="s">
        <v>6209</v>
      </c>
      <c r="D1197" s="1">
        <v>3.285364E7</v>
      </c>
      <c r="E1197" s="1" t="s">
        <v>2422</v>
      </c>
      <c r="F1197" s="1" t="s">
        <v>1139</v>
      </c>
      <c r="G1197" s="1" t="s">
        <v>6210</v>
      </c>
      <c r="H1197" s="1" t="s">
        <v>3493</v>
      </c>
      <c r="I1197" s="1">
        <v>50199.0</v>
      </c>
      <c r="J1197" s="1" t="s">
        <v>6211</v>
      </c>
      <c r="K1197" s="1" t="s">
        <v>6212</v>
      </c>
      <c r="L1197" s="1">
        <v>101.0</v>
      </c>
      <c r="M1197" s="1" t="s">
        <v>35</v>
      </c>
      <c r="N1197" s="1" t="s">
        <v>36</v>
      </c>
      <c r="O1197" s="1" t="s">
        <v>37</v>
      </c>
      <c r="P1197" s="1">
        <v>4.0E7</v>
      </c>
      <c r="Q1197" s="1">
        <v>2008.0</v>
      </c>
      <c r="R1197" s="1">
        <v>1000.0</v>
      </c>
      <c r="S1197" s="1">
        <v>613.0</v>
      </c>
      <c r="T1197" s="1">
        <v>490.0</v>
      </c>
      <c r="U1197" s="1">
        <v>3239.0</v>
      </c>
      <c r="V1197" s="1">
        <v>65.0</v>
      </c>
      <c r="W1197" s="1">
        <v>702.0</v>
      </c>
      <c r="X1197" s="1">
        <v>1.0</v>
      </c>
      <c r="Y1197" s="1">
        <v>2.35</v>
      </c>
      <c r="Z1197" s="1">
        <v>5.7</v>
      </c>
    </row>
    <row r="1198" ht="14.25" customHeight="1">
      <c r="A1198" s="1" t="s">
        <v>26</v>
      </c>
      <c r="B1198" s="1" t="s">
        <v>2407</v>
      </c>
      <c r="C1198" s="1" t="s">
        <v>6213</v>
      </c>
      <c r="D1198" s="1">
        <v>4.2615685E7</v>
      </c>
      <c r="E1198" s="1" t="s">
        <v>6214</v>
      </c>
      <c r="F1198" s="1" t="s">
        <v>220</v>
      </c>
      <c r="G1198" s="1" t="s">
        <v>741</v>
      </c>
      <c r="H1198" s="1" t="s">
        <v>2407</v>
      </c>
      <c r="I1198" s="1">
        <v>136093.0</v>
      </c>
      <c r="J1198" s="1" t="s">
        <v>6215</v>
      </c>
      <c r="K1198" s="1" t="s">
        <v>6216</v>
      </c>
      <c r="L1198" s="1">
        <v>416.0</v>
      </c>
      <c r="M1198" s="1" t="s">
        <v>35</v>
      </c>
      <c r="N1198" s="1" t="s">
        <v>36</v>
      </c>
      <c r="O1198" s="1" t="s">
        <v>628</v>
      </c>
      <c r="P1198" s="1">
        <v>4.0E7</v>
      </c>
      <c r="Q1198" s="1">
        <v>2014.0</v>
      </c>
      <c r="R1198" s="1">
        <v>14000.0</v>
      </c>
      <c r="S1198" s="1">
        <v>9000.0</v>
      </c>
      <c r="T1198" s="1">
        <v>3000.0</v>
      </c>
      <c r="U1198" s="1">
        <v>28927.0</v>
      </c>
      <c r="V1198" s="1">
        <v>3000.0</v>
      </c>
      <c r="W1198" s="1">
        <v>24000.0</v>
      </c>
      <c r="X1198" s="1">
        <v>3.0</v>
      </c>
      <c r="Y1198" s="1">
        <v>2.35</v>
      </c>
      <c r="Z1198" s="1">
        <v>6.1</v>
      </c>
    </row>
    <row r="1199" ht="14.25" customHeight="1">
      <c r="A1199" s="1" t="s">
        <v>26</v>
      </c>
      <c r="B1199" s="1" t="s">
        <v>5471</v>
      </c>
      <c r="C1199" s="1" t="s">
        <v>6217</v>
      </c>
      <c r="D1199" s="1">
        <v>3.2055248E7</v>
      </c>
      <c r="E1199" s="1" t="s">
        <v>6218</v>
      </c>
      <c r="F1199" s="1" t="s">
        <v>2811</v>
      </c>
      <c r="G1199" s="1" t="s">
        <v>3118</v>
      </c>
      <c r="H1199" s="1" t="s">
        <v>4056</v>
      </c>
      <c r="I1199" s="1">
        <v>18723.0</v>
      </c>
      <c r="J1199" s="1" t="s">
        <v>6219</v>
      </c>
      <c r="K1199" s="1" t="s">
        <v>6220</v>
      </c>
      <c r="L1199" s="1">
        <v>146.0</v>
      </c>
      <c r="M1199" s="1" t="s">
        <v>35</v>
      </c>
      <c r="N1199" s="1" t="s">
        <v>36</v>
      </c>
      <c r="O1199" s="1" t="s">
        <v>37</v>
      </c>
      <c r="P1199" s="1">
        <v>2.5E7</v>
      </c>
      <c r="Q1199" s="1">
        <v>1994.0</v>
      </c>
      <c r="R1199" s="1">
        <v>924.0</v>
      </c>
      <c r="S1199" s="1">
        <v>595.0</v>
      </c>
      <c r="T1199" s="1">
        <v>510.0</v>
      </c>
      <c r="U1199" s="1">
        <v>2711.0</v>
      </c>
      <c r="V1199" s="1">
        <v>85.0</v>
      </c>
      <c r="W1199" s="1">
        <v>0.0</v>
      </c>
      <c r="X1199" s="1">
        <v>0.0</v>
      </c>
      <c r="Y1199" s="1">
        <v>1.85</v>
      </c>
      <c r="Z1199" s="1">
        <v>6.0</v>
      </c>
    </row>
    <row r="1200" ht="14.25" customHeight="1">
      <c r="A1200" s="1" t="s">
        <v>26</v>
      </c>
      <c r="B1200" s="1" t="s">
        <v>6221</v>
      </c>
      <c r="C1200" s="1" t="s">
        <v>6222</v>
      </c>
      <c r="D1200" s="1">
        <v>3.1836745E7</v>
      </c>
      <c r="E1200" s="1" t="s">
        <v>6223</v>
      </c>
      <c r="F1200" s="1" t="s">
        <v>314</v>
      </c>
      <c r="G1200" s="1" t="s">
        <v>6224</v>
      </c>
      <c r="H1200" s="1" t="s">
        <v>6225</v>
      </c>
      <c r="I1200" s="1">
        <v>81298.0</v>
      </c>
      <c r="J1200" s="1" t="s">
        <v>6226</v>
      </c>
      <c r="K1200" s="1" t="s">
        <v>6227</v>
      </c>
      <c r="L1200" s="1">
        <v>341.0</v>
      </c>
      <c r="M1200" s="1" t="s">
        <v>35</v>
      </c>
      <c r="N1200" s="1" t="s">
        <v>36</v>
      </c>
      <c r="O1200" s="1" t="s">
        <v>37</v>
      </c>
      <c r="P1200" s="1">
        <v>4.0E7</v>
      </c>
      <c r="Q1200" s="1">
        <v>2011.0</v>
      </c>
      <c r="R1200" s="1">
        <v>15000.0</v>
      </c>
      <c r="S1200" s="1">
        <v>467.0</v>
      </c>
      <c r="T1200" s="1">
        <v>64.0</v>
      </c>
      <c r="U1200" s="1">
        <v>15595.0</v>
      </c>
      <c r="V1200" s="1">
        <v>335.0</v>
      </c>
      <c r="W1200" s="1">
        <v>39000.0</v>
      </c>
      <c r="X1200" s="1">
        <v>1.0</v>
      </c>
      <c r="Y1200" s="1">
        <v>2.35</v>
      </c>
      <c r="Z1200" s="1">
        <v>6.9</v>
      </c>
    </row>
    <row r="1201" ht="14.25" customHeight="1">
      <c r="A1201" s="1" t="s">
        <v>26</v>
      </c>
      <c r="B1201" s="1" t="s">
        <v>5415</v>
      </c>
      <c r="C1201" s="1" t="s">
        <v>6228</v>
      </c>
      <c r="D1201" s="1">
        <v>3.0993544E7</v>
      </c>
      <c r="E1201" s="1" t="s">
        <v>1359</v>
      </c>
      <c r="F1201" s="1" t="s">
        <v>6229</v>
      </c>
      <c r="G1201" s="1" t="s">
        <v>6230</v>
      </c>
      <c r="H1201" s="1" t="s">
        <v>6231</v>
      </c>
      <c r="I1201" s="1">
        <v>58871.0</v>
      </c>
      <c r="J1201" s="1" t="s">
        <v>6232</v>
      </c>
      <c r="K1201" s="1" t="s">
        <v>6233</v>
      </c>
      <c r="L1201" s="1">
        <v>156.0</v>
      </c>
      <c r="M1201" s="1" t="s">
        <v>35</v>
      </c>
      <c r="N1201" s="1" t="s">
        <v>36</v>
      </c>
      <c r="O1201" s="1" t="s">
        <v>37</v>
      </c>
      <c r="P1201" s="1">
        <v>4.0E7</v>
      </c>
      <c r="Q1201" s="1">
        <v>2010.0</v>
      </c>
      <c r="R1201" s="1">
        <v>293.0</v>
      </c>
      <c r="S1201" s="1">
        <v>117.0</v>
      </c>
      <c r="T1201" s="1">
        <v>58.0</v>
      </c>
      <c r="U1201" s="1">
        <v>621.0</v>
      </c>
      <c r="V1201" s="1">
        <v>50.0</v>
      </c>
      <c r="W1201" s="1">
        <v>0.0</v>
      </c>
      <c r="X1201" s="1">
        <v>0.0</v>
      </c>
      <c r="Y1201" s="1">
        <v>2.35</v>
      </c>
      <c r="Z1201" s="1">
        <v>6.5</v>
      </c>
    </row>
    <row r="1202" ht="14.25" customHeight="1">
      <c r="A1202" s="1" t="s">
        <v>26</v>
      </c>
      <c r="B1202" s="1" t="s">
        <v>5124</v>
      </c>
      <c r="C1202" s="1" t="s">
        <v>6234</v>
      </c>
      <c r="D1202" s="1">
        <v>3.098185E7</v>
      </c>
      <c r="E1202" s="1" t="s">
        <v>6235</v>
      </c>
      <c r="F1202" s="1" t="s">
        <v>3348</v>
      </c>
      <c r="G1202" s="1" t="s">
        <v>4808</v>
      </c>
      <c r="H1202" s="1" t="s">
        <v>2113</v>
      </c>
      <c r="I1202" s="1">
        <v>35834.0</v>
      </c>
      <c r="J1202" s="1" t="s">
        <v>6236</v>
      </c>
      <c r="K1202" s="1" t="s">
        <v>6237</v>
      </c>
      <c r="L1202" s="1">
        <v>284.0</v>
      </c>
      <c r="M1202" s="1" t="s">
        <v>35</v>
      </c>
      <c r="N1202" s="1" t="s">
        <v>36</v>
      </c>
      <c r="O1202" s="1" t="s">
        <v>628</v>
      </c>
      <c r="P1202" s="1">
        <v>4.0E7</v>
      </c>
      <c r="Q1202" s="1">
        <v>2005.0</v>
      </c>
      <c r="R1202" s="1">
        <v>1000.0</v>
      </c>
      <c r="S1202" s="1">
        <v>1000.0</v>
      </c>
      <c r="T1202" s="1">
        <v>441.0</v>
      </c>
      <c r="U1202" s="1">
        <v>3969.0</v>
      </c>
      <c r="V1202" s="1">
        <v>260.0</v>
      </c>
      <c r="W1202" s="1">
        <v>0.0</v>
      </c>
      <c r="X1202" s="1">
        <v>0.0</v>
      </c>
      <c r="Y1202" s="1">
        <v>2.35</v>
      </c>
      <c r="Z1202" s="1">
        <v>5.0</v>
      </c>
    </row>
    <row r="1203" ht="14.25" customHeight="1">
      <c r="A1203" s="1" t="s">
        <v>26</v>
      </c>
      <c r="B1203" s="1" t="s">
        <v>6238</v>
      </c>
      <c r="C1203" s="1" t="s">
        <v>6239</v>
      </c>
      <c r="D1203" s="1">
        <v>3.0199105E7</v>
      </c>
      <c r="E1203" s="1" t="s">
        <v>3171</v>
      </c>
      <c r="F1203" s="1" t="s">
        <v>2860</v>
      </c>
      <c r="G1203" s="1" t="s">
        <v>564</v>
      </c>
      <c r="H1203" s="1" t="s">
        <v>6240</v>
      </c>
      <c r="I1203" s="1">
        <v>25346.0</v>
      </c>
      <c r="J1203" s="1" t="s">
        <v>6241</v>
      </c>
      <c r="K1203" s="1" t="s">
        <v>6242</v>
      </c>
      <c r="L1203" s="1">
        <v>167.0</v>
      </c>
      <c r="M1203" s="1" t="s">
        <v>35</v>
      </c>
      <c r="N1203" s="1" t="s">
        <v>36</v>
      </c>
      <c r="O1203" s="1" t="s">
        <v>628</v>
      </c>
      <c r="P1203" s="1">
        <v>4.0E7</v>
      </c>
      <c r="Q1203" s="1">
        <v>2000.0</v>
      </c>
      <c r="R1203" s="1">
        <v>2000.0</v>
      </c>
      <c r="S1203" s="1">
        <v>1000.0</v>
      </c>
      <c r="T1203" s="1">
        <v>249.0</v>
      </c>
      <c r="U1203" s="1">
        <v>3753.0</v>
      </c>
      <c r="V1203" s="1">
        <v>18.0</v>
      </c>
      <c r="W1203" s="1">
        <v>470.0</v>
      </c>
      <c r="X1203" s="1">
        <v>0.0</v>
      </c>
      <c r="Y1203" s="1">
        <v>2.35</v>
      </c>
      <c r="Z1203" s="1">
        <v>5.7</v>
      </c>
    </row>
    <row r="1204" ht="14.25" customHeight="1">
      <c r="A1204" s="1" t="s">
        <v>26</v>
      </c>
      <c r="B1204" s="1" t="s">
        <v>1200</v>
      </c>
      <c r="C1204" s="1" t="s">
        <v>6243</v>
      </c>
      <c r="D1204" s="1">
        <v>2.9077547E7</v>
      </c>
      <c r="E1204" s="1" t="s">
        <v>2707</v>
      </c>
      <c r="F1204" s="1" t="s">
        <v>947</v>
      </c>
      <c r="G1204" s="1" t="s">
        <v>6244</v>
      </c>
      <c r="H1204" s="1" t="s">
        <v>6245</v>
      </c>
      <c r="I1204" s="1">
        <v>41685.0</v>
      </c>
      <c r="J1204" s="1" t="s">
        <v>6246</v>
      </c>
      <c r="K1204" s="1" t="s">
        <v>6247</v>
      </c>
      <c r="L1204" s="1">
        <v>754.0</v>
      </c>
      <c r="M1204" s="1" t="s">
        <v>35</v>
      </c>
      <c r="N1204" s="1" t="s">
        <v>36</v>
      </c>
      <c r="O1204" s="1" t="s">
        <v>37</v>
      </c>
      <c r="P1204" s="1">
        <v>4.0E7</v>
      </c>
      <c r="Q1204" s="1">
        <v>2005.0</v>
      </c>
      <c r="R1204" s="1">
        <v>3000.0</v>
      </c>
      <c r="S1204" s="1">
        <v>1000.0</v>
      </c>
      <c r="T1204" s="1">
        <v>715.0</v>
      </c>
      <c r="U1204" s="1">
        <v>5917.0</v>
      </c>
      <c r="V1204" s="1">
        <v>0.0</v>
      </c>
      <c r="W1204" s="1">
        <v>3000.0</v>
      </c>
      <c r="X1204" s="1">
        <v>1.0</v>
      </c>
      <c r="Y1204" s="1">
        <v>2.35</v>
      </c>
      <c r="Z1204" s="1">
        <v>7.0</v>
      </c>
    </row>
    <row r="1205" ht="14.25" customHeight="1">
      <c r="A1205" s="1" t="s">
        <v>26</v>
      </c>
      <c r="B1205" s="1" t="s">
        <v>1674</v>
      </c>
      <c r="C1205" s="1" t="s">
        <v>6248</v>
      </c>
      <c r="D1205" s="1">
        <v>2.9374178E7</v>
      </c>
      <c r="E1205" s="1" t="s">
        <v>6249</v>
      </c>
      <c r="F1205" s="1" t="s">
        <v>1733</v>
      </c>
      <c r="G1205" s="1" t="s">
        <v>6250</v>
      </c>
      <c r="H1205" s="1" t="s">
        <v>6251</v>
      </c>
      <c r="I1205" s="1">
        <v>12093.0</v>
      </c>
      <c r="J1205" s="1" t="s">
        <v>6252</v>
      </c>
      <c r="K1205" s="1" t="s">
        <v>6253</v>
      </c>
      <c r="L1205" s="1">
        <v>188.0</v>
      </c>
      <c r="M1205" s="1" t="s">
        <v>35</v>
      </c>
      <c r="N1205" s="1" t="s">
        <v>36</v>
      </c>
      <c r="O1205" s="1" t="s">
        <v>628</v>
      </c>
      <c r="P1205" s="1">
        <v>4.0E7</v>
      </c>
      <c r="Q1205" s="1">
        <v>2000.0</v>
      </c>
      <c r="R1205" s="1">
        <v>3000.0</v>
      </c>
      <c r="S1205" s="1">
        <v>941.0</v>
      </c>
      <c r="T1205" s="1">
        <v>294.0</v>
      </c>
      <c r="U1205" s="1">
        <v>4565.0</v>
      </c>
      <c r="V1205" s="1">
        <v>55.0</v>
      </c>
      <c r="W1205" s="1">
        <v>394.0</v>
      </c>
      <c r="X1205" s="1">
        <v>0.0</v>
      </c>
      <c r="Y1205" s="1">
        <v>2.35</v>
      </c>
      <c r="Z1205" s="1">
        <v>5.1</v>
      </c>
    </row>
    <row r="1206" ht="14.25" customHeight="1">
      <c r="A1206" s="1" t="s">
        <v>26</v>
      </c>
      <c r="B1206" s="1" t="s">
        <v>4339</v>
      </c>
      <c r="C1206" s="1" t="s">
        <v>6254</v>
      </c>
      <c r="D1206" s="1">
        <v>2.8535768E7</v>
      </c>
      <c r="E1206" s="1" t="s">
        <v>1885</v>
      </c>
      <c r="F1206" s="1" t="s">
        <v>6255</v>
      </c>
      <c r="G1206" s="1" t="s">
        <v>6256</v>
      </c>
      <c r="H1206" s="1" t="s">
        <v>6257</v>
      </c>
      <c r="I1206" s="1">
        <v>10446.0</v>
      </c>
      <c r="J1206" s="1" t="s">
        <v>6258</v>
      </c>
      <c r="K1206" s="1" t="s">
        <v>6259</v>
      </c>
      <c r="L1206" s="1">
        <v>105.0</v>
      </c>
      <c r="M1206" s="1" t="s">
        <v>35</v>
      </c>
      <c r="N1206" s="1" t="s">
        <v>36</v>
      </c>
      <c r="O1206" s="1" t="s">
        <v>37</v>
      </c>
      <c r="P1206" s="1">
        <v>4.0E7</v>
      </c>
      <c r="Q1206" s="1">
        <v>1999.0</v>
      </c>
      <c r="R1206" s="1">
        <v>607.0</v>
      </c>
      <c r="S1206" s="1">
        <v>322.0</v>
      </c>
      <c r="T1206" s="1">
        <v>210.0</v>
      </c>
      <c r="U1206" s="1">
        <v>1335.0</v>
      </c>
      <c r="V1206" s="1">
        <v>39.0</v>
      </c>
      <c r="W1206" s="1">
        <v>279.0</v>
      </c>
      <c r="X1206" s="1">
        <v>2.0</v>
      </c>
      <c r="Y1206" s="1">
        <v>1.85</v>
      </c>
      <c r="Z1206" s="1">
        <v>5.3</v>
      </c>
    </row>
    <row r="1207" ht="14.25" customHeight="1">
      <c r="A1207" s="1" t="s">
        <v>26</v>
      </c>
      <c r="B1207" s="1" t="s">
        <v>4454</v>
      </c>
      <c r="C1207" s="1" t="s">
        <v>6260</v>
      </c>
      <c r="D1207" s="1">
        <v>2.7663982E7</v>
      </c>
      <c r="E1207" s="1" t="s">
        <v>4107</v>
      </c>
      <c r="F1207" s="1" t="s">
        <v>113</v>
      </c>
      <c r="G1207" s="1" t="s">
        <v>308</v>
      </c>
      <c r="H1207" s="1" t="s">
        <v>6261</v>
      </c>
      <c r="I1207" s="1">
        <v>26051.0</v>
      </c>
      <c r="J1207" s="1" t="s">
        <v>6262</v>
      </c>
      <c r="K1207" s="1" t="s">
        <v>6263</v>
      </c>
      <c r="L1207" s="1">
        <v>164.0</v>
      </c>
      <c r="M1207" s="1" t="s">
        <v>35</v>
      </c>
      <c r="N1207" s="1" t="s">
        <v>36</v>
      </c>
      <c r="O1207" s="1" t="s">
        <v>37</v>
      </c>
      <c r="P1207" s="1">
        <v>4.0E7</v>
      </c>
      <c r="Q1207" s="1">
        <v>1996.0</v>
      </c>
      <c r="R1207" s="1">
        <v>10000.0</v>
      </c>
      <c r="S1207" s="1">
        <v>368.0</v>
      </c>
      <c r="T1207" s="1">
        <v>44.0</v>
      </c>
      <c r="U1207" s="1">
        <v>10469.0</v>
      </c>
      <c r="V1207" s="1">
        <v>287.0</v>
      </c>
      <c r="W1207" s="1">
        <v>0.0</v>
      </c>
      <c r="X1207" s="1">
        <v>2.0</v>
      </c>
      <c r="Y1207" s="1">
        <v>2.35</v>
      </c>
      <c r="Z1207" s="1">
        <v>4.4</v>
      </c>
    </row>
    <row r="1208" ht="14.25" customHeight="1">
      <c r="A1208" s="1" t="s">
        <v>26</v>
      </c>
      <c r="B1208" s="1" t="s">
        <v>1736</v>
      </c>
      <c r="C1208" s="1" t="s">
        <v>6264</v>
      </c>
      <c r="D1208" s="1">
        <v>2.7053815E7</v>
      </c>
      <c r="E1208" s="1" t="s">
        <v>73</v>
      </c>
      <c r="F1208" s="1" t="s">
        <v>6265</v>
      </c>
      <c r="G1208" s="1" t="s">
        <v>6266</v>
      </c>
      <c r="H1208" s="1" t="s">
        <v>3287</v>
      </c>
      <c r="I1208" s="1">
        <v>12856.0</v>
      </c>
      <c r="J1208" s="1" t="s">
        <v>6267</v>
      </c>
      <c r="K1208" s="1" t="s">
        <v>6268</v>
      </c>
      <c r="L1208" s="1">
        <v>291.0</v>
      </c>
      <c r="M1208" s="1" t="s">
        <v>35</v>
      </c>
      <c r="N1208" s="1" t="s">
        <v>730</v>
      </c>
      <c r="O1208" s="1" t="s">
        <v>37</v>
      </c>
      <c r="P1208" s="1">
        <v>4.0E7</v>
      </c>
      <c r="Q1208" s="1">
        <v>2001.0</v>
      </c>
      <c r="R1208" s="1">
        <v>964.0</v>
      </c>
      <c r="S1208" s="1">
        <v>931.0</v>
      </c>
      <c r="T1208" s="1">
        <v>327.0</v>
      </c>
      <c r="U1208" s="1">
        <v>2888.0</v>
      </c>
      <c r="V1208" s="1">
        <v>0.0</v>
      </c>
      <c r="W1208" s="1">
        <v>299.0</v>
      </c>
      <c r="X1208" s="1">
        <v>0.0</v>
      </c>
      <c r="Y1208" s="1">
        <v>2.35</v>
      </c>
      <c r="Z1208" s="1">
        <v>4.7</v>
      </c>
    </row>
    <row r="1209" ht="14.25" customHeight="1">
      <c r="A1209" s="1" t="s">
        <v>26</v>
      </c>
      <c r="B1209" s="1" t="s">
        <v>6269</v>
      </c>
      <c r="C1209" s="1" t="s">
        <v>6270</v>
      </c>
      <c r="D1209" s="1">
        <v>2.6814957E7</v>
      </c>
      <c r="E1209" s="1" t="s">
        <v>5738</v>
      </c>
      <c r="F1209" s="1" t="s">
        <v>805</v>
      </c>
      <c r="G1209" s="1" t="s">
        <v>92</v>
      </c>
      <c r="H1209" s="1" t="s">
        <v>345</v>
      </c>
      <c r="I1209" s="1">
        <v>84357.0</v>
      </c>
      <c r="J1209" s="1" t="s">
        <v>6271</v>
      </c>
      <c r="K1209" s="1" t="s">
        <v>6272</v>
      </c>
      <c r="L1209" s="1">
        <v>252.0</v>
      </c>
      <c r="M1209" s="1" t="s">
        <v>35</v>
      </c>
      <c r="N1209" s="1" t="s">
        <v>54</v>
      </c>
      <c r="O1209" s="1" t="s">
        <v>37</v>
      </c>
      <c r="P1209" s="1">
        <v>3.5E7</v>
      </c>
      <c r="Q1209" s="1">
        <v>2008.0</v>
      </c>
      <c r="R1209" s="1">
        <v>20000.0</v>
      </c>
      <c r="S1209" s="1">
        <v>19000.0</v>
      </c>
      <c r="T1209" s="1">
        <v>19000.0</v>
      </c>
      <c r="U1209" s="1">
        <v>77823.0</v>
      </c>
      <c r="V1209" s="1">
        <v>56.0</v>
      </c>
      <c r="W1209" s="1">
        <v>0.0</v>
      </c>
      <c r="X1209" s="1">
        <v>3.0</v>
      </c>
      <c r="Y1209" s="1">
        <v>1.85</v>
      </c>
      <c r="Z1209" s="1">
        <v>6.7</v>
      </c>
    </row>
    <row r="1210" ht="14.25" customHeight="1">
      <c r="A1210" s="1" t="s">
        <v>26</v>
      </c>
      <c r="B1210" s="1" t="s">
        <v>6273</v>
      </c>
      <c r="C1210" s="1" t="s">
        <v>6274</v>
      </c>
      <c r="D1210" s="1">
        <v>2.5178165E7</v>
      </c>
      <c r="E1210" s="1" t="s">
        <v>206</v>
      </c>
      <c r="F1210" s="1" t="s">
        <v>563</v>
      </c>
      <c r="G1210" s="1" t="s">
        <v>741</v>
      </c>
      <c r="H1210" s="1" t="s">
        <v>114</v>
      </c>
      <c r="I1210" s="1">
        <v>70292.0</v>
      </c>
      <c r="J1210" s="1" t="s">
        <v>6275</v>
      </c>
      <c r="K1210" s="1" t="s">
        <v>6276</v>
      </c>
      <c r="L1210" s="1">
        <v>274.0</v>
      </c>
      <c r="M1210" s="1" t="s">
        <v>35</v>
      </c>
      <c r="N1210" s="1" t="s">
        <v>36</v>
      </c>
      <c r="O1210" s="1" t="s">
        <v>37</v>
      </c>
      <c r="P1210" s="1">
        <v>4.0E7</v>
      </c>
      <c r="Q1210" s="1">
        <v>2001.0</v>
      </c>
      <c r="R1210" s="1">
        <v>18000.0</v>
      </c>
      <c r="S1210" s="1">
        <v>9000.0</v>
      </c>
      <c r="T1210" s="1">
        <v>903.0</v>
      </c>
      <c r="U1210" s="1">
        <v>29484.0</v>
      </c>
      <c r="V1210" s="1">
        <v>7.0</v>
      </c>
      <c r="W1210" s="1">
        <v>8000.0</v>
      </c>
      <c r="X1210" s="1">
        <v>1.0</v>
      </c>
      <c r="Y1210" s="1">
        <v>1.85</v>
      </c>
      <c r="Z1210" s="1">
        <v>6.7</v>
      </c>
    </row>
    <row r="1211" ht="14.25" customHeight="1">
      <c r="A1211" s="1" t="s">
        <v>26</v>
      </c>
      <c r="B1211" s="1" t="s">
        <v>2604</v>
      </c>
      <c r="C1211" s="1" t="s">
        <v>6277</v>
      </c>
      <c r="D1211" s="1">
        <v>2.5117498E7</v>
      </c>
      <c r="E1211" s="1" t="s">
        <v>6278</v>
      </c>
      <c r="F1211" s="1" t="s">
        <v>3287</v>
      </c>
      <c r="G1211" s="1" t="s">
        <v>6279</v>
      </c>
      <c r="H1211" s="1" t="s">
        <v>6280</v>
      </c>
      <c r="I1211" s="1">
        <v>37412.0</v>
      </c>
      <c r="J1211" s="1" t="s">
        <v>6281</v>
      </c>
      <c r="K1211" s="1" t="s">
        <v>6282</v>
      </c>
      <c r="L1211" s="1">
        <v>178.0</v>
      </c>
      <c r="M1211" s="1" t="s">
        <v>35</v>
      </c>
      <c r="N1211" s="1" t="s">
        <v>36</v>
      </c>
      <c r="O1211" s="1" t="s">
        <v>628</v>
      </c>
      <c r="P1211" s="1">
        <v>4.0E7</v>
      </c>
      <c r="Q1211" s="1">
        <v>2007.0</v>
      </c>
      <c r="R1211" s="1">
        <v>327.0</v>
      </c>
      <c r="S1211" s="1">
        <v>253.0</v>
      </c>
      <c r="T1211" s="1">
        <v>135.0</v>
      </c>
      <c r="U1211" s="1">
        <v>960.0</v>
      </c>
      <c r="V1211" s="1">
        <v>81.0</v>
      </c>
      <c r="W1211" s="1">
        <v>0.0</v>
      </c>
      <c r="X1211" s="1">
        <v>0.0</v>
      </c>
      <c r="Y1211" s="1">
        <v>2.35</v>
      </c>
      <c r="Z1211" s="1">
        <v>5.7</v>
      </c>
    </row>
    <row r="1212" ht="14.25" customHeight="1">
      <c r="A1212" s="1" t="s">
        <v>26</v>
      </c>
      <c r="B1212" s="1" t="s">
        <v>472</v>
      </c>
      <c r="C1212" s="1" t="s">
        <v>6283</v>
      </c>
      <c r="D1212" s="1">
        <v>32645.0</v>
      </c>
      <c r="E1212" s="1" t="s">
        <v>4987</v>
      </c>
      <c r="F1212" s="1" t="s">
        <v>1663</v>
      </c>
      <c r="G1212" s="1" t="s">
        <v>4395</v>
      </c>
      <c r="H1212" s="1" t="s">
        <v>6284</v>
      </c>
      <c r="I1212" s="1">
        <v>67797.0</v>
      </c>
      <c r="J1212" s="1" t="s">
        <v>6285</v>
      </c>
      <c r="K1212" s="1" t="s">
        <v>6286</v>
      </c>
      <c r="L1212" s="1">
        <v>223.0</v>
      </c>
      <c r="M1212" s="1" t="s">
        <v>35</v>
      </c>
      <c r="N1212" s="1" t="s">
        <v>36</v>
      </c>
      <c r="O1212" s="1" t="s">
        <v>628</v>
      </c>
      <c r="P1212" s="1">
        <v>500000.0</v>
      </c>
      <c r="Q1212" s="1">
        <v>1973.0</v>
      </c>
      <c r="R1212" s="1">
        <v>22000.0</v>
      </c>
      <c r="S1212" s="1">
        <v>926.0</v>
      </c>
      <c r="T1212" s="1">
        <v>354.0</v>
      </c>
      <c r="U1212" s="1">
        <v>23737.0</v>
      </c>
      <c r="V1212" s="1">
        <v>17000.0</v>
      </c>
      <c r="W1212" s="1">
        <v>0.0</v>
      </c>
      <c r="X1212" s="1">
        <v>0.0</v>
      </c>
      <c r="Y1212" s="1">
        <v>1.85</v>
      </c>
      <c r="Z1212" s="1">
        <v>7.4</v>
      </c>
    </row>
    <row r="1213" ht="14.25" customHeight="1">
      <c r="A1213" s="1" t="s">
        <v>26</v>
      </c>
      <c r="B1213" s="1" t="s">
        <v>5289</v>
      </c>
      <c r="C1213" s="1" t="s">
        <v>6287</v>
      </c>
      <c r="D1213" s="1">
        <v>2.4332324E7</v>
      </c>
      <c r="E1213" s="1" t="s">
        <v>2422</v>
      </c>
      <c r="F1213" s="1" t="s">
        <v>935</v>
      </c>
      <c r="G1213" s="1" t="s">
        <v>6288</v>
      </c>
      <c r="H1213" s="1" t="s">
        <v>6289</v>
      </c>
      <c r="I1213" s="1">
        <v>13830.0</v>
      </c>
      <c r="J1213" s="1" t="s">
        <v>6290</v>
      </c>
      <c r="K1213" s="1" t="s">
        <v>6291</v>
      </c>
      <c r="L1213" s="1">
        <v>61.0</v>
      </c>
      <c r="M1213" s="1" t="s">
        <v>35</v>
      </c>
      <c r="N1213" s="1" t="s">
        <v>36</v>
      </c>
      <c r="O1213" s="1" t="s">
        <v>37</v>
      </c>
      <c r="P1213" s="1">
        <v>4.0E7</v>
      </c>
      <c r="Q1213" s="1">
        <v>1994.0</v>
      </c>
      <c r="R1213" s="1">
        <v>783.0</v>
      </c>
      <c r="S1213" s="1">
        <v>754.0</v>
      </c>
      <c r="T1213" s="1">
        <v>353.0</v>
      </c>
      <c r="U1213" s="1">
        <v>3126.0</v>
      </c>
      <c r="V1213" s="1">
        <v>545.0</v>
      </c>
      <c r="W1213" s="1">
        <v>680.0</v>
      </c>
      <c r="X1213" s="1">
        <v>1.0</v>
      </c>
      <c r="Y1213" s="1">
        <v>1.85</v>
      </c>
      <c r="Z1213" s="1">
        <v>6.1</v>
      </c>
    </row>
    <row r="1214" ht="14.25" customHeight="1">
      <c r="A1214" s="1" t="s">
        <v>26</v>
      </c>
      <c r="B1214" s="1" t="s">
        <v>5265</v>
      </c>
      <c r="C1214" s="1" t="s">
        <v>6292</v>
      </c>
      <c r="D1214" s="1">
        <v>3.6665854E7</v>
      </c>
      <c r="E1214" s="1" t="s">
        <v>449</v>
      </c>
      <c r="F1214" s="1" t="s">
        <v>1145</v>
      </c>
      <c r="G1214" s="1" t="s">
        <v>6293</v>
      </c>
      <c r="H1214" s="1" t="s">
        <v>6294</v>
      </c>
      <c r="I1214" s="1">
        <v>76498.0</v>
      </c>
      <c r="J1214" s="1" t="s">
        <v>6295</v>
      </c>
      <c r="K1214" s="1" t="s">
        <v>6296</v>
      </c>
      <c r="L1214" s="1">
        <v>203.0</v>
      </c>
      <c r="M1214" s="1" t="s">
        <v>35</v>
      </c>
      <c r="N1214" s="1" t="s">
        <v>1832</v>
      </c>
      <c r="O1214" s="1" t="s">
        <v>37</v>
      </c>
      <c r="P1214" s="1">
        <v>4.0E7</v>
      </c>
      <c r="Q1214" s="1">
        <v>2011.0</v>
      </c>
      <c r="R1214" s="1">
        <v>877.0</v>
      </c>
      <c r="S1214" s="1">
        <v>738.0</v>
      </c>
      <c r="T1214" s="1">
        <v>674.0</v>
      </c>
      <c r="U1214" s="1">
        <v>3432.0</v>
      </c>
      <c r="V1214" s="1">
        <v>118.0</v>
      </c>
      <c r="W1214" s="1">
        <v>15000.0</v>
      </c>
      <c r="X1214" s="1">
        <v>0.0</v>
      </c>
      <c r="Y1214" s="1">
        <v>2.35</v>
      </c>
      <c r="Z1214" s="1">
        <v>6.4</v>
      </c>
    </row>
    <row r="1215" ht="14.25" customHeight="1">
      <c r="A1215" s="1" t="s">
        <v>26</v>
      </c>
      <c r="B1215" s="1" t="s">
        <v>6297</v>
      </c>
      <c r="C1215" s="1" t="s">
        <v>6298</v>
      </c>
      <c r="D1215" s="1">
        <v>2.2717758E7</v>
      </c>
      <c r="E1215" s="1" t="s">
        <v>6299</v>
      </c>
      <c r="F1215" s="1" t="s">
        <v>425</v>
      </c>
      <c r="G1215" s="1" t="s">
        <v>6300</v>
      </c>
      <c r="H1215" s="1" t="s">
        <v>687</v>
      </c>
      <c r="I1215" s="1">
        <v>11156.0</v>
      </c>
      <c r="J1215" s="1" t="s">
        <v>6301</v>
      </c>
      <c r="K1215" s="1" t="s">
        <v>6302</v>
      </c>
      <c r="L1215" s="1">
        <v>67.0</v>
      </c>
      <c r="M1215" s="1" t="s">
        <v>35</v>
      </c>
      <c r="N1215" s="1" t="s">
        <v>36</v>
      </c>
      <c r="O1215" s="1" t="s">
        <v>269</v>
      </c>
      <c r="P1215" s="1">
        <v>4.0E7</v>
      </c>
      <c r="Q1215" s="1">
        <v>1998.0</v>
      </c>
      <c r="R1215" s="1">
        <v>10000.0</v>
      </c>
      <c r="S1215" s="1">
        <v>908.0</v>
      </c>
      <c r="T1215" s="1">
        <v>795.0</v>
      </c>
      <c r="U1215" s="1">
        <v>14275.0</v>
      </c>
      <c r="V1215" s="1">
        <v>7.0</v>
      </c>
      <c r="W1215" s="1">
        <v>0.0</v>
      </c>
      <c r="X1215" s="1">
        <v>0.0</v>
      </c>
      <c r="Y1215" s="1">
        <v>1.85</v>
      </c>
      <c r="Z1215" s="1">
        <v>6.2</v>
      </c>
    </row>
    <row r="1216" ht="14.25" customHeight="1">
      <c r="A1216" s="1" t="s">
        <v>26</v>
      </c>
      <c r="B1216" s="1" t="s">
        <v>3338</v>
      </c>
      <c r="C1216" s="1" t="s">
        <v>6303</v>
      </c>
      <c r="D1216" s="1">
        <v>2.2433915E7</v>
      </c>
      <c r="E1216" s="1" t="s">
        <v>2061</v>
      </c>
      <c r="F1216" s="1" t="s">
        <v>1663</v>
      </c>
      <c r="G1216" s="1" t="s">
        <v>75</v>
      </c>
      <c r="H1216" s="1" t="s">
        <v>6304</v>
      </c>
      <c r="I1216" s="1">
        <v>21319.0</v>
      </c>
      <c r="J1216" s="1" t="s">
        <v>6305</v>
      </c>
      <c r="K1216" s="1" t="s">
        <v>6306</v>
      </c>
      <c r="L1216" s="1">
        <v>166.0</v>
      </c>
      <c r="M1216" s="1" t="s">
        <v>35</v>
      </c>
      <c r="N1216" s="1" t="s">
        <v>36</v>
      </c>
      <c r="O1216" s="1" t="s">
        <v>628</v>
      </c>
      <c r="P1216" s="1">
        <v>6.0E7</v>
      </c>
      <c r="Q1216" s="1">
        <v>2002.0</v>
      </c>
      <c r="R1216" s="1">
        <v>22000.0</v>
      </c>
      <c r="S1216" s="1">
        <v>11000.0</v>
      </c>
      <c r="T1216" s="1">
        <v>616.0</v>
      </c>
      <c r="U1216" s="1">
        <v>34377.0</v>
      </c>
      <c r="V1216" s="1">
        <v>105.0</v>
      </c>
      <c r="W1216" s="1">
        <v>416.0</v>
      </c>
      <c r="X1216" s="1">
        <v>1.0</v>
      </c>
      <c r="Y1216" s="1">
        <v>2.35</v>
      </c>
      <c r="Z1216" s="1">
        <v>6.2</v>
      </c>
    </row>
    <row r="1217" ht="14.25" customHeight="1">
      <c r="A1217" s="1" t="s">
        <v>710</v>
      </c>
      <c r="B1217" s="1" t="s">
        <v>6307</v>
      </c>
      <c r="C1217" s="1" t="s">
        <v>6308</v>
      </c>
      <c r="D1217" s="1">
        <v>2.2326247E7</v>
      </c>
      <c r="E1217" s="1" t="s">
        <v>206</v>
      </c>
      <c r="F1217" s="1" t="s">
        <v>6309</v>
      </c>
      <c r="G1217" s="1" t="s">
        <v>1329</v>
      </c>
      <c r="H1217" s="1" t="s">
        <v>6310</v>
      </c>
      <c r="I1217" s="1">
        <v>11232.0</v>
      </c>
      <c r="J1217" s="1" t="s">
        <v>6311</v>
      </c>
      <c r="K1217" s="1" t="s">
        <v>6312</v>
      </c>
      <c r="L1217" s="1">
        <v>106.0</v>
      </c>
      <c r="M1217" s="1" t="s">
        <v>35</v>
      </c>
      <c r="N1217" s="1" t="s">
        <v>36</v>
      </c>
      <c r="O1217" s="1" t="s">
        <v>37</v>
      </c>
      <c r="P1217" s="1">
        <v>6.0E7</v>
      </c>
      <c r="Q1217" s="1">
        <v>1999.0</v>
      </c>
      <c r="R1217" s="1">
        <v>978.0</v>
      </c>
      <c r="S1217" s="1">
        <v>886.0</v>
      </c>
      <c r="T1217" s="1">
        <v>685.0</v>
      </c>
      <c r="U1217" s="1">
        <v>3821.0</v>
      </c>
      <c r="V1217" s="1">
        <v>34.0</v>
      </c>
      <c r="W1217" s="1">
        <v>0.0</v>
      </c>
      <c r="X1217" s="1">
        <v>1.0</v>
      </c>
      <c r="Y1217" s="1">
        <v>1.85</v>
      </c>
      <c r="Z1217" s="1">
        <v>5.9</v>
      </c>
    </row>
    <row r="1218" ht="14.25" customHeight="1">
      <c r="A1218" s="1" t="s">
        <v>26</v>
      </c>
      <c r="B1218" s="1" t="s">
        <v>6313</v>
      </c>
      <c r="C1218" s="1" t="s">
        <v>6314</v>
      </c>
      <c r="D1218" s="1">
        <v>2.1176322E7</v>
      </c>
      <c r="E1218" s="1" t="s">
        <v>1670</v>
      </c>
      <c r="F1218" s="1" t="s">
        <v>6315</v>
      </c>
      <c r="G1218" s="1" t="s">
        <v>3524</v>
      </c>
      <c r="H1218" s="1" t="s">
        <v>2931</v>
      </c>
      <c r="I1218" s="1">
        <v>23747.0</v>
      </c>
      <c r="J1218" s="1" t="s">
        <v>6316</v>
      </c>
      <c r="K1218" s="1" t="s">
        <v>6317</v>
      </c>
      <c r="L1218" s="1">
        <v>207.0</v>
      </c>
      <c r="M1218" s="1" t="s">
        <v>35</v>
      </c>
      <c r="N1218" s="1" t="s">
        <v>36</v>
      </c>
      <c r="O1218" s="1" t="s">
        <v>37</v>
      </c>
      <c r="P1218" s="1">
        <v>4.0E7</v>
      </c>
      <c r="Q1218" s="1">
        <v>2004.0</v>
      </c>
      <c r="R1218" s="1">
        <v>1000.0</v>
      </c>
      <c r="S1218" s="1">
        <v>1000.0</v>
      </c>
      <c r="T1218" s="1">
        <v>1000.0</v>
      </c>
      <c r="U1218" s="1">
        <v>5039.0</v>
      </c>
      <c r="V1218" s="1">
        <v>33.0</v>
      </c>
      <c r="W1218" s="1">
        <v>0.0</v>
      </c>
      <c r="X1218" s="1">
        <v>0.0</v>
      </c>
      <c r="Y1218" s="1">
        <v>2.35</v>
      </c>
      <c r="Z1218" s="1">
        <v>4.0</v>
      </c>
    </row>
    <row r="1219" ht="14.25" customHeight="1">
      <c r="A1219" s="1" t="s">
        <v>26</v>
      </c>
      <c r="B1219" s="1" t="s">
        <v>4069</v>
      </c>
      <c r="C1219" s="1" t="s">
        <v>6318</v>
      </c>
      <c r="D1219" s="1">
        <v>2.03E7</v>
      </c>
      <c r="E1219" s="1" t="s">
        <v>3868</v>
      </c>
      <c r="F1219" s="1" t="s">
        <v>2292</v>
      </c>
      <c r="G1219" s="1" t="s">
        <v>3095</v>
      </c>
      <c r="H1219" s="1" t="s">
        <v>3012</v>
      </c>
      <c r="I1219" s="1">
        <v>16741.0</v>
      </c>
      <c r="J1219" s="1" t="s">
        <v>6319</v>
      </c>
      <c r="K1219" s="1" t="s">
        <v>6320</v>
      </c>
      <c r="L1219" s="1">
        <v>60.0</v>
      </c>
      <c r="M1219" s="1" t="s">
        <v>35</v>
      </c>
      <c r="N1219" s="1" t="s">
        <v>36</v>
      </c>
      <c r="O1219" s="1" t="s">
        <v>628</v>
      </c>
      <c r="P1219" s="1">
        <v>4.0E7</v>
      </c>
      <c r="Q1219" s="1">
        <v>1996.0</v>
      </c>
      <c r="R1219" s="1">
        <v>14000.0</v>
      </c>
      <c r="S1219" s="1">
        <v>940.0</v>
      </c>
      <c r="T1219" s="1">
        <v>889.0</v>
      </c>
      <c r="U1219" s="1">
        <v>17877.0</v>
      </c>
      <c r="V1219" s="1">
        <v>17.0</v>
      </c>
      <c r="W1219" s="1">
        <v>309.0</v>
      </c>
      <c r="X1219" s="1">
        <v>2.0</v>
      </c>
      <c r="Y1219" s="1">
        <v>1.85</v>
      </c>
      <c r="Z1219" s="1">
        <v>6.2</v>
      </c>
    </row>
    <row r="1220" ht="14.25" customHeight="1">
      <c r="A1220" s="1" t="s">
        <v>26</v>
      </c>
      <c r="B1220" s="1" t="s">
        <v>1248</v>
      </c>
      <c r="C1220" s="1" t="s">
        <v>6321</v>
      </c>
      <c r="D1220" s="1">
        <v>2.0302961E7</v>
      </c>
      <c r="E1220" s="1" t="s">
        <v>3238</v>
      </c>
      <c r="F1220" s="1" t="s">
        <v>6322</v>
      </c>
      <c r="G1220" s="1" t="s">
        <v>6323</v>
      </c>
      <c r="H1220" s="1" t="s">
        <v>5769</v>
      </c>
      <c r="I1220" s="1">
        <v>49874.0</v>
      </c>
      <c r="J1220" s="1" t="s">
        <v>6324</v>
      </c>
      <c r="K1220" s="1" t="s">
        <v>6325</v>
      </c>
      <c r="L1220" s="1">
        <v>450.0</v>
      </c>
      <c r="M1220" s="1" t="s">
        <v>35</v>
      </c>
      <c r="N1220" s="1" t="s">
        <v>1832</v>
      </c>
      <c r="O1220" s="1" t="s">
        <v>6326</v>
      </c>
      <c r="P1220" s="1">
        <v>4.5E7</v>
      </c>
      <c r="Q1220" s="1">
        <v>1995.0</v>
      </c>
      <c r="R1220" s="1">
        <v>16000.0</v>
      </c>
      <c r="S1220" s="1">
        <v>893.0</v>
      </c>
      <c r="T1220" s="1">
        <v>683.0</v>
      </c>
      <c r="U1220" s="1">
        <v>18913.0</v>
      </c>
      <c r="V1220" s="1">
        <v>719.0</v>
      </c>
      <c r="W1220" s="1">
        <v>0.0</v>
      </c>
      <c r="X1220" s="1">
        <v>0.0</v>
      </c>
      <c r="Y1220" s="1">
        <v>2.35</v>
      </c>
      <c r="Z1220" s="1">
        <v>4.6</v>
      </c>
    </row>
    <row r="1221" ht="14.25" customHeight="1">
      <c r="A1221" s="1" t="s">
        <v>26</v>
      </c>
      <c r="B1221" s="1" t="s">
        <v>6327</v>
      </c>
      <c r="C1221" s="1" t="s">
        <v>6328</v>
      </c>
      <c r="D1221" s="1">
        <v>1.5962471E7</v>
      </c>
      <c r="E1221" s="1" t="s">
        <v>5738</v>
      </c>
      <c r="F1221" s="1" t="s">
        <v>76</v>
      </c>
      <c r="G1221" s="1" t="s">
        <v>2207</v>
      </c>
      <c r="H1221" s="1" t="s">
        <v>867</v>
      </c>
      <c r="I1221" s="1">
        <v>79892.0</v>
      </c>
      <c r="J1221" s="1" t="s">
        <v>6329</v>
      </c>
      <c r="K1221" s="1" t="s">
        <v>6330</v>
      </c>
      <c r="L1221" s="1">
        <v>619.0</v>
      </c>
      <c r="M1221" s="1" t="s">
        <v>35</v>
      </c>
      <c r="N1221" s="1" t="s">
        <v>36</v>
      </c>
      <c r="O1221" s="1" t="s">
        <v>37</v>
      </c>
      <c r="P1221" s="1">
        <v>4.0E7</v>
      </c>
      <c r="Q1221" s="1">
        <v>2006.0</v>
      </c>
      <c r="R1221" s="1">
        <v>4000.0</v>
      </c>
      <c r="S1221" s="1">
        <v>887.0</v>
      </c>
      <c r="T1221" s="1">
        <v>826.0</v>
      </c>
      <c r="U1221" s="1">
        <v>7243.0</v>
      </c>
      <c r="V1221" s="1">
        <v>0.0</v>
      </c>
      <c r="W1221" s="1">
        <v>0.0</v>
      </c>
      <c r="X1221" s="1">
        <v>1.0</v>
      </c>
      <c r="Y1221" s="1">
        <v>1.85</v>
      </c>
      <c r="Z1221" s="1">
        <v>6.4</v>
      </c>
    </row>
    <row r="1222" ht="14.25" customHeight="1">
      <c r="A1222" s="1" t="s">
        <v>26</v>
      </c>
      <c r="B1222" s="1" t="s">
        <v>5034</v>
      </c>
      <c r="C1222" s="1" t="s">
        <v>6331</v>
      </c>
      <c r="D1222" s="1">
        <v>1.4942422E7</v>
      </c>
      <c r="E1222" s="1" t="s">
        <v>326</v>
      </c>
      <c r="F1222" s="1" t="s">
        <v>668</v>
      </c>
      <c r="G1222" s="1" t="s">
        <v>2418</v>
      </c>
      <c r="H1222" s="1" t="s">
        <v>3360</v>
      </c>
      <c r="I1222" s="1">
        <v>14226.0</v>
      </c>
      <c r="J1222" s="1" t="s">
        <v>6332</v>
      </c>
      <c r="K1222" s="1" t="s">
        <v>6333</v>
      </c>
      <c r="L1222" s="1">
        <v>60.0</v>
      </c>
      <c r="M1222" s="1" t="s">
        <v>35</v>
      </c>
      <c r="N1222" s="1" t="s">
        <v>36</v>
      </c>
      <c r="O1222" s="1" t="s">
        <v>628</v>
      </c>
      <c r="P1222" s="1">
        <v>4.0E7</v>
      </c>
      <c r="Q1222" s="1">
        <v>1995.0</v>
      </c>
      <c r="R1222" s="1">
        <v>12000.0</v>
      </c>
      <c r="S1222" s="1">
        <v>975.0</v>
      </c>
      <c r="T1222" s="1">
        <v>497.0</v>
      </c>
      <c r="U1222" s="1">
        <v>14008.0</v>
      </c>
      <c r="V1222" s="1">
        <v>58.0</v>
      </c>
      <c r="W1222" s="1">
        <v>555.0</v>
      </c>
      <c r="X1222" s="1">
        <v>3.0</v>
      </c>
      <c r="Y1222" s="1">
        <v>1.85</v>
      </c>
      <c r="Z1222" s="1">
        <v>5.9</v>
      </c>
    </row>
    <row r="1223" ht="14.25" customHeight="1">
      <c r="A1223" s="1" t="s">
        <v>26</v>
      </c>
      <c r="B1223" s="1" t="s">
        <v>6334</v>
      </c>
      <c r="C1223" s="1" t="s">
        <v>6335</v>
      </c>
      <c r="D1223" s="1">
        <v>1.4967182E7</v>
      </c>
      <c r="E1223" s="1" t="s">
        <v>449</v>
      </c>
      <c r="F1223" s="1" t="s">
        <v>1702</v>
      </c>
      <c r="G1223" s="1" t="s">
        <v>4512</v>
      </c>
      <c r="H1223" s="1" t="s">
        <v>6336</v>
      </c>
      <c r="I1223" s="1">
        <v>27305.0</v>
      </c>
      <c r="J1223" s="1" t="s">
        <v>6337</v>
      </c>
      <c r="K1223" s="1" t="s">
        <v>6338</v>
      </c>
      <c r="L1223" s="1">
        <v>284.0</v>
      </c>
      <c r="M1223" s="1" t="s">
        <v>35</v>
      </c>
      <c r="N1223" s="1" t="s">
        <v>36</v>
      </c>
      <c r="O1223" s="1" t="s">
        <v>628</v>
      </c>
      <c r="P1223" s="1">
        <v>4.0E7</v>
      </c>
      <c r="Q1223" s="1">
        <v>2000.0</v>
      </c>
      <c r="R1223" s="1">
        <v>13000.0</v>
      </c>
      <c r="S1223" s="1">
        <v>530.0</v>
      </c>
      <c r="T1223" s="1">
        <v>351.0</v>
      </c>
      <c r="U1223" s="1">
        <v>14463.0</v>
      </c>
      <c r="V1223" s="1">
        <v>19.0</v>
      </c>
      <c r="W1223" s="1">
        <v>604.0</v>
      </c>
      <c r="X1223" s="1">
        <v>1.0</v>
      </c>
      <c r="Y1223" s="1">
        <v>2.35</v>
      </c>
      <c r="Z1223" s="1">
        <v>5.1</v>
      </c>
    </row>
    <row r="1224" ht="14.25" customHeight="1">
      <c r="A1224" s="1" t="s">
        <v>26</v>
      </c>
      <c r="B1224" s="1" t="s">
        <v>6339</v>
      </c>
      <c r="C1224" s="1" t="s">
        <v>6340</v>
      </c>
      <c r="D1224" s="1">
        <v>1.8996755E7</v>
      </c>
      <c r="E1224" s="1" t="s">
        <v>3868</v>
      </c>
      <c r="F1224" s="1" t="s">
        <v>200</v>
      </c>
      <c r="G1224" s="1" t="s">
        <v>6341</v>
      </c>
      <c r="H1224" s="1" t="s">
        <v>6342</v>
      </c>
      <c r="I1224" s="1">
        <v>145270.0</v>
      </c>
      <c r="J1224" s="1" t="s">
        <v>6343</v>
      </c>
      <c r="K1224" s="1" t="s">
        <v>6344</v>
      </c>
      <c r="L1224" s="1">
        <v>322.0</v>
      </c>
      <c r="M1224" s="1" t="s">
        <v>35</v>
      </c>
      <c r="N1224" s="1" t="s">
        <v>3393</v>
      </c>
      <c r="O1224" s="1" t="s">
        <v>37</v>
      </c>
      <c r="P1224" s="1">
        <v>4.5E7</v>
      </c>
      <c r="Q1224" s="1">
        <v>2012.0</v>
      </c>
      <c r="R1224" s="1">
        <v>6000.0</v>
      </c>
      <c r="S1224" s="1">
        <v>382.0</v>
      </c>
      <c r="T1224" s="1">
        <v>284.0</v>
      </c>
      <c r="U1224" s="1">
        <v>7099.0</v>
      </c>
      <c r="V1224" s="1">
        <v>171.0</v>
      </c>
      <c r="W1224" s="1">
        <v>54000.0</v>
      </c>
      <c r="X1224" s="1">
        <v>0.0</v>
      </c>
      <c r="Y1224" s="1">
        <v>2.35</v>
      </c>
      <c r="Z1224" s="1">
        <v>7.6</v>
      </c>
    </row>
    <row r="1225" ht="14.25" customHeight="1">
      <c r="A1225" s="1" t="s">
        <v>26</v>
      </c>
      <c r="B1225" s="1" t="s">
        <v>6345</v>
      </c>
      <c r="C1225" s="1" t="s">
        <v>6346</v>
      </c>
      <c r="D1225" s="1">
        <v>1.4375181E7</v>
      </c>
      <c r="E1225" s="1" t="s">
        <v>6347</v>
      </c>
      <c r="F1225" s="1" t="s">
        <v>6348</v>
      </c>
      <c r="G1225" s="1" t="s">
        <v>1600</v>
      </c>
      <c r="H1225" s="1" t="s">
        <v>6349</v>
      </c>
      <c r="I1225" s="1">
        <v>8692.0</v>
      </c>
      <c r="J1225" s="1" t="s">
        <v>6350</v>
      </c>
      <c r="K1225" s="1" t="s">
        <v>6351</v>
      </c>
      <c r="L1225" s="1">
        <v>126.0</v>
      </c>
      <c r="M1225" s="1" t="s">
        <v>35</v>
      </c>
      <c r="N1225" s="1" t="s">
        <v>36</v>
      </c>
      <c r="O1225" s="1" t="s">
        <v>37</v>
      </c>
      <c r="P1225" s="1">
        <v>5.1E7</v>
      </c>
      <c r="Q1225" s="1">
        <v>1987.0</v>
      </c>
      <c r="R1225" s="1">
        <v>636.0</v>
      </c>
      <c r="S1225" s="1">
        <v>631.0</v>
      </c>
      <c r="T1225" s="1">
        <v>572.0</v>
      </c>
      <c r="U1225" s="1">
        <v>3374.0</v>
      </c>
      <c r="V1225" s="1">
        <v>124.0</v>
      </c>
      <c r="W1225" s="1">
        <v>754.0</v>
      </c>
      <c r="X1225" s="1">
        <v>2.0</v>
      </c>
      <c r="Y1225" s="1">
        <v>1.85</v>
      </c>
      <c r="Z1225" s="1">
        <v>4.2</v>
      </c>
    </row>
    <row r="1226" ht="14.25" customHeight="1">
      <c r="A1226" s="1" t="s">
        <v>26</v>
      </c>
      <c r="B1226" s="1" t="s">
        <v>5083</v>
      </c>
      <c r="C1226" s="1" t="s">
        <v>6352</v>
      </c>
      <c r="D1226" s="1">
        <v>2.0999103E7</v>
      </c>
      <c r="E1226" s="1" t="s">
        <v>6353</v>
      </c>
      <c r="F1226" s="1" t="s">
        <v>534</v>
      </c>
      <c r="G1226" s="1" t="s">
        <v>2286</v>
      </c>
      <c r="H1226" s="1" t="s">
        <v>234</v>
      </c>
      <c r="I1226" s="1">
        <v>139114.0</v>
      </c>
      <c r="J1226" s="1" t="s">
        <v>6354</v>
      </c>
      <c r="K1226" s="1" t="s">
        <v>6355</v>
      </c>
      <c r="L1226" s="1">
        <v>245.0</v>
      </c>
      <c r="M1226" s="1" t="s">
        <v>35</v>
      </c>
      <c r="N1226" s="1" t="s">
        <v>36</v>
      </c>
      <c r="O1226" s="1" t="s">
        <v>87</v>
      </c>
      <c r="P1226" s="1">
        <v>4.0E7</v>
      </c>
      <c r="Q1226" s="1">
        <v>2009.0</v>
      </c>
      <c r="R1226" s="1">
        <v>13000.0</v>
      </c>
      <c r="S1226" s="1">
        <v>11000.0</v>
      </c>
      <c r="T1226" s="1">
        <v>563.0</v>
      </c>
      <c r="U1226" s="1">
        <v>24770.0</v>
      </c>
      <c r="V1226" s="1">
        <v>0.0</v>
      </c>
      <c r="W1226" s="1">
        <v>15000.0</v>
      </c>
      <c r="X1226" s="1">
        <v>0.0</v>
      </c>
      <c r="Y1226" s="1">
        <v>1.85</v>
      </c>
      <c r="Z1226" s="1">
        <v>7.8</v>
      </c>
    </row>
    <row r="1227" ht="14.25" customHeight="1">
      <c r="A1227" s="1" t="s">
        <v>26</v>
      </c>
      <c r="B1227" s="1" t="s">
        <v>4205</v>
      </c>
      <c r="C1227" s="1" t="s">
        <v>6356</v>
      </c>
      <c r="D1227" s="1">
        <v>1.4448589E7</v>
      </c>
      <c r="E1227" s="1" t="s">
        <v>1598</v>
      </c>
      <c r="F1227" s="1" t="s">
        <v>550</v>
      </c>
      <c r="G1227" s="1" t="s">
        <v>3930</v>
      </c>
      <c r="H1227" s="1" t="s">
        <v>6357</v>
      </c>
      <c r="I1227" s="1">
        <v>19364.0</v>
      </c>
      <c r="J1227" s="1" t="s">
        <v>6358</v>
      </c>
      <c r="K1227" s="1" t="s">
        <v>6359</v>
      </c>
      <c r="L1227" s="1">
        <v>128.0</v>
      </c>
      <c r="M1227" s="1" t="s">
        <v>35</v>
      </c>
      <c r="N1227" s="1" t="s">
        <v>36</v>
      </c>
      <c r="O1227" s="1" t="s">
        <v>37</v>
      </c>
      <c r="P1227" s="1">
        <v>4.0E7</v>
      </c>
      <c r="Q1227" s="1">
        <v>2002.0</v>
      </c>
      <c r="R1227" s="1">
        <v>11000.0</v>
      </c>
      <c r="S1227" s="1">
        <v>944.0</v>
      </c>
      <c r="T1227" s="1">
        <v>311.0</v>
      </c>
      <c r="U1227" s="1">
        <v>12566.0</v>
      </c>
      <c r="V1227" s="1">
        <v>65.0</v>
      </c>
      <c r="W1227" s="1">
        <v>835.0</v>
      </c>
      <c r="X1227" s="1">
        <v>2.0</v>
      </c>
      <c r="Y1227" s="1">
        <v>2.35</v>
      </c>
      <c r="Z1227" s="1">
        <v>5.8</v>
      </c>
    </row>
    <row r="1228" ht="14.25" customHeight="1">
      <c r="A1228" s="1" t="s">
        <v>26</v>
      </c>
      <c r="B1228" s="1" t="s">
        <v>5073</v>
      </c>
      <c r="C1228" s="1" t="s">
        <v>6360</v>
      </c>
      <c r="D1228" s="1">
        <v>1.4358033E7</v>
      </c>
      <c r="E1228" s="1" t="s">
        <v>6361</v>
      </c>
      <c r="F1228" s="1" t="s">
        <v>6362</v>
      </c>
      <c r="G1228" s="1" t="s">
        <v>2658</v>
      </c>
      <c r="H1228" s="1" t="s">
        <v>6363</v>
      </c>
      <c r="I1228" s="1">
        <v>17365.0</v>
      </c>
      <c r="J1228" s="1" t="s">
        <v>6364</v>
      </c>
      <c r="K1228" s="1" t="s">
        <v>6365</v>
      </c>
      <c r="L1228" s="1">
        <v>66.0</v>
      </c>
      <c r="M1228" s="1" t="s">
        <v>35</v>
      </c>
      <c r="N1228" s="1" t="s">
        <v>36</v>
      </c>
      <c r="O1228" s="1" t="s">
        <v>37</v>
      </c>
      <c r="P1228" s="1">
        <v>4.0E7</v>
      </c>
      <c r="Q1228" s="1">
        <v>1992.0</v>
      </c>
      <c r="R1228" s="1">
        <v>782.0</v>
      </c>
      <c r="S1228" s="1">
        <v>658.0</v>
      </c>
      <c r="T1228" s="1">
        <v>402.0</v>
      </c>
      <c r="U1228" s="1">
        <v>2125.0</v>
      </c>
      <c r="V1228" s="1">
        <v>0.0</v>
      </c>
      <c r="W1228" s="1">
        <v>630.0</v>
      </c>
      <c r="X1228" s="1">
        <v>2.0</v>
      </c>
      <c r="Y1228" s="1">
        <v>2.35</v>
      </c>
      <c r="Z1228" s="1">
        <v>5.9</v>
      </c>
    </row>
    <row r="1229" ht="14.25" customHeight="1">
      <c r="A1229" s="1" t="s">
        <v>710</v>
      </c>
      <c r="B1229" s="1" t="s">
        <v>3964</v>
      </c>
      <c r="C1229" s="1" t="s">
        <v>6366</v>
      </c>
      <c r="D1229" s="1">
        <v>3.3201661E7</v>
      </c>
      <c r="E1229" s="1" t="s">
        <v>1598</v>
      </c>
      <c r="F1229" s="1" t="s">
        <v>5533</v>
      </c>
      <c r="G1229" s="1" t="s">
        <v>6367</v>
      </c>
      <c r="H1229" s="1" t="s">
        <v>6368</v>
      </c>
      <c r="I1229" s="1">
        <v>534262.0</v>
      </c>
      <c r="J1229" s="1" t="s">
        <v>6369</v>
      </c>
      <c r="K1229" s="1" t="s">
        <v>6370</v>
      </c>
      <c r="L1229" s="1">
        <v>1314.0</v>
      </c>
      <c r="M1229" s="1" t="s">
        <v>2752</v>
      </c>
      <c r="N1229" s="1" t="s">
        <v>1832</v>
      </c>
      <c r="O1229" s="1" t="s">
        <v>628</v>
      </c>
      <c r="P1229" s="1">
        <v>7.7E7</v>
      </c>
      <c r="Q1229" s="1">
        <v>2001.0</v>
      </c>
      <c r="R1229" s="1">
        <v>326.0</v>
      </c>
      <c r="S1229" s="1">
        <v>326.0</v>
      </c>
      <c r="T1229" s="1">
        <v>54.0</v>
      </c>
      <c r="U1229" s="1">
        <v>809.0</v>
      </c>
      <c r="V1229" s="1">
        <v>0.0</v>
      </c>
      <c r="W1229" s="1">
        <v>39000.0</v>
      </c>
      <c r="X1229" s="1">
        <v>0.0</v>
      </c>
      <c r="Y1229" s="1">
        <v>2.35</v>
      </c>
      <c r="Z1229" s="1">
        <v>8.4</v>
      </c>
    </row>
    <row r="1230" ht="14.25" customHeight="1">
      <c r="A1230" s="1" t="s">
        <v>26</v>
      </c>
      <c r="B1230" s="1" t="s">
        <v>6371</v>
      </c>
      <c r="C1230" s="1" t="s">
        <v>6372</v>
      </c>
      <c r="D1230" s="1">
        <v>1.4018364E7</v>
      </c>
      <c r="E1230" s="1" t="s">
        <v>6373</v>
      </c>
      <c r="F1230" s="1" t="s">
        <v>6374</v>
      </c>
      <c r="G1230" s="1" t="s">
        <v>6375</v>
      </c>
      <c r="H1230" s="1" t="s">
        <v>6376</v>
      </c>
      <c r="I1230" s="1">
        <v>17722.0</v>
      </c>
      <c r="J1230" s="1" t="s">
        <v>6377</v>
      </c>
      <c r="K1230" s="1" t="s">
        <v>6378</v>
      </c>
      <c r="L1230" s="1">
        <v>111.0</v>
      </c>
      <c r="M1230" s="1" t="s">
        <v>35</v>
      </c>
      <c r="N1230" s="1" t="s">
        <v>36</v>
      </c>
      <c r="O1230" s="1" t="s">
        <v>87</v>
      </c>
      <c r="P1230" s="1">
        <v>3.0E7</v>
      </c>
      <c r="Q1230" s="1">
        <v>2004.0</v>
      </c>
      <c r="R1230" s="1">
        <v>976.0</v>
      </c>
      <c r="S1230" s="1">
        <v>799.0</v>
      </c>
      <c r="T1230" s="1">
        <v>762.0</v>
      </c>
      <c r="U1230" s="1">
        <v>3974.0</v>
      </c>
      <c r="V1230" s="1">
        <v>29.0</v>
      </c>
      <c r="W1230" s="1">
        <v>849.0</v>
      </c>
      <c r="X1230" s="1">
        <v>1.0</v>
      </c>
      <c r="Y1230" s="1">
        <v>1.85</v>
      </c>
      <c r="Z1230" s="1">
        <v>4.8</v>
      </c>
    </row>
    <row r="1231" ht="14.25" customHeight="1">
      <c r="A1231" s="1" t="s">
        <v>26</v>
      </c>
      <c r="B1231" s="1" t="s">
        <v>6379</v>
      </c>
      <c r="C1231" s="1" t="s">
        <v>6380</v>
      </c>
      <c r="D1231" s="1">
        <v>1.3395939E7</v>
      </c>
      <c r="E1231" s="1" t="s">
        <v>1359</v>
      </c>
      <c r="F1231" s="1" t="s">
        <v>5606</v>
      </c>
      <c r="G1231" s="1" t="s">
        <v>5999</v>
      </c>
      <c r="H1231" s="1" t="s">
        <v>2298</v>
      </c>
      <c r="I1231" s="1">
        <v>43442.0</v>
      </c>
      <c r="J1231" s="1" t="s">
        <v>6381</v>
      </c>
      <c r="K1231" s="1" t="s">
        <v>6382</v>
      </c>
      <c r="L1231" s="1">
        <v>146.0</v>
      </c>
      <c r="M1231" s="1" t="s">
        <v>35</v>
      </c>
      <c r="N1231" s="1" t="s">
        <v>54</v>
      </c>
      <c r="O1231" s="1" t="s">
        <v>628</v>
      </c>
      <c r="P1231" s="1">
        <v>6.0E7</v>
      </c>
      <c r="Q1231" s="1">
        <v>2004.0</v>
      </c>
      <c r="R1231" s="1">
        <v>865.0</v>
      </c>
      <c r="S1231" s="1">
        <v>826.0</v>
      </c>
      <c r="T1231" s="1">
        <v>624.0</v>
      </c>
      <c r="U1231" s="1">
        <v>3639.0</v>
      </c>
      <c r="V1231" s="1">
        <v>14.0</v>
      </c>
      <c r="W1231" s="1">
        <v>0.0</v>
      </c>
      <c r="X1231" s="1">
        <v>4.0</v>
      </c>
      <c r="Y1231" s="1">
        <v>1.85</v>
      </c>
      <c r="Z1231" s="1">
        <v>6.2</v>
      </c>
    </row>
    <row r="1232" ht="14.25" customHeight="1">
      <c r="A1232" s="1" t="s">
        <v>26</v>
      </c>
      <c r="B1232" s="1" t="s">
        <v>5911</v>
      </c>
      <c r="C1232" s="1" t="s">
        <v>6383</v>
      </c>
      <c r="D1232" s="1">
        <v>2.0113965E7</v>
      </c>
      <c r="E1232" s="1" t="s">
        <v>5942</v>
      </c>
      <c r="F1232" s="1" t="s">
        <v>6384</v>
      </c>
      <c r="G1232" s="1" t="s">
        <v>1432</v>
      </c>
      <c r="H1232" s="1" t="s">
        <v>6385</v>
      </c>
      <c r="I1232" s="1">
        <v>15231.0</v>
      </c>
      <c r="J1232" s="1" t="s">
        <v>6386</v>
      </c>
      <c r="K1232" s="1" t="s">
        <v>6387</v>
      </c>
      <c r="L1232" s="1">
        <v>66.0</v>
      </c>
      <c r="M1232" s="1" t="s">
        <v>35</v>
      </c>
      <c r="N1232" s="1" t="s">
        <v>36</v>
      </c>
      <c r="O1232" s="1" t="s">
        <v>87</v>
      </c>
      <c r="P1232" s="1">
        <v>4.0E7</v>
      </c>
      <c r="Q1232" s="1">
        <v>2012.0</v>
      </c>
      <c r="R1232" s="1">
        <v>875.0</v>
      </c>
      <c r="S1232" s="1">
        <v>596.0</v>
      </c>
      <c r="T1232" s="1">
        <v>171.0</v>
      </c>
      <c r="U1232" s="1">
        <v>1702.0</v>
      </c>
      <c r="V1232" s="1">
        <v>42.0</v>
      </c>
      <c r="W1232" s="1">
        <v>0.0</v>
      </c>
      <c r="X1232" s="1">
        <v>3.0</v>
      </c>
      <c r="Y1232" s="1">
        <v>2.35</v>
      </c>
      <c r="Z1232" s="1">
        <v>6.5</v>
      </c>
    </row>
    <row r="1233" ht="14.25" customHeight="1">
      <c r="A1233" s="1" t="s">
        <v>26</v>
      </c>
      <c r="B1233" s="1" t="s">
        <v>6388</v>
      </c>
      <c r="C1233" s="1" t="s">
        <v>6389</v>
      </c>
      <c r="D1233" s="1">
        <v>1.3376506E7</v>
      </c>
      <c r="E1233" s="1" t="s">
        <v>3238</v>
      </c>
      <c r="F1233" s="1" t="s">
        <v>5540</v>
      </c>
      <c r="G1233" s="1" t="s">
        <v>3994</v>
      </c>
      <c r="H1233" s="1" t="s">
        <v>6390</v>
      </c>
      <c r="I1233" s="1">
        <v>10413.0</v>
      </c>
      <c r="J1233" s="1" t="s">
        <v>6391</v>
      </c>
      <c r="K1233" s="1" t="s">
        <v>6392</v>
      </c>
      <c r="L1233" s="1">
        <v>111.0</v>
      </c>
      <c r="M1233" s="1" t="s">
        <v>35</v>
      </c>
      <c r="N1233" s="1" t="s">
        <v>36</v>
      </c>
      <c r="O1233" s="1" t="s">
        <v>37</v>
      </c>
      <c r="P1233" s="1">
        <v>4.0E7</v>
      </c>
      <c r="Q1233" s="1">
        <v>1999.0</v>
      </c>
      <c r="R1233" s="1">
        <v>2000.0</v>
      </c>
      <c r="S1233" s="1">
        <v>642.0</v>
      </c>
      <c r="T1233" s="1">
        <v>613.0</v>
      </c>
      <c r="U1233" s="1">
        <v>4327.0</v>
      </c>
      <c r="V1233" s="1">
        <v>22.0</v>
      </c>
      <c r="W1233" s="1">
        <v>579.0</v>
      </c>
      <c r="X1233" s="1">
        <v>1.0</v>
      </c>
      <c r="Y1233" s="1">
        <v>1.85</v>
      </c>
      <c r="Z1233" s="1">
        <v>6.3</v>
      </c>
    </row>
    <row r="1234" ht="14.25" customHeight="1">
      <c r="A1234" s="1" t="s">
        <v>26</v>
      </c>
      <c r="B1234" s="1" t="s">
        <v>6393</v>
      </c>
      <c r="C1234" s="1" t="s">
        <v>6394</v>
      </c>
      <c r="D1234" s="1">
        <v>1.3208023E7</v>
      </c>
      <c r="E1234" s="1" t="s">
        <v>6395</v>
      </c>
      <c r="F1234" s="1" t="s">
        <v>2183</v>
      </c>
      <c r="G1234" s="1" t="s">
        <v>6396</v>
      </c>
      <c r="H1234" s="1" t="s">
        <v>1740</v>
      </c>
      <c r="I1234" s="1">
        <v>17309.0</v>
      </c>
      <c r="J1234" s="1" t="s">
        <v>6397</v>
      </c>
      <c r="K1234" s="1" t="s">
        <v>6398</v>
      </c>
      <c r="L1234" s="1">
        <v>388.0</v>
      </c>
      <c r="M1234" s="1" t="s">
        <v>35</v>
      </c>
      <c r="N1234" s="1" t="s">
        <v>54</v>
      </c>
      <c r="O1234" s="1" t="s">
        <v>628</v>
      </c>
      <c r="P1234" s="1">
        <v>4.2E7</v>
      </c>
      <c r="Q1234" s="1">
        <v>2002.0</v>
      </c>
      <c r="R1234" s="1">
        <v>2000.0</v>
      </c>
      <c r="S1234" s="1">
        <v>886.0</v>
      </c>
      <c r="T1234" s="1">
        <v>595.0</v>
      </c>
      <c r="U1234" s="1">
        <v>4262.0</v>
      </c>
      <c r="V1234" s="1">
        <v>37.0</v>
      </c>
      <c r="W1234" s="1">
        <v>612.0</v>
      </c>
      <c r="X1234" s="1">
        <v>1.0</v>
      </c>
      <c r="Y1234" s="1">
        <v>2.35</v>
      </c>
      <c r="Z1234" s="1">
        <v>3.3</v>
      </c>
    </row>
    <row r="1235" ht="14.25" customHeight="1">
      <c r="A1235" s="1" t="s">
        <v>26</v>
      </c>
      <c r="B1235" s="1" t="s">
        <v>1661</v>
      </c>
      <c r="C1235" s="1" t="s">
        <v>6399</v>
      </c>
      <c r="D1235" s="1">
        <v>1.383813E7</v>
      </c>
      <c r="E1235" s="1" t="s">
        <v>1849</v>
      </c>
      <c r="F1235" s="1" t="s">
        <v>663</v>
      </c>
      <c r="G1235" s="1" t="s">
        <v>480</v>
      </c>
      <c r="H1235" s="1" t="s">
        <v>3745</v>
      </c>
      <c r="I1235" s="1">
        <v>35990.0</v>
      </c>
      <c r="J1235" s="1" t="s">
        <v>6400</v>
      </c>
      <c r="K1235" s="1" t="s">
        <v>6401</v>
      </c>
      <c r="L1235" s="1">
        <v>157.0</v>
      </c>
      <c r="M1235" s="1" t="s">
        <v>35</v>
      </c>
      <c r="N1235" s="1" t="s">
        <v>36</v>
      </c>
      <c r="O1235" s="1" t="s">
        <v>37</v>
      </c>
      <c r="P1235" s="1">
        <v>4.0E7</v>
      </c>
      <c r="Q1235" s="1">
        <v>2009.0</v>
      </c>
      <c r="R1235" s="1">
        <v>14000.0</v>
      </c>
      <c r="S1235" s="1">
        <v>4000.0</v>
      </c>
      <c r="T1235" s="1">
        <v>835.0</v>
      </c>
      <c r="U1235" s="1">
        <v>20503.0</v>
      </c>
      <c r="V1235" s="1">
        <v>80.0</v>
      </c>
      <c r="W1235" s="1">
        <v>0.0</v>
      </c>
      <c r="X1235" s="1">
        <v>3.0</v>
      </c>
      <c r="Y1235" s="1">
        <v>2.35</v>
      </c>
      <c r="Z1235" s="1">
        <v>5.9</v>
      </c>
    </row>
    <row r="1236" ht="14.25" customHeight="1">
      <c r="A1236" s="1" t="s">
        <v>26</v>
      </c>
      <c r="B1236" s="1" t="s">
        <v>5671</v>
      </c>
      <c r="C1236" s="1" t="s">
        <v>5672</v>
      </c>
      <c r="D1236" s="1">
        <v>5773519.0</v>
      </c>
      <c r="E1236" s="1" t="s">
        <v>3448</v>
      </c>
      <c r="F1236" s="1" t="s">
        <v>99</v>
      </c>
      <c r="G1236" s="1" t="s">
        <v>4287</v>
      </c>
      <c r="H1236" s="1" t="s">
        <v>5673</v>
      </c>
      <c r="I1236" s="1">
        <v>28618.0</v>
      </c>
      <c r="J1236" s="1" t="s">
        <v>5674</v>
      </c>
      <c r="K1236" s="1" t="s">
        <v>5675</v>
      </c>
      <c r="L1236" s="1">
        <v>91.0</v>
      </c>
      <c r="M1236" s="1" t="s">
        <v>35</v>
      </c>
      <c r="N1236" s="1" t="s">
        <v>36</v>
      </c>
      <c r="O1236" s="1" t="s">
        <v>37</v>
      </c>
      <c r="P1236" s="1">
        <v>4.0E7</v>
      </c>
      <c r="Q1236" s="1">
        <v>2015.0</v>
      </c>
      <c r="R1236" s="1">
        <v>11000.0</v>
      </c>
      <c r="S1236" s="1">
        <v>1000.0</v>
      </c>
      <c r="T1236" s="1">
        <v>287.0</v>
      </c>
      <c r="U1236" s="1">
        <v>12876.0</v>
      </c>
      <c r="V1236" s="1">
        <v>118.0</v>
      </c>
      <c r="W1236" s="1">
        <v>11000.0</v>
      </c>
      <c r="X1236" s="1">
        <v>2.0</v>
      </c>
      <c r="Y1236" s="1">
        <v>2.35</v>
      </c>
      <c r="Z1236" s="1">
        <v>6.0</v>
      </c>
    </row>
    <row r="1237" ht="14.25" customHeight="1">
      <c r="A1237" s="1" t="s">
        <v>26</v>
      </c>
      <c r="B1237" s="1" t="s">
        <v>5167</v>
      </c>
      <c r="C1237" s="1" t="s">
        <v>6402</v>
      </c>
      <c r="D1237" s="1">
        <v>9652000.0</v>
      </c>
      <c r="E1237" s="1" t="s">
        <v>1885</v>
      </c>
      <c r="F1237" s="1" t="s">
        <v>1321</v>
      </c>
      <c r="G1237" s="1" t="s">
        <v>2014</v>
      </c>
      <c r="H1237" s="1" t="s">
        <v>2051</v>
      </c>
      <c r="I1237" s="1">
        <v>46205.0</v>
      </c>
      <c r="J1237" s="1" t="s">
        <v>6403</v>
      </c>
      <c r="K1237" s="1" t="s">
        <v>6404</v>
      </c>
      <c r="L1237" s="1">
        <v>147.0</v>
      </c>
      <c r="M1237" s="1" t="s">
        <v>35</v>
      </c>
      <c r="N1237" s="1" t="s">
        <v>36</v>
      </c>
      <c r="O1237" s="1" t="s">
        <v>37</v>
      </c>
      <c r="P1237" s="1">
        <v>4.0E7</v>
      </c>
      <c r="Q1237" s="1">
        <v>2003.0</v>
      </c>
      <c r="R1237" s="1">
        <v>1000.0</v>
      </c>
      <c r="S1237" s="1">
        <v>627.0</v>
      </c>
      <c r="T1237" s="1">
        <v>500.0</v>
      </c>
      <c r="U1237" s="1">
        <v>3096.0</v>
      </c>
      <c r="V1237" s="1">
        <v>0.0</v>
      </c>
      <c r="W1237" s="1">
        <v>0.0</v>
      </c>
      <c r="X1237" s="1">
        <v>0.0</v>
      </c>
      <c r="Y1237" s="1">
        <v>1.85</v>
      </c>
      <c r="Z1237" s="1">
        <v>5.8</v>
      </c>
    </row>
    <row r="1238" ht="14.25" customHeight="1">
      <c r="A1238" s="1" t="s">
        <v>26</v>
      </c>
      <c r="B1238" s="1" t="s">
        <v>6405</v>
      </c>
      <c r="C1238" s="1" t="s">
        <v>6406</v>
      </c>
      <c r="D1238" s="1">
        <v>7000000.0</v>
      </c>
      <c r="E1238" s="1" t="s">
        <v>675</v>
      </c>
      <c r="F1238" s="1" t="s">
        <v>5080</v>
      </c>
      <c r="G1238" s="1" t="s">
        <v>6407</v>
      </c>
      <c r="H1238" s="1" t="s">
        <v>6240</v>
      </c>
      <c r="I1238" s="1">
        <v>2933.0</v>
      </c>
      <c r="J1238" s="1" t="s">
        <v>6408</v>
      </c>
      <c r="K1238" s="1" t="s">
        <v>6409</v>
      </c>
      <c r="L1238" s="1">
        <v>70.0</v>
      </c>
      <c r="M1238" s="1" t="s">
        <v>35</v>
      </c>
      <c r="N1238" s="1" t="s">
        <v>54</v>
      </c>
      <c r="O1238" s="1" t="s">
        <v>87</v>
      </c>
      <c r="P1238" s="1">
        <v>3.6E7</v>
      </c>
      <c r="Q1238" s="1">
        <v>1980.0</v>
      </c>
      <c r="R1238" s="1">
        <v>521.0</v>
      </c>
      <c r="S1238" s="1">
        <v>372.0</v>
      </c>
      <c r="T1238" s="1">
        <v>249.0</v>
      </c>
      <c r="U1238" s="1">
        <v>1883.0</v>
      </c>
      <c r="V1238" s="1">
        <v>5.0</v>
      </c>
      <c r="W1238" s="1">
        <v>328.0</v>
      </c>
      <c r="X1238" s="1">
        <v>0.0</v>
      </c>
      <c r="Y1238" s="1">
        <v>2.35</v>
      </c>
      <c r="Z1238" s="1">
        <v>4.7</v>
      </c>
    </row>
    <row r="1239" ht="14.25" customHeight="1">
      <c r="A1239" s="1" t="s">
        <v>26</v>
      </c>
      <c r="B1239" s="1" t="s">
        <v>6410</v>
      </c>
      <c r="C1239" s="1" t="s">
        <v>6411</v>
      </c>
      <c r="D1239" s="1">
        <v>1.043122E7</v>
      </c>
      <c r="E1239" s="1" t="s">
        <v>623</v>
      </c>
      <c r="F1239" s="1" t="s">
        <v>6043</v>
      </c>
      <c r="G1239" s="1" t="s">
        <v>3520</v>
      </c>
      <c r="H1239" s="1" t="s">
        <v>4009</v>
      </c>
      <c r="I1239" s="1">
        <v>24216.0</v>
      </c>
      <c r="J1239" s="1" t="s">
        <v>6412</v>
      </c>
      <c r="K1239" s="1" t="s">
        <v>6413</v>
      </c>
      <c r="L1239" s="1">
        <v>162.0</v>
      </c>
      <c r="M1239" s="1" t="s">
        <v>35</v>
      </c>
      <c r="N1239" s="1" t="s">
        <v>36</v>
      </c>
      <c r="O1239" s="1" t="s">
        <v>628</v>
      </c>
      <c r="P1239" s="1">
        <v>2.4E7</v>
      </c>
      <c r="Q1239" s="1">
        <v>1999.0</v>
      </c>
      <c r="R1239" s="1">
        <v>2000.0</v>
      </c>
      <c r="S1239" s="1">
        <v>577.0</v>
      </c>
      <c r="T1239" s="1">
        <v>485.0</v>
      </c>
      <c r="U1239" s="1">
        <v>4024.0</v>
      </c>
      <c r="V1239" s="1">
        <v>7.0</v>
      </c>
      <c r="W1239" s="1">
        <v>401.0</v>
      </c>
      <c r="X1239" s="1">
        <v>0.0</v>
      </c>
      <c r="Y1239" s="1">
        <v>1.85</v>
      </c>
      <c r="Z1239" s="1">
        <v>4.1</v>
      </c>
    </row>
    <row r="1240" ht="14.25" customHeight="1">
      <c r="A1240" s="1" t="s">
        <v>26</v>
      </c>
      <c r="B1240" s="1" t="s">
        <v>6414</v>
      </c>
      <c r="C1240" s="1" t="s">
        <v>6415</v>
      </c>
      <c r="D1240" s="1">
        <v>1.0326062E7</v>
      </c>
      <c r="E1240" s="1" t="s">
        <v>6416</v>
      </c>
      <c r="F1240" s="1" t="s">
        <v>4566</v>
      </c>
      <c r="G1240" s="1" t="s">
        <v>522</v>
      </c>
      <c r="H1240" s="1" t="s">
        <v>6417</v>
      </c>
      <c r="I1240" s="1">
        <v>121432.0</v>
      </c>
      <c r="J1240" s="1" t="s">
        <v>6418</v>
      </c>
      <c r="K1240" s="1" t="s">
        <v>6419</v>
      </c>
      <c r="L1240" s="1">
        <v>310.0</v>
      </c>
      <c r="M1240" s="1" t="s">
        <v>35</v>
      </c>
      <c r="N1240" s="1" t="s">
        <v>730</v>
      </c>
      <c r="O1240" s="1" t="s">
        <v>628</v>
      </c>
      <c r="P1240" s="1">
        <v>3.3E7</v>
      </c>
      <c r="Q1240" s="1">
        <v>2009.0</v>
      </c>
      <c r="R1240" s="1">
        <v>12000.0</v>
      </c>
      <c r="S1240" s="1">
        <v>2000.0</v>
      </c>
      <c r="T1240" s="1">
        <v>61.0</v>
      </c>
      <c r="U1240" s="1">
        <v>14127.0</v>
      </c>
      <c r="V1240" s="1">
        <v>22.0</v>
      </c>
      <c r="W1240" s="1">
        <v>10000.0</v>
      </c>
      <c r="X1240" s="1">
        <v>0.0</v>
      </c>
      <c r="Y1240" s="1">
        <v>2.35</v>
      </c>
      <c r="Z1240" s="1">
        <v>6.8</v>
      </c>
    </row>
    <row r="1241" ht="14.25" customHeight="1">
      <c r="A1241" s="1" t="s">
        <v>26</v>
      </c>
      <c r="B1241" s="1" t="s">
        <v>4876</v>
      </c>
      <c r="C1241" s="1" t="s">
        <v>6420</v>
      </c>
      <c r="D1241" s="1">
        <v>6114237.0</v>
      </c>
      <c r="E1241" s="1" t="s">
        <v>2117</v>
      </c>
      <c r="F1241" s="1" t="s">
        <v>3967</v>
      </c>
      <c r="G1241" s="1" t="s">
        <v>1470</v>
      </c>
      <c r="H1241" s="1" t="s">
        <v>6421</v>
      </c>
      <c r="I1241" s="1">
        <v>19986.0</v>
      </c>
      <c r="J1241" s="1" t="s">
        <v>6422</v>
      </c>
      <c r="K1241" s="1" t="s">
        <v>6423</v>
      </c>
      <c r="L1241" s="1">
        <v>207.0</v>
      </c>
      <c r="M1241" s="1" t="s">
        <v>35</v>
      </c>
      <c r="N1241" s="1" t="s">
        <v>36</v>
      </c>
      <c r="O1241" s="1" t="s">
        <v>628</v>
      </c>
      <c r="P1241" s="1">
        <v>4.0E7</v>
      </c>
      <c r="Q1241" s="1">
        <v>2001.0</v>
      </c>
      <c r="R1241" s="1">
        <v>1000.0</v>
      </c>
      <c r="S1241" s="1">
        <v>1000.0</v>
      </c>
      <c r="T1241" s="1">
        <v>259.0</v>
      </c>
      <c r="U1241" s="1">
        <v>2664.0</v>
      </c>
      <c r="V1241" s="1">
        <v>39.0</v>
      </c>
      <c r="W1241" s="1">
        <v>892.0</v>
      </c>
      <c r="X1241" s="1">
        <v>4.0</v>
      </c>
      <c r="Y1241" s="1">
        <v>1.85</v>
      </c>
      <c r="Z1241" s="1">
        <v>6.2</v>
      </c>
    </row>
    <row r="1242" ht="14.25" customHeight="1">
      <c r="A1242" s="1" t="s">
        <v>26</v>
      </c>
      <c r="B1242" s="1" t="s">
        <v>6238</v>
      </c>
      <c r="C1242" s="1" t="s">
        <v>6424</v>
      </c>
      <c r="D1242" s="1">
        <v>4835968.0</v>
      </c>
      <c r="E1242" s="1" t="s">
        <v>48</v>
      </c>
      <c r="F1242" s="1" t="s">
        <v>1733</v>
      </c>
      <c r="G1242" s="1" t="s">
        <v>6425</v>
      </c>
      <c r="H1242" s="1" t="s">
        <v>4857</v>
      </c>
      <c r="I1242" s="1">
        <v>4821.0</v>
      </c>
      <c r="J1242" s="1" t="s">
        <v>6426</v>
      </c>
      <c r="K1242" s="1" t="s">
        <v>6427</v>
      </c>
      <c r="L1242" s="1">
        <v>82.0</v>
      </c>
      <c r="M1242" s="1" t="s">
        <v>35</v>
      </c>
      <c r="N1242" s="1" t="s">
        <v>54</v>
      </c>
      <c r="O1242" s="1" t="s">
        <v>37</v>
      </c>
      <c r="P1242" s="1">
        <v>4.0E7</v>
      </c>
      <c r="Q1242" s="1">
        <v>2002.0</v>
      </c>
      <c r="R1242" s="1">
        <v>3000.0</v>
      </c>
      <c r="S1242" s="1">
        <v>545.0</v>
      </c>
      <c r="T1242" s="1">
        <v>443.0</v>
      </c>
      <c r="U1242" s="1">
        <v>4123.0</v>
      </c>
      <c r="V1242" s="1">
        <v>18.0</v>
      </c>
      <c r="W1242" s="1">
        <v>158.0</v>
      </c>
      <c r="X1242" s="1">
        <v>0.0</v>
      </c>
      <c r="Y1242" s="1">
        <v>2.35</v>
      </c>
      <c r="Z1242" s="1">
        <v>4.5</v>
      </c>
    </row>
    <row r="1243" ht="14.25" customHeight="1">
      <c r="A1243" s="1" t="s">
        <v>26</v>
      </c>
      <c r="B1243" s="1" t="s">
        <v>6428</v>
      </c>
      <c r="C1243" s="1" t="s">
        <v>6429</v>
      </c>
      <c r="D1243" s="1">
        <v>4777007.0</v>
      </c>
      <c r="E1243" s="1" t="s">
        <v>6430</v>
      </c>
      <c r="F1243" s="1" t="s">
        <v>6425</v>
      </c>
      <c r="G1243" s="1" t="s">
        <v>6431</v>
      </c>
      <c r="H1243" s="1" t="s">
        <v>6432</v>
      </c>
      <c r="I1243" s="1">
        <v>15130.0</v>
      </c>
      <c r="J1243" s="1" t="s">
        <v>6433</v>
      </c>
      <c r="K1243" s="1" t="s">
        <v>6434</v>
      </c>
      <c r="L1243" s="1">
        <v>98.0</v>
      </c>
      <c r="M1243" s="1" t="s">
        <v>35</v>
      </c>
      <c r="N1243" s="1" t="s">
        <v>1832</v>
      </c>
      <c r="O1243" s="1" t="s">
        <v>37</v>
      </c>
      <c r="P1243" s="1">
        <v>4.0E7</v>
      </c>
      <c r="Q1243" s="1">
        <v>2001.0</v>
      </c>
      <c r="R1243" s="1">
        <v>545.0</v>
      </c>
      <c r="S1243" s="1">
        <v>248.0</v>
      </c>
      <c r="T1243" s="1">
        <v>219.0</v>
      </c>
      <c r="U1243" s="1">
        <v>1149.0</v>
      </c>
      <c r="V1243" s="1">
        <v>8.0</v>
      </c>
      <c r="W1243" s="1">
        <v>565.0</v>
      </c>
      <c r="X1243" s="1">
        <v>3.0</v>
      </c>
      <c r="Y1243" s="1">
        <v>2.35</v>
      </c>
      <c r="Z1243" s="1">
        <v>5.8</v>
      </c>
    </row>
    <row r="1244" ht="14.25" customHeight="1">
      <c r="A1244" s="1" t="s">
        <v>26</v>
      </c>
      <c r="B1244" s="1" t="s">
        <v>5001</v>
      </c>
      <c r="C1244" s="1" t="s">
        <v>6435</v>
      </c>
      <c r="D1244" s="1">
        <v>3675072.0</v>
      </c>
      <c r="E1244" s="1" t="s">
        <v>1126</v>
      </c>
      <c r="F1244" s="1" t="s">
        <v>214</v>
      </c>
      <c r="G1244" s="1" t="s">
        <v>1589</v>
      </c>
      <c r="H1244" s="1" t="s">
        <v>6436</v>
      </c>
      <c r="I1244" s="1">
        <v>190132.0</v>
      </c>
      <c r="J1244" s="1" t="s">
        <v>6437</v>
      </c>
      <c r="K1244" s="1" t="s">
        <v>6438</v>
      </c>
      <c r="L1244" s="1">
        <v>801.0</v>
      </c>
      <c r="M1244" s="1" t="s">
        <v>35</v>
      </c>
      <c r="N1244" s="1" t="s">
        <v>54</v>
      </c>
      <c r="O1244" s="1" t="s">
        <v>628</v>
      </c>
      <c r="P1244" s="1">
        <v>2.6E7</v>
      </c>
      <c r="Q1244" s="1">
        <v>2007.0</v>
      </c>
      <c r="R1244" s="1">
        <v>11000.0</v>
      </c>
      <c r="S1244" s="1">
        <v>372.0</v>
      </c>
      <c r="T1244" s="1">
        <v>167.0</v>
      </c>
      <c r="U1244" s="1">
        <v>11623.0</v>
      </c>
      <c r="V1244" s="1">
        <v>0.0</v>
      </c>
      <c r="W1244" s="1">
        <v>15000.0</v>
      </c>
      <c r="X1244" s="1">
        <v>0.0</v>
      </c>
      <c r="Y1244" s="1">
        <v>2.35</v>
      </c>
      <c r="Z1244" s="1">
        <v>7.3</v>
      </c>
    </row>
    <row r="1245" ht="14.25" customHeight="1">
      <c r="A1245" s="1" t="s">
        <v>26</v>
      </c>
      <c r="B1245" s="1" t="s">
        <v>3892</v>
      </c>
      <c r="C1245" s="1" t="s">
        <v>6439</v>
      </c>
      <c r="D1245" s="1">
        <v>1.8438149E7</v>
      </c>
      <c r="E1245" s="1" t="s">
        <v>2422</v>
      </c>
      <c r="F1245" s="1" t="s">
        <v>6440</v>
      </c>
      <c r="G1245" s="1" t="s">
        <v>6441</v>
      </c>
      <c r="H1245" s="1" t="s">
        <v>6442</v>
      </c>
      <c r="I1245" s="1">
        <v>30842.0</v>
      </c>
      <c r="J1245" s="1" t="s">
        <v>6443</v>
      </c>
      <c r="K1245" s="1" t="s">
        <v>6444</v>
      </c>
      <c r="L1245" s="1">
        <v>93.0</v>
      </c>
      <c r="M1245" s="1" t="s">
        <v>35</v>
      </c>
      <c r="N1245" s="1" t="s">
        <v>36</v>
      </c>
      <c r="O1245" s="1" t="s">
        <v>37</v>
      </c>
      <c r="P1245" s="1">
        <v>4.0E7</v>
      </c>
      <c r="Q1245" s="1">
        <v>2012.0</v>
      </c>
      <c r="R1245" s="1">
        <v>61.0</v>
      </c>
      <c r="S1245" s="1">
        <v>46.0</v>
      </c>
      <c r="T1245" s="1">
        <v>39.0</v>
      </c>
      <c r="U1245" s="1">
        <v>222.0</v>
      </c>
      <c r="V1245" s="1">
        <v>48.0</v>
      </c>
      <c r="W1245" s="1">
        <v>0.0</v>
      </c>
      <c r="X1245" s="1">
        <v>8.0</v>
      </c>
      <c r="Y1245" s="1">
        <v>2.35</v>
      </c>
      <c r="Z1245" s="1">
        <v>5.9</v>
      </c>
    </row>
    <row r="1246" ht="14.25" customHeight="1">
      <c r="A1246" s="1" t="s">
        <v>26</v>
      </c>
      <c r="B1246" s="1" t="s">
        <v>6445</v>
      </c>
      <c r="C1246" s="1" t="s">
        <v>6446</v>
      </c>
      <c r="D1246" s="1">
        <v>511920.0</v>
      </c>
      <c r="E1246" s="1" t="s">
        <v>6447</v>
      </c>
      <c r="F1246" s="1" t="s">
        <v>687</v>
      </c>
      <c r="G1246" s="1" t="s">
        <v>3798</v>
      </c>
      <c r="H1246" s="1" t="s">
        <v>6448</v>
      </c>
      <c r="I1246" s="1">
        <v>2458.0</v>
      </c>
      <c r="J1246" s="1" t="s">
        <v>6449</v>
      </c>
      <c r="K1246" s="1" t="s">
        <v>6450</v>
      </c>
      <c r="L1246" s="1">
        <v>26.0</v>
      </c>
      <c r="M1246" s="1" t="s">
        <v>35</v>
      </c>
      <c r="N1246" s="1" t="s">
        <v>36</v>
      </c>
      <c r="O1246" s="1" t="s">
        <v>87</v>
      </c>
      <c r="P1246" s="1">
        <v>4.0E7</v>
      </c>
      <c r="Q1246" s="1">
        <v>2008.0</v>
      </c>
      <c r="R1246" s="1">
        <v>795.0</v>
      </c>
      <c r="S1246" s="1">
        <v>754.0</v>
      </c>
      <c r="T1246" s="1">
        <v>379.0</v>
      </c>
      <c r="U1246" s="1">
        <v>2449.0</v>
      </c>
      <c r="V1246" s="1">
        <v>0.0</v>
      </c>
      <c r="W1246" s="1">
        <v>211.0</v>
      </c>
      <c r="X1246" s="1">
        <v>1.0</v>
      </c>
      <c r="Y1246" s="1">
        <v>1.85</v>
      </c>
      <c r="Z1246" s="1">
        <v>4.4</v>
      </c>
    </row>
    <row r="1247" ht="14.25" customHeight="1">
      <c r="A1247" s="1" t="s">
        <v>26</v>
      </c>
      <c r="B1247" s="1" t="s">
        <v>4696</v>
      </c>
      <c r="C1247" s="1" t="s">
        <v>6451</v>
      </c>
      <c r="D1247" s="1">
        <v>1.0640645E7</v>
      </c>
      <c r="E1247" s="1" t="s">
        <v>2281</v>
      </c>
      <c r="F1247" s="1" t="s">
        <v>384</v>
      </c>
      <c r="G1247" s="1" t="s">
        <v>1083</v>
      </c>
      <c r="H1247" s="1" t="s">
        <v>6452</v>
      </c>
      <c r="I1247" s="1">
        <v>28429.0</v>
      </c>
      <c r="J1247" s="1" t="s">
        <v>6453</v>
      </c>
      <c r="K1247" s="1" t="s">
        <v>6454</v>
      </c>
      <c r="L1247" s="1">
        <v>110.0</v>
      </c>
      <c r="M1247" s="1" t="s">
        <v>35</v>
      </c>
      <c r="N1247" s="1" t="s">
        <v>36</v>
      </c>
      <c r="O1247" s="1" t="s">
        <v>628</v>
      </c>
      <c r="P1247" s="1">
        <v>4.0E7</v>
      </c>
      <c r="Q1247" s="1">
        <v>2015.0</v>
      </c>
      <c r="R1247" s="1">
        <v>1000.0</v>
      </c>
      <c r="S1247" s="1">
        <v>535.0</v>
      </c>
      <c r="T1247" s="1">
        <v>87.0</v>
      </c>
      <c r="U1247" s="1">
        <v>1686.0</v>
      </c>
      <c r="V1247" s="1">
        <v>180.0</v>
      </c>
      <c r="W1247" s="1">
        <v>0.0</v>
      </c>
      <c r="X1247" s="1">
        <v>0.0</v>
      </c>
      <c r="Y1247" s="1">
        <v>2.35</v>
      </c>
      <c r="Z1247" s="1">
        <v>5.8</v>
      </c>
    </row>
    <row r="1248" ht="14.25" customHeight="1">
      <c r="A1248" s="1" t="s">
        <v>26</v>
      </c>
      <c r="B1248" s="1" t="s">
        <v>6455</v>
      </c>
      <c r="C1248" s="1" t="s">
        <v>6456</v>
      </c>
      <c r="D1248" s="1">
        <v>652526.0</v>
      </c>
      <c r="E1248" s="1" t="s">
        <v>6457</v>
      </c>
      <c r="F1248" s="1" t="s">
        <v>4895</v>
      </c>
      <c r="G1248" s="1" t="s">
        <v>3922</v>
      </c>
      <c r="H1248" s="1" t="s">
        <v>6458</v>
      </c>
      <c r="I1248" s="1">
        <v>20201.0</v>
      </c>
      <c r="J1248" s="1" t="s">
        <v>6459</v>
      </c>
      <c r="K1248" s="1" t="s">
        <v>6460</v>
      </c>
      <c r="L1248" s="1">
        <v>187.0</v>
      </c>
      <c r="M1248" s="1" t="s">
        <v>35</v>
      </c>
      <c r="N1248" s="1" t="s">
        <v>730</v>
      </c>
      <c r="O1248" s="1" t="s">
        <v>87</v>
      </c>
      <c r="P1248" s="1">
        <v>4.0E7</v>
      </c>
      <c r="Q1248" s="1">
        <v>2006.0</v>
      </c>
      <c r="R1248" s="1">
        <v>15000.0</v>
      </c>
      <c r="S1248" s="1">
        <v>460.0</v>
      </c>
      <c r="T1248" s="1">
        <v>173.0</v>
      </c>
      <c r="U1248" s="1">
        <v>15638.0</v>
      </c>
      <c r="V1248" s="1">
        <v>13.0</v>
      </c>
      <c r="W1248" s="1">
        <v>823.0</v>
      </c>
      <c r="X1248" s="1">
        <v>3.0</v>
      </c>
      <c r="Y1248" s="1">
        <v>2.35</v>
      </c>
      <c r="Z1248" s="1">
        <v>5.1</v>
      </c>
    </row>
    <row r="1249" ht="14.25" customHeight="1">
      <c r="A1249" s="1" t="s">
        <v>26</v>
      </c>
      <c r="B1249" s="1" t="s">
        <v>2523</v>
      </c>
      <c r="C1249" s="1" t="s">
        <v>6461</v>
      </c>
      <c r="D1249" s="1">
        <v>8.0050171E7</v>
      </c>
      <c r="E1249" s="1" t="s">
        <v>1842</v>
      </c>
      <c r="F1249" s="1" t="s">
        <v>6462</v>
      </c>
      <c r="G1249" s="1" t="s">
        <v>6463</v>
      </c>
      <c r="H1249" s="1" t="s">
        <v>2613</v>
      </c>
      <c r="I1249" s="1">
        <v>186982.0</v>
      </c>
      <c r="J1249" s="1" t="s">
        <v>6464</v>
      </c>
      <c r="K1249" s="1" t="s">
        <v>6465</v>
      </c>
      <c r="L1249" s="1">
        <v>491.0</v>
      </c>
      <c r="M1249" s="1" t="s">
        <v>35</v>
      </c>
      <c r="N1249" s="1" t="s">
        <v>36</v>
      </c>
      <c r="O1249" s="1" t="s">
        <v>37</v>
      </c>
      <c r="P1249" s="1">
        <v>2.0E7</v>
      </c>
      <c r="Q1249" s="1">
        <v>2007.0</v>
      </c>
      <c r="R1249" s="1">
        <v>884.0</v>
      </c>
      <c r="S1249" s="1">
        <v>617.0</v>
      </c>
      <c r="T1249" s="1">
        <v>502.0</v>
      </c>
      <c r="U1249" s="1">
        <v>2288.0</v>
      </c>
      <c r="V1249" s="1">
        <v>154.0</v>
      </c>
      <c r="W1249" s="1">
        <v>0.0</v>
      </c>
      <c r="X1249" s="1">
        <v>0.0</v>
      </c>
      <c r="Y1249" s="1">
        <v>1.85</v>
      </c>
      <c r="Z1249" s="1">
        <v>6.9</v>
      </c>
    </row>
    <row r="1250" ht="14.25" customHeight="1">
      <c r="A1250" s="1" t="s">
        <v>26</v>
      </c>
      <c r="B1250" s="1" t="s">
        <v>4166</v>
      </c>
      <c r="C1250" s="1" t="s">
        <v>6466</v>
      </c>
      <c r="D1250" s="1">
        <v>7564000.0</v>
      </c>
      <c r="E1250" s="1" t="s">
        <v>5022</v>
      </c>
      <c r="F1250" s="1" t="s">
        <v>550</v>
      </c>
      <c r="G1250" s="1" t="s">
        <v>5783</v>
      </c>
      <c r="H1250" s="1" t="s">
        <v>6134</v>
      </c>
      <c r="I1250" s="1">
        <v>54650.0</v>
      </c>
      <c r="J1250" s="1" t="s">
        <v>6467</v>
      </c>
      <c r="K1250" s="1" t="s">
        <v>6468</v>
      </c>
      <c r="L1250" s="1">
        <v>223.0</v>
      </c>
      <c r="M1250" s="1" t="s">
        <v>35</v>
      </c>
      <c r="N1250" s="1" t="s">
        <v>36</v>
      </c>
      <c r="O1250" s="1" t="s">
        <v>37</v>
      </c>
      <c r="P1250" s="1">
        <v>2.0E7</v>
      </c>
      <c r="Q1250" s="1">
        <v>1995.0</v>
      </c>
      <c r="R1250" s="1">
        <v>11000.0</v>
      </c>
      <c r="S1250" s="1">
        <v>922.0</v>
      </c>
      <c r="T1250" s="1">
        <v>472.0</v>
      </c>
      <c r="U1250" s="1">
        <v>13821.0</v>
      </c>
      <c r="V1250" s="1">
        <v>34.0</v>
      </c>
      <c r="W1250" s="1">
        <v>12000.0</v>
      </c>
      <c r="X1250" s="1">
        <v>1.0</v>
      </c>
      <c r="Y1250" s="1">
        <v>2.35</v>
      </c>
      <c r="Z1250" s="1">
        <v>6.2</v>
      </c>
    </row>
    <row r="1251" ht="14.25" customHeight="1">
      <c r="A1251" s="1" t="s">
        <v>26</v>
      </c>
      <c r="B1251" s="1" t="s">
        <v>6469</v>
      </c>
      <c r="C1251" s="1" t="s">
        <v>6470</v>
      </c>
      <c r="D1251" s="1">
        <v>876671.0</v>
      </c>
      <c r="E1251" s="1" t="s">
        <v>6471</v>
      </c>
      <c r="F1251" s="1" t="s">
        <v>6472</v>
      </c>
      <c r="G1251" s="1" t="s">
        <v>6473</v>
      </c>
      <c r="H1251" s="1" t="s">
        <v>6474</v>
      </c>
      <c r="I1251" s="1">
        <v>22010.0</v>
      </c>
      <c r="J1251" s="1" t="s">
        <v>6475</v>
      </c>
      <c r="K1251" s="1" t="s">
        <v>6476</v>
      </c>
      <c r="L1251" s="1">
        <v>90.0</v>
      </c>
      <c r="M1251" s="1" t="s">
        <v>35</v>
      </c>
      <c r="N1251" s="1" t="s">
        <v>36</v>
      </c>
      <c r="O1251" s="1" t="s">
        <v>628</v>
      </c>
      <c r="P1251" s="1">
        <v>2.5E7</v>
      </c>
      <c r="Q1251" s="1">
        <v>2007.0</v>
      </c>
      <c r="R1251" s="1">
        <v>499.0</v>
      </c>
      <c r="S1251" s="1">
        <v>3.0</v>
      </c>
      <c r="T1251" s="1">
        <v>2.0</v>
      </c>
      <c r="U1251" s="1">
        <v>504.0</v>
      </c>
      <c r="V1251" s="1">
        <v>47.0</v>
      </c>
      <c r="W1251" s="1">
        <v>0.0</v>
      </c>
      <c r="X1251" s="1">
        <v>2.0</v>
      </c>
      <c r="Y1251" s="1">
        <v>2.35</v>
      </c>
      <c r="Z1251" s="1">
        <v>6.9</v>
      </c>
    </row>
    <row r="1252" ht="14.25" customHeight="1">
      <c r="A1252" s="1" t="s">
        <v>710</v>
      </c>
      <c r="B1252" s="1" t="s">
        <v>4043</v>
      </c>
      <c r="C1252" s="1" t="s">
        <v>6477</v>
      </c>
      <c r="D1252" s="1">
        <v>2869369.0</v>
      </c>
      <c r="E1252" s="1" t="s">
        <v>2657</v>
      </c>
      <c r="F1252" s="1" t="s">
        <v>2510</v>
      </c>
      <c r="G1252" s="1" t="s">
        <v>3633</v>
      </c>
      <c r="H1252" s="1" t="s">
        <v>6478</v>
      </c>
      <c r="I1252" s="1">
        <v>65474.0</v>
      </c>
      <c r="J1252" s="1" t="s">
        <v>6479</v>
      </c>
      <c r="K1252" s="1" t="s">
        <v>6480</v>
      </c>
      <c r="L1252" s="1">
        <v>211.0</v>
      </c>
      <c r="M1252" s="1" t="s">
        <v>35</v>
      </c>
      <c r="N1252" s="1" t="s">
        <v>54</v>
      </c>
      <c r="O1252" s="1" t="s">
        <v>87</v>
      </c>
      <c r="P1252" s="1">
        <v>3.0E7</v>
      </c>
      <c r="Q1252" s="1">
        <v>1994.0</v>
      </c>
      <c r="R1252" s="1">
        <v>1000.0</v>
      </c>
      <c r="S1252" s="1">
        <v>970.0</v>
      </c>
      <c r="T1252" s="1">
        <v>385.0</v>
      </c>
      <c r="U1252" s="1">
        <v>2612.0</v>
      </c>
      <c r="V1252" s="1">
        <v>0.0</v>
      </c>
      <c r="W1252" s="1">
        <v>0.0</v>
      </c>
      <c r="X1252" s="1">
        <v>2.0</v>
      </c>
      <c r="Y1252" s="1">
        <v>1.85</v>
      </c>
      <c r="Z1252" s="1">
        <v>7.3</v>
      </c>
    </row>
    <row r="1253" ht="14.25" customHeight="1">
      <c r="A1253" s="1" t="s">
        <v>26</v>
      </c>
      <c r="B1253" s="1" t="s">
        <v>6481</v>
      </c>
      <c r="C1253" s="1" t="s">
        <v>6482</v>
      </c>
      <c r="D1253" s="1">
        <v>128978.0</v>
      </c>
      <c r="E1253" s="1" t="s">
        <v>712</v>
      </c>
      <c r="F1253" s="1" t="s">
        <v>487</v>
      </c>
      <c r="G1253" s="1" t="s">
        <v>6483</v>
      </c>
      <c r="H1253" s="1" t="s">
        <v>6484</v>
      </c>
      <c r="I1253" s="1">
        <v>22897.0</v>
      </c>
      <c r="J1253" s="1" t="s">
        <v>6485</v>
      </c>
      <c r="K1253" s="1" t="s">
        <v>6486</v>
      </c>
      <c r="L1253" s="1">
        <v>61.0</v>
      </c>
      <c r="M1253" s="1" t="s">
        <v>1864</v>
      </c>
      <c r="N1253" s="1" t="s">
        <v>3659</v>
      </c>
      <c r="O1253" s="1" t="s">
        <v>628</v>
      </c>
      <c r="P1253" s="1">
        <v>4.0E7</v>
      </c>
      <c r="Q1253" s="1">
        <v>2007.0</v>
      </c>
      <c r="R1253" s="1">
        <v>5000.0</v>
      </c>
      <c r="S1253" s="1">
        <v>755.0</v>
      </c>
      <c r="T1253" s="1">
        <v>483.0</v>
      </c>
      <c r="U1253" s="1">
        <v>6267.0</v>
      </c>
      <c r="V1253" s="1">
        <v>31.0</v>
      </c>
      <c r="W1253" s="1">
        <v>0.0</v>
      </c>
      <c r="X1253" s="1">
        <v>2.0</v>
      </c>
      <c r="Y1253" s="1">
        <v>2.35</v>
      </c>
      <c r="Z1253" s="1">
        <v>7.1</v>
      </c>
    </row>
    <row r="1254" ht="14.25" customHeight="1">
      <c r="A1254" s="1" t="s">
        <v>26</v>
      </c>
      <c r="B1254" s="1" t="s">
        <v>1936</v>
      </c>
      <c r="C1254" s="1" t="s">
        <v>6487</v>
      </c>
      <c r="D1254" s="1">
        <v>77231.0</v>
      </c>
      <c r="E1254" s="1" t="s">
        <v>1880</v>
      </c>
      <c r="F1254" s="1" t="s">
        <v>3524</v>
      </c>
      <c r="G1254" s="1" t="s">
        <v>6488</v>
      </c>
      <c r="H1254" s="1" t="s">
        <v>2451</v>
      </c>
      <c r="I1254" s="1">
        <v>3322.0</v>
      </c>
      <c r="J1254" s="1" t="s">
        <v>6489</v>
      </c>
      <c r="K1254" s="1" t="s">
        <v>6490</v>
      </c>
      <c r="L1254" s="1">
        <v>32.0</v>
      </c>
      <c r="M1254" s="1" t="s">
        <v>6491</v>
      </c>
      <c r="N1254" s="1" t="s">
        <v>1832</v>
      </c>
      <c r="O1254" s="1" t="s">
        <v>628</v>
      </c>
      <c r="P1254" s="1">
        <v>2.5E7</v>
      </c>
      <c r="Q1254" s="1">
        <v>2005.0</v>
      </c>
      <c r="R1254" s="1">
        <v>1000.0</v>
      </c>
      <c r="S1254" s="1">
        <v>580.0</v>
      </c>
      <c r="T1254" s="1">
        <v>533.0</v>
      </c>
      <c r="U1254" s="1">
        <v>2115.0</v>
      </c>
      <c r="V1254" s="1">
        <v>44.0</v>
      </c>
      <c r="W1254" s="1">
        <v>265.0</v>
      </c>
      <c r="X1254" s="1">
        <v>0.0</v>
      </c>
      <c r="Y1254" s="1">
        <v>2.35</v>
      </c>
      <c r="Z1254" s="1">
        <v>6.0</v>
      </c>
    </row>
    <row r="1255" ht="14.25" customHeight="1">
      <c r="A1255" s="1" t="s">
        <v>26</v>
      </c>
      <c r="B1255" s="1" t="s">
        <v>6492</v>
      </c>
      <c r="C1255" s="1" t="s">
        <v>6493</v>
      </c>
      <c r="D1255" s="1">
        <v>4563029.0</v>
      </c>
      <c r="E1255" s="1" t="s">
        <v>1335</v>
      </c>
      <c r="F1255" s="1" t="s">
        <v>214</v>
      </c>
      <c r="G1255" s="1" t="s">
        <v>352</v>
      </c>
      <c r="H1255" s="1" t="s">
        <v>6494</v>
      </c>
      <c r="I1255" s="1">
        <v>181472.0</v>
      </c>
      <c r="J1255" s="1" t="s">
        <v>6495</v>
      </c>
      <c r="K1255" s="1" t="s">
        <v>6496</v>
      </c>
      <c r="L1255" s="1">
        <v>514.0</v>
      </c>
      <c r="M1255" s="1" t="s">
        <v>35</v>
      </c>
      <c r="N1255" s="1" t="s">
        <v>6497</v>
      </c>
      <c r="O1255" s="1" t="s">
        <v>628</v>
      </c>
      <c r="P1255" s="1">
        <v>3.92E7</v>
      </c>
      <c r="Q1255" s="1">
        <v>2013.0</v>
      </c>
      <c r="R1255" s="1">
        <v>11000.0</v>
      </c>
      <c r="S1255" s="1">
        <v>557.0</v>
      </c>
      <c r="T1255" s="1">
        <v>398.0</v>
      </c>
      <c r="U1255" s="1">
        <v>12286.0</v>
      </c>
      <c r="V1255" s="1">
        <v>584.0</v>
      </c>
      <c r="W1255" s="1">
        <v>58000.0</v>
      </c>
      <c r="X1255" s="1">
        <v>5.0</v>
      </c>
      <c r="Y1255" s="1">
        <v>1.85</v>
      </c>
      <c r="Z1255" s="1">
        <v>7.0</v>
      </c>
    </row>
    <row r="1256" ht="14.25" customHeight="1">
      <c r="A1256" s="1" t="s">
        <v>26</v>
      </c>
      <c r="B1256" s="1" t="s">
        <v>1002</v>
      </c>
      <c r="C1256" s="1" t="s">
        <v>6498</v>
      </c>
      <c r="D1256" s="1">
        <v>5.0693162E7</v>
      </c>
      <c r="E1256" s="1" t="s">
        <v>6499</v>
      </c>
      <c r="F1256" s="1" t="s">
        <v>1787</v>
      </c>
      <c r="G1256" s="1" t="s">
        <v>481</v>
      </c>
      <c r="H1256" s="1" t="s">
        <v>5200</v>
      </c>
      <c r="I1256" s="1">
        <v>136580.0</v>
      </c>
      <c r="J1256" s="1" t="s">
        <v>6500</v>
      </c>
      <c r="K1256" s="1" t="s">
        <v>6501</v>
      </c>
      <c r="L1256" s="1">
        <v>545.0</v>
      </c>
      <c r="M1256" s="1" t="s">
        <v>35</v>
      </c>
      <c r="N1256" s="1" t="s">
        <v>36</v>
      </c>
      <c r="O1256" s="1" t="s">
        <v>628</v>
      </c>
      <c r="P1256" s="1">
        <v>2.3E7</v>
      </c>
      <c r="Q1256" s="1">
        <v>1994.0</v>
      </c>
      <c r="R1256" s="1">
        <v>720.0</v>
      </c>
      <c r="S1256" s="1">
        <v>581.0</v>
      </c>
      <c r="T1256" s="1">
        <v>380.0</v>
      </c>
      <c r="U1256" s="1">
        <v>2630.0</v>
      </c>
      <c r="V1256" s="1">
        <v>295.0</v>
      </c>
      <c r="W1256" s="1">
        <v>15000.0</v>
      </c>
      <c r="X1256" s="1">
        <v>0.0</v>
      </c>
      <c r="Y1256" s="1">
        <v>1.85</v>
      </c>
      <c r="Z1256" s="1">
        <v>7.6</v>
      </c>
    </row>
    <row r="1257" ht="14.25" customHeight="1">
      <c r="A1257" s="1" t="s">
        <v>26</v>
      </c>
      <c r="B1257" s="1" t="s">
        <v>1205</v>
      </c>
      <c r="C1257" s="1" t="s">
        <v>6502</v>
      </c>
      <c r="D1257" s="1">
        <v>6.3411478E7</v>
      </c>
      <c r="E1257" s="1" t="s">
        <v>6503</v>
      </c>
      <c r="F1257" s="1" t="s">
        <v>6504</v>
      </c>
      <c r="G1257" s="1" t="s">
        <v>6505</v>
      </c>
      <c r="H1257" s="1" t="s">
        <v>6506</v>
      </c>
      <c r="I1257" s="1">
        <v>114925.0</v>
      </c>
      <c r="J1257" s="1" t="s">
        <v>6507</v>
      </c>
      <c r="K1257" s="1" t="s">
        <v>6508</v>
      </c>
      <c r="L1257" s="1">
        <v>234.0</v>
      </c>
      <c r="M1257" s="1" t="s">
        <v>35</v>
      </c>
      <c r="N1257" s="1" t="s">
        <v>36</v>
      </c>
      <c r="O1257" s="1" t="s">
        <v>37</v>
      </c>
      <c r="P1257" s="1">
        <v>3.9E7</v>
      </c>
      <c r="Q1257" s="1">
        <v>2009.0</v>
      </c>
      <c r="R1257" s="1">
        <v>152.0</v>
      </c>
      <c r="S1257" s="1">
        <v>142.0</v>
      </c>
      <c r="T1257" s="1">
        <v>100.0</v>
      </c>
      <c r="U1257" s="1">
        <v>568.0</v>
      </c>
      <c r="V1257" s="1">
        <v>124.0</v>
      </c>
      <c r="W1257" s="1">
        <v>13000.0</v>
      </c>
      <c r="X1257" s="1">
        <v>1.0</v>
      </c>
      <c r="Y1257" s="1">
        <v>2.35</v>
      </c>
      <c r="Z1257" s="1">
        <v>7.1</v>
      </c>
    </row>
    <row r="1258" ht="14.25" customHeight="1">
      <c r="A1258" s="1" t="s">
        <v>26</v>
      </c>
      <c r="B1258" s="1" t="s">
        <v>484</v>
      </c>
      <c r="C1258" s="1" t="s">
        <v>644</v>
      </c>
      <c r="D1258" s="1">
        <v>1.4451231E8</v>
      </c>
      <c r="E1258" s="1" t="s">
        <v>326</v>
      </c>
      <c r="F1258" s="1" t="s">
        <v>328</v>
      </c>
      <c r="G1258" s="1" t="s">
        <v>329</v>
      </c>
      <c r="H1258" s="1" t="s">
        <v>645</v>
      </c>
      <c r="I1258" s="1">
        <v>272227.0</v>
      </c>
      <c r="J1258" s="1" t="s">
        <v>646</v>
      </c>
      <c r="K1258" s="1" t="s">
        <v>647</v>
      </c>
      <c r="L1258" s="1">
        <v>988.0</v>
      </c>
      <c r="M1258" s="1" t="s">
        <v>35</v>
      </c>
      <c r="N1258" s="1" t="s">
        <v>36</v>
      </c>
      <c r="O1258" s="1" t="s">
        <v>37</v>
      </c>
      <c r="P1258" s="1">
        <v>3.8E7</v>
      </c>
      <c r="Q1258" s="1">
        <v>2001.0</v>
      </c>
      <c r="R1258" s="1">
        <v>23000.0</v>
      </c>
      <c r="S1258" s="1">
        <v>14000.0</v>
      </c>
      <c r="T1258" s="1">
        <v>4000.0</v>
      </c>
      <c r="U1258" s="1">
        <v>45327.0</v>
      </c>
      <c r="V1258" s="1">
        <v>357.0</v>
      </c>
      <c r="W1258" s="1">
        <v>14000.0</v>
      </c>
      <c r="X1258" s="1">
        <v>2.0</v>
      </c>
      <c r="Y1258" s="1">
        <v>2.35</v>
      </c>
      <c r="Z1258" s="1">
        <v>6.7</v>
      </c>
    </row>
    <row r="1259" ht="14.25" customHeight="1">
      <c r="A1259" s="1" t="s">
        <v>710</v>
      </c>
      <c r="B1259" s="1" t="s">
        <v>247</v>
      </c>
      <c r="C1259" s="1" t="s">
        <v>6509</v>
      </c>
      <c r="D1259" s="1">
        <v>3.5287788E7</v>
      </c>
      <c r="E1259" s="1" t="s">
        <v>6510</v>
      </c>
      <c r="F1259" s="1" t="s">
        <v>3095</v>
      </c>
      <c r="G1259" s="1" t="s">
        <v>1719</v>
      </c>
      <c r="H1259" s="1" t="s">
        <v>6511</v>
      </c>
      <c r="I1259" s="1">
        <v>73886.0</v>
      </c>
      <c r="J1259" s="1" t="s">
        <v>6512</v>
      </c>
      <c r="K1259" s="1" t="s">
        <v>6513</v>
      </c>
      <c r="L1259" s="1">
        <v>165.0</v>
      </c>
      <c r="M1259" s="1" t="s">
        <v>35</v>
      </c>
      <c r="N1259" s="1" t="s">
        <v>36</v>
      </c>
      <c r="O1259" s="1" t="s">
        <v>87</v>
      </c>
      <c r="P1259" s="1">
        <v>3.9E7</v>
      </c>
      <c r="Q1259" s="1">
        <v>2012.0</v>
      </c>
      <c r="R1259" s="1">
        <v>940.0</v>
      </c>
      <c r="S1259" s="1">
        <v>925.0</v>
      </c>
      <c r="T1259" s="1">
        <v>787.0</v>
      </c>
      <c r="U1259" s="1">
        <v>4774.0</v>
      </c>
      <c r="V1259" s="1">
        <v>13000.0</v>
      </c>
      <c r="W1259" s="1">
        <v>25000.0</v>
      </c>
      <c r="X1259" s="1">
        <v>0.0</v>
      </c>
      <c r="Y1259" s="1">
        <v>1.85</v>
      </c>
      <c r="Z1259" s="1">
        <v>7.0</v>
      </c>
    </row>
    <row r="1260" ht="14.25" customHeight="1">
      <c r="A1260" s="1" t="s">
        <v>26</v>
      </c>
      <c r="B1260" s="1" t="s">
        <v>88</v>
      </c>
      <c r="C1260" s="1" t="s">
        <v>6514</v>
      </c>
      <c r="D1260" s="1">
        <v>2.5335935E7</v>
      </c>
      <c r="E1260" s="1" t="s">
        <v>219</v>
      </c>
      <c r="F1260" s="1" t="s">
        <v>1453</v>
      </c>
      <c r="G1260" s="1" t="s">
        <v>6515</v>
      </c>
      <c r="H1260" s="1" t="s">
        <v>6516</v>
      </c>
      <c r="I1260" s="1">
        <v>242599.0</v>
      </c>
      <c r="J1260" s="1" t="s">
        <v>6517</v>
      </c>
      <c r="K1260" s="1" t="s">
        <v>6518</v>
      </c>
      <c r="L1260" s="1">
        <v>1594.0</v>
      </c>
      <c r="M1260" s="1" t="s">
        <v>35</v>
      </c>
      <c r="N1260" s="1" t="s">
        <v>36</v>
      </c>
      <c r="O1260" s="1" t="s">
        <v>37</v>
      </c>
      <c r="P1260" s="1">
        <v>4.0E7</v>
      </c>
      <c r="Q1260" s="1">
        <v>2005.0</v>
      </c>
      <c r="R1260" s="1">
        <v>2000.0</v>
      </c>
      <c r="S1260" s="1">
        <v>505.0</v>
      </c>
      <c r="T1260" s="1">
        <v>279.0</v>
      </c>
      <c r="U1260" s="1">
        <v>2853.0</v>
      </c>
      <c r="V1260" s="1">
        <v>0.0</v>
      </c>
      <c r="W1260" s="1">
        <v>14000.0</v>
      </c>
      <c r="X1260" s="1">
        <v>0.0</v>
      </c>
      <c r="Y1260" s="1">
        <v>2.35</v>
      </c>
      <c r="Z1260" s="1">
        <v>8.0</v>
      </c>
    </row>
    <row r="1261" ht="14.25" customHeight="1">
      <c r="A1261" s="1" t="s">
        <v>26</v>
      </c>
      <c r="B1261" s="1" t="s">
        <v>4441</v>
      </c>
      <c r="C1261" s="1" t="s">
        <v>6519</v>
      </c>
      <c r="D1261" s="1">
        <v>5881504.0</v>
      </c>
      <c r="E1261" s="1" t="s">
        <v>6520</v>
      </c>
      <c r="F1261" s="1" t="s">
        <v>5606</v>
      </c>
      <c r="G1261" s="1" t="s">
        <v>4441</v>
      </c>
      <c r="H1261" s="1" t="s">
        <v>5063</v>
      </c>
      <c r="I1261" s="1">
        <v>5917.0</v>
      </c>
      <c r="J1261" s="1" t="s">
        <v>6521</v>
      </c>
      <c r="K1261" s="1" t="s">
        <v>6522</v>
      </c>
      <c r="L1261" s="1">
        <v>50.0</v>
      </c>
      <c r="M1261" s="1" t="s">
        <v>35</v>
      </c>
      <c r="N1261" s="1" t="s">
        <v>36</v>
      </c>
      <c r="O1261" s="1" t="s">
        <v>37</v>
      </c>
      <c r="P1261" s="1">
        <v>3.9E7</v>
      </c>
      <c r="Q1261" s="1">
        <v>2004.0</v>
      </c>
      <c r="R1261" s="1">
        <v>865.0</v>
      </c>
      <c r="S1261" s="1">
        <v>534.0</v>
      </c>
      <c r="T1261" s="1">
        <v>511.0</v>
      </c>
      <c r="U1261" s="1">
        <v>2972.0</v>
      </c>
      <c r="V1261" s="1">
        <v>534.0</v>
      </c>
      <c r="W1261" s="1">
        <v>177.0</v>
      </c>
      <c r="X1261" s="1">
        <v>2.0</v>
      </c>
      <c r="Y1261" s="1">
        <v>2.35</v>
      </c>
      <c r="Z1261" s="1">
        <v>5.3</v>
      </c>
    </row>
    <row r="1262" ht="14.25" customHeight="1">
      <c r="A1262" s="1" t="s">
        <v>26</v>
      </c>
      <c r="B1262" s="1" t="s">
        <v>4591</v>
      </c>
      <c r="C1262" s="1" t="s">
        <v>6523</v>
      </c>
      <c r="D1262" s="1">
        <v>6.0E7</v>
      </c>
      <c r="E1262" s="1" t="s">
        <v>1821</v>
      </c>
      <c r="F1262" s="1" t="s">
        <v>4330</v>
      </c>
      <c r="G1262" s="1" t="s">
        <v>6524</v>
      </c>
      <c r="H1262" s="1" t="s">
        <v>4594</v>
      </c>
      <c r="I1262" s="1">
        <v>49934.0</v>
      </c>
      <c r="J1262" s="1" t="s">
        <v>6525</v>
      </c>
      <c r="K1262" s="1" t="s">
        <v>6526</v>
      </c>
      <c r="L1262" s="1">
        <v>224.0</v>
      </c>
      <c r="M1262" s="1" t="s">
        <v>35</v>
      </c>
      <c r="N1262" s="1" t="s">
        <v>54</v>
      </c>
      <c r="O1262" s="1" t="s">
        <v>87</v>
      </c>
      <c r="P1262" s="1">
        <v>3.9E7</v>
      </c>
      <c r="Q1262" s="1">
        <v>1983.0</v>
      </c>
      <c r="R1262" s="1">
        <v>593.0</v>
      </c>
      <c r="S1262" s="1">
        <v>542.0</v>
      </c>
      <c r="T1262" s="1">
        <v>420.0</v>
      </c>
      <c r="U1262" s="1">
        <v>2329.0</v>
      </c>
      <c r="V1262" s="1">
        <v>44.0</v>
      </c>
      <c r="W1262" s="1">
        <v>0.0</v>
      </c>
      <c r="X1262" s="1">
        <v>1.0</v>
      </c>
      <c r="Y1262" s="1">
        <v>2.35</v>
      </c>
      <c r="Z1262" s="1">
        <v>4.9</v>
      </c>
    </row>
    <row r="1263" ht="14.25" customHeight="1">
      <c r="A1263" s="1" t="s">
        <v>26</v>
      </c>
      <c r="B1263" s="1" t="s">
        <v>2368</v>
      </c>
      <c r="C1263" s="1" t="s">
        <v>6527</v>
      </c>
      <c r="D1263" s="1">
        <v>2.9802761E7</v>
      </c>
      <c r="E1263" s="1" t="s">
        <v>3714</v>
      </c>
      <c r="F1263" s="1" t="s">
        <v>1663</v>
      </c>
      <c r="G1263" s="1" t="s">
        <v>1702</v>
      </c>
      <c r="H1263" s="1" t="s">
        <v>6528</v>
      </c>
      <c r="I1263" s="1">
        <v>46480.0</v>
      </c>
      <c r="J1263" s="1" t="s">
        <v>6529</v>
      </c>
      <c r="K1263" s="1" t="s">
        <v>6530</v>
      </c>
      <c r="L1263" s="1">
        <v>115.0</v>
      </c>
      <c r="M1263" s="1" t="s">
        <v>35</v>
      </c>
      <c r="N1263" s="1" t="s">
        <v>36</v>
      </c>
      <c r="O1263" s="1" t="s">
        <v>37</v>
      </c>
      <c r="P1263" s="1">
        <v>4.0E7</v>
      </c>
      <c r="Q1263" s="1">
        <v>2013.0</v>
      </c>
      <c r="R1263" s="1">
        <v>22000.0</v>
      </c>
      <c r="S1263" s="1">
        <v>13000.0</v>
      </c>
      <c r="T1263" s="1">
        <v>785.0</v>
      </c>
      <c r="U1263" s="1">
        <v>36009.0</v>
      </c>
      <c r="V1263" s="1">
        <v>88.0</v>
      </c>
      <c r="W1263" s="1">
        <v>12000.0</v>
      </c>
      <c r="X1263" s="1">
        <v>1.0</v>
      </c>
      <c r="Y1263" s="1">
        <v>1.85</v>
      </c>
      <c r="Z1263" s="1">
        <v>6.4</v>
      </c>
    </row>
    <row r="1264" ht="14.25" customHeight="1">
      <c r="A1264" s="1" t="s">
        <v>26</v>
      </c>
      <c r="B1264" s="1" t="s">
        <v>1284</v>
      </c>
      <c r="C1264" s="1" t="s">
        <v>6531</v>
      </c>
      <c r="D1264" s="1">
        <v>626809.0</v>
      </c>
      <c r="E1264" s="1" t="s">
        <v>1061</v>
      </c>
      <c r="F1264" s="1" t="s">
        <v>6483</v>
      </c>
      <c r="G1264" s="1" t="s">
        <v>5792</v>
      </c>
      <c r="H1264" s="1" t="s">
        <v>6532</v>
      </c>
      <c r="I1264" s="1">
        <v>36894.0</v>
      </c>
      <c r="J1264" s="1" t="s">
        <v>6533</v>
      </c>
      <c r="K1264" s="1" t="s">
        <v>6534</v>
      </c>
      <c r="L1264" s="1">
        <v>105.0</v>
      </c>
      <c r="M1264" s="1" t="s">
        <v>1864</v>
      </c>
      <c r="N1264" s="1" t="s">
        <v>855</v>
      </c>
      <c r="O1264" s="1" t="s">
        <v>628</v>
      </c>
      <c r="P1264" s="1">
        <v>5.53632E8</v>
      </c>
      <c r="Q1264" s="1">
        <v>2008.0</v>
      </c>
      <c r="R1264" s="1">
        <v>755.0</v>
      </c>
      <c r="S1264" s="1">
        <v>643.0</v>
      </c>
      <c r="T1264" s="1">
        <v>478.0</v>
      </c>
      <c r="U1264" s="1">
        <v>2172.0</v>
      </c>
      <c r="V1264" s="1">
        <v>610.0</v>
      </c>
      <c r="W1264" s="1">
        <v>0.0</v>
      </c>
      <c r="X1264" s="1">
        <v>4.0</v>
      </c>
      <c r="Y1264" s="1">
        <v>2.35</v>
      </c>
      <c r="Z1264" s="1">
        <v>7.4</v>
      </c>
    </row>
    <row r="1265" ht="14.25" customHeight="1">
      <c r="A1265" s="1" t="s">
        <v>26</v>
      </c>
      <c r="B1265" s="1" t="s">
        <v>2976</v>
      </c>
      <c r="C1265" s="1" t="s">
        <v>6535</v>
      </c>
      <c r="D1265" s="1">
        <v>1.27214072E8</v>
      </c>
      <c r="E1265" s="1" t="s">
        <v>1598</v>
      </c>
      <c r="F1265" s="1" t="s">
        <v>2525</v>
      </c>
      <c r="G1265" s="1" t="s">
        <v>4918</v>
      </c>
      <c r="H1265" s="1" t="s">
        <v>6536</v>
      </c>
      <c r="I1265" s="1">
        <v>83786.0</v>
      </c>
      <c r="J1265" s="1" t="s">
        <v>6537</v>
      </c>
      <c r="K1265" s="1" t="s">
        <v>6538</v>
      </c>
      <c r="L1265" s="1">
        <v>392.0</v>
      </c>
      <c r="M1265" s="1" t="s">
        <v>35</v>
      </c>
      <c r="N1265" s="1" t="s">
        <v>36</v>
      </c>
      <c r="O1265" s="1" t="s">
        <v>37</v>
      </c>
      <c r="P1265" s="1">
        <v>3.8E7</v>
      </c>
      <c r="Q1265" s="1">
        <v>2002.0</v>
      </c>
      <c r="R1265" s="1">
        <v>982.0</v>
      </c>
      <c r="S1265" s="1">
        <v>935.0</v>
      </c>
      <c r="T1265" s="1">
        <v>559.0</v>
      </c>
      <c r="U1265" s="1">
        <v>4251.0</v>
      </c>
      <c r="V1265" s="1">
        <v>72.0</v>
      </c>
      <c r="W1265" s="1">
        <v>0.0</v>
      </c>
      <c r="X1265" s="1">
        <v>1.0</v>
      </c>
      <c r="Y1265" s="1">
        <v>2.35</v>
      </c>
      <c r="Z1265" s="1">
        <v>6.1</v>
      </c>
    </row>
    <row r="1266" ht="14.25" customHeight="1">
      <c r="A1266" s="1" t="s">
        <v>26</v>
      </c>
      <c r="B1266" s="1" t="s">
        <v>2942</v>
      </c>
      <c r="C1266" s="1" t="s">
        <v>6539</v>
      </c>
      <c r="D1266" s="1">
        <v>8.8915214E7</v>
      </c>
      <c r="E1266" s="1" t="s">
        <v>1598</v>
      </c>
      <c r="F1266" s="1" t="s">
        <v>616</v>
      </c>
      <c r="G1266" s="1" t="s">
        <v>973</v>
      </c>
      <c r="H1266" s="1" t="s">
        <v>6540</v>
      </c>
      <c r="I1266" s="1">
        <v>163665.0</v>
      </c>
      <c r="J1266" s="1" t="s">
        <v>6541</v>
      </c>
      <c r="K1266" s="1" t="s">
        <v>6542</v>
      </c>
      <c r="L1266" s="1">
        <v>169.0</v>
      </c>
      <c r="M1266" s="1" t="s">
        <v>35</v>
      </c>
      <c r="N1266" s="1" t="s">
        <v>36</v>
      </c>
      <c r="O1266" s="1" t="s">
        <v>628</v>
      </c>
      <c r="P1266" s="1">
        <v>3.8E7</v>
      </c>
      <c r="Q1266" s="1">
        <v>2009.0</v>
      </c>
      <c r="R1266" s="1">
        <v>18000.0</v>
      </c>
      <c r="S1266" s="1">
        <v>957.0</v>
      </c>
      <c r="T1266" s="1">
        <v>954.0</v>
      </c>
      <c r="U1266" s="1">
        <v>22436.0</v>
      </c>
      <c r="V1266" s="1">
        <v>126.0</v>
      </c>
      <c r="W1266" s="1">
        <v>9000.0</v>
      </c>
      <c r="X1266" s="1">
        <v>2.0</v>
      </c>
      <c r="Y1266" s="1">
        <v>2.35</v>
      </c>
      <c r="Z1266" s="1">
        <v>6.5</v>
      </c>
    </row>
    <row r="1267" ht="14.25" customHeight="1">
      <c r="A1267" s="1" t="s">
        <v>26</v>
      </c>
      <c r="B1267" s="1" t="s">
        <v>6543</v>
      </c>
      <c r="C1267" s="1" t="s">
        <v>6544</v>
      </c>
      <c r="D1267" s="1">
        <v>3.04E7</v>
      </c>
      <c r="E1267" s="1" t="s">
        <v>1885</v>
      </c>
      <c r="F1267" s="1" t="s">
        <v>2765</v>
      </c>
      <c r="G1267" s="1" t="s">
        <v>6545</v>
      </c>
      <c r="H1267" s="1" t="s">
        <v>6546</v>
      </c>
      <c r="I1267" s="1">
        <v>17810.0</v>
      </c>
      <c r="J1267" s="1" t="s">
        <v>6547</v>
      </c>
      <c r="K1267" s="1" t="s">
        <v>6548</v>
      </c>
      <c r="L1267" s="1">
        <v>73.0</v>
      </c>
      <c r="M1267" s="1" t="s">
        <v>35</v>
      </c>
      <c r="N1267" s="1" t="s">
        <v>36</v>
      </c>
      <c r="O1267" s="1" t="s">
        <v>87</v>
      </c>
      <c r="P1267" s="1">
        <v>3.9E7</v>
      </c>
      <c r="Q1267" s="1">
        <v>1996.0</v>
      </c>
      <c r="R1267" s="1">
        <v>592.0</v>
      </c>
      <c r="S1267" s="1">
        <v>516.0</v>
      </c>
      <c r="T1267" s="1">
        <v>275.0</v>
      </c>
      <c r="U1267" s="1">
        <v>2176.0</v>
      </c>
      <c r="V1267" s="1">
        <v>36.0</v>
      </c>
      <c r="W1267" s="1">
        <v>478.0</v>
      </c>
      <c r="X1267" s="1">
        <v>2.0</v>
      </c>
      <c r="Y1267" s="1">
        <v>2.35</v>
      </c>
      <c r="Z1267" s="1">
        <v>5.7</v>
      </c>
    </row>
    <row r="1268" ht="14.25" customHeight="1">
      <c r="A1268" s="1" t="s">
        <v>26</v>
      </c>
      <c r="B1268" s="1" t="s">
        <v>4632</v>
      </c>
      <c r="C1268" s="1" t="s">
        <v>6549</v>
      </c>
      <c r="D1268" s="1">
        <v>8.5570368E7</v>
      </c>
      <c r="E1268" s="1" t="s">
        <v>2889</v>
      </c>
      <c r="F1268" s="1" t="s">
        <v>264</v>
      </c>
      <c r="G1268" s="1" t="s">
        <v>5540</v>
      </c>
      <c r="H1268" s="1" t="s">
        <v>6550</v>
      </c>
      <c r="I1268" s="1">
        <v>44885.0</v>
      </c>
      <c r="J1268" s="1" t="s">
        <v>6551</v>
      </c>
      <c r="K1268" s="1" t="s">
        <v>6552</v>
      </c>
      <c r="L1268" s="1">
        <v>107.0</v>
      </c>
      <c r="M1268" s="1" t="s">
        <v>35</v>
      </c>
      <c r="N1268" s="1" t="s">
        <v>36</v>
      </c>
      <c r="O1268" s="1" t="s">
        <v>87</v>
      </c>
      <c r="P1268" s="1">
        <v>3.8E7</v>
      </c>
      <c r="Q1268" s="1">
        <v>2002.0</v>
      </c>
      <c r="R1268" s="1">
        <v>12000.0</v>
      </c>
      <c r="S1268" s="1">
        <v>2000.0</v>
      </c>
      <c r="T1268" s="1">
        <v>1000.0</v>
      </c>
      <c r="U1268" s="1">
        <v>18291.0</v>
      </c>
      <c r="V1268" s="1">
        <v>0.0</v>
      </c>
      <c r="W1268" s="1">
        <v>478.0</v>
      </c>
      <c r="X1268" s="1">
        <v>1.0</v>
      </c>
      <c r="Y1268" s="1">
        <v>1.85</v>
      </c>
      <c r="Z1268" s="1">
        <v>5.1</v>
      </c>
    </row>
    <row r="1269" ht="14.25" customHeight="1">
      <c r="A1269" s="1" t="s">
        <v>26</v>
      </c>
      <c r="B1269" s="1" t="s">
        <v>6553</v>
      </c>
      <c r="C1269" s="1" t="s">
        <v>6554</v>
      </c>
      <c r="D1269" s="1">
        <v>7.5668868E7</v>
      </c>
      <c r="E1269" s="1" t="s">
        <v>1512</v>
      </c>
      <c r="F1269" s="1" t="s">
        <v>3206</v>
      </c>
      <c r="G1269" s="1" t="s">
        <v>2218</v>
      </c>
      <c r="H1269" s="1" t="s">
        <v>3204</v>
      </c>
      <c r="I1269" s="1">
        <v>60504.0</v>
      </c>
      <c r="J1269" s="1" t="s">
        <v>6555</v>
      </c>
      <c r="K1269" s="1" t="s">
        <v>6556</v>
      </c>
      <c r="L1269" s="1">
        <v>249.0</v>
      </c>
      <c r="M1269" s="1" t="s">
        <v>35</v>
      </c>
      <c r="N1269" s="1" t="s">
        <v>36</v>
      </c>
      <c r="O1269" s="1" t="s">
        <v>87</v>
      </c>
      <c r="P1269" s="1">
        <v>3.5E7</v>
      </c>
      <c r="Q1269" s="1">
        <v>1994.0</v>
      </c>
      <c r="R1269" s="1">
        <v>1000.0</v>
      </c>
      <c r="S1269" s="1">
        <v>946.0</v>
      </c>
      <c r="T1269" s="1">
        <v>906.0</v>
      </c>
      <c r="U1269" s="1">
        <v>6427.0</v>
      </c>
      <c r="V1269" s="1">
        <v>18.0</v>
      </c>
      <c r="W1269" s="1">
        <v>0.0</v>
      </c>
      <c r="X1269" s="1">
        <v>0.0</v>
      </c>
      <c r="Y1269" s="1">
        <v>2.35</v>
      </c>
      <c r="Z1269" s="1">
        <v>6.6</v>
      </c>
    </row>
    <row r="1270" ht="14.25" customHeight="1">
      <c r="A1270" s="1" t="s">
        <v>26</v>
      </c>
      <c r="B1270" s="1" t="s">
        <v>6557</v>
      </c>
      <c r="C1270" s="1" t="s">
        <v>6558</v>
      </c>
      <c r="D1270" s="1">
        <v>6594136.0</v>
      </c>
      <c r="E1270" s="1" t="s">
        <v>6559</v>
      </c>
      <c r="F1270" s="1" t="s">
        <v>5792</v>
      </c>
      <c r="G1270" s="1" t="s">
        <v>6560</v>
      </c>
      <c r="H1270" s="1" t="s">
        <v>6561</v>
      </c>
      <c r="I1270" s="1">
        <v>24557.0</v>
      </c>
      <c r="J1270" s="1" t="s">
        <v>6562</v>
      </c>
      <c r="K1270" s="1" t="s">
        <v>6563</v>
      </c>
      <c r="L1270" s="1">
        <v>111.0</v>
      </c>
      <c r="M1270" s="1" t="s">
        <v>1864</v>
      </c>
      <c r="N1270" s="1" t="s">
        <v>3659</v>
      </c>
      <c r="O1270" s="1" t="s">
        <v>37</v>
      </c>
      <c r="P1270" s="1">
        <v>3.86E7</v>
      </c>
      <c r="Q1270" s="1">
        <v>2013.0</v>
      </c>
      <c r="R1270" s="1">
        <v>643.0</v>
      </c>
      <c r="S1270" s="1">
        <v>290.0</v>
      </c>
      <c r="T1270" s="1">
        <v>7.0</v>
      </c>
      <c r="U1270" s="1">
        <v>943.0</v>
      </c>
      <c r="V1270" s="1">
        <v>0.0</v>
      </c>
      <c r="W1270" s="1">
        <v>13000.0</v>
      </c>
      <c r="X1270" s="1">
        <v>1.0</v>
      </c>
      <c r="Y1270" s="1">
        <v>2.35</v>
      </c>
      <c r="Z1270" s="1">
        <v>6.5</v>
      </c>
    </row>
    <row r="1271" ht="14.25" customHeight="1">
      <c r="A1271" s="1" t="s">
        <v>26</v>
      </c>
      <c r="B1271" s="1" t="s">
        <v>659</v>
      </c>
      <c r="C1271" s="1" t="s">
        <v>6564</v>
      </c>
      <c r="D1271" s="1">
        <v>5.8700247E7</v>
      </c>
      <c r="E1271" s="1" t="s">
        <v>206</v>
      </c>
      <c r="F1271" s="1" t="s">
        <v>732</v>
      </c>
      <c r="G1271" s="1" t="s">
        <v>49</v>
      </c>
      <c r="H1271" s="1" t="s">
        <v>295</v>
      </c>
      <c r="I1271" s="1">
        <v>95367.0</v>
      </c>
      <c r="J1271" s="1" t="s">
        <v>6565</v>
      </c>
      <c r="K1271" s="1" t="s">
        <v>6566</v>
      </c>
      <c r="L1271" s="1">
        <v>260.0</v>
      </c>
      <c r="M1271" s="1" t="s">
        <v>35</v>
      </c>
      <c r="N1271" s="1" t="s">
        <v>36</v>
      </c>
      <c r="O1271" s="1" t="s">
        <v>37</v>
      </c>
      <c r="P1271" s="1">
        <v>3.8E7</v>
      </c>
      <c r="Q1271" s="1">
        <v>2011.0</v>
      </c>
      <c r="R1271" s="1">
        <v>21000.0</v>
      </c>
      <c r="S1271" s="1">
        <v>11000.0</v>
      </c>
      <c r="T1271" s="1">
        <v>1000.0</v>
      </c>
      <c r="U1271" s="1">
        <v>36062.0</v>
      </c>
      <c r="V1271" s="1">
        <v>508.0</v>
      </c>
      <c r="W1271" s="1">
        <v>33000.0</v>
      </c>
      <c r="X1271" s="1">
        <v>1.0</v>
      </c>
      <c r="Y1271" s="1">
        <v>2.35</v>
      </c>
      <c r="Z1271" s="1">
        <v>6.9</v>
      </c>
    </row>
    <row r="1272" ht="14.25" customHeight="1">
      <c r="A1272" s="1" t="s">
        <v>710</v>
      </c>
      <c r="B1272" s="1" t="s">
        <v>6567</v>
      </c>
      <c r="C1272" s="1" t="s">
        <v>6568</v>
      </c>
      <c r="D1272" s="1">
        <v>5.0668906E7</v>
      </c>
      <c r="E1272" s="1" t="s">
        <v>1557</v>
      </c>
      <c r="F1272" s="1" t="s">
        <v>1644</v>
      </c>
      <c r="G1272" s="1" t="s">
        <v>3377</v>
      </c>
      <c r="H1272" s="1" t="s">
        <v>4809</v>
      </c>
      <c r="I1272" s="1">
        <v>76016.0</v>
      </c>
      <c r="J1272" s="1" t="s">
        <v>6569</v>
      </c>
      <c r="K1272" s="1" t="s">
        <v>6570</v>
      </c>
      <c r="L1272" s="1">
        <v>265.0</v>
      </c>
      <c r="M1272" s="1" t="s">
        <v>35</v>
      </c>
      <c r="N1272" s="1" t="s">
        <v>36</v>
      </c>
      <c r="O1272" s="1" t="s">
        <v>628</v>
      </c>
      <c r="P1272" s="1">
        <v>3.8E7</v>
      </c>
      <c r="Q1272" s="1">
        <v>1999.0</v>
      </c>
      <c r="R1272" s="1">
        <v>18000.0</v>
      </c>
      <c r="S1272" s="1">
        <v>584.0</v>
      </c>
      <c r="T1272" s="1">
        <v>494.0</v>
      </c>
      <c r="U1272" s="1">
        <v>20516.0</v>
      </c>
      <c r="V1272" s="1">
        <v>278.0</v>
      </c>
      <c r="W1272" s="1">
        <v>0.0</v>
      </c>
      <c r="X1272" s="1">
        <v>0.0</v>
      </c>
      <c r="Y1272" s="1">
        <v>1.85</v>
      </c>
      <c r="Z1272" s="1">
        <v>7.6</v>
      </c>
    </row>
    <row r="1273" ht="14.25" customHeight="1">
      <c r="A1273" s="1" t="s">
        <v>26</v>
      </c>
      <c r="B1273" s="1" t="s">
        <v>704</v>
      </c>
      <c r="C1273" s="1" t="s">
        <v>6571</v>
      </c>
      <c r="D1273" s="1">
        <v>3.9177215E7</v>
      </c>
      <c r="E1273" s="1" t="s">
        <v>2045</v>
      </c>
      <c r="F1273" s="1" t="s">
        <v>3633</v>
      </c>
      <c r="G1273" s="1" t="s">
        <v>6572</v>
      </c>
      <c r="H1273" s="1" t="s">
        <v>4526</v>
      </c>
      <c r="I1273" s="1">
        <v>30667.0</v>
      </c>
      <c r="J1273" s="1" t="s">
        <v>6573</v>
      </c>
      <c r="K1273" s="1" t="s">
        <v>6574</v>
      </c>
      <c r="L1273" s="1">
        <v>234.0</v>
      </c>
      <c r="M1273" s="1" t="s">
        <v>35</v>
      </c>
      <c r="N1273" s="1" t="s">
        <v>36</v>
      </c>
      <c r="O1273" s="1" t="s">
        <v>37</v>
      </c>
      <c r="P1273" s="1">
        <v>3.8E7</v>
      </c>
      <c r="Q1273" s="1">
        <v>2002.0</v>
      </c>
      <c r="R1273" s="1">
        <v>970.0</v>
      </c>
      <c r="S1273" s="1">
        <v>919.0</v>
      </c>
      <c r="T1273" s="1">
        <v>789.0</v>
      </c>
      <c r="U1273" s="1">
        <v>3770.0</v>
      </c>
      <c r="V1273" s="1">
        <v>150.0</v>
      </c>
      <c r="W1273" s="1">
        <v>0.0</v>
      </c>
      <c r="X1273" s="1">
        <v>1.0</v>
      </c>
      <c r="Y1273" s="1">
        <v>2.35</v>
      </c>
      <c r="Z1273" s="1">
        <v>5.6</v>
      </c>
    </row>
    <row r="1274" ht="14.25" customHeight="1">
      <c r="A1274" s="1" t="s">
        <v>26</v>
      </c>
      <c r="B1274" s="1" t="s">
        <v>6575</v>
      </c>
      <c r="C1274" s="1" t="s">
        <v>6576</v>
      </c>
      <c r="D1274" s="1">
        <v>4.0334024E7</v>
      </c>
      <c r="E1274" s="1" t="s">
        <v>4045</v>
      </c>
      <c r="F1274" s="1" t="s">
        <v>598</v>
      </c>
      <c r="G1274" s="1" t="s">
        <v>3798</v>
      </c>
      <c r="H1274" s="1" t="s">
        <v>1577</v>
      </c>
      <c r="I1274" s="1">
        <v>44168.0</v>
      </c>
      <c r="J1274" s="1" t="s">
        <v>6577</v>
      </c>
      <c r="K1274" s="1" t="s">
        <v>6578</v>
      </c>
      <c r="L1274" s="1">
        <v>216.0</v>
      </c>
      <c r="M1274" s="1" t="s">
        <v>35</v>
      </c>
      <c r="N1274" s="1" t="s">
        <v>36</v>
      </c>
      <c r="O1274" s="1" t="s">
        <v>37</v>
      </c>
      <c r="P1274" s="1">
        <v>3.5E7</v>
      </c>
      <c r="Q1274" s="1">
        <v>2001.0</v>
      </c>
      <c r="R1274" s="1">
        <v>931.0</v>
      </c>
      <c r="S1274" s="1">
        <v>754.0</v>
      </c>
      <c r="T1274" s="1">
        <v>692.0</v>
      </c>
      <c r="U1274" s="1">
        <v>2912.0</v>
      </c>
      <c r="V1274" s="1">
        <v>7.0</v>
      </c>
      <c r="W1274" s="1">
        <v>989.0</v>
      </c>
      <c r="X1274" s="1">
        <v>3.0</v>
      </c>
      <c r="Y1274" s="1">
        <v>2.35</v>
      </c>
      <c r="Z1274" s="1">
        <v>6.2</v>
      </c>
    </row>
    <row r="1275" ht="14.25" customHeight="1">
      <c r="A1275" s="1" t="s">
        <v>26</v>
      </c>
      <c r="B1275" s="1" t="s">
        <v>4849</v>
      </c>
      <c r="C1275" s="1" t="s">
        <v>6579</v>
      </c>
      <c r="D1275" s="1">
        <v>7.103819E7</v>
      </c>
      <c r="E1275" s="1" t="s">
        <v>1670</v>
      </c>
      <c r="F1275" s="1" t="s">
        <v>6580</v>
      </c>
      <c r="G1275" s="1" t="s">
        <v>6581</v>
      </c>
      <c r="H1275" s="1" t="s">
        <v>6582</v>
      </c>
      <c r="I1275" s="1">
        <v>23473.0</v>
      </c>
      <c r="J1275" s="1" t="s">
        <v>6583</v>
      </c>
      <c r="K1275" s="1" t="s">
        <v>6584</v>
      </c>
      <c r="L1275" s="1">
        <v>123.0</v>
      </c>
      <c r="M1275" s="1" t="s">
        <v>35</v>
      </c>
      <c r="N1275" s="1" t="s">
        <v>36</v>
      </c>
      <c r="O1275" s="1" t="s">
        <v>87</v>
      </c>
      <c r="P1275" s="1">
        <v>3.0E7</v>
      </c>
      <c r="Q1275" s="1">
        <v>2015.0</v>
      </c>
      <c r="R1275" s="1">
        <v>598.0</v>
      </c>
      <c r="S1275" s="1">
        <v>557.0</v>
      </c>
      <c r="T1275" s="1">
        <v>377.0</v>
      </c>
      <c r="U1275" s="1">
        <v>3552.0</v>
      </c>
      <c r="V1275" s="1">
        <v>99.0</v>
      </c>
      <c r="W1275" s="1">
        <v>8000.0</v>
      </c>
      <c r="X1275" s="1">
        <v>1.0</v>
      </c>
      <c r="Y1275" s="1">
        <v>1.85</v>
      </c>
      <c r="Z1275" s="1">
        <v>4.4</v>
      </c>
    </row>
    <row r="1276" ht="14.25" customHeight="1">
      <c r="A1276" s="1" t="s">
        <v>26</v>
      </c>
      <c r="B1276" s="1" t="s">
        <v>6585</v>
      </c>
      <c r="C1276" s="1" t="s">
        <v>6586</v>
      </c>
      <c r="D1276" s="1">
        <v>2.4044532E7</v>
      </c>
      <c r="E1276" s="1" t="s">
        <v>206</v>
      </c>
      <c r="F1276" s="1" t="s">
        <v>6587</v>
      </c>
      <c r="G1276" s="1" t="s">
        <v>4744</v>
      </c>
      <c r="H1276" s="1" t="s">
        <v>6588</v>
      </c>
      <c r="I1276" s="1">
        <v>19686.0</v>
      </c>
      <c r="J1276" s="1" t="s">
        <v>6589</v>
      </c>
      <c r="K1276" s="1" t="s">
        <v>6590</v>
      </c>
      <c r="L1276" s="1">
        <v>180.0</v>
      </c>
      <c r="M1276" s="1" t="s">
        <v>35</v>
      </c>
      <c r="N1276" s="1" t="s">
        <v>36</v>
      </c>
      <c r="O1276" s="1" t="s">
        <v>628</v>
      </c>
      <c r="P1276" s="1">
        <v>3.8E7</v>
      </c>
      <c r="Q1276" s="1">
        <v>2001.0</v>
      </c>
      <c r="R1276" s="1">
        <v>308.0</v>
      </c>
      <c r="S1276" s="1">
        <v>285.0</v>
      </c>
      <c r="T1276" s="1">
        <v>280.0</v>
      </c>
      <c r="U1276" s="1">
        <v>1440.0</v>
      </c>
      <c r="V1276" s="1">
        <v>43.0</v>
      </c>
      <c r="W1276" s="1">
        <v>689.0</v>
      </c>
      <c r="X1276" s="1">
        <v>0.0</v>
      </c>
      <c r="Y1276" s="1">
        <v>1.85</v>
      </c>
      <c r="Z1276" s="1">
        <v>5.6</v>
      </c>
    </row>
    <row r="1277" ht="14.25" customHeight="1">
      <c r="A1277" s="1" t="s">
        <v>26</v>
      </c>
      <c r="B1277" s="1" t="s">
        <v>3991</v>
      </c>
      <c r="C1277" s="1" t="s">
        <v>6591</v>
      </c>
      <c r="D1277" s="1">
        <v>2.2770864E7</v>
      </c>
      <c r="E1277" s="1" t="s">
        <v>2422</v>
      </c>
      <c r="F1277" s="1" t="s">
        <v>3902</v>
      </c>
      <c r="G1277" s="1" t="s">
        <v>4221</v>
      </c>
      <c r="H1277" s="1" t="s">
        <v>2041</v>
      </c>
      <c r="I1277" s="1">
        <v>8433.0</v>
      </c>
      <c r="J1277" s="1" t="s">
        <v>6592</v>
      </c>
      <c r="K1277" s="1" t="s">
        <v>6593</v>
      </c>
      <c r="L1277" s="1">
        <v>85.0</v>
      </c>
      <c r="M1277" s="1" t="s">
        <v>35</v>
      </c>
      <c r="N1277" s="1" t="s">
        <v>36</v>
      </c>
      <c r="O1277" s="1" t="s">
        <v>87</v>
      </c>
      <c r="P1277" s="1">
        <v>3.8E7</v>
      </c>
      <c r="Q1277" s="1">
        <v>2001.0</v>
      </c>
      <c r="R1277" s="1">
        <v>854.0</v>
      </c>
      <c r="S1277" s="1">
        <v>543.0</v>
      </c>
      <c r="T1277" s="1">
        <v>466.0</v>
      </c>
      <c r="U1277" s="1">
        <v>2765.0</v>
      </c>
      <c r="V1277" s="1">
        <v>11.0</v>
      </c>
      <c r="W1277" s="1">
        <v>168.0</v>
      </c>
      <c r="X1277" s="1">
        <v>1.0</v>
      </c>
      <c r="Y1277" s="1">
        <v>1.85</v>
      </c>
      <c r="Z1277" s="1">
        <v>5.5</v>
      </c>
    </row>
    <row r="1278" ht="14.25" customHeight="1">
      <c r="A1278" s="1" t="s">
        <v>26</v>
      </c>
      <c r="B1278" s="1" t="s">
        <v>3617</v>
      </c>
      <c r="C1278" s="1" t="s">
        <v>6594</v>
      </c>
      <c r="D1278" s="1">
        <v>1.8653746E7</v>
      </c>
      <c r="E1278" s="1" t="s">
        <v>815</v>
      </c>
      <c r="F1278" s="1" t="s">
        <v>41</v>
      </c>
      <c r="G1278" s="1" t="s">
        <v>114</v>
      </c>
      <c r="H1278" s="1" t="s">
        <v>3001</v>
      </c>
      <c r="I1278" s="1">
        <v>137722.0</v>
      </c>
      <c r="J1278" s="1" t="s">
        <v>6595</v>
      </c>
      <c r="K1278" s="1" t="s">
        <v>6596</v>
      </c>
      <c r="L1278" s="1">
        <v>638.0</v>
      </c>
      <c r="M1278" s="1" t="s">
        <v>35</v>
      </c>
      <c r="N1278" s="1" t="s">
        <v>3393</v>
      </c>
      <c r="O1278" s="1" t="s">
        <v>628</v>
      </c>
      <c r="P1278" s="1">
        <v>3.8E7</v>
      </c>
      <c r="Q1278" s="1">
        <v>1999.0</v>
      </c>
      <c r="R1278" s="1">
        <v>40000.0</v>
      </c>
      <c r="S1278" s="1">
        <v>903.0</v>
      </c>
      <c r="T1278" s="1">
        <v>541.0</v>
      </c>
      <c r="U1278" s="1">
        <v>42344.0</v>
      </c>
      <c r="V1278" s="1">
        <v>2000.0</v>
      </c>
      <c r="W1278" s="1">
        <v>0.0</v>
      </c>
      <c r="X1278" s="1">
        <v>1.0</v>
      </c>
      <c r="Y1278" s="1">
        <v>2.35</v>
      </c>
      <c r="Z1278" s="1">
        <v>6.7</v>
      </c>
    </row>
    <row r="1279" ht="14.25" customHeight="1">
      <c r="A1279" s="1" t="s">
        <v>26</v>
      </c>
      <c r="B1279" s="1" t="s">
        <v>704</v>
      </c>
      <c r="C1279" s="1" t="s">
        <v>6597</v>
      </c>
      <c r="D1279" s="1">
        <v>1.7305211E7</v>
      </c>
      <c r="E1279" s="1" t="s">
        <v>2061</v>
      </c>
      <c r="F1279" s="1" t="s">
        <v>74</v>
      </c>
      <c r="G1279" s="1" t="s">
        <v>3567</v>
      </c>
      <c r="H1279" s="1" t="s">
        <v>6598</v>
      </c>
      <c r="I1279" s="1">
        <v>14066.0</v>
      </c>
      <c r="J1279" s="1" t="s">
        <v>6599</v>
      </c>
      <c r="K1279" s="1" t="s">
        <v>6600</v>
      </c>
      <c r="L1279" s="1">
        <v>75.0</v>
      </c>
      <c r="M1279" s="1" t="s">
        <v>35</v>
      </c>
      <c r="N1279" s="1" t="s">
        <v>36</v>
      </c>
      <c r="O1279" s="1" t="s">
        <v>628</v>
      </c>
      <c r="P1279" s="1">
        <v>3.8E7</v>
      </c>
      <c r="Q1279" s="1">
        <v>1996.0</v>
      </c>
      <c r="R1279" s="1">
        <v>24000.0</v>
      </c>
      <c r="S1279" s="1">
        <v>210.0</v>
      </c>
      <c r="T1279" s="1">
        <v>182.0</v>
      </c>
      <c r="U1279" s="1">
        <v>24547.0</v>
      </c>
      <c r="V1279" s="1">
        <v>150.0</v>
      </c>
      <c r="W1279" s="1">
        <v>352.0</v>
      </c>
      <c r="X1279" s="1">
        <v>0.0</v>
      </c>
      <c r="Y1279" s="1">
        <v>2.35</v>
      </c>
      <c r="Z1279" s="1">
        <v>6.1</v>
      </c>
    </row>
    <row r="1280" ht="14.25" customHeight="1">
      <c r="A1280" s="1" t="s">
        <v>26</v>
      </c>
      <c r="B1280" s="1" t="s">
        <v>4205</v>
      </c>
      <c r="C1280" s="1" t="s">
        <v>6601</v>
      </c>
      <c r="D1280" s="1">
        <v>1.6991902E7</v>
      </c>
      <c r="E1280" s="1" t="s">
        <v>5819</v>
      </c>
      <c r="F1280" s="1" t="s">
        <v>6602</v>
      </c>
      <c r="G1280" s="1" t="s">
        <v>6603</v>
      </c>
      <c r="H1280" s="1" t="s">
        <v>6604</v>
      </c>
      <c r="I1280" s="1">
        <v>34592.0</v>
      </c>
      <c r="J1280" s="1" t="s">
        <v>6605</v>
      </c>
      <c r="K1280" s="1" t="s">
        <v>6606</v>
      </c>
      <c r="L1280" s="1">
        <v>191.0</v>
      </c>
      <c r="M1280" s="1" t="s">
        <v>35</v>
      </c>
      <c r="N1280" s="1" t="s">
        <v>36</v>
      </c>
      <c r="O1280" s="1" t="s">
        <v>628</v>
      </c>
      <c r="P1280" s="1">
        <v>5.7E7</v>
      </c>
      <c r="Q1280" s="1">
        <v>2001.0</v>
      </c>
      <c r="R1280" s="1">
        <v>628.0</v>
      </c>
      <c r="S1280" s="1">
        <v>316.0</v>
      </c>
      <c r="T1280" s="1">
        <v>108.0</v>
      </c>
      <c r="U1280" s="1">
        <v>1265.0</v>
      </c>
      <c r="V1280" s="1">
        <v>65.0</v>
      </c>
      <c r="W1280" s="1">
        <v>0.0</v>
      </c>
      <c r="X1280" s="1">
        <v>0.0</v>
      </c>
      <c r="Y1280" s="1">
        <v>2.35</v>
      </c>
      <c r="Z1280" s="1">
        <v>6.2</v>
      </c>
    </row>
    <row r="1281" ht="14.25" customHeight="1">
      <c r="A1281" s="1" t="s">
        <v>26</v>
      </c>
      <c r="B1281" s="1" t="s">
        <v>6607</v>
      </c>
      <c r="C1281" s="1" t="s">
        <v>6608</v>
      </c>
      <c r="D1281" s="1">
        <v>4.7536959E7</v>
      </c>
      <c r="E1281" s="1" t="s">
        <v>3238</v>
      </c>
      <c r="F1281" s="1" t="s">
        <v>5151</v>
      </c>
      <c r="G1281" s="1" t="s">
        <v>2272</v>
      </c>
      <c r="H1281" s="1" t="s">
        <v>6609</v>
      </c>
      <c r="I1281" s="1">
        <v>86955.0</v>
      </c>
      <c r="J1281" s="1" t="s">
        <v>6610</v>
      </c>
      <c r="K1281" s="1" t="s">
        <v>6611</v>
      </c>
      <c r="L1281" s="1">
        <v>275.0</v>
      </c>
      <c r="M1281" s="1" t="s">
        <v>35</v>
      </c>
      <c r="N1281" s="1" t="s">
        <v>36</v>
      </c>
      <c r="O1281" s="1" t="s">
        <v>628</v>
      </c>
      <c r="P1281" s="1">
        <v>1.0E7</v>
      </c>
      <c r="Q1281" s="1">
        <v>2009.0</v>
      </c>
      <c r="R1281" s="1">
        <v>940.0</v>
      </c>
      <c r="S1281" s="1">
        <v>906.0</v>
      </c>
      <c r="T1281" s="1">
        <v>736.0</v>
      </c>
      <c r="U1281" s="1">
        <v>3277.0</v>
      </c>
      <c r="V1281" s="1">
        <v>304.0</v>
      </c>
      <c r="W1281" s="1">
        <v>12000.0</v>
      </c>
      <c r="X1281" s="1">
        <v>0.0</v>
      </c>
      <c r="Y1281" s="1">
        <v>1.85</v>
      </c>
      <c r="Z1281" s="1">
        <v>7.3</v>
      </c>
    </row>
    <row r="1282" ht="14.25" customHeight="1">
      <c r="A1282" s="1" t="s">
        <v>26</v>
      </c>
      <c r="B1282" s="1" t="s">
        <v>179</v>
      </c>
      <c r="C1282" s="1" t="s">
        <v>6612</v>
      </c>
      <c r="D1282" s="1">
        <v>1.03E7</v>
      </c>
      <c r="E1282" s="1" t="s">
        <v>6613</v>
      </c>
      <c r="F1282" s="1" t="s">
        <v>293</v>
      </c>
      <c r="G1282" s="1" t="s">
        <v>6614</v>
      </c>
      <c r="H1282" s="1" t="s">
        <v>2525</v>
      </c>
      <c r="I1282" s="1">
        <v>17859.0</v>
      </c>
      <c r="J1282" s="1" t="s">
        <v>6615</v>
      </c>
      <c r="K1282" s="1" t="s">
        <v>6616</v>
      </c>
      <c r="L1282" s="1">
        <v>89.0</v>
      </c>
      <c r="M1282" s="1" t="s">
        <v>35</v>
      </c>
      <c r="N1282" s="1" t="s">
        <v>36</v>
      </c>
      <c r="O1282" s="1" t="s">
        <v>37</v>
      </c>
      <c r="P1282" s="1">
        <v>3.8E7</v>
      </c>
      <c r="Q1282" s="1">
        <v>1996.0</v>
      </c>
      <c r="R1282" s="1">
        <v>12000.0</v>
      </c>
      <c r="S1282" s="1">
        <v>1000.0</v>
      </c>
      <c r="T1282" s="1">
        <v>982.0</v>
      </c>
      <c r="U1282" s="1">
        <v>16237.0</v>
      </c>
      <c r="V1282" s="1">
        <v>0.0</v>
      </c>
      <c r="W1282" s="1">
        <v>911.0</v>
      </c>
      <c r="X1282" s="1">
        <v>4.0</v>
      </c>
      <c r="Y1282" s="1">
        <v>2.35</v>
      </c>
      <c r="Z1282" s="1">
        <v>6.6</v>
      </c>
    </row>
    <row r="1283" ht="14.25" customHeight="1">
      <c r="A1283" s="1" t="s">
        <v>26</v>
      </c>
      <c r="B1283" s="1" t="s">
        <v>5073</v>
      </c>
      <c r="C1283" s="1" t="s">
        <v>6617</v>
      </c>
      <c r="D1283" s="1">
        <v>1.3782838E7</v>
      </c>
      <c r="E1283" s="1" t="s">
        <v>6618</v>
      </c>
      <c r="F1283" s="1" t="s">
        <v>5696</v>
      </c>
      <c r="G1283" s="1" t="s">
        <v>6619</v>
      </c>
      <c r="H1283" s="1" t="s">
        <v>6620</v>
      </c>
      <c r="I1283" s="1">
        <v>258078.0</v>
      </c>
      <c r="J1283" s="1" t="s">
        <v>6621</v>
      </c>
      <c r="K1283" s="1" t="s">
        <v>6622</v>
      </c>
      <c r="L1283" s="1">
        <v>911.0</v>
      </c>
      <c r="M1283" s="1" t="s">
        <v>35</v>
      </c>
      <c r="N1283" s="1" t="s">
        <v>36</v>
      </c>
      <c r="O1283" s="1" t="s">
        <v>628</v>
      </c>
      <c r="P1283" s="1">
        <v>1.5E7</v>
      </c>
      <c r="Q1283" s="1">
        <v>1982.0</v>
      </c>
      <c r="R1283" s="1">
        <v>957.0</v>
      </c>
      <c r="S1283" s="1">
        <v>163.0</v>
      </c>
      <c r="T1283" s="1">
        <v>145.0</v>
      </c>
      <c r="U1283" s="1">
        <v>1757.0</v>
      </c>
      <c r="V1283" s="1">
        <v>0.0</v>
      </c>
      <c r="W1283" s="1">
        <v>23000.0</v>
      </c>
      <c r="X1283" s="1">
        <v>0.0</v>
      </c>
      <c r="Y1283" s="1">
        <v>2.35</v>
      </c>
      <c r="Z1283" s="1">
        <v>8.2</v>
      </c>
    </row>
    <row r="1284" ht="14.25" customHeight="1">
      <c r="A1284" s="1" t="s">
        <v>26</v>
      </c>
      <c r="B1284" s="1" t="s">
        <v>1338</v>
      </c>
      <c r="C1284" s="1" t="s">
        <v>6623</v>
      </c>
      <c r="D1284" s="1">
        <v>4.199779E7</v>
      </c>
      <c r="E1284" s="1" t="s">
        <v>2670</v>
      </c>
      <c r="F1284" s="1" t="s">
        <v>329</v>
      </c>
      <c r="G1284" s="1" t="s">
        <v>6624</v>
      </c>
      <c r="H1284" s="1" t="s">
        <v>2861</v>
      </c>
      <c r="I1284" s="1">
        <v>125305.0</v>
      </c>
      <c r="J1284" s="1" t="s">
        <v>6625</v>
      </c>
      <c r="K1284" s="1" t="s">
        <v>6626</v>
      </c>
      <c r="L1284" s="1">
        <v>343.0</v>
      </c>
      <c r="M1284" s="1" t="s">
        <v>35</v>
      </c>
      <c r="N1284" s="1" t="s">
        <v>36</v>
      </c>
      <c r="O1284" s="1" t="s">
        <v>628</v>
      </c>
      <c r="P1284" s="1">
        <v>3.8E7</v>
      </c>
      <c r="Q1284" s="1">
        <v>2013.0</v>
      </c>
      <c r="R1284" s="1">
        <v>14000.0</v>
      </c>
      <c r="S1284" s="1">
        <v>924.0</v>
      </c>
      <c r="T1284" s="1">
        <v>904.0</v>
      </c>
      <c r="U1284" s="1">
        <v>17551.0</v>
      </c>
      <c r="V1284" s="1">
        <v>123.0</v>
      </c>
      <c r="W1284" s="1">
        <v>39000.0</v>
      </c>
      <c r="X1284" s="1">
        <v>0.0</v>
      </c>
      <c r="Y1284" s="1">
        <v>2.35</v>
      </c>
      <c r="Z1284" s="1">
        <v>6.4</v>
      </c>
    </row>
    <row r="1285" ht="14.25" customHeight="1">
      <c r="A1285" s="1" t="s">
        <v>26</v>
      </c>
      <c r="B1285" s="1" t="s">
        <v>6627</v>
      </c>
      <c r="C1285" s="1" t="s">
        <v>6628</v>
      </c>
      <c r="D1285" s="1">
        <v>6482195.0</v>
      </c>
      <c r="E1285" s="1" t="s">
        <v>2130</v>
      </c>
      <c r="F1285" s="1" t="s">
        <v>6629</v>
      </c>
      <c r="G1285" s="1" t="s">
        <v>6630</v>
      </c>
      <c r="H1285" s="1" t="s">
        <v>6631</v>
      </c>
      <c r="I1285" s="1">
        <v>9740.0</v>
      </c>
      <c r="J1285" s="1" t="s">
        <v>6632</v>
      </c>
      <c r="K1285" s="1" t="s">
        <v>6633</v>
      </c>
      <c r="L1285" s="1">
        <v>81.0</v>
      </c>
      <c r="M1285" s="1" t="s">
        <v>35</v>
      </c>
      <c r="N1285" s="1" t="s">
        <v>36</v>
      </c>
      <c r="O1285" s="1" t="s">
        <v>628</v>
      </c>
      <c r="P1285" s="1">
        <v>3.7E7</v>
      </c>
      <c r="Q1285" s="1">
        <v>1997.0</v>
      </c>
      <c r="R1285" s="1">
        <v>37.0</v>
      </c>
      <c r="S1285" s="1">
        <v>12.0</v>
      </c>
      <c r="T1285" s="1">
        <v>12.0</v>
      </c>
      <c r="U1285" s="1">
        <v>74.0</v>
      </c>
      <c r="V1285" s="1">
        <v>11.0</v>
      </c>
      <c r="W1285" s="1">
        <v>389.0</v>
      </c>
      <c r="X1285" s="1">
        <v>1.0</v>
      </c>
      <c r="Y1285" s="1">
        <v>2.35</v>
      </c>
      <c r="Z1285" s="1">
        <v>6.4</v>
      </c>
    </row>
    <row r="1286" ht="14.25" customHeight="1">
      <c r="A1286" s="1" t="s">
        <v>26</v>
      </c>
      <c r="B1286" s="1" t="s">
        <v>6634</v>
      </c>
      <c r="C1286" s="1" t="s">
        <v>6635</v>
      </c>
      <c r="D1286" s="1">
        <v>623374.0</v>
      </c>
      <c r="E1286" s="1" t="s">
        <v>6636</v>
      </c>
      <c r="F1286" s="1" t="s">
        <v>2118</v>
      </c>
      <c r="G1286" s="1" t="s">
        <v>6637</v>
      </c>
      <c r="H1286" s="1" t="s">
        <v>6638</v>
      </c>
      <c r="I1286" s="1">
        <v>4757.0</v>
      </c>
      <c r="J1286" s="1" t="s">
        <v>6639</v>
      </c>
      <c r="K1286" s="1" t="s">
        <v>6640</v>
      </c>
      <c r="L1286" s="1">
        <v>67.0</v>
      </c>
      <c r="M1286" s="1" t="s">
        <v>35</v>
      </c>
      <c r="N1286" s="1" t="s">
        <v>36</v>
      </c>
      <c r="O1286" s="1" t="s">
        <v>37</v>
      </c>
      <c r="P1286" s="1">
        <v>3.8E7</v>
      </c>
      <c r="Q1286" s="1">
        <v>2001.0</v>
      </c>
      <c r="R1286" s="1">
        <v>1000.0</v>
      </c>
      <c r="S1286" s="1">
        <v>569.0</v>
      </c>
      <c r="T1286" s="1">
        <v>427.0</v>
      </c>
      <c r="U1286" s="1">
        <v>2120.0</v>
      </c>
      <c r="V1286" s="1">
        <v>49.0</v>
      </c>
      <c r="W1286" s="1">
        <v>474.0</v>
      </c>
      <c r="X1286" s="1">
        <v>2.0</v>
      </c>
      <c r="Y1286" s="1">
        <v>2.35</v>
      </c>
      <c r="Z1286" s="1">
        <v>5.2</v>
      </c>
    </row>
    <row r="1287" ht="14.25" customHeight="1">
      <c r="A1287" s="1" t="s">
        <v>26</v>
      </c>
      <c r="B1287" s="1" t="s">
        <v>2957</v>
      </c>
      <c r="C1287" s="1" t="s">
        <v>6641</v>
      </c>
      <c r="D1287" s="1">
        <v>7871693.0</v>
      </c>
      <c r="E1287" s="1" t="s">
        <v>6642</v>
      </c>
      <c r="F1287" s="1" t="s">
        <v>534</v>
      </c>
      <c r="G1287" s="1" t="s">
        <v>1167</v>
      </c>
      <c r="H1287" s="1" t="s">
        <v>6643</v>
      </c>
      <c r="I1287" s="1">
        <v>52908.0</v>
      </c>
      <c r="J1287" s="1" t="s">
        <v>6644</v>
      </c>
      <c r="K1287" s="1" t="s">
        <v>6645</v>
      </c>
      <c r="L1287" s="1">
        <v>102.0</v>
      </c>
      <c r="M1287" s="1" t="s">
        <v>35</v>
      </c>
      <c r="N1287" s="1" t="s">
        <v>36</v>
      </c>
      <c r="O1287" s="1" t="s">
        <v>87</v>
      </c>
      <c r="P1287" s="1">
        <v>5.5E7</v>
      </c>
      <c r="Q1287" s="1">
        <v>2008.0</v>
      </c>
      <c r="R1287" s="1">
        <v>13000.0</v>
      </c>
      <c r="S1287" s="1">
        <v>2000.0</v>
      </c>
      <c r="T1287" s="1">
        <v>260.0</v>
      </c>
      <c r="U1287" s="1">
        <v>15494.0</v>
      </c>
      <c r="V1287" s="1">
        <v>27.0</v>
      </c>
      <c r="W1287" s="1">
        <v>0.0</v>
      </c>
      <c r="X1287" s="1">
        <v>0.0</v>
      </c>
      <c r="Y1287" s="1">
        <v>2.35</v>
      </c>
      <c r="Z1287" s="1">
        <v>6.5</v>
      </c>
    </row>
    <row r="1288" ht="14.25" customHeight="1">
      <c r="A1288" s="1" t="s">
        <v>26</v>
      </c>
      <c r="B1288" s="1" t="s">
        <v>6646</v>
      </c>
      <c r="C1288" s="1" t="s">
        <v>6647</v>
      </c>
      <c r="D1288" s="1">
        <v>1.6377274E7</v>
      </c>
      <c r="E1288" s="1" t="s">
        <v>3238</v>
      </c>
      <c r="F1288" s="1" t="s">
        <v>6648</v>
      </c>
      <c r="G1288" s="1" t="s">
        <v>6649</v>
      </c>
      <c r="H1288" s="1" t="s">
        <v>6650</v>
      </c>
      <c r="I1288" s="1">
        <v>105144.0</v>
      </c>
      <c r="J1288" s="1" t="s">
        <v>6651</v>
      </c>
      <c r="K1288" s="1" t="s">
        <v>6652</v>
      </c>
      <c r="L1288" s="1">
        <v>405.0</v>
      </c>
      <c r="M1288" s="1" t="s">
        <v>35</v>
      </c>
      <c r="N1288" s="1" t="s">
        <v>36</v>
      </c>
      <c r="O1288" s="1" t="s">
        <v>628</v>
      </c>
      <c r="P1288" s="1">
        <v>3.2E7</v>
      </c>
      <c r="Q1288" s="1">
        <v>2012.0</v>
      </c>
      <c r="R1288" s="1">
        <v>378.0</v>
      </c>
      <c r="S1288" s="1">
        <v>18.0</v>
      </c>
      <c r="T1288" s="1">
        <v>15.0</v>
      </c>
      <c r="U1288" s="1">
        <v>427.0</v>
      </c>
      <c r="V1288" s="1">
        <v>0.0</v>
      </c>
      <c r="W1288" s="1">
        <v>27000.0</v>
      </c>
      <c r="X1288" s="1">
        <v>31.0</v>
      </c>
      <c r="Y1288" s="1">
        <v>1.85</v>
      </c>
      <c r="Z1288" s="1">
        <v>7.1</v>
      </c>
    </row>
    <row r="1289" ht="14.25" customHeight="1">
      <c r="A1289" s="1" t="s">
        <v>710</v>
      </c>
      <c r="B1289" s="1" t="s">
        <v>4876</v>
      </c>
      <c r="C1289" s="1" t="s">
        <v>6653</v>
      </c>
      <c r="D1289" s="1">
        <v>9589875.0</v>
      </c>
      <c r="E1289" s="1" t="s">
        <v>1557</v>
      </c>
      <c r="F1289" s="1" t="s">
        <v>522</v>
      </c>
      <c r="G1289" s="1" t="s">
        <v>5945</v>
      </c>
      <c r="H1289" s="1" t="s">
        <v>4441</v>
      </c>
      <c r="I1289" s="1">
        <v>16673.0</v>
      </c>
      <c r="J1289" s="1" t="s">
        <v>6654</v>
      </c>
      <c r="K1289" s="1" t="s">
        <v>6655</v>
      </c>
      <c r="L1289" s="1">
        <v>45.0</v>
      </c>
      <c r="M1289" s="1" t="s">
        <v>35</v>
      </c>
      <c r="N1289" s="1" t="s">
        <v>36</v>
      </c>
      <c r="O1289" s="1" t="s">
        <v>87</v>
      </c>
      <c r="P1289" s="1">
        <v>4.0E7</v>
      </c>
      <c r="Q1289" s="1">
        <v>2008.0</v>
      </c>
      <c r="R1289" s="1">
        <v>2000.0</v>
      </c>
      <c r="S1289" s="1">
        <v>898.0</v>
      </c>
      <c r="T1289" s="1">
        <v>534.0</v>
      </c>
      <c r="U1289" s="1">
        <v>5162.0</v>
      </c>
      <c r="V1289" s="1">
        <v>39.0</v>
      </c>
      <c r="W1289" s="1">
        <v>0.0</v>
      </c>
      <c r="X1289" s="1">
        <v>0.0</v>
      </c>
      <c r="Y1289" s="1">
        <v>2.35</v>
      </c>
      <c r="Z1289" s="1">
        <v>7.3</v>
      </c>
    </row>
    <row r="1290" ht="14.25" customHeight="1">
      <c r="A1290" s="1" t="s">
        <v>26</v>
      </c>
      <c r="B1290" s="1" t="s">
        <v>6656</v>
      </c>
      <c r="C1290" s="1" t="s">
        <v>6657</v>
      </c>
      <c r="D1290" s="1">
        <v>3.4912982E7</v>
      </c>
      <c r="E1290" s="1" t="s">
        <v>219</v>
      </c>
      <c r="F1290" s="1" t="s">
        <v>475</v>
      </c>
      <c r="G1290" s="1" t="s">
        <v>6658</v>
      </c>
      <c r="H1290" s="1" t="s">
        <v>6659</v>
      </c>
      <c r="I1290" s="1">
        <v>55617.0</v>
      </c>
      <c r="J1290" s="1" t="s">
        <v>6660</v>
      </c>
      <c r="K1290" s="1" t="s">
        <v>6661</v>
      </c>
      <c r="L1290" s="1">
        <v>266.0</v>
      </c>
      <c r="M1290" s="1" t="s">
        <v>35</v>
      </c>
      <c r="N1290" s="1" t="s">
        <v>36</v>
      </c>
      <c r="O1290" s="1" t="s">
        <v>37</v>
      </c>
      <c r="P1290" s="1">
        <v>3.8E7</v>
      </c>
      <c r="Q1290" s="1">
        <v>2016.0</v>
      </c>
      <c r="R1290" s="1">
        <v>17000.0</v>
      </c>
      <c r="S1290" s="1">
        <v>1000.0</v>
      </c>
      <c r="T1290" s="1">
        <v>724.0</v>
      </c>
      <c r="U1290" s="1">
        <v>19974.0</v>
      </c>
      <c r="V1290" s="1">
        <v>5.0</v>
      </c>
      <c r="W1290" s="1">
        <v>14000.0</v>
      </c>
      <c r="X1290" s="1">
        <v>0.0</v>
      </c>
      <c r="Y1290" s="1">
        <v>2.35</v>
      </c>
      <c r="Z1290" s="1">
        <v>5.2</v>
      </c>
    </row>
    <row r="1291" ht="14.25" customHeight="1">
      <c r="A1291" s="1" t="s">
        <v>26</v>
      </c>
      <c r="B1291" s="1" t="s">
        <v>6662</v>
      </c>
      <c r="C1291" s="1" t="s">
        <v>6663</v>
      </c>
      <c r="D1291" s="1">
        <v>1.09712885E8</v>
      </c>
      <c r="E1291" s="1" t="s">
        <v>3598</v>
      </c>
      <c r="F1291" s="1" t="s">
        <v>1702</v>
      </c>
      <c r="G1291" s="1" t="s">
        <v>6664</v>
      </c>
      <c r="H1291" s="1" t="s">
        <v>6665</v>
      </c>
      <c r="I1291" s="1">
        <v>146708.0</v>
      </c>
      <c r="J1291" s="1" t="s">
        <v>6666</v>
      </c>
      <c r="K1291" s="1" t="s">
        <v>6667</v>
      </c>
      <c r="L1291" s="1">
        <v>362.0</v>
      </c>
      <c r="M1291" s="1" t="s">
        <v>35</v>
      </c>
      <c r="N1291" s="1" t="s">
        <v>36</v>
      </c>
      <c r="O1291" s="1" t="s">
        <v>37</v>
      </c>
      <c r="P1291" s="1">
        <v>3.5E7</v>
      </c>
      <c r="Q1291" s="1">
        <v>2015.0</v>
      </c>
      <c r="R1291" s="1">
        <v>13000.0</v>
      </c>
      <c r="S1291" s="1">
        <v>597.0</v>
      </c>
      <c r="T1291" s="1">
        <v>531.0</v>
      </c>
      <c r="U1291" s="1">
        <v>15106.0</v>
      </c>
      <c r="V1291" s="1">
        <v>0.0</v>
      </c>
      <c r="W1291" s="1">
        <v>70000.0</v>
      </c>
      <c r="X1291" s="1">
        <v>1.0</v>
      </c>
      <c r="Y1291" s="1">
        <v>2.35</v>
      </c>
      <c r="Z1291" s="1">
        <v>7.7</v>
      </c>
    </row>
    <row r="1292" ht="14.25" customHeight="1">
      <c r="A1292" s="1" t="s">
        <v>26</v>
      </c>
      <c r="B1292" s="1" t="s">
        <v>5627</v>
      </c>
      <c r="C1292" s="1" t="s">
        <v>6668</v>
      </c>
      <c r="D1292" s="1">
        <v>9.2173235E7</v>
      </c>
      <c r="E1292" s="1" t="s">
        <v>2045</v>
      </c>
      <c r="F1292" s="1" t="s">
        <v>851</v>
      </c>
      <c r="G1292" s="1" t="s">
        <v>574</v>
      </c>
      <c r="H1292" s="1" t="s">
        <v>6669</v>
      </c>
      <c r="I1292" s="1">
        <v>280228.0</v>
      </c>
      <c r="J1292" s="1" t="s">
        <v>6670</v>
      </c>
      <c r="K1292" s="1" t="s">
        <v>6671</v>
      </c>
      <c r="L1292" s="1">
        <v>420.0</v>
      </c>
      <c r="M1292" s="1" t="s">
        <v>35</v>
      </c>
      <c r="N1292" s="1" t="s">
        <v>36</v>
      </c>
      <c r="O1292" s="1" t="s">
        <v>628</v>
      </c>
      <c r="P1292" s="1">
        <v>3.7E7</v>
      </c>
      <c r="Q1292" s="1">
        <v>2010.0</v>
      </c>
      <c r="R1292" s="1">
        <v>10000.0</v>
      </c>
      <c r="S1292" s="1">
        <v>4000.0</v>
      </c>
      <c r="T1292" s="1">
        <v>206.0</v>
      </c>
      <c r="U1292" s="1">
        <v>14296.0</v>
      </c>
      <c r="V1292" s="1">
        <v>0.0</v>
      </c>
      <c r="W1292" s="1">
        <v>29000.0</v>
      </c>
      <c r="X1292" s="1">
        <v>7.0</v>
      </c>
      <c r="Y1292" s="1">
        <v>2.35</v>
      </c>
      <c r="Z1292" s="1">
        <v>7.6</v>
      </c>
    </row>
    <row r="1293" ht="14.25" customHeight="1">
      <c r="A1293" s="1" t="s">
        <v>26</v>
      </c>
      <c r="B1293" s="1" t="s">
        <v>6672</v>
      </c>
      <c r="C1293" s="1" t="s">
        <v>6673</v>
      </c>
      <c r="D1293" s="1">
        <v>4.1102171E7</v>
      </c>
      <c r="E1293" s="1" t="s">
        <v>1359</v>
      </c>
      <c r="F1293" s="1" t="s">
        <v>2357</v>
      </c>
      <c r="G1293" s="1" t="s">
        <v>522</v>
      </c>
      <c r="H1293" s="1" t="s">
        <v>4768</v>
      </c>
      <c r="I1293" s="1">
        <v>57266.0</v>
      </c>
      <c r="J1293" s="1" t="s">
        <v>6674</v>
      </c>
      <c r="K1293" s="1" t="s">
        <v>6675</v>
      </c>
      <c r="L1293" s="1">
        <v>89.0</v>
      </c>
      <c r="M1293" s="1" t="s">
        <v>35</v>
      </c>
      <c r="N1293" s="1" t="s">
        <v>36</v>
      </c>
      <c r="O1293" s="1" t="s">
        <v>37</v>
      </c>
      <c r="P1293" s="1">
        <v>4.0E7</v>
      </c>
      <c r="Q1293" s="1">
        <v>2012.0</v>
      </c>
      <c r="R1293" s="1">
        <v>10000.0</v>
      </c>
      <c r="S1293" s="1">
        <v>2000.0</v>
      </c>
      <c r="T1293" s="1">
        <v>651.0</v>
      </c>
      <c r="U1293" s="1">
        <v>13396.0</v>
      </c>
      <c r="V1293" s="1">
        <v>52.0</v>
      </c>
      <c r="W1293" s="1">
        <v>14000.0</v>
      </c>
      <c r="X1293" s="1">
        <v>12.0</v>
      </c>
      <c r="Y1293" s="1">
        <v>2.35</v>
      </c>
      <c r="Z1293" s="1">
        <v>5.7</v>
      </c>
    </row>
    <row r="1294" ht="14.25" customHeight="1">
      <c r="A1294" s="1" t="s">
        <v>26</v>
      </c>
      <c r="B1294" s="1" t="s">
        <v>6676</v>
      </c>
      <c r="C1294" s="1" t="s">
        <v>6677</v>
      </c>
      <c r="D1294" s="1">
        <v>6.0338891E7</v>
      </c>
      <c r="E1294" s="1" t="s">
        <v>2422</v>
      </c>
      <c r="F1294" s="1" t="s">
        <v>74</v>
      </c>
      <c r="G1294" s="1" t="s">
        <v>335</v>
      </c>
      <c r="H1294" s="1" t="s">
        <v>2106</v>
      </c>
      <c r="I1294" s="1">
        <v>248468.0</v>
      </c>
      <c r="J1294" s="1" t="s">
        <v>6678</v>
      </c>
      <c r="K1294" s="1" t="s">
        <v>6679</v>
      </c>
      <c r="L1294" s="1">
        <v>545.0</v>
      </c>
      <c r="M1294" s="1" t="s">
        <v>35</v>
      </c>
      <c r="N1294" s="1" t="s">
        <v>36</v>
      </c>
      <c r="O1294" s="1" t="s">
        <v>628</v>
      </c>
      <c r="P1294" s="1">
        <v>3.7E7</v>
      </c>
      <c r="Q1294" s="1">
        <v>2008.0</v>
      </c>
      <c r="R1294" s="1">
        <v>24000.0</v>
      </c>
      <c r="S1294" s="1">
        <v>11000.0</v>
      </c>
      <c r="T1294" s="1">
        <v>681.0</v>
      </c>
      <c r="U1294" s="1">
        <v>36093.0</v>
      </c>
      <c r="V1294" s="1">
        <v>1000.0</v>
      </c>
      <c r="W1294" s="1">
        <v>0.0</v>
      </c>
      <c r="X1294" s="1">
        <v>0.0</v>
      </c>
      <c r="Y1294" s="1">
        <v>1.85</v>
      </c>
      <c r="Z1294" s="1">
        <v>7.0</v>
      </c>
    </row>
    <row r="1295" ht="14.25" customHeight="1">
      <c r="A1295" s="1" t="s">
        <v>26</v>
      </c>
      <c r="B1295" s="1" t="s">
        <v>6680</v>
      </c>
      <c r="C1295" s="1" t="s">
        <v>6681</v>
      </c>
      <c r="D1295" s="1">
        <v>4.8006503E7</v>
      </c>
      <c r="E1295" s="1" t="s">
        <v>751</v>
      </c>
      <c r="F1295" s="1" t="s">
        <v>616</v>
      </c>
      <c r="G1295" s="1" t="s">
        <v>6682</v>
      </c>
      <c r="H1295" s="1" t="s">
        <v>6683</v>
      </c>
      <c r="I1295" s="1">
        <v>28109.0</v>
      </c>
      <c r="J1295" s="1" t="s">
        <v>6684</v>
      </c>
      <c r="K1295" s="1" t="s">
        <v>6685</v>
      </c>
      <c r="L1295" s="1">
        <v>110.0</v>
      </c>
      <c r="M1295" s="1" t="s">
        <v>35</v>
      </c>
      <c r="N1295" s="1" t="s">
        <v>36</v>
      </c>
      <c r="O1295" s="1" t="s">
        <v>87</v>
      </c>
      <c r="P1295" s="1">
        <v>3.7E7</v>
      </c>
      <c r="Q1295" s="1">
        <v>2008.0</v>
      </c>
      <c r="R1295" s="1">
        <v>18000.0</v>
      </c>
      <c r="S1295" s="1">
        <v>82.0</v>
      </c>
      <c r="T1295" s="1">
        <v>35.0</v>
      </c>
      <c r="U1295" s="1">
        <v>18178.0</v>
      </c>
      <c r="V1295" s="1">
        <v>3.0</v>
      </c>
      <c r="W1295" s="1">
        <v>0.0</v>
      </c>
      <c r="X1295" s="1">
        <v>3.0</v>
      </c>
      <c r="Y1295" s="1">
        <v>2.35</v>
      </c>
      <c r="Z1295" s="1">
        <v>6.0</v>
      </c>
    </row>
    <row r="1296" ht="14.25" customHeight="1">
      <c r="A1296" s="1" t="s">
        <v>26</v>
      </c>
      <c r="B1296" s="1" t="s">
        <v>813</v>
      </c>
      <c r="C1296" s="1" t="s">
        <v>6686</v>
      </c>
      <c r="D1296" s="1">
        <v>2.6903709E7</v>
      </c>
      <c r="E1296" s="1" t="s">
        <v>6687</v>
      </c>
      <c r="F1296" s="1" t="s">
        <v>90</v>
      </c>
      <c r="G1296" s="1" t="s">
        <v>294</v>
      </c>
      <c r="H1296" s="1" t="s">
        <v>6688</v>
      </c>
      <c r="I1296" s="1">
        <v>312629.0</v>
      </c>
      <c r="J1296" s="1" t="s">
        <v>6689</v>
      </c>
      <c r="K1296" s="1" t="s">
        <v>6690</v>
      </c>
      <c r="L1296" s="1">
        <v>475.0</v>
      </c>
      <c r="M1296" s="1" t="s">
        <v>35</v>
      </c>
      <c r="N1296" s="1" t="s">
        <v>54</v>
      </c>
      <c r="O1296" s="1" t="s">
        <v>628</v>
      </c>
      <c r="P1296" s="1">
        <v>3.8E7</v>
      </c>
      <c r="Q1296" s="1">
        <v>2013.0</v>
      </c>
      <c r="R1296" s="1">
        <v>26000.0</v>
      </c>
      <c r="S1296" s="1">
        <v>10000.0</v>
      </c>
      <c r="T1296" s="1">
        <v>471.0</v>
      </c>
      <c r="U1296" s="1">
        <v>37206.0</v>
      </c>
      <c r="V1296" s="1">
        <v>2000.0</v>
      </c>
      <c r="W1296" s="1">
        <v>83000.0</v>
      </c>
      <c r="X1296" s="1">
        <v>0.0</v>
      </c>
      <c r="Y1296" s="1">
        <v>2.35</v>
      </c>
      <c r="Z1296" s="1">
        <v>8.1</v>
      </c>
    </row>
    <row r="1297" ht="14.25" customHeight="1">
      <c r="A1297" s="1" t="s">
        <v>26</v>
      </c>
      <c r="B1297" s="1" t="s">
        <v>6646</v>
      </c>
      <c r="C1297" s="1" t="s">
        <v>6691</v>
      </c>
      <c r="D1297" s="1">
        <v>2.2450975E7</v>
      </c>
      <c r="E1297" s="1" t="s">
        <v>3238</v>
      </c>
      <c r="F1297" s="1" t="s">
        <v>6692</v>
      </c>
      <c r="G1297" s="1" t="s">
        <v>6693</v>
      </c>
      <c r="H1297" s="1" t="s">
        <v>6694</v>
      </c>
      <c r="I1297" s="1">
        <v>241030.0</v>
      </c>
      <c r="J1297" s="1" t="s">
        <v>6695</v>
      </c>
      <c r="K1297" s="1" t="s">
        <v>6696</v>
      </c>
      <c r="L1297" s="1">
        <v>1437.0</v>
      </c>
      <c r="M1297" s="1" t="s">
        <v>35</v>
      </c>
      <c r="N1297" s="1" t="s">
        <v>36</v>
      </c>
      <c r="O1297" s="1" t="s">
        <v>628</v>
      </c>
      <c r="P1297" s="1">
        <v>3.7E7</v>
      </c>
      <c r="Q1297" s="1">
        <v>1999.0</v>
      </c>
      <c r="R1297" s="1">
        <v>786.0</v>
      </c>
      <c r="S1297" s="1">
        <v>625.0</v>
      </c>
      <c r="T1297" s="1">
        <v>272.0</v>
      </c>
      <c r="U1297" s="1">
        <v>1906.0</v>
      </c>
      <c r="V1297" s="1">
        <v>0.0</v>
      </c>
      <c r="W1297" s="1">
        <v>13000.0</v>
      </c>
      <c r="X1297" s="1">
        <v>1.0</v>
      </c>
      <c r="Y1297" s="1">
        <v>2.35</v>
      </c>
      <c r="Z1297" s="1">
        <v>8.0</v>
      </c>
    </row>
    <row r="1298" ht="14.25" customHeight="1">
      <c r="A1298" s="1" t="s">
        <v>26</v>
      </c>
      <c r="B1298" s="1" t="s">
        <v>6697</v>
      </c>
      <c r="C1298" s="1" t="s">
        <v>6698</v>
      </c>
      <c r="D1298" s="1">
        <v>4.4867349E7</v>
      </c>
      <c r="E1298" s="1" t="s">
        <v>1670</v>
      </c>
      <c r="F1298" s="1" t="s">
        <v>941</v>
      </c>
      <c r="G1298" s="1" t="s">
        <v>3979</v>
      </c>
      <c r="H1298" s="1" t="s">
        <v>3070</v>
      </c>
      <c r="I1298" s="1">
        <v>75347.0</v>
      </c>
      <c r="J1298" s="1" t="s">
        <v>6699</v>
      </c>
      <c r="K1298" s="1" t="s">
        <v>6700</v>
      </c>
      <c r="L1298" s="1">
        <v>176.0</v>
      </c>
      <c r="M1298" s="1" t="s">
        <v>35</v>
      </c>
      <c r="N1298" s="1" t="s">
        <v>36</v>
      </c>
      <c r="O1298" s="1" t="s">
        <v>628</v>
      </c>
      <c r="P1298" s="1">
        <v>3.7E7</v>
      </c>
      <c r="Q1298" s="1">
        <v>2010.0</v>
      </c>
      <c r="R1298" s="1">
        <v>13000.0</v>
      </c>
      <c r="S1298" s="1">
        <v>642.0</v>
      </c>
      <c r="T1298" s="1">
        <v>574.0</v>
      </c>
      <c r="U1298" s="1">
        <v>14483.0</v>
      </c>
      <c r="V1298" s="1">
        <v>0.0</v>
      </c>
      <c r="W1298" s="1">
        <v>0.0</v>
      </c>
      <c r="X1298" s="1">
        <v>2.0</v>
      </c>
      <c r="Y1298" s="1">
        <v>2.35</v>
      </c>
      <c r="Z1298" s="1">
        <v>5.6</v>
      </c>
    </row>
    <row r="1299" ht="14.25" customHeight="1">
      <c r="A1299" s="1" t="s">
        <v>26</v>
      </c>
      <c r="B1299" s="1" t="s">
        <v>6701</v>
      </c>
      <c r="C1299" s="1" t="s">
        <v>6702</v>
      </c>
      <c r="D1299" s="1">
        <v>4.6813366E7</v>
      </c>
      <c r="E1299" s="1" t="s">
        <v>1598</v>
      </c>
      <c r="F1299" s="1" t="s">
        <v>3988</v>
      </c>
      <c r="G1299" s="1" t="s">
        <v>589</v>
      </c>
      <c r="H1299" s="1" t="s">
        <v>4472</v>
      </c>
      <c r="I1299" s="1">
        <v>39440.0</v>
      </c>
      <c r="J1299" s="1" t="s">
        <v>6703</v>
      </c>
      <c r="K1299" s="1" t="s">
        <v>6704</v>
      </c>
      <c r="L1299" s="1">
        <v>83.0</v>
      </c>
      <c r="M1299" s="1" t="s">
        <v>35</v>
      </c>
      <c r="N1299" s="1" t="s">
        <v>36</v>
      </c>
      <c r="O1299" s="1" t="s">
        <v>628</v>
      </c>
      <c r="P1299" s="1">
        <v>3.8E7</v>
      </c>
      <c r="Q1299" s="1">
        <v>2016.0</v>
      </c>
      <c r="R1299" s="1">
        <v>2000.0</v>
      </c>
      <c r="S1299" s="1">
        <v>756.0</v>
      </c>
      <c r="T1299" s="1">
        <v>591.0</v>
      </c>
      <c r="U1299" s="1">
        <v>4882.0</v>
      </c>
      <c r="V1299" s="1">
        <v>11.0</v>
      </c>
      <c r="W1299" s="1">
        <v>15000.0</v>
      </c>
      <c r="X1299" s="1">
        <v>4.0</v>
      </c>
      <c r="Y1299" s="1">
        <v>2.35</v>
      </c>
      <c r="Z1299" s="1">
        <v>6.1</v>
      </c>
    </row>
    <row r="1300" ht="14.25" customHeight="1">
      <c r="A1300" s="1" t="s">
        <v>26</v>
      </c>
      <c r="B1300" s="1" t="s">
        <v>6705</v>
      </c>
      <c r="C1300" s="1" t="s">
        <v>6706</v>
      </c>
      <c r="D1300" s="1">
        <v>7.227969E7</v>
      </c>
      <c r="E1300" s="1" t="s">
        <v>6707</v>
      </c>
      <c r="F1300" s="1" t="s">
        <v>451</v>
      </c>
      <c r="G1300" s="1" t="s">
        <v>6708</v>
      </c>
      <c r="H1300" s="1" t="s">
        <v>5062</v>
      </c>
      <c r="I1300" s="1">
        <v>17948.0</v>
      </c>
      <c r="J1300" s="1" t="s">
        <v>6709</v>
      </c>
      <c r="K1300" s="1" t="s">
        <v>6710</v>
      </c>
      <c r="L1300" s="1">
        <v>86.0</v>
      </c>
      <c r="M1300" s="1" t="s">
        <v>35</v>
      </c>
      <c r="N1300" s="1" t="s">
        <v>36</v>
      </c>
      <c r="O1300" s="1" t="s">
        <v>87</v>
      </c>
      <c r="P1300" s="1">
        <v>3.7E7</v>
      </c>
      <c r="Q1300" s="1">
        <v>2011.0</v>
      </c>
      <c r="R1300" s="1">
        <v>11000.0</v>
      </c>
      <c r="S1300" s="1">
        <v>680.0</v>
      </c>
      <c r="T1300" s="1">
        <v>631.0</v>
      </c>
      <c r="U1300" s="1">
        <v>14209.0</v>
      </c>
      <c r="V1300" s="1">
        <v>188.0</v>
      </c>
      <c r="W1300" s="1">
        <v>0.0</v>
      </c>
      <c r="X1300" s="1">
        <v>5.0</v>
      </c>
      <c r="Y1300" s="1">
        <v>1.85</v>
      </c>
      <c r="Z1300" s="1">
        <v>6.9</v>
      </c>
    </row>
    <row r="1301" ht="14.25" customHeight="1">
      <c r="A1301" s="1" t="s">
        <v>26</v>
      </c>
      <c r="B1301" s="1" t="s">
        <v>5773</v>
      </c>
      <c r="C1301" s="1" t="s">
        <v>6711</v>
      </c>
      <c r="D1301" s="1">
        <v>1.91449475E8</v>
      </c>
      <c r="E1301" s="1" t="s">
        <v>650</v>
      </c>
      <c r="F1301" s="1" t="s">
        <v>544</v>
      </c>
      <c r="G1301" s="1" t="s">
        <v>1070</v>
      </c>
      <c r="H1301" s="1" t="s">
        <v>2357</v>
      </c>
      <c r="I1301" s="1">
        <v>348007.0</v>
      </c>
      <c r="J1301" s="1" t="s">
        <v>6712</v>
      </c>
      <c r="K1301" s="1" t="s">
        <v>6713</v>
      </c>
      <c r="L1301" s="1">
        <v>1535.0</v>
      </c>
      <c r="M1301" s="1" t="s">
        <v>35</v>
      </c>
      <c r="N1301" s="1" t="s">
        <v>36</v>
      </c>
      <c r="O1301" s="1" t="s">
        <v>37</v>
      </c>
      <c r="P1301" s="1">
        <v>3.7E7</v>
      </c>
      <c r="Q1301" s="1">
        <v>2008.0</v>
      </c>
      <c r="R1301" s="1">
        <v>17000.0</v>
      </c>
      <c r="S1301" s="1">
        <v>12000.0</v>
      </c>
      <c r="T1301" s="1">
        <v>10000.0</v>
      </c>
      <c r="U1301" s="1">
        <v>44060.0</v>
      </c>
      <c r="V1301" s="1">
        <v>308.0</v>
      </c>
      <c r="W1301" s="1">
        <v>19000.0</v>
      </c>
      <c r="X1301" s="1">
        <v>1.0</v>
      </c>
      <c r="Y1301" s="1">
        <v>2.35</v>
      </c>
      <c r="Z1301" s="1">
        <v>5.2</v>
      </c>
    </row>
    <row r="1302" ht="14.25" customHeight="1">
      <c r="A1302" s="1" t="s">
        <v>26</v>
      </c>
      <c r="B1302" s="1" t="s">
        <v>6012</v>
      </c>
      <c r="C1302" s="1" t="s">
        <v>6714</v>
      </c>
      <c r="D1302" s="1">
        <v>7.1026631E7</v>
      </c>
      <c r="E1302" s="1" t="s">
        <v>2045</v>
      </c>
      <c r="F1302" s="1" t="s">
        <v>1644</v>
      </c>
      <c r="G1302" s="1" t="s">
        <v>6715</v>
      </c>
      <c r="H1302" s="1" t="s">
        <v>2177</v>
      </c>
      <c r="I1302" s="1">
        <v>98899.0</v>
      </c>
      <c r="J1302" s="1" t="s">
        <v>6716</v>
      </c>
      <c r="K1302" s="1" t="s">
        <v>6717</v>
      </c>
      <c r="L1302" s="1">
        <v>394.0</v>
      </c>
      <c r="M1302" s="1" t="s">
        <v>35</v>
      </c>
      <c r="N1302" s="1" t="s">
        <v>36</v>
      </c>
      <c r="O1302" s="1" t="s">
        <v>37</v>
      </c>
      <c r="P1302" s="1">
        <v>3.6E7</v>
      </c>
      <c r="Q1302" s="1">
        <v>2002.0</v>
      </c>
      <c r="R1302" s="1">
        <v>18000.0</v>
      </c>
      <c r="S1302" s="1">
        <v>669.0</v>
      </c>
      <c r="T1302" s="1">
        <v>644.0</v>
      </c>
      <c r="U1302" s="1">
        <v>20970.0</v>
      </c>
      <c r="V1302" s="1">
        <v>415.0</v>
      </c>
      <c r="W1302" s="1">
        <v>0.0</v>
      </c>
      <c r="X1302" s="1">
        <v>1.0</v>
      </c>
      <c r="Y1302" s="1">
        <v>1.85</v>
      </c>
      <c r="Z1302" s="1">
        <v>7.0</v>
      </c>
    </row>
    <row r="1303" ht="14.25" customHeight="1">
      <c r="A1303" s="1" t="s">
        <v>26</v>
      </c>
      <c r="B1303" s="1" t="s">
        <v>2538</v>
      </c>
      <c r="C1303" s="1" t="s">
        <v>6718</v>
      </c>
      <c r="D1303" s="1">
        <v>6.820819E7</v>
      </c>
      <c r="E1303" s="1" t="s">
        <v>408</v>
      </c>
      <c r="F1303" s="1" t="s">
        <v>3944</v>
      </c>
      <c r="G1303" s="1" t="s">
        <v>2520</v>
      </c>
      <c r="H1303" s="1" t="s">
        <v>6719</v>
      </c>
      <c r="I1303" s="1">
        <v>60572.0</v>
      </c>
      <c r="J1303" s="1" t="s">
        <v>6720</v>
      </c>
      <c r="K1303" s="1" t="s">
        <v>6721</v>
      </c>
      <c r="L1303" s="1">
        <v>144.0</v>
      </c>
      <c r="M1303" s="1" t="s">
        <v>35</v>
      </c>
      <c r="N1303" s="1" t="s">
        <v>36</v>
      </c>
      <c r="O1303" s="1" t="s">
        <v>37</v>
      </c>
      <c r="P1303" s="1">
        <v>6.5E7</v>
      </c>
      <c r="Q1303" s="1">
        <v>1999.0</v>
      </c>
      <c r="R1303" s="1">
        <v>789.0</v>
      </c>
      <c r="S1303" s="1">
        <v>744.0</v>
      </c>
      <c r="T1303" s="1">
        <v>405.0</v>
      </c>
      <c r="U1303" s="1">
        <v>2986.0</v>
      </c>
      <c r="V1303" s="1">
        <v>10.0</v>
      </c>
      <c r="W1303" s="1">
        <v>0.0</v>
      </c>
      <c r="X1303" s="1">
        <v>1.0</v>
      </c>
      <c r="Y1303" s="1">
        <v>1.85</v>
      </c>
      <c r="Z1303" s="1">
        <v>6.3</v>
      </c>
    </row>
    <row r="1304" ht="14.25" customHeight="1">
      <c r="A1304" s="1" t="s">
        <v>26</v>
      </c>
      <c r="B1304" s="1" t="s">
        <v>4784</v>
      </c>
      <c r="C1304" s="1" t="s">
        <v>6722</v>
      </c>
      <c r="D1304" s="1">
        <v>1.50368971E8</v>
      </c>
      <c r="E1304" s="1" t="s">
        <v>972</v>
      </c>
      <c r="F1304" s="1" t="s">
        <v>6723</v>
      </c>
      <c r="G1304" s="1" t="s">
        <v>6724</v>
      </c>
      <c r="H1304" s="1" t="s">
        <v>4768</v>
      </c>
      <c r="I1304" s="1">
        <v>316671.0</v>
      </c>
      <c r="J1304" s="1" t="s">
        <v>6725</v>
      </c>
      <c r="K1304" s="1" t="s">
        <v>6726</v>
      </c>
      <c r="L1304" s="1">
        <v>301.0</v>
      </c>
      <c r="M1304" s="1" t="s">
        <v>35</v>
      </c>
      <c r="N1304" s="1" t="s">
        <v>36</v>
      </c>
      <c r="O1304" s="1" t="s">
        <v>628</v>
      </c>
      <c r="P1304" s="1">
        <v>3.7E7</v>
      </c>
      <c r="Q1304" s="1">
        <v>2013.0</v>
      </c>
      <c r="R1304" s="1">
        <v>740.0</v>
      </c>
      <c r="S1304" s="1">
        <v>707.0</v>
      </c>
      <c r="T1304" s="1">
        <v>651.0</v>
      </c>
      <c r="U1304" s="1">
        <v>3425.0</v>
      </c>
      <c r="V1304" s="1">
        <v>43.0</v>
      </c>
      <c r="W1304" s="1">
        <v>35000.0</v>
      </c>
      <c r="X1304" s="1">
        <v>4.0</v>
      </c>
      <c r="Y1304" s="1">
        <v>2.35</v>
      </c>
      <c r="Z1304" s="1">
        <v>7.0</v>
      </c>
    </row>
    <row r="1305" ht="14.25" customHeight="1">
      <c r="A1305" s="1" t="s">
        <v>26</v>
      </c>
      <c r="B1305" s="1" t="s">
        <v>621</v>
      </c>
      <c r="C1305" s="1" t="s">
        <v>6727</v>
      </c>
      <c r="D1305" s="1">
        <v>5.0129186E7</v>
      </c>
      <c r="E1305" s="1" t="s">
        <v>2281</v>
      </c>
      <c r="F1305" s="1" t="s">
        <v>3463</v>
      </c>
      <c r="G1305" s="1" t="s">
        <v>84</v>
      </c>
      <c r="H1305" s="1" t="s">
        <v>4423</v>
      </c>
      <c r="I1305" s="1">
        <v>38399.0</v>
      </c>
      <c r="J1305" s="1" t="s">
        <v>6728</v>
      </c>
      <c r="K1305" s="1" t="s">
        <v>6729</v>
      </c>
      <c r="L1305" s="1">
        <v>218.0</v>
      </c>
      <c r="M1305" s="1" t="s">
        <v>35</v>
      </c>
      <c r="N1305" s="1" t="s">
        <v>36</v>
      </c>
      <c r="O1305" s="1" t="s">
        <v>628</v>
      </c>
      <c r="P1305" s="1">
        <v>3.6E7</v>
      </c>
      <c r="Q1305" s="1">
        <v>1997.0</v>
      </c>
      <c r="R1305" s="1">
        <v>551.0</v>
      </c>
      <c r="S1305" s="1">
        <v>284.0</v>
      </c>
      <c r="T1305" s="1">
        <v>263.0</v>
      </c>
      <c r="U1305" s="1">
        <v>1874.0</v>
      </c>
      <c r="V1305" s="1">
        <v>84.0</v>
      </c>
      <c r="W1305" s="1">
        <v>0.0</v>
      </c>
      <c r="X1305" s="1">
        <v>0.0</v>
      </c>
      <c r="Y1305" s="1">
        <v>2.35</v>
      </c>
      <c r="Z1305" s="1">
        <v>6.9</v>
      </c>
    </row>
    <row r="1306" ht="14.25" customHeight="1">
      <c r="A1306" s="1" t="s">
        <v>26</v>
      </c>
      <c r="B1306" s="1" t="s">
        <v>6730</v>
      </c>
      <c r="C1306" s="1" t="s">
        <v>6731</v>
      </c>
      <c r="D1306" s="1">
        <v>5.55E7</v>
      </c>
      <c r="E1306" s="1" t="s">
        <v>48</v>
      </c>
      <c r="F1306" s="1" t="s">
        <v>6732</v>
      </c>
      <c r="G1306" s="1" t="s">
        <v>6733</v>
      </c>
      <c r="H1306" s="1" t="s">
        <v>6734</v>
      </c>
      <c r="I1306" s="1">
        <v>48636.0</v>
      </c>
      <c r="J1306" s="1" t="s">
        <v>6735</v>
      </c>
      <c r="K1306" s="1" t="s">
        <v>6736</v>
      </c>
      <c r="L1306" s="1">
        <v>214.0</v>
      </c>
      <c r="M1306" s="1" t="s">
        <v>35</v>
      </c>
      <c r="N1306" s="1" t="s">
        <v>54</v>
      </c>
      <c r="O1306" s="1" t="s">
        <v>87</v>
      </c>
      <c r="P1306" s="1">
        <v>3.6E7</v>
      </c>
      <c r="Q1306" s="1">
        <v>1983.0</v>
      </c>
      <c r="R1306" s="1">
        <v>180.0</v>
      </c>
      <c r="S1306" s="1">
        <v>172.0</v>
      </c>
      <c r="T1306" s="1">
        <v>133.0</v>
      </c>
      <c r="U1306" s="1">
        <v>762.0</v>
      </c>
      <c r="V1306" s="1">
        <v>883.0</v>
      </c>
      <c r="W1306" s="1">
        <v>0.0</v>
      </c>
      <c r="X1306" s="1">
        <v>3.0</v>
      </c>
      <c r="Y1306" s="1">
        <v>2.35</v>
      </c>
      <c r="Z1306" s="1">
        <v>6.2</v>
      </c>
    </row>
    <row r="1307" ht="14.25" customHeight="1">
      <c r="A1307" s="1" t="s">
        <v>26</v>
      </c>
      <c r="B1307" s="1" t="s">
        <v>6737</v>
      </c>
      <c r="C1307" s="1" t="s">
        <v>6738</v>
      </c>
      <c r="D1307" s="1">
        <v>5.0213619E7</v>
      </c>
      <c r="E1307" s="1" t="s">
        <v>5181</v>
      </c>
      <c r="F1307" s="1" t="s">
        <v>6739</v>
      </c>
      <c r="G1307" s="1" t="s">
        <v>6740</v>
      </c>
      <c r="H1307" s="1" t="s">
        <v>5313</v>
      </c>
      <c r="I1307" s="1">
        <v>139184.0</v>
      </c>
      <c r="J1307" s="1" t="s">
        <v>6741</v>
      </c>
      <c r="K1307" s="1" t="s">
        <v>6742</v>
      </c>
      <c r="L1307" s="1">
        <v>243.0</v>
      </c>
      <c r="M1307" s="1" t="s">
        <v>35</v>
      </c>
      <c r="N1307" s="1" t="s">
        <v>36</v>
      </c>
      <c r="O1307" s="1" t="s">
        <v>628</v>
      </c>
      <c r="P1307" s="1">
        <v>3.6E7</v>
      </c>
      <c r="Q1307" s="1">
        <v>2010.0</v>
      </c>
      <c r="R1307" s="1">
        <v>496.0</v>
      </c>
      <c r="S1307" s="1">
        <v>390.0</v>
      </c>
      <c r="T1307" s="1">
        <v>318.0</v>
      </c>
      <c r="U1307" s="1">
        <v>1272.0</v>
      </c>
      <c r="V1307" s="1">
        <v>38.0</v>
      </c>
      <c r="W1307" s="1">
        <v>12000.0</v>
      </c>
      <c r="X1307" s="1">
        <v>8.0</v>
      </c>
      <c r="Y1307" s="1">
        <v>1.85</v>
      </c>
      <c r="Z1307" s="1">
        <v>6.4</v>
      </c>
    </row>
    <row r="1308" ht="14.25" customHeight="1">
      <c r="A1308" s="1" t="s">
        <v>26</v>
      </c>
      <c r="B1308" s="1" t="s">
        <v>6705</v>
      </c>
      <c r="C1308" s="1" t="s">
        <v>6743</v>
      </c>
      <c r="D1308" s="1">
        <v>4.2019483E7</v>
      </c>
      <c r="E1308" s="1" t="s">
        <v>6707</v>
      </c>
      <c r="F1308" s="1" t="s">
        <v>451</v>
      </c>
      <c r="G1308" s="1" t="s">
        <v>6744</v>
      </c>
      <c r="H1308" s="1" t="s">
        <v>5062</v>
      </c>
      <c r="I1308" s="1">
        <v>6069.0</v>
      </c>
      <c r="J1308" s="1" t="s">
        <v>6745</v>
      </c>
      <c r="K1308" s="1" t="s">
        <v>6746</v>
      </c>
      <c r="L1308" s="1">
        <v>33.0</v>
      </c>
      <c r="M1308" s="1" t="s">
        <v>35</v>
      </c>
      <c r="N1308" s="1" t="s">
        <v>36</v>
      </c>
      <c r="O1308" s="1" t="s">
        <v>87</v>
      </c>
      <c r="P1308" s="1">
        <v>3.6E7</v>
      </c>
      <c r="Q1308" s="1">
        <v>2014.0</v>
      </c>
      <c r="R1308" s="1">
        <v>11000.0</v>
      </c>
      <c r="S1308" s="1">
        <v>641.0</v>
      </c>
      <c r="T1308" s="1">
        <v>631.0</v>
      </c>
      <c r="U1308" s="1">
        <v>13904.0</v>
      </c>
      <c r="V1308" s="1">
        <v>188.0</v>
      </c>
      <c r="W1308" s="1">
        <v>0.0</v>
      </c>
      <c r="X1308" s="1">
        <v>0.0</v>
      </c>
      <c r="Y1308" s="1">
        <v>1.85</v>
      </c>
      <c r="Z1308" s="1">
        <v>6.4</v>
      </c>
    </row>
    <row r="1309" ht="14.25" customHeight="1">
      <c r="A1309" s="1" t="s">
        <v>26</v>
      </c>
      <c r="B1309" s="1" t="s">
        <v>4454</v>
      </c>
      <c r="C1309" s="1" t="s">
        <v>6747</v>
      </c>
      <c r="D1309" s="1">
        <v>2.3360779E7</v>
      </c>
      <c r="E1309" s="1" t="s">
        <v>6748</v>
      </c>
      <c r="F1309" s="1" t="s">
        <v>741</v>
      </c>
      <c r="G1309" s="1" t="s">
        <v>295</v>
      </c>
      <c r="H1309" s="1" t="s">
        <v>3759</v>
      </c>
      <c r="I1309" s="1">
        <v>31113.0</v>
      </c>
      <c r="J1309" s="1" t="s">
        <v>6749</v>
      </c>
      <c r="K1309" s="1" t="s">
        <v>6750</v>
      </c>
      <c r="L1309" s="1">
        <v>212.0</v>
      </c>
      <c r="M1309" s="1" t="s">
        <v>35</v>
      </c>
      <c r="N1309" s="1" t="s">
        <v>36</v>
      </c>
      <c r="O1309" s="1" t="s">
        <v>628</v>
      </c>
      <c r="P1309" s="1">
        <v>3.4E7</v>
      </c>
      <c r="Q1309" s="1">
        <v>2000.0</v>
      </c>
      <c r="R1309" s="1">
        <v>9000.0</v>
      </c>
      <c r="S1309" s="1">
        <v>1000.0</v>
      </c>
      <c r="T1309" s="1">
        <v>475.0</v>
      </c>
      <c r="U1309" s="1">
        <v>10838.0</v>
      </c>
      <c r="V1309" s="1">
        <v>287.0</v>
      </c>
      <c r="W1309" s="1">
        <v>852.0</v>
      </c>
      <c r="X1309" s="1">
        <v>0.0</v>
      </c>
      <c r="Y1309" s="1">
        <v>2.35</v>
      </c>
      <c r="Z1309" s="1">
        <v>5.7</v>
      </c>
    </row>
    <row r="1310" ht="14.25" customHeight="1">
      <c r="A1310" s="1" t="s">
        <v>26</v>
      </c>
      <c r="B1310" s="1" t="s">
        <v>2928</v>
      </c>
      <c r="C1310" s="1" t="s">
        <v>6751</v>
      </c>
      <c r="D1310" s="1">
        <v>2.6183197E7</v>
      </c>
      <c r="E1310" s="1" t="s">
        <v>449</v>
      </c>
      <c r="F1310" s="1" t="s">
        <v>329</v>
      </c>
      <c r="G1310" s="1" t="s">
        <v>6572</v>
      </c>
      <c r="H1310" s="1" t="s">
        <v>2719</v>
      </c>
      <c r="I1310" s="1">
        <v>38348.0</v>
      </c>
      <c r="J1310" s="1" t="s">
        <v>6752</v>
      </c>
      <c r="K1310" s="1" t="s">
        <v>6753</v>
      </c>
      <c r="L1310" s="1">
        <v>135.0</v>
      </c>
      <c r="M1310" s="1" t="s">
        <v>35</v>
      </c>
      <c r="N1310" s="1" t="s">
        <v>36</v>
      </c>
      <c r="O1310" s="1" t="s">
        <v>628</v>
      </c>
      <c r="P1310" s="1">
        <v>3.6E7</v>
      </c>
      <c r="Q1310" s="1">
        <v>2003.0</v>
      </c>
      <c r="R1310" s="1">
        <v>14000.0</v>
      </c>
      <c r="S1310" s="1">
        <v>919.0</v>
      </c>
      <c r="T1310" s="1">
        <v>582.0</v>
      </c>
      <c r="U1310" s="1">
        <v>16611.0</v>
      </c>
      <c r="V1310" s="1">
        <v>473.0</v>
      </c>
      <c r="W1310" s="1">
        <v>0.0</v>
      </c>
      <c r="X1310" s="1">
        <v>0.0</v>
      </c>
      <c r="Y1310" s="1">
        <v>2.35</v>
      </c>
      <c r="Z1310" s="1">
        <v>6.1</v>
      </c>
    </row>
    <row r="1311" ht="14.25" customHeight="1">
      <c r="A1311" s="1" t="s">
        <v>26</v>
      </c>
      <c r="B1311" s="1" t="s">
        <v>3175</v>
      </c>
      <c r="C1311" s="1" t="s">
        <v>6754</v>
      </c>
      <c r="D1311" s="1">
        <v>2.0991497E7</v>
      </c>
      <c r="E1311" s="1" t="s">
        <v>1359</v>
      </c>
      <c r="F1311" s="1" t="s">
        <v>174</v>
      </c>
      <c r="G1311" s="1" t="s">
        <v>631</v>
      </c>
      <c r="H1311" s="1" t="s">
        <v>534</v>
      </c>
      <c r="I1311" s="1">
        <v>39778.0</v>
      </c>
      <c r="J1311" s="1" t="s">
        <v>6755</v>
      </c>
      <c r="K1311" s="1" t="s">
        <v>6756</v>
      </c>
      <c r="L1311" s="1">
        <v>172.0</v>
      </c>
      <c r="M1311" s="1" t="s">
        <v>35</v>
      </c>
      <c r="N1311" s="1" t="s">
        <v>36</v>
      </c>
      <c r="O1311" s="1" t="s">
        <v>37</v>
      </c>
      <c r="P1311" s="1">
        <v>3.7E7</v>
      </c>
      <c r="Q1311" s="1">
        <v>2015.0</v>
      </c>
      <c r="R1311" s="1">
        <v>15000.0</v>
      </c>
      <c r="S1311" s="1">
        <v>14000.0</v>
      </c>
      <c r="T1311" s="1">
        <v>13000.0</v>
      </c>
      <c r="U1311" s="1">
        <v>44037.0</v>
      </c>
      <c r="V1311" s="1">
        <v>488.0</v>
      </c>
      <c r="W1311" s="1">
        <v>11000.0</v>
      </c>
      <c r="X1311" s="1">
        <v>1.0</v>
      </c>
      <c r="Y1311" s="1">
        <v>1.85</v>
      </c>
      <c r="Z1311" s="1">
        <v>5.4</v>
      </c>
    </row>
    <row r="1312" ht="14.25" customHeight="1">
      <c r="A1312" s="1" t="s">
        <v>26</v>
      </c>
      <c r="B1312" s="1" t="s">
        <v>3691</v>
      </c>
      <c r="C1312" s="1" t="s">
        <v>6757</v>
      </c>
      <c r="D1312" s="1">
        <v>1.3052741E7</v>
      </c>
      <c r="E1312" s="1" t="s">
        <v>6130</v>
      </c>
      <c r="F1312" s="1" t="s">
        <v>5540</v>
      </c>
      <c r="G1312" s="1" t="s">
        <v>2548</v>
      </c>
      <c r="H1312" s="1" t="s">
        <v>1981</v>
      </c>
      <c r="I1312" s="1">
        <v>8531.0</v>
      </c>
      <c r="J1312" s="1" t="s">
        <v>6758</v>
      </c>
      <c r="K1312" s="1" t="s">
        <v>6759</v>
      </c>
      <c r="L1312" s="1">
        <v>57.0</v>
      </c>
      <c r="M1312" s="1" t="s">
        <v>35</v>
      </c>
      <c r="N1312" s="1" t="s">
        <v>36</v>
      </c>
      <c r="O1312" s="1" t="s">
        <v>37</v>
      </c>
      <c r="P1312" s="1">
        <v>3.6E7</v>
      </c>
      <c r="Q1312" s="1">
        <v>1996.0</v>
      </c>
      <c r="R1312" s="1">
        <v>2000.0</v>
      </c>
      <c r="S1312" s="1">
        <v>912.0</v>
      </c>
      <c r="T1312" s="1">
        <v>723.0</v>
      </c>
      <c r="U1312" s="1">
        <v>3968.0</v>
      </c>
      <c r="V1312" s="1">
        <v>0.0</v>
      </c>
      <c r="W1312" s="1">
        <v>591.0</v>
      </c>
      <c r="X1312" s="1">
        <v>0.0</v>
      </c>
      <c r="Y1312" s="1">
        <v>1.85</v>
      </c>
      <c r="Z1312" s="1">
        <v>6.7</v>
      </c>
    </row>
    <row r="1313" ht="14.25" customHeight="1">
      <c r="A1313" s="1" t="s">
        <v>26</v>
      </c>
      <c r="B1313" s="1" t="s">
        <v>6760</v>
      </c>
      <c r="C1313" s="1" t="s">
        <v>6761</v>
      </c>
      <c r="D1313" s="1">
        <v>1.4378353E7</v>
      </c>
      <c r="E1313" s="1" t="s">
        <v>3113</v>
      </c>
      <c r="F1313" s="1" t="s">
        <v>929</v>
      </c>
      <c r="G1313" s="1" t="s">
        <v>6762</v>
      </c>
      <c r="H1313" s="1" t="s">
        <v>3520</v>
      </c>
      <c r="I1313" s="1">
        <v>12375.0</v>
      </c>
      <c r="J1313" s="1" t="s">
        <v>6763</v>
      </c>
      <c r="K1313" s="1" t="s">
        <v>6764</v>
      </c>
      <c r="L1313" s="1">
        <v>194.0</v>
      </c>
      <c r="M1313" s="1" t="s">
        <v>35</v>
      </c>
      <c r="N1313" s="1" t="s">
        <v>36</v>
      </c>
      <c r="O1313" s="1" t="s">
        <v>37</v>
      </c>
      <c r="P1313" s="1">
        <v>3.6E7</v>
      </c>
      <c r="Q1313" s="1">
        <v>1999.0</v>
      </c>
      <c r="R1313" s="1">
        <v>746.0</v>
      </c>
      <c r="S1313" s="1">
        <v>602.0</v>
      </c>
      <c r="T1313" s="1">
        <v>577.0</v>
      </c>
      <c r="U1313" s="1">
        <v>2393.0</v>
      </c>
      <c r="V1313" s="1">
        <v>96.0</v>
      </c>
      <c r="W1313" s="1">
        <v>846.0</v>
      </c>
      <c r="X1313" s="1">
        <v>1.0</v>
      </c>
      <c r="Y1313" s="1">
        <v>2.35</v>
      </c>
      <c r="Z1313" s="1">
        <v>6.8</v>
      </c>
    </row>
    <row r="1314" ht="14.25" customHeight="1">
      <c r="A1314" s="1" t="s">
        <v>26</v>
      </c>
      <c r="B1314" s="1" t="s">
        <v>3345</v>
      </c>
      <c r="C1314" s="1" t="s">
        <v>6765</v>
      </c>
      <c r="D1314" s="1">
        <v>3.3037754E7</v>
      </c>
      <c r="E1314" s="1" t="s">
        <v>5758</v>
      </c>
      <c r="F1314" s="1" t="s">
        <v>726</v>
      </c>
      <c r="G1314" s="1" t="s">
        <v>6766</v>
      </c>
      <c r="H1314" s="1" t="s">
        <v>1167</v>
      </c>
      <c r="I1314" s="1">
        <v>75864.0</v>
      </c>
      <c r="J1314" s="1" t="s">
        <v>6767</v>
      </c>
      <c r="K1314" s="1" t="s">
        <v>6768</v>
      </c>
      <c r="L1314" s="1">
        <v>197.0</v>
      </c>
      <c r="M1314" s="1" t="s">
        <v>35</v>
      </c>
      <c r="N1314" s="1" t="s">
        <v>36</v>
      </c>
      <c r="O1314" s="1" t="s">
        <v>37</v>
      </c>
      <c r="P1314" s="1">
        <v>3.7E7</v>
      </c>
      <c r="Q1314" s="1">
        <v>2011.0</v>
      </c>
      <c r="R1314" s="1">
        <v>12000.0</v>
      </c>
      <c r="S1314" s="1">
        <v>3000.0</v>
      </c>
      <c r="T1314" s="1">
        <v>2000.0</v>
      </c>
      <c r="U1314" s="1">
        <v>19904.0</v>
      </c>
      <c r="V1314" s="1">
        <v>101.0</v>
      </c>
      <c r="W1314" s="1">
        <v>23000.0</v>
      </c>
      <c r="X1314" s="1">
        <v>1.0</v>
      </c>
      <c r="Y1314" s="1">
        <v>2.35</v>
      </c>
      <c r="Z1314" s="1">
        <v>6.0</v>
      </c>
    </row>
    <row r="1315" ht="14.25" customHeight="1">
      <c r="A1315" s="1" t="s">
        <v>26</v>
      </c>
      <c r="B1315" s="1" t="s">
        <v>5055</v>
      </c>
      <c r="C1315" s="1" t="s">
        <v>6769</v>
      </c>
      <c r="D1315" s="1">
        <v>1.2339633E7</v>
      </c>
      <c r="E1315" s="1" t="s">
        <v>2566</v>
      </c>
      <c r="F1315" s="1" t="s">
        <v>6770</v>
      </c>
      <c r="G1315" s="1" t="s">
        <v>4009</v>
      </c>
      <c r="H1315" s="1" t="s">
        <v>6771</v>
      </c>
      <c r="I1315" s="1">
        <v>220591.0</v>
      </c>
      <c r="J1315" s="1" t="s">
        <v>6772</v>
      </c>
      <c r="K1315" s="1" t="s">
        <v>6773</v>
      </c>
      <c r="L1315" s="1">
        <v>641.0</v>
      </c>
      <c r="M1315" s="1" t="s">
        <v>35</v>
      </c>
      <c r="N1315" s="1" t="s">
        <v>36</v>
      </c>
      <c r="O1315" s="1" t="s">
        <v>37</v>
      </c>
      <c r="P1315" s="1">
        <v>3.6E7</v>
      </c>
      <c r="Q1315" s="1">
        <v>1997.0</v>
      </c>
      <c r="R1315" s="1">
        <v>685.0</v>
      </c>
      <c r="S1315" s="1">
        <v>485.0</v>
      </c>
      <c r="T1315" s="1">
        <v>263.0</v>
      </c>
      <c r="U1315" s="1">
        <v>1942.0</v>
      </c>
      <c r="V1315" s="1">
        <v>487.0</v>
      </c>
      <c r="W1315" s="1">
        <v>17000.0</v>
      </c>
      <c r="X1315" s="1">
        <v>2.0</v>
      </c>
      <c r="Y1315" s="1">
        <v>2.35</v>
      </c>
      <c r="Z1315" s="1">
        <v>7.8</v>
      </c>
    </row>
    <row r="1316" ht="14.25" customHeight="1">
      <c r="A1316" s="1" t="s">
        <v>26</v>
      </c>
      <c r="B1316" s="1" t="s">
        <v>5020</v>
      </c>
      <c r="C1316" s="1" t="s">
        <v>6774</v>
      </c>
      <c r="D1316" s="1">
        <v>2954405.0</v>
      </c>
      <c r="E1316" s="1" t="s">
        <v>6775</v>
      </c>
      <c r="F1316" s="1" t="s">
        <v>3930</v>
      </c>
      <c r="G1316" s="1" t="s">
        <v>1329</v>
      </c>
      <c r="H1316" s="1" t="s">
        <v>6148</v>
      </c>
      <c r="I1316" s="1">
        <v>1977.0</v>
      </c>
      <c r="J1316" s="1" t="s">
        <v>6776</v>
      </c>
      <c r="K1316" s="1" t="s">
        <v>6777</v>
      </c>
      <c r="L1316" s="1">
        <v>64.0</v>
      </c>
      <c r="M1316" s="1" t="s">
        <v>35</v>
      </c>
      <c r="N1316" s="1" t="s">
        <v>36</v>
      </c>
      <c r="O1316" s="1" t="s">
        <v>628</v>
      </c>
      <c r="P1316" s="1">
        <v>3.6E7</v>
      </c>
      <c r="Q1316" s="1">
        <v>2000.0</v>
      </c>
      <c r="R1316" s="1">
        <v>944.0</v>
      </c>
      <c r="S1316" s="1">
        <v>886.0</v>
      </c>
      <c r="T1316" s="1">
        <v>450.0</v>
      </c>
      <c r="U1316" s="1">
        <v>2928.0</v>
      </c>
      <c r="V1316" s="1">
        <v>31.0</v>
      </c>
      <c r="W1316" s="1">
        <v>133.0</v>
      </c>
      <c r="X1316" s="1">
        <v>0.0</v>
      </c>
      <c r="Y1316" s="1">
        <v>1.85</v>
      </c>
      <c r="Z1316" s="1">
        <v>5.3</v>
      </c>
    </row>
    <row r="1317" ht="14.25" customHeight="1">
      <c r="A1317" s="1" t="s">
        <v>26</v>
      </c>
      <c r="B1317" s="1" t="s">
        <v>1397</v>
      </c>
      <c r="C1317" s="1" t="s">
        <v>6778</v>
      </c>
      <c r="D1317" s="1">
        <v>3.0105968E7</v>
      </c>
      <c r="E1317" s="1" t="s">
        <v>596</v>
      </c>
      <c r="F1317" s="1" t="s">
        <v>4873</v>
      </c>
      <c r="G1317" s="1" t="s">
        <v>6779</v>
      </c>
      <c r="H1317" s="1" t="s">
        <v>6780</v>
      </c>
      <c r="I1317" s="1">
        <v>8860.0</v>
      </c>
      <c r="J1317" s="1" t="s">
        <v>6781</v>
      </c>
      <c r="K1317" s="1" t="s">
        <v>6782</v>
      </c>
      <c r="L1317" s="1">
        <v>45.0</v>
      </c>
      <c r="M1317" s="1" t="s">
        <v>35</v>
      </c>
      <c r="N1317" s="1" t="s">
        <v>36</v>
      </c>
      <c r="O1317" s="1" t="s">
        <v>269</v>
      </c>
      <c r="P1317" s="1">
        <v>3.7E7</v>
      </c>
      <c r="Q1317" s="1">
        <v>2008.0</v>
      </c>
      <c r="R1317" s="1">
        <v>541.0</v>
      </c>
      <c r="S1317" s="1">
        <v>521.0</v>
      </c>
      <c r="T1317" s="1">
        <v>387.0</v>
      </c>
      <c r="U1317" s="1">
        <v>2268.0</v>
      </c>
      <c r="V1317" s="1">
        <v>16.0</v>
      </c>
      <c r="W1317" s="1">
        <v>279.0</v>
      </c>
      <c r="X1317" s="1">
        <v>0.0</v>
      </c>
      <c r="Y1317" s="1">
        <v>2.35</v>
      </c>
      <c r="Z1317" s="1">
        <v>4.5</v>
      </c>
    </row>
    <row r="1318" ht="14.25" customHeight="1">
      <c r="A1318" s="1" t="s">
        <v>26</v>
      </c>
      <c r="B1318" s="1" t="s">
        <v>6783</v>
      </c>
      <c r="C1318" s="1" t="s">
        <v>6784</v>
      </c>
      <c r="D1318" s="1">
        <v>3.7788228E7</v>
      </c>
      <c r="E1318" s="1" t="s">
        <v>1885</v>
      </c>
      <c r="F1318" s="1" t="s">
        <v>767</v>
      </c>
      <c r="G1318" s="1" t="s">
        <v>4388</v>
      </c>
      <c r="H1318" s="1" t="s">
        <v>3979</v>
      </c>
      <c r="I1318" s="1">
        <v>15046.0</v>
      </c>
      <c r="J1318" s="1" t="s">
        <v>6785</v>
      </c>
      <c r="K1318" s="1" t="s">
        <v>6786</v>
      </c>
      <c r="L1318" s="1">
        <v>80.0</v>
      </c>
      <c r="M1318" s="1" t="s">
        <v>35</v>
      </c>
      <c r="N1318" s="1" t="s">
        <v>36</v>
      </c>
      <c r="O1318" s="1" t="s">
        <v>37</v>
      </c>
      <c r="P1318" s="1">
        <v>3.52E7</v>
      </c>
      <c r="Q1318" s="1">
        <v>2003.0</v>
      </c>
      <c r="R1318" s="1">
        <v>1000.0</v>
      </c>
      <c r="S1318" s="1">
        <v>812.0</v>
      </c>
      <c r="T1318" s="1">
        <v>642.0</v>
      </c>
      <c r="U1318" s="1">
        <v>4537.0</v>
      </c>
      <c r="V1318" s="1">
        <v>0.0</v>
      </c>
      <c r="W1318" s="1">
        <v>638.0</v>
      </c>
      <c r="X1318" s="1">
        <v>1.0</v>
      </c>
      <c r="Y1318" s="1">
        <v>1.85</v>
      </c>
      <c r="Z1318" s="1">
        <v>5.4</v>
      </c>
    </row>
    <row r="1319" ht="14.25" customHeight="1">
      <c r="A1319" s="1" t="s">
        <v>26</v>
      </c>
      <c r="B1319" s="1" t="s">
        <v>2436</v>
      </c>
      <c r="C1319" s="1" t="s">
        <v>6787</v>
      </c>
      <c r="D1319" s="1">
        <v>2.77313371E8</v>
      </c>
      <c r="E1319" s="1" t="s">
        <v>1885</v>
      </c>
      <c r="F1319" s="1" t="s">
        <v>631</v>
      </c>
      <c r="G1319" s="1" t="s">
        <v>4254</v>
      </c>
      <c r="H1319" s="1" t="s">
        <v>4977</v>
      </c>
      <c r="I1319" s="1">
        <v>583341.0</v>
      </c>
      <c r="J1319" s="1" t="s">
        <v>6788</v>
      </c>
      <c r="K1319" s="1" t="s">
        <v>6789</v>
      </c>
      <c r="L1319" s="1">
        <v>626.0</v>
      </c>
      <c r="M1319" s="1" t="s">
        <v>35</v>
      </c>
      <c r="N1319" s="1" t="s">
        <v>36</v>
      </c>
      <c r="O1319" s="1" t="s">
        <v>628</v>
      </c>
      <c r="P1319" s="1">
        <v>3.5E7</v>
      </c>
      <c r="Q1319" s="1">
        <v>2009.0</v>
      </c>
      <c r="R1319" s="1">
        <v>14000.0</v>
      </c>
      <c r="S1319" s="1">
        <v>839.0</v>
      </c>
      <c r="T1319" s="1">
        <v>706.0</v>
      </c>
      <c r="U1319" s="1">
        <v>17623.0</v>
      </c>
      <c r="V1319" s="1">
        <v>480.0</v>
      </c>
      <c r="W1319" s="1">
        <v>24000.0</v>
      </c>
      <c r="X1319" s="1">
        <v>3.0</v>
      </c>
      <c r="Y1319" s="1">
        <v>2.35</v>
      </c>
      <c r="Z1319" s="1">
        <v>7.8</v>
      </c>
    </row>
    <row r="1320" ht="14.25" customHeight="1">
      <c r="A1320" s="1" t="s">
        <v>26</v>
      </c>
      <c r="B1320" s="1" t="s">
        <v>6790</v>
      </c>
      <c r="C1320" s="1" t="s">
        <v>6791</v>
      </c>
      <c r="D1320" s="1">
        <v>2126511.0</v>
      </c>
      <c r="E1320" s="1" t="s">
        <v>6792</v>
      </c>
      <c r="F1320" s="1" t="s">
        <v>2439</v>
      </c>
      <c r="G1320" s="1" t="s">
        <v>6793</v>
      </c>
      <c r="H1320" s="1" t="s">
        <v>6794</v>
      </c>
      <c r="I1320" s="1">
        <v>21912.0</v>
      </c>
      <c r="J1320" s="1" t="s">
        <v>6795</v>
      </c>
      <c r="K1320" s="1" t="s">
        <v>6796</v>
      </c>
      <c r="L1320" s="1">
        <v>45.0</v>
      </c>
      <c r="M1320" s="1" t="s">
        <v>6797</v>
      </c>
      <c r="N1320" s="1" t="s">
        <v>3659</v>
      </c>
      <c r="O1320" s="1" t="s">
        <v>37</v>
      </c>
      <c r="P1320" s="1">
        <v>3.6E7</v>
      </c>
      <c r="Q1320" s="1">
        <v>2015.0</v>
      </c>
      <c r="R1320" s="1">
        <v>461.0</v>
      </c>
      <c r="S1320" s="1">
        <v>79.0</v>
      </c>
      <c r="T1320" s="1">
        <v>51.0</v>
      </c>
      <c r="U1320" s="1">
        <v>615.0</v>
      </c>
      <c r="V1320" s="1">
        <v>25.0</v>
      </c>
      <c r="W1320" s="1">
        <v>12000.0</v>
      </c>
      <c r="X1320" s="1">
        <v>0.0</v>
      </c>
      <c r="Y1320" s="1">
        <v>2.35</v>
      </c>
      <c r="Z1320" s="1">
        <v>7.2</v>
      </c>
    </row>
    <row r="1321" ht="14.25" customHeight="1">
      <c r="A1321" s="1" t="s">
        <v>26</v>
      </c>
      <c r="B1321" s="1" t="s">
        <v>1883</v>
      </c>
      <c r="C1321" s="1" t="s">
        <v>6798</v>
      </c>
      <c r="D1321" s="1">
        <v>2.05399422E8</v>
      </c>
      <c r="E1321" s="1" t="s">
        <v>1319</v>
      </c>
      <c r="F1321" s="1" t="s">
        <v>5040</v>
      </c>
      <c r="G1321" s="1" t="s">
        <v>1202</v>
      </c>
      <c r="H1321" s="1" t="s">
        <v>3652</v>
      </c>
      <c r="I1321" s="1">
        <v>181225.0</v>
      </c>
      <c r="J1321" s="1" t="s">
        <v>6799</v>
      </c>
      <c r="K1321" s="1" t="s">
        <v>6800</v>
      </c>
      <c r="L1321" s="1">
        <v>784.0</v>
      </c>
      <c r="M1321" s="1" t="s">
        <v>35</v>
      </c>
      <c r="N1321" s="1" t="s">
        <v>36</v>
      </c>
      <c r="O1321" s="1" t="s">
        <v>37</v>
      </c>
      <c r="P1321" s="1">
        <v>3.3E7</v>
      </c>
      <c r="Q1321" s="1">
        <v>1999.0</v>
      </c>
      <c r="R1321" s="1">
        <v>45000.0</v>
      </c>
      <c r="S1321" s="1">
        <v>645.0</v>
      </c>
      <c r="T1321" s="1">
        <v>481.0</v>
      </c>
      <c r="U1321" s="1">
        <v>47203.0</v>
      </c>
      <c r="V1321" s="1">
        <v>116.0</v>
      </c>
      <c r="W1321" s="1">
        <v>0.0</v>
      </c>
      <c r="X1321" s="1">
        <v>1.0</v>
      </c>
      <c r="Y1321" s="1">
        <v>2.35</v>
      </c>
      <c r="Z1321" s="1">
        <v>6.6</v>
      </c>
    </row>
    <row r="1322" ht="14.25" customHeight="1">
      <c r="A1322" s="1" t="s">
        <v>26</v>
      </c>
      <c r="B1322" s="1" t="s">
        <v>247</v>
      </c>
      <c r="C1322" s="1" t="s">
        <v>6801</v>
      </c>
      <c r="D1322" s="1">
        <v>2.51188924E8</v>
      </c>
      <c r="E1322" s="1" t="s">
        <v>119</v>
      </c>
      <c r="F1322" s="1" t="s">
        <v>1271</v>
      </c>
      <c r="G1322" s="1" t="s">
        <v>4408</v>
      </c>
      <c r="H1322" s="1" t="s">
        <v>6802</v>
      </c>
      <c r="I1322" s="1">
        <v>269033.0</v>
      </c>
      <c r="J1322" s="1" t="s">
        <v>6803</v>
      </c>
      <c r="K1322" s="1" t="s">
        <v>6804</v>
      </c>
      <c r="L1322" s="1">
        <v>817.0</v>
      </c>
      <c r="M1322" s="1" t="s">
        <v>35</v>
      </c>
      <c r="N1322" s="1" t="s">
        <v>36</v>
      </c>
      <c r="O1322" s="1" t="s">
        <v>37</v>
      </c>
      <c r="P1322" s="1">
        <v>3.5E7</v>
      </c>
      <c r="Q1322" s="1">
        <v>1989.0</v>
      </c>
      <c r="R1322" s="1">
        <v>920.0</v>
      </c>
      <c r="S1322" s="1">
        <v>549.0</v>
      </c>
      <c r="T1322" s="1">
        <v>488.0</v>
      </c>
      <c r="U1322" s="1">
        <v>2725.0</v>
      </c>
      <c r="V1322" s="1">
        <v>13000.0</v>
      </c>
      <c r="W1322" s="1">
        <v>12000.0</v>
      </c>
      <c r="X1322" s="1">
        <v>0.0</v>
      </c>
      <c r="Y1322" s="1">
        <v>1.85</v>
      </c>
      <c r="Z1322" s="1">
        <v>7.6</v>
      </c>
    </row>
    <row r="1323" ht="14.25" customHeight="1">
      <c r="A1323" s="1" t="s">
        <v>26</v>
      </c>
      <c r="B1323" s="1" t="s">
        <v>5141</v>
      </c>
      <c r="C1323" s="1" t="s">
        <v>6805</v>
      </c>
      <c r="D1323" s="1">
        <v>1068392.0</v>
      </c>
      <c r="E1323" s="1" t="s">
        <v>6806</v>
      </c>
      <c r="F1323" s="1" t="s">
        <v>1145</v>
      </c>
      <c r="G1323" s="1" t="s">
        <v>1286</v>
      </c>
      <c r="H1323" s="1" t="s">
        <v>6807</v>
      </c>
      <c r="I1323" s="1">
        <v>3865.0</v>
      </c>
      <c r="J1323" s="1" t="s">
        <v>6808</v>
      </c>
      <c r="K1323" s="1" t="s">
        <v>6809</v>
      </c>
      <c r="L1323" s="1">
        <v>53.0</v>
      </c>
      <c r="M1323" s="1" t="s">
        <v>35</v>
      </c>
      <c r="N1323" s="1" t="s">
        <v>3393</v>
      </c>
      <c r="O1323" s="1" t="s">
        <v>37</v>
      </c>
      <c r="P1323" s="1">
        <v>3.6E7</v>
      </c>
      <c r="Q1323" s="1">
        <v>2011.0</v>
      </c>
      <c r="R1323" s="1">
        <v>877.0</v>
      </c>
      <c r="S1323" s="1">
        <v>794.0</v>
      </c>
      <c r="T1323" s="1">
        <v>785.0</v>
      </c>
      <c r="U1323" s="1">
        <v>3497.0</v>
      </c>
      <c r="V1323" s="1">
        <v>596.0</v>
      </c>
      <c r="W1323" s="1">
        <v>2000.0</v>
      </c>
      <c r="X1323" s="1">
        <v>0.0</v>
      </c>
      <c r="Y1323" s="1">
        <v>2.35</v>
      </c>
      <c r="Z1323" s="1">
        <v>5.9</v>
      </c>
    </row>
    <row r="1324" ht="14.25" customHeight="1">
      <c r="A1324" s="1" t="s">
        <v>26</v>
      </c>
      <c r="B1324" s="1" t="s">
        <v>1021</v>
      </c>
      <c r="C1324" s="1" t="s">
        <v>6810</v>
      </c>
      <c r="D1324" s="1">
        <v>1.44731527E8</v>
      </c>
      <c r="E1324" s="1" t="s">
        <v>326</v>
      </c>
      <c r="F1324" s="1" t="s">
        <v>1023</v>
      </c>
      <c r="G1324" s="1" t="s">
        <v>2644</v>
      </c>
      <c r="H1324" s="1" t="s">
        <v>3489</v>
      </c>
      <c r="I1324" s="1">
        <v>128010.0</v>
      </c>
      <c r="J1324" s="1" t="s">
        <v>6811</v>
      </c>
      <c r="K1324" s="1" t="s">
        <v>6812</v>
      </c>
      <c r="L1324" s="1">
        <v>136.0</v>
      </c>
      <c r="M1324" s="1" t="s">
        <v>35</v>
      </c>
      <c r="N1324" s="1" t="s">
        <v>36</v>
      </c>
      <c r="O1324" s="1" t="s">
        <v>628</v>
      </c>
      <c r="P1324" s="1">
        <v>3.5E7</v>
      </c>
      <c r="Q1324" s="1">
        <v>1992.0</v>
      </c>
      <c r="R1324" s="1">
        <v>808.0</v>
      </c>
      <c r="S1324" s="1">
        <v>277.0</v>
      </c>
      <c r="T1324" s="1">
        <v>94.0</v>
      </c>
      <c r="U1324" s="1">
        <v>1446.0</v>
      </c>
      <c r="V1324" s="1">
        <v>503.0</v>
      </c>
      <c r="W1324" s="1">
        <v>0.0</v>
      </c>
      <c r="X1324" s="1">
        <v>2.0</v>
      </c>
      <c r="Y1324" s="1">
        <v>2.35</v>
      </c>
      <c r="Z1324" s="1">
        <v>6.7</v>
      </c>
    </row>
    <row r="1325" ht="14.25" customHeight="1">
      <c r="A1325" s="1" t="s">
        <v>26</v>
      </c>
      <c r="B1325" s="1" t="s">
        <v>1973</v>
      </c>
      <c r="C1325" s="1" t="s">
        <v>6813</v>
      </c>
      <c r="D1325" s="1">
        <v>2.55950375E8</v>
      </c>
      <c r="E1325" s="1" t="s">
        <v>1557</v>
      </c>
      <c r="F1325" s="1" t="s">
        <v>6814</v>
      </c>
      <c r="G1325" s="1" t="s">
        <v>6815</v>
      </c>
      <c r="H1325" s="1" t="s">
        <v>2125</v>
      </c>
      <c r="I1325" s="1">
        <v>223127.0</v>
      </c>
      <c r="J1325" s="1" t="s">
        <v>6816</v>
      </c>
      <c r="K1325" s="1" t="s">
        <v>6817</v>
      </c>
      <c r="L1325" s="1">
        <v>420.0</v>
      </c>
      <c r="M1325" s="1" t="s">
        <v>35</v>
      </c>
      <c r="N1325" s="1" t="s">
        <v>36</v>
      </c>
      <c r="O1325" s="1" t="s">
        <v>37</v>
      </c>
      <c r="P1325" s="1">
        <v>2.9E7</v>
      </c>
      <c r="Q1325" s="1">
        <v>2009.0</v>
      </c>
      <c r="R1325" s="1">
        <v>768.0</v>
      </c>
      <c r="S1325" s="1">
        <v>734.0</v>
      </c>
      <c r="T1325" s="1">
        <v>624.0</v>
      </c>
      <c r="U1325" s="1">
        <v>3389.0</v>
      </c>
      <c r="V1325" s="1">
        <v>102.0</v>
      </c>
      <c r="W1325" s="1">
        <v>38000.0</v>
      </c>
      <c r="X1325" s="1">
        <v>0.0</v>
      </c>
      <c r="Y1325" s="1">
        <v>1.85</v>
      </c>
      <c r="Z1325" s="1">
        <v>7.7</v>
      </c>
    </row>
    <row r="1326" ht="14.25" customHeight="1">
      <c r="A1326" s="1" t="s">
        <v>26</v>
      </c>
      <c r="B1326" s="1" t="s">
        <v>4632</v>
      </c>
      <c r="C1326" s="1" t="s">
        <v>6818</v>
      </c>
      <c r="D1326" s="1">
        <v>1.12692062E8</v>
      </c>
      <c r="E1326" s="1" t="s">
        <v>2889</v>
      </c>
      <c r="F1326" s="1" t="s">
        <v>5540</v>
      </c>
      <c r="G1326" s="1" t="s">
        <v>3134</v>
      </c>
      <c r="H1326" s="1" t="s">
        <v>66</v>
      </c>
      <c r="I1326" s="1">
        <v>84325.0</v>
      </c>
      <c r="J1326" s="1" t="s">
        <v>6819</v>
      </c>
      <c r="K1326" s="1" t="s">
        <v>6820</v>
      </c>
      <c r="L1326" s="1">
        <v>205.0</v>
      </c>
      <c r="M1326" s="1" t="s">
        <v>35</v>
      </c>
      <c r="N1326" s="1" t="s">
        <v>36</v>
      </c>
      <c r="O1326" s="1" t="s">
        <v>87</v>
      </c>
      <c r="P1326" s="1">
        <v>3.5E7</v>
      </c>
      <c r="Q1326" s="1">
        <v>2001.0</v>
      </c>
      <c r="R1326" s="1">
        <v>2000.0</v>
      </c>
      <c r="S1326" s="1">
        <v>843.0</v>
      </c>
      <c r="T1326" s="1">
        <v>640.0</v>
      </c>
      <c r="U1326" s="1">
        <v>4499.0</v>
      </c>
      <c r="V1326" s="1">
        <v>0.0</v>
      </c>
      <c r="W1326" s="1">
        <v>0.0</v>
      </c>
      <c r="X1326" s="1">
        <v>0.0</v>
      </c>
      <c r="Y1326" s="1">
        <v>1.85</v>
      </c>
      <c r="Z1326" s="1">
        <v>5.4</v>
      </c>
    </row>
    <row r="1327" ht="14.25" customHeight="1">
      <c r="A1327" s="1" t="s">
        <v>26</v>
      </c>
      <c r="B1327" s="1" t="s">
        <v>2489</v>
      </c>
      <c r="C1327" s="1" t="s">
        <v>6821</v>
      </c>
      <c r="D1327" s="1">
        <v>1.17528646E8</v>
      </c>
      <c r="E1327" s="1" t="s">
        <v>972</v>
      </c>
      <c r="F1327" s="1" t="s">
        <v>112</v>
      </c>
      <c r="G1327" s="1" t="s">
        <v>6063</v>
      </c>
      <c r="H1327" s="1" t="s">
        <v>6822</v>
      </c>
      <c r="I1327" s="1">
        <v>353442.0</v>
      </c>
      <c r="J1327" s="1" t="s">
        <v>6823</v>
      </c>
      <c r="K1327" s="1" t="s">
        <v>6824</v>
      </c>
      <c r="L1327" s="1">
        <v>387.0</v>
      </c>
      <c r="M1327" s="1" t="s">
        <v>35</v>
      </c>
      <c r="N1327" s="1" t="s">
        <v>36</v>
      </c>
      <c r="O1327" s="1" t="s">
        <v>628</v>
      </c>
      <c r="P1327" s="1">
        <v>3.5E7</v>
      </c>
      <c r="Q1327" s="1">
        <v>2011.0</v>
      </c>
      <c r="R1327" s="1">
        <v>18000.0</v>
      </c>
      <c r="S1327" s="1">
        <v>464.0</v>
      </c>
      <c r="T1327" s="1">
        <v>64.0</v>
      </c>
      <c r="U1327" s="1">
        <v>18669.0</v>
      </c>
      <c r="V1327" s="1">
        <v>91.0</v>
      </c>
      <c r="W1327" s="1">
        <v>31000.0</v>
      </c>
      <c r="X1327" s="1">
        <v>5.0</v>
      </c>
      <c r="Y1327" s="1">
        <v>2.35</v>
      </c>
      <c r="Z1327" s="1">
        <v>6.9</v>
      </c>
    </row>
    <row r="1328" ht="14.25" customHeight="1">
      <c r="A1328" s="1" t="s">
        <v>26</v>
      </c>
      <c r="B1328" s="1" t="s">
        <v>6676</v>
      </c>
      <c r="C1328" s="1" t="s">
        <v>6825</v>
      </c>
      <c r="D1328" s="1">
        <v>1.71031347E8</v>
      </c>
      <c r="E1328" s="1" t="s">
        <v>5664</v>
      </c>
      <c r="F1328" s="1" t="s">
        <v>1113</v>
      </c>
      <c r="G1328" s="1" t="s">
        <v>293</v>
      </c>
      <c r="H1328" s="1" t="s">
        <v>6826</v>
      </c>
      <c r="I1328" s="1">
        <v>240962.0</v>
      </c>
      <c r="J1328" s="1" t="s">
        <v>6827</v>
      </c>
      <c r="K1328" s="1" t="s">
        <v>6828</v>
      </c>
      <c r="L1328" s="1">
        <v>724.0</v>
      </c>
      <c r="M1328" s="1" t="s">
        <v>35</v>
      </c>
      <c r="N1328" s="1" t="s">
        <v>36</v>
      </c>
      <c r="O1328" s="1" t="s">
        <v>37</v>
      </c>
      <c r="P1328" s="1">
        <v>3.8E7</v>
      </c>
      <c r="Q1328" s="1">
        <v>2010.0</v>
      </c>
      <c r="R1328" s="1">
        <v>13000.0</v>
      </c>
      <c r="S1328" s="1">
        <v>12000.0</v>
      </c>
      <c r="T1328" s="1">
        <v>538.0</v>
      </c>
      <c r="U1328" s="1">
        <v>25964.0</v>
      </c>
      <c r="V1328" s="1">
        <v>1000.0</v>
      </c>
      <c r="W1328" s="1">
        <v>36000.0</v>
      </c>
      <c r="X1328" s="1">
        <v>0.0</v>
      </c>
      <c r="Y1328" s="1">
        <v>2.35</v>
      </c>
      <c r="Z1328" s="1">
        <v>7.7</v>
      </c>
    </row>
    <row r="1329" ht="14.25" customHeight="1">
      <c r="A1329" s="1" t="s">
        <v>26</v>
      </c>
      <c r="B1329" s="1" t="s">
        <v>3729</v>
      </c>
      <c r="C1329" s="1" t="s">
        <v>6829</v>
      </c>
      <c r="D1329" s="1">
        <v>1.24732962E8</v>
      </c>
      <c r="E1329" s="1" t="s">
        <v>1359</v>
      </c>
      <c r="F1329" s="1" t="s">
        <v>2286</v>
      </c>
      <c r="G1329" s="1" t="s">
        <v>249</v>
      </c>
      <c r="H1329" s="1" t="s">
        <v>6830</v>
      </c>
      <c r="I1329" s="1">
        <v>286178.0</v>
      </c>
      <c r="J1329" s="1" t="s">
        <v>6831</v>
      </c>
      <c r="K1329" s="1" t="s">
        <v>6832</v>
      </c>
      <c r="L1329" s="1">
        <v>631.0</v>
      </c>
      <c r="M1329" s="1" t="s">
        <v>35</v>
      </c>
      <c r="N1329" s="1" t="s">
        <v>36</v>
      </c>
      <c r="O1329" s="1" t="s">
        <v>37</v>
      </c>
      <c r="P1329" s="1">
        <v>3.5E7</v>
      </c>
      <c r="Q1329" s="1">
        <v>2006.0</v>
      </c>
      <c r="R1329" s="1">
        <v>11000.0</v>
      </c>
      <c r="S1329" s="1">
        <v>11000.0</v>
      </c>
      <c r="T1329" s="1">
        <v>505.0</v>
      </c>
      <c r="U1329" s="1">
        <v>23923.0</v>
      </c>
      <c r="V1329" s="1">
        <v>64.0</v>
      </c>
      <c r="W1329" s="1">
        <v>0.0</v>
      </c>
      <c r="X1329" s="1">
        <v>0.0</v>
      </c>
      <c r="Y1329" s="1">
        <v>2.35</v>
      </c>
      <c r="Z1329" s="1">
        <v>6.8</v>
      </c>
    </row>
    <row r="1330" ht="14.25" customHeight="1">
      <c r="A1330" s="1" t="s">
        <v>26</v>
      </c>
      <c r="B1330" s="1" t="s">
        <v>6833</v>
      </c>
      <c r="C1330" s="1" t="s">
        <v>6834</v>
      </c>
      <c r="D1330" s="1">
        <v>8.23E7</v>
      </c>
      <c r="E1330" s="1" t="s">
        <v>1325</v>
      </c>
      <c r="F1330" s="1" t="s">
        <v>992</v>
      </c>
      <c r="G1330" s="1" t="s">
        <v>6835</v>
      </c>
      <c r="H1330" s="1" t="s">
        <v>6836</v>
      </c>
      <c r="I1330" s="1">
        <v>63330.0</v>
      </c>
      <c r="J1330" s="1" t="s">
        <v>6837</v>
      </c>
      <c r="K1330" s="1" t="s">
        <v>6838</v>
      </c>
      <c r="L1330" s="1">
        <v>405.0</v>
      </c>
      <c r="M1330" s="1" t="s">
        <v>35</v>
      </c>
      <c r="N1330" s="1" t="s">
        <v>36</v>
      </c>
      <c r="O1330" s="1" t="s">
        <v>87</v>
      </c>
      <c r="P1330" s="1">
        <v>3.5E7</v>
      </c>
      <c r="Q1330" s="1">
        <v>1979.0</v>
      </c>
      <c r="R1330" s="1">
        <v>12000.0</v>
      </c>
      <c r="S1330" s="1">
        <v>664.0</v>
      </c>
      <c r="T1330" s="1">
        <v>643.0</v>
      </c>
      <c r="U1330" s="1">
        <v>16007.0</v>
      </c>
      <c r="V1330" s="1">
        <v>338.0</v>
      </c>
      <c r="W1330" s="1">
        <v>0.0</v>
      </c>
      <c r="X1330" s="1">
        <v>2.0</v>
      </c>
      <c r="Y1330" s="1">
        <v>2.35</v>
      </c>
      <c r="Z1330" s="1">
        <v>6.4</v>
      </c>
    </row>
    <row r="1331" ht="14.25" customHeight="1">
      <c r="A1331" s="1" t="s">
        <v>26</v>
      </c>
      <c r="B1331" s="1" t="s">
        <v>2489</v>
      </c>
      <c r="C1331" s="1" t="s">
        <v>6839</v>
      </c>
      <c r="D1331" s="1">
        <v>1.34455175E8</v>
      </c>
      <c r="E1331" s="1" t="s">
        <v>972</v>
      </c>
      <c r="F1331" s="1" t="s">
        <v>243</v>
      </c>
      <c r="G1331" s="1" t="s">
        <v>2817</v>
      </c>
      <c r="H1331" s="1" t="s">
        <v>1122</v>
      </c>
      <c r="I1331" s="1">
        <v>97664.0</v>
      </c>
      <c r="J1331" s="1" t="s">
        <v>6840</v>
      </c>
      <c r="K1331" s="1" t="s">
        <v>6841</v>
      </c>
      <c r="L1331" s="1">
        <v>232.0</v>
      </c>
      <c r="M1331" s="1" t="s">
        <v>35</v>
      </c>
      <c r="N1331" s="1" t="s">
        <v>36</v>
      </c>
      <c r="O1331" s="1" t="s">
        <v>628</v>
      </c>
      <c r="P1331" s="1">
        <v>3.5E7</v>
      </c>
      <c r="Q1331" s="1">
        <v>2013.0</v>
      </c>
      <c r="R1331" s="1">
        <v>4000.0</v>
      </c>
      <c r="S1331" s="1">
        <v>904.0</v>
      </c>
      <c r="T1331" s="1">
        <v>680.0</v>
      </c>
      <c r="U1331" s="1">
        <v>5826.0</v>
      </c>
      <c r="V1331" s="1">
        <v>91.0</v>
      </c>
      <c r="W1331" s="1">
        <v>17000.0</v>
      </c>
      <c r="X1331" s="1">
        <v>2.0</v>
      </c>
      <c r="Y1331" s="1">
        <v>2.35</v>
      </c>
      <c r="Z1331" s="1">
        <v>5.7</v>
      </c>
    </row>
    <row r="1332" ht="14.25" customHeight="1">
      <c r="A1332" s="1" t="s">
        <v>26</v>
      </c>
      <c r="B1332" s="1" t="s">
        <v>472</v>
      </c>
      <c r="C1332" s="1" t="s">
        <v>6842</v>
      </c>
      <c r="D1332" s="1">
        <v>7.91E7</v>
      </c>
      <c r="E1332" s="1" t="s">
        <v>1458</v>
      </c>
      <c r="F1332" s="1" t="s">
        <v>1663</v>
      </c>
      <c r="G1332" s="1" t="s">
        <v>6843</v>
      </c>
      <c r="H1332" s="1" t="s">
        <v>1449</v>
      </c>
      <c r="I1332" s="1">
        <v>127503.0</v>
      </c>
      <c r="J1332" s="1" t="s">
        <v>6844</v>
      </c>
      <c r="K1332" s="1" t="s">
        <v>6845</v>
      </c>
      <c r="L1332" s="1">
        <v>261.0</v>
      </c>
      <c r="M1332" s="1" t="s">
        <v>35</v>
      </c>
      <c r="N1332" s="1" t="s">
        <v>36</v>
      </c>
      <c r="O1332" s="1" t="s">
        <v>628</v>
      </c>
      <c r="P1332" s="1">
        <v>3.5E7</v>
      </c>
      <c r="Q1332" s="1">
        <v>1991.0</v>
      </c>
      <c r="R1332" s="1">
        <v>22000.0</v>
      </c>
      <c r="S1332" s="1">
        <v>1000.0</v>
      </c>
      <c r="T1332" s="1">
        <v>387.0</v>
      </c>
      <c r="U1332" s="1">
        <v>24006.0</v>
      </c>
      <c r="V1332" s="1">
        <v>17000.0</v>
      </c>
      <c r="W1332" s="1">
        <v>0.0</v>
      </c>
      <c r="X1332" s="1">
        <v>0.0</v>
      </c>
      <c r="Y1332" s="1">
        <v>2.35</v>
      </c>
      <c r="Z1332" s="1">
        <v>7.3</v>
      </c>
    </row>
    <row r="1333" ht="14.25" customHeight="1">
      <c r="A1333" s="1" t="s">
        <v>26</v>
      </c>
      <c r="B1333" s="1" t="s">
        <v>2942</v>
      </c>
      <c r="C1333" s="1">
        <v>21.0</v>
      </c>
      <c r="D1333" s="1">
        <v>8.1159365E7</v>
      </c>
      <c r="E1333" s="1" t="s">
        <v>2045</v>
      </c>
      <c r="F1333" s="1" t="s">
        <v>112</v>
      </c>
      <c r="G1333" s="1" t="s">
        <v>1767</v>
      </c>
      <c r="H1333" s="1" t="s">
        <v>793</v>
      </c>
      <c r="I1333" s="1">
        <v>191470.0</v>
      </c>
      <c r="J1333" s="1" t="s">
        <v>6846</v>
      </c>
      <c r="K1333" s="1" t="s">
        <v>6847</v>
      </c>
      <c r="L1333" s="1">
        <v>278.0</v>
      </c>
      <c r="M1333" s="1" t="s">
        <v>35</v>
      </c>
      <c r="N1333" s="1" t="s">
        <v>36</v>
      </c>
      <c r="O1333" s="1" t="s">
        <v>37</v>
      </c>
      <c r="P1333" s="1">
        <v>3.5E7</v>
      </c>
      <c r="Q1333" s="1">
        <v>2008.0</v>
      </c>
      <c r="R1333" s="1">
        <v>18000.0</v>
      </c>
      <c r="S1333" s="1">
        <v>5000.0</v>
      </c>
      <c r="T1333" s="1">
        <v>1000.0</v>
      </c>
      <c r="U1333" s="1">
        <v>25661.0</v>
      </c>
      <c r="V1333" s="1">
        <v>126.0</v>
      </c>
      <c r="W1333" s="1">
        <v>0.0</v>
      </c>
      <c r="X1333" s="1">
        <v>2.0</v>
      </c>
      <c r="Y1333" s="1">
        <v>2.35</v>
      </c>
      <c r="Z1333" s="1">
        <v>6.8</v>
      </c>
    </row>
    <row r="1334" ht="14.25" customHeight="1">
      <c r="A1334" s="1" t="s">
        <v>26</v>
      </c>
      <c r="B1334" s="1" t="s">
        <v>3052</v>
      </c>
      <c r="C1334" s="1" t="s">
        <v>6848</v>
      </c>
      <c r="D1334" s="1">
        <v>1.1000826E8</v>
      </c>
      <c r="E1334" s="1" t="s">
        <v>1598</v>
      </c>
      <c r="F1334" s="1" t="s">
        <v>6849</v>
      </c>
      <c r="G1334" s="1" t="s">
        <v>5803</v>
      </c>
      <c r="H1334" s="1" t="s">
        <v>6850</v>
      </c>
      <c r="I1334" s="1">
        <v>94241.0</v>
      </c>
      <c r="J1334" s="1" t="s">
        <v>6851</v>
      </c>
      <c r="K1334" s="1" t="s">
        <v>6852</v>
      </c>
      <c r="L1334" s="1">
        <v>309.0</v>
      </c>
      <c r="M1334" s="1" t="s">
        <v>35</v>
      </c>
      <c r="N1334" s="1" t="s">
        <v>2821</v>
      </c>
      <c r="O1334" s="1" t="s">
        <v>628</v>
      </c>
      <c r="P1334" s="1">
        <v>3.5E7</v>
      </c>
      <c r="Q1334" s="1">
        <v>2015.0</v>
      </c>
      <c r="R1334" s="1">
        <v>492.0</v>
      </c>
      <c r="S1334" s="1">
        <v>392.0</v>
      </c>
      <c r="T1334" s="1">
        <v>213.0</v>
      </c>
      <c r="U1334" s="1">
        <v>1450.0</v>
      </c>
      <c r="V1334" s="1">
        <v>0.0</v>
      </c>
      <c r="W1334" s="1">
        <v>25000.0</v>
      </c>
      <c r="X1334" s="1">
        <v>1.0</v>
      </c>
      <c r="Y1334" s="1">
        <v>2.35</v>
      </c>
      <c r="Z1334" s="1">
        <v>6.3</v>
      </c>
    </row>
    <row r="1335" ht="14.25" customHeight="1">
      <c r="A1335" s="1" t="s">
        <v>26</v>
      </c>
      <c r="B1335" s="1" t="s">
        <v>6853</v>
      </c>
      <c r="C1335" s="1" t="s">
        <v>6854</v>
      </c>
      <c r="D1335" s="1">
        <v>6.7962333E7</v>
      </c>
      <c r="E1335" s="1" t="s">
        <v>1598</v>
      </c>
      <c r="F1335" s="1" t="s">
        <v>767</v>
      </c>
      <c r="G1335" s="1" t="s">
        <v>6855</v>
      </c>
      <c r="H1335" s="1" t="s">
        <v>6856</v>
      </c>
      <c r="I1335" s="1">
        <v>33887.0</v>
      </c>
      <c r="J1335" s="1" t="s">
        <v>6857</v>
      </c>
      <c r="K1335" s="1" t="s">
        <v>6858</v>
      </c>
      <c r="L1335" s="1">
        <v>160.0</v>
      </c>
      <c r="M1335" s="1" t="s">
        <v>35</v>
      </c>
      <c r="N1335" s="1" t="s">
        <v>36</v>
      </c>
      <c r="O1335" s="1" t="s">
        <v>37</v>
      </c>
      <c r="P1335" s="1">
        <v>3.5E7</v>
      </c>
      <c r="Q1335" s="1">
        <v>2005.0</v>
      </c>
      <c r="R1335" s="1">
        <v>1000.0</v>
      </c>
      <c r="S1335" s="1">
        <v>358.0</v>
      </c>
      <c r="T1335" s="1">
        <v>278.0</v>
      </c>
      <c r="U1335" s="1">
        <v>2689.0</v>
      </c>
      <c r="V1335" s="1">
        <v>8.0</v>
      </c>
      <c r="W1335" s="1">
        <v>919.0</v>
      </c>
      <c r="X1335" s="1">
        <v>2.0</v>
      </c>
      <c r="Y1335" s="1">
        <v>1.85</v>
      </c>
      <c r="Z1335" s="1">
        <v>5.9</v>
      </c>
    </row>
    <row r="1336" ht="14.25" customHeight="1">
      <c r="A1336" s="1" t="s">
        <v>26</v>
      </c>
      <c r="B1336" s="1" t="s">
        <v>2529</v>
      </c>
      <c r="C1336" s="1" t="s">
        <v>6859</v>
      </c>
      <c r="D1336" s="1">
        <v>7.865143E7</v>
      </c>
      <c r="E1336" s="1" t="s">
        <v>6860</v>
      </c>
      <c r="F1336" s="1" t="s">
        <v>424</v>
      </c>
      <c r="G1336" s="1" t="s">
        <v>195</v>
      </c>
      <c r="H1336" s="1" t="s">
        <v>1219</v>
      </c>
      <c r="I1336" s="1">
        <v>142067.0</v>
      </c>
      <c r="J1336" s="1" t="s">
        <v>6861</v>
      </c>
      <c r="K1336" s="1" t="s">
        <v>6862</v>
      </c>
      <c r="L1336" s="1">
        <v>457.0</v>
      </c>
      <c r="M1336" s="1" t="s">
        <v>35</v>
      </c>
      <c r="N1336" s="1" t="s">
        <v>36</v>
      </c>
      <c r="O1336" s="1" t="s">
        <v>628</v>
      </c>
      <c r="P1336" s="1">
        <v>2.7E7</v>
      </c>
      <c r="Q1336" s="1">
        <v>1996.0</v>
      </c>
      <c r="R1336" s="1">
        <v>14000.0</v>
      </c>
      <c r="S1336" s="1">
        <v>1000.0</v>
      </c>
      <c r="T1336" s="1">
        <v>362.0</v>
      </c>
      <c r="U1336" s="1">
        <v>15912.0</v>
      </c>
      <c r="V1336" s="1">
        <v>333.0</v>
      </c>
      <c r="W1336" s="1">
        <v>0.0</v>
      </c>
      <c r="X1336" s="1">
        <v>0.0</v>
      </c>
      <c r="Y1336" s="1">
        <v>1.85</v>
      </c>
      <c r="Z1336" s="1">
        <v>7.4</v>
      </c>
    </row>
    <row r="1337" ht="14.25" customHeight="1">
      <c r="A1337" s="1" t="s">
        <v>26</v>
      </c>
      <c r="B1337" s="1" t="s">
        <v>4643</v>
      </c>
      <c r="C1337" s="1" t="s">
        <v>6863</v>
      </c>
      <c r="D1337" s="1">
        <v>6.4604977E7</v>
      </c>
      <c r="E1337" s="1" t="s">
        <v>2061</v>
      </c>
      <c r="F1337" s="1" t="s">
        <v>112</v>
      </c>
      <c r="G1337" s="1" t="s">
        <v>6864</v>
      </c>
      <c r="H1337" s="1" t="s">
        <v>3567</v>
      </c>
      <c r="I1337" s="1">
        <v>414219.0</v>
      </c>
      <c r="J1337" s="1" t="s">
        <v>6865</v>
      </c>
      <c r="K1337" s="1" t="s">
        <v>6866</v>
      </c>
      <c r="L1337" s="1">
        <v>625.0</v>
      </c>
      <c r="M1337" s="1" t="s">
        <v>35</v>
      </c>
      <c r="N1337" s="1" t="s">
        <v>36</v>
      </c>
      <c r="O1337" s="1" t="s">
        <v>628</v>
      </c>
      <c r="P1337" s="1">
        <v>3.5E7</v>
      </c>
      <c r="Q1337" s="1">
        <v>1997.0</v>
      </c>
      <c r="R1337" s="1">
        <v>18000.0</v>
      </c>
      <c r="S1337" s="1">
        <v>398.0</v>
      </c>
      <c r="T1337" s="1">
        <v>210.0</v>
      </c>
      <c r="U1337" s="1">
        <v>19129.0</v>
      </c>
      <c r="V1337" s="1">
        <v>161.0</v>
      </c>
      <c r="W1337" s="1">
        <v>11000.0</v>
      </c>
      <c r="X1337" s="1">
        <v>2.0</v>
      </c>
      <c r="Y1337" s="1">
        <v>2.35</v>
      </c>
      <c r="Z1337" s="1">
        <v>8.3</v>
      </c>
    </row>
    <row r="1338" ht="14.25" customHeight="1">
      <c r="A1338" s="1" t="s">
        <v>26</v>
      </c>
      <c r="B1338" s="1" t="s">
        <v>572</v>
      </c>
      <c r="C1338" s="1" t="s">
        <v>6867</v>
      </c>
      <c r="D1338" s="1">
        <v>6.3939454E7</v>
      </c>
      <c r="E1338" s="1" t="s">
        <v>6868</v>
      </c>
      <c r="F1338" s="1" t="s">
        <v>2214</v>
      </c>
      <c r="G1338" s="1" t="s">
        <v>1562</v>
      </c>
      <c r="H1338" s="1" t="s">
        <v>4472</v>
      </c>
      <c r="I1338" s="1">
        <v>61321.0</v>
      </c>
      <c r="J1338" s="1" t="s">
        <v>6869</v>
      </c>
      <c r="K1338" s="1" t="s">
        <v>6870</v>
      </c>
      <c r="L1338" s="1">
        <v>217.0</v>
      </c>
      <c r="M1338" s="1" t="s">
        <v>35</v>
      </c>
      <c r="N1338" s="1" t="s">
        <v>36</v>
      </c>
      <c r="O1338" s="1" t="s">
        <v>87</v>
      </c>
      <c r="P1338" s="1">
        <v>3.5E7</v>
      </c>
      <c r="Q1338" s="1">
        <v>2005.0</v>
      </c>
      <c r="R1338" s="1">
        <v>947.0</v>
      </c>
      <c r="S1338" s="1">
        <v>742.0</v>
      </c>
      <c r="T1338" s="1">
        <v>591.0</v>
      </c>
      <c r="U1338" s="1">
        <v>2968.0</v>
      </c>
      <c r="V1338" s="1">
        <v>31.0</v>
      </c>
      <c r="W1338" s="1">
        <v>0.0</v>
      </c>
      <c r="X1338" s="1">
        <v>3.0</v>
      </c>
      <c r="Y1338" s="1">
        <v>2.35</v>
      </c>
      <c r="Z1338" s="1">
        <v>6.2</v>
      </c>
    </row>
    <row r="1339" ht="14.25" customHeight="1">
      <c r="A1339" s="1" t="s">
        <v>26</v>
      </c>
      <c r="B1339" s="1" t="s">
        <v>1872</v>
      </c>
      <c r="C1339" s="1" t="s">
        <v>6871</v>
      </c>
      <c r="D1339" s="1">
        <v>6.3826569E7</v>
      </c>
      <c r="E1339" s="1" t="s">
        <v>1885</v>
      </c>
      <c r="F1339" s="1" t="s">
        <v>2945</v>
      </c>
      <c r="G1339" s="1" t="s">
        <v>5696</v>
      </c>
      <c r="H1339" s="1" t="s">
        <v>6872</v>
      </c>
      <c r="I1339" s="1">
        <v>32416.0</v>
      </c>
      <c r="J1339" s="1" t="s">
        <v>6873</v>
      </c>
      <c r="K1339" s="1" t="s">
        <v>6874</v>
      </c>
      <c r="L1339" s="1">
        <v>138.0</v>
      </c>
      <c r="M1339" s="1" t="s">
        <v>35</v>
      </c>
      <c r="N1339" s="1" t="s">
        <v>36</v>
      </c>
      <c r="O1339" s="1" t="s">
        <v>37</v>
      </c>
      <c r="P1339" s="1">
        <v>3.5E7</v>
      </c>
      <c r="Q1339" s="1">
        <v>1997.0</v>
      </c>
      <c r="R1339" s="1">
        <v>19000.0</v>
      </c>
      <c r="S1339" s="1">
        <v>957.0</v>
      </c>
      <c r="T1339" s="1">
        <v>945.0</v>
      </c>
      <c r="U1339" s="1">
        <v>23504.0</v>
      </c>
      <c r="V1339" s="1">
        <v>0.0</v>
      </c>
      <c r="W1339" s="1">
        <v>0.0</v>
      </c>
      <c r="X1339" s="1">
        <v>0.0</v>
      </c>
      <c r="Y1339" s="1">
        <v>1.85</v>
      </c>
      <c r="Z1339" s="1">
        <v>6.3</v>
      </c>
    </row>
    <row r="1340" ht="14.25" customHeight="1">
      <c r="A1340" s="1" t="s">
        <v>26</v>
      </c>
      <c r="B1340" s="1" t="s">
        <v>1424</v>
      </c>
      <c r="C1340" s="1" t="s">
        <v>6875</v>
      </c>
      <c r="D1340" s="1">
        <v>6.0054449E7</v>
      </c>
      <c r="E1340" s="1" t="s">
        <v>2123</v>
      </c>
      <c r="F1340" s="1" t="s">
        <v>6876</v>
      </c>
      <c r="G1340" s="1" t="s">
        <v>6877</v>
      </c>
      <c r="H1340" s="1" t="s">
        <v>6878</v>
      </c>
      <c r="I1340" s="1">
        <v>61018.0</v>
      </c>
      <c r="J1340" s="1" t="s">
        <v>6879</v>
      </c>
      <c r="K1340" s="1" t="s">
        <v>6880</v>
      </c>
      <c r="L1340" s="1">
        <v>140.0</v>
      </c>
      <c r="M1340" s="1" t="s">
        <v>35</v>
      </c>
      <c r="N1340" s="1" t="s">
        <v>36</v>
      </c>
      <c r="O1340" s="1" t="s">
        <v>628</v>
      </c>
      <c r="P1340" s="1">
        <v>3.5E7</v>
      </c>
      <c r="Q1340" s="1">
        <v>1995.0</v>
      </c>
      <c r="R1340" s="1">
        <v>900.0</v>
      </c>
      <c r="S1340" s="1">
        <v>759.0</v>
      </c>
      <c r="T1340" s="1">
        <v>25.0</v>
      </c>
      <c r="U1340" s="1">
        <v>1715.0</v>
      </c>
      <c r="V1340" s="1">
        <v>79.0</v>
      </c>
      <c r="W1340" s="1">
        <v>0.0</v>
      </c>
      <c r="X1340" s="1">
        <v>0.0</v>
      </c>
      <c r="Y1340" s="1">
        <v>2.35</v>
      </c>
      <c r="Z1340" s="1">
        <v>5.8</v>
      </c>
    </row>
    <row r="1341" ht="14.25" customHeight="1">
      <c r="A1341" s="1" t="s">
        <v>26</v>
      </c>
      <c r="B1341" s="1" t="s">
        <v>5922</v>
      </c>
      <c r="C1341" s="1" t="s">
        <v>6881</v>
      </c>
      <c r="D1341" s="1">
        <v>2.6505E7</v>
      </c>
      <c r="E1341" s="1" t="s">
        <v>6019</v>
      </c>
      <c r="F1341" s="1" t="s">
        <v>41</v>
      </c>
      <c r="G1341" s="1" t="s">
        <v>6882</v>
      </c>
      <c r="H1341" s="1" t="s">
        <v>6883</v>
      </c>
      <c r="I1341" s="1">
        <v>149285.0</v>
      </c>
      <c r="J1341" s="1" t="s">
        <v>6884</v>
      </c>
      <c r="K1341" s="1" t="s">
        <v>6885</v>
      </c>
      <c r="L1341" s="1">
        <v>668.0</v>
      </c>
      <c r="M1341" s="1" t="s">
        <v>35</v>
      </c>
      <c r="N1341" s="1" t="s">
        <v>36</v>
      </c>
      <c r="O1341" s="1" t="s">
        <v>6886</v>
      </c>
      <c r="P1341" s="1">
        <v>1800000.0</v>
      </c>
      <c r="Q1341" s="1">
        <v>1984.0</v>
      </c>
      <c r="R1341" s="1">
        <v>40000.0</v>
      </c>
      <c r="S1341" s="1">
        <v>852.0</v>
      </c>
      <c r="T1341" s="1">
        <v>574.0</v>
      </c>
      <c r="U1341" s="1">
        <v>42918.0</v>
      </c>
      <c r="V1341" s="1">
        <v>0.0</v>
      </c>
      <c r="W1341" s="1">
        <v>10000.0</v>
      </c>
      <c r="X1341" s="1">
        <v>1.0</v>
      </c>
      <c r="Y1341" s="1">
        <v>1.85</v>
      </c>
      <c r="Z1341" s="1">
        <v>7.5</v>
      </c>
    </row>
    <row r="1342" ht="14.25" customHeight="1">
      <c r="A1342" s="1" t="s">
        <v>26</v>
      </c>
      <c r="B1342" s="1" t="s">
        <v>2349</v>
      </c>
      <c r="C1342" s="1" t="s">
        <v>6887</v>
      </c>
      <c r="D1342" s="1">
        <v>6.1280963E7</v>
      </c>
      <c r="E1342" s="1" t="s">
        <v>4107</v>
      </c>
      <c r="F1342" s="1" t="s">
        <v>4388</v>
      </c>
      <c r="G1342" s="1" t="s">
        <v>887</v>
      </c>
      <c r="H1342" s="1" t="s">
        <v>6357</v>
      </c>
      <c r="I1342" s="1">
        <v>79877.0</v>
      </c>
      <c r="J1342" s="1" t="s">
        <v>6888</v>
      </c>
      <c r="K1342" s="1" t="s">
        <v>6889</v>
      </c>
      <c r="L1342" s="1">
        <v>677.0</v>
      </c>
      <c r="M1342" s="1" t="s">
        <v>35</v>
      </c>
      <c r="N1342" s="1" t="s">
        <v>36</v>
      </c>
      <c r="O1342" s="1" t="s">
        <v>628</v>
      </c>
      <c r="P1342" s="1">
        <v>3.3E7</v>
      </c>
      <c r="Q1342" s="1">
        <v>2000.0</v>
      </c>
      <c r="R1342" s="1">
        <v>812.0</v>
      </c>
      <c r="S1342" s="1">
        <v>551.0</v>
      </c>
      <c r="T1342" s="1">
        <v>311.0</v>
      </c>
      <c r="U1342" s="1">
        <v>2474.0</v>
      </c>
      <c r="V1342" s="1">
        <v>763.0</v>
      </c>
      <c r="W1342" s="1">
        <v>0.0</v>
      </c>
      <c r="X1342" s="1">
        <v>1.0</v>
      </c>
      <c r="Y1342" s="1">
        <v>2.35</v>
      </c>
      <c r="Z1342" s="1">
        <v>6.3</v>
      </c>
    </row>
    <row r="1343" ht="14.25" customHeight="1">
      <c r="A1343" s="1" t="s">
        <v>26</v>
      </c>
      <c r="B1343" s="1" t="s">
        <v>3195</v>
      </c>
      <c r="C1343" s="1" t="s">
        <v>6890</v>
      </c>
      <c r="D1343" s="1">
        <v>5.6876365E7</v>
      </c>
      <c r="E1343" s="1" t="s">
        <v>119</v>
      </c>
      <c r="F1343" s="1" t="s">
        <v>207</v>
      </c>
      <c r="G1343" s="1" t="s">
        <v>6891</v>
      </c>
      <c r="H1343" s="1" t="s">
        <v>6892</v>
      </c>
      <c r="I1343" s="1">
        <v>125219.0</v>
      </c>
      <c r="J1343" s="1" t="s">
        <v>6893</v>
      </c>
      <c r="K1343" s="1" t="s">
        <v>6894</v>
      </c>
      <c r="L1343" s="1">
        <v>244.0</v>
      </c>
      <c r="M1343" s="1" t="s">
        <v>35</v>
      </c>
      <c r="N1343" s="1" t="s">
        <v>36</v>
      </c>
      <c r="O1343" s="1" t="s">
        <v>37</v>
      </c>
      <c r="P1343" s="1">
        <v>3.5E7</v>
      </c>
      <c r="Q1343" s="1">
        <v>1998.0</v>
      </c>
      <c r="R1343" s="1">
        <v>29000.0</v>
      </c>
      <c r="S1343" s="1">
        <v>130.0</v>
      </c>
      <c r="T1343" s="1">
        <v>80.0</v>
      </c>
      <c r="U1343" s="1">
        <v>29265.0</v>
      </c>
      <c r="V1343" s="1">
        <v>130.0</v>
      </c>
      <c r="W1343" s="1">
        <v>0.0</v>
      </c>
      <c r="X1343" s="1">
        <v>1.0</v>
      </c>
      <c r="Y1343" s="1">
        <v>1.85</v>
      </c>
      <c r="Z1343" s="1">
        <v>6.4</v>
      </c>
    </row>
    <row r="1344" ht="14.25" customHeight="1">
      <c r="A1344" s="1" t="s">
        <v>26</v>
      </c>
      <c r="B1344" s="1" t="s">
        <v>3195</v>
      </c>
      <c r="C1344" s="1" t="s">
        <v>6895</v>
      </c>
      <c r="D1344" s="1">
        <v>5.9699513E7</v>
      </c>
      <c r="E1344" s="1" t="s">
        <v>6896</v>
      </c>
      <c r="F1344" s="1" t="s">
        <v>1264</v>
      </c>
      <c r="G1344" s="1" t="s">
        <v>6897</v>
      </c>
      <c r="H1344" s="1" t="s">
        <v>4814</v>
      </c>
      <c r="I1344" s="1">
        <v>20827.0</v>
      </c>
      <c r="J1344" s="1" t="s">
        <v>6898</v>
      </c>
      <c r="K1344" s="1" t="s">
        <v>6899</v>
      </c>
      <c r="L1344" s="1">
        <v>136.0</v>
      </c>
      <c r="M1344" s="1" t="s">
        <v>35</v>
      </c>
      <c r="N1344" s="1" t="s">
        <v>36</v>
      </c>
      <c r="O1344" s="1" t="s">
        <v>87</v>
      </c>
      <c r="P1344" s="1">
        <v>3.5E7</v>
      </c>
      <c r="Q1344" s="1">
        <v>2010.0</v>
      </c>
      <c r="R1344" s="1">
        <v>826.0</v>
      </c>
      <c r="S1344" s="1">
        <v>638.0</v>
      </c>
      <c r="T1344" s="1">
        <v>426.0</v>
      </c>
      <c r="U1344" s="1">
        <v>2259.0</v>
      </c>
      <c r="V1344" s="1">
        <v>130.0</v>
      </c>
      <c r="W1344" s="1">
        <v>0.0</v>
      </c>
      <c r="X1344" s="1">
        <v>0.0</v>
      </c>
      <c r="Y1344" s="1">
        <v>2.35</v>
      </c>
      <c r="Z1344" s="1">
        <v>7.2</v>
      </c>
    </row>
    <row r="1345" ht="14.25" customHeight="1">
      <c r="A1345" s="1" t="s">
        <v>26</v>
      </c>
      <c r="B1345" s="1" t="s">
        <v>6900</v>
      </c>
      <c r="C1345" s="1" t="s">
        <v>6901</v>
      </c>
      <c r="D1345" s="1">
        <v>5.4132596E7</v>
      </c>
      <c r="E1345" s="1" t="s">
        <v>833</v>
      </c>
      <c r="F1345" s="1" t="s">
        <v>214</v>
      </c>
      <c r="G1345" s="1" t="s">
        <v>2378</v>
      </c>
      <c r="H1345" s="1" t="s">
        <v>715</v>
      </c>
      <c r="I1345" s="1">
        <v>53786.0</v>
      </c>
      <c r="J1345" s="1" t="s">
        <v>6902</v>
      </c>
      <c r="K1345" s="1" t="s">
        <v>6903</v>
      </c>
      <c r="L1345" s="1">
        <v>211.0</v>
      </c>
      <c r="M1345" s="1" t="s">
        <v>35</v>
      </c>
      <c r="N1345" s="1" t="s">
        <v>3659</v>
      </c>
      <c r="O1345" s="1" t="s">
        <v>87</v>
      </c>
      <c r="P1345" s="1">
        <v>3.4E7</v>
      </c>
      <c r="Q1345" s="1">
        <v>2007.0</v>
      </c>
      <c r="R1345" s="1">
        <v>11000.0</v>
      </c>
      <c r="S1345" s="1">
        <v>4000.0</v>
      </c>
      <c r="T1345" s="1">
        <v>691.0</v>
      </c>
      <c r="U1345" s="1">
        <v>16571.0</v>
      </c>
      <c r="V1345" s="1">
        <v>14.0</v>
      </c>
      <c r="W1345" s="1">
        <v>0.0</v>
      </c>
      <c r="X1345" s="1">
        <v>0.0</v>
      </c>
      <c r="Y1345" s="1">
        <v>2.35</v>
      </c>
      <c r="Z1345" s="1">
        <v>6.3</v>
      </c>
    </row>
    <row r="1346" ht="14.25" customHeight="1">
      <c r="A1346" s="1" t="s">
        <v>26</v>
      </c>
      <c r="B1346" s="1" t="s">
        <v>6904</v>
      </c>
      <c r="C1346" s="1" t="s">
        <v>6905</v>
      </c>
      <c r="D1346" s="1">
        <v>5.2277485E7</v>
      </c>
      <c r="E1346" s="1" t="s">
        <v>1557</v>
      </c>
      <c r="F1346" s="1" t="s">
        <v>1186</v>
      </c>
      <c r="G1346" s="1" t="s">
        <v>6376</v>
      </c>
      <c r="H1346" s="1" t="s">
        <v>6088</v>
      </c>
      <c r="I1346" s="1">
        <v>32370.0</v>
      </c>
      <c r="J1346" s="1" t="s">
        <v>6906</v>
      </c>
      <c r="K1346" s="1" t="s">
        <v>6907</v>
      </c>
      <c r="L1346" s="1">
        <v>196.0</v>
      </c>
      <c r="M1346" s="1" t="s">
        <v>35</v>
      </c>
      <c r="N1346" s="1" t="s">
        <v>36</v>
      </c>
      <c r="O1346" s="1" t="s">
        <v>87</v>
      </c>
      <c r="P1346" s="1">
        <v>3.5E7</v>
      </c>
      <c r="Q1346" s="1">
        <v>2003.0</v>
      </c>
      <c r="R1346" s="1">
        <v>1000.0</v>
      </c>
      <c r="S1346" s="1">
        <v>762.0</v>
      </c>
      <c r="T1346" s="1">
        <v>568.0</v>
      </c>
      <c r="U1346" s="1">
        <v>4231.0</v>
      </c>
      <c r="V1346" s="1">
        <v>19.0</v>
      </c>
      <c r="W1346" s="1">
        <v>0.0</v>
      </c>
      <c r="X1346" s="1">
        <v>1.0</v>
      </c>
      <c r="Y1346" s="1">
        <v>1.85</v>
      </c>
      <c r="Z1346" s="1">
        <v>6.9</v>
      </c>
    </row>
    <row r="1347" ht="14.25" customHeight="1">
      <c r="A1347" s="1" t="s">
        <v>26</v>
      </c>
      <c r="B1347" s="1" t="s">
        <v>3541</v>
      </c>
      <c r="C1347" s="1" t="s">
        <v>6908</v>
      </c>
      <c r="D1347" s="1">
        <v>5.5802754E7</v>
      </c>
      <c r="E1347" s="1" t="s">
        <v>1598</v>
      </c>
      <c r="F1347" s="1" t="s">
        <v>284</v>
      </c>
      <c r="G1347" s="1" t="s">
        <v>686</v>
      </c>
      <c r="H1347" s="1" t="s">
        <v>5724</v>
      </c>
      <c r="I1347" s="1">
        <v>270228.0</v>
      </c>
      <c r="J1347" s="1" t="s">
        <v>6909</v>
      </c>
      <c r="K1347" s="1" t="s">
        <v>6910</v>
      </c>
      <c r="L1347" s="1">
        <v>194.0</v>
      </c>
      <c r="M1347" s="1" t="s">
        <v>35</v>
      </c>
      <c r="N1347" s="1" t="s">
        <v>36</v>
      </c>
      <c r="O1347" s="1" t="s">
        <v>628</v>
      </c>
      <c r="P1347" s="1">
        <v>3.5E7</v>
      </c>
      <c r="Q1347" s="1">
        <v>2011.0</v>
      </c>
      <c r="R1347" s="1">
        <v>15000.0</v>
      </c>
      <c r="S1347" s="1">
        <v>3000.0</v>
      </c>
      <c r="T1347" s="1">
        <v>923.0</v>
      </c>
      <c r="U1347" s="1">
        <v>20956.0</v>
      </c>
      <c r="V1347" s="1">
        <v>87.0</v>
      </c>
      <c r="W1347" s="1">
        <v>41000.0</v>
      </c>
      <c r="X1347" s="1">
        <v>2.0</v>
      </c>
      <c r="Y1347" s="1">
        <v>2.35</v>
      </c>
      <c r="Z1347" s="1">
        <v>6.6</v>
      </c>
    </row>
    <row r="1348" ht="14.25" customHeight="1">
      <c r="A1348" s="1" t="s">
        <v>26</v>
      </c>
      <c r="B1348" s="1" t="s">
        <v>6911</v>
      </c>
      <c r="C1348" s="1" t="s">
        <v>6912</v>
      </c>
      <c r="D1348" s="1">
        <v>5.5291815E7</v>
      </c>
      <c r="E1348" s="1" t="s">
        <v>1885</v>
      </c>
      <c r="F1348" s="1" t="s">
        <v>475</v>
      </c>
      <c r="G1348" s="1" t="s">
        <v>496</v>
      </c>
      <c r="H1348" s="1" t="s">
        <v>6913</v>
      </c>
      <c r="I1348" s="1">
        <v>28041.0</v>
      </c>
      <c r="J1348" s="1" t="s">
        <v>6914</v>
      </c>
      <c r="K1348" s="1" t="s">
        <v>6915</v>
      </c>
      <c r="L1348" s="1">
        <v>111.0</v>
      </c>
      <c r="M1348" s="1" t="s">
        <v>35</v>
      </c>
      <c r="N1348" s="1" t="s">
        <v>36</v>
      </c>
      <c r="O1348" s="1" t="s">
        <v>628</v>
      </c>
      <c r="P1348" s="1">
        <v>3.5E7</v>
      </c>
      <c r="Q1348" s="1">
        <v>2016.0</v>
      </c>
      <c r="R1348" s="1">
        <v>17000.0</v>
      </c>
      <c r="S1348" s="1">
        <v>329.0</v>
      </c>
      <c r="T1348" s="1">
        <v>190.0</v>
      </c>
      <c r="U1348" s="1">
        <v>17860.0</v>
      </c>
      <c r="V1348" s="1">
        <v>89.0</v>
      </c>
      <c r="W1348" s="1">
        <v>0.0</v>
      </c>
      <c r="X1348" s="1">
        <v>0.0</v>
      </c>
      <c r="Y1348" s="1">
        <v>2.35</v>
      </c>
      <c r="Z1348" s="1">
        <v>6.0</v>
      </c>
    </row>
    <row r="1349" ht="14.25" customHeight="1">
      <c r="A1349" s="1" t="s">
        <v>26</v>
      </c>
      <c r="B1349" s="1" t="s">
        <v>1973</v>
      </c>
      <c r="C1349" s="1" t="s">
        <v>6916</v>
      </c>
      <c r="D1349" s="1">
        <v>8.3299761E7</v>
      </c>
      <c r="E1349" s="1" t="s">
        <v>6917</v>
      </c>
      <c r="F1349" s="1" t="s">
        <v>314</v>
      </c>
      <c r="G1349" s="1" t="s">
        <v>129</v>
      </c>
      <c r="H1349" s="1" t="s">
        <v>288</v>
      </c>
      <c r="I1349" s="1">
        <v>117719.0</v>
      </c>
      <c r="J1349" s="1" t="s">
        <v>6918</v>
      </c>
      <c r="K1349" s="1" t="s">
        <v>6919</v>
      </c>
      <c r="L1349" s="1">
        <v>306.0</v>
      </c>
      <c r="M1349" s="1" t="s">
        <v>35</v>
      </c>
      <c r="N1349" s="1" t="s">
        <v>36</v>
      </c>
      <c r="O1349" s="1" t="s">
        <v>37</v>
      </c>
      <c r="P1349" s="1">
        <v>3.5E7</v>
      </c>
      <c r="Q1349" s="1">
        <v>2013.0</v>
      </c>
      <c r="R1349" s="1">
        <v>15000.0</v>
      </c>
      <c r="S1349" s="1">
        <v>2000.0</v>
      </c>
      <c r="T1349" s="1">
        <v>825.0</v>
      </c>
      <c r="U1349" s="1">
        <v>19809.0</v>
      </c>
      <c r="V1349" s="1">
        <v>102.0</v>
      </c>
      <c r="W1349" s="1">
        <v>39000.0</v>
      </c>
      <c r="X1349" s="1">
        <v>2.0</v>
      </c>
      <c r="Y1349" s="1">
        <v>2.35</v>
      </c>
      <c r="Z1349" s="1">
        <v>7.5</v>
      </c>
    </row>
    <row r="1350" ht="14.25" customHeight="1">
      <c r="A1350" s="1" t="s">
        <v>26</v>
      </c>
      <c r="B1350" s="1" t="s">
        <v>4801</v>
      </c>
      <c r="C1350" s="1" t="s">
        <v>6920</v>
      </c>
      <c r="D1350" s="1">
        <v>4.8169908E7</v>
      </c>
      <c r="E1350" s="1" t="s">
        <v>5738</v>
      </c>
      <c r="F1350" s="1" t="s">
        <v>1644</v>
      </c>
      <c r="G1350" s="1" t="s">
        <v>457</v>
      </c>
      <c r="H1350" s="1" t="s">
        <v>6921</v>
      </c>
      <c r="I1350" s="1">
        <v>63923.0</v>
      </c>
      <c r="J1350" s="1" t="s">
        <v>6922</v>
      </c>
      <c r="K1350" s="1" t="s">
        <v>6923</v>
      </c>
      <c r="L1350" s="1">
        <v>156.0</v>
      </c>
      <c r="M1350" s="1" t="s">
        <v>35</v>
      </c>
      <c r="N1350" s="1" t="s">
        <v>36</v>
      </c>
      <c r="O1350" s="1" t="s">
        <v>37</v>
      </c>
      <c r="P1350" s="1">
        <v>3.3E7</v>
      </c>
      <c r="Q1350" s="1">
        <v>1992.0</v>
      </c>
      <c r="R1350" s="1">
        <v>18000.0</v>
      </c>
      <c r="S1350" s="1">
        <v>848.0</v>
      </c>
      <c r="T1350" s="1">
        <v>318.0</v>
      </c>
      <c r="U1350" s="1">
        <v>20143.0</v>
      </c>
      <c r="V1350" s="1">
        <v>0.0</v>
      </c>
      <c r="W1350" s="1">
        <v>0.0</v>
      </c>
      <c r="X1350" s="1">
        <v>0.0</v>
      </c>
      <c r="Y1350" s="1">
        <v>1.85</v>
      </c>
      <c r="Z1350" s="1">
        <v>7.7</v>
      </c>
    </row>
    <row r="1351" ht="14.25" customHeight="1">
      <c r="A1351" s="1" t="s">
        <v>26</v>
      </c>
      <c r="B1351" s="1" t="s">
        <v>3052</v>
      </c>
      <c r="C1351" s="1" t="s">
        <v>6924</v>
      </c>
      <c r="D1351" s="1">
        <v>6.7523385E7</v>
      </c>
      <c r="E1351" s="1" t="s">
        <v>1885</v>
      </c>
      <c r="F1351" s="1" t="s">
        <v>6925</v>
      </c>
      <c r="G1351" s="1" t="s">
        <v>3054</v>
      </c>
      <c r="H1351" s="1" t="s">
        <v>6926</v>
      </c>
      <c r="I1351" s="1">
        <v>104005.0</v>
      </c>
      <c r="J1351" s="1" t="s">
        <v>6927</v>
      </c>
      <c r="K1351" s="1" t="s">
        <v>6928</v>
      </c>
      <c r="L1351" s="1">
        <v>248.0</v>
      </c>
      <c r="M1351" s="1" t="s">
        <v>35</v>
      </c>
      <c r="N1351" s="1" t="s">
        <v>36</v>
      </c>
      <c r="O1351" s="1" t="s">
        <v>628</v>
      </c>
      <c r="P1351" s="1">
        <v>3.5E7</v>
      </c>
      <c r="Q1351" s="1">
        <v>2012.0</v>
      </c>
      <c r="R1351" s="1">
        <v>529.0</v>
      </c>
      <c r="S1351" s="1">
        <v>130.0</v>
      </c>
      <c r="T1351" s="1">
        <v>120.0</v>
      </c>
      <c r="U1351" s="1">
        <v>1050.0</v>
      </c>
      <c r="V1351" s="1">
        <v>0.0</v>
      </c>
      <c r="W1351" s="1">
        <v>18000.0</v>
      </c>
      <c r="X1351" s="1">
        <v>2.0</v>
      </c>
      <c r="Y1351" s="1">
        <v>2.35</v>
      </c>
      <c r="Z1351" s="1">
        <v>6.2</v>
      </c>
    </row>
    <row r="1352" ht="14.25" customHeight="1">
      <c r="A1352" s="1" t="s">
        <v>26</v>
      </c>
      <c r="B1352" s="1" t="s">
        <v>2081</v>
      </c>
      <c r="C1352" s="1" t="s">
        <v>6929</v>
      </c>
      <c r="D1352" s="1">
        <v>4.9474048E7</v>
      </c>
      <c r="E1352" s="1" t="s">
        <v>2904</v>
      </c>
      <c r="F1352" s="1" t="s">
        <v>774</v>
      </c>
      <c r="G1352" s="1" t="s">
        <v>767</v>
      </c>
      <c r="H1352" s="1" t="s">
        <v>4658</v>
      </c>
      <c r="I1352" s="1">
        <v>31191.0</v>
      </c>
      <c r="J1352" s="1" t="s">
        <v>6930</v>
      </c>
      <c r="K1352" s="1" t="s">
        <v>6931</v>
      </c>
      <c r="L1352" s="1">
        <v>120.0</v>
      </c>
      <c r="M1352" s="1" t="s">
        <v>35</v>
      </c>
      <c r="N1352" s="1" t="s">
        <v>36</v>
      </c>
      <c r="O1352" s="1" t="s">
        <v>87</v>
      </c>
      <c r="P1352" s="1">
        <v>3.5E7</v>
      </c>
      <c r="Q1352" s="1">
        <v>2009.0</v>
      </c>
      <c r="R1352" s="1">
        <v>49000.0</v>
      </c>
      <c r="S1352" s="1">
        <v>1000.0</v>
      </c>
      <c r="T1352" s="1">
        <v>931.0</v>
      </c>
      <c r="U1352" s="1">
        <v>53370.0</v>
      </c>
      <c r="V1352" s="1">
        <v>12.0</v>
      </c>
      <c r="W1352" s="1">
        <v>0.0</v>
      </c>
      <c r="X1352" s="1">
        <v>2.0</v>
      </c>
      <c r="Y1352" s="1">
        <v>1.85</v>
      </c>
      <c r="Z1352" s="1">
        <v>5.4</v>
      </c>
    </row>
    <row r="1353" ht="14.25" customHeight="1">
      <c r="A1353" s="1" t="s">
        <v>26</v>
      </c>
      <c r="B1353" s="1" t="s">
        <v>6932</v>
      </c>
      <c r="C1353" s="1" t="s">
        <v>6933</v>
      </c>
      <c r="D1353" s="1">
        <v>4.5802315E7</v>
      </c>
      <c r="E1353" s="1" t="s">
        <v>254</v>
      </c>
      <c r="F1353" s="1" t="s">
        <v>6934</v>
      </c>
      <c r="G1353" s="1" t="s">
        <v>3614</v>
      </c>
      <c r="H1353" s="1" t="s">
        <v>6935</v>
      </c>
      <c r="I1353" s="1">
        <v>119974.0</v>
      </c>
      <c r="J1353" s="1" t="s">
        <v>6936</v>
      </c>
      <c r="K1353" s="1" t="s">
        <v>6937</v>
      </c>
      <c r="L1353" s="1">
        <v>169.0</v>
      </c>
      <c r="M1353" s="1" t="s">
        <v>35</v>
      </c>
      <c r="N1353" s="1" t="s">
        <v>36</v>
      </c>
      <c r="O1353" s="1" t="s">
        <v>628</v>
      </c>
      <c r="P1353" s="1">
        <v>3.5E7</v>
      </c>
      <c r="Q1353" s="1">
        <v>2009.0</v>
      </c>
      <c r="R1353" s="1">
        <v>978.0</v>
      </c>
      <c r="S1353" s="1">
        <v>593.0</v>
      </c>
      <c r="T1353" s="1">
        <v>227.0</v>
      </c>
      <c r="U1353" s="1">
        <v>2184.0</v>
      </c>
      <c r="V1353" s="1">
        <v>148.0</v>
      </c>
      <c r="W1353" s="1">
        <v>0.0</v>
      </c>
      <c r="X1353" s="1">
        <v>1.0</v>
      </c>
      <c r="Y1353" s="1">
        <v>2.35</v>
      </c>
      <c r="Z1353" s="1">
        <v>6.6</v>
      </c>
    </row>
    <row r="1354" ht="14.25" customHeight="1">
      <c r="A1354" s="1" t="s">
        <v>26</v>
      </c>
      <c r="B1354" s="1" t="s">
        <v>5911</v>
      </c>
      <c r="C1354" s="1" t="s">
        <v>6938</v>
      </c>
      <c r="D1354" s="1">
        <v>4.3792641E7</v>
      </c>
      <c r="E1354" s="1" t="s">
        <v>1598</v>
      </c>
      <c r="F1354" s="1" t="s">
        <v>774</v>
      </c>
      <c r="G1354" s="1" t="s">
        <v>6939</v>
      </c>
      <c r="H1354" s="1" t="s">
        <v>528</v>
      </c>
      <c r="I1354" s="1">
        <v>32157.0</v>
      </c>
      <c r="J1354" s="1" t="s">
        <v>6940</v>
      </c>
      <c r="K1354" s="1" t="s">
        <v>6941</v>
      </c>
      <c r="L1354" s="1">
        <v>119.0</v>
      </c>
      <c r="M1354" s="1" t="s">
        <v>35</v>
      </c>
      <c r="N1354" s="1" t="s">
        <v>36</v>
      </c>
      <c r="O1354" s="1" t="s">
        <v>37</v>
      </c>
      <c r="P1354" s="1">
        <v>3.5E7</v>
      </c>
      <c r="Q1354" s="1">
        <v>2007.0</v>
      </c>
      <c r="R1354" s="1">
        <v>49000.0</v>
      </c>
      <c r="S1354" s="1">
        <v>838.0</v>
      </c>
      <c r="T1354" s="1">
        <v>766.0</v>
      </c>
      <c r="U1354" s="1">
        <v>52566.0</v>
      </c>
      <c r="V1354" s="1">
        <v>42.0</v>
      </c>
      <c r="W1354" s="1">
        <v>913.0</v>
      </c>
      <c r="X1354" s="1">
        <v>3.0</v>
      </c>
      <c r="Y1354" s="1">
        <v>2.35</v>
      </c>
      <c r="Z1354" s="1">
        <v>5.3</v>
      </c>
    </row>
    <row r="1355" ht="14.25" customHeight="1">
      <c r="A1355" s="1" t="s">
        <v>26</v>
      </c>
      <c r="B1355" s="1" t="s">
        <v>2093</v>
      </c>
      <c r="C1355" s="1" t="s">
        <v>6942</v>
      </c>
      <c r="D1355" s="1">
        <v>5.7651794E7</v>
      </c>
      <c r="E1355" s="1" t="s">
        <v>3698</v>
      </c>
      <c r="F1355" s="1" t="s">
        <v>1875</v>
      </c>
      <c r="G1355" s="1" t="s">
        <v>1869</v>
      </c>
      <c r="H1355" s="1" t="s">
        <v>2790</v>
      </c>
      <c r="I1355" s="1">
        <v>40651.0</v>
      </c>
      <c r="J1355" s="1" t="s">
        <v>6943</v>
      </c>
      <c r="K1355" s="1" t="s">
        <v>6944</v>
      </c>
      <c r="L1355" s="1">
        <v>209.0</v>
      </c>
      <c r="M1355" s="1" t="s">
        <v>35</v>
      </c>
      <c r="N1355" s="1" t="s">
        <v>36</v>
      </c>
      <c r="O1355" s="1" t="s">
        <v>37</v>
      </c>
      <c r="P1355" s="1">
        <v>3.3E7</v>
      </c>
      <c r="Q1355" s="1">
        <v>2006.0</v>
      </c>
      <c r="R1355" s="1">
        <v>11000.0</v>
      </c>
      <c r="S1355" s="1">
        <v>970.0</v>
      </c>
      <c r="T1355" s="1">
        <v>553.0</v>
      </c>
      <c r="U1355" s="1">
        <v>13125.0</v>
      </c>
      <c r="V1355" s="1">
        <v>221.0</v>
      </c>
      <c r="W1355" s="1">
        <v>0.0</v>
      </c>
      <c r="X1355" s="1">
        <v>2.0</v>
      </c>
      <c r="Y1355" s="1">
        <v>1.85</v>
      </c>
      <c r="Z1355" s="1">
        <v>5.6</v>
      </c>
    </row>
    <row r="1356" ht="14.25" customHeight="1">
      <c r="A1356" s="1" t="s">
        <v>26</v>
      </c>
      <c r="B1356" s="1" t="s">
        <v>6945</v>
      </c>
      <c r="C1356" s="1" t="s">
        <v>6946</v>
      </c>
      <c r="D1356" s="1">
        <v>4.3894863E7</v>
      </c>
      <c r="E1356" s="1" t="s">
        <v>1598</v>
      </c>
      <c r="F1356" s="1" t="s">
        <v>3930</v>
      </c>
      <c r="G1356" s="1" t="s">
        <v>6947</v>
      </c>
      <c r="H1356" s="1" t="s">
        <v>3719</v>
      </c>
      <c r="I1356" s="1">
        <v>25883.0</v>
      </c>
      <c r="J1356" s="1" t="s">
        <v>6948</v>
      </c>
      <c r="K1356" s="1" t="s">
        <v>6949</v>
      </c>
      <c r="L1356" s="1">
        <v>262.0</v>
      </c>
      <c r="M1356" s="1" t="s">
        <v>35</v>
      </c>
      <c r="N1356" s="1" t="s">
        <v>36</v>
      </c>
      <c r="O1356" s="1" t="s">
        <v>37</v>
      </c>
      <c r="P1356" s="1">
        <v>3.0E7</v>
      </c>
      <c r="Q1356" s="1">
        <v>2005.0</v>
      </c>
      <c r="R1356" s="1">
        <v>944.0</v>
      </c>
      <c r="S1356" s="1">
        <v>940.0</v>
      </c>
      <c r="T1356" s="1">
        <v>664.0</v>
      </c>
      <c r="U1356" s="1">
        <v>4879.0</v>
      </c>
      <c r="V1356" s="1">
        <v>30.0</v>
      </c>
      <c r="W1356" s="1">
        <v>0.0</v>
      </c>
      <c r="X1356" s="1">
        <v>2.0</v>
      </c>
      <c r="Y1356" s="1">
        <v>2.35</v>
      </c>
      <c r="Z1356" s="1">
        <v>5.9</v>
      </c>
    </row>
    <row r="1357" ht="14.25" customHeight="1">
      <c r="A1357" s="1" t="s">
        <v>26</v>
      </c>
      <c r="B1357" s="1" t="s">
        <v>363</v>
      </c>
      <c r="C1357" s="1" t="s">
        <v>6950</v>
      </c>
      <c r="D1357" s="1">
        <v>4.1954997E7</v>
      </c>
      <c r="E1357" s="1" t="s">
        <v>1643</v>
      </c>
      <c r="F1357" s="1" t="s">
        <v>41</v>
      </c>
      <c r="G1357" s="1" t="s">
        <v>2292</v>
      </c>
      <c r="H1357" s="1" t="s">
        <v>2177</v>
      </c>
      <c r="I1357" s="1">
        <v>225122.0</v>
      </c>
      <c r="J1357" s="1" t="s">
        <v>6951</v>
      </c>
      <c r="K1357" s="1" t="s">
        <v>6952</v>
      </c>
      <c r="L1357" s="1">
        <v>234.0</v>
      </c>
      <c r="M1357" s="1" t="s">
        <v>35</v>
      </c>
      <c r="N1357" s="1" t="s">
        <v>36</v>
      </c>
      <c r="O1357" s="1" t="s">
        <v>628</v>
      </c>
      <c r="P1357" s="1">
        <v>3.5E7</v>
      </c>
      <c r="Q1357" s="1">
        <v>1997.0</v>
      </c>
      <c r="R1357" s="1">
        <v>40000.0</v>
      </c>
      <c r="S1357" s="1">
        <v>14000.0</v>
      </c>
      <c r="T1357" s="1">
        <v>646.0</v>
      </c>
      <c r="U1357" s="1">
        <v>56014.0</v>
      </c>
      <c r="V1357" s="1">
        <v>179.0</v>
      </c>
      <c r="W1357" s="1">
        <v>0.0</v>
      </c>
      <c r="X1357" s="1">
        <v>2.0</v>
      </c>
      <c r="Y1357" s="1">
        <v>2.35</v>
      </c>
      <c r="Z1357" s="1">
        <v>7.8</v>
      </c>
    </row>
    <row r="1358" ht="14.25" customHeight="1">
      <c r="A1358" s="1" t="s">
        <v>26</v>
      </c>
      <c r="B1358" s="1" t="s">
        <v>2246</v>
      </c>
      <c r="C1358" s="1" t="s">
        <v>6953</v>
      </c>
      <c r="D1358" s="1">
        <v>3.9532308E7</v>
      </c>
      <c r="E1358" s="1" t="s">
        <v>3966</v>
      </c>
      <c r="F1358" s="1" t="s">
        <v>1892</v>
      </c>
      <c r="G1358" s="1" t="s">
        <v>6954</v>
      </c>
      <c r="H1358" s="1" t="s">
        <v>928</v>
      </c>
      <c r="I1358" s="1">
        <v>198701.0</v>
      </c>
      <c r="J1358" s="1" t="s">
        <v>6955</v>
      </c>
      <c r="K1358" s="1" t="s">
        <v>6956</v>
      </c>
      <c r="L1358" s="1">
        <v>1138.0</v>
      </c>
      <c r="M1358" s="1" t="s">
        <v>35</v>
      </c>
      <c r="N1358" s="1" t="s">
        <v>54</v>
      </c>
      <c r="O1358" s="1" t="s">
        <v>628</v>
      </c>
      <c r="P1358" s="1">
        <v>3.3E7</v>
      </c>
      <c r="Q1358" s="1">
        <v>2002.0</v>
      </c>
      <c r="R1358" s="1">
        <v>14000.0</v>
      </c>
      <c r="S1358" s="1">
        <v>2000.0</v>
      </c>
      <c r="T1358" s="1">
        <v>766.0</v>
      </c>
      <c r="U1358" s="1">
        <v>17902.0</v>
      </c>
      <c r="V1358" s="1">
        <v>545.0</v>
      </c>
      <c r="W1358" s="1">
        <v>0.0</v>
      </c>
      <c r="X1358" s="1">
        <v>0.0</v>
      </c>
      <c r="Y1358" s="1">
        <v>1.85</v>
      </c>
      <c r="Z1358" s="1">
        <v>6.7</v>
      </c>
    </row>
    <row r="1359" ht="14.25" customHeight="1">
      <c r="A1359" s="1" t="s">
        <v>26</v>
      </c>
      <c r="B1359" s="1" t="s">
        <v>6957</v>
      </c>
      <c r="C1359" s="1" t="s">
        <v>6958</v>
      </c>
      <c r="D1359" s="1">
        <v>7.66E7</v>
      </c>
      <c r="E1359" s="1" t="s">
        <v>6959</v>
      </c>
      <c r="F1359" s="1" t="s">
        <v>6960</v>
      </c>
      <c r="G1359" s="1" t="s">
        <v>6961</v>
      </c>
      <c r="H1359" s="1" t="s">
        <v>1981</v>
      </c>
      <c r="I1359" s="1">
        <v>105446.0</v>
      </c>
      <c r="J1359" s="1" t="s">
        <v>6962</v>
      </c>
      <c r="K1359" s="1" t="s">
        <v>6963</v>
      </c>
      <c r="L1359" s="1">
        <v>321.0</v>
      </c>
      <c r="M1359" s="1" t="s">
        <v>35</v>
      </c>
      <c r="N1359" s="1" t="s">
        <v>36</v>
      </c>
      <c r="O1359" s="1" t="s">
        <v>87</v>
      </c>
      <c r="P1359" s="1">
        <v>1.07E7</v>
      </c>
      <c r="Q1359" s="1">
        <v>1982.0</v>
      </c>
      <c r="R1359" s="1">
        <v>887.0</v>
      </c>
      <c r="S1359" s="1">
        <v>770.0</v>
      </c>
      <c r="T1359" s="1">
        <v>723.0</v>
      </c>
      <c r="U1359" s="1">
        <v>3876.0</v>
      </c>
      <c r="V1359" s="1">
        <v>365.0</v>
      </c>
      <c r="W1359" s="1">
        <v>11000.0</v>
      </c>
      <c r="X1359" s="1">
        <v>0.0</v>
      </c>
      <c r="Y1359" s="1">
        <v>2.35</v>
      </c>
      <c r="Z1359" s="1">
        <v>7.4</v>
      </c>
    </row>
    <row r="1360" ht="14.25" customHeight="1">
      <c r="A1360" s="1" t="s">
        <v>26</v>
      </c>
      <c r="B1360" s="1" t="s">
        <v>6676</v>
      </c>
      <c r="C1360" s="1" t="s">
        <v>6964</v>
      </c>
      <c r="D1360" s="1">
        <v>3.9692139E7</v>
      </c>
      <c r="E1360" s="1" t="s">
        <v>5605</v>
      </c>
      <c r="F1360" s="1" t="s">
        <v>74</v>
      </c>
      <c r="G1360" s="1" t="s">
        <v>314</v>
      </c>
      <c r="H1360" s="1" t="s">
        <v>1102</v>
      </c>
      <c r="I1360" s="1">
        <v>84131.0</v>
      </c>
      <c r="J1360" s="1" t="s">
        <v>6965</v>
      </c>
      <c r="K1360" s="1" t="s">
        <v>6966</v>
      </c>
      <c r="L1360" s="1">
        <v>400.0</v>
      </c>
      <c r="M1360" s="1" t="s">
        <v>35</v>
      </c>
      <c r="N1360" s="1" t="s">
        <v>36</v>
      </c>
      <c r="O1360" s="1" t="s">
        <v>628</v>
      </c>
      <c r="P1360" s="1">
        <v>3.5E7</v>
      </c>
      <c r="Q1360" s="1">
        <v>2004.0</v>
      </c>
      <c r="R1360" s="1">
        <v>24000.0</v>
      </c>
      <c r="S1360" s="1">
        <v>15000.0</v>
      </c>
      <c r="T1360" s="1">
        <v>939.0</v>
      </c>
      <c r="U1360" s="1">
        <v>41701.0</v>
      </c>
      <c r="V1360" s="1">
        <v>1000.0</v>
      </c>
      <c r="W1360" s="1">
        <v>0.0</v>
      </c>
      <c r="X1360" s="1">
        <v>1.0</v>
      </c>
      <c r="Y1360" s="1">
        <v>1.85</v>
      </c>
      <c r="Z1360" s="1">
        <v>6.2</v>
      </c>
    </row>
    <row r="1361" ht="14.25" customHeight="1">
      <c r="A1361" s="1" t="s">
        <v>26</v>
      </c>
      <c r="B1361" s="1" t="s">
        <v>1967</v>
      </c>
      <c r="C1361" s="1" t="s">
        <v>6967</v>
      </c>
      <c r="D1361" s="1">
        <v>4.0687294E7</v>
      </c>
      <c r="E1361" s="1" t="s">
        <v>2281</v>
      </c>
      <c r="F1361" s="1" t="s">
        <v>284</v>
      </c>
      <c r="G1361" s="1" t="s">
        <v>6968</v>
      </c>
      <c r="H1361" s="1" t="s">
        <v>6969</v>
      </c>
      <c r="I1361" s="1">
        <v>107772.0</v>
      </c>
      <c r="J1361" s="1" t="s">
        <v>6970</v>
      </c>
      <c r="K1361" s="1" t="s">
        <v>6971</v>
      </c>
      <c r="L1361" s="1">
        <v>398.0</v>
      </c>
      <c r="M1361" s="1" t="s">
        <v>35</v>
      </c>
      <c r="N1361" s="1" t="s">
        <v>260</v>
      </c>
      <c r="O1361" s="1" t="s">
        <v>37</v>
      </c>
      <c r="P1361" s="1">
        <v>3.5E7</v>
      </c>
      <c r="Q1361" s="1">
        <v>2008.0</v>
      </c>
      <c r="R1361" s="1">
        <v>15000.0</v>
      </c>
      <c r="S1361" s="1">
        <v>552.0</v>
      </c>
      <c r="T1361" s="1">
        <v>248.0</v>
      </c>
      <c r="U1361" s="1">
        <v>16249.0</v>
      </c>
      <c r="V1361" s="1">
        <v>212.0</v>
      </c>
      <c r="W1361" s="1">
        <v>0.0</v>
      </c>
      <c r="X1361" s="1">
        <v>1.0</v>
      </c>
      <c r="Y1361" s="1">
        <v>2.35</v>
      </c>
      <c r="Z1361" s="1">
        <v>5.4</v>
      </c>
    </row>
    <row r="1362" ht="14.25" customHeight="1">
      <c r="A1362" s="1" t="s">
        <v>26</v>
      </c>
      <c r="B1362" s="1" t="s">
        <v>5055</v>
      </c>
      <c r="C1362" s="1" t="s">
        <v>6972</v>
      </c>
      <c r="D1362" s="1">
        <v>3.7553932E7</v>
      </c>
      <c r="E1362" s="1" t="s">
        <v>2670</v>
      </c>
      <c r="F1362" s="1" t="s">
        <v>4140</v>
      </c>
      <c r="G1362" s="1" t="s">
        <v>294</v>
      </c>
      <c r="H1362" s="1" t="s">
        <v>686</v>
      </c>
      <c r="I1362" s="1">
        <v>304318.0</v>
      </c>
      <c r="J1362" s="1" t="s">
        <v>6973</v>
      </c>
      <c r="K1362" s="1" t="s">
        <v>6974</v>
      </c>
      <c r="L1362" s="1">
        <v>463.0</v>
      </c>
      <c r="M1362" s="1" t="s">
        <v>35</v>
      </c>
      <c r="N1362" s="1" t="s">
        <v>36</v>
      </c>
      <c r="O1362" s="1" t="s">
        <v>37</v>
      </c>
      <c r="P1362" s="1">
        <v>4.0E7</v>
      </c>
      <c r="Q1362" s="1">
        <v>2011.0</v>
      </c>
      <c r="R1362" s="1">
        <v>20000.0</v>
      </c>
      <c r="S1362" s="1">
        <v>10000.0</v>
      </c>
      <c r="T1362" s="1">
        <v>3000.0</v>
      </c>
      <c r="U1362" s="1">
        <v>34011.0</v>
      </c>
      <c r="V1362" s="1">
        <v>487.0</v>
      </c>
      <c r="W1362" s="1">
        <v>52000.0</v>
      </c>
      <c r="X1362" s="1">
        <v>2.0</v>
      </c>
      <c r="Y1362" s="1">
        <v>2.35</v>
      </c>
      <c r="Z1362" s="1">
        <v>6.7</v>
      </c>
    </row>
    <row r="1363" ht="14.25" customHeight="1">
      <c r="A1363" s="1" t="s">
        <v>26</v>
      </c>
      <c r="B1363" s="1" t="s">
        <v>6975</v>
      </c>
      <c r="C1363" s="1" t="s">
        <v>6976</v>
      </c>
      <c r="D1363" s="1">
        <v>3.7481242E7</v>
      </c>
      <c r="E1363" s="1" t="s">
        <v>1598</v>
      </c>
      <c r="F1363" s="1" t="s">
        <v>6977</v>
      </c>
      <c r="G1363" s="1" t="s">
        <v>6978</v>
      </c>
      <c r="H1363" s="1" t="s">
        <v>6979</v>
      </c>
      <c r="I1363" s="1">
        <v>40654.0</v>
      </c>
      <c r="J1363" s="1" t="s">
        <v>6980</v>
      </c>
      <c r="K1363" s="1" t="s">
        <v>6981</v>
      </c>
      <c r="L1363" s="1">
        <v>97.0</v>
      </c>
      <c r="M1363" s="1" t="s">
        <v>35</v>
      </c>
      <c r="N1363" s="1" t="s">
        <v>36</v>
      </c>
      <c r="O1363" s="1" t="s">
        <v>37</v>
      </c>
      <c r="P1363" s="1">
        <v>3.5E7</v>
      </c>
      <c r="Q1363" s="1">
        <v>2010.0</v>
      </c>
      <c r="R1363" s="1">
        <v>1000.0</v>
      </c>
      <c r="S1363" s="1">
        <v>700.0</v>
      </c>
      <c r="T1363" s="1">
        <v>584.0</v>
      </c>
      <c r="U1363" s="1">
        <v>3356.0</v>
      </c>
      <c r="V1363" s="1">
        <v>16.0</v>
      </c>
      <c r="W1363" s="1">
        <v>0.0</v>
      </c>
      <c r="X1363" s="1">
        <v>0.0</v>
      </c>
      <c r="Y1363" s="1">
        <v>2.35</v>
      </c>
      <c r="Z1363" s="1">
        <v>5.3</v>
      </c>
    </row>
    <row r="1364" ht="14.25" customHeight="1">
      <c r="A1364" s="1" t="s">
        <v>26</v>
      </c>
      <c r="B1364" s="1" t="s">
        <v>6982</v>
      </c>
      <c r="C1364" s="1" t="s">
        <v>6983</v>
      </c>
      <c r="D1364" s="1">
        <v>3.9026186E7</v>
      </c>
      <c r="E1364" s="1" t="s">
        <v>1359</v>
      </c>
      <c r="F1364" s="1" t="s">
        <v>6984</v>
      </c>
      <c r="G1364" s="1" t="s">
        <v>6985</v>
      </c>
      <c r="H1364" s="1" t="s">
        <v>6986</v>
      </c>
      <c r="I1364" s="1">
        <v>48019.0</v>
      </c>
      <c r="J1364" s="1" t="s">
        <v>6987</v>
      </c>
      <c r="K1364" s="1" t="s">
        <v>6988</v>
      </c>
      <c r="L1364" s="1">
        <v>153.0</v>
      </c>
      <c r="M1364" s="1" t="s">
        <v>35</v>
      </c>
      <c r="N1364" s="1" t="s">
        <v>36</v>
      </c>
      <c r="O1364" s="1" t="s">
        <v>37</v>
      </c>
      <c r="P1364" s="1">
        <v>3.5E7</v>
      </c>
      <c r="Q1364" s="1">
        <v>2011.0</v>
      </c>
      <c r="R1364" s="1">
        <v>969.0</v>
      </c>
      <c r="S1364" s="1">
        <v>826.0</v>
      </c>
      <c r="T1364" s="1">
        <v>196.0</v>
      </c>
      <c r="U1364" s="1">
        <v>2371.0</v>
      </c>
      <c r="V1364" s="1">
        <v>42.0</v>
      </c>
      <c r="W1364" s="1">
        <v>13000.0</v>
      </c>
      <c r="X1364" s="1">
        <v>4.0</v>
      </c>
      <c r="Y1364" s="1">
        <v>1.85</v>
      </c>
      <c r="Z1364" s="1">
        <v>5.9</v>
      </c>
    </row>
    <row r="1365" ht="14.25" customHeight="1">
      <c r="A1365" s="1" t="s">
        <v>26</v>
      </c>
      <c r="B1365" s="1" t="s">
        <v>6989</v>
      </c>
      <c r="C1365" s="1" t="s">
        <v>6990</v>
      </c>
      <c r="D1365" s="1">
        <v>3.3422806E7</v>
      </c>
      <c r="E1365" s="1" t="s">
        <v>5121</v>
      </c>
      <c r="F1365" s="1" t="s">
        <v>130</v>
      </c>
      <c r="G1365" s="1" t="s">
        <v>2111</v>
      </c>
      <c r="H1365" s="1" t="s">
        <v>3723</v>
      </c>
      <c r="I1365" s="1">
        <v>30771.0</v>
      </c>
      <c r="J1365" s="1" t="s">
        <v>6991</v>
      </c>
      <c r="K1365" s="1" t="s">
        <v>6992</v>
      </c>
      <c r="L1365" s="1">
        <v>164.0</v>
      </c>
      <c r="M1365" s="1" t="s">
        <v>35</v>
      </c>
      <c r="N1365" s="1" t="s">
        <v>36</v>
      </c>
      <c r="O1365" s="1" t="s">
        <v>37</v>
      </c>
      <c r="P1365" s="1">
        <v>5.0E7</v>
      </c>
      <c r="Q1365" s="1">
        <v>2001.0</v>
      </c>
      <c r="R1365" s="1">
        <v>1000.0</v>
      </c>
      <c r="S1365" s="1">
        <v>691.0</v>
      </c>
      <c r="T1365" s="1">
        <v>447.0</v>
      </c>
      <c r="U1365" s="1">
        <v>2643.0</v>
      </c>
      <c r="V1365" s="1">
        <v>19.0</v>
      </c>
      <c r="W1365" s="1">
        <v>0.0</v>
      </c>
      <c r="X1365" s="1">
        <v>1.0</v>
      </c>
      <c r="Y1365" s="1">
        <v>2.35</v>
      </c>
      <c r="Z1365" s="1">
        <v>4.8</v>
      </c>
    </row>
    <row r="1366" ht="14.25" customHeight="1">
      <c r="A1366" s="1" t="s">
        <v>26</v>
      </c>
      <c r="B1366" s="1" t="s">
        <v>6993</v>
      </c>
      <c r="C1366" s="1" t="s">
        <v>6994</v>
      </c>
      <c r="D1366" s="1">
        <v>3.3423521E7</v>
      </c>
      <c r="E1366" s="1" t="s">
        <v>1041</v>
      </c>
      <c r="F1366" s="1" t="s">
        <v>1047</v>
      </c>
      <c r="G1366" s="1" t="s">
        <v>6995</v>
      </c>
      <c r="H1366" s="1" t="s">
        <v>4615</v>
      </c>
      <c r="I1366" s="1">
        <v>53115.0</v>
      </c>
      <c r="J1366" s="1" t="s">
        <v>6996</v>
      </c>
      <c r="K1366" s="1" t="s">
        <v>6997</v>
      </c>
      <c r="L1366" s="1">
        <v>282.0</v>
      </c>
      <c r="M1366" s="1" t="s">
        <v>35</v>
      </c>
      <c r="N1366" s="1" t="s">
        <v>2821</v>
      </c>
      <c r="O1366" s="1" t="s">
        <v>37</v>
      </c>
      <c r="P1366" s="1">
        <v>3.5E7</v>
      </c>
      <c r="Q1366" s="1">
        <v>1994.0</v>
      </c>
      <c r="R1366" s="1">
        <v>2000.0</v>
      </c>
      <c r="S1366" s="1">
        <v>1000.0</v>
      </c>
      <c r="T1366" s="1">
        <v>690.0</v>
      </c>
      <c r="U1366" s="1">
        <v>5443.0</v>
      </c>
      <c r="V1366" s="1">
        <v>133.0</v>
      </c>
      <c r="W1366" s="1">
        <v>0.0</v>
      </c>
      <c r="X1366" s="1">
        <v>1.0</v>
      </c>
      <c r="Y1366" s="1">
        <v>2.35</v>
      </c>
      <c r="Z1366" s="1">
        <v>3.8</v>
      </c>
    </row>
    <row r="1367" ht="14.25" customHeight="1">
      <c r="A1367" s="1" t="s">
        <v>710</v>
      </c>
      <c r="B1367" s="1" t="s">
        <v>3617</v>
      </c>
      <c r="C1367" s="1" t="s">
        <v>6998</v>
      </c>
      <c r="D1367" s="1">
        <v>3.2519322E7</v>
      </c>
      <c r="E1367" s="1" t="s">
        <v>6806</v>
      </c>
      <c r="F1367" s="1" t="s">
        <v>6999</v>
      </c>
      <c r="G1367" s="1" t="s">
        <v>7000</v>
      </c>
      <c r="H1367" s="1" t="s">
        <v>7001</v>
      </c>
      <c r="I1367" s="1">
        <v>497946.0</v>
      </c>
      <c r="J1367" s="1" t="s">
        <v>7002</v>
      </c>
      <c r="K1367" s="1" t="s">
        <v>7003</v>
      </c>
      <c r="L1367" s="1">
        <v>761.0</v>
      </c>
      <c r="M1367" s="1" t="s">
        <v>35</v>
      </c>
      <c r="N1367" s="1" t="s">
        <v>1832</v>
      </c>
      <c r="O1367" s="1" t="s">
        <v>628</v>
      </c>
      <c r="P1367" s="1">
        <v>3.5E7</v>
      </c>
      <c r="Q1367" s="1">
        <v>2002.0</v>
      </c>
      <c r="R1367" s="1">
        <v>396.0</v>
      </c>
      <c r="S1367" s="1">
        <v>338.0</v>
      </c>
      <c r="T1367" s="1">
        <v>95.0</v>
      </c>
      <c r="U1367" s="1">
        <v>1075.0</v>
      </c>
      <c r="V1367" s="1">
        <v>2000.0</v>
      </c>
      <c r="W1367" s="1">
        <v>21000.0</v>
      </c>
      <c r="X1367" s="1">
        <v>0.0</v>
      </c>
      <c r="Y1367" s="1">
        <v>1.85</v>
      </c>
      <c r="Z1367" s="1">
        <v>8.5</v>
      </c>
    </row>
    <row r="1368" ht="14.25" customHeight="1">
      <c r="A1368" s="1" t="s">
        <v>26</v>
      </c>
      <c r="B1368" s="1" t="s">
        <v>2534</v>
      </c>
      <c r="C1368" s="1" t="s">
        <v>5443</v>
      </c>
      <c r="D1368" s="1">
        <v>3.1598308E7</v>
      </c>
      <c r="E1368" s="1" t="s">
        <v>2882</v>
      </c>
      <c r="F1368" s="1" t="s">
        <v>41</v>
      </c>
      <c r="G1368" s="1" t="s">
        <v>651</v>
      </c>
      <c r="H1368" s="1" t="s">
        <v>5444</v>
      </c>
      <c r="I1368" s="1">
        <v>124765.0</v>
      </c>
      <c r="J1368" s="1" t="s">
        <v>5445</v>
      </c>
      <c r="K1368" s="1" t="s">
        <v>5446</v>
      </c>
      <c r="L1368" s="1">
        <v>541.0</v>
      </c>
      <c r="M1368" s="1" t="s">
        <v>35</v>
      </c>
      <c r="N1368" s="1" t="s">
        <v>36</v>
      </c>
      <c r="O1368" s="1" t="s">
        <v>628</v>
      </c>
      <c r="P1368" s="1">
        <v>3.5E7</v>
      </c>
      <c r="Q1368" s="1">
        <v>2001.0</v>
      </c>
      <c r="R1368" s="1">
        <v>40000.0</v>
      </c>
      <c r="S1368" s="1">
        <v>1000.0</v>
      </c>
      <c r="T1368" s="1">
        <v>140.0</v>
      </c>
      <c r="U1368" s="1">
        <v>41636.0</v>
      </c>
      <c r="V1368" s="1">
        <v>117.0</v>
      </c>
      <c r="W1368" s="1">
        <v>0.0</v>
      </c>
      <c r="X1368" s="1">
        <v>1.0</v>
      </c>
      <c r="Y1368" s="1">
        <v>2.35</v>
      </c>
      <c r="Z1368" s="1">
        <v>6.8</v>
      </c>
    </row>
    <row r="1369" ht="14.25" customHeight="1">
      <c r="A1369" s="1" t="s">
        <v>26</v>
      </c>
      <c r="B1369" s="1" t="s">
        <v>5773</v>
      </c>
      <c r="C1369" s="1" t="s">
        <v>7004</v>
      </c>
      <c r="D1369" s="1">
        <v>3.7617947E7</v>
      </c>
      <c r="E1369" s="1" t="s">
        <v>5488</v>
      </c>
      <c r="F1369" s="1" t="s">
        <v>7005</v>
      </c>
      <c r="G1369" s="1" t="s">
        <v>7006</v>
      </c>
      <c r="H1369" s="1" t="s">
        <v>7007</v>
      </c>
      <c r="I1369" s="1">
        <v>8143.0</v>
      </c>
      <c r="J1369" s="1" t="s">
        <v>7008</v>
      </c>
      <c r="K1369" s="1" t="s">
        <v>7009</v>
      </c>
      <c r="L1369" s="1">
        <v>203.0</v>
      </c>
      <c r="M1369" s="1" t="s">
        <v>35</v>
      </c>
      <c r="N1369" s="1" t="s">
        <v>36</v>
      </c>
      <c r="O1369" s="1" t="s">
        <v>87</v>
      </c>
      <c r="P1369" s="1">
        <v>3.0E7</v>
      </c>
      <c r="Q1369" s="1">
        <v>2006.0</v>
      </c>
      <c r="R1369" s="1">
        <v>446.0</v>
      </c>
      <c r="S1369" s="1">
        <v>224.0</v>
      </c>
      <c r="T1369" s="1">
        <v>206.0</v>
      </c>
      <c r="U1369" s="1">
        <v>966.0</v>
      </c>
      <c r="V1369" s="1">
        <v>308.0</v>
      </c>
      <c r="W1369" s="1">
        <v>0.0</v>
      </c>
      <c r="X1369" s="1">
        <v>0.0</v>
      </c>
      <c r="Y1369" s="1">
        <v>2.35</v>
      </c>
      <c r="Z1369" s="1">
        <v>6.8</v>
      </c>
    </row>
    <row r="1370" ht="14.25" customHeight="1">
      <c r="A1370" s="1" t="s">
        <v>26</v>
      </c>
      <c r="B1370" s="1" t="s">
        <v>4844</v>
      </c>
      <c r="C1370" s="1" t="s">
        <v>7010</v>
      </c>
      <c r="D1370" s="1">
        <v>3.2048809E7</v>
      </c>
      <c r="E1370" s="1" t="s">
        <v>6019</v>
      </c>
      <c r="F1370" s="1" t="s">
        <v>5412</v>
      </c>
      <c r="G1370" s="1" t="s">
        <v>7011</v>
      </c>
      <c r="H1370" s="1" t="s">
        <v>7012</v>
      </c>
      <c r="I1370" s="1">
        <v>94456.0</v>
      </c>
      <c r="J1370" s="1" t="s">
        <v>7013</v>
      </c>
      <c r="K1370" s="1" t="s">
        <v>7014</v>
      </c>
      <c r="L1370" s="1">
        <v>576.0</v>
      </c>
      <c r="M1370" s="1" t="s">
        <v>35</v>
      </c>
      <c r="N1370" s="1" t="s">
        <v>362</v>
      </c>
      <c r="O1370" s="1" t="s">
        <v>628</v>
      </c>
      <c r="P1370" s="1">
        <v>3.0E7</v>
      </c>
      <c r="Q1370" s="1">
        <v>2005.0</v>
      </c>
      <c r="R1370" s="1">
        <v>730.0</v>
      </c>
      <c r="S1370" s="1">
        <v>716.0</v>
      </c>
      <c r="T1370" s="1">
        <v>324.0</v>
      </c>
      <c r="U1370" s="1">
        <v>2178.0</v>
      </c>
      <c r="V1370" s="1">
        <v>174.0</v>
      </c>
      <c r="W1370" s="1">
        <v>0.0</v>
      </c>
      <c r="X1370" s="1">
        <v>0.0</v>
      </c>
      <c r="Y1370" s="1">
        <v>1.85</v>
      </c>
      <c r="Z1370" s="1">
        <v>5.3</v>
      </c>
    </row>
    <row r="1371" ht="14.25" customHeight="1">
      <c r="A1371" s="1" t="s">
        <v>26</v>
      </c>
      <c r="B1371" s="1" t="s">
        <v>2913</v>
      </c>
      <c r="C1371" s="1" t="s">
        <v>7015</v>
      </c>
      <c r="D1371" s="1">
        <v>3.3987757E7</v>
      </c>
      <c r="E1371" s="1" t="s">
        <v>206</v>
      </c>
      <c r="F1371" s="1" t="s">
        <v>805</v>
      </c>
      <c r="G1371" s="1" t="s">
        <v>1459</v>
      </c>
      <c r="H1371" s="1" t="s">
        <v>7016</v>
      </c>
      <c r="I1371" s="1">
        <v>168314.0</v>
      </c>
      <c r="J1371" s="1" t="s">
        <v>7017</v>
      </c>
      <c r="K1371" s="1" t="s">
        <v>7018</v>
      </c>
      <c r="L1371" s="1">
        <v>903.0</v>
      </c>
      <c r="M1371" s="1" t="s">
        <v>35</v>
      </c>
      <c r="N1371" s="1" t="s">
        <v>36</v>
      </c>
      <c r="O1371" s="1" t="s">
        <v>628</v>
      </c>
      <c r="P1371" s="1">
        <v>2.7E7</v>
      </c>
      <c r="Q1371" s="1">
        <v>2004.0</v>
      </c>
      <c r="R1371" s="1">
        <v>20000.0</v>
      </c>
      <c r="S1371" s="1">
        <v>8000.0</v>
      </c>
      <c r="T1371" s="1">
        <v>23.0</v>
      </c>
      <c r="U1371" s="1">
        <v>28027.0</v>
      </c>
      <c r="V1371" s="1">
        <v>0.0</v>
      </c>
      <c r="W1371" s="1">
        <v>12000.0</v>
      </c>
      <c r="X1371" s="1">
        <v>2.0</v>
      </c>
      <c r="Y1371" s="1">
        <v>1.85</v>
      </c>
      <c r="Z1371" s="1">
        <v>7.3</v>
      </c>
    </row>
    <row r="1372" ht="14.25" customHeight="1">
      <c r="A1372" s="1" t="s">
        <v>26</v>
      </c>
      <c r="B1372" s="1" t="s">
        <v>3503</v>
      </c>
      <c r="C1372" s="1" t="s">
        <v>7019</v>
      </c>
      <c r="D1372" s="1">
        <v>3.730495E7</v>
      </c>
      <c r="E1372" s="1" t="s">
        <v>1643</v>
      </c>
      <c r="F1372" s="1" t="s">
        <v>207</v>
      </c>
      <c r="G1372" s="1" t="s">
        <v>200</v>
      </c>
      <c r="H1372" s="1" t="s">
        <v>7020</v>
      </c>
      <c r="I1372" s="1">
        <v>102728.0</v>
      </c>
      <c r="J1372" s="1" t="s">
        <v>7021</v>
      </c>
      <c r="K1372" s="1" t="s">
        <v>7022</v>
      </c>
      <c r="L1372" s="1">
        <v>279.0</v>
      </c>
      <c r="M1372" s="1" t="s">
        <v>35</v>
      </c>
      <c r="N1372" s="1" t="s">
        <v>36</v>
      </c>
      <c r="O1372" s="1" t="s">
        <v>628</v>
      </c>
      <c r="P1372" s="1">
        <v>3.5E7</v>
      </c>
      <c r="Q1372" s="1">
        <v>2011.0</v>
      </c>
      <c r="R1372" s="1">
        <v>29000.0</v>
      </c>
      <c r="S1372" s="1">
        <v>6000.0</v>
      </c>
      <c r="T1372" s="1">
        <v>363.0</v>
      </c>
      <c r="U1372" s="1">
        <v>36258.0</v>
      </c>
      <c r="V1372" s="1">
        <v>16000.0</v>
      </c>
      <c r="W1372" s="1">
        <v>16000.0</v>
      </c>
      <c r="X1372" s="1">
        <v>0.0</v>
      </c>
      <c r="Y1372" s="1">
        <v>2.35</v>
      </c>
      <c r="Z1372" s="1">
        <v>6.6</v>
      </c>
    </row>
    <row r="1373" ht="14.25" customHeight="1">
      <c r="A1373" s="1" t="s">
        <v>26</v>
      </c>
      <c r="B1373" s="1" t="s">
        <v>7023</v>
      </c>
      <c r="C1373" s="1" t="s">
        <v>7024</v>
      </c>
      <c r="D1373" s="1">
        <v>3.0691439E7</v>
      </c>
      <c r="E1373" s="1" t="s">
        <v>5924</v>
      </c>
      <c r="F1373" s="1" t="s">
        <v>651</v>
      </c>
      <c r="G1373" s="1" t="s">
        <v>2526</v>
      </c>
      <c r="H1373" s="1" t="s">
        <v>918</v>
      </c>
      <c r="I1373" s="1">
        <v>86205.0</v>
      </c>
      <c r="J1373" s="1" t="s">
        <v>7025</v>
      </c>
      <c r="K1373" s="1" t="s">
        <v>7026</v>
      </c>
      <c r="L1373" s="1">
        <v>232.0</v>
      </c>
      <c r="M1373" s="1" t="s">
        <v>35</v>
      </c>
      <c r="N1373" s="1" t="s">
        <v>36</v>
      </c>
      <c r="O1373" s="1" t="s">
        <v>628</v>
      </c>
      <c r="P1373" s="1">
        <v>3.5E7</v>
      </c>
      <c r="Q1373" s="1">
        <v>2008.0</v>
      </c>
      <c r="R1373" s="1">
        <v>1000.0</v>
      </c>
      <c r="S1373" s="1">
        <v>915.0</v>
      </c>
      <c r="T1373" s="1">
        <v>844.0</v>
      </c>
      <c r="U1373" s="1">
        <v>3185.0</v>
      </c>
      <c r="V1373" s="1">
        <v>192.0</v>
      </c>
      <c r="W1373" s="1">
        <v>5000.0</v>
      </c>
      <c r="X1373" s="1">
        <v>0.0</v>
      </c>
      <c r="Y1373" s="1">
        <v>2.35</v>
      </c>
      <c r="Z1373" s="1">
        <v>6.2</v>
      </c>
    </row>
    <row r="1374" ht="14.25" customHeight="1">
      <c r="A1374" s="1" t="s">
        <v>26</v>
      </c>
      <c r="B1374" s="1" t="s">
        <v>7027</v>
      </c>
      <c r="C1374" s="1" t="s">
        <v>7028</v>
      </c>
      <c r="D1374" s="1">
        <v>3.0307804E7</v>
      </c>
      <c r="E1374" s="1" t="s">
        <v>4777</v>
      </c>
      <c r="F1374" s="1" t="s">
        <v>7029</v>
      </c>
      <c r="G1374" s="1" t="s">
        <v>3001</v>
      </c>
      <c r="H1374" s="1" t="s">
        <v>706</v>
      </c>
      <c r="I1374" s="1">
        <v>43991.0</v>
      </c>
      <c r="J1374" s="1" t="s">
        <v>7030</v>
      </c>
      <c r="K1374" s="1" t="s">
        <v>7031</v>
      </c>
      <c r="L1374" s="1">
        <v>695.0</v>
      </c>
      <c r="M1374" s="1" t="s">
        <v>35</v>
      </c>
      <c r="N1374" s="1" t="s">
        <v>36</v>
      </c>
      <c r="O1374" s="1" t="s">
        <v>628</v>
      </c>
      <c r="P1374" s="1">
        <v>3.5E7</v>
      </c>
      <c r="Q1374" s="1">
        <v>2002.0</v>
      </c>
      <c r="R1374" s="1">
        <v>775.0</v>
      </c>
      <c r="S1374" s="1">
        <v>541.0</v>
      </c>
      <c r="T1374" s="1">
        <v>531.0</v>
      </c>
      <c r="U1374" s="1">
        <v>3001.0</v>
      </c>
      <c r="V1374" s="1">
        <v>48.0</v>
      </c>
      <c r="W1374" s="1">
        <v>0.0</v>
      </c>
      <c r="X1374" s="1">
        <v>2.0</v>
      </c>
      <c r="Y1374" s="1">
        <v>2.35</v>
      </c>
      <c r="Z1374" s="1">
        <v>5.2</v>
      </c>
    </row>
    <row r="1375" ht="14.25" customHeight="1">
      <c r="A1375" s="1" t="s">
        <v>26</v>
      </c>
      <c r="B1375" s="1" t="s">
        <v>2604</v>
      </c>
      <c r="C1375" s="1" t="s">
        <v>7032</v>
      </c>
      <c r="D1375" s="1">
        <v>3.0669413E7</v>
      </c>
      <c r="E1375" s="1" t="s">
        <v>3966</v>
      </c>
      <c r="F1375" s="1" t="s">
        <v>1453</v>
      </c>
      <c r="G1375" s="1" t="s">
        <v>5769</v>
      </c>
      <c r="H1375" s="1" t="s">
        <v>7033</v>
      </c>
      <c r="I1375" s="1">
        <v>105478.0</v>
      </c>
      <c r="J1375" s="1" t="s">
        <v>7034</v>
      </c>
      <c r="K1375" s="1" t="s">
        <v>7035</v>
      </c>
      <c r="L1375" s="1">
        <v>291.0</v>
      </c>
      <c r="M1375" s="1" t="s">
        <v>35</v>
      </c>
      <c r="N1375" s="1" t="s">
        <v>36</v>
      </c>
      <c r="O1375" s="1" t="s">
        <v>628</v>
      </c>
      <c r="P1375" s="1">
        <v>3.5E7</v>
      </c>
      <c r="Q1375" s="1">
        <v>1990.0</v>
      </c>
      <c r="R1375" s="1">
        <v>2000.0</v>
      </c>
      <c r="S1375" s="1">
        <v>683.0</v>
      </c>
      <c r="T1375" s="1">
        <v>636.0</v>
      </c>
      <c r="U1375" s="1">
        <v>4722.0</v>
      </c>
      <c r="V1375" s="1">
        <v>81.0</v>
      </c>
      <c r="W1375" s="1">
        <v>0.0</v>
      </c>
      <c r="X1375" s="1">
        <v>0.0</v>
      </c>
      <c r="Y1375" s="1">
        <v>1.37</v>
      </c>
      <c r="Z1375" s="1">
        <v>6.2</v>
      </c>
    </row>
    <row r="1376" ht="14.25" customHeight="1">
      <c r="A1376" s="1" t="s">
        <v>26</v>
      </c>
      <c r="B1376" s="1" t="s">
        <v>3298</v>
      </c>
      <c r="C1376" s="1" t="s">
        <v>7036</v>
      </c>
      <c r="D1376" s="1">
        <v>2.8687835E7</v>
      </c>
      <c r="E1376" s="1" t="s">
        <v>2045</v>
      </c>
      <c r="F1376" s="1" t="s">
        <v>3848</v>
      </c>
      <c r="G1376" s="1" t="s">
        <v>7037</v>
      </c>
      <c r="H1376" s="1" t="s">
        <v>7038</v>
      </c>
      <c r="I1376" s="1">
        <v>40964.0</v>
      </c>
      <c r="J1376" s="1" t="s">
        <v>7039</v>
      </c>
      <c r="K1376" s="1" t="s">
        <v>7040</v>
      </c>
      <c r="L1376" s="1">
        <v>245.0</v>
      </c>
      <c r="M1376" s="1" t="s">
        <v>35</v>
      </c>
      <c r="N1376" s="1" t="s">
        <v>36</v>
      </c>
      <c r="O1376" s="1" t="s">
        <v>628</v>
      </c>
      <c r="P1376" s="1">
        <v>3.5E7</v>
      </c>
      <c r="Q1376" s="1">
        <v>2008.0</v>
      </c>
      <c r="R1376" s="1">
        <v>2000.0</v>
      </c>
      <c r="S1376" s="1">
        <v>648.0</v>
      </c>
      <c r="T1376" s="1">
        <v>398.0</v>
      </c>
      <c r="U1376" s="1">
        <v>3612.0</v>
      </c>
      <c r="V1376" s="1">
        <v>40.0</v>
      </c>
      <c r="W1376" s="1">
        <v>0.0</v>
      </c>
      <c r="X1376" s="1">
        <v>1.0</v>
      </c>
      <c r="Y1376" s="1">
        <v>2.35</v>
      </c>
      <c r="Z1376" s="1">
        <v>6.2</v>
      </c>
    </row>
    <row r="1377" ht="14.25" customHeight="1">
      <c r="A1377" s="1" t="s">
        <v>26</v>
      </c>
      <c r="B1377" s="1" t="s">
        <v>7041</v>
      </c>
      <c r="C1377" s="1" t="s">
        <v>7042</v>
      </c>
      <c r="D1377" s="1">
        <v>2.6494611E7</v>
      </c>
      <c r="E1377" s="1" t="s">
        <v>7043</v>
      </c>
      <c r="F1377" s="1" t="s">
        <v>488</v>
      </c>
      <c r="G1377" s="1" t="s">
        <v>7044</v>
      </c>
      <c r="H1377" s="1" t="s">
        <v>7045</v>
      </c>
      <c r="I1377" s="1">
        <v>48621.0</v>
      </c>
      <c r="J1377" s="1" t="s">
        <v>7046</v>
      </c>
      <c r="K1377" s="1" t="s">
        <v>7047</v>
      </c>
      <c r="L1377" s="1">
        <v>239.0</v>
      </c>
      <c r="M1377" s="1" t="s">
        <v>35</v>
      </c>
      <c r="N1377" s="1" t="s">
        <v>36</v>
      </c>
      <c r="O1377" s="1" t="s">
        <v>37</v>
      </c>
      <c r="P1377" s="1">
        <v>3.5E7</v>
      </c>
      <c r="Q1377" s="1">
        <v>1999.0</v>
      </c>
      <c r="R1377" s="1">
        <v>3000.0</v>
      </c>
      <c r="S1377" s="1">
        <v>874.0</v>
      </c>
      <c r="T1377" s="1">
        <v>480.0</v>
      </c>
      <c r="U1377" s="1">
        <v>5709.0</v>
      </c>
      <c r="V1377" s="1">
        <v>37.0</v>
      </c>
      <c r="W1377" s="1">
        <v>0.0</v>
      </c>
      <c r="X1377" s="1">
        <v>0.0</v>
      </c>
      <c r="Y1377" s="1">
        <v>2.35</v>
      </c>
      <c r="Z1377" s="1">
        <v>6.6</v>
      </c>
    </row>
    <row r="1378" ht="14.25" customHeight="1">
      <c r="A1378" s="1" t="s">
        <v>26</v>
      </c>
      <c r="B1378" s="1" t="s">
        <v>6697</v>
      </c>
      <c r="C1378" s="1" t="s">
        <v>7048</v>
      </c>
      <c r="D1378" s="1">
        <v>2.5266129E7</v>
      </c>
      <c r="E1378" s="1" t="s">
        <v>1359</v>
      </c>
      <c r="F1378" s="1" t="s">
        <v>1102</v>
      </c>
      <c r="G1378" s="1" t="s">
        <v>3031</v>
      </c>
      <c r="H1378" s="1" t="s">
        <v>3135</v>
      </c>
      <c r="I1378" s="1">
        <v>54346.0</v>
      </c>
      <c r="J1378" s="1" t="s">
        <v>7049</v>
      </c>
      <c r="K1378" s="1" t="s">
        <v>7050</v>
      </c>
      <c r="L1378" s="1">
        <v>358.0</v>
      </c>
      <c r="M1378" s="1" t="s">
        <v>35</v>
      </c>
      <c r="N1378" s="1" t="s">
        <v>36</v>
      </c>
      <c r="O1378" s="1" t="s">
        <v>37</v>
      </c>
      <c r="P1378" s="1">
        <v>3.5E7</v>
      </c>
      <c r="Q1378" s="1">
        <v>2004.0</v>
      </c>
      <c r="R1378" s="1">
        <v>939.0</v>
      </c>
      <c r="S1378" s="1">
        <v>854.0</v>
      </c>
      <c r="T1378" s="1">
        <v>769.0</v>
      </c>
      <c r="U1378" s="1">
        <v>3592.0</v>
      </c>
      <c r="V1378" s="1">
        <v>0.0</v>
      </c>
      <c r="W1378" s="1">
        <v>0.0</v>
      </c>
      <c r="X1378" s="1">
        <v>5.0</v>
      </c>
      <c r="Y1378" s="1">
        <v>2.35</v>
      </c>
      <c r="Z1378" s="1">
        <v>6.2</v>
      </c>
    </row>
    <row r="1379" ht="14.25" customHeight="1">
      <c r="A1379" s="1" t="s">
        <v>26</v>
      </c>
      <c r="B1379" s="1" t="s">
        <v>484</v>
      </c>
      <c r="C1379" s="1" t="s">
        <v>7051</v>
      </c>
      <c r="D1379" s="1">
        <v>2.5863915E7</v>
      </c>
      <c r="E1379" s="1" t="s">
        <v>1155</v>
      </c>
      <c r="F1379" s="1" t="s">
        <v>7052</v>
      </c>
      <c r="G1379" s="1" t="s">
        <v>982</v>
      </c>
      <c r="H1379" s="1" t="s">
        <v>7053</v>
      </c>
      <c r="I1379" s="1">
        <v>28257.0</v>
      </c>
      <c r="J1379" s="1" t="s">
        <v>7054</v>
      </c>
      <c r="K1379" s="1" t="s">
        <v>7055</v>
      </c>
      <c r="L1379" s="1">
        <v>151.0</v>
      </c>
      <c r="M1379" s="1" t="s">
        <v>35</v>
      </c>
      <c r="N1379" s="1" t="s">
        <v>36</v>
      </c>
      <c r="O1379" s="1" t="s">
        <v>37</v>
      </c>
      <c r="P1379" s="1">
        <v>3.5E7</v>
      </c>
      <c r="Q1379" s="1">
        <v>2012.0</v>
      </c>
      <c r="R1379" s="1">
        <v>907.0</v>
      </c>
      <c r="S1379" s="1">
        <v>445.0</v>
      </c>
      <c r="T1379" s="1">
        <v>374.0</v>
      </c>
      <c r="U1379" s="1">
        <v>2471.0</v>
      </c>
      <c r="V1379" s="1">
        <v>357.0</v>
      </c>
      <c r="W1379" s="1">
        <v>11000.0</v>
      </c>
      <c r="X1379" s="1">
        <v>0.0</v>
      </c>
      <c r="Y1379" s="1">
        <v>2.35</v>
      </c>
      <c r="Z1379" s="1">
        <v>5.1</v>
      </c>
    </row>
    <row r="1380" ht="14.25" customHeight="1">
      <c r="A1380" s="1" t="s">
        <v>26</v>
      </c>
      <c r="B1380" s="1" t="s">
        <v>3503</v>
      </c>
      <c r="C1380" s="1" t="s">
        <v>7056</v>
      </c>
      <c r="D1380" s="1">
        <v>2.5078937E7</v>
      </c>
      <c r="E1380" s="1" t="s">
        <v>2061</v>
      </c>
      <c r="F1380" s="1" t="s">
        <v>112</v>
      </c>
      <c r="G1380" s="1" t="s">
        <v>1292</v>
      </c>
      <c r="H1380" s="1" t="s">
        <v>7057</v>
      </c>
      <c r="I1380" s="1">
        <v>31751.0</v>
      </c>
      <c r="J1380" s="1" t="s">
        <v>7058</v>
      </c>
      <c r="K1380" s="1" t="s">
        <v>7059</v>
      </c>
      <c r="L1380" s="1">
        <v>216.0</v>
      </c>
      <c r="M1380" s="1" t="s">
        <v>35</v>
      </c>
      <c r="N1380" s="1" t="s">
        <v>36</v>
      </c>
      <c r="O1380" s="1" t="s">
        <v>628</v>
      </c>
      <c r="P1380" s="1">
        <v>3.0E7</v>
      </c>
      <c r="Q1380" s="1">
        <v>1997.0</v>
      </c>
      <c r="R1380" s="1">
        <v>18000.0</v>
      </c>
      <c r="S1380" s="1">
        <v>461.0</v>
      </c>
      <c r="T1380" s="1">
        <v>229.0</v>
      </c>
      <c r="U1380" s="1">
        <v>19689.0</v>
      </c>
      <c r="V1380" s="1">
        <v>16000.0</v>
      </c>
      <c r="W1380" s="1">
        <v>0.0</v>
      </c>
      <c r="X1380" s="1">
        <v>2.0</v>
      </c>
      <c r="Y1380" s="1">
        <v>1.85</v>
      </c>
      <c r="Z1380" s="1">
        <v>6.6</v>
      </c>
    </row>
    <row r="1381" ht="14.25" customHeight="1">
      <c r="A1381" s="1" t="s">
        <v>26</v>
      </c>
      <c r="B1381" s="1" t="s">
        <v>7060</v>
      </c>
      <c r="C1381" s="1" t="s">
        <v>7061</v>
      </c>
      <c r="D1381" s="1">
        <v>2.899545E7</v>
      </c>
      <c r="E1381" s="1" t="s">
        <v>501</v>
      </c>
      <c r="F1381" s="1" t="s">
        <v>5673</v>
      </c>
      <c r="G1381" s="1" t="s">
        <v>7062</v>
      </c>
      <c r="H1381" s="1" t="s">
        <v>7063</v>
      </c>
      <c r="I1381" s="1">
        <v>19230.0</v>
      </c>
      <c r="J1381" s="1" t="s">
        <v>7064</v>
      </c>
      <c r="K1381" s="1" t="s">
        <v>7065</v>
      </c>
      <c r="L1381" s="1">
        <v>59.0</v>
      </c>
      <c r="M1381" s="1" t="s">
        <v>35</v>
      </c>
      <c r="N1381" s="1" t="s">
        <v>54</v>
      </c>
      <c r="O1381" s="1" t="s">
        <v>87</v>
      </c>
      <c r="P1381" s="1">
        <v>3.5E7</v>
      </c>
      <c r="Q1381" s="1">
        <v>2010.0</v>
      </c>
      <c r="R1381" s="1">
        <v>287.0</v>
      </c>
      <c r="S1381" s="1">
        <v>175.0</v>
      </c>
      <c r="T1381" s="1">
        <v>167.0</v>
      </c>
      <c r="U1381" s="1">
        <v>855.0</v>
      </c>
      <c r="V1381" s="1">
        <v>24.0</v>
      </c>
      <c r="W1381" s="1">
        <v>0.0</v>
      </c>
      <c r="X1381" s="1">
        <v>5.0</v>
      </c>
      <c r="Y1381" s="1">
        <v>2.35</v>
      </c>
      <c r="Z1381" s="1">
        <v>6.1</v>
      </c>
    </row>
    <row r="1382" ht="14.25" customHeight="1">
      <c r="A1382" s="1" t="s">
        <v>26</v>
      </c>
      <c r="B1382" s="1" t="s">
        <v>5167</v>
      </c>
      <c r="C1382" s="1" t="s">
        <v>7066</v>
      </c>
      <c r="D1382" s="1">
        <v>2.42765E7</v>
      </c>
      <c r="E1382" s="1" t="s">
        <v>1643</v>
      </c>
      <c r="F1382" s="1" t="s">
        <v>7067</v>
      </c>
      <c r="G1382" s="1" t="s">
        <v>4423</v>
      </c>
      <c r="H1382" s="1" t="s">
        <v>3567</v>
      </c>
      <c r="I1382" s="1">
        <v>17124.0</v>
      </c>
      <c r="J1382" s="1" t="s">
        <v>7068</v>
      </c>
      <c r="K1382" s="1" t="s">
        <v>7069</v>
      </c>
      <c r="L1382" s="1">
        <v>68.0</v>
      </c>
      <c r="M1382" s="1" t="s">
        <v>35</v>
      </c>
      <c r="N1382" s="1" t="s">
        <v>36</v>
      </c>
      <c r="O1382" s="1" t="s">
        <v>628</v>
      </c>
      <c r="P1382" s="1">
        <v>3.5E7</v>
      </c>
      <c r="Q1382" s="1">
        <v>1992.0</v>
      </c>
      <c r="R1382" s="1">
        <v>436.0</v>
      </c>
      <c r="S1382" s="1">
        <v>263.0</v>
      </c>
      <c r="T1382" s="1">
        <v>210.0</v>
      </c>
      <c r="U1382" s="1">
        <v>1394.0</v>
      </c>
      <c r="V1382" s="1">
        <v>0.0</v>
      </c>
      <c r="W1382" s="1">
        <v>949.0</v>
      </c>
      <c r="X1382" s="1">
        <v>2.0</v>
      </c>
      <c r="Y1382" s="1">
        <v>2.35</v>
      </c>
      <c r="Z1382" s="1">
        <v>6.6</v>
      </c>
    </row>
    <row r="1383" ht="14.25" customHeight="1">
      <c r="A1383" s="1" t="s">
        <v>26</v>
      </c>
      <c r="B1383" s="1" t="s">
        <v>7070</v>
      </c>
      <c r="C1383" s="1" t="s">
        <v>7071</v>
      </c>
      <c r="D1383" s="1">
        <v>2.0981633E7</v>
      </c>
      <c r="E1383" s="1" t="s">
        <v>2117</v>
      </c>
      <c r="F1383" s="1" t="s">
        <v>3422</v>
      </c>
      <c r="G1383" s="1" t="s">
        <v>694</v>
      </c>
      <c r="H1383" s="1" t="s">
        <v>7072</v>
      </c>
      <c r="I1383" s="1">
        <v>78256.0</v>
      </c>
      <c r="J1383" s="1" t="s">
        <v>7073</v>
      </c>
      <c r="K1383" s="1" t="s">
        <v>7074</v>
      </c>
      <c r="L1383" s="1">
        <v>492.0</v>
      </c>
      <c r="M1383" s="1" t="s">
        <v>35</v>
      </c>
      <c r="N1383" s="1" t="s">
        <v>36</v>
      </c>
      <c r="O1383" s="1" t="s">
        <v>37</v>
      </c>
      <c r="P1383" s="1">
        <v>3.0E7</v>
      </c>
      <c r="Q1383" s="1">
        <v>2008.0</v>
      </c>
      <c r="R1383" s="1">
        <v>826.0</v>
      </c>
      <c r="S1383" s="1">
        <v>716.0</v>
      </c>
      <c r="T1383" s="1">
        <v>296.0</v>
      </c>
      <c r="U1383" s="1">
        <v>2351.0</v>
      </c>
      <c r="V1383" s="1">
        <v>251.0</v>
      </c>
      <c r="W1383" s="1">
        <v>0.0</v>
      </c>
      <c r="X1383" s="1">
        <v>0.0</v>
      </c>
      <c r="Y1383" s="1">
        <v>2.35</v>
      </c>
      <c r="Z1383" s="1">
        <v>5.9</v>
      </c>
    </row>
    <row r="1384" ht="14.25" customHeight="1">
      <c r="A1384" s="1" t="s">
        <v>26</v>
      </c>
      <c r="B1384" s="1" t="s">
        <v>7075</v>
      </c>
      <c r="C1384" s="1" t="s">
        <v>7076</v>
      </c>
      <c r="D1384" s="1">
        <v>2.2913677E7</v>
      </c>
      <c r="E1384" s="1" t="s">
        <v>2504</v>
      </c>
      <c r="F1384" s="1" t="s">
        <v>249</v>
      </c>
      <c r="G1384" s="1" t="s">
        <v>776</v>
      </c>
      <c r="H1384" s="1" t="s">
        <v>7077</v>
      </c>
      <c r="I1384" s="1">
        <v>47800.0</v>
      </c>
      <c r="J1384" s="1" t="s">
        <v>7078</v>
      </c>
      <c r="K1384" s="1" t="s">
        <v>7079</v>
      </c>
      <c r="L1384" s="1">
        <v>244.0</v>
      </c>
      <c r="M1384" s="1" t="s">
        <v>35</v>
      </c>
      <c r="N1384" s="1" t="s">
        <v>36</v>
      </c>
      <c r="O1384" s="1" t="s">
        <v>87</v>
      </c>
      <c r="P1384" s="1">
        <v>3.5E7</v>
      </c>
      <c r="Q1384" s="1">
        <v>2004.0</v>
      </c>
      <c r="R1384" s="1">
        <v>11000.0</v>
      </c>
      <c r="S1384" s="1">
        <v>1000.0</v>
      </c>
      <c r="T1384" s="1">
        <v>973.0</v>
      </c>
      <c r="U1384" s="1">
        <v>17292.0</v>
      </c>
      <c r="V1384" s="1">
        <v>13.0</v>
      </c>
      <c r="W1384" s="1">
        <v>0.0</v>
      </c>
      <c r="X1384" s="1">
        <v>1.0</v>
      </c>
      <c r="Y1384" s="1">
        <v>1.85</v>
      </c>
      <c r="Z1384" s="1">
        <v>6.3</v>
      </c>
    </row>
    <row r="1385" ht="14.25" customHeight="1">
      <c r="A1385" s="1" t="s">
        <v>26</v>
      </c>
      <c r="B1385" s="1" t="s">
        <v>7080</v>
      </c>
      <c r="C1385" s="1" t="s">
        <v>7081</v>
      </c>
      <c r="D1385" s="1">
        <v>3.4531832E7</v>
      </c>
      <c r="E1385" s="1" t="s">
        <v>1557</v>
      </c>
      <c r="F1385" s="1" t="s">
        <v>158</v>
      </c>
      <c r="G1385" s="1" t="s">
        <v>351</v>
      </c>
      <c r="H1385" s="1" t="s">
        <v>2818</v>
      </c>
      <c r="I1385" s="1">
        <v>44788.0</v>
      </c>
      <c r="J1385" s="1" t="s">
        <v>7082</v>
      </c>
      <c r="K1385" s="1" t="s">
        <v>7083</v>
      </c>
      <c r="L1385" s="1">
        <v>138.0</v>
      </c>
      <c r="M1385" s="1" t="s">
        <v>35</v>
      </c>
      <c r="N1385" s="1" t="s">
        <v>54</v>
      </c>
      <c r="O1385" s="1" t="s">
        <v>37</v>
      </c>
      <c r="P1385" s="1">
        <v>3.5E7</v>
      </c>
      <c r="Q1385" s="1">
        <v>2015.0</v>
      </c>
      <c r="R1385" s="1">
        <v>10000.0</v>
      </c>
      <c r="S1385" s="1">
        <v>979.0</v>
      </c>
      <c r="T1385" s="1">
        <v>745.0</v>
      </c>
      <c r="U1385" s="1">
        <v>13371.0</v>
      </c>
      <c r="V1385" s="1">
        <v>15.0</v>
      </c>
      <c r="W1385" s="1">
        <v>23000.0</v>
      </c>
      <c r="X1385" s="1">
        <v>0.0</v>
      </c>
      <c r="Y1385" s="1">
        <v>2.35</v>
      </c>
      <c r="Z1385" s="1">
        <v>7.1</v>
      </c>
    </row>
    <row r="1386" ht="14.25" customHeight="1">
      <c r="A1386" s="1" t="s">
        <v>26</v>
      </c>
      <c r="B1386" s="1" t="s">
        <v>2793</v>
      </c>
      <c r="C1386" s="1" t="s">
        <v>7084</v>
      </c>
      <c r="D1386" s="1">
        <v>2.8064226E7</v>
      </c>
      <c r="E1386" s="1" t="s">
        <v>1112</v>
      </c>
      <c r="F1386" s="1" t="s">
        <v>7085</v>
      </c>
      <c r="G1386" s="1" t="s">
        <v>7086</v>
      </c>
      <c r="H1386" s="1" t="s">
        <v>7087</v>
      </c>
      <c r="I1386" s="1">
        <v>65044.0</v>
      </c>
      <c r="J1386" s="1" t="s">
        <v>7088</v>
      </c>
      <c r="K1386" s="1" t="s">
        <v>7089</v>
      </c>
      <c r="L1386" s="1">
        <v>173.0</v>
      </c>
      <c r="M1386" s="1" t="s">
        <v>35</v>
      </c>
      <c r="N1386" s="1" t="s">
        <v>36</v>
      </c>
      <c r="O1386" s="1" t="s">
        <v>37</v>
      </c>
      <c r="P1386" s="1">
        <v>3.5E7</v>
      </c>
      <c r="Q1386" s="1">
        <v>2011.0</v>
      </c>
      <c r="R1386" s="1">
        <v>327.0</v>
      </c>
      <c r="S1386" s="1">
        <v>73.0</v>
      </c>
      <c r="T1386" s="1">
        <v>63.0</v>
      </c>
      <c r="U1386" s="1">
        <v>561.0</v>
      </c>
      <c r="V1386" s="1">
        <v>309.0</v>
      </c>
      <c r="W1386" s="1">
        <v>13000.0</v>
      </c>
      <c r="X1386" s="1">
        <v>1.0</v>
      </c>
      <c r="Y1386" s="1">
        <v>2.35</v>
      </c>
      <c r="Z1386" s="1">
        <v>5.0</v>
      </c>
    </row>
    <row r="1387" ht="14.25" customHeight="1">
      <c r="A1387" s="1" t="s">
        <v>26</v>
      </c>
      <c r="B1387" s="1" t="s">
        <v>7090</v>
      </c>
      <c r="C1387" s="1" t="s">
        <v>7091</v>
      </c>
      <c r="D1387" s="1">
        <v>1.9447478E7</v>
      </c>
      <c r="E1387" s="1" t="s">
        <v>7092</v>
      </c>
      <c r="F1387" s="1" t="s">
        <v>385</v>
      </c>
      <c r="G1387" s="1" t="s">
        <v>1938</v>
      </c>
      <c r="H1387" s="1" t="s">
        <v>7093</v>
      </c>
      <c r="I1387" s="1">
        <v>15788.0</v>
      </c>
      <c r="J1387" s="1" t="s">
        <v>7094</v>
      </c>
      <c r="K1387" s="1" t="s">
        <v>7095</v>
      </c>
      <c r="L1387" s="1">
        <v>80.0</v>
      </c>
      <c r="M1387" s="1" t="s">
        <v>35</v>
      </c>
      <c r="N1387" s="1" t="s">
        <v>54</v>
      </c>
      <c r="O1387" s="1" t="s">
        <v>269</v>
      </c>
      <c r="P1387" s="1">
        <v>3.5E7</v>
      </c>
      <c r="Q1387" s="1">
        <v>2005.0</v>
      </c>
      <c r="R1387" s="1">
        <v>1000.0</v>
      </c>
      <c r="S1387" s="1">
        <v>766.0</v>
      </c>
      <c r="T1387" s="1">
        <v>72.0</v>
      </c>
      <c r="U1387" s="1">
        <v>1908.0</v>
      </c>
      <c r="V1387" s="1">
        <v>2.0</v>
      </c>
      <c r="W1387" s="1">
        <v>538.0</v>
      </c>
      <c r="X1387" s="1">
        <v>0.0</v>
      </c>
      <c r="Y1387" s="1">
        <v>1.85</v>
      </c>
      <c r="Z1387" s="1">
        <v>5.6</v>
      </c>
    </row>
    <row r="1388" ht="14.25" customHeight="1">
      <c r="A1388" s="1" t="s">
        <v>26</v>
      </c>
      <c r="B1388" s="1" t="s">
        <v>4643</v>
      </c>
      <c r="C1388" s="1" t="s">
        <v>7096</v>
      </c>
      <c r="D1388" s="1">
        <v>1.9389454E7</v>
      </c>
      <c r="E1388" s="1" t="s">
        <v>2422</v>
      </c>
      <c r="F1388" s="1" t="s">
        <v>91</v>
      </c>
      <c r="G1388" s="1" t="s">
        <v>867</v>
      </c>
      <c r="H1388" s="1" t="s">
        <v>7097</v>
      </c>
      <c r="I1388" s="1">
        <v>54643.0</v>
      </c>
      <c r="J1388" s="1" t="s">
        <v>7098</v>
      </c>
      <c r="K1388" s="1" t="s">
        <v>7099</v>
      </c>
      <c r="L1388" s="1">
        <v>335.0</v>
      </c>
      <c r="M1388" s="1" t="s">
        <v>35</v>
      </c>
      <c r="N1388" s="1" t="s">
        <v>36</v>
      </c>
      <c r="O1388" s="1" t="s">
        <v>628</v>
      </c>
      <c r="P1388" s="1">
        <v>5.5E7</v>
      </c>
      <c r="Q1388" s="1">
        <v>2000.0</v>
      </c>
      <c r="R1388" s="1">
        <v>21000.0</v>
      </c>
      <c r="S1388" s="1">
        <v>826.0</v>
      </c>
      <c r="T1388" s="1">
        <v>549.0</v>
      </c>
      <c r="U1388" s="1">
        <v>22974.0</v>
      </c>
      <c r="V1388" s="1">
        <v>161.0</v>
      </c>
      <c r="W1388" s="1">
        <v>0.0</v>
      </c>
      <c r="X1388" s="1">
        <v>5.0</v>
      </c>
      <c r="Y1388" s="1">
        <v>2.35</v>
      </c>
      <c r="Z1388" s="1">
        <v>7.4</v>
      </c>
    </row>
    <row r="1389" ht="14.25" customHeight="1">
      <c r="A1389" s="1" t="s">
        <v>26</v>
      </c>
      <c r="B1389" s="1" t="s">
        <v>7100</v>
      </c>
      <c r="C1389" s="1" t="s">
        <v>7101</v>
      </c>
      <c r="D1389" s="1">
        <v>2.5871834E7</v>
      </c>
      <c r="E1389" s="1" t="s">
        <v>7102</v>
      </c>
      <c r="F1389" s="1" t="s">
        <v>7103</v>
      </c>
      <c r="G1389" s="1" t="s">
        <v>3979</v>
      </c>
      <c r="H1389" s="1" t="s">
        <v>7104</v>
      </c>
      <c r="I1389" s="1">
        <v>52052.0</v>
      </c>
      <c r="J1389" s="1" t="s">
        <v>7105</v>
      </c>
      <c r="K1389" s="1" t="s">
        <v>7106</v>
      </c>
      <c r="L1389" s="1">
        <v>173.0</v>
      </c>
      <c r="M1389" s="1" t="s">
        <v>35</v>
      </c>
      <c r="N1389" s="1" t="s">
        <v>36</v>
      </c>
      <c r="O1389" s="1" t="s">
        <v>37</v>
      </c>
      <c r="P1389" s="1">
        <v>3.5E7</v>
      </c>
      <c r="Q1389" s="1">
        <v>2008.0</v>
      </c>
      <c r="R1389" s="1">
        <v>1000.0</v>
      </c>
      <c r="S1389" s="1">
        <v>642.0</v>
      </c>
      <c r="T1389" s="1">
        <v>418.0</v>
      </c>
      <c r="U1389" s="1">
        <v>3266.0</v>
      </c>
      <c r="V1389" s="1">
        <v>82.0</v>
      </c>
      <c r="W1389" s="1">
        <v>0.0</v>
      </c>
      <c r="X1389" s="1">
        <v>6.0</v>
      </c>
      <c r="Y1389" s="1">
        <v>1.85</v>
      </c>
      <c r="Z1389" s="1">
        <v>4.5</v>
      </c>
    </row>
    <row r="1390" ht="14.25" customHeight="1">
      <c r="A1390" s="1" t="s">
        <v>26</v>
      </c>
      <c r="B1390" s="1" t="s">
        <v>7107</v>
      </c>
      <c r="C1390" s="1" t="s">
        <v>7108</v>
      </c>
      <c r="D1390" s="1">
        <v>1.9692608E7</v>
      </c>
      <c r="E1390" s="1" t="s">
        <v>2045</v>
      </c>
      <c r="F1390" s="1" t="s">
        <v>7109</v>
      </c>
      <c r="G1390" s="1" t="s">
        <v>4803</v>
      </c>
      <c r="H1390" s="1" t="s">
        <v>7110</v>
      </c>
      <c r="I1390" s="1">
        <v>63548.0</v>
      </c>
      <c r="J1390" s="1" t="s">
        <v>7111</v>
      </c>
      <c r="K1390" s="1" t="s">
        <v>7112</v>
      </c>
      <c r="L1390" s="1">
        <v>134.0</v>
      </c>
      <c r="M1390" s="1" t="s">
        <v>35</v>
      </c>
      <c r="N1390" s="1" t="s">
        <v>36</v>
      </c>
      <c r="O1390" s="1" t="s">
        <v>628</v>
      </c>
      <c r="P1390" s="1">
        <v>3.5E7</v>
      </c>
      <c r="Q1390" s="1">
        <v>2013.0</v>
      </c>
      <c r="R1390" s="1">
        <v>1000.0</v>
      </c>
      <c r="S1390" s="1">
        <v>412.0</v>
      </c>
      <c r="T1390" s="1">
        <v>344.0</v>
      </c>
      <c r="U1390" s="1">
        <v>2073.0</v>
      </c>
      <c r="V1390" s="1">
        <v>90.0</v>
      </c>
      <c r="W1390" s="1">
        <v>0.0</v>
      </c>
      <c r="X1390" s="1">
        <v>3.0</v>
      </c>
      <c r="Y1390" s="1">
        <v>2.35</v>
      </c>
      <c r="Z1390" s="1">
        <v>6.2</v>
      </c>
    </row>
    <row r="1391" ht="14.25" customHeight="1">
      <c r="A1391" s="1" t="s">
        <v>26</v>
      </c>
      <c r="B1391" s="1" t="s">
        <v>5922</v>
      </c>
      <c r="C1391" s="1" t="s">
        <v>7113</v>
      </c>
      <c r="D1391" s="1">
        <v>1.9294901E7</v>
      </c>
      <c r="E1391" s="1" t="s">
        <v>7114</v>
      </c>
      <c r="F1391" s="1" t="s">
        <v>7115</v>
      </c>
      <c r="G1391" s="1" t="s">
        <v>7116</v>
      </c>
      <c r="H1391" s="1" t="s">
        <v>4884</v>
      </c>
      <c r="I1391" s="1">
        <v>26126.0</v>
      </c>
      <c r="J1391" s="1" t="s">
        <v>7117</v>
      </c>
      <c r="K1391" s="1" t="s">
        <v>7118</v>
      </c>
      <c r="L1391" s="1">
        <v>325.0</v>
      </c>
      <c r="M1391" s="1" t="s">
        <v>35</v>
      </c>
      <c r="N1391" s="1" t="s">
        <v>36</v>
      </c>
      <c r="O1391" s="1" t="s">
        <v>37</v>
      </c>
      <c r="P1391" s="1">
        <v>3.5E7</v>
      </c>
      <c r="Q1391" s="1">
        <v>2005.0</v>
      </c>
      <c r="R1391" s="1">
        <v>1000.0</v>
      </c>
      <c r="S1391" s="1">
        <v>573.0</v>
      </c>
      <c r="T1391" s="1">
        <v>520.0</v>
      </c>
      <c r="U1391" s="1">
        <v>2535.0</v>
      </c>
      <c r="V1391" s="1">
        <v>0.0</v>
      </c>
      <c r="W1391" s="1">
        <v>0.0</v>
      </c>
      <c r="X1391" s="1">
        <v>0.0</v>
      </c>
      <c r="Y1391" s="1">
        <v>2.35</v>
      </c>
      <c r="Z1391" s="1">
        <v>5.0</v>
      </c>
    </row>
    <row r="1392" ht="14.25" customHeight="1">
      <c r="A1392" s="1" t="s">
        <v>26</v>
      </c>
      <c r="B1392" s="1" t="s">
        <v>4175</v>
      </c>
      <c r="C1392" s="1" t="s">
        <v>7119</v>
      </c>
      <c r="D1392" s="1">
        <v>2.0275446E7</v>
      </c>
      <c r="E1392" s="1" t="s">
        <v>326</v>
      </c>
      <c r="F1392" s="1" t="s">
        <v>60</v>
      </c>
      <c r="G1392" s="1" t="s">
        <v>4944</v>
      </c>
      <c r="H1392" s="1" t="s">
        <v>879</v>
      </c>
      <c r="I1392" s="1">
        <v>95274.0</v>
      </c>
      <c r="J1392" s="1" t="s">
        <v>7120</v>
      </c>
      <c r="K1392" s="1" t="s">
        <v>7121</v>
      </c>
      <c r="L1392" s="1">
        <v>178.0</v>
      </c>
      <c r="M1392" s="1" t="s">
        <v>35</v>
      </c>
      <c r="N1392" s="1" t="s">
        <v>36</v>
      </c>
      <c r="O1392" s="1" t="s">
        <v>37</v>
      </c>
      <c r="P1392" s="1">
        <v>3.5E7</v>
      </c>
      <c r="Q1392" s="1">
        <v>2012.0</v>
      </c>
      <c r="R1392" s="1">
        <v>23000.0</v>
      </c>
      <c r="S1392" s="1">
        <v>1000.0</v>
      </c>
      <c r="T1392" s="1">
        <v>346.0</v>
      </c>
      <c r="U1392" s="1">
        <v>24669.0</v>
      </c>
      <c r="V1392" s="1">
        <v>192.0</v>
      </c>
      <c r="W1392" s="1">
        <v>20000.0</v>
      </c>
      <c r="X1392" s="1">
        <v>0.0</v>
      </c>
      <c r="Y1392" s="1">
        <v>2.35</v>
      </c>
      <c r="Z1392" s="1">
        <v>6.5</v>
      </c>
    </row>
    <row r="1393" ht="14.25" customHeight="1">
      <c r="A1393" s="1" t="s">
        <v>26</v>
      </c>
      <c r="B1393" s="1" t="s">
        <v>5857</v>
      </c>
      <c r="C1393" s="1" t="s">
        <v>7122</v>
      </c>
      <c r="D1393" s="1">
        <v>3.4507079E7</v>
      </c>
      <c r="E1393" s="1" t="s">
        <v>1670</v>
      </c>
      <c r="F1393" s="1" t="s">
        <v>7123</v>
      </c>
      <c r="G1393" s="1" t="s">
        <v>7124</v>
      </c>
      <c r="H1393" s="1" t="s">
        <v>7125</v>
      </c>
      <c r="I1393" s="1">
        <v>34948.0</v>
      </c>
      <c r="J1393" s="1" t="s">
        <v>7126</v>
      </c>
      <c r="K1393" s="1" t="s">
        <v>7127</v>
      </c>
      <c r="L1393" s="1">
        <v>118.0</v>
      </c>
      <c r="M1393" s="1" t="s">
        <v>35</v>
      </c>
      <c r="N1393" s="1" t="s">
        <v>36</v>
      </c>
      <c r="O1393" s="1" t="s">
        <v>37</v>
      </c>
      <c r="P1393" s="1">
        <v>3.5E7</v>
      </c>
      <c r="Q1393" s="1">
        <v>2015.0</v>
      </c>
      <c r="R1393" s="1">
        <v>472.0</v>
      </c>
      <c r="S1393" s="1">
        <v>328.0</v>
      </c>
      <c r="T1393" s="1">
        <v>253.0</v>
      </c>
      <c r="U1393" s="1">
        <v>1679.0</v>
      </c>
      <c r="V1393" s="1">
        <v>98.0</v>
      </c>
      <c r="W1393" s="1">
        <v>0.0</v>
      </c>
      <c r="X1393" s="1">
        <v>2.0</v>
      </c>
      <c r="Y1393" s="1">
        <v>2.35</v>
      </c>
      <c r="Z1393" s="1">
        <v>5.1</v>
      </c>
    </row>
    <row r="1394" ht="14.25" customHeight="1">
      <c r="A1394" s="1" t="s">
        <v>26</v>
      </c>
      <c r="B1394" s="1" t="s">
        <v>4515</v>
      </c>
      <c r="C1394" s="1" t="s">
        <v>7128</v>
      </c>
      <c r="D1394" s="1">
        <v>1.8306166E7</v>
      </c>
      <c r="E1394" s="1" t="s">
        <v>1176</v>
      </c>
      <c r="F1394" s="1" t="s">
        <v>632</v>
      </c>
      <c r="G1394" s="1" t="s">
        <v>7129</v>
      </c>
      <c r="H1394" s="1" t="s">
        <v>7130</v>
      </c>
      <c r="I1394" s="1">
        <v>28130.0</v>
      </c>
      <c r="J1394" s="1" t="s">
        <v>7131</v>
      </c>
      <c r="K1394" s="1" t="s">
        <v>7132</v>
      </c>
      <c r="L1394" s="1">
        <v>215.0</v>
      </c>
      <c r="M1394" s="1" t="s">
        <v>35</v>
      </c>
      <c r="N1394" s="1" t="s">
        <v>54</v>
      </c>
      <c r="O1394" s="1" t="s">
        <v>37</v>
      </c>
      <c r="P1394" s="1">
        <v>3.5E7</v>
      </c>
      <c r="Q1394" s="1">
        <v>2002.0</v>
      </c>
      <c r="R1394" s="1">
        <v>3000.0</v>
      </c>
      <c r="S1394" s="1">
        <v>61.0</v>
      </c>
      <c r="T1394" s="1">
        <v>39.0</v>
      </c>
      <c r="U1394" s="1">
        <v>3142.0</v>
      </c>
      <c r="V1394" s="1">
        <v>159.0</v>
      </c>
      <c r="W1394" s="1">
        <v>0.0</v>
      </c>
      <c r="X1394" s="1">
        <v>2.0</v>
      </c>
      <c r="Y1394" s="1">
        <v>2.35</v>
      </c>
      <c r="Z1394" s="1">
        <v>6.5</v>
      </c>
    </row>
    <row r="1395" ht="14.25" customHeight="1">
      <c r="A1395" s="1" t="s">
        <v>26</v>
      </c>
      <c r="B1395" s="1" t="s">
        <v>3582</v>
      </c>
      <c r="C1395" s="1" t="s">
        <v>7133</v>
      </c>
      <c r="D1395" s="1">
        <v>1.7609982E7</v>
      </c>
      <c r="E1395" s="1" t="s">
        <v>1529</v>
      </c>
      <c r="F1395" s="1" t="s">
        <v>327</v>
      </c>
      <c r="G1395" s="1" t="s">
        <v>373</v>
      </c>
      <c r="H1395" s="1" t="s">
        <v>7134</v>
      </c>
      <c r="I1395" s="1">
        <v>90046.0</v>
      </c>
      <c r="J1395" s="1" t="s">
        <v>7135</v>
      </c>
      <c r="K1395" s="1" t="s">
        <v>7136</v>
      </c>
      <c r="L1395" s="1">
        <v>141.0</v>
      </c>
      <c r="M1395" s="1" t="s">
        <v>35</v>
      </c>
      <c r="N1395" s="1" t="s">
        <v>36</v>
      </c>
      <c r="O1395" s="1" t="s">
        <v>628</v>
      </c>
      <c r="P1395" s="1">
        <v>3.5E7</v>
      </c>
      <c r="Q1395" s="1">
        <v>2013.0</v>
      </c>
      <c r="R1395" s="1">
        <v>26000.0</v>
      </c>
      <c r="S1395" s="1">
        <v>968.0</v>
      </c>
      <c r="T1395" s="1">
        <v>458.0</v>
      </c>
      <c r="U1395" s="1">
        <v>28479.0</v>
      </c>
      <c r="V1395" s="1">
        <v>138.0</v>
      </c>
      <c r="W1395" s="1">
        <v>17000.0</v>
      </c>
      <c r="X1395" s="1">
        <v>0.0</v>
      </c>
      <c r="Y1395" s="1">
        <v>2.35</v>
      </c>
      <c r="Z1395" s="1">
        <v>6.2</v>
      </c>
    </row>
    <row r="1396" ht="14.25" customHeight="1">
      <c r="A1396" s="1" t="s">
        <v>26</v>
      </c>
      <c r="B1396" s="1" t="s">
        <v>4916</v>
      </c>
      <c r="C1396" s="1" t="s">
        <v>7137</v>
      </c>
      <c r="D1396" s="1">
        <v>1.6831505E7</v>
      </c>
      <c r="E1396" s="1" t="s">
        <v>3698</v>
      </c>
      <c r="F1396" s="1" t="s">
        <v>76</v>
      </c>
      <c r="G1396" s="1" t="s">
        <v>243</v>
      </c>
      <c r="H1396" s="1" t="s">
        <v>7138</v>
      </c>
      <c r="I1396" s="1">
        <v>51842.0</v>
      </c>
      <c r="J1396" s="1" t="s">
        <v>7139</v>
      </c>
      <c r="K1396" s="1" t="s">
        <v>7140</v>
      </c>
      <c r="L1396" s="1">
        <v>173.0</v>
      </c>
      <c r="M1396" s="1" t="s">
        <v>35</v>
      </c>
      <c r="N1396" s="1" t="s">
        <v>54</v>
      </c>
      <c r="O1396" s="1" t="s">
        <v>37</v>
      </c>
      <c r="P1396" s="1">
        <v>3.1E7</v>
      </c>
      <c r="Q1396" s="1">
        <v>2004.0</v>
      </c>
      <c r="R1396" s="1">
        <v>4000.0</v>
      </c>
      <c r="S1396" s="1">
        <v>4000.0</v>
      </c>
      <c r="T1396" s="1">
        <v>663.0</v>
      </c>
      <c r="U1396" s="1">
        <v>9330.0</v>
      </c>
      <c r="V1396" s="1">
        <v>12.0</v>
      </c>
      <c r="W1396" s="1">
        <v>0.0</v>
      </c>
      <c r="X1396" s="1">
        <v>1.0</v>
      </c>
      <c r="Y1396" s="1">
        <v>2.35</v>
      </c>
      <c r="Z1396" s="1">
        <v>6.3</v>
      </c>
    </row>
    <row r="1397" ht="14.25" customHeight="1">
      <c r="A1397" s="1" t="s">
        <v>26</v>
      </c>
      <c r="B1397" s="1" t="s">
        <v>5688</v>
      </c>
      <c r="C1397" s="1" t="s">
        <v>7141</v>
      </c>
      <c r="D1397" s="1">
        <v>1.7596256E7</v>
      </c>
      <c r="E1397" s="1" t="s">
        <v>2904</v>
      </c>
      <c r="F1397" s="1" t="s">
        <v>488</v>
      </c>
      <c r="G1397" s="1" t="s">
        <v>7142</v>
      </c>
      <c r="H1397" s="1" t="s">
        <v>7143</v>
      </c>
      <c r="I1397" s="1">
        <v>12399.0</v>
      </c>
      <c r="J1397" s="1" t="s">
        <v>7144</v>
      </c>
      <c r="K1397" s="1" t="s">
        <v>7145</v>
      </c>
      <c r="L1397" s="1">
        <v>84.0</v>
      </c>
      <c r="M1397" s="1" t="s">
        <v>35</v>
      </c>
      <c r="N1397" s="1" t="s">
        <v>36</v>
      </c>
      <c r="O1397" s="1" t="s">
        <v>87</v>
      </c>
      <c r="P1397" s="1">
        <v>3.5E7</v>
      </c>
      <c r="Q1397" s="1">
        <v>2010.0</v>
      </c>
      <c r="R1397" s="1">
        <v>3000.0</v>
      </c>
      <c r="S1397" s="1">
        <v>1000.0</v>
      </c>
      <c r="T1397" s="1">
        <v>734.0</v>
      </c>
      <c r="U1397" s="1">
        <v>6327.0</v>
      </c>
      <c r="V1397" s="1">
        <v>16.0</v>
      </c>
      <c r="W1397" s="1">
        <v>0.0</v>
      </c>
      <c r="X1397" s="1">
        <v>1.0</v>
      </c>
      <c r="Y1397" s="1">
        <v>1.85</v>
      </c>
      <c r="Z1397" s="1">
        <v>3.8</v>
      </c>
    </row>
    <row r="1398" ht="14.25" customHeight="1">
      <c r="A1398" s="1" t="s">
        <v>26</v>
      </c>
      <c r="B1398" s="1" t="s">
        <v>3834</v>
      </c>
      <c r="C1398" s="1" t="s">
        <v>7146</v>
      </c>
      <c r="D1398" s="1">
        <v>1.499807E7</v>
      </c>
      <c r="E1398" s="1" t="s">
        <v>7147</v>
      </c>
      <c r="F1398" s="1" t="s">
        <v>2286</v>
      </c>
      <c r="G1398" s="1" t="s">
        <v>508</v>
      </c>
      <c r="H1398" s="1" t="s">
        <v>175</v>
      </c>
      <c r="I1398" s="1">
        <v>41170.0</v>
      </c>
      <c r="J1398" s="1" t="s">
        <v>7148</v>
      </c>
      <c r="K1398" s="1" t="s">
        <v>7149</v>
      </c>
      <c r="L1398" s="1">
        <v>298.0</v>
      </c>
      <c r="M1398" s="1" t="s">
        <v>35</v>
      </c>
      <c r="N1398" s="1" t="s">
        <v>36</v>
      </c>
      <c r="O1398" s="1" t="s">
        <v>628</v>
      </c>
      <c r="P1398" s="1">
        <v>3.5E7</v>
      </c>
      <c r="Q1398" s="1">
        <v>2007.0</v>
      </c>
      <c r="R1398" s="1">
        <v>11000.0</v>
      </c>
      <c r="S1398" s="1">
        <v>10000.0</v>
      </c>
      <c r="T1398" s="1">
        <v>10000.0</v>
      </c>
      <c r="U1398" s="1">
        <v>32875.0</v>
      </c>
      <c r="V1398" s="1">
        <v>0.0</v>
      </c>
      <c r="W1398" s="1">
        <v>0.0</v>
      </c>
      <c r="X1398" s="1">
        <v>3.0</v>
      </c>
      <c r="Y1398" s="1">
        <v>2.35</v>
      </c>
      <c r="Z1398" s="1">
        <v>6.2</v>
      </c>
    </row>
    <row r="1399" ht="14.25" customHeight="1">
      <c r="A1399" s="1" t="s">
        <v>26</v>
      </c>
      <c r="B1399" s="1" t="s">
        <v>2192</v>
      </c>
      <c r="C1399" s="1" t="s">
        <v>7150</v>
      </c>
      <c r="D1399" s="1">
        <v>1.4587732E7</v>
      </c>
      <c r="E1399" s="1" t="s">
        <v>1827</v>
      </c>
      <c r="F1399" s="1" t="s">
        <v>7151</v>
      </c>
      <c r="G1399" s="1" t="s">
        <v>7152</v>
      </c>
      <c r="H1399" s="1" t="s">
        <v>7153</v>
      </c>
      <c r="I1399" s="1">
        <v>4795.0</v>
      </c>
      <c r="J1399" s="1" t="s">
        <v>7154</v>
      </c>
      <c r="K1399" s="1" t="s">
        <v>7155</v>
      </c>
      <c r="L1399" s="1">
        <v>39.0</v>
      </c>
      <c r="M1399" s="1" t="s">
        <v>35</v>
      </c>
      <c r="N1399" s="1" t="s">
        <v>36</v>
      </c>
      <c r="O1399" s="1" t="s">
        <v>37</v>
      </c>
      <c r="P1399" s="1">
        <v>3.5E7</v>
      </c>
      <c r="Q1399" s="1">
        <v>1991.0</v>
      </c>
      <c r="R1399" s="1">
        <v>605.0</v>
      </c>
      <c r="S1399" s="1">
        <v>367.0</v>
      </c>
      <c r="T1399" s="1">
        <v>150.0</v>
      </c>
      <c r="U1399" s="1">
        <v>1290.0</v>
      </c>
      <c r="V1399" s="1">
        <v>468.0</v>
      </c>
      <c r="W1399" s="1">
        <v>452.0</v>
      </c>
      <c r="X1399" s="1">
        <v>3.0</v>
      </c>
      <c r="Y1399" s="1">
        <v>2.35</v>
      </c>
      <c r="Z1399" s="1">
        <v>5.7</v>
      </c>
    </row>
    <row r="1400" ht="14.25" customHeight="1">
      <c r="A1400" s="1" t="s">
        <v>26</v>
      </c>
      <c r="B1400" s="1" t="s">
        <v>6179</v>
      </c>
      <c r="C1400" s="1" t="s">
        <v>7156</v>
      </c>
      <c r="D1400" s="1">
        <v>1.8317151E7</v>
      </c>
      <c r="E1400" s="1" t="s">
        <v>7157</v>
      </c>
      <c r="F1400" s="1" t="s">
        <v>2790</v>
      </c>
      <c r="G1400" s="1" t="s">
        <v>6181</v>
      </c>
      <c r="H1400" s="1" t="s">
        <v>4688</v>
      </c>
      <c r="I1400" s="1">
        <v>55630.0</v>
      </c>
      <c r="J1400" s="1" t="s">
        <v>7158</v>
      </c>
      <c r="K1400" s="1" t="s">
        <v>7159</v>
      </c>
      <c r="L1400" s="1">
        <v>200.0</v>
      </c>
      <c r="M1400" s="1" t="s">
        <v>35</v>
      </c>
      <c r="N1400" s="1" t="s">
        <v>36</v>
      </c>
      <c r="O1400" s="1" t="s">
        <v>628</v>
      </c>
      <c r="P1400" s="1">
        <v>3.5E7</v>
      </c>
      <c r="Q1400" s="1">
        <v>2007.0</v>
      </c>
      <c r="R1400" s="1">
        <v>553.0</v>
      </c>
      <c r="S1400" s="1">
        <v>214.0</v>
      </c>
      <c r="T1400" s="1">
        <v>134.0</v>
      </c>
      <c r="U1400" s="1">
        <v>1082.0</v>
      </c>
      <c r="V1400" s="1">
        <v>52.0</v>
      </c>
      <c r="W1400" s="1">
        <v>0.0</v>
      </c>
      <c r="X1400" s="1">
        <v>1.0</v>
      </c>
      <c r="Y1400" s="1">
        <v>2.35</v>
      </c>
      <c r="Z1400" s="1">
        <v>6.7</v>
      </c>
    </row>
    <row r="1401" ht="14.25" customHeight="1">
      <c r="A1401" s="1" t="s">
        <v>26</v>
      </c>
      <c r="B1401" s="1" t="s">
        <v>7160</v>
      </c>
      <c r="C1401" s="1" t="s">
        <v>7161</v>
      </c>
      <c r="D1401" s="1">
        <v>1.1405825E7</v>
      </c>
      <c r="E1401" s="1" t="s">
        <v>3238</v>
      </c>
      <c r="F1401" s="1" t="s">
        <v>112</v>
      </c>
      <c r="G1401" s="1" t="s">
        <v>1264</v>
      </c>
      <c r="H1401" s="1" t="s">
        <v>7162</v>
      </c>
      <c r="I1401" s="1">
        <v>28542.0</v>
      </c>
      <c r="J1401" s="1" t="s">
        <v>7163</v>
      </c>
      <c r="K1401" s="1" t="s">
        <v>7164</v>
      </c>
      <c r="L1401" s="1">
        <v>208.0</v>
      </c>
      <c r="M1401" s="1" t="s">
        <v>35</v>
      </c>
      <c r="N1401" s="1" t="s">
        <v>36</v>
      </c>
      <c r="O1401" s="1" t="s">
        <v>628</v>
      </c>
      <c r="P1401" s="1">
        <v>3.5E7</v>
      </c>
      <c r="Q1401" s="1">
        <v>2001.0</v>
      </c>
      <c r="R1401" s="1">
        <v>18000.0</v>
      </c>
      <c r="S1401" s="1">
        <v>826.0</v>
      </c>
      <c r="T1401" s="1">
        <v>505.0</v>
      </c>
      <c r="U1401" s="1">
        <v>19805.0</v>
      </c>
      <c r="V1401" s="1">
        <v>529.0</v>
      </c>
      <c r="W1401" s="1">
        <v>0.0</v>
      </c>
      <c r="X1401" s="1">
        <v>3.0</v>
      </c>
      <c r="Y1401" s="1">
        <v>2.35</v>
      </c>
      <c r="Z1401" s="1">
        <v>6.8</v>
      </c>
    </row>
    <row r="1402" ht="14.25" customHeight="1">
      <c r="A1402" s="1" t="s">
        <v>26</v>
      </c>
      <c r="B1402" s="1" t="s">
        <v>2538</v>
      </c>
      <c r="C1402" s="1" t="s">
        <v>7165</v>
      </c>
      <c r="D1402" s="1">
        <v>1.3264986E7</v>
      </c>
      <c r="E1402" s="1" t="s">
        <v>7166</v>
      </c>
      <c r="F1402" s="1" t="s">
        <v>5126</v>
      </c>
      <c r="G1402" s="1" t="s">
        <v>1250</v>
      </c>
      <c r="H1402" s="1" t="s">
        <v>2009</v>
      </c>
      <c r="I1402" s="1">
        <v>12077.0</v>
      </c>
      <c r="J1402" s="1" t="s">
        <v>7167</v>
      </c>
      <c r="K1402" s="1" t="s">
        <v>7168</v>
      </c>
      <c r="L1402" s="1">
        <v>162.0</v>
      </c>
      <c r="M1402" s="1" t="s">
        <v>35</v>
      </c>
      <c r="N1402" s="1" t="s">
        <v>36</v>
      </c>
      <c r="O1402" s="1" t="s">
        <v>37</v>
      </c>
      <c r="P1402" s="1">
        <v>3.5E7</v>
      </c>
      <c r="Q1402" s="1">
        <v>2001.0</v>
      </c>
      <c r="R1402" s="1">
        <v>694.0</v>
      </c>
      <c r="S1402" s="1">
        <v>605.0</v>
      </c>
      <c r="T1402" s="1">
        <v>141.0</v>
      </c>
      <c r="U1402" s="1">
        <v>1668.0</v>
      </c>
      <c r="V1402" s="1">
        <v>10.0</v>
      </c>
      <c r="W1402" s="1">
        <v>433.0</v>
      </c>
      <c r="X1402" s="1">
        <v>2.0</v>
      </c>
      <c r="Y1402" s="1">
        <v>1.85</v>
      </c>
      <c r="Z1402" s="1">
        <v>6.0</v>
      </c>
    </row>
    <row r="1403" ht="14.25" customHeight="1">
      <c r="A1403" s="1" t="s">
        <v>26</v>
      </c>
      <c r="B1403" s="1" t="s">
        <v>7169</v>
      </c>
      <c r="C1403" s="1" t="s">
        <v>7170</v>
      </c>
      <c r="D1403" s="1">
        <v>1.0991381E7</v>
      </c>
      <c r="E1403" s="1" t="s">
        <v>5738</v>
      </c>
      <c r="F1403" s="1" t="s">
        <v>7171</v>
      </c>
      <c r="G1403" s="1" t="s">
        <v>385</v>
      </c>
      <c r="H1403" s="1" t="s">
        <v>201</v>
      </c>
      <c r="I1403" s="1">
        <v>44931.0</v>
      </c>
      <c r="J1403" s="1" t="s">
        <v>7172</v>
      </c>
      <c r="K1403" s="1" t="s">
        <v>7173</v>
      </c>
      <c r="L1403" s="1">
        <v>100.0</v>
      </c>
      <c r="M1403" s="1" t="s">
        <v>35</v>
      </c>
      <c r="N1403" s="1" t="s">
        <v>54</v>
      </c>
      <c r="O1403" s="1" t="s">
        <v>87</v>
      </c>
      <c r="P1403" s="1">
        <v>3.5E7</v>
      </c>
      <c r="Q1403" s="1">
        <v>2009.0</v>
      </c>
      <c r="R1403" s="1">
        <v>2000.0</v>
      </c>
      <c r="S1403" s="1">
        <v>1000.0</v>
      </c>
      <c r="T1403" s="1">
        <v>919.0</v>
      </c>
      <c r="U1403" s="1">
        <v>5890.0</v>
      </c>
      <c r="V1403" s="1">
        <v>212.0</v>
      </c>
      <c r="W1403" s="1">
        <v>0.0</v>
      </c>
      <c r="X1403" s="1">
        <v>1.0</v>
      </c>
      <c r="Y1403" s="1">
        <v>2.35</v>
      </c>
      <c r="Z1403" s="1">
        <v>7.3</v>
      </c>
    </row>
    <row r="1404" ht="14.25" customHeight="1">
      <c r="A1404" s="1" t="s">
        <v>26</v>
      </c>
      <c r="B1404" s="1" t="s">
        <v>1604</v>
      </c>
      <c r="C1404" s="1" t="s">
        <v>7174</v>
      </c>
      <c r="D1404" s="1">
        <v>1.0268846E7</v>
      </c>
      <c r="E1404" s="1" t="s">
        <v>1155</v>
      </c>
      <c r="F1404" s="1" t="s">
        <v>2118</v>
      </c>
      <c r="G1404" s="1" t="s">
        <v>7175</v>
      </c>
      <c r="H1404" s="1" t="s">
        <v>7176</v>
      </c>
      <c r="I1404" s="1">
        <v>31918.0</v>
      </c>
      <c r="J1404" s="1" t="s">
        <v>7177</v>
      </c>
      <c r="K1404" s="1" t="s">
        <v>7178</v>
      </c>
      <c r="L1404" s="1">
        <v>142.0</v>
      </c>
      <c r="M1404" s="1" t="s">
        <v>35</v>
      </c>
      <c r="N1404" s="1" t="s">
        <v>36</v>
      </c>
      <c r="O1404" s="1" t="s">
        <v>628</v>
      </c>
      <c r="P1404" s="1">
        <v>3.5E7</v>
      </c>
      <c r="Q1404" s="1">
        <v>2009.0</v>
      </c>
      <c r="R1404" s="1">
        <v>1000.0</v>
      </c>
      <c r="S1404" s="1">
        <v>603.0</v>
      </c>
      <c r="T1404" s="1">
        <v>230.0</v>
      </c>
      <c r="U1404" s="1">
        <v>1947.0</v>
      </c>
      <c r="V1404" s="1">
        <v>57.0</v>
      </c>
      <c r="W1404" s="1">
        <v>0.0</v>
      </c>
      <c r="X1404" s="1">
        <v>1.0</v>
      </c>
      <c r="Y1404" s="1">
        <v>2.35</v>
      </c>
      <c r="Z1404" s="1">
        <v>5.5</v>
      </c>
    </row>
    <row r="1405" ht="14.25" customHeight="1">
      <c r="A1405" s="1" t="s">
        <v>26</v>
      </c>
      <c r="B1405" s="1" t="s">
        <v>4676</v>
      </c>
      <c r="C1405" s="1" t="s">
        <v>7179</v>
      </c>
      <c r="D1405" s="1">
        <v>1.3303319E7</v>
      </c>
      <c r="E1405" s="1" t="s">
        <v>5030</v>
      </c>
      <c r="F1405" s="1" t="s">
        <v>335</v>
      </c>
      <c r="G1405" s="1" t="s">
        <v>445</v>
      </c>
      <c r="H1405" s="1" t="s">
        <v>733</v>
      </c>
      <c r="I1405" s="1">
        <v>136367.0</v>
      </c>
      <c r="J1405" s="1" t="s">
        <v>7180</v>
      </c>
      <c r="K1405" s="1" t="s">
        <v>7181</v>
      </c>
      <c r="L1405" s="1">
        <v>975.0</v>
      </c>
      <c r="M1405" s="1" t="s">
        <v>35</v>
      </c>
      <c r="N1405" s="1" t="s">
        <v>36</v>
      </c>
      <c r="O1405" s="1" t="s">
        <v>37</v>
      </c>
      <c r="P1405" s="1">
        <v>3.2E7</v>
      </c>
      <c r="Q1405" s="1">
        <v>2011.0</v>
      </c>
      <c r="R1405" s="1">
        <v>11000.0</v>
      </c>
      <c r="S1405" s="1">
        <v>1000.0</v>
      </c>
      <c r="T1405" s="1">
        <v>687.0</v>
      </c>
      <c r="U1405" s="1">
        <v>13021.0</v>
      </c>
      <c r="V1405" s="1">
        <v>0.0</v>
      </c>
      <c r="W1405" s="1">
        <v>39000.0</v>
      </c>
      <c r="X1405" s="1">
        <v>0.0</v>
      </c>
      <c r="Y1405" s="1">
        <v>1.85</v>
      </c>
      <c r="Z1405" s="1">
        <v>6.7</v>
      </c>
    </row>
    <row r="1406" ht="14.25" customHeight="1">
      <c r="A1406" s="1" t="s">
        <v>26</v>
      </c>
      <c r="B1406" s="1" t="s">
        <v>7182</v>
      </c>
      <c r="C1406" s="1" t="s">
        <v>7183</v>
      </c>
      <c r="D1406" s="1">
        <v>1.0076136E7</v>
      </c>
      <c r="E1406" s="1" t="s">
        <v>1650</v>
      </c>
      <c r="F1406" s="1" t="s">
        <v>7184</v>
      </c>
      <c r="G1406" s="1" t="s">
        <v>7185</v>
      </c>
      <c r="H1406" s="1" t="s">
        <v>7186</v>
      </c>
      <c r="I1406" s="1">
        <v>11512.0</v>
      </c>
      <c r="J1406" s="1" t="s">
        <v>7187</v>
      </c>
      <c r="K1406" s="1" t="s">
        <v>7188</v>
      </c>
      <c r="L1406" s="1">
        <v>141.0</v>
      </c>
      <c r="M1406" s="1" t="s">
        <v>35</v>
      </c>
      <c r="N1406" s="1" t="s">
        <v>7189</v>
      </c>
      <c r="O1406" s="1" t="s">
        <v>628</v>
      </c>
      <c r="P1406" s="1">
        <v>3.5E7</v>
      </c>
      <c r="Q1406" s="1">
        <v>1998.0</v>
      </c>
      <c r="R1406" s="1">
        <v>635.0</v>
      </c>
      <c r="S1406" s="1">
        <v>316.0</v>
      </c>
      <c r="T1406" s="1">
        <v>105.0</v>
      </c>
      <c r="U1406" s="1">
        <v>1352.0</v>
      </c>
      <c r="V1406" s="1">
        <v>85.0</v>
      </c>
      <c r="W1406" s="1">
        <v>471.0</v>
      </c>
      <c r="X1406" s="1">
        <v>0.0</v>
      </c>
      <c r="Y1406" s="1">
        <v>2.35</v>
      </c>
      <c r="Z1406" s="1">
        <v>4.8</v>
      </c>
    </row>
    <row r="1407" ht="14.25" customHeight="1">
      <c r="A1407" s="1" t="s">
        <v>26</v>
      </c>
      <c r="B1407" s="1" t="s">
        <v>492</v>
      </c>
      <c r="C1407" s="1" t="s">
        <v>7190</v>
      </c>
      <c r="D1407" s="1">
        <v>1.0499968E7</v>
      </c>
      <c r="E1407" s="1" t="s">
        <v>449</v>
      </c>
      <c r="F1407" s="1" t="s">
        <v>336</v>
      </c>
      <c r="G1407" s="1" t="s">
        <v>4032</v>
      </c>
      <c r="H1407" s="1" t="s">
        <v>7191</v>
      </c>
      <c r="I1407" s="1">
        <v>47498.0</v>
      </c>
      <c r="J1407" s="1" t="s">
        <v>7192</v>
      </c>
      <c r="K1407" s="1" t="s">
        <v>7193</v>
      </c>
      <c r="L1407" s="1">
        <v>212.0</v>
      </c>
      <c r="M1407" s="1" t="s">
        <v>35</v>
      </c>
      <c r="N1407" s="1" t="s">
        <v>36</v>
      </c>
      <c r="O1407" s="1" t="s">
        <v>628</v>
      </c>
      <c r="P1407" s="1">
        <v>3.5E7</v>
      </c>
      <c r="Q1407" s="1">
        <v>2014.0</v>
      </c>
      <c r="R1407" s="1">
        <v>1000.0</v>
      </c>
      <c r="S1407" s="1">
        <v>206.0</v>
      </c>
      <c r="T1407" s="1">
        <v>120.0</v>
      </c>
      <c r="U1407" s="1">
        <v>1458.0</v>
      </c>
      <c r="V1407" s="1">
        <v>453.0</v>
      </c>
      <c r="W1407" s="1">
        <v>10000.0</v>
      </c>
      <c r="X1407" s="1">
        <v>3.0</v>
      </c>
      <c r="Y1407" s="1">
        <v>1.85</v>
      </c>
      <c r="Z1407" s="1">
        <v>5.7</v>
      </c>
    </row>
    <row r="1408" ht="14.25" customHeight="1">
      <c r="A1408" s="1" t="s">
        <v>26</v>
      </c>
      <c r="B1408" s="1" t="s">
        <v>4806</v>
      </c>
      <c r="C1408" s="1" t="s">
        <v>7194</v>
      </c>
      <c r="D1408" s="1">
        <v>7659747.0</v>
      </c>
      <c r="E1408" s="1" t="s">
        <v>1112</v>
      </c>
      <c r="F1408" s="1" t="s">
        <v>450</v>
      </c>
      <c r="G1408" s="1" t="s">
        <v>182</v>
      </c>
      <c r="H1408" s="1" t="s">
        <v>7195</v>
      </c>
      <c r="I1408" s="1">
        <v>14962.0</v>
      </c>
      <c r="J1408" s="1" t="s">
        <v>7196</v>
      </c>
      <c r="K1408" s="1" t="s">
        <v>7197</v>
      </c>
      <c r="L1408" s="1">
        <v>204.0</v>
      </c>
      <c r="M1408" s="1" t="s">
        <v>35</v>
      </c>
      <c r="N1408" s="1" t="s">
        <v>36</v>
      </c>
      <c r="O1408" s="1" t="s">
        <v>628</v>
      </c>
      <c r="P1408" s="1">
        <v>3.8E7</v>
      </c>
      <c r="Q1408" s="1">
        <v>2003.0</v>
      </c>
      <c r="R1408" s="1">
        <v>13000.0</v>
      </c>
      <c r="S1408" s="1">
        <v>891.0</v>
      </c>
      <c r="T1408" s="1">
        <v>127.0</v>
      </c>
      <c r="U1408" s="1">
        <v>14165.0</v>
      </c>
      <c r="V1408" s="1">
        <v>241.0</v>
      </c>
      <c r="W1408" s="1">
        <v>704.0</v>
      </c>
      <c r="X1408" s="1">
        <v>1.0</v>
      </c>
      <c r="Y1408" s="1">
        <v>1.85</v>
      </c>
      <c r="Z1408" s="1">
        <v>5.1</v>
      </c>
    </row>
    <row r="1409" ht="14.25" customHeight="1">
      <c r="A1409" s="1" t="s">
        <v>26</v>
      </c>
      <c r="B1409" s="1" t="s">
        <v>7198</v>
      </c>
      <c r="C1409" s="1" t="s">
        <v>7199</v>
      </c>
      <c r="D1409" s="1">
        <v>7948159.0</v>
      </c>
      <c r="E1409" s="1" t="s">
        <v>449</v>
      </c>
      <c r="F1409" s="1" t="s">
        <v>7200</v>
      </c>
      <c r="G1409" s="1" t="s">
        <v>957</v>
      </c>
      <c r="H1409" s="1" t="s">
        <v>928</v>
      </c>
      <c r="I1409" s="1">
        <v>48999.0</v>
      </c>
      <c r="J1409" s="1" t="s">
        <v>7201</v>
      </c>
      <c r="K1409" s="1" t="s">
        <v>7202</v>
      </c>
      <c r="L1409" s="1">
        <v>280.0</v>
      </c>
      <c r="M1409" s="1" t="s">
        <v>35</v>
      </c>
      <c r="N1409" s="1" t="s">
        <v>36</v>
      </c>
      <c r="O1409" s="1" t="s">
        <v>628</v>
      </c>
      <c r="P1409" s="1">
        <v>3.5E7</v>
      </c>
      <c r="Q1409" s="1">
        <v>2008.0</v>
      </c>
      <c r="R1409" s="1">
        <v>3000.0</v>
      </c>
      <c r="S1409" s="1">
        <v>967.0</v>
      </c>
      <c r="T1409" s="1">
        <v>766.0</v>
      </c>
      <c r="U1409" s="1">
        <v>6563.0</v>
      </c>
      <c r="V1409" s="1">
        <v>189.0</v>
      </c>
      <c r="W1409" s="1">
        <v>0.0</v>
      </c>
      <c r="X1409" s="1">
        <v>1.0</v>
      </c>
      <c r="Y1409" s="1">
        <v>2.35</v>
      </c>
      <c r="Z1409" s="1">
        <v>6.0</v>
      </c>
    </row>
    <row r="1410" ht="14.25" customHeight="1">
      <c r="A1410" s="1" t="s">
        <v>26</v>
      </c>
      <c r="B1410" s="1" t="s">
        <v>4827</v>
      </c>
      <c r="C1410" s="1" t="s">
        <v>7203</v>
      </c>
      <c r="D1410" s="1">
        <v>1.1631245E7</v>
      </c>
      <c r="E1410" s="1" t="s">
        <v>7204</v>
      </c>
      <c r="F1410" s="1" t="s">
        <v>4147</v>
      </c>
      <c r="G1410" s="1" t="s">
        <v>867</v>
      </c>
      <c r="H1410" s="1" t="s">
        <v>5870</v>
      </c>
      <c r="I1410" s="1">
        <v>15015.0</v>
      </c>
      <c r="J1410" s="1" t="s">
        <v>7205</v>
      </c>
      <c r="K1410" s="1" t="s">
        <v>7206</v>
      </c>
      <c r="L1410" s="1">
        <v>113.0</v>
      </c>
      <c r="M1410" s="1" t="s">
        <v>35</v>
      </c>
      <c r="N1410" s="1" t="s">
        <v>36</v>
      </c>
      <c r="O1410" s="1" t="s">
        <v>87</v>
      </c>
      <c r="P1410" s="1">
        <v>3.5E7</v>
      </c>
      <c r="Q1410" s="1">
        <v>2006.0</v>
      </c>
      <c r="R1410" s="1">
        <v>2000.0</v>
      </c>
      <c r="S1410" s="1">
        <v>826.0</v>
      </c>
      <c r="T1410" s="1">
        <v>690.0</v>
      </c>
      <c r="U1410" s="1">
        <v>5022.0</v>
      </c>
      <c r="V1410" s="1">
        <v>12.0</v>
      </c>
      <c r="W1410" s="1">
        <v>494.0</v>
      </c>
      <c r="X1410" s="1">
        <v>5.0</v>
      </c>
      <c r="Y1410" s="1">
        <v>1.85</v>
      </c>
      <c r="Z1410" s="1">
        <v>4.2</v>
      </c>
    </row>
    <row r="1411" ht="14.25" customHeight="1">
      <c r="A1411" s="1" t="s">
        <v>26</v>
      </c>
      <c r="B1411" s="1" t="s">
        <v>420</v>
      </c>
      <c r="C1411" s="1" t="s">
        <v>7207</v>
      </c>
      <c r="D1411" s="1">
        <v>1.0137502E7</v>
      </c>
      <c r="E1411" s="1" t="s">
        <v>7208</v>
      </c>
      <c r="F1411" s="1" t="s">
        <v>60</v>
      </c>
      <c r="G1411" s="1" t="s">
        <v>7209</v>
      </c>
      <c r="H1411" s="1" t="s">
        <v>7210</v>
      </c>
      <c r="I1411" s="1">
        <v>77394.0</v>
      </c>
      <c r="J1411" s="1" t="s">
        <v>7211</v>
      </c>
      <c r="K1411" s="1" t="s">
        <v>7212</v>
      </c>
      <c r="L1411" s="1">
        <v>195.0</v>
      </c>
      <c r="M1411" s="1" t="s">
        <v>35</v>
      </c>
      <c r="N1411" s="1" t="s">
        <v>36</v>
      </c>
      <c r="O1411" s="1" t="s">
        <v>87</v>
      </c>
      <c r="P1411" s="1">
        <v>3.5E7</v>
      </c>
      <c r="Q1411" s="1">
        <v>2015.0</v>
      </c>
      <c r="R1411" s="1">
        <v>23000.0</v>
      </c>
      <c r="S1411" s="1">
        <v>22.0</v>
      </c>
      <c r="T1411" s="1">
        <v>6.0</v>
      </c>
      <c r="U1411" s="1">
        <v>23031.0</v>
      </c>
      <c r="V1411" s="1">
        <v>0.0</v>
      </c>
      <c r="W1411" s="1">
        <v>24000.0</v>
      </c>
      <c r="X1411" s="1">
        <v>0.0</v>
      </c>
      <c r="Y1411" s="1">
        <v>2.35</v>
      </c>
      <c r="Z1411" s="1">
        <v>7.4</v>
      </c>
    </row>
    <row r="1412" ht="14.25" customHeight="1">
      <c r="A1412" s="1" t="s">
        <v>26</v>
      </c>
      <c r="B1412" s="1" t="s">
        <v>7213</v>
      </c>
      <c r="C1412" s="1" t="s">
        <v>7214</v>
      </c>
      <c r="D1412" s="1">
        <v>6448817.0</v>
      </c>
      <c r="E1412" s="1" t="s">
        <v>40</v>
      </c>
      <c r="F1412" s="1" t="s">
        <v>7215</v>
      </c>
      <c r="G1412" s="1" t="s">
        <v>7216</v>
      </c>
      <c r="H1412" s="1" t="s">
        <v>7217</v>
      </c>
      <c r="I1412" s="1">
        <v>2189.0</v>
      </c>
      <c r="J1412" s="1" t="s">
        <v>7218</v>
      </c>
      <c r="K1412" s="1" t="s">
        <v>7219</v>
      </c>
      <c r="L1412" s="1">
        <v>31.0</v>
      </c>
      <c r="M1412" s="1" t="s">
        <v>35</v>
      </c>
      <c r="N1412" s="1" t="s">
        <v>36</v>
      </c>
      <c r="O1412" s="1" t="s">
        <v>87</v>
      </c>
      <c r="P1412" s="1">
        <v>3.5E7</v>
      </c>
      <c r="Q1412" s="1">
        <v>1997.0</v>
      </c>
      <c r="R1412" s="1">
        <v>690.0</v>
      </c>
      <c r="S1412" s="1">
        <v>457.0</v>
      </c>
      <c r="T1412" s="1">
        <v>448.0</v>
      </c>
      <c r="U1412" s="1">
        <v>1993.0</v>
      </c>
      <c r="V1412" s="1">
        <v>31.0</v>
      </c>
      <c r="W1412" s="1">
        <v>0.0</v>
      </c>
      <c r="X1412" s="1">
        <v>0.0</v>
      </c>
      <c r="Y1412" s="1">
        <v>2.35</v>
      </c>
      <c r="Z1412" s="1">
        <v>4.6</v>
      </c>
    </row>
    <row r="1413" ht="14.25" customHeight="1">
      <c r="A1413" s="1" t="s">
        <v>26</v>
      </c>
      <c r="B1413" s="1" t="s">
        <v>179</v>
      </c>
      <c r="C1413" s="1" t="s">
        <v>7220</v>
      </c>
      <c r="D1413" s="1">
        <v>7458269.0</v>
      </c>
      <c r="E1413" s="1" t="s">
        <v>1359</v>
      </c>
      <c r="F1413" s="1" t="s">
        <v>1443</v>
      </c>
      <c r="G1413" s="1" t="s">
        <v>233</v>
      </c>
      <c r="H1413" s="1" t="s">
        <v>366</v>
      </c>
      <c r="I1413" s="1">
        <v>70698.0</v>
      </c>
      <c r="J1413" s="1" t="s">
        <v>7221</v>
      </c>
      <c r="K1413" s="1" t="s">
        <v>7222</v>
      </c>
      <c r="L1413" s="1">
        <v>196.0</v>
      </c>
      <c r="M1413" s="1" t="s">
        <v>35</v>
      </c>
      <c r="N1413" s="1" t="s">
        <v>36</v>
      </c>
      <c r="O1413" s="1" t="s">
        <v>37</v>
      </c>
      <c r="P1413" s="1">
        <v>3.5E7</v>
      </c>
      <c r="Q1413" s="1">
        <v>2006.0</v>
      </c>
      <c r="R1413" s="1">
        <v>883.0</v>
      </c>
      <c r="S1413" s="1">
        <v>883.0</v>
      </c>
      <c r="T1413" s="1">
        <v>567.0</v>
      </c>
      <c r="U1413" s="1">
        <v>3611.0</v>
      </c>
      <c r="V1413" s="1">
        <v>0.0</v>
      </c>
      <c r="W1413" s="1">
        <v>9000.0</v>
      </c>
      <c r="X1413" s="1">
        <v>1.0</v>
      </c>
      <c r="Y1413" s="1">
        <v>2.35</v>
      </c>
      <c r="Z1413" s="1">
        <v>6.9</v>
      </c>
    </row>
    <row r="1414" ht="14.25" customHeight="1">
      <c r="A1414" s="1" t="s">
        <v>26</v>
      </c>
      <c r="B1414" s="1" t="s">
        <v>1021</v>
      </c>
      <c r="C1414" s="1" t="s">
        <v>7223</v>
      </c>
      <c r="D1414" s="1">
        <v>4651977.0</v>
      </c>
      <c r="E1414" s="1" t="s">
        <v>3238</v>
      </c>
      <c r="F1414" s="1" t="s">
        <v>1453</v>
      </c>
      <c r="G1414" s="1" t="s">
        <v>4348</v>
      </c>
      <c r="H1414" s="1" t="s">
        <v>3032</v>
      </c>
      <c r="I1414" s="1">
        <v>10410.0</v>
      </c>
      <c r="J1414" s="1" t="s">
        <v>7224</v>
      </c>
      <c r="K1414" s="1" t="s">
        <v>7225</v>
      </c>
      <c r="L1414" s="1">
        <v>71.0</v>
      </c>
      <c r="M1414" s="1" t="s">
        <v>35</v>
      </c>
      <c r="N1414" s="1" t="s">
        <v>36</v>
      </c>
      <c r="O1414" s="1" t="s">
        <v>37</v>
      </c>
      <c r="P1414" s="1">
        <v>3.5E7</v>
      </c>
      <c r="Q1414" s="1">
        <v>1992.0</v>
      </c>
      <c r="R1414" s="1">
        <v>2000.0</v>
      </c>
      <c r="S1414" s="1">
        <v>864.0</v>
      </c>
      <c r="T1414" s="1">
        <v>697.0</v>
      </c>
      <c r="U1414" s="1">
        <v>4334.0</v>
      </c>
      <c r="V1414" s="1">
        <v>503.0</v>
      </c>
      <c r="W1414" s="1">
        <v>892.0</v>
      </c>
      <c r="X1414" s="1">
        <v>3.0</v>
      </c>
      <c r="Y1414" s="1">
        <v>2.35</v>
      </c>
      <c r="Z1414" s="1">
        <v>6.9</v>
      </c>
    </row>
    <row r="1415" ht="14.25" customHeight="1">
      <c r="A1415" s="1" t="s">
        <v>26</v>
      </c>
      <c r="B1415" s="1" t="s">
        <v>3582</v>
      </c>
      <c r="C1415" s="1" t="s">
        <v>7226</v>
      </c>
      <c r="D1415" s="1">
        <v>4496583.0</v>
      </c>
      <c r="E1415" s="1" t="s">
        <v>1854</v>
      </c>
      <c r="F1415" s="1" t="s">
        <v>457</v>
      </c>
      <c r="G1415" s="1" t="s">
        <v>6294</v>
      </c>
      <c r="H1415" s="1" t="s">
        <v>2344</v>
      </c>
      <c r="I1415" s="1">
        <v>23181.0</v>
      </c>
      <c r="J1415" s="1" t="s">
        <v>7227</v>
      </c>
      <c r="K1415" s="1" t="s">
        <v>7228</v>
      </c>
      <c r="L1415" s="1">
        <v>129.0</v>
      </c>
      <c r="M1415" s="1" t="s">
        <v>35</v>
      </c>
      <c r="N1415" s="1" t="s">
        <v>36</v>
      </c>
      <c r="O1415" s="1" t="s">
        <v>628</v>
      </c>
      <c r="P1415" s="1">
        <v>3.5E7</v>
      </c>
      <c r="Q1415" s="1">
        <v>1993.0</v>
      </c>
      <c r="R1415" s="1">
        <v>848.0</v>
      </c>
      <c r="S1415" s="1">
        <v>674.0</v>
      </c>
      <c r="T1415" s="1">
        <v>672.0</v>
      </c>
      <c r="U1415" s="1">
        <v>3227.0</v>
      </c>
      <c r="V1415" s="1">
        <v>138.0</v>
      </c>
      <c r="W1415" s="1">
        <v>6000.0</v>
      </c>
      <c r="X1415" s="1">
        <v>2.0</v>
      </c>
      <c r="Y1415" s="1">
        <v>1.66</v>
      </c>
      <c r="Z1415" s="1">
        <v>8.0</v>
      </c>
    </row>
    <row r="1416" ht="14.25" customHeight="1">
      <c r="A1416" s="1" t="s">
        <v>26</v>
      </c>
      <c r="B1416" s="1" t="s">
        <v>7229</v>
      </c>
      <c r="C1416" s="1" t="s">
        <v>7230</v>
      </c>
      <c r="D1416" s="1">
        <v>2221994.0</v>
      </c>
      <c r="E1416" s="1" t="s">
        <v>1335</v>
      </c>
      <c r="F1416" s="1" t="s">
        <v>385</v>
      </c>
      <c r="G1416" s="1" t="s">
        <v>130</v>
      </c>
      <c r="H1416" s="1" t="s">
        <v>652</v>
      </c>
      <c r="I1416" s="1">
        <v>11747.0</v>
      </c>
      <c r="J1416" s="1" t="s">
        <v>7231</v>
      </c>
      <c r="K1416" s="1" t="s">
        <v>7232</v>
      </c>
      <c r="L1416" s="1">
        <v>99.0</v>
      </c>
      <c r="M1416" s="1" t="s">
        <v>35</v>
      </c>
      <c r="N1416" s="1" t="s">
        <v>7233</v>
      </c>
      <c r="O1416" s="1" t="s">
        <v>628</v>
      </c>
      <c r="P1416" s="1">
        <v>3.5E7</v>
      </c>
      <c r="Q1416" s="1">
        <v>1997.0</v>
      </c>
      <c r="R1416" s="1">
        <v>1000.0</v>
      </c>
      <c r="S1416" s="1">
        <v>1000.0</v>
      </c>
      <c r="T1416" s="1">
        <v>918.0</v>
      </c>
      <c r="U1416" s="1">
        <v>3125.0</v>
      </c>
      <c r="V1416" s="1">
        <v>55.0</v>
      </c>
      <c r="W1416" s="1">
        <v>561.0</v>
      </c>
      <c r="X1416" s="1">
        <v>1.0</v>
      </c>
      <c r="Y1416" s="1">
        <v>2.35</v>
      </c>
      <c r="Z1416" s="1">
        <v>6.4</v>
      </c>
    </row>
    <row r="1417" ht="14.25" customHeight="1">
      <c r="A1417" s="1" t="s">
        <v>26</v>
      </c>
      <c r="B1417" s="1" t="s">
        <v>2161</v>
      </c>
      <c r="C1417" s="1" t="s">
        <v>7234</v>
      </c>
      <c r="D1417" s="1">
        <v>6592103.0</v>
      </c>
      <c r="E1417" s="1" t="s">
        <v>2061</v>
      </c>
      <c r="F1417" s="1" t="s">
        <v>3036</v>
      </c>
      <c r="G1417" s="1" t="s">
        <v>3314</v>
      </c>
      <c r="H1417" s="1" t="s">
        <v>7235</v>
      </c>
      <c r="I1417" s="1">
        <v>28584.0</v>
      </c>
      <c r="J1417" s="1" t="s">
        <v>7236</v>
      </c>
      <c r="K1417" s="1" t="s">
        <v>7237</v>
      </c>
      <c r="L1417" s="1">
        <v>232.0</v>
      </c>
      <c r="M1417" s="1" t="s">
        <v>35</v>
      </c>
      <c r="N1417" s="1" t="s">
        <v>1832</v>
      </c>
      <c r="O1417" s="1" t="s">
        <v>628</v>
      </c>
      <c r="P1417" s="1">
        <v>3.5E7</v>
      </c>
      <c r="Q1417" s="1">
        <v>2002.0</v>
      </c>
      <c r="R1417" s="1">
        <v>548.0</v>
      </c>
      <c r="S1417" s="1">
        <v>298.0</v>
      </c>
      <c r="T1417" s="1">
        <v>115.0</v>
      </c>
      <c r="U1417" s="1">
        <v>1005.0</v>
      </c>
      <c r="V1417" s="1">
        <v>0.0</v>
      </c>
      <c r="W1417" s="1">
        <v>675.0</v>
      </c>
      <c r="X1417" s="1">
        <v>1.0</v>
      </c>
      <c r="Y1417" s="1">
        <v>1.85</v>
      </c>
      <c r="Z1417" s="1">
        <v>6.3</v>
      </c>
    </row>
    <row r="1418" ht="14.25" customHeight="1">
      <c r="A1418" s="1" t="s">
        <v>26</v>
      </c>
      <c r="B1418" s="1" t="s">
        <v>1027</v>
      </c>
      <c r="C1418" s="1" t="s">
        <v>7238</v>
      </c>
      <c r="D1418" s="1">
        <v>630779.0</v>
      </c>
      <c r="E1418" s="1" t="s">
        <v>7239</v>
      </c>
      <c r="F1418" s="1" t="s">
        <v>7240</v>
      </c>
      <c r="G1418" s="1" t="s">
        <v>7241</v>
      </c>
      <c r="H1418" s="1" t="s">
        <v>7242</v>
      </c>
      <c r="I1418" s="1">
        <v>11101.0</v>
      </c>
      <c r="J1418" s="1" t="s">
        <v>7243</v>
      </c>
      <c r="K1418" s="1" t="s">
        <v>7244</v>
      </c>
      <c r="L1418" s="1">
        <v>159.0</v>
      </c>
      <c r="M1418" s="1" t="s">
        <v>35</v>
      </c>
      <c r="N1418" s="1" t="s">
        <v>36</v>
      </c>
      <c r="O1418" s="1" t="s">
        <v>628</v>
      </c>
      <c r="P1418" s="1">
        <v>3.5E7</v>
      </c>
      <c r="Q1418" s="1">
        <v>1999.0</v>
      </c>
      <c r="R1418" s="1">
        <v>3.0</v>
      </c>
      <c r="S1418" s="1">
        <v>2.0</v>
      </c>
      <c r="T1418" s="1">
        <v>0.0</v>
      </c>
      <c r="U1418" s="1">
        <v>5.0</v>
      </c>
      <c r="V1418" s="1">
        <v>0.0</v>
      </c>
      <c r="W1418" s="1">
        <v>633.0</v>
      </c>
      <c r="X1418" s="1">
        <v>0.0</v>
      </c>
      <c r="Y1418" s="1">
        <v>2.35</v>
      </c>
      <c r="Z1418" s="1">
        <v>6.8</v>
      </c>
    </row>
    <row r="1419" ht="14.25" customHeight="1">
      <c r="A1419" s="1" t="s">
        <v>26</v>
      </c>
      <c r="B1419" s="1" t="s">
        <v>3814</v>
      </c>
      <c r="C1419" s="1" t="s">
        <v>7245</v>
      </c>
      <c r="D1419" s="1">
        <v>1.02413606E8</v>
      </c>
      <c r="E1419" s="1" t="s">
        <v>1567</v>
      </c>
      <c r="F1419" s="1" t="s">
        <v>3816</v>
      </c>
      <c r="G1419" s="1" t="s">
        <v>7246</v>
      </c>
      <c r="H1419" s="1" t="s">
        <v>7247</v>
      </c>
      <c r="I1419" s="1">
        <v>310903.0</v>
      </c>
      <c r="J1419" s="1" t="s">
        <v>7248</v>
      </c>
      <c r="K1419" s="1" t="s">
        <v>7249</v>
      </c>
      <c r="L1419" s="1">
        <v>524.0</v>
      </c>
      <c r="M1419" s="1" t="s">
        <v>35</v>
      </c>
      <c r="N1419" s="1" t="s">
        <v>36</v>
      </c>
      <c r="O1419" s="1" t="s">
        <v>37</v>
      </c>
      <c r="P1419" s="1">
        <v>3.4E7</v>
      </c>
      <c r="Q1419" s="1">
        <v>2014.0</v>
      </c>
      <c r="R1419" s="1">
        <v>988.0</v>
      </c>
      <c r="S1419" s="1">
        <v>149.0</v>
      </c>
      <c r="T1419" s="1">
        <v>129.0</v>
      </c>
      <c r="U1419" s="1">
        <v>1783.0</v>
      </c>
      <c r="V1419" s="1">
        <v>47.0</v>
      </c>
      <c r="W1419" s="1">
        <v>38000.0</v>
      </c>
      <c r="X1419" s="1">
        <v>0.0</v>
      </c>
      <c r="Y1419" s="1">
        <v>2.35</v>
      </c>
      <c r="Z1419" s="1">
        <v>6.8</v>
      </c>
    </row>
    <row r="1420" ht="14.25" customHeight="1">
      <c r="A1420" s="1" t="s">
        <v>26</v>
      </c>
      <c r="B1420" s="1" t="s">
        <v>7250</v>
      </c>
      <c r="C1420" s="1" t="s">
        <v>7251</v>
      </c>
      <c r="D1420" s="1">
        <v>1.0214013E7</v>
      </c>
      <c r="E1420" s="1" t="s">
        <v>1885</v>
      </c>
      <c r="F1420" s="1" t="s">
        <v>130</v>
      </c>
      <c r="G1420" s="1" t="s">
        <v>7252</v>
      </c>
      <c r="H1420" s="1" t="s">
        <v>7253</v>
      </c>
      <c r="I1420" s="1">
        <v>23072.0</v>
      </c>
      <c r="J1420" s="1" t="s">
        <v>7254</v>
      </c>
      <c r="K1420" s="1" t="s">
        <v>7255</v>
      </c>
      <c r="L1420" s="1">
        <v>89.0</v>
      </c>
      <c r="M1420" s="1" t="s">
        <v>35</v>
      </c>
      <c r="N1420" s="1" t="s">
        <v>36</v>
      </c>
      <c r="O1420" s="1" t="s">
        <v>628</v>
      </c>
      <c r="P1420" s="1">
        <v>3.5E7</v>
      </c>
      <c r="Q1420" s="1">
        <v>2015.0</v>
      </c>
      <c r="R1420" s="1">
        <v>1000.0</v>
      </c>
      <c r="S1420" s="1">
        <v>249.0</v>
      </c>
      <c r="T1420" s="1">
        <v>141.0</v>
      </c>
      <c r="U1420" s="1">
        <v>1564.0</v>
      </c>
      <c r="V1420" s="1">
        <v>31.0</v>
      </c>
      <c r="W1420" s="1">
        <v>0.0</v>
      </c>
      <c r="X1420" s="1">
        <v>2.0</v>
      </c>
      <c r="Y1420" s="1">
        <v>2.35</v>
      </c>
      <c r="Z1420" s="1">
        <v>5.4</v>
      </c>
    </row>
    <row r="1421" ht="14.25" customHeight="1">
      <c r="A1421" s="1" t="s">
        <v>26</v>
      </c>
      <c r="B1421" s="1" t="s">
        <v>472</v>
      </c>
      <c r="C1421" s="1" t="s">
        <v>7256</v>
      </c>
      <c r="D1421" s="1">
        <v>3.2E7</v>
      </c>
      <c r="E1421" s="1" t="s">
        <v>206</v>
      </c>
      <c r="F1421" s="1" t="s">
        <v>2208</v>
      </c>
      <c r="G1421" s="1" t="s">
        <v>6341</v>
      </c>
      <c r="H1421" s="1" t="s">
        <v>3489</v>
      </c>
      <c r="I1421" s="1">
        <v>36267.0</v>
      </c>
      <c r="J1421" s="1" t="s">
        <v>7257</v>
      </c>
      <c r="K1421" s="1" t="s">
        <v>7258</v>
      </c>
      <c r="L1421" s="1">
        <v>150.0</v>
      </c>
      <c r="M1421" s="1" t="s">
        <v>35</v>
      </c>
      <c r="N1421" s="1" t="s">
        <v>36</v>
      </c>
      <c r="O1421" s="1" t="s">
        <v>87</v>
      </c>
      <c r="P1421" s="1">
        <v>3.0E7</v>
      </c>
      <c r="Q1421" s="1">
        <v>1993.0</v>
      </c>
      <c r="R1421" s="1">
        <v>554.0</v>
      </c>
      <c r="S1421" s="1">
        <v>382.0</v>
      </c>
      <c r="T1421" s="1">
        <v>94.0</v>
      </c>
      <c r="U1421" s="1">
        <v>1068.0</v>
      </c>
      <c r="V1421" s="1">
        <v>17000.0</v>
      </c>
      <c r="W1421" s="1">
        <v>0.0</v>
      </c>
      <c r="X1421" s="1">
        <v>3.0</v>
      </c>
      <c r="Y1421" s="1">
        <v>2.35</v>
      </c>
      <c r="Z1421" s="1">
        <v>7.2</v>
      </c>
    </row>
    <row r="1422" ht="14.25" customHeight="1">
      <c r="A1422" s="1" t="s">
        <v>26</v>
      </c>
      <c r="B1422" s="1" t="s">
        <v>1159</v>
      </c>
      <c r="C1422" s="1" t="s">
        <v>7259</v>
      </c>
      <c r="D1422" s="1">
        <v>1.0139254E7</v>
      </c>
      <c r="E1422" s="1" t="s">
        <v>1766</v>
      </c>
      <c r="F1422" s="1" t="s">
        <v>255</v>
      </c>
      <c r="G1422" s="1" t="s">
        <v>7260</v>
      </c>
      <c r="H1422" s="1" t="s">
        <v>1739</v>
      </c>
      <c r="I1422" s="1">
        <v>190990.0</v>
      </c>
      <c r="J1422" s="1" t="s">
        <v>7261</v>
      </c>
      <c r="K1422" s="1" t="s">
        <v>7262</v>
      </c>
      <c r="L1422" s="1">
        <v>915.0</v>
      </c>
      <c r="M1422" s="1" t="s">
        <v>35</v>
      </c>
      <c r="N1422" s="1" t="s">
        <v>36</v>
      </c>
      <c r="O1422" s="1" t="s">
        <v>37</v>
      </c>
      <c r="P1422" s="1">
        <v>3.5E7</v>
      </c>
      <c r="Q1422" s="1">
        <v>2006.0</v>
      </c>
      <c r="R1422" s="1">
        <v>20000.0</v>
      </c>
      <c r="S1422" s="1">
        <v>1000.0</v>
      </c>
      <c r="T1422" s="1">
        <v>1000.0</v>
      </c>
      <c r="U1422" s="1">
        <v>24640.0</v>
      </c>
      <c r="V1422" s="1">
        <v>0.0</v>
      </c>
      <c r="W1422" s="1">
        <v>23000.0</v>
      </c>
      <c r="X1422" s="1">
        <v>0.0</v>
      </c>
      <c r="Y1422" s="1">
        <v>1.85</v>
      </c>
      <c r="Z1422" s="1">
        <v>7.3</v>
      </c>
    </row>
    <row r="1423" ht="14.25" customHeight="1">
      <c r="A1423" s="1" t="s">
        <v>26</v>
      </c>
      <c r="B1423" s="1" t="s">
        <v>7263</v>
      </c>
      <c r="C1423" s="1" t="s">
        <v>7264</v>
      </c>
      <c r="D1423" s="1">
        <v>1.122794E7</v>
      </c>
      <c r="E1423" s="1" t="s">
        <v>7265</v>
      </c>
      <c r="F1423" s="1" t="s">
        <v>2636</v>
      </c>
      <c r="G1423" s="1" t="s">
        <v>7266</v>
      </c>
      <c r="H1423" s="1" t="s">
        <v>7267</v>
      </c>
      <c r="I1423" s="1">
        <v>8367.0</v>
      </c>
      <c r="J1423" s="1" t="s">
        <v>7268</v>
      </c>
      <c r="K1423" s="1" t="s">
        <v>7269</v>
      </c>
      <c r="L1423" s="1">
        <v>94.0</v>
      </c>
      <c r="M1423" s="1" t="s">
        <v>35</v>
      </c>
      <c r="N1423" s="1" t="s">
        <v>36</v>
      </c>
      <c r="O1423" s="1" t="s">
        <v>628</v>
      </c>
      <c r="P1423" s="1">
        <v>3.4E7</v>
      </c>
      <c r="Q1423" s="1">
        <v>1999.0</v>
      </c>
      <c r="R1423" s="1">
        <v>372.0</v>
      </c>
      <c r="S1423" s="1">
        <v>248.0</v>
      </c>
      <c r="T1423" s="1">
        <v>239.0</v>
      </c>
      <c r="U1423" s="1">
        <v>1274.0</v>
      </c>
      <c r="V1423" s="1">
        <v>3.0</v>
      </c>
      <c r="W1423" s="1">
        <v>120.0</v>
      </c>
      <c r="X1423" s="1">
        <v>0.0</v>
      </c>
      <c r="Y1423" s="1">
        <v>2.35</v>
      </c>
      <c r="Z1423" s="1">
        <v>5.2</v>
      </c>
    </row>
    <row r="1424" ht="14.25" customHeight="1">
      <c r="A1424" s="1" t="s">
        <v>26</v>
      </c>
      <c r="B1424" s="1" t="s">
        <v>1700</v>
      </c>
      <c r="C1424" s="1" t="s">
        <v>7270</v>
      </c>
      <c r="D1424" s="1">
        <v>183125.0</v>
      </c>
      <c r="E1424" s="1" t="s">
        <v>449</v>
      </c>
      <c r="F1424" s="1" t="s">
        <v>668</v>
      </c>
      <c r="G1424" s="1" t="s">
        <v>3250</v>
      </c>
      <c r="H1424" s="1" t="s">
        <v>7271</v>
      </c>
      <c r="I1424" s="1">
        <v>36914.0</v>
      </c>
      <c r="J1424" s="1" t="s">
        <v>7272</v>
      </c>
      <c r="K1424" s="1" t="s">
        <v>7273</v>
      </c>
      <c r="L1424" s="1">
        <v>86.0</v>
      </c>
      <c r="M1424" s="1" t="s">
        <v>35</v>
      </c>
      <c r="N1424" s="1" t="s">
        <v>36</v>
      </c>
      <c r="O1424" s="1" t="s">
        <v>628</v>
      </c>
      <c r="P1424" s="1">
        <v>3.5E7</v>
      </c>
      <c r="Q1424" s="1">
        <v>2012.0</v>
      </c>
      <c r="R1424" s="1">
        <v>12000.0</v>
      </c>
      <c r="S1424" s="1">
        <v>774.0</v>
      </c>
      <c r="T1424" s="1">
        <v>566.0</v>
      </c>
      <c r="U1424" s="1">
        <v>14978.0</v>
      </c>
      <c r="V1424" s="1">
        <v>165.0</v>
      </c>
      <c r="W1424" s="1">
        <v>0.0</v>
      </c>
      <c r="X1424" s="1">
        <v>1.0</v>
      </c>
      <c r="Y1424" s="1">
        <v>2.35</v>
      </c>
      <c r="Z1424" s="1">
        <v>5.5</v>
      </c>
    </row>
    <row r="1425" ht="14.25" customHeight="1">
      <c r="A1425" s="1" t="s">
        <v>26</v>
      </c>
      <c r="B1425" s="1" t="s">
        <v>7274</v>
      </c>
      <c r="C1425" s="1" t="s">
        <v>7275</v>
      </c>
      <c r="D1425" s="1">
        <v>1.5081783E7</v>
      </c>
      <c r="E1425" s="1" t="s">
        <v>603</v>
      </c>
      <c r="F1425" s="1" t="s">
        <v>7276</v>
      </c>
      <c r="G1425" s="1" t="s">
        <v>7277</v>
      </c>
      <c r="H1425" s="1" t="s">
        <v>7278</v>
      </c>
      <c r="I1425" s="1">
        <v>85589.0</v>
      </c>
      <c r="J1425" s="1" t="s">
        <v>7279</v>
      </c>
      <c r="K1425" s="1" t="s">
        <v>7280</v>
      </c>
      <c r="L1425" s="1">
        <v>144.0</v>
      </c>
      <c r="M1425" s="1" t="s">
        <v>7281</v>
      </c>
      <c r="N1425" s="1" t="s">
        <v>2821</v>
      </c>
      <c r="O1425" s="1" t="s">
        <v>269</v>
      </c>
      <c r="P1425" s="1">
        <v>3.4E7</v>
      </c>
      <c r="Q1425" s="1">
        <v>2008.0</v>
      </c>
      <c r="R1425" s="1">
        <v>6.0</v>
      </c>
      <c r="S1425" s="1">
        <v>3.0</v>
      </c>
      <c r="T1425" s="1">
        <v>2.0</v>
      </c>
      <c r="U1425" s="1">
        <v>13.0</v>
      </c>
      <c r="V1425" s="1">
        <v>6000.0</v>
      </c>
      <c r="W1425" s="1">
        <v>0.0</v>
      </c>
      <c r="X1425" s="1">
        <v>0.0</v>
      </c>
      <c r="Y1425" s="1">
        <v>1.85</v>
      </c>
      <c r="Z1425" s="1">
        <v>7.7</v>
      </c>
    </row>
    <row r="1426" ht="14.25" customHeight="1">
      <c r="A1426" s="1" t="s">
        <v>26</v>
      </c>
      <c r="B1426" s="1" t="s">
        <v>7282</v>
      </c>
      <c r="C1426" s="1" t="s">
        <v>7283</v>
      </c>
      <c r="D1426" s="1">
        <v>3.7432299E7</v>
      </c>
      <c r="E1426" s="1" t="s">
        <v>206</v>
      </c>
      <c r="F1426" s="1" t="s">
        <v>7284</v>
      </c>
      <c r="G1426" s="1" t="s">
        <v>7285</v>
      </c>
      <c r="H1426" s="1" t="s">
        <v>7286</v>
      </c>
      <c r="I1426" s="1">
        <v>50041.0</v>
      </c>
      <c r="J1426" s="1" t="s">
        <v>7287</v>
      </c>
      <c r="K1426" s="1" t="s">
        <v>7288</v>
      </c>
      <c r="L1426" s="1">
        <v>116.0</v>
      </c>
      <c r="M1426" s="1" t="s">
        <v>35</v>
      </c>
      <c r="N1426" s="1" t="s">
        <v>36</v>
      </c>
      <c r="O1426" s="1" t="s">
        <v>37</v>
      </c>
      <c r="P1426" s="1">
        <v>3.4E7</v>
      </c>
      <c r="Q1426" s="1">
        <v>2015.0</v>
      </c>
      <c r="R1426" s="1">
        <v>989.0</v>
      </c>
      <c r="S1426" s="1">
        <v>970.0</v>
      </c>
      <c r="T1426" s="1">
        <v>954.0</v>
      </c>
      <c r="U1426" s="1">
        <v>3386.0</v>
      </c>
      <c r="V1426" s="1">
        <v>88.0</v>
      </c>
      <c r="W1426" s="1">
        <v>23000.0</v>
      </c>
      <c r="X1426" s="1">
        <v>0.0</v>
      </c>
      <c r="Y1426" s="1">
        <v>2.35</v>
      </c>
      <c r="Z1426" s="1">
        <v>7.1</v>
      </c>
    </row>
    <row r="1427" ht="14.25" customHeight="1">
      <c r="A1427" s="1" t="s">
        <v>26</v>
      </c>
      <c r="B1427" s="1" t="s">
        <v>7289</v>
      </c>
      <c r="C1427" s="1" t="s">
        <v>7290</v>
      </c>
      <c r="D1427" s="1">
        <v>1.0654581E7</v>
      </c>
      <c r="E1427" s="1" t="s">
        <v>2566</v>
      </c>
      <c r="F1427" s="1" t="s">
        <v>41</v>
      </c>
      <c r="G1427" s="1" t="s">
        <v>741</v>
      </c>
      <c r="H1427" s="1" t="s">
        <v>5630</v>
      </c>
      <c r="I1427" s="1">
        <v>45497.0</v>
      </c>
      <c r="J1427" s="1" t="s">
        <v>7291</v>
      </c>
      <c r="K1427" s="1" t="s">
        <v>7292</v>
      </c>
      <c r="L1427" s="1">
        <v>260.0</v>
      </c>
      <c r="M1427" s="1" t="s">
        <v>35</v>
      </c>
      <c r="N1427" s="1" t="s">
        <v>36</v>
      </c>
      <c r="O1427" s="1" t="s">
        <v>628</v>
      </c>
      <c r="P1427" s="1">
        <v>3.4E7</v>
      </c>
      <c r="Q1427" s="1">
        <v>1999.0</v>
      </c>
      <c r="R1427" s="1">
        <v>40000.0</v>
      </c>
      <c r="S1427" s="1">
        <v>9000.0</v>
      </c>
      <c r="T1427" s="1">
        <v>1000.0</v>
      </c>
      <c r="U1427" s="1">
        <v>52621.0</v>
      </c>
      <c r="V1427" s="1">
        <v>7.0</v>
      </c>
      <c r="W1427" s="1">
        <v>1000.0</v>
      </c>
      <c r="X1427" s="1">
        <v>0.0</v>
      </c>
      <c r="Y1427" s="1">
        <v>1.85</v>
      </c>
      <c r="Z1427" s="1">
        <v>5.3</v>
      </c>
    </row>
    <row r="1428" ht="14.25" customHeight="1">
      <c r="A1428" s="1" t="s">
        <v>26</v>
      </c>
      <c r="B1428" s="1" t="s">
        <v>7293</v>
      </c>
      <c r="C1428" s="1" t="s">
        <v>7294</v>
      </c>
      <c r="D1428" s="1">
        <v>6543194.0</v>
      </c>
      <c r="E1428" s="1" t="s">
        <v>2223</v>
      </c>
      <c r="F1428" s="1" t="s">
        <v>2511</v>
      </c>
      <c r="G1428" s="1" t="s">
        <v>7295</v>
      </c>
      <c r="H1428" s="1" t="s">
        <v>7296</v>
      </c>
      <c r="I1428" s="1">
        <v>3740.0</v>
      </c>
      <c r="J1428" s="1" t="s">
        <v>7297</v>
      </c>
      <c r="K1428" s="1" t="s">
        <v>7298</v>
      </c>
      <c r="L1428" s="1">
        <v>61.0</v>
      </c>
      <c r="M1428" s="1" t="s">
        <v>35</v>
      </c>
      <c r="N1428" s="1" t="s">
        <v>36</v>
      </c>
      <c r="O1428" s="1" t="s">
        <v>37</v>
      </c>
      <c r="P1428" s="1">
        <v>3.4E7</v>
      </c>
      <c r="Q1428" s="1">
        <v>2000.0</v>
      </c>
      <c r="R1428" s="1">
        <v>818.0</v>
      </c>
      <c r="S1428" s="1">
        <v>649.0</v>
      </c>
      <c r="T1428" s="1">
        <v>292.0</v>
      </c>
      <c r="U1428" s="1">
        <v>1778.0</v>
      </c>
      <c r="V1428" s="1">
        <v>46.0</v>
      </c>
      <c r="W1428" s="1">
        <v>314.0</v>
      </c>
      <c r="X1428" s="1">
        <v>1.0</v>
      </c>
      <c r="Y1428" s="1">
        <v>2.35</v>
      </c>
      <c r="Z1428" s="1">
        <v>5.6</v>
      </c>
    </row>
    <row r="1429" ht="14.25" customHeight="1">
      <c r="A1429" s="1" t="s">
        <v>26</v>
      </c>
      <c r="B1429" s="1" t="s">
        <v>4376</v>
      </c>
      <c r="C1429" s="1" t="s">
        <v>7299</v>
      </c>
      <c r="D1429" s="1">
        <v>1.3101142E7</v>
      </c>
      <c r="E1429" s="1" t="s">
        <v>3698</v>
      </c>
      <c r="F1429" s="1" t="s">
        <v>616</v>
      </c>
      <c r="G1429" s="1" t="s">
        <v>522</v>
      </c>
      <c r="H1429" s="1" t="s">
        <v>228</v>
      </c>
      <c r="I1429" s="1">
        <v>23916.0</v>
      </c>
      <c r="J1429" s="1" t="s">
        <v>7300</v>
      </c>
      <c r="K1429" s="1" t="s">
        <v>7301</v>
      </c>
      <c r="L1429" s="1">
        <v>50.0</v>
      </c>
      <c r="M1429" s="1" t="s">
        <v>35</v>
      </c>
      <c r="N1429" s="1" t="s">
        <v>36</v>
      </c>
      <c r="O1429" s="1" t="s">
        <v>37</v>
      </c>
      <c r="P1429" s="1">
        <v>3.5E7</v>
      </c>
      <c r="Q1429" s="1">
        <v>2012.0</v>
      </c>
      <c r="R1429" s="1">
        <v>18000.0</v>
      </c>
      <c r="S1429" s="1">
        <v>2000.0</v>
      </c>
      <c r="T1429" s="1">
        <v>2000.0</v>
      </c>
      <c r="U1429" s="1">
        <v>23122.0</v>
      </c>
      <c r="V1429" s="1">
        <v>125.0</v>
      </c>
      <c r="W1429" s="1">
        <v>0.0</v>
      </c>
      <c r="X1429" s="1">
        <v>5.0</v>
      </c>
      <c r="Y1429" s="1">
        <v>2.35</v>
      </c>
      <c r="Z1429" s="1">
        <v>5.7</v>
      </c>
    </row>
    <row r="1430" ht="14.25" customHeight="1">
      <c r="A1430" s="1" t="s">
        <v>26</v>
      </c>
      <c r="B1430" s="1" t="s">
        <v>6269</v>
      </c>
      <c r="C1430" s="1" t="s">
        <v>7302</v>
      </c>
      <c r="D1430" s="1">
        <v>8324748.0</v>
      </c>
      <c r="E1430" s="1" t="s">
        <v>5578</v>
      </c>
      <c r="F1430" s="1" t="s">
        <v>7303</v>
      </c>
      <c r="G1430" s="1" t="s">
        <v>7304</v>
      </c>
      <c r="H1430" s="1" t="s">
        <v>7305</v>
      </c>
      <c r="I1430" s="1">
        <v>21223.0</v>
      </c>
      <c r="J1430" s="1" t="s">
        <v>7306</v>
      </c>
      <c r="K1430" s="1" t="s">
        <v>7307</v>
      </c>
      <c r="L1430" s="1">
        <v>108.0</v>
      </c>
      <c r="M1430" s="1" t="s">
        <v>35</v>
      </c>
      <c r="N1430" s="1" t="s">
        <v>54</v>
      </c>
      <c r="O1430" s="1" t="s">
        <v>37</v>
      </c>
      <c r="P1430" s="1">
        <v>3.5E7</v>
      </c>
      <c r="Q1430" s="1">
        <v>2013.0</v>
      </c>
      <c r="R1430" s="1">
        <v>113.0</v>
      </c>
      <c r="S1430" s="1">
        <v>98.0</v>
      </c>
      <c r="T1430" s="1">
        <v>38.0</v>
      </c>
      <c r="U1430" s="1">
        <v>301.0</v>
      </c>
      <c r="V1430" s="1">
        <v>56.0</v>
      </c>
      <c r="W1430" s="1">
        <v>13000.0</v>
      </c>
      <c r="X1430" s="1">
        <v>1.0</v>
      </c>
      <c r="Y1430" s="1">
        <v>2.35</v>
      </c>
      <c r="Z1430" s="1">
        <v>7.1</v>
      </c>
    </row>
    <row r="1431" ht="14.25" customHeight="1">
      <c r="A1431" s="1" t="s">
        <v>26</v>
      </c>
      <c r="B1431" s="1" t="s">
        <v>3691</v>
      </c>
      <c r="C1431" s="1" t="s">
        <v>7308</v>
      </c>
      <c r="D1431" s="1">
        <v>1.41340178E8</v>
      </c>
      <c r="E1431" s="1" t="s">
        <v>3868</v>
      </c>
      <c r="F1431" s="1" t="s">
        <v>508</v>
      </c>
      <c r="G1431" s="1" t="s">
        <v>1320</v>
      </c>
      <c r="H1431" s="1" t="s">
        <v>3070</v>
      </c>
      <c r="I1431" s="1">
        <v>181879.0</v>
      </c>
      <c r="J1431" s="1" t="s">
        <v>7309</v>
      </c>
      <c r="K1431" s="1" t="s">
        <v>7310</v>
      </c>
      <c r="L1431" s="1">
        <v>319.0</v>
      </c>
      <c r="M1431" s="1" t="s">
        <v>35</v>
      </c>
      <c r="N1431" s="1" t="s">
        <v>36</v>
      </c>
      <c r="O1431" s="1" t="s">
        <v>628</v>
      </c>
      <c r="P1431" s="1">
        <v>4.0E7</v>
      </c>
      <c r="Q1431" s="1">
        <v>1992.0</v>
      </c>
      <c r="R1431" s="1">
        <v>10000.0</v>
      </c>
      <c r="S1431" s="1">
        <v>2000.0</v>
      </c>
      <c r="T1431" s="1">
        <v>574.0</v>
      </c>
      <c r="U1431" s="1">
        <v>14619.0</v>
      </c>
      <c r="V1431" s="1">
        <v>0.0</v>
      </c>
      <c r="W1431" s="1">
        <v>0.0</v>
      </c>
      <c r="X1431" s="1">
        <v>0.0</v>
      </c>
      <c r="Y1431" s="1">
        <v>2.35</v>
      </c>
      <c r="Z1431" s="1">
        <v>7.6</v>
      </c>
    </row>
    <row r="1432" ht="14.25" customHeight="1">
      <c r="A1432" s="1" t="s">
        <v>26</v>
      </c>
      <c r="B1432" s="1" t="s">
        <v>3272</v>
      </c>
      <c r="C1432" s="1" t="s">
        <v>7311</v>
      </c>
      <c r="D1432" s="1">
        <v>5.1758599E7</v>
      </c>
      <c r="E1432" s="1" t="s">
        <v>3376</v>
      </c>
      <c r="F1432" s="1" t="s">
        <v>6043</v>
      </c>
      <c r="G1432" s="1" t="s">
        <v>4808</v>
      </c>
      <c r="H1432" s="1" t="s">
        <v>2200</v>
      </c>
      <c r="I1432" s="1">
        <v>27580.0</v>
      </c>
      <c r="J1432" s="1" t="s">
        <v>7312</v>
      </c>
      <c r="K1432" s="1" t="s">
        <v>7313</v>
      </c>
      <c r="L1432" s="1">
        <v>232.0</v>
      </c>
      <c r="M1432" s="1" t="s">
        <v>35</v>
      </c>
      <c r="N1432" s="1" t="s">
        <v>36</v>
      </c>
      <c r="O1432" s="1" t="s">
        <v>628</v>
      </c>
      <c r="P1432" s="1">
        <v>3.3E7</v>
      </c>
      <c r="Q1432" s="1">
        <v>2001.0</v>
      </c>
      <c r="R1432" s="1">
        <v>2000.0</v>
      </c>
      <c r="S1432" s="1">
        <v>1000.0</v>
      </c>
      <c r="T1432" s="1">
        <v>655.0</v>
      </c>
      <c r="U1432" s="1">
        <v>5942.0</v>
      </c>
      <c r="V1432" s="1">
        <v>43.0</v>
      </c>
      <c r="W1432" s="1">
        <v>742.0</v>
      </c>
      <c r="X1432" s="1">
        <v>0.0</v>
      </c>
      <c r="Y1432" s="1">
        <v>2.35</v>
      </c>
      <c r="Z1432" s="1">
        <v>5.5</v>
      </c>
    </row>
    <row r="1433" ht="14.25" customHeight="1">
      <c r="A1433" s="1" t="s">
        <v>26</v>
      </c>
      <c r="B1433" s="1" t="s">
        <v>1497</v>
      </c>
      <c r="C1433" s="1" t="s">
        <v>7314</v>
      </c>
      <c r="D1433" s="1">
        <v>1.17559438E8</v>
      </c>
      <c r="E1433" s="1" t="s">
        <v>1670</v>
      </c>
      <c r="F1433" s="1" t="s">
        <v>5999</v>
      </c>
      <c r="G1433" s="1" t="s">
        <v>769</v>
      </c>
      <c r="H1433" s="1" t="s">
        <v>7315</v>
      </c>
      <c r="I1433" s="1">
        <v>66941.0</v>
      </c>
      <c r="J1433" s="1" t="s">
        <v>7316</v>
      </c>
      <c r="K1433" s="1" t="s">
        <v>7317</v>
      </c>
      <c r="L1433" s="1">
        <v>148.0</v>
      </c>
      <c r="M1433" s="1" t="s">
        <v>35</v>
      </c>
      <c r="N1433" s="1" t="s">
        <v>36</v>
      </c>
      <c r="O1433" s="1" t="s">
        <v>37</v>
      </c>
      <c r="P1433" s="1">
        <v>3.0E7</v>
      </c>
      <c r="Q1433" s="1">
        <v>2000.0</v>
      </c>
      <c r="R1433" s="1">
        <v>826.0</v>
      </c>
      <c r="S1433" s="1">
        <v>436.0</v>
      </c>
      <c r="T1433" s="1">
        <v>330.0</v>
      </c>
      <c r="U1433" s="1">
        <v>1790.0</v>
      </c>
      <c r="V1433" s="1">
        <v>67.0</v>
      </c>
      <c r="W1433" s="1">
        <v>1000.0</v>
      </c>
      <c r="X1433" s="1">
        <v>1.0</v>
      </c>
      <c r="Y1433" s="1">
        <v>1.85</v>
      </c>
      <c r="Z1433" s="1">
        <v>5.1</v>
      </c>
    </row>
    <row r="1434" ht="14.25" customHeight="1">
      <c r="A1434" s="1" t="s">
        <v>26</v>
      </c>
      <c r="B1434" s="1" t="s">
        <v>7318</v>
      </c>
      <c r="C1434" s="1" t="s">
        <v>7319</v>
      </c>
      <c r="D1434" s="1">
        <v>2.1426805E7</v>
      </c>
      <c r="E1434" s="1" t="s">
        <v>333</v>
      </c>
      <c r="F1434" s="1" t="s">
        <v>3388</v>
      </c>
      <c r="G1434" s="1" t="s">
        <v>7320</v>
      </c>
      <c r="H1434" s="1" t="s">
        <v>7321</v>
      </c>
      <c r="I1434" s="1">
        <v>49312.0</v>
      </c>
      <c r="J1434" s="1" t="s">
        <v>7322</v>
      </c>
      <c r="K1434" s="1" t="s">
        <v>7323</v>
      </c>
      <c r="L1434" s="1">
        <v>211.0</v>
      </c>
      <c r="M1434" s="1" t="s">
        <v>35</v>
      </c>
      <c r="N1434" s="1" t="s">
        <v>36</v>
      </c>
      <c r="O1434" s="1" t="s">
        <v>37</v>
      </c>
      <c r="P1434" s="1">
        <v>3.0E7</v>
      </c>
      <c r="Q1434" s="1">
        <v>2011.0</v>
      </c>
      <c r="R1434" s="1">
        <v>614.0</v>
      </c>
      <c r="S1434" s="1">
        <v>150.0</v>
      </c>
      <c r="T1434" s="1">
        <v>48.0</v>
      </c>
      <c r="U1434" s="1">
        <v>843.0</v>
      </c>
      <c r="V1434" s="1">
        <v>21.0</v>
      </c>
      <c r="W1434" s="1">
        <v>0.0</v>
      </c>
      <c r="X1434" s="1">
        <v>0.0</v>
      </c>
      <c r="Y1434" s="1">
        <v>2.35</v>
      </c>
      <c r="Z1434" s="1">
        <v>4.9</v>
      </c>
    </row>
    <row r="1435" ht="14.25" customHeight="1">
      <c r="A1435" s="1" t="s">
        <v>26</v>
      </c>
      <c r="B1435" s="1" t="s">
        <v>7324</v>
      </c>
      <c r="C1435" s="1" t="s">
        <v>7325</v>
      </c>
      <c r="D1435" s="1">
        <v>3.5057332E7</v>
      </c>
      <c r="E1435" s="1" t="s">
        <v>7326</v>
      </c>
      <c r="F1435" s="1" t="s">
        <v>7327</v>
      </c>
      <c r="G1435" s="1" t="s">
        <v>7328</v>
      </c>
      <c r="H1435" s="1" t="s">
        <v>3862</v>
      </c>
      <c r="I1435" s="1">
        <v>45394.0</v>
      </c>
      <c r="J1435" s="1" t="s">
        <v>7329</v>
      </c>
      <c r="K1435" s="1" t="s">
        <v>7330</v>
      </c>
      <c r="L1435" s="1">
        <v>72.0</v>
      </c>
      <c r="M1435" s="1" t="s">
        <v>35</v>
      </c>
      <c r="N1435" s="1" t="s">
        <v>36</v>
      </c>
      <c r="O1435" s="1" t="s">
        <v>37</v>
      </c>
      <c r="P1435" s="1">
        <v>3.3E7</v>
      </c>
      <c r="Q1435" s="1">
        <v>2012.0</v>
      </c>
      <c r="R1435" s="1">
        <v>3000.0</v>
      </c>
      <c r="S1435" s="1">
        <v>594.0</v>
      </c>
      <c r="T1435" s="1">
        <v>433.0</v>
      </c>
      <c r="U1435" s="1">
        <v>4863.0</v>
      </c>
      <c r="V1435" s="1">
        <v>35.0</v>
      </c>
      <c r="W1435" s="1">
        <v>19000.0</v>
      </c>
      <c r="X1435" s="1">
        <v>0.0</v>
      </c>
      <c r="Y1435" s="1">
        <v>2.35</v>
      </c>
      <c r="Z1435" s="1">
        <v>6.5</v>
      </c>
    </row>
    <row r="1436" ht="14.25" customHeight="1">
      <c r="A1436" s="1" t="s">
        <v>26</v>
      </c>
      <c r="B1436" s="1" t="s">
        <v>5498</v>
      </c>
      <c r="C1436" s="1" t="s">
        <v>7331</v>
      </c>
      <c r="D1436" s="1">
        <v>3.4014398E7</v>
      </c>
      <c r="E1436" s="1" t="s">
        <v>7332</v>
      </c>
      <c r="F1436" s="1" t="s">
        <v>6882</v>
      </c>
      <c r="G1436" s="1" t="s">
        <v>6779</v>
      </c>
      <c r="H1436" s="1" t="s">
        <v>7333</v>
      </c>
      <c r="I1436" s="1">
        <v>115649.0</v>
      </c>
      <c r="J1436" s="1" t="s">
        <v>7334</v>
      </c>
      <c r="K1436" s="1" t="s">
        <v>7335</v>
      </c>
      <c r="L1436" s="1">
        <v>1033.0</v>
      </c>
      <c r="M1436" s="1" t="s">
        <v>35</v>
      </c>
      <c r="N1436" s="1" t="s">
        <v>730</v>
      </c>
      <c r="O1436" s="1" t="s">
        <v>628</v>
      </c>
      <c r="P1436" s="1">
        <v>3.3E7</v>
      </c>
      <c r="Q1436" s="1">
        <v>2006.0</v>
      </c>
      <c r="R1436" s="1">
        <v>852.0</v>
      </c>
      <c r="S1436" s="1">
        <v>521.0</v>
      </c>
      <c r="T1436" s="1">
        <v>491.0</v>
      </c>
      <c r="U1436" s="1">
        <v>2604.0</v>
      </c>
      <c r="V1436" s="1">
        <v>160.0</v>
      </c>
      <c r="W1436" s="1">
        <v>4000.0</v>
      </c>
      <c r="X1436" s="1">
        <v>0.0</v>
      </c>
      <c r="Y1436" s="1">
        <v>2.35</v>
      </c>
      <c r="Z1436" s="1">
        <v>5.6</v>
      </c>
    </row>
    <row r="1437" ht="14.25" customHeight="1">
      <c r="A1437" s="1" t="s">
        <v>26</v>
      </c>
      <c r="B1437" s="1" t="s">
        <v>7336</v>
      </c>
      <c r="C1437" s="1" t="s">
        <v>7337</v>
      </c>
      <c r="D1437" s="1">
        <v>2.892772E7</v>
      </c>
      <c r="E1437" s="1" t="s">
        <v>7338</v>
      </c>
      <c r="F1437" s="1" t="s">
        <v>563</v>
      </c>
      <c r="G1437" s="1" t="s">
        <v>2485</v>
      </c>
      <c r="H1437" s="1" t="s">
        <v>7339</v>
      </c>
      <c r="I1437" s="1">
        <v>22220.0</v>
      </c>
      <c r="J1437" s="1" t="s">
        <v>7340</v>
      </c>
      <c r="K1437" s="1" t="s">
        <v>7341</v>
      </c>
      <c r="L1437" s="1">
        <v>181.0</v>
      </c>
      <c r="M1437" s="1" t="s">
        <v>35</v>
      </c>
      <c r="N1437" s="1" t="s">
        <v>36</v>
      </c>
      <c r="O1437" s="1" t="s">
        <v>628</v>
      </c>
      <c r="P1437" s="1">
        <v>3.3E7</v>
      </c>
      <c r="Q1437" s="1">
        <v>2000.0</v>
      </c>
      <c r="R1437" s="1">
        <v>18000.0</v>
      </c>
      <c r="S1437" s="1">
        <v>223.0</v>
      </c>
      <c r="T1437" s="1">
        <v>178.0</v>
      </c>
      <c r="U1437" s="1">
        <v>18688.0</v>
      </c>
      <c r="V1437" s="1">
        <v>10.0</v>
      </c>
      <c r="W1437" s="1">
        <v>463.0</v>
      </c>
      <c r="X1437" s="1">
        <v>0.0</v>
      </c>
      <c r="Y1437" s="1">
        <v>1.85</v>
      </c>
      <c r="Z1437" s="1">
        <v>5.3</v>
      </c>
    </row>
    <row r="1438" ht="14.25" customHeight="1">
      <c r="A1438" s="1" t="s">
        <v>26</v>
      </c>
      <c r="B1438" s="1" t="s">
        <v>7342</v>
      </c>
      <c r="C1438" s="1" t="s">
        <v>7343</v>
      </c>
      <c r="D1438" s="1">
        <v>3.3682273E7</v>
      </c>
      <c r="E1438" s="1" t="s">
        <v>449</v>
      </c>
      <c r="F1438" s="1" t="s">
        <v>6715</v>
      </c>
      <c r="G1438" s="1" t="s">
        <v>7344</v>
      </c>
      <c r="H1438" s="1" t="s">
        <v>7345</v>
      </c>
      <c r="I1438" s="1">
        <v>124242.0</v>
      </c>
      <c r="J1438" s="1" t="s">
        <v>7346</v>
      </c>
      <c r="K1438" s="1" t="s">
        <v>7347</v>
      </c>
      <c r="L1438" s="1">
        <v>622.0</v>
      </c>
      <c r="M1438" s="1" t="s">
        <v>35</v>
      </c>
      <c r="N1438" s="1" t="s">
        <v>36</v>
      </c>
      <c r="O1438" s="1" t="s">
        <v>628</v>
      </c>
      <c r="P1438" s="1">
        <v>3.3E7</v>
      </c>
      <c r="Q1438" s="1">
        <v>2004.0</v>
      </c>
      <c r="R1438" s="1">
        <v>669.0</v>
      </c>
      <c r="S1438" s="1">
        <v>403.0</v>
      </c>
      <c r="T1438" s="1">
        <v>336.0</v>
      </c>
      <c r="U1438" s="1">
        <v>2114.0</v>
      </c>
      <c r="V1438" s="1">
        <v>36.0</v>
      </c>
      <c r="W1438" s="1">
        <v>4000.0</v>
      </c>
      <c r="X1438" s="1">
        <v>1.0</v>
      </c>
      <c r="Y1438" s="1">
        <v>2.35</v>
      </c>
      <c r="Z1438" s="1">
        <v>6.5</v>
      </c>
    </row>
    <row r="1439" ht="14.25" customHeight="1">
      <c r="A1439" s="1" t="s">
        <v>26</v>
      </c>
      <c r="B1439" s="1" t="s">
        <v>7348</v>
      </c>
      <c r="C1439" s="1" t="s">
        <v>7349</v>
      </c>
      <c r="D1439" s="1">
        <v>4280577.0</v>
      </c>
      <c r="E1439" s="1" t="s">
        <v>4645</v>
      </c>
      <c r="F1439" s="1" t="s">
        <v>3006</v>
      </c>
      <c r="G1439" s="1" t="s">
        <v>6488</v>
      </c>
      <c r="H1439" s="1" t="s">
        <v>2157</v>
      </c>
      <c r="I1439" s="1">
        <v>50919.0</v>
      </c>
      <c r="J1439" s="1" t="s">
        <v>7350</v>
      </c>
      <c r="K1439" s="1" t="s">
        <v>7351</v>
      </c>
      <c r="L1439" s="1">
        <v>114.0</v>
      </c>
      <c r="M1439" s="1" t="s">
        <v>35</v>
      </c>
      <c r="N1439" s="1" t="s">
        <v>36</v>
      </c>
      <c r="O1439" s="1" t="s">
        <v>37</v>
      </c>
      <c r="P1439" s="1">
        <v>1.0E7</v>
      </c>
      <c r="Q1439" s="1">
        <v>2005.0</v>
      </c>
      <c r="R1439" s="1">
        <v>722.0</v>
      </c>
      <c r="S1439" s="1">
        <v>580.0</v>
      </c>
      <c r="T1439" s="1">
        <v>577.0</v>
      </c>
      <c r="U1439" s="1">
        <v>2859.0</v>
      </c>
      <c r="V1439" s="1">
        <v>41.0</v>
      </c>
      <c r="W1439" s="1">
        <v>0.0</v>
      </c>
      <c r="X1439" s="1">
        <v>0.0</v>
      </c>
      <c r="Y1439" s="1">
        <v>2.35</v>
      </c>
      <c r="Z1439" s="1">
        <v>6.8</v>
      </c>
    </row>
    <row r="1440" ht="14.25" customHeight="1">
      <c r="A1440" s="1" t="s">
        <v>26</v>
      </c>
      <c r="B1440" s="1" t="s">
        <v>7352</v>
      </c>
      <c r="C1440" s="1" t="s">
        <v>7353</v>
      </c>
      <c r="D1440" s="1">
        <v>1.7120019E7</v>
      </c>
      <c r="E1440" s="1" t="s">
        <v>326</v>
      </c>
      <c r="F1440" s="1" t="s">
        <v>327</v>
      </c>
      <c r="G1440" s="1" t="s">
        <v>5744</v>
      </c>
      <c r="H1440" s="1" t="s">
        <v>7354</v>
      </c>
      <c r="I1440" s="1">
        <v>83097.0</v>
      </c>
      <c r="J1440" s="1" t="s">
        <v>7355</v>
      </c>
      <c r="K1440" s="1" t="s">
        <v>7356</v>
      </c>
      <c r="L1440" s="1">
        <v>134.0</v>
      </c>
      <c r="M1440" s="1" t="s">
        <v>35</v>
      </c>
      <c r="N1440" s="1" t="s">
        <v>36</v>
      </c>
      <c r="O1440" s="1" t="s">
        <v>628</v>
      </c>
      <c r="P1440" s="1">
        <v>3.0E7</v>
      </c>
      <c r="Q1440" s="1">
        <v>2012.0</v>
      </c>
      <c r="R1440" s="1">
        <v>26000.0</v>
      </c>
      <c r="S1440" s="1">
        <v>828.0</v>
      </c>
      <c r="T1440" s="1">
        <v>317.0</v>
      </c>
      <c r="U1440" s="1">
        <v>27759.0</v>
      </c>
      <c r="V1440" s="1">
        <v>132.0</v>
      </c>
      <c r="W1440" s="1">
        <v>12000.0</v>
      </c>
      <c r="X1440" s="1">
        <v>2.0</v>
      </c>
      <c r="Y1440" s="1">
        <v>2.35</v>
      </c>
      <c r="Z1440" s="1">
        <v>6.5</v>
      </c>
    </row>
    <row r="1441" ht="14.25" customHeight="1">
      <c r="A1441" s="1" t="s">
        <v>26</v>
      </c>
      <c r="B1441" s="1" t="s">
        <v>363</v>
      </c>
      <c r="C1441" s="1" t="s">
        <v>7357</v>
      </c>
      <c r="D1441" s="1">
        <v>8406264.0</v>
      </c>
      <c r="E1441" s="1" t="s">
        <v>1359</v>
      </c>
      <c r="F1441" s="1" t="s">
        <v>550</v>
      </c>
      <c r="G1441" s="1" t="s">
        <v>4378</v>
      </c>
      <c r="H1441" s="1" t="s">
        <v>887</v>
      </c>
      <c r="I1441" s="1">
        <v>24826.0</v>
      </c>
      <c r="J1441" s="1" t="s">
        <v>7358</v>
      </c>
      <c r="K1441" s="1" t="s">
        <v>7359</v>
      </c>
      <c r="L1441" s="1">
        <v>175.0</v>
      </c>
      <c r="M1441" s="1" t="s">
        <v>35</v>
      </c>
      <c r="N1441" s="1" t="s">
        <v>36</v>
      </c>
      <c r="O1441" s="1" t="s">
        <v>628</v>
      </c>
      <c r="P1441" s="1">
        <v>3.8E7</v>
      </c>
      <c r="Q1441" s="1">
        <v>1999.0</v>
      </c>
      <c r="R1441" s="1">
        <v>11000.0</v>
      </c>
      <c r="S1441" s="1">
        <v>617.0</v>
      </c>
      <c r="T1441" s="1">
        <v>551.0</v>
      </c>
      <c r="U1441" s="1">
        <v>13093.0</v>
      </c>
      <c r="V1441" s="1">
        <v>179.0</v>
      </c>
      <c r="W1441" s="1">
        <v>783.0</v>
      </c>
      <c r="X1441" s="1">
        <v>3.0</v>
      </c>
      <c r="Y1441" s="1">
        <v>2.35</v>
      </c>
      <c r="Z1441" s="1">
        <v>6.0</v>
      </c>
    </row>
    <row r="1442" ht="14.25" customHeight="1">
      <c r="A1442" s="1" t="s">
        <v>26</v>
      </c>
      <c r="B1442" s="1" t="s">
        <v>7360</v>
      </c>
      <c r="C1442" s="1" t="s">
        <v>7361</v>
      </c>
      <c r="D1442" s="1">
        <v>3.09125409E8</v>
      </c>
      <c r="E1442" s="1" t="s">
        <v>29</v>
      </c>
      <c r="F1442" s="1" t="s">
        <v>383</v>
      </c>
      <c r="G1442" s="1" t="s">
        <v>1394</v>
      </c>
      <c r="H1442" s="1" t="s">
        <v>7362</v>
      </c>
      <c r="I1442" s="1">
        <v>681857.0</v>
      </c>
      <c r="J1442" s="1" t="s">
        <v>7363</v>
      </c>
      <c r="K1442" s="1" t="s">
        <v>7364</v>
      </c>
      <c r="L1442" s="1">
        <v>647.0</v>
      </c>
      <c r="M1442" s="1" t="s">
        <v>35</v>
      </c>
      <c r="N1442" s="1" t="s">
        <v>36</v>
      </c>
      <c r="O1442" s="1" t="s">
        <v>87</v>
      </c>
      <c r="P1442" s="1">
        <v>3.25E7</v>
      </c>
      <c r="Q1442" s="1">
        <v>1983.0</v>
      </c>
      <c r="R1442" s="1">
        <v>11000.0</v>
      </c>
      <c r="S1442" s="1">
        <v>1000.0</v>
      </c>
      <c r="T1442" s="1">
        <v>504.0</v>
      </c>
      <c r="U1442" s="1">
        <v>13649.0</v>
      </c>
      <c r="V1442" s="1">
        <v>37.0</v>
      </c>
      <c r="W1442" s="1">
        <v>14000.0</v>
      </c>
      <c r="X1442" s="1">
        <v>0.0</v>
      </c>
      <c r="Y1442" s="1">
        <v>2.35</v>
      </c>
      <c r="Z1442" s="1">
        <v>8.4</v>
      </c>
    </row>
    <row r="1443" ht="14.25" customHeight="1">
      <c r="A1443" s="1" t="s">
        <v>26</v>
      </c>
      <c r="B1443" s="1" t="s">
        <v>7365</v>
      </c>
      <c r="C1443" s="1" t="s">
        <v>7366</v>
      </c>
      <c r="D1443" s="1">
        <v>1.0955425E7</v>
      </c>
      <c r="E1443" s="1" t="s">
        <v>2670</v>
      </c>
      <c r="F1443" s="1" t="s">
        <v>7367</v>
      </c>
      <c r="G1443" s="1" t="s">
        <v>2386</v>
      </c>
      <c r="H1443" s="1" t="s">
        <v>5787</v>
      </c>
      <c r="I1443" s="1">
        <v>62770.0</v>
      </c>
      <c r="J1443" s="1" t="s">
        <v>7368</v>
      </c>
      <c r="K1443" s="1" t="s">
        <v>7369</v>
      </c>
      <c r="L1443" s="1">
        <v>396.0</v>
      </c>
      <c r="M1443" s="1" t="s">
        <v>35</v>
      </c>
      <c r="N1443" s="1" t="s">
        <v>54</v>
      </c>
      <c r="O1443" s="1" t="s">
        <v>628</v>
      </c>
      <c r="P1443" s="1">
        <v>3.0E7</v>
      </c>
      <c r="Q1443" s="1">
        <v>2008.0</v>
      </c>
      <c r="R1443" s="1">
        <v>165.0</v>
      </c>
      <c r="S1443" s="1">
        <v>107.0</v>
      </c>
      <c r="T1443" s="1">
        <v>43.0</v>
      </c>
      <c r="U1443" s="1">
        <v>391.0</v>
      </c>
      <c r="V1443" s="1">
        <v>197.0</v>
      </c>
      <c r="W1443" s="1">
        <v>0.0</v>
      </c>
      <c r="X1443" s="1">
        <v>1.0</v>
      </c>
      <c r="Y1443" s="1">
        <v>2.35</v>
      </c>
      <c r="Z1443" s="1">
        <v>6.0</v>
      </c>
    </row>
    <row r="1444" ht="14.25" customHeight="1">
      <c r="A1444" s="1" t="s">
        <v>26</v>
      </c>
      <c r="B1444" s="1" t="s">
        <v>6221</v>
      </c>
      <c r="C1444" s="1" t="s">
        <v>7370</v>
      </c>
      <c r="D1444" s="1">
        <v>3.4180954E7</v>
      </c>
      <c r="E1444" s="1" t="s">
        <v>206</v>
      </c>
      <c r="F1444" s="1" t="s">
        <v>208</v>
      </c>
      <c r="G1444" s="1" t="s">
        <v>7371</v>
      </c>
      <c r="H1444" s="1" t="s">
        <v>7372</v>
      </c>
      <c r="I1444" s="1">
        <v>189812.0</v>
      </c>
      <c r="J1444" s="1" t="s">
        <v>7373</v>
      </c>
      <c r="K1444" s="1" t="s">
        <v>7374</v>
      </c>
      <c r="L1444" s="1">
        <v>370.0</v>
      </c>
      <c r="M1444" s="1" t="s">
        <v>35</v>
      </c>
      <c r="N1444" s="1" t="s">
        <v>36</v>
      </c>
      <c r="O1444" s="1" t="s">
        <v>628</v>
      </c>
      <c r="P1444" s="1">
        <v>3.2E7</v>
      </c>
      <c r="Q1444" s="1">
        <v>2008.0</v>
      </c>
      <c r="R1444" s="1">
        <v>14000.0</v>
      </c>
      <c r="S1444" s="1">
        <v>388.0</v>
      </c>
      <c r="T1444" s="1">
        <v>50.0</v>
      </c>
      <c r="U1444" s="1">
        <v>14504.0</v>
      </c>
      <c r="V1444" s="1">
        <v>335.0</v>
      </c>
      <c r="W1444" s="1">
        <v>15000.0</v>
      </c>
      <c r="X1444" s="1">
        <v>0.0</v>
      </c>
      <c r="Y1444" s="1">
        <v>1.85</v>
      </c>
      <c r="Z1444" s="1">
        <v>7.6</v>
      </c>
    </row>
    <row r="1445" ht="14.25" customHeight="1">
      <c r="A1445" s="1" t="s">
        <v>26</v>
      </c>
      <c r="B1445" s="1" t="s">
        <v>243</v>
      </c>
      <c r="C1445" s="1" t="s">
        <v>7375</v>
      </c>
      <c r="D1445" s="1">
        <v>1.73381405E8</v>
      </c>
      <c r="E1445" s="1" t="s">
        <v>2504</v>
      </c>
      <c r="F1445" s="1" t="s">
        <v>141</v>
      </c>
      <c r="G1445" s="1" t="s">
        <v>1868</v>
      </c>
      <c r="H1445" s="1" t="s">
        <v>1197</v>
      </c>
      <c r="I1445" s="1">
        <v>147597.0</v>
      </c>
      <c r="J1445" s="1" t="s">
        <v>7376</v>
      </c>
      <c r="K1445" s="1" t="s">
        <v>7377</v>
      </c>
      <c r="L1445" s="1">
        <v>395.0</v>
      </c>
      <c r="M1445" s="1" t="s">
        <v>35</v>
      </c>
      <c r="N1445" s="1" t="s">
        <v>36</v>
      </c>
      <c r="O1445" s="1" t="s">
        <v>87</v>
      </c>
      <c r="P1445" s="1">
        <v>3.3E7</v>
      </c>
      <c r="Q1445" s="1">
        <v>2003.0</v>
      </c>
      <c r="R1445" s="1">
        <v>22000.0</v>
      </c>
      <c r="S1445" s="1">
        <v>11000.0</v>
      </c>
      <c r="T1445" s="1">
        <v>8000.0</v>
      </c>
      <c r="U1445" s="1">
        <v>43354.0</v>
      </c>
      <c r="V1445" s="1">
        <v>4000.0</v>
      </c>
      <c r="W1445" s="1">
        <v>21000.0</v>
      </c>
      <c r="X1445" s="1">
        <v>1.0</v>
      </c>
      <c r="Y1445" s="1">
        <v>1.85</v>
      </c>
      <c r="Z1445" s="1">
        <v>6.9</v>
      </c>
    </row>
    <row r="1446" ht="14.25" customHeight="1">
      <c r="A1446" s="1" t="s">
        <v>26</v>
      </c>
      <c r="B1446" s="1" t="s">
        <v>666</v>
      </c>
      <c r="C1446" s="1" t="s">
        <v>7378</v>
      </c>
      <c r="D1446" s="1">
        <v>1.04632573E8</v>
      </c>
      <c r="E1446" s="1" t="s">
        <v>6503</v>
      </c>
      <c r="F1446" s="1" t="s">
        <v>1606</v>
      </c>
      <c r="G1446" s="1" t="s">
        <v>7379</v>
      </c>
      <c r="H1446" s="1" t="s">
        <v>7380</v>
      </c>
      <c r="I1446" s="1">
        <v>63839.0</v>
      </c>
      <c r="J1446" s="1" t="s">
        <v>7381</v>
      </c>
      <c r="K1446" s="1" t="s">
        <v>7382</v>
      </c>
      <c r="L1446" s="1">
        <v>118.0</v>
      </c>
      <c r="M1446" s="1" t="s">
        <v>35</v>
      </c>
      <c r="N1446" s="1" t="s">
        <v>36</v>
      </c>
      <c r="O1446" s="1" t="s">
        <v>87</v>
      </c>
      <c r="P1446" s="1">
        <v>3.2E7</v>
      </c>
      <c r="Q1446" s="1">
        <v>1996.0</v>
      </c>
      <c r="R1446" s="1">
        <v>3000.0</v>
      </c>
      <c r="S1446" s="1">
        <v>941.0</v>
      </c>
      <c r="T1446" s="1">
        <v>796.0</v>
      </c>
      <c r="U1446" s="1">
        <v>5975.0</v>
      </c>
      <c r="V1446" s="1">
        <v>226.0</v>
      </c>
      <c r="W1446" s="1">
        <v>0.0</v>
      </c>
      <c r="X1446" s="1">
        <v>1.0</v>
      </c>
      <c r="Y1446" s="1">
        <v>2.35</v>
      </c>
      <c r="Z1446" s="1">
        <v>6.4</v>
      </c>
    </row>
    <row r="1447" ht="14.25" customHeight="1">
      <c r="A1447" s="1" t="s">
        <v>26</v>
      </c>
      <c r="B1447" s="1" t="s">
        <v>3900</v>
      </c>
      <c r="C1447" s="1" t="s">
        <v>7383</v>
      </c>
      <c r="D1447" s="1">
        <v>8.1150692E7</v>
      </c>
      <c r="E1447" s="1" t="s">
        <v>7384</v>
      </c>
      <c r="F1447" s="1" t="s">
        <v>1385</v>
      </c>
      <c r="G1447" s="1" t="s">
        <v>6835</v>
      </c>
      <c r="H1447" s="1" t="s">
        <v>5080</v>
      </c>
      <c r="I1447" s="1">
        <v>20219.0</v>
      </c>
      <c r="J1447" s="1" t="s">
        <v>7385</v>
      </c>
      <c r="K1447" s="1" t="s">
        <v>7386</v>
      </c>
      <c r="L1447" s="1">
        <v>100.0</v>
      </c>
      <c r="M1447" s="1" t="s">
        <v>35</v>
      </c>
      <c r="N1447" s="1" t="s">
        <v>260</v>
      </c>
      <c r="O1447" s="1" t="s">
        <v>87</v>
      </c>
      <c r="P1447" s="1">
        <v>3.5E7</v>
      </c>
      <c r="Q1447" s="1">
        <v>2002.0</v>
      </c>
      <c r="R1447" s="1">
        <v>773.0</v>
      </c>
      <c r="S1447" s="1">
        <v>664.0</v>
      </c>
      <c r="T1447" s="1">
        <v>521.0</v>
      </c>
      <c r="U1447" s="1">
        <v>2916.0</v>
      </c>
      <c r="V1447" s="1">
        <v>32.0</v>
      </c>
      <c r="W1447" s="1">
        <v>0.0</v>
      </c>
      <c r="X1447" s="1">
        <v>1.0</v>
      </c>
      <c r="Y1447" s="1">
        <v>1.85</v>
      </c>
      <c r="Z1447" s="1">
        <v>5.1</v>
      </c>
    </row>
    <row r="1448" ht="14.25" customHeight="1">
      <c r="A1448" s="1" t="s">
        <v>26</v>
      </c>
      <c r="B1448" s="1" t="s">
        <v>1021</v>
      </c>
      <c r="C1448" s="1" t="s">
        <v>7387</v>
      </c>
      <c r="D1448" s="1">
        <v>6.0328558E7</v>
      </c>
      <c r="E1448" s="1" t="s">
        <v>7388</v>
      </c>
      <c r="F1448" s="1" t="s">
        <v>534</v>
      </c>
      <c r="G1448" s="1" t="s">
        <v>1186</v>
      </c>
      <c r="H1448" s="1" t="s">
        <v>6843</v>
      </c>
      <c r="I1448" s="1">
        <v>61396.0</v>
      </c>
      <c r="J1448" s="1" t="s">
        <v>7389</v>
      </c>
      <c r="K1448" s="1" t="s">
        <v>7390</v>
      </c>
      <c r="L1448" s="1">
        <v>159.0</v>
      </c>
      <c r="M1448" s="1" t="s">
        <v>35</v>
      </c>
      <c r="N1448" s="1" t="s">
        <v>36</v>
      </c>
      <c r="O1448" s="1" t="s">
        <v>37</v>
      </c>
      <c r="P1448" s="1">
        <v>3.2E7</v>
      </c>
      <c r="Q1448" s="1">
        <v>1988.0</v>
      </c>
      <c r="R1448" s="1">
        <v>13000.0</v>
      </c>
      <c r="S1448" s="1">
        <v>1000.0</v>
      </c>
      <c r="T1448" s="1">
        <v>1000.0</v>
      </c>
      <c r="U1448" s="1">
        <v>18734.0</v>
      </c>
      <c r="V1448" s="1">
        <v>503.0</v>
      </c>
      <c r="W1448" s="1">
        <v>11000.0</v>
      </c>
      <c r="X1448" s="1">
        <v>1.0</v>
      </c>
      <c r="Y1448" s="1">
        <v>1.85</v>
      </c>
      <c r="Z1448" s="1">
        <v>7.0</v>
      </c>
    </row>
    <row r="1449" ht="14.25" customHeight="1">
      <c r="A1449" s="1" t="s">
        <v>26</v>
      </c>
      <c r="B1449" s="1" t="s">
        <v>7391</v>
      </c>
      <c r="C1449" s="1" t="s">
        <v>7392</v>
      </c>
      <c r="D1449" s="1">
        <v>8.0197993E7</v>
      </c>
      <c r="E1449" s="1" t="s">
        <v>7393</v>
      </c>
      <c r="F1449" s="1" t="s">
        <v>4913</v>
      </c>
      <c r="G1449" s="1" t="s">
        <v>1535</v>
      </c>
      <c r="H1449" s="1" t="s">
        <v>7394</v>
      </c>
      <c r="I1449" s="1">
        <v>65551.0</v>
      </c>
      <c r="J1449" s="1" t="s">
        <v>7395</v>
      </c>
      <c r="K1449" s="1" t="s">
        <v>7396</v>
      </c>
      <c r="L1449" s="1">
        <v>441.0</v>
      </c>
      <c r="M1449" s="1" t="s">
        <v>35</v>
      </c>
      <c r="N1449" s="1" t="s">
        <v>730</v>
      </c>
      <c r="O1449" s="1" t="s">
        <v>87</v>
      </c>
      <c r="P1449" s="1">
        <v>3.2E7</v>
      </c>
      <c r="Q1449" s="1">
        <v>2006.0</v>
      </c>
      <c r="R1449" s="1">
        <v>678.0</v>
      </c>
      <c r="S1449" s="1">
        <v>635.0</v>
      </c>
      <c r="T1449" s="1">
        <v>327.0</v>
      </c>
      <c r="U1449" s="1">
        <v>1729.0</v>
      </c>
      <c r="V1449" s="1">
        <v>100.0</v>
      </c>
      <c r="W1449" s="1">
        <v>0.0</v>
      </c>
      <c r="X1449" s="1">
        <v>1.0</v>
      </c>
      <c r="Y1449" s="1">
        <v>1.85</v>
      </c>
      <c r="Z1449" s="1">
        <v>5.7</v>
      </c>
    </row>
    <row r="1450" ht="14.25" customHeight="1">
      <c r="A1450" s="1" t="s">
        <v>26</v>
      </c>
      <c r="B1450" s="1" t="s">
        <v>932</v>
      </c>
      <c r="C1450" s="1" t="s">
        <v>7397</v>
      </c>
      <c r="D1450" s="1">
        <v>1.69076745E8</v>
      </c>
      <c r="E1450" s="1" t="s">
        <v>1598</v>
      </c>
      <c r="F1450" s="1" t="s">
        <v>4466</v>
      </c>
      <c r="G1450" s="1" t="s">
        <v>7398</v>
      </c>
      <c r="H1450" s="1" t="s">
        <v>7399</v>
      </c>
      <c r="I1450" s="1">
        <v>218711.0</v>
      </c>
      <c r="J1450" s="1" t="s">
        <v>7400</v>
      </c>
      <c r="K1450" s="1" t="s">
        <v>7401</v>
      </c>
      <c r="L1450" s="1">
        <v>485.0</v>
      </c>
      <c r="M1450" s="1" t="s">
        <v>35</v>
      </c>
      <c r="N1450" s="1" t="s">
        <v>36</v>
      </c>
      <c r="O1450" s="1" t="s">
        <v>628</v>
      </c>
      <c r="P1450" s="1">
        <v>3.25E7</v>
      </c>
      <c r="Q1450" s="1">
        <v>2011.0</v>
      </c>
      <c r="R1450" s="1">
        <v>722.0</v>
      </c>
      <c r="S1450" s="1">
        <v>655.0</v>
      </c>
      <c r="T1450" s="1">
        <v>460.0</v>
      </c>
      <c r="U1450" s="1">
        <v>3229.0</v>
      </c>
      <c r="V1450" s="1">
        <v>176.0</v>
      </c>
      <c r="W1450" s="1">
        <v>27000.0</v>
      </c>
      <c r="X1450" s="1">
        <v>6.0</v>
      </c>
      <c r="Y1450" s="1">
        <v>2.35</v>
      </c>
      <c r="Z1450" s="1">
        <v>6.8</v>
      </c>
    </row>
    <row r="1451" ht="14.25" customHeight="1">
      <c r="A1451" s="1" t="s">
        <v>26</v>
      </c>
      <c r="B1451" s="1" t="s">
        <v>5801</v>
      </c>
      <c r="C1451" s="1" t="s">
        <v>7402</v>
      </c>
      <c r="D1451" s="1">
        <v>1.01470202E8</v>
      </c>
      <c r="E1451" s="1" t="s">
        <v>2657</v>
      </c>
      <c r="F1451" s="1" t="s">
        <v>430</v>
      </c>
      <c r="G1451" s="1" t="s">
        <v>75</v>
      </c>
      <c r="H1451" s="1" t="s">
        <v>1161</v>
      </c>
      <c r="I1451" s="1">
        <v>310540.0</v>
      </c>
      <c r="J1451" s="1" t="s">
        <v>7403</v>
      </c>
      <c r="K1451" s="1" t="s">
        <v>7404</v>
      </c>
      <c r="L1451" s="1">
        <v>669.0</v>
      </c>
      <c r="M1451" s="1" t="s">
        <v>35</v>
      </c>
      <c r="N1451" s="1" t="s">
        <v>36</v>
      </c>
      <c r="O1451" s="1" t="s">
        <v>628</v>
      </c>
      <c r="P1451" s="1">
        <v>3.2E7</v>
      </c>
      <c r="Q1451" s="1">
        <v>2013.0</v>
      </c>
      <c r="R1451" s="1">
        <v>17000.0</v>
      </c>
      <c r="S1451" s="1">
        <v>11000.0</v>
      </c>
      <c r="T1451" s="1">
        <v>9000.0</v>
      </c>
      <c r="U1451" s="1">
        <v>38751.0</v>
      </c>
      <c r="V1451" s="1">
        <v>133.0</v>
      </c>
      <c r="W1451" s="1">
        <v>97000.0</v>
      </c>
      <c r="X1451" s="1">
        <v>6.0</v>
      </c>
      <c r="Y1451" s="1">
        <v>2.35</v>
      </c>
      <c r="Z1451" s="1">
        <v>6.7</v>
      </c>
    </row>
    <row r="1452" ht="14.25" customHeight="1">
      <c r="A1452" s="1" t="s">
        <v>26</v>
      </c>
      <c r="B1452" s="1" t="s">
        <v>7405</v>
      </c>
      <c r="C1452" s="1" t="s">
        <v>7406</v>
      </c>
      <c r="D1452" s="1">
        <v>5.0041732E7</v>
      </c>
      <c r="E1452" s="1" t="s">
        <v>6019</v>
      </c>
      <c r="F1452" s="1" t="s">
        <v>5999</v>
      </c>
      <c r="G1452" s="1" t="s">
        <v>5392</v>
      </c>
      <c r="H1452" s="1" t="s">
        <v>7116</v>
      </c>
      <c r="I1452" s="1">
        <v>54390.0</v>
      </c>
      <c r="J1452" s="1" t="s">
        <v>7407</v>
      </c>
      <c r="K1452" s="1" t="s">
        <v>7408</v>
      </c>
      <c r="L1452" s="1">
        <v>398.0</v>
      </c>
      <c r="M1452" s="1" t="s">
        <v>35</v>
      </c>
      <c r="N1452" s="1" t="s">
        <v>36</v>
      </c>
      <c r="O1452" s="1" t="s">
        <v>628</v>
      </c>
      <c r="P1452" s="1">
        <v>2.9E7</v>
      </c>
      <c r="Q1452" s="1">
        <v>1999.0</v>
      </c>
      <c r="R1452" s="1">
        <v>826.0</v>
      </c>
      <c r="S1452" s="1">
        <v>724.0</v>
      </c>
      <c r="T1452" s="1">
        <v>573.0</v>
      </c>
      <c r="U1452" s="1">
        <v>3004.0</v>
      </c>
      <c r="V1452" s="1">
        <v>9.0</v>
      </c>
      <c r="W1452" s="1">
        <v>0.0</v>
      </c>
      <c r="X1452" s="1">
        <v>0.0</v>
      </c>
      <c r="Y1452" s="1">
        <v>2.35</v>
      </c>
      <c r="Z1452" s="1">
        <v>6.2</v>
      </c>
    </row>
    <row r="1453" ht="14.25" customHeight="1">
      <c r="A1453" s="1" t="s">
        <v>26</v>
      </c>
      <c r="B1453" s="1" t="s">
        <v>7282</v>
      </c>
      <c r="C1453" s="1" t="s">
        <v>7409</v>
      </c>
      <c r="D1453" s="1">
        <v>4.8814909E7</v>
      </c>
      <c r="E1453" s="1" t="s">
        <v>1474</v>
      </c>
      <c r="F1453" s="1" t="s">
        <v>1663</v>
      </c>
      <c r="G1453" s="1" t="s">
        <v>741</v>
      </c>
      <c r="H1453" s="1" t="s">
        <v>2418</v>
      </c>
      <c r="I1453" s="1">
        <v>89424.0</v>
      </c>
      <c r="J1453" s="1" t="s">
        <v>7410</v>
      </c>
      <c r="K1453" s="1" t="s">
        <v>7411</v>
      </c>
      <c r="L1453" s="1">
        <v>224.0</v>
      </c>
      <c r="M1453" s="1" t="s">
        <v>35</v>
      </c>
      <c r="N1453" s="1" t="s">
        <v>36</v>
      </c>
      <c r="O1453" s="1" t="s">
        <v>628</v>
      </c>
      <c r="P1453" s="1">
        <v>3.2E7</v>
      </c>
      <c r="Q1453" s="1">
        <v>2000.0</v>
      </c>
      <c r="R1453" s="1">
        <v>22000.0</v>
      </c>
      <c r="S1453" s="1">
        <v>9000.0</v>
      </c>
      <c r="T1453" s="1">
        <v>975.0</v>
      </c>
      <c r="U1453" s="1">
        <v>36069.0</v>
      </c>
      <c r="V1453" s="1">
        <v>88.0</v>
      </c>
      <c r="W1453" s="1">
        <v>0.0</v>
      </c>
      <c r="X1453" s="1">
        <v>0.0</v>
      </c>
      <c r="Y1453" s="1">
        <v>2.35</v>
      </c>
      <c r="Z1453" s="1">
        <v>7.2</v>
      </c>
    </row>
    <row r="1454" ht="14.25" customHeight="1">
      <c r="A1454" s="1" t="s">
        <v>26</v>
      </c>
      <c r="B1454" s="1" t="s">
        <v>7412</v>
      </c>
      <c r="C1454" s="1" t="s">
        <v>7413</v>
      </c>
      <c r="D1454" s="1">
        <v>5.774472E7</v>
      </c>
      <c r="E1454" s="1" t="s">
        <v>326</v>
      </c>
      <c r="F1454" s="1" t="s">
        <v>328</v>
      </c>
      <c r="G1454" s="1" t="s">
        <v>1378</v>
      </c>
      <c r="H1454" s="1" t="s">
        <v>3524</v>
      </c>
      <c r="I1454" s="1">
        <v>46961.0</v>
      </c>
      <c r="J1454" s="1" t="s">
        <v>7414</v>
      </c>
      <c r="K1454" s="1" t="s">
        <v>7415</v>
      </c>
      <c r="L1454" s="1">
        <v>132.0</v>
      </c>
      <c r="M1454" s="1" t="s">
        <v>35</v>
      </c>
      <c r="N1454" s="1" t="s">
        <v>36</v>
      </c>
      <c r="O1454" s="1" t="s">
        <v>37</v>
      </c>
      <c r="P1454" s="1">
        <v>2.0E7</v>
      </c>
      <c r="Q1454" s="1">
        <v>2010.0</v>
      </c>
      <c r="R1454" s="1">
        <v>23000.0</v>
      </c>
      <c r="S1454" s="1">
        <v>4000.0</v>
      </c>
      <c r="T1454" s="1">
        <v>1000.0</v>
      </c>
      <c r="U1454" s="1">
        <v>31529.0</v>
      </c>
      <c r="V1454" s="1">
        <v>34.0</v>
      </c>
      <c r="W1454" s="1">
        <v>0.0</v>
      </c>
      <c r="X1454" s="1">
        <v>5.0</v>
      </c>
      <c r="Y1454" s="1">
        <v>2.35</v>
      </c>
      <c r="Z1454" s="1">
        <v>6.2</v>
      </c>
    </row>
    <row r="1455" ht="14.25" customHeight="1">
      <c r="A1455" s="1" t="s">
        <v>26</v>
      </c>
      <c r="B1455" s="1" t="s">
        <v>7416</v>
      </c>
      <c r="C1455" s="1" t="s">
        <v>7417</v>
      </c>
      <c r="D1455" s="1">
        <v>2.1784432E7</v>
      </c>
      <c r="E1455" s="1" t="s">
        <v>1885</v>
      </c>
      <c r="F1455" s="1" t="s">
        <v>774</v>
      </c>
      <c r="G1455" s="1" t="s">
        <v>1663</v>
      </c>
      <c r="H1455" s="1" t="s">
        <v>6084</v>
      </c>
      <c r="I1455" s="1">
        <v>37493.0</v>
      </c>
      <c r="J1455" s="1" t="s">
        <v>7418</v>
      </c>
      <c r="K1455" s="1" t="s">
        <v>7419</v>
      </c>
      <c r="L1455" s="1">
        <v>108.0</v>
      </c>
      <c r="M1455" s="1" t="s">
        <v>35</v>
      </c>
      <c r="N1455" s="1" t="s">
        <v>36</v>
      </c>
      <c r="O1455" s="1" t="s">
        <v>628</v>
      </c>
      <c r="P1455" s="1">
        <v>3.5E7</v>
      </c>
      <c r="Q1455" s="1">
        <v>2013.0</v>
      </c>
      <c r="R1455" s="1">
        <v>49000.0</v>
      </c>
      <c r="S1455" s="1">
        <v>22000.0</v>
      </c>
      <c r="T1455" s="1">
        <v>2000.0</v>
      </c>
      <c r="U1455" s="1">
        <v>74181.0</v>
      </c>
      <c r="V1455" s="1">
        <v>16.0</v>
      </c>
      <c r="W1455" s="1">
        <v>0.0</v>
      </c>
      <c r="X1455" s="1">
        <v>8.0</v>
      </c>
      <c r="Y1455" s="1">
        <v>2.35</v>
      </c>
      <c r="Z1455" s="1">
        <v>5.6</v>
      </c>
    </row>
    <row r="1456" ht="14.25" customHeight="1">
      <c r="A1456" s="1" t="s">
        <v>26</v>
      </c>
      <c r="B1456" s="1" t="s">
        <v>5997</v>
      </c>
      <c r="C1456" s="1" t="s">
        <v>7420</v>
      </c>
      <c r="D1456" s="1">
        <v>3.7911876E7</v>
      </c>
      <c r="E1456" s="1" t="s">
        <v>1670</v>
      </c>
      <c r="F1456" s="1" t="s">
        <v>2057</v>
      </c>
      <c r="G1456" s="1" t="s">
        <v>1169</v>
      </c>
      <c r="H1456" s="1" t="s">
        <v>7421</v>
      </c>
      <c r="I1456" s="1">
        <v>19671.0</v>
      </c>
      <c r="J1456" s="1" t="s">
        <v>7422</v>
      </c>
      <c r="K1456" s="1" t="s">
        <v>7423</v>
      </c>
      <c r="L1456" s="1">
        <v>47.0</v>
      </c>
      <c r="M1456" s="1" t="s">
        <v>35</v>
      </c>
      <c r="N1456" s="1" t="s">
        <v>36</v>
      </c>
      <c r="O1456" s="1" t="s">
        <v>37</v>
      </c>
      <c r="P1456" s="1">
        <v>3.2E7</v>
      </c>
      <c r="Q1456" s="1">
        <v>2011.0</v>
      </c>
      <c r="R1456" s="1">
        <v>918.0</v>
      </c>
      <c r="S1456" s="1">
        <v>845.0</v>
      </c>
      <c r="T1456" s="1">
        <v>534.0</v>
      </c>
      <c r="U1456" s="1">
        <v>3500.0</v>
      </c>
      <c r="V1456" s="1">
        <v>14.0</v>
      </c>
      <c r="W1456" s="1">
        <v>0.0</v>
      </c>
      <c r="X1456" s="1">
        <v>2.0</v>
      </c>
      <c r="Y1456" s="1">
        <v>2.35</v>
      </c>
      <c r="Z1456" s="1">
        <v>4.4</v>
      </c>
    </row>
    <row r="1457" ht="14.25" customHeight="1">
      <c r="A1457" s="1" t="s">
        <v>26</v>
      </c>
      <c r="B1457" s="1" t="s">
        <v>691</v>
      </c>
      <c r="C1457" s="1" t="s">
        <v>7424</v>
      </c>
      <c r="D1457" s="1">
        <v>5.4696902E7</v>
      </c>
      <c r="E1457" s="1" t="s">
        <v>4758</v>
      </c>
      <c r="F1457" s="1" t="s">
        <v>365</v>
      </c>
      <c r="G1457" s="1" t="s">
        <v>7425</v>
      </c>
      <c r="H1457" s="1" t="s">
        <v>7426</v>
      </c>
      <c r="I1457" s="1">
        <v>379462.0</v>
      </c>
      <c r="J1457" s="1" t="s">
        <v>7427</v>
      </c>
      <c r="K1457" s="1" t="s">
        <v>7428</v>
      </c>
      <c r="L1457" s="1">
        <v>571.0</v>
      </c>
      <c r="M1457" s="1" t="s">
        <v>35</v>
      </c>
      <c r="N1457" s="1" t="s">
        <v>36</v>
      </c>
      <c r="O1457" s="1" t="s">
        <v>37</v>
      </c>
      <c r="P1457" s="1">
        <v>3.2E7</v>
      </c>
      <c r="Q1457" s="1">
        <v>2011.0</v>
      </c>
      <c r="R1457" s="1">
        <v>15000.0</v>
      </c>
      <c r="S1457" s="1">
        <v>491.0</v>
      </c>
      <c r="T1457" s="1">
        <v>355.0</v>
      </c>
      <c r="U1457" s="1">
        <v>16034.0</v>
      </c>
      <c r="V1457" s="1">
        <v>0.0</v>
      </c>
      <c r="W1457" s="1">
        <v>56000.0</v>
      </c>
      <c r="X1457" s="1">
        <v>3.0</v>
      </c>
      <c r="Y1457" s="1">
        <v>1.85</v>
      </c>
      <c r="Z1457" s="1">
        <v>7.5</v>
      </c>
    </row>
    <row r="1458" ht="14.25" customHeight="1">
      <c r="A1458" s="1" t="s">
        <v>26</v>
      </c>
      <c r="B1458" s="1" t="s">
        <v>4812</v>
      </c>
      <c r="C1458" s="1" t="s">
        <v>7429</v>
      </c>
      <c r="D1458" s="1">
        <v>3.6733909E7</v>
      </c>
      <c r="E1458" s="1" t="s">
        <v>7208</v>
      </c>
      <c r="F1458" s="1" t="s">
        <v>7430</v>
      </c>
      <c r="G1458" s="1" t="s">
        <v>7431</v>
      </c>
      <c r="H1458" s="1" t="s">
        <v>7432</v>
      </c>
      <c r="I1458" s="1">
        <v>38949.0</v>
      </c>
      <c r="J1458" s="1" t="s">
        <v>7433</v>
      </c>
      <c r="K1458" s="1" t="s">
        <v>7434</v>
      </c>
      <c r="L1458" s="1">
        <v>112.0</v>
      </c>
      <c r="M1458" s="1" t="s">
        <v>35</v>
      </c>
      <c r="N1458" s="1" t="s">
        <v>36</v>
      </c>
      <c r="O1458" s="1" t="s">
        <v>628</v>
      </c>
      <c r="P1458" s="1">
        <v>3.2E7</v>
      </c>
      <c r="Q1458" s="1">
        <v>1993.0</v>
      </c>
      <c r="R1458" s="1">
        <v>344.0</v>
      </c>
      <c r="S1458" s="1">
        <v>242.0</v>
      </c>
      <c r="T1458" s="1">
        <v>240.0</v>
      </c>
      <c r="U1458" s="1">
        <v>2054.0</v>
      </c>
      <c r="V1458" s="1">
        <v>155.0</v>
      </c>
      <c r="W1458" s="1">
        <v>0.0</v>
      </c>
      <c r="X1458" s="1">
        <v>3.0</v>
      </c>
      <c r="Y1458" s="1">
        <v>1.85</v>
      </c>
      <c r="Z1458" s="1">
        <v>7.1</v>
      </c>
    </row>
    <row r="1459" ht="14.25" customHeight="1">
      <c r="A1459" s="1" t="s">
        <v>26</v>
      </c>
      <c r="B1459" s="1" t="s">
        <v>1268</v>
      </c>
      <c r="C1459" s="1" t="s">
        <v>7435</v>
      </c>
      <c r="D1459" s="1">
        <v>3.5063732E7</v>
      </c>
      <c r="E1459" s="1" t="s">
        <v>815</v>
      </c>
      <c r="F1459" s="1" t="s">
        <v>1162</v>
      </c>
      <c r="G1459" s="1" t="s">
        <v>2548</v>
      </c>
      <c r="H1459" s="1" t="s">
        <v>7436</v>
      </c>
      <c r="I1459" s="1">
        <v>164608.0</v>
      </c>
      <c r="J1459" s="1" t="s">
        <v>7437</v>
      </c>
      <c r="K1459" s="1" t="s">
        <v>7438</v>
      </c>
      <c r="L1459" s="1">
        <v>383.0</v>
      </c>
      <c r="M1459" s="1" t="s">
        <v>35</v>
      </c>
      <c r="N1459" s="1" t="s">
        <v>36</v>
      </c>
      <c r="O1459" s="1" t="s">
        <v>628</v>
      </c>
      <c r="P1459" s="1">
        <v>3.2E7</v>
      </c>
      <c r="Q1459" s="1">
        <v>2007.0</v>
      </c>
      <c r="R1459" s="1">
        <v>8000.0</v>
      </c>
      <c r="S1459" s="1">
        <v>912.0</v>
      </c>
      <c r="T1459" s="1">
        <v>897.0</v>
      </c>
      <c r="U1459" s="1">
        <v>10938.0</v>
      </c>
      <c r="V1459" s="1">
        <v>541.0</v>
      </c>
      <c r="W1459" s="1">
        <v>10000.0</v>
      </c>
      <c r="X1459" s="1">
        <v>1.0</v>
      </c>
      <c r="Y1459" s="1">
        <v>2.35</v>
      </c>
      <c r="Z1459" s="1">
        <v>6.4</v>
      </c>
    </row>
    <row r="1460" ht="14.25" customHeight="1">
      <c r="A1460" s="1" t="s">
        <v>26</v>
      </c>
      <c r="B1460" s="1" t="s">
        <v>3964</v>
      </c>
      <c r="C1460" s="1" t="s">
        <v>7439</v>
      </c>
      <c r="D1460" s="1">
        <v>99462.0</v>
      </c>
      <c r="E1460" s="1" t="s">
        <v>7440</v>
      </c>
      <c r="F1460" s="1" t="s">
        <v>694</v>
      </c>
      <c r="G1460" s="1" t="s">
        <v>7441</v>
      </c>
      <c r="H1460" s="1" t="s">
        <v>7442</v>
      </c>
      <c r="I1460" s="1">
        <v>11347.0</v>
      </c>
      <c r="J1460" s="1" t="s">
        <v>7443</v>
      </c>
      <c r="K1460" s="1" t="s">
        <v>7444</v>
      </c>
      <c r="L1460" s="1">
        <v>28.0</v>
      </c>
      <c r="M1460" s="1" t="s">
        <v>35</v>
      </c>
      <c r="N1460" s="1" t="s">
        <v>1832</v>
      </c>
      <c r="O1460" s="1" t="s">
        <v>87</v>
      </c>
      <c r="P1460" s="1">
        <v>3.3E7</v>
      </c>
      <c r="Q1460" s="1">
        <v>2013.0</v>
      </c>
      <c r="R1460" s="1">
        <v>716.0</v>
      </c>
      <c r="S1460" s="1">
        <v>648.0</v>
      </c>
      <c r="T1460" s="1">
        <v>223.0</v>
      </c>
      <c r="U1460" s="1">
        <v>1843.0</v>
      </c>
      <c r="V1460" s="1">
        <v>0.0</v>
      </c>
      <c r="W1460" s="1">
        <v>5000.0</v>
      </c>
      <c r="X1460" s="1">
        <v>1.0</v>
      </c>
      <c r="Y1460" s="1">
        <v>2.35</v>
      </c>
      <c r="Z1460" s="1">
        <v>7.1</v>
      </c>
    </row>
    <row r="1461" ht="14.25" customHeight="1">
      <c r="A1461" s="1" t="s">
        <v>26</v>
      </c>
      <c r="B1461" s="1" t="s">
        <v>6440</v>
      </c>
      <c r="C1461" s="1" t="s">
        <v>7445</v>
      </c>
      <c r="D1461" s="1">
        <v>3.2701088E7</v>
      </c>
      <c r="E1461" s="1" t="s">
        <v>7446</v>
      </c>
      <c r="F1461" s="1" t="s">
        <v>7447</v>
      </c>
      <c r="G1461" s="1" t="s">
        <v>3182</v>
      </c>
      <c r="H1461" s="1" t="s">
        <v>7448</v>
      </c>
      <c r="I1461" s="1">
        <v>10018.0</v>
      </c>
      <c r="J1461" s="1" t="s">
        <v>7449</v>
      </c>
      <c r="K1461" s="1" t="s">
        <v>7450</v>
      </c>
      <c r="L1461" s="1">
        <v>108.0</v>
      </c>
      <c r="M1461" s="1" t="s">
        <v>35</v>
      </c>
      <c r="N1461" s="1" t="s">
        <v>36</v>
      </c>
      <c r="O1461" s="1" t="s">
        <v>87</v>
      </c>
      <c r="P1461" s="1">
        <v>3.2E7</v>
      </c>
      <c r="Q1461" s="1">
        <v>2005.0</v>
      </c>
      <c r="R1461" s="1">
        <v>649.0</v>
      </c>
      <c r="S1461" s="1">
        <v>579.0</v>
      </c>
      <c r="T1461" s="1">
        <v>83.0</v>
      </c>
      <c r="U1461" s="1">
        <v>1400.0</v>
      </c>
      <c r="V1461" s="1">
        <v>61.0</v>
      </c>
      <c r="W1461" s="1">
        <v>0.0</v>
      </c>
      <c r="X1461" s="1">
        <v>1.0</v>
      </c>
      <c r="Y1461" s="1">
        <v>2.35</v>
      </c>
      <c r="Z1461" s="1">
        <v>6.9</v>
      </c>
    </row>
    <row r="1462" ht="14.25" customHeight="1">
      <c r="A1462" s="1" t="s">
        <v>26</v>
      </c>
      <c r="B1462" s="1" t="s">
        <v>5104</v>
      </c>
      <c r="C1462" s="1" t="s">
        <v>7451</v>
      </c>
      <c r="D1462" s="1">
        <v>3.1493782E7</v>
      </c>
      <c r="E1462" s="1" t="s">
        <v>2045</v>
      </c>
      <c r="F1462" s="1" t="s">
        <v>2682</v>
      </c>
      <c r="G1462" s="1" t="s">
        <v>7452</v>
      </c>
      <c r="H1462" s="1" t="s">
        <v>183</v>
      </c>
      <c r="I1462" s="1">
        <v>186606.0</v>
      </c>
      <c r="J1462" s="1" t="s">
        <v>7453</v>
      </c>
      <c r="K1462" s="1" t="s">
        <v>7454</v>
      </c>
      <c r="L1462" s="1">
        <v>1125.0</v>
      </c>
      <c r="M1462" s="1" t="s">
        <v>35</v>
      </c>
      <c r="N1462" s="1" t="s">
        <v>36</v>
      </c>
      <c r="O1462" s="1" t="s">
        <v>628</v>
      </c>
      <c r="P1462" s="1">
        <v>3.2E7</v>
      </c>
      <c r="Q1462" s="1">
        <v>2005.0</v>
      </c>
      <c r="R1462" s="1">
        <v>10000.0</v>
      </c>
      <c r="S1462" s="1">
        <v>917.0</v>
      </c>
      <c r="T1462" s="1">
        <v>882.0</v>
      </c>
      <c r="U1462" s="1">
        <v>12754.0</v>
      </c>
      <c r="V1462" s="1">
        <v>0.0</v>
      </c>
      <c r="W1462" s="1">
        <v>0.0</v>
      </c>
      <c r="X1462" s="1">
        <v>1.0</v>
      </c>
      <c r="Y1462" s="1">
        <v>1.85</v>
      </c>
      <c r="Z1462" s="1">
        <v>7.5</v>
      </c>
    </row>
    <row r="1463" ht="14.25" customHeight="1">
      <c r="A1463" s="1" t="s">
        <v>26</v>
      </c>
      <c r="B1463" s="1" t="s">
        <v>1077</v>
      </c>
      <c r="C1463" s="1" t="s">
        <v>7455</v>
      </c>
      <c r="D1463" s="1">
        <v>4.30956E7</v>
      </c>
      <c r="E1463" s="1" t="s">
        <v>326</v>
      </c>
      <c r="F1463" s="1" t="s">
        <v>327</v>
      </c>
      <c r="G1463" s="1" t="s">
        <v>651</v>
      </c>
      <c r="H1463" s="1" t="s">
        <v>1988</v>
      </c>
      <c r="I1463" s="1">
        <v>156267.0</v>
      </c>
      <c r="J1463" s="1" t="s">
        <v>7456</v>
      </c>
      <c r="K1463" s="1" t="s">
        <v>7457</v>
      </c>
      <c r="L1463" s="1">
        <v>340.0</v>
      </c>
      <c r="M1463" s="1" t="s">
        <v>35</v>
      </c>
      <c r="N1463" s="1" t="s">
        <v>1832</v>
      </c>
      <c r="O1463" s="1" t="s">
        <v>37</v>
      </c>
      <c r="P1463" s="1">
        <v>3.2E7</v>
      </c>
      <c r="Q1463" s="1">
        <v>2005.0</v>
      </c>
      <c r="R1463" s="1">
        <v>26000.0</v>
      </c>
      <c r="S1463" s="1">
        <v>1000.0</v>
      </c>
      <c r="T1463" s="1">
        <v>810.0</v>
      </c>
      <c r="U1463" s="1">
        <v>29050.0</v>
      </c>
      <c r="V1463" s="1">
        <v>255.0</v>
      </c>
      <c r="W1463" s="1">
        <v>0.0</v>
      </c>
      <c r="X1463" s="1">
        <v>1.0</v>
      </c>
      <c r="Y1463" s="1">
        <v>2.35</v>
      </c>
      <c r="Z1463" s="1">
        <v>6.3</v>
      </c>
    </row>
    <row r="1464" ht="14.25" customHeight="1">
      <c r="A1464" s="1" t="s">
        <v>710</v>
      </c>
      <c r="B1464" s="1" t="s">
        <v>71</v>
      </c>
      <c r="C1464" s="1" t="s">
        <v>7458</v>
      </c>
      <c r="D1464" s="1">
        <v>1.8636537E7</v>
      </c>
      <c r="E1464" s="1" t="s">
        <v>7459</v>
      </c>
      <c r="F1464" s="1" t="s">
        <v>207</v>
      </c>
      <c r="G1464" s="1" t="s">
        <v>7460</v>
      </c>
      <c r="H1464" s="1" t="s">
        <v>7461</v>
      </c>
      <c r="I1464" s="1">
        <v>69197.0</v>
      </c>
      <c r="J1464" s="1" t="s">
        <v>7462</v>
      </c>
      <c r="K1464" s="1" t="s">
        <v>7463</v>
      </c>
      <c r="L1464" s="1">
        <v>216.0</v>
      </c>
      <c r="M1464" s="1" t="s">
        <v>35</v>
      </c>
      <c r="N1464" s="1" t="s">
        <v>2821</v>
      </c>
      <c r="O1464" s="1" t="s">
        <v>628</v>
      </c>
      <c r="P1464" s="1">
        <v>3.2E7</v>
      </c>
      <c r="Q1464" s="1">
        <v>1995.0</v>
      </c>
      <c r="R1464" s="1">
        <v>29000.0</v>
      </c>
      <c r="S1464" s="1">
        <v>165.0</v>
      </c>
      <c r="T1464" s="1">
        <v>159.0</v>
      </c>
      <c r="U1464" s="1">
        <v>29743.0</v>
      </c>
      <c r="V1464" s="1">
        <v>0.0</v>
      </c>
      <c r="W1464" s="1">
        <v>0.0</v>
      </c>
      <c r="X1464" s="1">
        <v>0.0</v>
      </c>
      <c r="Y1464" s="1">
        <v>1.85</v>
      </c>
      <c r="Z1464" s="1">
        <v>6.4</v>
      </c>
    </row>
    <row r="1465" ht="14.25" customHeight="1">
      <c r="A1465" s="1" t="s">
        <v>26</v>
      </c>
      <c r="B1465" s="1" t="s">
        <v>5504</v>
      </c>
      <c r="C1465" s="1" t="s">
        <v>7464</v>
      </c>
      <c r="D1465" s="1">
        <v>1.7848322E7</v>
      </c>
      <c r="E1465" s="1" t="s">
        <v>1598</v>
      </c>
      <c r="F1465" s="1" t="s">
        <v>3058</v>
      </c>
      <c r="G1465" s="1" t="s">
        <v>7465</v>
      </c>
      <c r="H1465" s="1" t="s">
        <v>7466</v>
      </c>
      <c r="I1465" s="1">
        <v>18771.0</v>
      </c>
      <c r="J1465" s="1" t="s">
        <v>7467</v>
      </c>
      <c r="K1465" s="1" t="s">
        <v>7468</v>
      </c>
      <c r="L1465" s="1">
        <v>102.0</v>
      </c>
      <c r="M1465" s="1" t="s">
        <v>35</v>
      </c>
      <c r="N1465" s="1" t="s">
        <v>7469</v>
      </c>
      <c r="O1465" s="1" t="s">
        <v>37</v>
      </c>
      <c r="P1465" s="1">
        <v>2.8E7</v>
      </c>
      <c r="Q1465" s="1">
        <v>2004.0</v>
      </c>
      <c r="R1465" s="1">
        <v>638.0</v>
      </c>
      <c r="S1465" s="1">
        <v>160.0</v>
      </c>
      <c r="T1465" s="1">
        <v>142.0</v>
      </c>
      <c r="U1465" s="1">
        <v>961.0</v>
      </c>
      <c r="V1465" s="1">
        <v>29.0</v>
      </c>
      <c r="W1465" s="1">
        <v>702.0</v>
      </c>
      <c r="X1465" s="1">
        <v>1.0</v>
      </c>
      <c r="Y1465" s="1">
        <v>2.35</v>
      </c>
      <c r="Z1465" s="1">
        <v>5.9</v>
      </c>
    </row>
    <row r="1466" ht="14.25" customHeight="1">
      <c r="A1466" s="1" t="s">
        <v>26</v>
      </c>
      <c r="B1466" s="1" t="s">
        <v>472</v>
      </c>
      <c r="C1466" s="1" t="s">
        <v>7470</v>
      </c>
      <c r="D1466" s="1">
        <v>1.664021E7</v>
      </c>
      <c r="E1466" s="1" t="s">
        <v>3868</v>
      </c>
      <c r="F1466" s="1" t="s">
        <v>668</v>
      </c>
      <c r="G1466" s="1" t="s">
        <v>7471</v>
      </c>
      <c r="H1466" s="1" t="s">
        <v>7472</v>
      </c>
      <c r="I1466" s="1">
        <v>53028.0</v>
      </c>
      <c r="J1466" s="1" t="s">
        <v>7473</v>
      </c>
      <c r="K1466" s="1" t="s">
        <v>7474</v>
      </c>
      <c r="L1466" s="1">
        <v>382.0</v>
      </c>
      <c r="M1466" s="1" t="s">
        <v>35</v>
      </c>
      <c r="N1466" s="1" t="s">
        <v>36</v>
      </c>
      <c r="O1466" s="1" t="s">
        <v>628</v>
      </c>
      <c r="P1466" s="1">
        <v>5.5E7</v>
      </c>
      <c r="Q1466" s="1">
        <v>1999.0</v>
      </c>
      <c r="R1466" s="1">
        <v>12000.0</v>
      </c>
      <c r="S1466" s="1">
        <v>368.0</v>
      </c>
      <c r="T1466" s="1">
        <v>245.0</v>
      </c>
      <c r="U1466" s="1">
        <v>13040.0</v>
      </c>
      <c r="V1466" s="1">
        <v>17000.0</v>
      </c>
      <c r="W1466" s="1">
        <v>0.0</v>
      </c>
      <c r="X1466" s="1">
        <v>0.0</v>
      </c>
      <c r="Y1466" s="1">
        <v>2.35</v>
      </c>
      <c r="Z1466" s="1">
        <v>6.8</v>
      </c>
    </row>
    <row r="1467" ht="14.25" customHeight="1">
      <c r="A1467" s="1" t="s">
        <v>26</v>
      </c>
      <c r="B1467" s="1" t="s">
        <v>7475</v>
      </c>
      <c r="C1467" s="1" t="s">
        <v>7476</v>
      </c>
      <c r="D1467" s="1">
        <v>1.376313E7</v>
      </c>
      <c r="E1467" s="1" t="s">
        <v>1345</v>
      </c>
      <c r="F1467" s="1" t="s">
        <v>746</v>
      </c>
      <c r="G1467" s="1" t="s">
        <v>1646</v>
      </c>
      <c r="H1467" s="1" t="s">
        <v>2906</v>
      </c>
      <c r="I1467" s="1">
        <v>87768.0</v>
      </c>
      <c r="J1467" s="1" t="s">
        <v>7477</v>
      </c>
      <c r="K1467" s="1" t="s">
        <v>7478</v>
      </c>
      <c r="L1467" s="1">
        <v>187.0</v>
      </c>
      <c r="M1467" s="1" t="s">
        <v>35</v>
      </c>
      <c r="N1467" s="1" t="s">
        <v>36</v>
      </c>
      <c r="O1467" s="1" t="s">
        <v>628</v>
      </c>
      <c r="P1467" s="1">
        <v>3.2E7</v>
      </c>
      <c r="Q1467" s="1">
        <v>2010.0</v>
      </c>
      <c r="R1467" s="1">
        <v>1000.0</v>
      </c>
      <c r="S1467" s="1">
        <v>561.0</v>
      </c>
      <c r="T1467" s="1">
        <v>447.0</v>
      </c>
      <c r="U1467" s="1">
        <v>2925.0</v>
      </c>
      <c r="V1467" s="1">
        <v>238.0</v>
      </c>
      <c r="W1467" s="1">
        <v>12000.0</v>
      </c>
      <c r="X1467" s="1">
        <v>0.0</v>
      </c>
      <c r="Y1467" s="1">
        <v>2.35</v>
      </c>
      <c r="Z1467" s="1">
        <v>6.3</v>
      </c>
    </row>
    <row r="1468" ht="14.25" customHeight="1">
      <c r="A1468" s="1" t="s">
        <v>26</v>
      </c>
      <c r="B1468" s="1" t="s">
        <v>7479</v>
      </c>
      <c r="C1468" s="1" t="s">
        <v>7480</v>
      </c>
      <c r="D1468" s="1">
        <v>1.0956379E7</v>
      </c>
      <c r="E1468" s="1" t="s">
        <v>7481</v>
      </c>
      <c r="F1468" s="1" t="s">
        <v>4132</v>
      </c>
      <c r="G1468" s="1" t="s">
        <v>7482</v>
      </c>
      <c r="H1468" s="1" t="s">
        <v>4352</v>
      </c>
      <c r="I1468" s="1">
        <v>21506.0</v>
      </c>
      <c r="J1468" s="1" t="s">
        <v>7483</v>
      </c>
      <c r="K1468" s="1" t="s">
        <v>7484</v>
      </c>
      <c r="L1468" s="1">
        <v>364.0</v>
      </c>
      <c r="M1468" s="1" t="s">
        <v>35</v>
      </c>
      <c r="N1468" s="1" t="s">
        <v>6497</v>
      </c>
      <c r="O1468" s="1" t="s">
        <v>37</v>
      </c>
      <c r="P1468" s="1">
        <v>3.5E7</v>
      </c>
      <c r="Q1468" s="1">
        <v>2007.0</v>
      </c>
      <c r="R1468" s="1">
        <v>889.0</v>
      </c>
      <c r="S1468" s="1">
        <v>618.0</v>
      </c>
      <c r="T1468" s="1">
        <v>535.0</v>
      </c>
      <c r="U1468" s="1">
        <v>3274.0</v>
      </c>
      <c r="V1468" s="1">
        <v>26.0</v>
      </c>
      <c r="W1468" s="1">
        <v>0.0</v>
      </c>
      <c r="X1468" s="1">
        <v>0.0</v>
      </c>
      <c r="Y1468" s="1">
        <v>2.35</v>
      </c>
      <c r="Z1468" s="1">
        <v>3.6</v>
      </c>
    </row>
    <row r="1469" ht="14.25" customHeight="1">
      <c r="A1469" s="1" t="s">
        <v>26</v>
      </c>
      <c r="B1469" s="1" t="s">
        <v>6567</v>
      </c>
      <c r="C1469" s="1" t="s">
        <v>7485</v>
      </c>
      <c r="D1469" s="1">
        <v>4357000.0</v>
      </c>
      <c r="E1469" s="1" t="s">
        <v>501</v>
      </c>
      <c r="F1469" s="1" t="s">
        <v>2105</v>
      </c>
      <c r="G1469" s="1" t="s">
        <v>7486</v>
      </c>
      <c r="H1469" s="1" t="s">
        <v>7487</v>
      </c>
      <c r="I1469" s="1">
        <v>5176.0</v>
      </c>
      <c r="J1469" s="1" t="s">
        <v>7488</v>
      </c>
      <c r="K1469" s="1" t="s">
        <v>7489</v>
      </c>
      <c r="L1469" s="1">
        <v>30.0</v>
      </c>
      <c r="M1469" s="1" t="s">
        <v>35</v>
      </c>
      <c r="N1469" s="1" t="s">
        <v>36</v>
      </c>
      <c r="O1469" s="1" t="s">
        <v>87</v>
      </c>
      <c r="P1469" s="1">
        <v>3.0E7</v>
      </c>
      <c r="Q1469" s="1">
        <v>1996.0</v>
      </c>
      <c r="R1469" s="1">
        <v>3000.0</v>
      </c>
      <c r="S1469" s="1">
        <v>359.0</v>
      </c>
      <c r="T1469" s="1">
        <v>179.0</v>
      </c>
      <c r="U1469" s="1">
        <v>3864.0</v>
      </c>
      <c r="V1469" s="1">
        <v>278.0</v>
      </c>
      <c r="W1469" s="1">
        <v>350.0</v>
      </c>
      <c r="X1469" s="1">
        <v>3.0</v>
      </c>
      <c r="Y1469" s="1">
        <v>1.85</v>
      </c>
      <c r="Z1469" s="1">
        <v>5.3</v>
      </c>
    </row>
    <row r="1470" ht="14.25" customHeight="1">
      <c r="A1470" s="1" t="s">
        <v>26</v>
      </c>
      <c r="B1470" s="1" t="s">
        <v>7490</v>
      </c>
      <c r="C1470" s="1" t="s">
        <v>7491</v>
      </c>
      <c r="D1470" s="1">
        <v>2.2525921E7</v>
      </c>
      <c r="E1470" s="1" t="s">
        <v>1885</v>
      </c>
      <c r="F1470" s="1" t="s">
        <v>264</v>
      </c>
      <c r="G1470" s="1" t="s">
        <v>294</v>
      </c>
      <c r="H1470" s="1" t="s">
        <v>503</v>
      </c>
      <c r="I1470" s="1">
        <v>60596.0</v>
      </c>
      <c r="J1470" s="1" t="s">
        <v>7492</v>
      </c>
      <c r="K1470" s="1" t="s">
        <v>7493</v>
      </c>
      <c r="L1470" s="1">
        <v>158.0</v>
      </c>
      <c r="M1470" s="1" t="s">
        <v>35</v>
      </c>
      <c r="N1470" s="1" t="s">
        <v>36</v>
      </c>
      <c r="O1470" s="1" t="s">
        <v>37</v>
      </c>
      <c r="P1470" s="1">
        <v>3.0E7</v>
      </c>
      <c r="Q1470" s="1">
        <v>2013.0</v>
      </c>
      <c r="R1470" s="1">
        <v>12000.0</v>
      </c>
      <c r="S1470" s="1">
        <v>10000.0</v>
      </c>
      <c r="T1470" s="1">
        <v>7000.0</v>
      </c>
      <c r="U1470" s="1">
        <v>32094.0</v>
      </c>
      <c r="V1470" s="1">
        <v>35.0</v>
      </c>
      <c r="W1470" s="1">
        <v>13000.0</v>
      </c>
      <c r="X1470" s="1">
        <v>4.0</v>
      </c>
      <c r="Y1470" s="1">
        <v>2.35</v>
      </c>
      <c r="Z1470" s="1">
        <v>5.9</v>
      </c>
    </row>
    <row r="1471" ht="14.25" customHeight="1">
      <c r="A1471" s="1" t="s">
        <v>26</v>
      </c>
      <c r="B1471" s="1" t="s">
        <v>1693</v>
      </c>
      <c r="C1471" s="1" t="s">
        <v>7494</v>
      </c>
      <c r="D1471" s="1">
        <v>3562749.0</v>
      </c>
      <c r="E1471" s="1" t="s">
        <v>7495</v>
      </c>
      <c r="F1471" s="1" t="s">
        <v>7496</v>
      </c>
      <c r="G1471" s="1" t="s">
        <v>1905</v>
      </c>
      <c r="H1471" s="1" t="s">
        <v>3096</v>
      </c>
      <c r="I1471" s="1">
        <v>5600.0</v>
      </c>
      <c r="J1471" s="1" t="s">
        <v>7497</v>
      </c>
      <c r="K1471" s="1" t="s">
        <v>7498</v>
      </c>
      <c r="L1471" s="1">
        <v>49.0</v>
      </c>
      <c r="M1471" s="1" t="s">
        <v>35</v>
      </c>
      <c r="N1471" s="1" t="s">
        <v>36</v>
      </c>
      <c r="O1471" s="1" t="s">
        <v>269</v>
      </c>
      <c r="P1471" s="1">
        <v>3.2E7</v>
      </c>
      <c r="Q1471" s="1">
        <v>1997.0</v>
      </c>
      <c r="R1471" s="1">
        <v>3000.0</v>
      </c>
      <c r="S1471" s="1">
        <v>2000.0</v>
      </c>
      <c r="T1471" s="1">
        <v>826.0</v>
      </c>
      <c r="U1471" s="1">
        <v>7394.0</v>
      </c>
      <c r="V1471" s="1">
        <v>10.0</v>
      </c>
      <c r="W1471" s="1">
        <v>643.0</v>
      </c>
      <c r="X1471" s="1">
        <v>0.0</v>
      </c>
      <c r="Y1471" s="1">
        <v>1.33</v>
      </c>
      <c r="Z1471" s="1">
        <v>6.9</v>
      </c>
    </row>
    <row r="1472" ht="14.25" customHeight="1">
      <c r="A1472" s="1" t="s">
        <v>26</v>
      </c>
      <c r="B1472" s="1" t="s">
        <v>7499</v>
      </c>
      <c r="C1472" s="1" t="s">
        <v>7500</v>
      </c>
      <c r="D1472" s="1">
        <v>2899970.0</v>
      </c>
      <c r="E1472" s="1" t="s">
        <v>3238</v>
      </c>
      <c r="F1472" s="1" t="s">
        <v>534</v>
      </c>
      <c r="G1472" s="1" t="s">
        <v>2429</v>
      </c>
      <c r="H1472" s="1" t="s">
        <v>2783</v>
      </c>
      <c r="I1472" s="1">
        <v>8039.0</v>
      </c>
      <c r="J1472" s="1" t="s">
        <v>7501</v>
      </c>
      <c r="K1472" s="1" t="s">
        <v>7502</v>
      </c>
      <c r="L1472" s="1">
        <v>161.0</v>
      </c>
      <c r="M1472" s="1" t="s">
        <v>35</v>
      </c>
      <c r="N1472" s="1" t="s">
        <v>36</v>
      </c>
      <c r="O1472" s="1" t="s">
        <v>628</v>
      </c>
      <c r="P1472" s="1">
        <v>3.2E7</v>
      </c>
      <c r="Q1472" s="1">
        <v>1999.0</v>
      </c>
      <c r="R1472" s="1">
        <v>13000.0</v>
      </c>
      <c r="S1472" s="1">
        <v>898.0</v>
      </c>
      <c r="T1472" s="1">
        <v>876.0</v>
      </c>
      <c r="U1472" s="1">
        <v>16878.0</v>
      </c>
      <c r="V1472" s="1">
        <v>0.0</v>
      </c>
      <c r="W1472" s="1">
        <v>625.0</v>
      </c>
      <c r="X1472" s="1">
        <v>2.0</v>
      </c>
      <c r="Y1472" s="1">
        <v>2.35</v>
      </c>
      <c r="Z1472" s="1">
        <v>6.9</v>
      </c>
    </row>
    <row r="1473" ht="14.25" customHeight="1">
      <c r="A1473" s="1" t="s">
        <v>710</v>
      </c>
      <c r="B1473" s="1" t="s">
        <v>1456</v>
      </c>
      <c r="C1473" s="1" t="s">
        <v>7503</v>
      </c>
      <c r="D1473" s="1">
        <v>1304837.0</v>
      </c>
      <c r="E1473" s="1" t="s">
        <v>1842</v>
      </c>
      <c r="F1473" s="1" t="s">
        <v>1169</v>
      </c>
      <c r="G1473" s="1" t="s">
        <v>6968</v>
      </c>
      <c r="H1473" s="1" t="s">
        <v>5217</v>
      </c>
      <c r="I1473" s="1">
        <v>21481.0</v>
      </c>
      <c r="J1473" s="1" t="s">
        <v>7504</v>
      </c>
      <c r="K1473" s="1" t="s">
        <v>7505</v>
      </c>
      <c r="L1473" s="1">
        <v>175.0</v>
      </c>
      <c r="M1473" s="1" t="s">
        <v>35</v>
      </c>
      <c r="N1473" s="1" t="s">
        <v>36</v>
      </c>
      <c r="O1473" s="1" t="s">
        <v>628</v>
      </c>
      <c r="P1473" s="1">
        <v>3.2E7</v>
      </c>
      <c r="Q1473" s="1">
        <v>2006.0</v>
      </c>
      <c r="R1473" s="1">
        <v>845.0</v>
      </c>
      <c r="S1473" s="1">
        <v>552.0</v>
      </c>
      <c r="T1473" s="1">
        <v>308.0</v>
      </c>
      <c r="U1473" s="1">
        <v>2355.0</v>
      </c>
      <c r="V1473" s="1">
        <v>0.0</v>
      </c>
      <c r="W1473" s="1">
        <v>559.0</v>
      </c>
      <c r="X1473" s="1">
        <v>2.0</v>
      </c>
      <c r="Y1473" s="1">
        <v>1.66</v>
      </c>
      <c r="Z1473" s="1">
        <v>6.1</v>
      </c>
    </row>
    <row r="1474" ht="14.25" customHeight="1">
      <c r="A1474" s="1" t="s">
        <v>26</v>
      </c>
      <c r="B1474" s="1" t="s">
        <v>4578</v>
      </c>
      <c r="C1474" s="1" t="s">
        <v>7506</v>
      </c>
      <c r="D1474" s="1">
        <v>7.88E7</v>
      </c>
      <c r="E1474" s="1" t="s">
        <v>3225</v>
      </c>
      <c r="F1474" s="1" t="s">
        <v>383</v>
      </c>
      <c r="G1474" s="1" t="s">
        <v>113</v>
      </c>
      <c r="H1474" s="1" t="s">
        <v>1606</v>
      </c>
      <c r="I1474" s="1">
        <v>450676.0</v>
      </c>
      <c r="J1474" s="1" t="s">
        <v>7507</v>
      </c>
      <c r="K1474" s="1" t="s">
        <v>7508</v>
      </c>
      <c r="L1474" s="1">
        <v>983.0</v>
      </c>
      <c r="M1474" s="1" t="s">
        <v>35</v>
      </c>
      <c r="N1474" s="1" t="s">
        <v>36</v>
      </c>
      <c r="O1474" s="1" t="s">
        <v>628</v>
      </c>
      <c r="P1474" s="1">
        <v>3.15E7</v>
      </c>
      <c r="Q1474" s="1">
        <v>1979.0</v>
      </c>
      <c r="R1474" s="1">
        <v>11000.0</v>
      </c>
      <c r="S1474" s="1">
        <v>10000.0</v>
      </c>
      <c r="T1474" s="1">
        <v>3000.0</v>
      </c>
      <c r="U1474" s="1">
        <v>25313.0</v>
      </c>
      <c r="V1474" s="1">
        <v>0.0</v>
      </c>
      <c r="W1474" s="1">
        <v>19000.0</v>
      </c>
      <c r="X1474" s="1">
        <v>1.0</v>
      </c>
      <c r="Y1474" s="1">
        <v>2.35</v>
      </c>
      <c r="Z1474" s="1">
        <v>8.5</v>
      </c>
    </row>
    <row r="1475" ht="14.25" customHeight="1">
      <c r="A1475" s="1" t="s">
        <v>26</v>
      </c>
      <c r="B1475" s="1" t="s">
        <v>7509</v>
      </c>
      <c r="C1475" s="1" t="s">
        <v>7510</v>
      </c>
      <c r="D1475" s="1">
        <v>1.7797316E7</v>
      </c>
      <c r="E1475" s="1" t="s">
        <v>1598</v>
      </c>
      <c r="F1475" s="1" t="s">
        <v>4254</v>
      </c>
      <c r="G1475" s="1" t="s">
        <v>834</v>
      </c>
      <c r="H1475" s="1" t="s">
        <v>7123</v>
      </c>
      <c r="I1475" s="1">
        <v>50523.0</v>
      </c>
      <c r="J1475" s="1" t="s">
        <v>7511</v>
      </c>
      <c r="K1475" s="1" t="s">
        <v>7512</v>
      </c>
      <c r="L1475" s="1">
        <v>113.0</v>
      </c>
      <c r="M1475" s="1" t="s">
        <v>35</v>
      </c>
      <c r="N1475" s="1" t="s">
        <v>36</v>
      </c>
      <c r="O1475" s="1" t="s">
        <v>628</v>
      </c>
      <c r="P1475" s="1">
        <v>3.2E7</v>
      </c>
      <c r="Q1475" s="1">
        <v>2010.0</v>
      </c>
      <c r="R1475" s="1">
        <v>839.0</v>
      </c>
      <c r="S1475" s="1">
        <v>730.0</v>
      </c>
      <c r="T1475" s="1">
        <v>472.0</v>
      </c>
      <c r="U1475" s="1">
        <v>2961.0</v>
      </c>
      <c r="V1475" s="1">
        <v>8.0</v>
      </c>
      <c r="W1475" s="1">
        <v>0.0</v>
      </c>
      <c r="X1475" s="1">
        <v>0.0</v>
      </c>
      <c r="Y1475" s="1">
        <v>2.35</v>
      </c>
      <c r="Z1475" s="1">
        <v>6.3</v>
      </c>
    </row>
    <row r="1476" ht="14.25" customHeight="1">
      <c r="A1476" s="1" t="s">
        <v>26</v>
      </c>
      <c r="B1476" s="1" t="s">
        <v>4205</v>
      </c>
      <c r="C1476" s="1" t="s">
        <v>7513</v>
      </c>
      <c r="D1476" s="1">
        <v>8.2528097E7</v>
      </c>
      <c r="E1476" s="1" t="s">
        <v>5819</v>
      </c>
      <c r="F1476" s="1" t="s">
        <v>3793</v>
      </c>
      <c r="G1476" s="1" t="s">
        <v>7514</v>
      </c>
      <c r="H1476" s="1" t="s">
        <v>7515</v>
      </c>
      <c r="I1476" s="1">
        <v>30230.0</v>
      </c>
      <c r="J1476" s="1" t="s">
        <v>7516</v>
      </c>
      <c r="K1476" s="1" t="s">
        <v>7517</v>
      </c>
      <c r="L1476" s="1">
        <v>154.0</v>
      </c>
      <c r="M1476" s="1" t="s">
        <v>35</v>
      </c>
      <c r="N1476" s="1" t="s">
        <v>36</v>
      </c>
      <c r="O1476" s="1" t="s">
        <v>87</v>
      </c>
      <c r="P1476" s="1">
        <v>6500000.0</v>
      </c>
      <c r="Q1476" s="1">
        <v>1995.0</v>
      </c>
      <c r="R1476" s="1">
        <v>975.0</v>
      </c>
      <c r="S1476" s="1">
        <v>345.0</v>
      </c>
      <c r="T1476" s="1">
        <v>320.0</v>
      </c>
      <c r="U1476" s="1">
        <v>2223.0</v>
      </c>
      <c r="V1476" s="1">
        <v>65.0</v>
      </c>
      <c r="W1476" s="1">
        <v>0.0</v>
      </c>
      <c r="X1476" s="1">
        <v>1.0</v>
      </c>
      <c r="Y1476" s="1">
        <v>2.35</v>
      </c>
      <c r="Z1476" s="1">
        <v>7.3</v>
      </c>
    </row>
    <row r="1477" ht="14.25" customHeight="1">
      <c r="A1477" s="1" t="s">
        <v>26</v>
      </c>
      <c r="B1477" s="1" t="s">
        <v>7518</v>
      </c>
      <c r="C1477" s="1" t="s">
        <v>7519</v>
      </c>
      <c r="D1477" s="1">
        <v>1.4268533E7</v>
      </c>
      <c r="E1477" s="1" t="s">
        <v>7520</v>
      </c>
      <c r="F1477" s="1" t="s">
        <v>425</v>
      </c>
      <c r="G1477" s="1" t="s">
        <v>1145</v>
      </c>
      <c r="H1477" s="1" t="s">
        <v>7521</v>
      </c>
      <c r="I1477" s="1">
        <v>17319.0</v>
      </c>
      <c r="J1477" s="1" t="s">
        <v>7522</v>
      </c>
      <c r="K1477" s="1" t="s">
        <v>7523</v>
      </c>
      <c r="L1477" s="1">
        <v>100.0</v>
      </c>
      <c r="M1477" s="1" t="s">
        <v>35</v>
      </c>
      <c r="N1477" s="1" t="s">
        <v>54</v>
      </c>
      <c r="O1477" s="1" t="s">
        <v>628</v>
      </c>
      <c r="P1477" s="1">
        <v>3.15E7</v>
      </c>
      <c r="Q1477" s="1">
        <v>2016.0</v>
      </c>
      <c r="R1477" s="1">
        <v>10000.0</v>
      </c>
      <c r="S1477" s="1">
        <v>877.0</v>
      </c>
      <c r="T1477" s="1">
        <v>24.0</v>
      </c>
      <c r="U1477" s="1">
        <v>10910.0</v>
      </c>
      <c r="V1477" s="1">
        <v>34.0</v>
      </c>
      <c r="W1477" s="1">
        <v>0.0</v>
      </c>
      <c r="X1477" s="1">
        <v>2.0</v>
      </c>
      <c r="Y1477" s="1">
        <v>2.35</v>
      </c>
      <c r="Z1477" s="1">
        <v>6.3</v>
      </c>
    </row>
    <row r="1478" ht="14.25" customHeight="1">
      <c r="A1478" s="1" t="s">
        <v>26</v>
      </c>
      <c r="B1478" s="1" t="s">
        <v>2128</v>
      </c>
      <c r="C1478" s="1" t="s">
        <v>7524</v>
      </c>
      <c r="D1478" s="1">
        <v>8.71E7</v>
      </c>
      <c r="E1478" s="1" t="s">
        <v>5942</v>
      </c>
      <c r="F1478" s="1" t="s">
        <v>2286</v>
      </c>
      <c r="G1478" s="1" t="s">
        <v>1271</v>
      </c>
      <c r="H1478" s="1" t="s">
        <v>3585</v>
      </c>
      <c r="I1478" s="1">
        <v>52339.0</v>
      </c>
      <c r="J1478" s="1" t="s">
        <v>7525</v>
      </c>
      <c r="K1478" s="1" t="s">
        <v>7526</v>
      </c>
      <c r="L1478" s="1">
        <v>200.0</v>
      </c>
      <c r="M1478" s="1" t="s">
        <v>35</v>
      </c>
      <c r="N1478" s="1" t="s">
        <v>36</v>
      </c>
      <c r="O1478" s="1" t="s">
        <v>87</v>
      </c>
      <c r="P1478" s="1">
        <v>3.1E7</v>
      </c>
      <c r="Q1478" s="1">
        <v>1985.0</v>
      </c>
      <c r="R1478" s="1">
        <v>11000.0</v>
      </c>
      <c r="S1478" s="1">
        <v>920.0</v>
      </c>
      <c r="T1478" s="1">
        <v>184.0</v>
      </c>
      <c r="U1478" s="1">
        <v>12518.0</v>
      </c>
      <c r="V1478" s="1">
        <v>521.0</v>
      </c>
      <c r="W1478" s="1">
        <v>0.0</v>
      </c>
      <c r="X1478" s="1">
        <v>0.0</v>
      </c>
      <c r="Y1478" s="1">
        <v>1.85</v>
      </c>
      <c r="Z1478" s="1">
        <v>7.2</v>
      </c>
    </row>
    <row r="1479" ht="14.25" customHeight="1">
      <c r="A1479" s="1" t="s">
        <v>26</v>
      </c>
      <c r="B1479" s="1" t="s">
        <v>420</v>
      </c>
      <c r="C1479" s="1" t="s">
        <v>7527</v>
      </c>
      <c r="D1479" s="1">
        <v>9.3749203E7</v>
      </c>
      <c r="E1479" s="1" t="s">
        <v>3868</v>
      </c>
      <c r="F1479" s="1" t="s">
        <v>1644</v>
      </c>
      <c r="G1479" s="1" t="s">
        <v>346</v>
      </c>
      <c r="H1479" s="1" t="s">
        <v>5962</v>
      </c>
      <c r="I1479" s="1">
        <v>264047.0</v>
      </c>
      <c r="J1479" s="1" t="s">
        <v>7528</v>
      </c>
      <c r="K1479" s="1" t="s">
        <v>7529</v>
      </c>
      <c r="L1479" s="1">
        <v>491.0</v>
      </c>
      <c r="M1479" s="1" t="s">
        <v>35</v>
      </c>
      <c r="N1479" s="1" t="s">
        <v>36</v>
      </c>
      <c r="O1479" s="1" t="s">
        <v>628</v>
      </c>
      <c r="P1479" s="1">
        <v>3.1E7</v>
      </c>
      <c r="Q1479" s="1">
        <v>2012.0</v>
      </c>
      <c r="R1479" s="1">
        <v>18000.0</v>
      </c>
      <c r="S1479" s="1">
        <v>984.0</v>
      </c>
      <c r="T1479" s="1">
        <v>874.0</v>
      </c>
      <c r="U1479" s="1">
        <v>20952.0</v>
      </c>
      <c r="V1479" s="1">
        <v>0.0</v>
      </c>
      <c r="W1479" s="1">
        <v>64000.0</v>
      </c>
      <c r="X1479" s="1">
        <v>0.0</v>
      </c>
      <c r="Y1479" s="1">
        <v>2.35</v>
      </c>
      <c r="Z1479" s="1">
        <v>7.3</v>
      </c>
    </row>
    <row r="1480" ht="14.25" customHeight="1">
      <c r="A1480" s="1" t="s">
        <v>26</v>
      </c>
      <c r="B1480" s="1" t="s">
        <v>7530</v>
      </c>
      <c r="C1480" s="1" t="s">
        <v>7531</v>
      </c>
      <c r="D1480" s="1">
        <v>6.27E7</v>
      </c>
      <c r="E1480" s="1" t="s">
        <v>219</v>
      </c>
      <c r="F1480" s="1" t="s">
        <v>1056</v>
      </c>
      <c r="G1480" s="1" t="s">
        <v>1531</v>
      </c>
      <c r="H1480" s="1" t="s">
        <v>7532</v>
      </c>
      <c r="I1480" s="1">
        <v>69534.0</v>
      </c>
      <c r="J1480" s="1" t="s">
        <v>7533</v>
      </c>
      <c r="K1480" s="1" t="s">
        <v>7534</v>
      </c>
      <c r="L1480" s="1">
        <v>294.0</v>
      </c>
      <c r="M1480" s="1" t="s">
        <v>35</v>
      </c>
      <c r="N1480" s="1" t="s">
        <v>54</v>
      </c>
      <c r="O1480" s="1" t="s">
        <v>87</v>
      </c>
      <c r="P1480" s="1">
        <v>3.4E7</v>
      </c>
      <c r="Q1480" s="1">
        <v>1979.0</v>
      </c>
      <c r="R1480" s="1">
        <v>244.0</v>
      </c>
      <c r="S1480" s="1">
        <v>202.0</v>
      </c>
      <c r="T1480" s="1">
        <v>177.0</v>
      </c>
      <c r="U1480" s="1">
        <v>1008.0</v>
      </c>
      <c r="V1480" s="1">
        <v>43.0</v>
      </c>
      <c r="W1480" s="1">
        <v>0.0</v>
      </c>
      <c r="X1480" s="1">
        <v>2.0</v>
      </c>
      <c r="Y1480" s="1">
        <v>2.35</v>
      </c>
      <c r="Z1480" s="1">
        <v>6.3</v>
      </c>
    </row>
    <row r="1481" ht="14.25" customHeight="1">
      <c r="A1481" s="1" t="s">
        <v>26</v>
      </c>
      <c r="B1481" s="1" t="s">
        <v>5083</v>
      </c>
      <c r="C1481" s="1" t="s">
        <v>7535</v>
      </c>
      <c r="D1481" s="1">
        <v>5.9073773E7</v>
      </c>
      <c r="E1481" s="1" t="s">
        <v>7536</v>
      </c>
      <c r="F1481" s="1" t="s">
        <v>534</v>
      </c>
      <c r="G1481" s="1" t="s">
        <v>130</v>
      </c>
      <c r="H1481" s="1" t="s">
        <v>2317</v>
      </c>
      <c r="I1481" s="1">
        <v>475518.0</v>
      </c>
      <c r="J1481" s="1" t="s">
        <v>7537</v>
      </c>
      <c r="K1481" s="1" t="s">
        <v>7538</v>
      </c>
      <c r="L1481" s="1">
        <v>644.0</v>
      </c>
      <c r="M1481" s="1" t="s">
        <v>35</v>
      </c>
      <c r="N1481" s="1" t="s">
        <v>36</v>
      </c>
      <c r="O1481" s="1" t="s">
        <v>628</v>
      </c>
      <c r="P1481" s="1">
        <v>2.5E7</v>
      </c>
      <c r="Q1481" s="1">
        <v>2014.0</v>
      </c>
      <c r="R1481" s="1">
        <v>13000.0</v>
      </c>
      <c r="S1481" s="1">
        <v>1000.0</v>
      </c>
      <c r="T1481" s="1">
        <v>670.0</v>
      </c>
      <c r="U1481" s="1">
        <v>15082.0</v>
      </c>
      <c r="V1481" s="1">
        <v>0.0</v>
      </c>
      <c r="W1481" s="1">
        <v>149000.0</v>
      </c>
      <c r="X1481" s="1">
        <v>0.0</v>
      </c>
      <c r="Y1481" s="1">
        <v>1.37</v>
      </c>
      <c r="Z1481" s="1">
        <v>8.1</v>
      </c>
    </row>
    <row r="1482" ht="14.25" customHeight="1">
      <c r="A1482" s="1" t="s">
        <v>26</v>
      </c>
      <c r="B1482" s="1" t="s">
        <v>6760</v>
      </c>
      <c r="C1482" s="1" t="s">
        <v>7539</v>
      </c>
      <c r="D1482" s="1">
        <v>2.4185781E7</v>
      </c>
      <c r="E1482" s="1" t="s">
        <v>7540</v>
      </c>
      <c r="F1482" s="1" t="s">
        <v>726</v>
      </c>
      <c r="G1482" s="1" t="s">
        <v>2635</v>
      </c>
      <c r="H1482" s="1" t="s">
        <v>7541</v>
      </c>
      <c r="I1482" s="1">
        <v>30339.0</v>
      </c>
      <c r="J1482" s="1" t="s">
        <v>7542</v>
      </c>
      <c r="K1482" s="1" t="s">
        <v>7543</v>
      </c>
      <c r="L1482" s="1">
        <v>268.0</v>
      </c>
      <c r="M1482" s="1" t="s">
        <v>35</v>
      </c>
      <c r="N1482" s="1" t="s">
        <v>36</v>
      </c>
      <c r="O1482" s="1" t="s">
        <v>37</v>
      </c>
      <c r="P1482" s="1">
        <v>3.1E7</v>
      </c>
      <c r="Q1482" s="1">
        <v>2001.0</v>
      </c>
      <c r="R1482" s="1">
        <v>12000.0</v>
      </c>
      <c r="S1482" s="1">
        <v>495.0</v>
      </c>
      <c r="T1482" s="1">
        <v>442.0</v>
      </c>
      <c r="U1482" s="1">
        <v>13811.0</v>
      </c>
      <c r="V1482" s="1">
        <v>96.0</v>
      </c>
      <c r="W1482" s="1">
        <v>0.0</v>
      </c>
      <c r="X1482" s="1">
        <v>1.0</v>
      </c>
      <c r="Y1482" s="1">
        <v>2.35</v>
      </c>
      <c r="Z1482" s="1">
        <v>6.9</v>
      </c>
    </row>
    <row r="1483" ht="14.25" customHeight="1">
      <c r="A1483" s="1" t="s">
        <v>26</v>
      </c>
      <c r="B1483" s="1" t="s">
        <v>4812</v>
      </c>
      <c r="C1483" s="1" t="s">
        <v>7544</v>
      </c>
      <c r="D1483" s="1">
        <v>5.3133888E7</v>
      </c>
      <c r="E1483" s="1" t="s">
        <v>7545</v>
      </c>
      <c r="F1483" s="1" t="s">
        <v>5829</v>
      </c>
      <c r="G1483" s="1" t="s">
        <v>7546</v>
      </c>
      <c r="H1483" s="1" t="s">
        <v>7547</v>
      </c>
      <c r="I1483" s="1">
        <v>50389.0</v>
      </c>
      <c r="J1483" s="1" t="s">
        <v>7548</v>
      </c>
      <c r="K1483" s="1" t="s">
        <v>7549</v>
      </c>
      <c r="L1483" s="1">
        <v>136.0</v>
      </c>
      <c r="M1483" s="1" t="s">
        <v>35</v>
      </c>
      <c r="N1483" s="1" t="s">
        <v>36</v>
      </c>
      <c r="O1483" s="1" t="s">
        <v>37</v>
      </c>
      <c r="P1483" s="1">
        <v>3.1E7</v>
      </c>
      <c r="Q1483" s="1">
        <v>1990.0</v>
      </c>
      <c r="R1483" s="1">
        <v>687.0</v>
      </c>
      <c r="S1483" s="1">
        <v>151.0</v>
      </c>
      <c r="T1483" s="1">
        <v>125.0</v>
      </c>
      <c r="U1483" s="1">
        <v>1440.0</v>
      </c>
      <c r="V1483" s="1">
        <v>155.0</v>
      </c>
      <c r="W1483" s="1">
        <v>0.0</v>
      </c>
      <c r="X1483" s="1">
        <v>0.0</v>
      </c>
      <c r="Y1483" s="1">
        <v>1.85</v>
      </c>
      <c r="Z1483" s="1">
        <v>6.3</v>
      </c>
    </row>
    <row r="1484" ht="14.25" customHeight="1">
      <c r="A1484" s="1" t="s">
        <v>26</v>
      </c>
      <c r="B1484" s="1" t="s">
        <v>3298</v>
      </c>
      <c r="C1484" s="1" t="s">
        <v>7550</v>
      </c>
      <c r="D1484" s="1">
        <v>4.4983704E7</v>
      </c>
      <c r="E1484" s="1" t="s">
        <v>7551</v>
      </c>
      <c r="F1484" s="1" t="s">
        <v>522</v>
      </c>
      <c r="G1484" s="1" t="s">
        <v>677</v>
      </c>
      <c r="H1484" s="1" t="s">
        <v>1404</v>
      </c>
      <c r="I1484" s="1">
        <v>81866.0</v>
      </c>
      <c r="J1484" s="1" t="s">
        <v>7552</v>
      </c>
      <c r="K1484" s="1" t="s">
        <v>7553</v>
      </c>
      <c r="L1484" s="1">
        <v>510.0</v>
      </c>
      <c r="M1484" s="1" t="s">
        <v>35</v>
      </c>
      <c r="N1484" s="1" t="s">
        <v>36</v>
      </c>
      <c r="O1484" s="1" t="s">
        <v>37</v>
      </c>
      <c r="P1484" s="1">
        <v>3.1E7</v>
      </c>
      <c r="Q1484" s="1">
        <v>2000.0</v>
      </c>
      <c r="R1484" s="1">
        <v>2000.0</v>
      </c>
      <c r="S1484" s="1">
        <v>702.0</v>
      </c>
      <c r="T1484" s="1">
        <v>617.0</v>
      </c>
      <c r="U1484" s="1">
        <v>4045.0</v>
      </c>
      <c r="V1484" s="1">
        <v>40.0</v>
      </c>
      <c r="W1484" s="1">
        <v>0.0</v>
      </c>
      <c r="X1484" s="1">
        <v>0.0</v>
      </c>
      <c r="Y1484" s="1">
        <v>2.35</v>
      </c>
      <c r="Z1484" s="1">
        <v>7.3</v>
      </c>
    </row>
    <row r="1485" ht="14.25" customHeight="1">
      <c r="A1485" s="1" t="s">
        <v>26</v>
      </c>
      <c r="B1485" s="1" t="s">
        <v>932</v>
      </c>
      <c r="C1485" s="1" t="s">
        <v>933</v>
      </c>
      <c r="D1485" s="1">
        <v>1.18099659E8</v>
      </c>
      <c r="E1485" s="1" t="s">
        <v>934</v>
      </c>
      <c r="F1485" s="1" t="s">
        <v>935</v>
      </c>
      <c r="G1485" s="1" t="s">
        <v>936</v>
      </c>
      <c r="H1485" s="1" t="s">
        <v>937</v>
      </c>
      <c r="I1485" s="1">
        <v>69790.0</v>
      </c>
      <c r="J1485" s="1" t="s">
        <v>938</v>
      </c>
      <c r="K1485" s="1" t="s">
        <v>939</v>
      </c>
      <c r="L1485" s="1">
        <v>1211.0</v>
      </c>
      <c r="M1485" s="1" t="s">
        <v>35</v>
      </c>
      <c r="N1485" s="1" t="s">
        <v>36</v>
      </c>
      <c r="O1485" s="1" t="s">
        <v>37</v>
      </c>
      <c r="P1485" s="1">
        <v>1.44E8</v>
      </c>
      <c r="Q1485" s="1">
        <v>2016.0</v>
      </c>
      <c r="R1485" s="1">
        <v>783.0</v>
      </c>
      <c r="S1485" s="1">
        <v>370.0</v>
      </c>
      <c r="T1485" s="1">
        <v>322.0</v>
      </c>
      <c r="U1485" s="1">
        <v>2097.0</v>
      </c>
      <c r="V1485" s="1">
        <v>176.0</v>
      </c>
      <c r="W1485" s="1">
        <v>62000.0</v>
      </c>
      <c r="X1485" s="1">
        <v>4.0</v>
      </c>
      <c r="Y1485" s="1">
        <v>2.35</v>
      </c>
      <c r="Z1485" s="1">
        <v>5.5</v>
      </c>
    </row>
    <row r="1486" ht="14.25" customHeight="1">
      <c r="A1486" s="1" t="s">
        <v>26</v>
      </c>
      <c r="B1486" s="1" t="s">
        <v>7554</v>
      </c>
      <c r="C1486" s="1" t="s">
        <v>7555</v>
      </c>
      <c r="D1486" s="1">
        <v>5.8879132E7</v>
      </c>
      <c r="E1486" s="1" t="s">
        <v>4008</v>
      </c>
      <c r="F1486" s="1" t="s">
        <v>90</v>
      </c>
      <c r="G1486" s="1" t="s">
        <v>4566</v>
      </c>
      <c r="H1486" s="1" t="s">
        <v>7556</v>
      </c>
      <c r="I1486" s="1">
        <v>66123.0</v>
      </c>
      <c r="J1486" s="1" t="s">
        <v>7557</v>
      </c>
      <c r="K1486" s="1" t="s">
        <v>7558</v>
      </c>
      <c r="L1486" s="1">
        <v>219.0</v>
      </c>
      <c r="M1486" s="1" t="s">
        <v>35</v>
      </c>
      <c r="N1486" s="1" t="s">
        <v>36</v>
      </c>
      <c r="O1486" s="1" t="s">
        <v>628</v>
      </c>
      <c r="P1486" s="1">
        <v>3.1E7</v>
      </c>
      <c r="Q1486" s="1">
        <v>2015.0</v>
      </c>
      <c r="R1486" s="1">
        <v>26000.0</v>
      </c>
      <c r="S1486" s="1">
        <v>12000.0</v>
      </c>
      <c r="T1486" s="1">
        <v>816.0</v>
      </c>
      <c r="U1486" s="1">
        <v>40312.0</v>
      </c>
      <c r="V1486" s="1">
        <v>0.0</v>
      </c>
      <c r="W1486" s="1">
        <v>28000.0</v>
      </c>
      <c r="X1486" s="1">
        <v>4.0</v>
      </c>
      <c r="Y1486" s="1">
        <v>2.35</v>
      </c>
      <c r="Z1486" s="1">
        <v>6.1</v>
      </c>
    </row>
    <row r="1487" ht="14.25" customHeight="1">
      <c r="A1487" s="1" t="s">
        <v>26</v>
      </c>
      <c r="B1487" s="1" t="s">
        <v>155</v>
      </c>
      <c r="C1487" s="1" t="s">
        <v>7559</v>
      </c>
      <c r="D1487" s="1">
        <v>7.2077E7</v>
      </c>
      <c r="E1487" s="1" t="s">
        <v>5605</v>
      </c>
      <c r="F1487" s="1" t="s">
        <v>457</v>
      </c>
      <c r="G1487" s="1" t="s">
        <v>1023</v>
      </c>
      <c r="H1487" s="1" t="s">
        <v>5267</v>
      </c>
      <c r="I1487" s="1">
        <v>62986.0</v>
      </c>
      <c r="J1487" s="1" t="s">
        <v>7560</v>
      </c>
      <c r="K1487" s="1" t="s">
        <v>7561</v>
      </c>
      <c r="L1487" s="1">
        <v>150.0</v>
      </c>
      <c r="M1487" s="1" t="s">
        <v>35</v>
      </c>
      <c r="N1487" s="1" t="s">
        <v>36</v>
      </c>
      <c r="O1487" s="1" t="s">
        <v>628</v>
      </c>
      <c r="P1487" s="1">
        <v>3.025E7</v>
      </c>
      <c r="Q1487" s="1">
        <v>1995.0</v>
      </c>
      <c r="R1487" s="1">
        <v>848.0</v>
      </c>
      <c r="S1487" s="1">
        <v>808.0</v>
      </c>
      <c r="T1487" s="1">
        <v>482.0</v>
      </c>
      <c r="U1487" s="1">
        <v>3439.0</v>
      </c>
      <c r="V1487" s="1">
        <v>188.0</v>
      </c>
      <c r="W1487" s="1">
        <v>0.0</v>
      </c>
      <c r="X1487" s="1">
        <v>4.0</v>
      </c>
      <c r="Y1487" s="1">
        <v>1.85</v>
      </c>
      <c r="Z1487" s="1">
        <v>6.9</v>
      </c>
    </row>
    <row r="1488" ht="14.25" customHeight="1">
      <c r="A1488" s="1" t="s">
        <v>710</v>
      </c>
      <c r="B1488" s="1" t="s">
        <v>149</v>
      </c>
      <c r="C1488" s="1" t="s">
        <v>7562</v>
      </c>
      <c r="D1488" s="1">
        <v>1.70684505E8</v>
      </c>
      <c r="E1488" s="1" t="s">
        <v>7563</v>
      </c>
      <c r="F1488" s="1" t="s">
        <v>3950</v>
      </c>
      <c r="G1488" s="1" t="s">
        <v>7564</v>
      </c>
      <c r="H1488" s="1" t="s">
        <v>7565</v>
      </c>
      <c r="I1488" s="1">
        <v>172080.0</v>
      </c>
      <c r="J1488" s="1" t="s">
        <v>7566</v>
      </c>
      <c r="K1488" s="1" t="s">
        <v>7567</v>
      </c>
      <c r="L1488" s="1">
        <v>1017.0</v>
      </c>
      <c r="M1488" s="1" t="s">
        <v>35</v>
      </c>
      <c r="N1488" s="1" t="s">
        <v>36</v>
      </c>
      <c r="O1488" s="1" t="s">
        <v>37</v>
      </c>
      <c r="P1488" s="1">
        <v>4.5E7</v>
      </c>
      <c r="Q1488" s="1">
        <v>2002.0</v>
      </c>
      <c r="R1488" s="1">
        <v>539.0</v>
      </c>
      <c r="S1488" s="1">
        <v>151.0</v>
      </c>
      <c r="T1488" s="1">
        <v>90.0</v>
      </c>
      <c r="U1488" s="1">
        <v>813.0</v>
      </c>
      <c r="V1488" s="1">
        <v>252.0</v>
      </c>
      <c r="W1488" s="1">
        <v>0.0</v>
      </c>
      <c r="X1488" s="1">
        <v>0.0</v>
      </c>
      <c r="Y1488" s="1">
        <v>1.85</v>
      </c>
      <c r="Z1488" s="1">
        <v>7.2</v>
      </c>
    </row>
    <row r="1489" ht="14.25" customHeight="1">
      <c r="A1489" s="1" t="s">
        <v>26</v>
      </c>
      <c r="B1489" s="1" t="s">
        <v>2093</v>
      </c>
      <c r="C1489" s="1" t="s">
        <v>7568</v>
      </c>
      <c r="D1489" s="1">
        <v>1.63479795E8</v>
      </c>
      <c r="E1489" s="1" t="s">
        <v>2422</v>
      </c>
      <c r="F1489" s="1" t="s">
        <v>264</v>
      </c>
      <c r="G1489" s="1" t="s">
        <v>2095</v>
      </c>
      <c r="H1489" s="1" t="s">
        <v>7569</v>
      </c>
      <c r="I1489" s="1">
        <v>161858.0</v>
      </c>
      <c r="J1489" s="1" t="s">
        <v>7570</v>
      </c>
      <c r="K1489" s="1" t="s">
        <v>7571</v>
      </c>
      <c r="L1489" s="1">
        <v>289.0</v>
      </c>
      <c r="M1489" s="1" t="s">
        <v>35</v>
      </c>
      <c r="N1489" s="1" t="s">
        <v>36</v>
      </c>
      <c r="O1489" s="1" t="s">
        <v>37</v>
      </c>
      <c r="P1489" s="1">
        <v>3.42E7</v>
      </c>
      <c r="Q1489" s="1">
        <v>1999.0</v>
      </c>
      <c r="R1489" s="1">
        <v>12000.0</v>
      </c>
      <c r="S1489" s="1">
        <v>11000.0</v>
      </c>
      <c r="T1489" s="1">
        <v>781.0</v>
      </c>
      <c r="U1489" s="1">
        <v>26760.0</v>
      </c>
      <c r="V1489" s="1">
        <v>221.0</v>
      </c>
      <c r="W1489" s="1">
        <v>0.0</v>
      </c>
      <c r="X1489" s="1">
        <v>0.0</v>
      </c>
      <c r="Y1489" s="1">
        <v>1.85</v>
      </c>
      <c r="Z1489" s="1">
        <v>6.4</v>
      </c>
    </row>
    <row r="1490" ht="14.25" customHeight="1">
      <c r="A1490" s="1" t="s">
        <v>26</v>
      </c>
      <c r="B1490" s="1" t="s">
        <v>7572</v>
      </c>
      <c r="C1490" s="1" t="s">
        <v>7573</v>
      </c>
      <c r="D1490" s="1">
        <v>1.4509682E8</v>
      </c>
      <c r="E1490" s="1" t="s">
        <v>1885</v>
      </c>
      <c r="F1490" s="1" t="s">
        <v>4347</v>
      </c>
      <c r="G1490" s="1" t="s">
        <v>7115</v>
      </c>
      <c r="H1490" s="1" t="s">
        <v>3561</v>
      </c>
      <c r="I1490" s="1">
        <v>200260.0</v>
      </c>
      <c r="J1490" s="1" t="s">
        <v>7574</v>
      </c>
      <c r="K1490" s="1" t="s">
        <v>7575</v>
      </c>
      <c r="L1490" s="1">
        <v>431.0</v>
      </c>
      <c r="M1490" s="1" t="s">
        <v>35</v>
      </c>
      <c r="N1490" s="1" t="s">
        <v>36</v>
      </c>
      <c r="O1490" s="1" t="s">
        <v>628</v>
      </c>
      <c r="P1490" s="1">
        <v>3.0E7</v>
      </c>
      <c r="Q1490" s="1">
        <v>2001.0</v>
      </c>
      <c r="R1490" s="1">
        <v>3000.0</v>
      </c>
      <c r="S1490" s="1">
        <v>1000.0</v>
      </c>
      <c r="T1490" s="1">
        <v>1000.0</v>
      </c>
      <c r="U1490" s="1">
        <v>7872.0</v>
      </c>
      <c r="V1490" s="1">
        <v>6.0</v>
      </c>
      <c r="W1490" s="1">
        <v>0.0</v>
      </c>
      <c r="X1490" s="1">
        <v>0.0</v>
      </c>
      <c r="Y1490" s="1">
        <v>1.85</v>
      </c>
      <c r="Z1490" s="1">
        <v>6.4</v>
      </c>
    </row>
    <row r="1491" ht="14.25" customHeight="1">
      <c r="A1491" s="1" t="s">
        <v>26</v>
      </c>
      <c r="B1491" s="1" t="s">
        <v>298</v>
      </c>
      <c r="C1491" s="1" t="s">
        <v>7576</v>
      </c>
      <c r="D1491" s="1">
        <v>1.91796233E8</v>
      </c>
      <c r="E1491" s="1" t="s">
        <v>263</v>
      </c>
      <c r="F1491" s="1" t="s">
        <v>314</v>
      </c>
      <c r="G1491" s="1" t="s">
        <v>315</v>
      </c>
      <c r="H1491" s="1" t="s">
        <v>2077</v>
      </c>
      <c r="I1491" s="1">
        <v>623757.0</v>
      </c>
      <c r="J1491" s="1" t="s">
        <v>7577</v>
      </c>
      <c r="K1491" s="1" t="s">
        <v>7578</v>
      </c>
      <c r="L1491" s="1">
        <v>391.0</v>
      </c>
      <c r="M1491" s="1" t="s">
        <v>35</v>
      </c>
      <c r="N1491" s="1" t="s">
        <v>36</v>
      </c>
      <c r="O1491" s="1" t="s">
        <v>269</v>
      </c>
      <c r="P1491" s="1">
        <v>3.0E7</v>
      </c>
      <c r="Q1491" s="1">
        <v>1995.0</v>
      </c>
      <c r="R1491" s="1">
        <v>15000.0</v>
      </c>
      <c r="S1491" s="1">
        <v>1000.0</v>
      </c>
      <c r="T1491" s="1">
        <v>802.0</v>
      </c>
      <c r="U1491" s="1">
        <v>19046.0</v>
      </c>
      <c r="V1491" s="1">
        <v>487.0</v>
      </c>
      <c r="W1491" s="1">
        <v>0.0</v>
      </c>
      <c r="X1491" s="1">
        <v>1.0</v>
      </c>
      <c r="Y1491" s="1">
        <v>1.85</v>
      </c>
      <c r="Z1491" s="1">
        <v>8.3</v>
      </c>
    </row>
    <row r="1492" ht="14.25" customHeight="1">
      <c r="A1492" s="1" t="s">
        <v>26</v>
      </c>
      <c r="B1492" s="1" t="s">
        <v>1527</v>
      </c>
      <c r="C1492" s="1" t="s">
        <v>7579</v>
      </c>
      <c r="D1492" s="1">
        <v>1.21248145E8</v>
      </c>
      <c r="E1492" s="1" t="s">
        <v>3171</v>
      </c>
      <c r="F1492" s="1" t="s">
        <v>563</v>
      </c>
      <c r="G1492" s="1" t="s">
        <v>2218</v>
      </c>
      <c r="H1492" s="1" t="s">
        <v>1010</v>
      </c>
      <c r="I1492" s="1">
        <v>260981.0</v>
      </c>
      <c r="J1492" s="1" t="s">
        <v>7580</v>
      </c>
      <c r="K1492" s="1" t="s">
        <v>7581</v>
      </c>
      <c r="L1492" s="1">
        <v>373.0</v>
      </c>
      <c r="M1492" s="1" t="s">
        <v>35</v>
      </c>
      <c r="N1492" s="1" t="s">
        <v>36</v>
      </c>
      <c r="O1492" s="1" t="s">
        <v>628</v>
      </c>
      <c r="P1492" s="1">
        <v>2.5E7</v>
      </c>
      <c r="Q1492" s="1">
        <v>1994.0</v>
      </c>
      <c r="R1492" s="1">
        <v>18000.0</v>
      </c>
      <c r="S1492" s="1">
        <v>946.0</v>
      </c>
      <c r="T1492" s="1">
        <v>780.0</v>
      </c>
      <c r="U1492" s="1">
        <v>20966.0</v>
      </c>
      <c r="V1492" s="1">
        <v>101.0</v>
      </c>
      <c r="W1492" s="1">
        <v>0.0</v>
      </c>
      <c r="X1492" s="1">
        <v>0.0</v>
      </c>
      <c r="Y1492" s="1">
        <v>2.35</v>
      </c>
      <c r="Z1492" s="1">
        <v>7.2</v>
      </c>
    </row>
    <row r="1493" ht="14.25" customHeight="1">
      <c r="A1493" s="1" t="s">
        <v>26</v>
      </c>
      <c r="B1493" s="1" t="s">
        <v>7582</v>
      </c>
      <c r="C1493" s="1" t="s">
        <v>7583</v>
      </c>
      <c r="D1493" s="1">
        <v>1.2501403E8</v>
      </c>
      <c r="E1493" s="1" t="s">
        <v>206</v>
      </c>
      <c r="F1493" s="1" t="s">
        <v>430</v>
      </c>
      <c r="G1493" s="1" t="s">
        <v>7584</v>
      </c>
      <c r="H1493" s="1" t="s">
        <v>7585</v>
      </c>
      <c r="I1493" s="1">
        <v>145852.0</v>
      </c>
      <c r="J1493" s="1" t="s">
        <v>7586</v>
      </c>
      <c r="K1493" s="1" t="s">
        <v>7587</v>
      </c>
      <c r="L1493" s="1">
        <v>164.0</v>
      </c>
      <c r="M1493" s="1" t="s">
        <v>35</v>
      </c>
      <c r="N1493" s="1" t="s">
        <v>36</v>
      </c>
      <c r="O1493" s="1" t="s">
        <v>37</v>
      </c>
      <c r="P1493" s="1">
        <v>3.0E7</v>
      </c>
      <c r="Q1493" s="1">
        <v>2012.0</v>
      </c>
      <c r="R1493" s="1">
        <v>17000.0</v>
      </c>
      <c r="S1493" s="1">
        <v>359.0</v>
      </c>
      <c r="T1493" s="1">
        <v>281.0</v>
      </c>
      <c r="U1493" s="1">
        <v>18322.0</v>
      </c>
      <c r="V1493" s="1">
        <v>23.0</v>
      </c>
      <c r="W1493" s="1">
        <v>32000.0</v>
      </c>
      <c r="X1493" s="1">
        <v>0.0</v>
      </c>
      <c r="Y1493" s="1">
        <v>2.35</v>
      </c>
      <c r="Z1493" s="1">
        <v>6.8</v>
      </c>
    </row>
    <row r="1494" ht="14.25" customHeight="1">
      <c r="A1494" s="1" t="s">
        <v>26</v>
      </c>
      <c r="B1494" s="1" t="s">
        <v>7588</v>
      </c>
      <c r="C1494" s="1" t="s">
        <v>7589</v>
      </c>
      <c r="D1494" s="1">
        <v>1.1854694E7</v>
      </c>
      <c r="E1494" s="1" t="s">
        <v>3238</v>
      </c>
      <c r="F1494" s="1" t="s">
        <v>383</v>
      </c>
      <c r="G1494" s="1" t="s">
        <v>488</v>
      </c>
      <c r="H1494" s="1" t="s">
        <v>2218</v>
      </c>
      <c r="I1494" s="1">
        <v>14281.0</v>
      </c>
      <c r="J1494" s="1" t="s">
        <v>7590</v>
      </c>
      <c r="K1494" s="1" t="s">
        <v>7591</v>
      </c>
      <c r="L1494" s="1">
        <v>64.0</v>
      </c>
      <c r="M1494" s="1" t="s">
        <v>35</v>
      </c>
      <c r="N1494" s="1" t="s">
        <v>36</v>
      </c>
      <c r="O1494" s="1" t="s">
        <v>87</v>
      </c>
      <c r="P1494" s="1">
        <v>3.1E7</v>
      </c>
      <c r="Q1494" s="1">
        <v>2010.0</v>
      </c>
      <c r="R1494" s="1">
        <v>11000.0</v>
      </c>
      <c r="S1494" s="1">
        <v>3000.0</v>
      </c>
      <c r="T1494" s="1">
        <v>946.0</v>
      </c>
      <c r="U1494" s="1">
        <v>17560.0</v>
      </c>
      <c r="V1494" s="1">
        <v>12.0</v>
      </c>
      <c r="W1494" s="1">
        <v>0.0</v>
      </c>
      <c r="X1494" s="1">
        <v>2.0</v>
      </c>
      <c r="Y1494" s="1">
        <v>1.85</v>
      </c>
      <c r="Z1494" s="1">
        <v>6.5</v>
      </c>
    </row>
    <row r="1495" ht="14.25" customHeight="1">
      <c r="A1495" s="1" t="s">
        <v>26</v>
      </c>
      <c r="B1495" s="1" t="s">
        <v>7352</v>
      </c>
      <c r="C1495" s="1" t="s">
        <v>7592</v>
      </c>
      <c r="D1495" s="1">
        <v>1.15648585E8</v>
      </c>
      <c r="E1495" s="1" t="s">
        <v>1557</v>
      </c>
      <c r="F1495" s="1" t="s">
        <v>4002</v>
      </c>
      <c r="G1495" s="1" t="s">
        <v>1644</v>
      </c>
      <c r="H1495" s="1" t="s">
        <v>2003</v>
      </c>
      <c r="I1495" s="1">
        <v>160776.0</v>
      </c>
      <c r="J1495" s="1" t="s">
        <v>7593</v>
      </c>
      <c r="K1495" s="1" t="s">
        <v>7594</v>
      </c>
      <c r="L1495" s="1">
        <v>402.0</v>
      </c>
      <c r="M1495" s="1" t="s">
        <v>35</v>
      </c>
      <c r="N1495" s="1" t="s">
        <v>36</v>
      </c>
      <c r="O1495" s="1" t="s">
        <v>87</v>
      </c>
      <c r="P1495" s="1">
        <v>3.0E7</v>
      </c>
      <c r="Q1495" s="1">
        <v>2000.0</v>
      </c>
      <c r="R1495" s="1">
        <v>33000.0</v>
      </c>
      <c r="S1495" s="1">
        <v>18000.0</v>
      </c>
      <c r="T1495" s="1">
        <v>1000.0</v>
      </c>
      <c r="U1495" s="1">
        <v>54877.0</v>
      </c>
      <c r="V1495" s="1">
        <v>132.0</v>
      </c>
      <c r="W1495" s="1">
        <v>0.0</v>
      </c>
      <c r="X1495" s="1">
        <v>1.0</v>
      </c>
      <c r="Y1495" s="1">
        <v>2.35</v>
      </c>
      <c r="Z1495" s="1">
        <v>7.8</v>
      </c>
    </row>
    <row r="1496" ht="14.25" customHeight="1">
      <c r="A1496" s="1" t="s">
        <v>26</v>
      </c>
      <c r="B1496" s="1" t="s">
        <v>1255</v>
      </c>
      <c r="C1496" s="1" t="s">
        <v>7595</v>
      </c>
      <c r="D1496" s="1">
        <v>1.22012643E8</v>
      </c>
      <c r="E1496" s="1" t="s">
        <v>48</v>
      </c>
      <c r="F1496" s="1" t="s">
        <v>1264</v>
      </c>
      <c r="G1496" s="1" t="s">
        <v>1577</v>
      </c>
      <c r="H1496" s="1" t="s">
        <v>3505</v>
      </c>
      <c r="I1496" s="1">
        <v>143696.0</v>
      </c>
      <c r="J1496" s="1" t="s">
        <v>7596</v>
      </c>
      <c r="K1496" s="1" t="s">
        <v>7597</v>
      </c>
      <c r="L1496" s="1">
        <v>241.0</v>
      </c>
      <c r="M1496" s="1" t="s">
        <v>35</v>
      </c>
      <c r="N1496" s="1" t="s">
        <v>36</v>
      </c>
      <c r="O1496" s="1" t="s">
        <v>87</v>
      </c>
      <c r="P1496" s="1">
        <v>3.0E7</v>
      </c>
      <c r="Q1496" s="1">
        <v>1990.0</v>
      </c>
      <c r="R1496" s="1">
        <v>826.0</v>
      </c>
      <c r="S1496" s="1">
        <v>692.0</v>
      </c>
      <c r="T1496" s="1">
        <v>495.0</v>
      </c>
      <c r="U1496" s="1">
        <v>2575.0</v>
      </c>
      <c r="V1496" s="1">
        <v>323.0</v>
      </c>
      <c r="W1496" s="1">
        <v>0.0</v>
      </c>
      <c r="X1496" s="1">
        <v>1.0</v>
      </c>
      <c r="Y1496" s="1">
        <v>2.35</v>
      </c>
      <c r="Z1496" s="1">
        <v>7.6</v>
      </c>
    </row>
    <row r="1497" ht="14.25" customHeight="1">
      <c r="A1497" s="1" t="s">
        <v>26</v>
      </c>
      <c r="B1497" s="1" t="s">
        <v>6607</v>
      </c>
      <c r="C1497" s="1" t="s">
        <v>7598</v>
      </c>
      <c r="D1497" s="1">
        <v>1.1663131E8</v>
      </c>
      <c r="E1497" s="1" t="s">
        <v>1474</v>
      </c>
      <c r="F1497" s="1" t="s">
        <v>4895</v>
      </c>
      <c r="G1497" s="1" t="s">
        <v>1958</v>
      </c>
      <c r="H1497" s="1" t="s">
        <v>2429</v>
      </c>
      <c r="I1497" s="1">
        <v>87665.0</v>
      </c>
      <c r="J1497" s="1" t="s">
        <v>7599</v>
      </c>
      <c r="K1497" s="1" t="s">
        <v>7600</v>
      </c>
      <c r="L1497" s="1">
        <v>323.0</v>
      </c>
      <c r="M1497" s="1" t="s">
        <v>35</v>
      </c>
      <c r="N1497" s="1" t="s">
        <v>36</v>
      </c>
      <c r="O1497" s="1" t="s">
        <v>37</v>
      </c>
      <c r="P1497" s="1">
        <v>3.0E7</v>
      </c>
      <c r="Q1497" s="1">
        <v>2013.0</v>
      </c>
      <c r="R1497" s="1">
        <v>15000.0</v>
      </c>
      <c r="S1497" s="1">
        <v>1000.0</v>
      </c>
      <c r="T1497" s="1">
        <v>898.0</v>
      </c>
      <c r="U1497" s="1">
        <v>20035.0</v>
      </c>
      <c r="V1497" s="1">
        <v>304.0</v>
      </c>
      <c r="W1497" s="1">
        <v>41000.0</v>
      </c>
      <c r="X1497" s="1">
        <v>0.0</v>
      </c>
      <c r="Y1497" s="1">
        <v>1.85</v>
      </c>
      <c r="Z1497" s="1">
        <v>7.2</v>
      </c>
    </row>
    <row r="1498" ht="14.25" customHeight="1">
      <c r="A1498" s="1" t="s">
        <v>710</v>
      </c>
      <c r="B1498" s="1" t="s">
        <v>4784</v>
      </c>
      <c r="C1498" s="1" t="s">
        <v>7601</v>
      </c>
      <c r="D1498" s="1">
        <v>1.14324072E8</v>
      </c>
      <c r="E1498" s="1" t="s">
        <v>3714</v>
      </c>
      <c r="F1498" s="1" t="s">
        <v>3064</v>
      </c>
      <c r="G1498" s="1" t="s">
        <v>1102</v>
      </c>
      <c r="H1498" s="1" t="s">
        <v>31</v>
      </c>
      <c r="I1498" s="1">
        <v>185338.0</v>
      </c>
      <c r="J1498" s="1" t="s">
        <v>7602</v>
      </c>
      <c r="K1498" s="1" t="s">
        <v>7603</v>
      </c>
      <c r="L1498" s="1">
        <v>392.0</v>
      </c>
      <c r="M1498" s="1" t="s">
        <v>35</v>
      </c>
      <c r="N1498" s="1" t="s">
        <v>36</v>
      </c>
      <c r="O1498" s="1" t="s">
        <v>37</v>
      </c>
      <c r="P1498" s="1">
        <v>2.0E7</v>
      </c>
      <c r="Q1498" s="1">
        <v>2004.0</v>
      </c>
      <c r="R1498" s="1">
        <v>989.0</v>
      </c>
      <c r="S1498" s="1">
        <v>939.0</v>
      </c>
      <c r="T1498" s="1">
        <v>936.0</v>
      </c>
      <c r="U1498" s="1">
        <v>4730.0</v>
      </c>
      <c r="V1498" s="1">
        <v>43.0</v>
      </c>
      <c r="W1498" s="1">
        <v>0.0</v>
      </c>
      <c r="X1498" s="1">
        <v>0.0</v>
      </c>
      <c r="Y1498" s="1">
        <v>2.35</v>
      </c>
      <c r="Z1498" s="1">
        <v>6.7</v>
      </c>
    </row>
    <row r="1499" ht="14.25" customHeight="1">
      <c r="A1499" s="1" t="s">
        <v>26</v>
      </c>
      <c r="B1499" s="1" t="s">
        <v>155</v>
      </c>
      <c r="C1499" s="1" t="s">
        <v>7604</v>
      </c>
      <c r="D1499" s="1">
        <v>1.13502246E8</v>
      </c>
      <c r="E1499" s="1" t="s">
        <v>2657</v>
      </c>
      <c r="F1499" s="1" t="s">
        <v>3774</v>
      </c>
      <c r="G1499" s="1" t="s">
        <v>6995</v>
      </c>
      <c r="H1499" s="1" t="s">
        <v>7605</v>
      </c>
      <c r="I1499" s="1">
        <v>96607.0</v>
      </c>
      <c r="J1499" s="1" t="s">
        <v>7606</v>
      </c>
      <c r="K1499" s="1" t="s">
        <v>7607</v>
      </c>
      <c r="L1499" s="1">
        <v>125.0</v>
      </c>
      <c r="M1499" s="1" t="s">
        <v>35</v>
      </c>
      <c r="N1499" s="1" t="s">
        <v>36</v>
      </c>
      <c r="O1499" s="1" t="s">
        <v>37</v>
      </c>
      <c r="P1499" s="1">
        <v>3.8E7</v>
      </c>
      <c r="Q1499" s="1">
        <v>1991.0</v>
      </c>
      <c r="R1499" s="1">
        <v>1000.0</v>
      </c>
      <c r="S1499" s="1">
        <v>1000.0</v>
      </c>
      <c r="T1499" s="1">
        <v>436.0</v>
      </c>
      <c r="U1499" s="1">
        <v>3696.0</v>
      </c>
      <c r="V1499" s="1">
        <v>188.0</v>
      </c>
      <c r="W1499" s="1">
        <v>5000.0</v>
      </c>
      <c r="X1499" s="1">
        <v>0.0</v>
      </c>
      <c r="Y1499" s="1">
        <v>1.85</v>
      </c>
      <c r="Z1499" s="1">
        <v>6.8</v>
      </c>
    </row>
    <row r="1500" ht="14.25" customHeight="1">
      <c r="A1500" s="1" t="s">
        <v>26</v>
      </c>
      <c r="B1500" s="1" t="s">
        <v>4713</v>
      </c>
      <c r="C1500" s="1" t="s">
        <v>7608</v>
      </c>
      <c r="D1500" s="1">
        <v>1.0836E8</v>
      </c>
      <c r="E1500" s="1" t="s">
        <v>4008</v>
      </c>
      <c r="F1500" s="1" t="s">
        <v>706</v>
      </c>
      <c r="G1500" s="1" t="s">
        <v>1292</v>
      </c>
      <c r="H1500" s="1" t="s">
        <v>3922</v>
      </c>
      <c r="I1500" s="1">
        <v>160321.0</v>
      </c>
      <c r="J1500" s="1" t="s">
        <v>7609</v>
      </c>
      <c r="K1500" s="1" t="s">
        <v>7610</v>
      </c>
      <c r="L1500" s="1">
        <v>178.0</v>
      </c>
      <c r="M1500" s="1" t="s">
        <v>35</v>
      </c>
      <c r="N1500" s="1" t="s">
        <v>36</v>
      </c>
      <c r="O1500" s="1" t="s">
        <v>37</v>
      </c>
      <c r="P1500" s="1">
        <v>3.0E7</v>
      </c>
      <c r="Q1500" s="1">
        <v>1995.0</v>
      </c>
      <c r="R1500" s="1">
        <v>531.0</v>
      </c>
      <c r="S1500" s="1">
        <v>461.0</v>
      </c>
      <c r="T1500" s="1">
        <v>460.0</v>
      </c>
      <c r="U1500" s="1">
        <v>2203.0</v>
      </c>
      <c r="V1500" s="1">
        <v>176.0</v>
      </c>
      <c r="W1500" s="1">
        <v>0.0</v>
      </c>
      <c r="X1500" s="1">
        <v>0.0</v>
      </c>
      <c r="Y1500" s="1">
        <v>2.35</v>
      </c>
      <c r="Z1500" s="1">
        <v>6.3</v>
      </c>
    </row>
    <row r="1501" ht="14.25" customHeight="1">
      <c r="A1501" s="1" t="s">
        <v>26</v>
      </c>
      <c r="B1501" s="1" t="s">
        <v>3138</v>
      </c>
      <c r="C1501" s="1" t="s">
        <v>7611</v>
      </c>
      <c r="D1501" s="1">
        <v>1.08244774E8</v>
      </c>
      <c r="E1501" s="1" t="s">
        <v>2599</v>
      </c>
      <c r="F1501" s="1" t="s">
        <v>249</v>
      </c>
      <c r="G1501" s="1" t="s">
        <v>3140</v>
      </c>
      <c r="H1501" s="1" t="s">
        <v>7612</v>
      </c>
      <c r="I1501" s="1">
        <v>94049.0</v>
      </c>
      <c r="J1501" s="1" t="s">
        <v>7613</v>
      </c>
      <c r="K1501" s="1" t="s">
        <v>7614</v>
      </c>
      <c r="L1501" s="1">
        <v>301.0</v>
      </c>
      <c r="M1501" s="1" t="s">
        <v>35</v>
      </c>
      <c r="N1501" s="1" t="s">
        <v>36</v>
      </c>
      <c r="O1501" s="1" t="s">
        <v>269</v>
      </c>
      <c r="P1501" s="1">
        <v>3.7E7</v>
      </c>
      <c r="Q1501" s="1">
        <v>2001.0</v>
      </c>
      <c r="R1501" s="1">
        <v>11000.0</v>
      </c>
      <c r="S1501" s="1">
        <v>995.0</v>
      </c>
      <c r="T1501" s="1">
        <v>529.0</v>
      </c>
      <c r="U1501" s="1">
        <v>13645.0</v>
      </c>
      <c r="V1501" s="1">
        <v>0.0</v>
      </c>
      <c r="W1501" s="1">
        <v>0.0</v>
      </c>
      <c r="X1501" s="1">
        <v>2.0</v>
      </c>
      <c r="Y1501" s="1">
        <v>1.85</v>
      </c>
      <c r="Z1501" s="1">
        <v>6.2</v>
      </c>
    </row>
    <row r="1502" ht="14.25" customHeight="1">
      <c r="A1502" s="1" t="s">
        <v>26</v>
      </c>
      <c r="B1502" s="1" t="s">
        <v>7041</v>
      </c>
      <c r="C1502" s="1" t="s">
        <v>7615</v>
      </c>
      <c r="D1502" s="1">
        <v>1.05444419E8</v>
      </c>
      <c r="E1502" s="1" t="s">
        <v>1885</v>
      </c>
      <c r="F1502" s="1" t="s">
        <v>3930</v>
      </c>
      <c r="G1502" s="1" t="s">
        <v>6323</v>
      </c>
      <c r="H1502" s="1" t="s">
        <v>1745</v>
      </c>
      <c r="I1502" s="1">
        <v>31817.0</v>
      </c>
      <c r="J1502" s="1" t="s">
        <v>7616</v>
      </c>
      <c r="K1502" s="1" t="s">
        <v>7617</v>
      </c>
      <c r="L1502" s="1">
        <v>117.0</v>
      </c>
      <c r="M1502" s="1" t="s">
        <v>35</v>
      </c>
      <c r="N1502" s="1" t="s">
        <v>36</v>
      </c>
      <c r="O1502" s="1" t="s">
        <v>87</v>
      </c>
      <c r="P1502" s="1">
        <v>2.6E7</v>
      </c>
      <c r="Q1502" s="1">
        <v>1996.0</v>
      </c>
      <c r="R1502" s="1">
        <v>944.0</v>
      </c>
      <c r="S1502" s="1">
        <v>893.0</v>
      </c>
      <c r="T1502" s="1">
        <v>452.0</v>
      </c>
      <c r="U1502" s="1">
        <v>3143.0</v>
      </c>
      <c r="V1502" s="1">
        <v>37.0</v>
      </c>
      <c r="W1502" s="1">
        <v>0.0</v>
      </c>
      <c r="X1502" s="1">
        <v>3.0</v>
      </c>
      <c r="Y1502" s="1">
        <v>1.85</v>
      </c>
      <c r="Z1502" s="1">
        <v>6.2</v>
      </c>
    </row>
    <row r="1503" ht="14.25" customHeight="1">
      <c r="A1503" s="1" t="s">
        <v>26</v>
      </c>
      <c r="B1503" s="1" t="s">
        <v>648</v>
      </c>
      <c r="C1503" s="1" t="s">
        <v>7618</v>
      </c>
      <c r="D1503" s="1">
        <v>1.0012534E8</v>
      </c>
      <c r="E1503" s="1" t="s">
        <v>2061</v>
      </c>
      <c r="F1503" s="1" t="s">
        <v>451</v>
      </c>
      <c r="G1503" s="1" t="s">
        <v>335</v>
      </c>
      <c r="H1503" s="1" t="s">
        <v>1433</v>
      </c>
      <c r="I1503" s="1">
        <v>1023511.0</v>
      </c>
      <c r="J1503" s="1" t="s">
        <v>7619</v>
      </c>
      <c r="K1503" s="1" t="s">
        <v>7620</v>
      </c>
      <c r="L1503" s="1">
        <v>1080.0</v>
      </c>
      <c r="M1503" s="1" t="s">
        <v>35</v>
      </c>
      <c r="N1503" s="1" t="s">
        <v>36</v>
      </c>
      <c r="O1503" s="1" t="s">
        <v>628</v>
      </c>
      <c r="P1503" s="1">
        <v>3.3E7</v>
      </c>
      <c r="Q1503" s="1">
        <v>1995.0</v>
      </c>
      <c r="R1503" s="1">
        <v>11000.0</v>
      </c>
      <c r="S1503" s="1">
        <v>11000.0</v>
      </c>
      <c r="T1503" s="1">
        <v>360.0</v>
      </c>
      <c r="U1503" s="1">
        <v>22678.0</v>
      </c>
      <c r="V1503" s="1">
        <v>21000.0</v>
      </c>
      <c r="W1503" s="1">
        <v>39000.0</v>
      </c>
      <c r="X1503" s="1">
        <v>0.0</v>
      </c>
      <c r="Y1503" s="1">
        <v>2.35</v>
      </c>
      <c r="Z1503" s="1">
        <v>8.6</v>
      </c>
    </row>
    <row r="1504" ht="14.25" customHeight="1">
      <c r="A1504" s="1" t="s">
        <v>26</v>
      </c>
      <c r="B1504" s="1" t="s">
        <v>1333</v>
      </c>
      <c r="C1504" s="1" t="s">
        <v>7621</v>
      </c>
      <c r="D1504" s="1">
        <v>1.15646235E8</v>
      </c>
      <c r="E1504" s="1" t="s">
        <v>2670</v>
      </c>
      <c r="F1504" s="1" t="s">
        <v>551</v>
      </c>
      <c r="G1504" s="1" t="s">
        <v>5811</v>
      </c>
      <c r="H1504" s="1" t="s">
        <v>2386</v>
      </c>
      <c r="I1504" s="1">
        <v>531737.0</v>
      </c>
      <c r="J1504" s="1" t="s">
        <v>7622</v>
      </c>
      <c r="K1504" s="1" t="s">
        <v>7623</v>
      </c>
      <c r="L1504" s="1">
        <v>1262.0</v>
      </c>
      <c r="M1504" s="1" t="s">
        <v>35</v>
      </c>
      <c r="N1504" s="1" t="s">
        <v>7624</v>
      </c>
      <c r="O1504" s="1" t="s">
        <v>628</v>
      </c>
      <c r="P1504" s="1">
        <v>3.0E7</v>
      </c>
      <c r="Q1504" s="1">
        <v>2009.0</v>
      </c>
      <c r="R1504" s="1">
        <v>2000.0</v>
      </c>
      <c r="S1504" s="1">
        <v>433.0</v>
      </c>
      <c r="T1504" s="1">
        <v>107.0</v>
      </c>
      <c r="U1504" s="1">
        <v>2639.0</v>
      </c>
      <c r="V1504" s="1">
        <v>662.0</v>
      </c>
      <c r="W1504" s="1">
        <v>22000.0</v>
      </c>
      <c r="X1504" s="1">
        <v>0.0</v>
      </c>
      <c r="Y1504" s="1">
        <v>1.85</v>
      </c>
      <c r="Z1504" s="1">
        <v>8.0</v>
      </c>
    </row>
    <row r="1505" ht="14.25" customHeight="1">
      <c r="A1505" s="1" t="s">
        <v>26</v>
      </c>
      <c r="B1505" s="1" t="s">
        <v>7625</v>
      </c>
      <c r="C1505" s="1" t="s">
        <v>7626</v>
      </c>
      <c r="D1505" s="1">
        <v>8.5416609E7</v>
      </c>
      <c r="E1505" s="1" t="s">
        <v>263</v>
      </c>
      <c r="F1505" s="1" t="s">
        <v>92</v>
      </c>
      <c r="G1505" s="1" t="s">
        <v>1690</v>
      </c>
      <c r="H1505" s="1" t="s">
        <v>7627</v>
      </c>
      <c r="I1505" s="1">
        <v>58906.0</v>
      </c>
      <c r="J1505" s="1" t="s">
        <v>7628</v>
      </c>
      <c r="K1505" s="1" t="s">
        <v>7629</v>
      </c>
      <c r="L1505" s="1">
        <v>186.0</v>
      </c>
      <c r="M1505" s="1" t="s">
        <v>35</v>
      </c>
      <c r="N1505" s="1" t="s">
        <v>36</v>
      </c>
      <c r="O1505" s="1" t="s">
        <v>87</v>
      </c>
      <c r="P1505" s="1">
        <v>3.0E7</v>
      </c>
      <c r="Q1505" s="1">
        <v>2004.0</v>
      </c>
      <c r="R1505" s="1">
        <v>19000.0</v>
      </c>
      <c r="S1505" s="1">
        <v>542.0</v>
      </c>
      <c r="T1505" s="1">
        <v>217.0</v>
      </c>
      <c r="U1505" s="1">
        <v>20097.0</v>
      </c>
      <c r="V1505" s="1">
        <v>47.0</v>
      </c>
      <c r="W1505" s="1">
        <v>0.0</v>
      </c>
      <c r="X1505" s="1">
        <v>0.0</v>
      </c>
      <c r="Y1505" s="1">
        <v>1.85</v>
      </c>
      <c r="Z1505" s="1">
        <v>7.0</v>
      </c>
    </row>
    <row r="1506" ht="14.25" customHeight="1">
      <c r="A1506" s="1" t="s">
        <v>26</v>
      </c>
      <c r="B1506" s="1" t="s">
        <v>3503</v>
      </c>
      <c r="C1506" s="1" t="s">
        <v>7630</v>
      </c>
      <c r="D1506" s="1">
        <v>9.0135191E7</v>
      </c>
      <c r="E1506" s="1" t="s">
        <v>2061</v>
      </c>
      <c r="F1506" s="1" t="s">
        <v>6304</v>
      </c>
      <c r="G1506" s="1" t="s">
        <v>7631</v>
      </c>
      <c r="H1506" s="1" t="s">
        <v>7632</v>
      </c>
      <c r="I1506" s="1">
        <v>338415.0</v>
      </c>
      <c r="J1506" s="1" t="s">
        <v>7633</v>
      </c>
      <c r="K1506" s="1" t="s">
        <v>7634</v>
      </c>
      <c r="L1506" s="1">
        <v>935.0</v>
      </c>
      <c r="M1506" s="1" t="s">
        <v>35</v>
      </c>
      <c r="N1506" s="1" t="s">
        <v>36</v>
      </c>
      <c r="O1506" s="1" t="s">
        <v>628</v>
      </c>
      <c r="P1506" s="1">
        <v>2.5E7</v>
      </c>
      <c r="Q1506" s="1">
        <v>2003.0</v>
      </c>
      <c r="R1506" s="1">
        <v>616.0</v>
      </c>
      <c r="S1506" s="1">
        <v>541.0</v>
      </c>
      <c r="T1506" s="1">
        <v>262.0</v>
      </c>
      <c r="U1506" s="1">
        <v>1942.0</v>
      </c>
      <c r="V1506" s="1">
        <v>16000.0</v>
      </c>
      <c r="W1506" s="1">
        <v>12000.0</v>
      </c>
      <c r="X1506" s="1">
        <v>0.0</v>
      </c>
      <c r="Y1506" s="1">
        <v>2.35</v>
      </c>
      <c r="Z1506" s="1">
        <v>8.0</v>
      </c>
    </row>
    <row r="1507" ht="14.25" customHeight="1">
      <c r="A1507" s="1" t="s">
        <v>26</v>
      </c>
      <c r="B1507" s="1" t="s">
        <v>3503</v>
      </c>
      <c r="C1507" s="1" t="s">
        <v>7635</v>
      </c>
      <c r="D1507" s="1">
        <v>1.00422786E8</v>
      </c>
      <c r="E1507" s="1" t="s">
        <v>3598</v>
      </c>
      <c r="F1507" s="1" t="s">
        <v>3503</v>
      </c>
      <c r="G1507" s="1" t="s">
        <v>451</v>
      </c>
      <c r="H1507" s="1" t="s">
        <v>7636</v>
      </c>
      <c r="I1507" s="1">
        <v>482064.0</v>
      </c>
      <c r="J1507" s="1" t="s">
        <v>7637</v>
      </c>
      <c r="K1507" s="1" t="s">
        <v>7638</v>
      </c>
      <c r="L1507" s="1">
        <v>1106.0</v>
      </c>
      <c r="M1507" s="1" t="s">
        <v>35</v>
      </c>
      <c r="N1507" s="1" t="s">
        <v>36</v>
      </c>
      <c r="O1507" s="1" t="s">
        <v>37</v>
      </c>
      <c r="P1507" s="1">
        <v>3.0E7</v>
      </c>
      <c r="Q1507" s="1">
        <v>2004.0</v>
      </c>
      <c r="R1507" s="1">
        <v>16000.0</v>
      </c>
      <c r="S1507" s="1">
        <v>11000.0</v>
      </c>
      <c r="T1507" s="1">
        <v>567.0</v>
      </c>
      <c r="U1507" s="1">
        <v>28830.0</v>
      </c>
      <c r="V1507" s="1">
        <v>16000.0</v>
      </c>
      <c r="W1507" s="1">
        <v>14000.0</v>
      </c>
      <c r="X1507" s="1">
        <v>1.0</v>
      </c>
      <c r="Y1507" s="1">
        <v>2.35</v>
      </c>
      <c r="Z1507" s="1">
        <v>8.1</v>
      </c>
    </row>
    <row r="1508" ht="14.25" customHeight="1">
      <c r="A1508" s="1" t="s">
        <v>26</v>
      </c>
      <c r="B1508" s="1" t="s">
        <v>4006</v>
      </c>
      <c r="C1508" s="1" t="s">
        <v>7639</v>
      </c>
      <c r="D1508" s="1">
        <v>1.06694016E8</v>
      </c>
      <c r="E1508" s="1" t="s">
        <v>972</v>
      </c>
      <c r="F1508" s="1" t="s">
        <v>1663</v>
      </c>
      <c r="G1508" s="1" t="s">
        <v>1576</v>
      </c>
      <c r="H1508" s="1" t="s">
        <v>1278</v>
      </c>
      <c r="I1508" s="1">
        <v>123940.0</v>
      </c>
      <c r="J1508" s="1" t="s">
        <v>7640</v>
      </c>
      <c r="K1508" s="1" t="s">
        <v>7641</v>
      </c>
      <c r="L1508" s="1">
        <v>337.0</v>
      </c>
      <c r="M1508" s="1" t="s">
        <v>35</v>
      </c>
      <c r="N1508" s="1" t="s">
        <v>36</v>
      </c>
      <c r="O1508" s="1" t="s">
        <v>628</v>
      </c>
      <c r="P1508" s="1">
        <v>3.0E7</v>
      </c>
      <c r="Q1508" s="1">
        <v>1999.0</v>
      </c>
      <c r="R1508" s="1">
        <v>22000.0</v>
      </c>
      <c r="S1508" s="1">
        <v>979.0</v>
      </c>
      <c r="T1508" s="1">
        <v>636.0</v>
      </c>
      <c r="U1508" s="1">
        <v>24333.0</v>
      </c>
      <c r="V1508" s="1">
        <v>11000.0</v>
      </c>
      <c r="W1508" s="1">
        <v>0.0</v>
      </c>
      <c r="X1508" s="1">
        <v>2.0</v>
      </c>
      <c r="Y1508" s="1">
        <v>1.85</v>
      </c>
      <c r="Z1508" s="1">
        <v>6.7</v>
      </c>
    </row>
    <row r="1509" ht="14.25" customHeight="1">
      <c r="A1509" s="1" t="s">
        <v>26</v>
      </c>
      <c r="B1509" s="1" t="s">
        <v>6012</v>
      </c>
      <c r="C1509" s="1" t="s">
        <v>7642</v>
      </c>
      <c r="D1509" s="1">
        <v>64286.0</v>
      </c>
      <c r="E1509" s="1" t="s">
        <v>206</v>
      </c>
      <c r="F1509" s="1" t="s">
        <v>4002</v>
      </c>
      <c r="G1509" s="1" t="s">
        <v>6897</v>
      </c>
      <c r="H1509" s="1" t="s">
        <v>6101</v>
      </c>
      <c r="I1509" s="1">
        <v>396396.0</v>
      </c>
      <c r="J1509" s="1" t="s">
        <v>7643</v>
      </c>
      <c r="K1509" s="1" t="s">
        <v>7644</v>
      </c>
      <c r="L1509" s="1">
        <v>1111.0</v>
      </c>
      <c r="M1509" s="1" t="s">
        <v>35</v>
      </c>
      <c r="N1509" s="1" t="s">
        <v>36</v>
      </c>
      <c r="O1509" s="1" t="s">
        <v>37</v>
      </c>
      <c r="P1509" s="1">
        <v>2.9E7</v>
      </c>
      <c r="Q1509" s="1">
        <v>2004.0</v>
      </c>
      <c r="R1509" s="1">
        <v>33000.0</v>
      </c>
      <c r="S1509" s="1">
        <v>638.0</v>
      </c>
      <c r="T1509" s="1">
        <v>545.0</v>
      </c>
      <c r="U1509" s="1">
        <v>34495.0</v>
      </c>
      <c r="V1509" s="1">
        <v>415.0</v>
      </c>
      <c r="W1509" s="1">
        <v>57000.0</v>
      </c>
      <c r="X1509" s="1">
        <v>0.0</v>
      </c>
      <c r="Y1509" s="1">
        <v>2.35</v>
      </c>
      <c r="Z1509" s="1">
        <v>7.9</v>
      </c>
    </row>
    <row r="1510" ht="14.25" customHeight="1">
      <c r="A1510" s="1" t="s">
        <v>26</v>
      </c>
      <c r="B1510" s="1" t="s">
        <v>5857</v>
      </c>
      <c r="C1510" s="1" t="s">
        <v>7645</v>
      </c>
      <c r="D1510" s="1">
        <v>7.6806312E7</v>
      </c>
      <c r="E1510" s="1" t="s">
        <v>1598</v>
      </c>
      <c r="F1510" s="1" t="s">
        <v>228</v>
      </c>
      <c r="G1510" s="1" t="s">
        <v>7646</v>
      </c>
      <c r="H1510" s="1" t="s">
        <v>7647</v>
      </c>
      <c r="I1510" s="1">
        <v>124501.0</v>
      </c>
      <c r="J1510" s="1" t="s">
        <v>7648</v>
      </c>
      <c r="K1510" s="1" t="s">
        <v>7649</v>
      </c>
      <c r="L1510" s="1">
        <v>154.0</v>
      </c>
      <c r="M1510" s="1" t="s">
        <v>35</v>
      </c>
      <c r="N1510" s="1" t="s">
        <v>36</v>
      </c>
      <c r="O1510" s="1" t="s">
        <v>37</v>
      </c>
      <c r="P1510" s="1">
        <v>3.0E7</v>
      </c>
      <c r="Q1510" s="1">
        <v>2008.0</v>
      </c>
      <c r="R1510" s="1">
        <v>2000.0</v>
      </c>
      <c r="S1510" s="1">
        <v>805.0</v>
      </c>
      <c r="T1510" s="1">
        <v>71.0</v>
      </c>
      <c r="U1510" s="1">
        <v>2978.0</v>
      </c>
      <c r="V1510" s="1">
        <v>98.0</v>
      </c>
      <c r="W1510" s="1">
        <v>0.0</v>
      </c>
      <c r="X1510" s="1">
        <v>1.0</v>
      </c>
      <c r="Y1510" s="1">
        <v>2.35</v>
      </c>
      <c r="Z1510" s="1">
        <v>6.1</v>
      </c>
    </row>
    <row r="1511" ht="14.25" customHeight="1">
      <c r="A1511" s="1" t="s">
        <v>26</v>
      </c>
      <c r="B1511" s="1" t="s">
        <v>1596</v>
      </c>
      <c r="C1511" s="1" t="s">
        <v>7650</v>
      </c>
      <c r="D1511" s="1">
        <v>7.9566871E7</v>
      </c>
      <c r="E1511" s="1" t="s">
        <v>7651</v>
      </c>
      <c r="F1511" s="1" t="s">
        <v>6550</v>
      </c>
      <c r="G1511" s="1" t="s">
        <v>1677</v>
      </c>
      <c r="H1511" s="1" t="s">
        <v>1535</v>
      </c>
      <c r="I1511" s="1">
        <v>31760.0</v>
      </c>
      <c r="J1511" s="1" t="s">
        <v>7652</v>
      </c>
      <c r="K1511" s="1" t="s">
        <v>7653</v>
      </c>
      <c r="L1511" s="1">
        <v>140.0</v>
      </c>
      <c r="M1511" s="1" t="s">
        <v>35</v>
      </c>
      <c r="N1511" s="1" t="s">
        <v>36</v>
      </c>
      <c r="O1511" s="1" t="s">
        <v>269</v>
      </c>
      <c r="P1511" s="1">
        <v>3.0E7</v>
      </c>
      <c r="Q1511" s="1">
        <v>2009.0</v>
      </c>
      <c r="R1511" s="1">
        <v>1000.0</v>
      </c>
      <c r="S1511" s="1">
        <v>1000.0</v>
      </c>
      <c r="T1511" s="1">
        <v>635.0</v>
      </c>
      <c r="U1511" s="1">
        <v>4516.0</v>
      </c>
      <c r="V1511" s="1">
        <v>23.0</v>
      </c>
      <c r="W1511" s="1">
        <v>0.0</v>
      </c>
      <c r="X1511" s="1">
        <v>2.0</v>
      </c>
      <c r="Y1511" s="1">
        <v>1.85</v>
      </c>
      <c r="Z1511" s="1">
        <v>4.2</v>
      </c>
    </row>
    <row r="1512" ht="14.25" customHeight="1">
      <c r="A1512" s="1" t="s">
        <v>26</v>
      </c>
      <c r="B1512" s="1" t="s">
        <v>7654</v>
      </c>
      <c r="C1512" s="1" t="s">
        <v>7655</v>
      </c>
      <c r="D1512" s="1">
        <v>7.6501438E7</v>
      </c>
      <c r="E1512" s="1" t="s">
        <v>1904</v>
      </c>
      <c r="F1512" s="1" t="s">
        <v>2230</v>
      </c>
      <c r="G1512" s="1" t="s">
        <v>7656</v>
      </c>
      <c r="H1512" s="1" t="s">
        <v>5798</v>
      </c>
      <c r="I1512" s="1">
        <v>8146.0</v>
      </c>
      <c r="J1512" s="1" t="s">
        <v>7657</v>
      </c>
      <c r="K1512" s="1" t="s">
        <v>7658</v>
      </c>
      <c r="L1512" s="1">
        <v>49.0</v>
      </c>
      <c r="M1512" s="1" t="s">
        <v>35</v>
      </c>
      <c r="N1512" s="1" t="s">
        <v>730</v>
      </c>
      <c r="O1512" s="1" t="s">
        <v>269</v>
      </c>
      <c r="P1512" s="1">
        <v>3.0E7</v>
      </c>
      <c r="Q1512" s="1">
        <v>2000.0</v>
      </c>
      <c r="R1512" s="1">
        <v>971.0</v>
      </c>
      <c r="S1512" s="1">
        <v>844.0</v>
      </c>
      <c r="T1512" s="1">
        <v>786.0</v>
      </c>
      <c r="U1512" s="1">
        <v>4527.0</v>
      </c>
      <c r="V1512" s="1">
        <v>0.0</v>
      </c>
      <c r="W1512" s="1">
        <v>181.0</v>
      </c>
      <c r="X1512" s="1">
        <v>0.0</v>
      </c>
      <c r="Y1512" s="1">
        <v>1.85</v>
      </c>
      <c r="Z1512" s="1">
        <v>6.1</v>
      </c>
    </row>
    <row r="1513" ht="14.25" customHeight="1">
      <c r="A1513" s="1" t="s">
        <v>26</v>
      </c>
      <c r="B1513" s="1" t="s">
        <v>5751</v>
      </c>
      <c r="C1513" s="1" t="s">
        <v>7659</v>
      </c>
      <c r="D1513" s="1">
        <v>7.4787599E7</v>
      </c>
      <c r="E1513" s="1" t="s">
        <v>206</v>
      </c>
      <c r="F1513" s="1" t="s">
        <v>3135</v>
      </c>
      <c r="G1513" s="1" t="s">
        <v>1664</v>
      </c>
      <c r="H1513" s="1" t="s">
        <v>7660</v>
      </c>
      <c r="I1513" s="1">
        <v>12549.0</v>
      </c>
      <c r="J1513" s="1" t="s">
        <v>7661</v>
      </c>
      <c r="K1513" s="1" t="s">
        <v>7662</v>
      </c>
      <c r="L1513" s="1">
        <v>109.0</v>
      </c>
      <c r="M1513" s="1" t="s">
        <v>35</v>
      </c>
      <c r="N1513" s="1" t="s">
        <v>36</v>
      </c>
      <c r="O1513" s="1" t="s">
        <v>628</v>
      </c>
      <c r="P1513" s="1">
        <v>3.0E7</v>
      </c>
      <c r="Q1513" s="1">
        <v>1991.0</v>
      </c>
      <c r="R1513" s="1">
        <v>769.0</v>
      </c>
      <c r="S1513" s="1">
        <v>713.0</v>
      </c>
      <c r="T1513" s="1">
        <v>252.0</v>
      </c>
      <c r="U1513" s="1">
        <v>1936.0</v>
      </c>
      <c r="V1513" s="1">
        <v>0.0</v>
      </c>
      <c r="W1513" s="1">
        <v>883.0</v>
      </c>
      <c r="X1513" s="1">
        <v>1.0</v>
      </c>
      <c r="Y1513" s="1">
        <v>1.85</v>
      </c>
      <c r="Z1513" s="1">
        <v>6.6</v>
      </c>
    </row>
    <row r="1514" ht="14.25" customHeight="1">
      <c r="A1514" s="1" t="s">
        <v>26</v>
      </c>
      <c r="B1514" s="1" t="s">
        <v>978</v>
      </c>
      <c r="C1514" s="1" t="s">
        <v>7663</v>
      </c>
      <c r="D1514" s="1">
        <v>6.6528842E7</v>
      </c>
      <c r="E1514" s="1" t="s">
        <v>7239</v>
      </c>
      <c r="F1514" s="1" t="s">
        <v>726</v>
      </c>
      <c r="G1514" s="1" t="s">
        <v>335</v>
      </c>
      <c r="H1514" s="1" t="s">
        <v>652</v>
      </c>
      <c r="I1514" s="1">
        <v>112175.0</v>
      </c>
      <c r="J1514" s="1" t="s">
        <v>7664</v>
      </c>
      <c r="K1514" s="1" t="s">
        <v>7665</v>
      </c>
      <c r="L1514" s="1">
        <v>329.0</v>
      </c>
      <c r="M1514" s="1" t="s">
        <v>35</v>
      </c>
      <c r="N1514" s="1" t="s">
        <v>36</v>
      </c>
      <c r="O1514" s="1" t="s">
        <v>628</v>
      </c>
      <c r="P1514" s="1">
        <v>3.0E7</v>
      </c>
      <c r="Q1514" s="1">
        <v>1994.0</v>
      </c>
      <c r="R1514" s="1">
        <v>12000.0</v>
      </c>
      <c r="S1514" s="1">
        <v>11000.0</v>
      </c>
      <c r="T1514" s="1">
        <v>918.0</v>
      </c>
      <c r="U1514" s="1">
        <v>26388.0</v>
      </c>
      <c r="V1514" s="1">
        <v>380.0</v>
      </c>
      <c r="W1514" s="1">
        <v>11000.0</v>
      </c>
      <c r="X1514" s="1">
        <v>2.0</v>
      </c>
      <c r="Y1514" s="1">
        <v>1.85</v>
      </c>
      <c r="Z1514" s="1">
        <v>7.5</v>
      </c>
    </row>
    <row r="1515" ht="14.25" customHeight="1">
      <c r="A1515" s="1" t="s">
        <v>26</v>
      </c>
      <c r="B1515" s="1" t="s">
        <v>7666</v>
      </c>
      <c r="C1515" s="1" t="s">
        <v>7667</v>
      </c>
      <c r="D1515" s="1">
        <v>8.381346E7</v>
      </c>
      <c r="E1515" s="1" t="s">
        <v>206</v>
      </c>
      <c r="F1515" s="1" t="s">
        <v>74</v>
      </c>
      <c r="G1515" s="1" t="s">
        <v>2357</v>
      </c>
      <c r="H1515" s="1" t="s">
        <v>7668</v>
      </c>
      <c r="I1515" s="1">
        <v>270238.0</v>
      </c>
      <c r="J1515" s="1" t="s">
        <v>7669</v>
      </c>
      <c r="K1515" s="1" t="s">
        <v>7670</v>
      </c>
      <c r="L1515" s="1">
        <v>452.0</v>
      </c>
      <c r="M1515" s="1" t="s">
        <v>35</v>
      </c>
      <c r="N1515" s="1" t="s">
        <v>36</v>
      </c>
      <c r="O1515" s="1" t="s">
        <v>628</v>
      </c>
      <c r="P1515" s="1">
        <v>2.5E7</v>
      </c>
      <c r="Q1515" s="1">
        <v>2009.0</v>
      </c>
      <c r="R1515" s="1">
        <v>24000.0</v>
      </c>
      <c r="S1515" s="1">
        <v>10000.0</v>
      </c>
      <c r="T1515" s="1">
        <v>940.0</v>
      </c>
      <c r="U1515" s="1">
        <v>35209.0</v>
      </c>
      <c r="V1515" s="1">
        <v>655.0</v>
      </c>
      <c r="W1515" s="1">
        <v>19000.0</v>
      </c>
      <c r="X1515" s="1">
        <v>0.0</v>
      </c>
      <c r="Y1515" s="1">
        <v>1.85</v>
      </c>
      <c r="Z1515" s="1">
        <v>7.4</v>
      </c>
    </row>
    <row r="1516" ht="14.25" customHeight="1">
      <c r="A1516" s="1" t="s">
        <v>26</v>
      </c>
      <c r="B1516" s="1" t="s">
        <v>7671</v>
      </c>
      <c r="C1516" s="1" t="s">
        <v>7672</v>
      </c>
      <c r="D1516" s="1">
        <v>6.5010106E7</v>
      </c>
      <c r="E1516" s="1" t="s">
        <v>2422</v>
      </c>
      <c r="F1516" s="1" t="s">
        <v>7541</v>
      </c>
      <c r="G1516" s="1" t="s">
        <v>7673</v>
      </c>
      <c r="H1516" s="1" t="s">
        <v>7674</v>
      </c>
      <c r="I1516" s="1">
        <v>107557.0</v>
      </c>
      <c r="J1516" s="1" t="s">
        <v>7675</v>
      </c>
      <c r="K1516" s="1" t="s">
        <v>7676</v>
      </c>
      <c r="L1516" s="1">
        <v>612.0</v>
      </c>
      <c r="M1516" s="1" t="s">
        <v>35</v>
      </c>
      <c r="N1516" s="1" t="s">
        <v>36</v>
      </c>
      <c r="O1516" s="1" t="s">
        <v>628</v>
      </c>
      <c r="P1516" s="1">
        <v>3.0E7</v>
      </c>
      <c r="Q1516" s="1">
        <v>2002.0</v>
      </c>
      <c r="R1516" s="1">
        <v>442.0</v>
      </c>
      <c r="S1516" s="1">
        <v>344.0</v>
      </c>
      <c r="T1516" s="1">
        <v>322.0</v>
      </c>
      <c r="U1516" s="1">
        <v>1556.0</v>
      </c>
      <c r="V1516" s="1">
        <v>729.0</v>
      </c>
      <c r="W1516" s="1">
        <v>0.0</v>
      </c>
      <c r="X1516" s="1">
        <v>1.0</v>
      </c>
      <c r="Y1516" s="1">
        <v>1.85</v>
      </c>
      <c r="Z1516" s="1">
        <v>7.2</v>
      </c>
    </row>
    <row r="1517" ht="14.25" customHeight="1">
      <c r="A1517" s="1" t="s">
        <v>26</v>
      </c>
      <c r="B1517" s="1" t="s">
        <v>7677</v>
      </c>
      <c r="C1517" s="1" t="s">
        <v>7678</v>
      </c>
      <c r="D1517" s="1">
        <v>6.6359959E7</v>
      </c>
      <c r="E1517" s="1" t="s">
        <v>7679</v>
      </c>
      <c r="F1517" s="1" t="s">
        <v>7680</v>
      </c>
      <c r="G1517" s="1" t="s">
        <v>7681</v>
      </c>
      <c r="H1517" s="1" t="s">
        <v>7682</v>
      </c>
      <c r="I1517" s="1">
        <v>184641.0</v>
      </c>
      <c r="J1517" s="1" t="s">
        <v>7683</v>
      </c>
      <c r="K1517" s="1" t="s">
        <v>7684</v>
      </c>
      <c r="L1517" s="1">
        <v>326.0</v>
      </c>
      <c r="M1517" s="1" t="s">
        <v>35</v>
      </c>
      <c r="N1517" s="1" t="s">
        <v>36</v>
      </c>
      <c r="O1517" s="1" t="s">
        <v>37</v>
      </c>
      <c r="P1517" s="1">
        <v>3.5E7</v>
      </c>
      <c r="Q1517" s="1">
        <v>2013.0</v>
      </c>
      <c r="R1517" s="1">
        <v>303.0</v>
      </c>
      <c r="S1517" s="1">
        <v>18.0</v>
      </c>
      <c r="T1517" s="1">
        <v>7.0</v>
      </c>
      <c r="U1517" s="1">
        <v>337.0</v>
      </c>
      <c r="V1517" s="1">
        <v>129.0</v>
      </c>
      <c r="W1517" s="1">
        <v>81000.0</v>
      </c>
      <c r="X1517" s="1">
        <v>0.0</v>
      </c>
      <c r="Y1517" s="1">
        <v>2.35</v>
      </c>
      <c r="Z1517" s="1">
        <v>6.9</v>
      </c>
    </row>
    <row r="1518" ht="14.25" customHeight="1">
      <c r="A1518" s="1" t="s">
        <v>26</v>
      </c>
      <c r="B1518" s="1" t="s">
        <v>7685</v>
      </c>
      <c r="C1518" s="1" t="s">
        <v>7686</v>
      </c>
      <c r="D1518" s="1">
        <v>6.6468315E7</v>
      </c>
      <c r="E1518" s="1" t="s">
        <v>5213</v>
      </c>
      <c r="F1518" s="1" t="s">
        <v>60</v>
      </c>
      <c r="G1518" s="1" t="s">
        <v>941</v>
      </c>
      <c r="H1518" s="1" t="s">
        <v>7687</v>
      </c>
      <c r="I1518" s="1">
        <v>428916.0</v>
      </c>
      <c r="J1518" s="1" t="s">
        <v>7688</v>
      </c>
      <c r="K1518" s="1" t="s">
        <v>7689</v>
      </c>
      <c r="L1518" s="1">
        <v>667.0</v>
      </c>
      <c r="M1518" s="1" t="s">
        <v>35</v>
      </c>
      <c r="N1518" s="1" t="s">
        <v>36</v>
      </c>
      <c r="O1518" s="1" t="s">
        <v>628</v>
      </c>
      <c r="P1518" s="1">
        <v>3.0E7</v>
      </c>
      <c r="Q1518" s="1">
        <v>2012.0</v>
      </c>
      <c r="R1518" s="1">
        <v>23000.0</v>
      </c>
      <c r="S1518" s="1">
        <v>13000.0</v>
      </c>
      <c r="T1518" s="1">
        <v>502.0</v>
      </c>
      <c r="U1518" s="1">
        <v>37387.0</v>
      </c>
      <c r="V1518" s="1">
        <v>0.0</v>
      </c>
      <c r="W1518" s="1">
        <v>75000.0</v>
      </c>
      <c r="X1518" s="1">
        <v>0.0</v>
      </c>
      <c r="Y1518" s="1">
        <v>2.35</v>
      </c>
      <c r="Z1518" s="1">
        <v>7.4</v>
      </c>
    </row>
    <row r="1519" ht="14.25" customHeight="1">
      <c r="A1519" s="1" t="s">
        <v>26</v>
      </c>
      <c r="B1519" s="1" t="s">
        <v>190</v>
      </c>
      <c r="C1519" s="1" t="s">
        <v>7690</v>
      </c>
      <c r="D1519" s="1">
        <v>6.4172251E7</v>
      </c>
      <c r="E1519" s="1" t="s">
        <v>2657</v>
      </c>
      <c r="F1519" s="1" t="s">
        <v>1576</v>
      </c>
      <c r="G1519" s="1" t="s">
        <v>182</v>
      </c>
      <c r="H1519" s="1" t="s">
        <v>2167</v>
      </c>
      <c r="I1519" s="1">
        <v>19079.0</v>
      </c>
      <c r="J1519" s="1" t="s">
        <v>7691</v>
      </c>
      <c r="K1519" s="1" t="s">
        <v>7692</v>
      </c>
      <c r="L1519" s="1">
        <v>122.0</v>
      </c>
      <c r="M1519" s="1" t="s">
        <v>35</v>
      </c>
      <c r="N1519" s="1" t="s">
        <v>36</v>
      </c>
      <c r="O1519" s="1" t="s">
        <v>37</v>
      </c>
      <c r="P1519" s="1">
        <v>3.0E7</v>
      </c>
      <c r="Q1519" s="1">
        <v>2001.0</v>
      </c>
      <c r="R1519" s="1">
        <v>979.0</v>
      </c>
      <c r="S1519" s="1">
        <v>891.0</v>
      </c>
      <c r="T1519" s="1">
        <v>560.0</v>
      </c>
      <c r="U1519" s="1">
        <v>2911.0</v>
      </c>
      <c r="V1519" s="1">
        <v>129.0</v>
      </c>
      <c r="W1519" s="1">
        <v>602.0</v>
      </c>
      <c r="X1519" s="1">
        <v>1.0</v>
      </c>
      <c r="Y1519" s="1">
        <v>1.85</v>
      </c>
      <c r="Z1519" s="1">
        <v>5.4</v>
      </c>
    </row>
    <row r="1520" ht="14.25" customHeight="1">
      <c r="A1520" s="1" t="s">
        <v>26</v>
      </c>
      <c r="B1520" s="1" t="s">
        <v>7693</v>
      </c>
      <c r="C1520" s="1" t="s">
        <v>7694</v>
      </c>
      <c r="D1520" s="1">
        <v>6.66E7</v>
      </c>
      <c r="E1520" s="1" t="s">
        <v>3731</v>
      </c>
      <c r="F1520" s="1" t="s">
        <v>3784</v>
      </c>
      <c r="G1520" s="1" t="s">
        <v>7695</v>
      </c>
      <c r="H1520" s="1" t="s">
        <v>6089</v>
      </c>
      <c r="I1520" s="1">
        <v>94435.0</v>
      </c>
      <c r="J1520" s="1" t="s">
        <v>7696</v>
      </c>
      <c r="K1520" s="1" t="s">
        <v>7697</v>
      </c>
      <c r="L1520" s="1">
        <v>182.0</v>
      </c>
      <c r="M1520" s="1" t="s">
        <v>35</v>
      </c>
      <c r="N1520" s="1" t="s">
        <v>362</v>
      </c>
      <c r="O1520" s="1" t="s">
        <v>269</v>
      </c>
      <c r="P1520" s="1">
        <v>3.0E7</v>
      </c>
      <c r="Q1520" s="1">
        <v>1995.0</v>
      </c>
      <c r="R1520" s="1">
        <v>405.0</v>
      </c>
      <c r="S1520" s="1">
        <v>368.0</v>
      </c>
      <c r="T1520" s="1">
        <v>204.0</v>
      </c>
      <c r="U1520" s="1">
        <v>1185.0</v>
      </c>
      <c r="V1520" s="1">
        <v>108.0</v>
      </c>
      <c r="W1520" s="1">
        <v>5000.0</v>
      </c>
      <c r="X1520" s="1">
        <v>0.0</v>
      </c>
      <c r="Y1520" s="1">
        <v>1.85</v>
      </c>
      <c r="Z1520" s="1">
        <v>6.8</v>
      </c>
    </row>
    <row r="1521" ht="14.25" customHeight="1">
      <c r="A1521" s="1" t="s">
        <v>26</v>
      </c>
      <c r="B1521" s="1" t="s">
        <v>3729</v>
      </c>
      <c r="C1521" s="1" t="s">
        <v>7698</v>
      </c>
      <c r="D1521" s="1">
        <v>6.3536011E7</v>
      </c>
      <c r="E1521" s="1" t="s">
        <v>1359</v>
      </c>
      <c r="F1521" s="1" t="s">
        <v>2286</v>
      </c>
      <c r="G1521" s="1" t="s">
        <v>503</v>
      </c>
      <c r="H1521" s="1" t="s">
        <v>7699</v>
      </c>
      <c r="I1521" s="1">
        <v>34258.0</v>
      </c>
      <c r="J1521" s="1" t="s">
        <v>7700</v>
      </c>
      <c r="K1521" s="1" t="s">
        <v>7701</v>
      </c>
      <c r="L1521" s="1">
        <v>178.0</v>
      </c>
      <c r="M1521" s="1" t="s">
        <v>35</v>
      </c>
      <c r="N1521" s="1" t="s">
        <v>36</v>
      </c>
      <c r="O1521" s="1" t="s">
        <v>37</v>
      </c>
      <c r="P1521" s="1">
        <v>3.0E7</v>
      </c>
      <c r="Q1521" s="1">
        <v>2012.0</v>
      </c>
      <c r="R1521" s="1">
        <v>11000.0</v>
      </c>
      <c r="S1521" s="1">
        <v>7000.0</v>
      </c>
      <c r="T1521" s="1">
        <v>329.0</v>
      </c>
      <c r="U1521" s="1">
        <v>19420.0</v>
      </c>
      <c r="V1521" s="1">
        <v>64.0</v>
      </c>
      <c r="W1521" s="1">
        <v>0.0</v>
      </c>
      <c r="X1521" s="1">
        <v>2.0</v>
      </c>
      <c r="Y1521" s="1">
        <v>2.35</v>
      </c>
      <c r="Z1521" s="1">
        <v>6.3</v>
      </c>
    </row>
    <row r="1522" ht="14.25" customHeight="1">
      <c r="A1522" s="1" t="s">
        <v>26</v>
      </c>
      <c r="B1522" s="1" t="s">
        <v>6911</v>
      </c>
      <c r="C1522" s="1" t="s">
        <v>7702</v>
      </c>
      <c r="D1522" s="1">
        <v>6.2877175E7</v>
      </c>
      <c r="E1522" s="1" t="s">
        <v>1359</v>
      </c>
      <c r="F1522" s="1" t="s">
        <v>284</v>
      </c>
      <c r="G1522" s="1" t="s">
        <v>597</v>
      </c>
      <c r="H1522" s="1" t="s">
        <v>7703</v>
      </c>
      <c r="I1522" s="1">
        <v>217507.0</v>
      </c>
      <c r="J1522" s="1" t="s">
        <v>7704</v>
      </c>
      <c r="K1522" s="1" t="s">
        <v>7705</v>
      </c>
      <c r="L1522" s="1">
        <v>325.0</v>
      </c>
      <c r="M1522" s="1" t="s">
        <v>35</v>
      </c>
      <c r="N1522" s="1" t="s">
        <v>36</v>
      </c>
      <c r="O1522" s="1" t="s">
        <v>628</v>
      </c>
      <c r="P1522" s="1">
        <v>3.0E7</v>
      </c>
      <c r="Q1522" s="1">
        <v>2008.0</v>
      </c>
      <c r="R1522" s="1">
        <v>15000.0</v>
      </c>
      <c r="S1522" s="1">
        <v>975.0</v>
      </c>
      <c r="T1522" s="1">
        <v>344.0</v>
      </c>
      <c r="U1522" s="1">
        <v>16758.0</v>
      </c>
      <c r="V1522" s="1">
        <v>89.0</v>
      </c>
      <c r="W1522" s="1">
        <v>0.0</v>
      </c>
      <c r="X1522" s="1">
        <v>1.0</v>
      </c>
      <c r="Y1522" s="1">
        <v>1.85</v>
      </c>
      <c r="Z1522" s="1">
        <v>7.2</v>
      </c>
    </row>
    <row r="1523" ht="14.25" customHeight="1">
      <c r="A1523" s="1" t="s">
        <v>26</v>
      </c>
      <c r="B1523" s="1" t="s">
        <v>2793</v>
      </c>
      <c r="C1523" s="1" t="s">
        <v>7706</v>
      </c>
      <c r="D1523" s="1">
        <v>7.4484168E7</v>
      </c>
      <c r="E1523" s="1" t="s">
        <v>2281</v>
      </c>
      <c r="F1523" s="1" t="s">
        <v>3172</v>
      </c>
      <c r="G1523" s="1" t="s">
        <v>7707</v>
      </c>
      <c r="H1523" s="1" t="s">
        <v>7708</v>
      </c>
      <c r="I1523" s="1">
        <v>109894.0</v>
      </c>
      <c r="J1523" s="1" t="s">
        <v>7709</v>
      </c>
      <c r="K1523" s="1" t="s">
        <v>7710</v>
      </c>
      <c r="L1523" s="1">
        <v>340.0</v>
      </c>
      <c r="M1523" s="1" t="s">
        <v>35</v>
      </c>
      <c r="N1523" s="1" t="s">
        <v>36</v>
      </c>
      <c r="O1523" s="1" t="s">
        <v>628</v>
      </c>
      <c r="P1523" s="1">
        <v>4.5E7</v>
      </c>
      <c r="Q1523" s="1">
        <v>2005.0</v>
      </c>
      <c r="R1523" s="1">
        <v>1000.0</v>
      </c>
      <c r="S1523" s="1">
        <v>654.0</v>
      </c>
      <c r="T1523" s="1">
        <v>482.0</v>
      </c>
      <c r="U1523" s="1">
        <v>2740.0</v>
      </c>
      <c r="V1523" s="1">
        <v>309.0</v>
      </c>
      <c r="W1523" s="1">
        <v>0.0</v>
      </c>
      <c r="X1523" s="1">
        <v>3.0</v>
      </c>
      <c r="Y1523" s="1">
        <v>2.35</v>
      </c>
      <c r="Z1523" s="1">
        <v>6.9</v>
      </c>
    </row>
    <row r="1524" ht="14.25" customHeight="1">
      <c r="A1524" s="1" t="s">
        <v>26</v>
      </c>
      <c r="B1524" s="1" t="s">
        <v>7711</v>
      </c>
      <c r="C1524" s="1" t="s">
        <v>7712</v>
      </c>
      <c r="D1524" s="1">
        <v>6.026934E7</v>
      </c>
      <c r="E1524" s="1" t="s">
        <v>1598</v>
      </c>
      <c r="F1524" s="1" t="s">
        <v>4543</v>
      </c>
      <c r="G1524" s="1" t="s">
        <v>464</v>
      </c>
      <c r="H1524" s="1" t="s">
        <v>3699</v>
      </c>
      <c r="I1524" s="1">
        <v>34079.0</v>
      </c>
      <c r="J1524" s="1" t="s">
        <v>7713</v>
      </c>
      <c r="K1524" s="1" t="s">
        <v>7714</v>
      </c>
      <c r="L1524" s="1">
        <v>97.0</v>
      </c>
      <c r="M1524" s="1" t="s">
        <v>35</v>
      </c>
      <c r="N1524" s="1" t="s">
        <v>36</v>
      </c>
      <c r="O1524" s="1" t="s">
        <v>37</v>
      </c>
      <c r="P1524" s="1">
        <v>3.0E7</v>
      </c>
      <c r="Q1524" s="1">
        <v>2008.0</v>
      </c>
      <c r="R1524" s="1">
        <v>2000.0</v>
      </c>
      <c r="S1524" s="1">
        <v>1000.0</v>
      </c>
      <c r="T1524" s="1">
        <v>966.0</v>
      </c>
      <c r="U1524" s="1">
        <v>6930.0</v>
      </c>
      <c r="V1524" s="1">
        <v>5.0</v>
      </c>
      <c r="W1524" s="1">
        <v>0.0</v>
      </c>
      <c r="X1524" s="1">
        <v>2.0</v>
      </c>
      <c r="Y1524" s="1">
        <v>1.85</v>
      </c>
      <c r="Z1524" s="1">
        <v>6.0</v>
      </c>
    </row>
    <row r="1525" ht="14.25" customHeight="1">
      <c r="A1525" s="1" t="s">
        <v>26</v>
      </c>
      <c r="B1525" s="1" t="s">
        <v>7715</v>
      </c>
      <c r="C1525" s="1" t="s">
        <v>7716</v>
      </c>
      <c r="D1525" s="1">
        <v>6.003378E7</v>
      </c>
      <c r="E1525" s="1" t="s">
        <v>206</v>
      </c>
      <c r="F1525" s="1" t="s">
        <v>3633</v>
      </c>
      <c r="G1525" s="1" t="s">
        <v>5062</v>
      </c>
      <c r="H1525" s="1" t="s">
        <v>6101</v>
      </c>
      <c r="I1525" s="1">
        <v>18973.0</v>
      </c>
      <c r="J1525" s="1" t="s">
        <v>7717</v>
      </c>
      <c r="K1525" s="1" t="s">
        <v>7718</v>
      </c>
      <c r="L1525" s="1">
        <v>162.0</v>
      </c>
      <c r="M1525" s="1" t="s">
        <v>35</v>
      </c>
      <c r="N1525" s="1" t="s">
        <v>36</v>
      </c>
      <c r="O1525" s="1" t="s">
        <v>37</v>
      </c>
      <c r="P1525" s="1">
        <v>3.0E7</v>
      </c>
      <c r="Q1525" s="1">
        <v>1998.0</v>
      </c>
      <c r="R1525" s="1">
        <v>970.0</v>
      </c>
      <c r="S1525" s="1">
        <v>631.0</v>
      </c>
      <c r="T1525" s="1">
        <v>545.0</v>
      </c>
      <c r="U1525" s="1">
        <v>2860.0</v>
      </c>
      <c r="V1525" s="1">
        <v>0.0</v>
      </c>
      <c r="W1525" s="1">
        <v>0.0</v>
      </c>
      <c r="X1525" s="1">
        <v>1.0</v>
      </c>
      <c r="Y1525" s="1">
        <v>1.85</v>
      </c>
      <c r="Z1525" s="1">
        <v>5.9</v>
      </c>
    </row>
    <row r="1526" ht="14.25" customHeight="1">
      <c r="A1526" s="1" t="s">
        <v>26</v>
      </c>
      <c r="B1526" s="1" t="s">
        <v>7719</v>
      </c>
      <c r="C1526" s="1" t="s">
        <v>7720</v>
      </c>
      <c r="D1526" s="1">
        <v>5.871551E7</v>
      </c>
      <c r="E1526" s="1" t="s">
        <v>1598</v>
      </c>
      <c r="F1526" s="1" t="s">
        <v>249</v>
      </c>
      <c r="G1526" s="1" t="s">
        <v>6985</v>
      </c>
      <c r="H1526" s="1" t="s">
        <v>5351</v>
      </c>
      <c r="I1526" s="1">
        <v>79094.0</v>
      </c>
      <c r="J1526" s="1" t="s">
        <v>7721</v>
      </c>
      <c r="K1526" s="1" t="s">
        <v>7722</v>
      </c>
      <c r="L1526" s="1">
        <v>129.0</v>
      </c>
      <c r="M1526" s="1" t="s">
        <v>35</v>
      </c>
      <c r="N1526" s="1" t="s">
        <v>36</v>
      </c>
      <c r="O1526" s="1" t="s">
        <v>87</v>
      </c>
      <c r="P1526" s="1">
        <v>3.0E7</v>
      </c>
      <c r="Q1526" s="1">
        <v>2009.0</v>
      </c>
      <c r="R1526" s="1">
        <v>11000.0</v>
      </c>
      <c r="S1526" s="1">
        <v>826.0</v>
      </c>
      <c r="T1526" s="1">
        <v>545.0</v>
      </c>
      <c r="U1526" s="1">
        <v>13794.0</v>
      </c>
      <c r="V1526" s="1">
        <v>56.0</v>
      </c>
      <c r="W1526" s="1">
        <v>0.0</v>
      </c>
      <c r="X1526" s="1">
        <v>2.0</v>
      </c>
      <c r="Y1526" s="1">
        <v>1.85</v>
      </c>
      <c r="Z1526" s="1">
        <v>5.4</v>
      </c>
    </row>
    <row r="1527" ht="14.25" customHeight="1">
      <c r="A1527" s="1" t="s">
        <v>26</v>
      </c>
      <c r="B1527" s="1" t="s">
        <v>2655</v>
      </c>
      <c r="C1527" s="1" t="s">
        <v>7723</v>
      </c>
      <c r="D1527" s="1">
        <v>5.8156435E7</v>
      </c>
      <c r="E1527" s="1" t="s">
        <v>2377</v>
      </c>
      <c r="F1527" s="1" t="s">
        <v>7724</v>
      </c>
      <c r="G1527" s="1" t="s">
        <v>7725</v>
      </c>
      <c r="H1527" s="1" t="s">
        <v>7726</v>
      </c>
      <c r="I1527" s="1">
        <v>37479.0</v>
      </c>
      <c r="J1527" s="1" t="s">
        <v>7727</v>
      </c>
      <c r="K1527" s="1" t="s">
        <v>7728</v>
      </c>
      <c r="L1527" s="1">
        <v>152.0</v>
      </c>
      <c r="M1527" s="1" t="s">
        <v>35</v>
      </c>
      <c r="N1527" s="1" t="s">
        <v>36</v>
      </c>
      <c r="O1527" s="1" t="s">
        <v>37</v>
      </c>
      <c r="P1527" s="1">
        <v>1.9E7</v>
      </c>
      <c r="Q1527" s="1">
        <v>2004.0</v>
      </c>
      <c r="R1527" s="1">
        <v>506.0</v>
      </c>
      <c r="S1527" s="1">
        <v>316.0</v>
      </c>
      <c r="T1527" s="1">
        <v>246.0</v>
      </c>
      <c r="U1527" s="1">
        <v>1266.0</v>
      </c>
      <c r="V1527" s="1">
        <v>65.0</v>
      </c>
      <c r="W1527" s="1">
        <v>0.0</v>
      </c>
      <c r="X1527" s="1">
        <v>3.0</v>
      </c>
      <c r="Y1527" s="1">
        <v>2.35</v>
      </c>
      <c r="Z1527" s="1">
        <v>5.9</v>
      </c>
    </row>
    <row r="1528" ht="14.25" customHeight="1">
      <c r="A1528" s="1" t="s">
        <v>26</v>
      </c>
      <c r="B1528" s="1" t="s">
        <v>7719</v>
      </c>
      <c r="C1528" s="1" t="s">
        <v>7729</v>
      </c>
      <c r="D1528" s="1">
        <v>5.6044241E7</v>
      </c>
      <c r="E1528" s="1" t="s">
        <v>3439</v>
      </c>
      <c r="F1528" s="1" t="s">
        <v>713</v>
      </c>
      <c r="G1528" s="1" t="s">
        <v>228</v>
      </c>
      <c r="H1528" s="1" t="s">
        <v>7730</v>
      </c>
      <c r="I1528" s="1">
        <v>122187.0</v>
      </c>
      <c r="J1528" s="1" t="s">
        <v>7731</v>
      </c>
      <c r="K1528" s="1" t="s">
        <v>7732</v>
      </c>
      <c r="L1528" s="1">
        <v>339.0</v>
      </c>
      <c r="M1528" s="1" t="s">
        <v>35</v>
      </c>
      <c r="N1528" s="1" t="s">
        <v>36</v>
      </c>
      <c r="O1528" s="1" t="s">
        <v>37</v>
      </c>
      <c r="P1528" s="1">
        <v>3.7E7</v>
      </c>
      <c r="Q1528" s="1">
        <v>2004.0</v>
      </c>
      <c r="R1528" s="1">
        <v>3000.0</v>
      </c>
      <c r="S1528" s="1">
        <v>2000.0</v>
      </c>
      <c r="T1528" s="1">
        <v>533.0</v>
      </c>
      <c r="U1528" s="1">
        <v>6742.0</v>
      </c>
      <c r="V1528" s="1">
        <v>56.0</v>
      </c>
      <c r="W1528" s="1">
        <v>0.0</v>
      </c>
      <c r="X1528" s="1">
        <v>1.0</v>
      </c>
      <c r="Y1528" s="1">
        <v>1.85</v>
      </c>
      <c r="Z1528" s="1">
        <v>6.1</v>
      </c>
    </row>
    <row r="1529" ht="14.25" customHeight="1">
      <c r="A1529" s="1" t="s">
        <v>26</v>
      </c>
      <c r="B1529" s="1" t="s">
        <v>3797</v>
      </c>
      <c r="C1529" s="1" t="s">
        <v>7733</v>
      </c>
      <c r="D1529" s="1">
        <v>5.6816662E7</v>
      </c>
      <c r="E1529" s="1" t="s">
        <v>3439</v>
      </c>
      <c r="F1529" s="1" t="s">
        <v>4378</v>
      </c>
      <c r="G1529" s="1" t="s">
        <v>7734</v>
      </c>
      <c r="H1529" s="1" t="s">
        <v>7735</v>
      </c>
      <c r="I1529" s="1">
        <v>301149.0</v>
      </c>
      <c r="J1529" s="1" t="s">
        <v>7736</v>
      </c>
      <c r="K1529" s="1" t="s">
        <v>7737</v>
      </c>
      <c r="L1529" s="1">
        <v>509.0</v>
      </c>
      <c r="M1529" s="1" t="s">
        <v>35</v>
      </c>
      <c r="N1529" s="1" t="s">
        <v>3393</v>
      </c>
      <c r="O1529" s="1" t="s">
        <v>37</v>
      </c>
      <c r="P1529" s="1">
        <v>1.7E7</v>
      </c>
      <c r="Q1529" s="1">
        <v>2011.0</v>
      </c>
      <c r="R1529" s="1">
        <v>617.0</v>
      </c>
      <c r="S1529" s="1">
        <v>204.0</v>
      </c>
      <c r="T1529" s="1">
        <v>183.0</v>
      </c>
      <c r="U1529" s="1">
        <v>1289.0</v>
      </c>
      <c r="V1529" s="1">
        <v>11000.0</v>
      </c>
      <c r="W1529" s="1">
        <v>78000.0</v>
      </c>
      <c r="X1529" s="1">
        <v>1.0</v>
      </c>
      <c r="Y1529" s="1">
        <v>1.85</v>
      </c>
      <c r="Z1529" s="1">
        <v>7.7</v>
      </c>
    </row>
    <row r="1530" ht="14.25" customHeight="1">
      <c r="A1530" s="1" t="s">
        <v>26</v>
      </c>
      <c r="B1530" s="1" t="s">
        <v>7738</v>
      </c>
      <c r="C1530" s="1" t="s">
        <v>7739</v>
      </c>
      <c r="D1530" s="1">
        <v>6.423877E7</v>
      </c>
      <c r="E1530" s="1" t="s">
        <v>456</v>
      </c>
      <c r="F1530" s="1" t="s">
        <v>220</v>
      </c>
      <c r="G1530" s="1" t="s">
        <v>488</v>
      </c>
      <c r="H1530" s="1" t="s">
        <v>3245</v>
      </c>
      <c r="I1530" s="1">
        <v>19547.0</v>
      </c>
      <c r="J1530" s="1" t="s">
        <v>7740</v>
      </c>
      <c r="K1530" s="1" t="s">
        <v>7741</v>
      </c>
      <c r="L1530" s="1">
        <v>64.0</v>
      </c>
      <c r="M1530" s="1" t="s">
        <v>35</v>
      </c>
      <c r="N1530" s="1" t="s">
        <v>260</v>
      </c>
      <c r="O1530" s="1" t="s">
        <v>87</v>
      </c>
      <c r="P1530" s="1">
        <v>4.2E7</v>
      </c>
      <c r="Q1530" s="1">
        <v>2014.0</v>
      </c>
      <c r="R1530" s="1">
        <v>14000.0</v>
      </c>
      <c r="S1530" s="1">
        <v>3000.0</v>
      </c>
      <c r="T1530" s="1">
        <v>691.0</v>
      </c>
      <c r="U1530" s="1">
        <v>18795.0</v>
      </c>
      <c r="V1530" s="1">
        <v>7.0</v>
      </c>
      <c r="W1530" s="1">
        <v>0.0</v>
      </c>
      <c r="X1530" s="1">
        <v>0.0</v>
      </c>
      <c r="Y1530" s="1">
        <v>1.85</v>
      </c>
      <c r="Z1530" s="1">
        <v>5.8</v>
      </c>
    </row>
    <row r="1531" ht="14.25" customHeight="1">
      <c r="A1531" s="1" t="s">
        <v>26</v>
      </c>
      <c r="B1531" s="1" t="s">
        <v>7742</v>
      </c>
      <c r="C1531" s="1" t="s">
        <v>7743</v>
      </c>
      <c r="D1531" s="1">
        <v>5.293713E7</v>
      </c>
      <c r="E1531" s="1" t="s">
        <v>1643</v>
      </c>
      <c r="F1531" s="1" t="s">
        <v>41</v>
      </c>
      <c r="G1531" s="1" t="s">
        <v>2003</v>
      </c>
      <c r="H1531" s="1" t="s">
        <v>1145</v>
      </c>
      <c r="I1531" s="1">
        <v>198066.0</v>
      </c>
      <c r="J1531" s="1" t="s">
        <v>7744</v>
      </c>
      <c r="K1531" s="1" t="s">
        <v>7745</v>
      </c>
      <c r="L1531" s="1">
        <v>426.0</v>
      </c>
      <c r="M1531" s="1" t="s">
        <v>35</v>
      </c>
      <c r="N1531" s="1" t="s">
        <v>36</v>
      </c>
      <c r="O1531" s="1" t="s">
        <v>628</v>
      </c>
      <c r="P1531" s="1">
        <v>3.0E7</v>
      </c>
      <c r="Q1531" s="1">
        <v>2001.0</v>
      </c>
      <c r="R1531" s="1">
        <v>40000.0</v>
      </c>
      <c r="S1531" s="1">
        <v>1000.0</v>
      </c>
      <c r="T1531" s="1">
        <v>877.0</v>
      </c>
      <c r="U1531" s="1">
        <v>43453.0</v>
      </c>
      <c r="V1531" s="1">
        <v>47.0</v>
      </c>
      <c r="W1531" s="1">
        <v>13000.0</v>
      </c>
      <c r="X1531" s="1">
        <v>1.0</v>
      </c>
      <c r="Y1531" s="1">
        <v>2.35</v>
      </c>
      <c r="Z1531" s="1">
        <v>7.6</v>
      </c>
    </row>
    <row r="1532" ht="14.25" customHeight="1">
      <c r="A1532" s="1" t="s">
        <v>26</v>
      </c>
      <c r="B1532" s="1" t="s">
        <v>6585</v>
      </c>
      <c r="C1532" s="1" t="s">
        <v>7746</v>
      </c>
      <c r="D1532" s="1">
        <v>5.2799004E7</v>
      </c>
      <c r="E1532" s="1" t="s">
        <v>206</v>
      </c>
      <c r="F1532" s="1" t="s">
        <v>423</v>
      </c>
      <c r="G1532" s="1" t="s">
        <v>7747</v>
      </c>
      <c r="H1532" s="1" t="s">
        <v>7748</v>
      </c>
      <c r="I1532" s="1">
        <v>28942.0</v>
      </c>
      <c r="J1532" s="1" t="s">
        <v>7749</v>
      </c>
      <c r="K1532" s="1" t="s">
        <v>7750</v>
      </c>
      <c r="L1532" s="1">
        <v>223.0</v>
      </c>
      <c r="M1532" s="1" t="s">
        <v>35</v>
      </c>
      <c r="N1532" s="1" t="s">
        <v>36</v>
      </c>
      <c r="O1532" s="1" t="s">
        <v>37</v>
      </c>
      <c r="P1532" s="1">
        <v>5.5E7</v>
      </c>
      <c r="Q1532" s="1">
        <v>1999.0</v>
      </c>
      <c r="R1532" s="1">
        <v>18000.0</v>
      </c>
      <c r="S1532" s="1">
        <v>652.0</v>
      </c>
      <c r="T1532" s="1">
        <v>362.0</v>
      </c>
      <c r="U1532" s="1">
        <v>19815.0</v>
      </c>
      <c r="V1532" s="1">
        <v>43.0</v>
      </c>
      <c r="W1532" s="1">
        <v>0.0</v>
      </c>
      <c r="X1532" s="1">
        <v>0.0</v>
      </c>
      <c r="Y1532" s="1">
        <v>2.35</v>
      </c>
      <c r="Z1532" s="1">
        <v>6.1</v>
      </c>
    </row>
    <row r="1533" ht="14.25" customHeight="1">
      <c r="A1533" s="1" t="s">
        <v>26</v>
      </c>
      <c r="B1533" s="1" t="s">
        <v>7751</v>
      </c>
      <c r="C1533" s="1" t="s">
        <v>7752</v>
      </c>
      <c r="D1533" s="1">
        <v>5.5210049E7</v>
      </c>
      <c r="E1533" s="1" t="s">
        <v>219</v>
      </c>
      <c r="F1533" s="1" t="s">
        <v>992</v>
      </c>
      <c r="G1533" s="1" t="s">
        <v>6835</v>
      </c>
      <c r="H1533" s="1" t="s">
        <v>6836</v>
      </c>
      <c r="I1533" s="1">
        <v>43743.0</v>
      </c>
      <c r="J1533" s="1" t="s">
        <v>7753</v>
      </c>
      <c r="K1533" s="1" t="s">
        <v>7754</v>
      </c>
      <c r="L1533" s="1">
        <v>293.0</v>
      </c>
      <c r="M1533" s="1" t="s">
        <v>35</v>
      </c>
      <c r="N1533" s="1" t="s">
        <v>36</v>
      </c>
      <c r="O1533" s="1" t="s">
        <v>87</v>
      </c>
      <c r="P1533" s="1">
        <v>2.78E7</v>
      </c>
      <c r="Q1533" s="1">
        <v>1989.0</v>
      </c>
      <c r="R1533" s="1">
        <v>12000.0</v>
      </c>
      <c r="S1533" s="1">
        <v>664.0</v>
      </c>
      <c r="T1533" s="1">
        <v>643.0</v>
      </c>
      <c r="U1533" s="1">
        <v>14710.0</v>
      </c>
      <c r="V1533" s="1">
        <v>0.0</v>
      </c>
      <c r="W1533" s="1">
        <v>0.0</v>
      </c>
      <c r="X1533" s="1">
        <v>1.0</v>
      </c>
      <c r="Y1533" s="1">
        <v>2.35</v>
      </c>
      <c r="Z1533" s="1">
        <v>5.4</v>
      </c>
    </row>
    <row r="1534" ht="14.25" customHeight="1">
      <c r="A1534" s="1" t="s">
        <v>26</v>
      </c>
      <c r="B1534" s="1" t="s">
        <v>5548</v>
      </c>
      <c r="C1534" s="1" t="s">
        <v>7755</v>
      </c>
      <c r="D1534" s="1">
        <v>5.1432423E7</v>
      </c>
      <c r="E1534" s="1" t="s">
        <v>7756</v>
      </c>
      <c r="F1534" s="1" t="s">
        <v>7757</v>
      </c>
      <c r="G1534" s="1" t="s">
        <v>4132</v>
      </c>
      <c r="H1534" s="1" t="s">
        <v>7758</v>
      </c>
      <c r="I1534" s="1">
        <v>15074.0</v>
      </c>
      <c r="J1534" s="1" t="s">
        <v>7759</v>
      </c>
      <c r="K1534" s="1" t="s">
        <v>7760</v>
      </c>
      <c r="L1534" s="1">
        <v>72.0</v>
      </c>
      <c r="M1534" s="1" t="s">
        <v>35</v>
      </c>
      <c r="N1534" s="1" t="s">
        <v>36</v>
      </c>
      <c r="O1534" s="1" t="s">
        <v>87</v>
      </c>
      <c r="P1534" s="1">
        <v>3.0E7</v>
      </c>
      <c r="Q1534" s="1">
        <v>2002.0</v>
      </c>
      <c r="R1534" s="1">
        <v>1000.0</v>
      </c>
      <c r="S1534" s="1">
        <v>889.0</v>
      </c>
      <c r="T1534" s="1">
        <v>837.0</v>
      </c>
      <c r="U1534" s="1">
        <v>3679.0</v>
      </c>
      <c r="V1534" s="1">
        <v>13.0</v>
      </c>
      <c r="W1534" s="1">
        <v>1000.0</v>
      </c>
      <c r="X1534" s="1">
        <v>7.0</v>
      </c>
      <c r="Y1534" s="1">
        <v>1.85</v>
      </c>
      <c r="Z1534" s="1">
        <v>5.1</v>
      </c>
    </row>
    <row r="1535" ht="14.25" customHeight="1">
      <c r="A1535" s="1" t="s">
        <v>26</v>
      </c>
      <c r="B1535" s="1" t="s">
        <v>2368</v>
      </c>
      <c r="C1535" s="1" t="s">
        <v>7761</v>
      </c>
      <c r="D1535" s="1">
        <v>5.11094E7</v>
      </c>
      <c r="E1535" s="1" t="s">
        <v>972</v>
      </c>
      <c r="F1535" s="1" t="s">
        <v>7496</v>
      </c>
      <c r="G1535" s="1" t="s">
        <v>3779</v>
      </c>
      <c r="H1535" s="1" t="s">
        <v>7762</v>
      </c>
      <c r="I1535" s="1">
        <v>76850.0</v>
      </c>
      <c r="J1535" s="1" t="s">
        <v>7763</v>
      </c>
      <c r="K1535" s="1" t="s">
        <v>7764</v>
      </c>
      <c r="L1535" s="1">
        <v>85.0</v>
      </c>
      <c r="M1535" s="1" t="s">
        <v>35</v>
      </c>
      <c r="N1535" s="1" t="s">
        <v>36</v>
      </c>
      <c r="O1535" s="1" t="s">
        <v>37</v>
      </c>
      <c r="P1535" s="1">
        <v>3.0E7</v>
      </c>
      <c r="Q1535" s="1">
        <v>1994.0</v>
      </c>
      <c r="R1535" s="1">
        <v>3000.0</v>
      </c>
      <c r="S1535" s="1">
        <v>459.0</v>
      </c>
      <c r="T1535" s="1">
        <v>348.0</v>
      </c>
      <c r="U1535" s="1">
        <v>4767.0</v>
      </c>
      <c r="V1535" s="1">
        <v>88.0</v>
      </c>
      <c r="W1535" s="1">
        <v>1000.0</v>
      </c>
      <c r="X1535" s="1">
        <v>5.0</v>
      </c>
      <c r="Y1535" s="1">
        <v>1.85</v>
      </c>
      <c r="Z1535" s="1">
        <v>6.4</v>
      </c>
    </row>
    <row r="1536" ht="14.25" customHeight="1">
      <c r="A1536" s="1" t="s">
        <v>26</v>
      </c>
      <c r="B1536" s="1" t="s">
        <v>5767</v>
      </c>
      <c r="C1536" s="1" t="s">
        <v>7765</v>
      </c>
      <c r="D1536" s="1">
        <v>5.03E7</v>
      </c>
      <c r="E1536" s="1" t="s">
        <v>48</v>
      </c>
      <c r="F1536" s="1" t="s">
        <v>7766</v>
      </c>
      <c r="G1536" s="1" t="s">
        <v>5209</v>
      </c>
      <c r="H1536" s="1" t="s">
        <v>7767</v>
      </c>
      <c r="I1536" s="1">
        <v>68565.0</v>
      </c>
      <c r="J1536" s="1" t="s">
        <v>7768</v>
      </c>
      <c r="K1536" s="1" t="s">
        <v>7769</v>
      </c>
      <c r="L1536" s="1">
        <v>300.0</v>
      </c>
      <c r="M1536" s="1" t="s">
        <v>35</v>
      </c>
      <c r="N1536" s="1" t="s">
        <v>54</v>
      </c>
      <c r="O1536" s="1" t="s">
        <v>87</v>
      </c>
      <c r="P1536" s="1">
        <v>3.0E7</v>
      </c>
      <c r="Q1536" s="1">
        <v>1985.0</v>
      </c>
      <c r="R1536" s="1">
        <v>1000.0</v>
      </c>
      <c r="S1536" s="1">
        <v>439.0</v>
      </c>
      <c r="T1536" s="1">
        <v>433.0</v>
      </c>
      <c r="U1536" s="1">
        <v>2943.0</v>
      </c>
      <c r="V1536" s="1">
        <v>46.0</v>
      </c>
      <c r="W1536" s="1">
        <v>0.0</v>
      </c>
      <c r="X1536" s="1">
        <v>2.0</v>
      </c>
      <c r="Y1536" s="1">
        <v>2.35</v>
      </c>
      <c r="Z1536" s="1">
        <v>6.3</v>
      </c>
    </row>
    <row r="1537" ht="14.25" customHeight="1">
      <c r="A1537" s="1" t="s">
        <v>26</v>
      </c>
      <c r="B1537" s="1" t="s">
        <v>7770</v>
      </c>
      <c r="C1537" s="1" t="s">
        <v>7771</v>
      </c>
      <c r="D1537" s="1">
        <v>5.6068547E7</v>
      </c>
      <c r="E1537" s="1" t="s">
        <v>7772</v>
      </c>
      <c r="F1537" s="1" t="s">
        <v>7773</v>
      </c>
      <c r="G1537" s="1" t="s">
        <v>7774</v>
      </c>
      <c r="H1537" s="1" t="s">
        <v>7775</v>
      </c>
      <c r="I1537" s="1">
        <v>98160.0</v>
      </c>
      <c r="J1537" s="1" t="s">
        <v>7776</v>
      </c>
      <c r="K1537" s="1" t="s">
        <v>7777</v>
      </c>
      <c r="L1537" s="1">
        <v>307.0</v>
      </c>
      <c r="M1537" s="1" t="s">
        <v>35</v>
      </c>
      <c r="N1537" s="1" t="s">
        <v>54</v>
      </c>
      <c r="O1537" s="1" t="s">
        <v>269</v>
      </c>
      <c r="P1537" s="1">
        <v>3.0E7</v>
      </c>
      <c r="Q1537" s="1">
        <v>2005.0</v>
      </c>
      <c r="R1537" s="1">
        <v>567.0</v>
      </c>
      <c r="S1537" s="1">
        <v>269.0</v>
      </c>
      <c r="T1537" s="1">
        <v>100.0</v>
      </c>
      <c r="U1537" s="1">
        <v>1145.0</v>
      </c>
      <c r="V1537" s="1">
        <v>9.0</v>
      </c>
      <c r="W1537" s="1">
        <v>0.0</v>
      </c>
      <c r="X1537" s="1">
        <v>0.0</v>
      </c>
      <c r="Y1537" s="1">
        <v>1.85</v>
      </c>
      <c r="Z1537" s="1">
        <v>7.5</v>
      </c>
    </row>
    <row r="1538" ht="14.25" customHeight="1">
      <c r="A1538" s="1" t="s">
        <v>26</v>
      </c>
      <c r="B1538" s="1" t="s">
        <v>5160</v>
      </c>
      <c r="C1538" s="1" t="s">
        <v>7778</v>
      </c>
      <c r="D1538" s="1">
        <v>5.3680848E7</v>
      </c>
      <c r="E1538" s="1" t="s">
        <v>206</v>
      </c>
      <c r="F1538" s="1" t="s">
        <v>616</v>
      </c>
      <c r="G1538" s="1" t="s">
        <v>5062</v>
      </c>
      <c r="H1538" s="1" t="s">
        <v>7779</v>
      </c>
      <c r="I1538" s="1">
        <v>167967.0</v>
      </c>
      <c r="J1538" s="1" t="s">
        <v>7780</v>
      </c>
      <c r="K1538" s="1" t="s">
        <v>7781</v>
      </c>
      <c r="L1538" s="1">
        <v>243.0</v>
      </c>
      <c r="M1538" s="1" t="s">
        <v>35</v>
      </c>
      <c r="N1538" s="1" t="s">
        <v>36</v>
      </c>
      <c r="O1538" s="1" t="s">
        <v>37</v>
      </c>
      <c r="P1538" s="1">
        <v>3.0E7</v>
      </c>
      <c r="Q1538" s="1">
        <v>2007.0</v>
      </c>
      <c r="R1538" s="1">
        <v>18000.0</v>
      </c>
      <c r="S1538" s="1">
        <v>631.0</v>
      </c>
      <c r="T1538" s="1">
        <v>37.0</v>
      </c>
      <c r="U1538" s="1">
        <v>18726.0</v>
      </c>
      <c r="V1538" s="1">
        <v>98.0</v>
      </c>
      <c r="W1538" s="1">
        <v>20000.0</v>
      </c>
      <c r="X1538" s="1">
        <v>1.0</v>
      </c>
      <c r="Y1538" s="1">
        <v>1.85</v>
      </c>
      <c r="Z1538" s="1">
        <v>7.1</v>
      </c>
    </row>
    <row r="1539" ht="14.25" customHeight="1">
      <c r="A1539" s="1" t="s">
        <v>26</v>
      </c>
      <c r="B1539" s="1" t="s">
        <v>903</v>
      </c>
      <c r="C1539" s="1" t="s">
        <v>7782</v>
      </c>
      <c r="D1539" s="1">
        <v>5.0921738E7</v>
      </c>
      <c r="E1539" s="1" t="s">
        <v>4559</v>
      </c>
      <c r="F1539" s="1" t="s">
        <v>345</v>
      </c>
      <c r="G1539" s="1" t="s">
        <v>7783</v>
      </c>
      <c r="H1539" s="1" t="s">
        <v>7784</v>
      </c>
      <c r="I1539" s="1">
        <v>192930.0</v>
      </c>
      <c r="J1539" s="1" t="s">
        <v>7785</v>
      </c>
      <c r="K1539" s="1" t="s">
        <v>7786</v>
      </c>
      <c r="L1539" s="1">
        <v>581.0</v>
      </c>
      <c r="M1539" s="1" t="s">
        <v>35</v>
      </c>
      <c r="N1539" s="1" t="s">
        <v>54</v>
      </c>
      <c r="O1539" s="1" t="s">
        <v>628</v>
      </c>
      <c r="P1539" s="1">
        <v>3.0E7</v>
      </c>
      <c r="Q1539" s="1">
        <v>2007.0</v>
      </c>
      <c r="R1539" s="1">
        <v>19000.0</v>
      </c>
      <c r="S1539" s="1">
        <v>1000.0</v>
      </c>
      <c r="T1539" s="1">
        <v>286.0</v>
      </c>
      <c r="U1539" s="1">
        <v>20499.0</v>
      </c>
      <c r="V1539" s="1">
        <v>456.0</v>
      </c>
      <c r="W1539" s="1">
        <v>12000.0</v>
      </c>
      <c r="X1539" s="1">
        <v>1.0</v>
      </c>
      <c r="Y1539" s="1">
        <v>1.85</v>
      </c>
      <c r="Z1539" s="1">
        <v>7.8</v>
      </c>
    </row>
    <row r="1540" ht="14.25" customHeight="1">
      <c r="A1540" s="1" t="s">
        <v>26</v>
      </c>
      <c r="B1540" s="1" t="s">
        <v>7719</v>
      </c>
      <c r="C1540" s="1" t="s">
        <v>7787</v>
      </c>
      <c r="D1540" s="1">
        <v>5.302156E7</v>
      </c>
      <c r="E1540" s="1" t="s">
        <v>1359</v>
      </c>
      <c r="F1540" s="1" t="s">
        <v>2429</v>
      </c>
      <c r="G1540" s="1" t="s">
        <v>7788</v>
      </c>
      <c r="H1540" s="1" t="s">
        <v>7789</v>
      </c>
      <c r="I1540" s="1">
        <v>74630.0</v>
      </c>
      <c r="J1540" s="1" t="s">
        <v>7790</v>
      </c>
      <c r="K1540" s="1" t="s">
        <v>7791</v>
      </c>
      <c r="L1540" s="1">
        <v>156.0</v>
      </c>
      <c r="M1540" s="1" t="s">
        <v>35</v>
      </c>
      <c r="N1540" s="1" t="s">
        <v>36</v>
      </c>
      <c r="O1540" s="1" t="s">
        <v>87</v>
      </c>
      <c r="P1540" s="1">
        <v>3.0E7</v>
      </c>
      <c r="Q1540" s="1">
        <v>2010.0</v>
      </c>
      <c r="R1540" s="1">
        <v>898.0</v>
      </c>
      <c r="S1540" s="1">
        <v>60.0</v>
      </c>
      <c r="T1540" s="1">
        <v>22.0</v>
      </c>
      <c r="U1540" s="1">
        <v>1026.0</v>
      </c>
      <c r="V1540" s="1">
        <v>56.0</v>
      </c>
      <c r="W1540" s="1">
        <v>13000.0</v>
      </c>
      <c r="X1540" s="1">
        <v>1.0</v>
      </c>
      <c r="Y1540" s="1">
        <v>2.35</v>
      </c>
      <c r="Z1540" s="1">
        <v>6.5</v>
      </c>
    </row>
    <row r="1541" ht="14.25" customHeight="1">
      <c r="A1541" s="1" t="s">
        <v>26</v>
      </c>
      <c r="B1541" s="1" t="s">
        <v>179</v>
      </c>
      <c r="C1541" s="1" t="s">
        <v>7792</v>
      </c>
      <c r="D1541" s="1">
        <v>4.5645204E7</v>
      </c>
      <c r="E1541" s="1" t="s">
        <v>326</v>
      </c>
      <c r="F1541" s="1" t="s">
        <v>1102</v>
      </c>
      <c r="G1541" s="1" t="s">
        <v>7793</v>
      </c>
      <c r="H1541" s="1" t="s">
        <v>7794</v>
      </c>
      <c r="I1541" s="1">
        <v>39306.0</v>
      </c>
      <c r="J1541" s="1" t="s">
        <v>7795</v>
      </c>
      <c r="K1541" s="1" t="s">
        <v>7796</v>
      </c>
      <c r="L1541" s="1">
        <v>119.0</v>
      </c>
      <c r="M1541" s="1" t="s">
        <v>35</v>
      </c>
      <c r="N1541" s="1" t="s">
        <v>36</v>
      </c>
      <c r="O1541" s="1" t="s">
        <v>628</v>
      </c>
      <c r="P1541" s="1">
        <v>3.0E7</v>
      </c>
      <c r="Q1541" s="1">
        <v>1989.0</v>
      </c>
      <c r="R1541" s="1">
        <v>939.0</v>
      </c>
      <c r="S1541" s="1">
        <v>255.0</v>
      </c>
      <c r="T1541" s="1">
        <v>237.0</v>
      </c>
      <c r="U1541" s="1">
        <v>1748.0</v>
      </c>
      <c r="V1541" s="1">
        <v>0.0</v>
      </c>
      <c r="W1541" s="1">
        <v>0.0</v>
      </c>
      <c r="X1541" s="1">
        <v>2.0</v>
      </c>
      <c r="Y1541" s="1">
        <v>2.35</v>
      </c>
      <c r="Z1541" s="1">
        <v>6.6</v>
      </c>
    </row>
    <row r="1542" ht="14.25" customHeight="1">
      <c r="A1542" s="1" t="s">
        <v>26</v>
      </c>
      <c r="B1542" s="1" t="s">
        <v>247</v>
      </c>
      <c r="C1542" s="1" t="s">
        <v>7797</v>
      </c>
      <c r="D1542" s="1">
        <v>5.3337608E7</v>
      </c>
      <c r="E1542" s="1" t="s">
        <v>7798</v>
      </c>
      <c r="F1542" s="1" t="s">
        <v>41</v>
      </c>
      <c r="G1542" s="1" t="s">
        <v>193</v>
      </c>
      <c r="H1542" s="1" t="s">
        <v>7077</v>
      </c>
      <c r="I1542" s="1">
        <v>188785.0</v>
      </c>
      <c r="J1542" s="1" t="s">
        <v>7799</v>
      </c>
      <c r="K1542" s="1" t="s">
        <v>7800</v>
      </c>
      <c r="L1542" s="1">
        <v>467.0</v>
      </c>
      <c r="M1542" s="1" t="s">
        <v>35</v>
      </c>
      <c r="N1542" s="1" t="s">
        <v>36</v>
      </c>
      <c r="O1542" s="1" t="s">
        <v>87</v>
      </c>
      <c r="P1542" s="1">
        <v>4.0E7</v>
      </c>
      <c r="Q1542" s="1">
        <v>2005.0</v>
      </c>
      <c r="R1542" s="1">
        <v>40000.0</v>
      </c>
      <c r="S1542" s="1">
        <v>16000.0</v>
      </c>
      <c r="T1542" s="1">
        <v>973.0</v>
      </c>
      <c r="U1542" s="1">
        <v>60683.0</v>
      </c>
      <c r="V1542" s="1">
        <v>13000.0</v>
      </c>
      <c r="W1542" s="1">
        <v>0.0</v>
      </c>
      <c r="X1542" s="1">
        <v>1.0</v>
      </c>
      <c r="Y1542" s="1">
        <v>1.85</v>
      </c>
      <c r="Z1542" s="1">
        <v>7.4</v>
      </c>
    </row>
    <row r="1543" ht="14.25" customHeight="1">
      <c r="A1543" s="1" t="s">
        <v>26</v>
      </c>
      <c r="B1543" s="1" t="s">
        <v>5383</v>
      </c>
      <c r="C1543" s="1" t="s">
        <v>7801</v>
      </c>
      <c r="D1543" s="1">
        <v>4.6875468E7</v>
      </c>
      <c r="E1543" s="1" t="s">
        <v>2281</v>
      </c>
      <c r="F1543" s="1" t="s">
        <v>7802</v>
      </c>
      <c r="G1543" s="1" t="s">
        <v>7803</v>
      </c>
      <c r="H1543" s="1" t="s">
        <v>5622</v>
      </c>
      <c r="I1543" s="1">
        <v>196217.0</v>
      </c>
      <c r="J1543" s="1" t="s">
        <v>7804</v>
      </c>
      <c r="K1543" s="1" t="s">
        <v>7805</v>
      </c>
      <c r="L1543" s="1">
        <v>461.0</v>
      </c>
      <c r="M1543" s="1" t="s">
        <v>35</v>
      </c>
      <c r="N1543" s="1" t="s">
        <v>36</v>
      </c>
      <c r="O1543" s="1" t="s">
        <v>628</v>
      </c>
      <c r="P1543" s="1">
        <v>3.0E7</v>
      </c>
      <c r="Q1543" s="1">
        <v>2015.0</v>
      </c>
      <c r="R1543" s="1">
        <v>455.0</v>
      </c>
      <c r="S1543" s="1">
        <v>221.0</v>
      </c>
      <c r="T1543" s="1">
        <v>219.0</v>
      </c>
      <c r="U1543" s="1">
        <v>1467.0</v>
      </c>
      <c r="V1543" s="1">
        <v>777.0</v>
      </c>
      <c r="W1543" s="1">
        <v>59000.0</v>
      </c>
      <c r="X1543" s="1">
        <v>2.0</v>
      </c>
      <c r="Y1543" s="1">
        <v>2.39</v>
      </c>
      <c r="Z1543" s="1">
        <v>7.6</v>
      </c>
    </row>
    <row r="1544" ht="14.25" customHeight="1">
      <c r="A1544" s="1" t="s">
        <v>26</v>
      </c>
      <c r="B1544" s="1" t="s">
        <v>2938</v>
      </c>
      <c r="C1544" s="1" t="s">
        <v>7806</v>
      </c>
      <c r="D1544" s="1">
        <v>5.2418902E7</v>
      </c>
      <c r="E1544" s="1" t="s">
        <v>3598</v>
      </c>
      <c r="F1544" s="1" t="s">
        <v>365</v>
      </c>
      <c r="G1544" s="1" t="s">
        <v>3348</v>
      </c>
      <c r="H1544" s="1" t="s">
        <v>7807</v>
      </c>
      <c r="I1544" s="1">
        <v>147128.0</v>
      </c>
      <c r="J1544" s="1" t="s">
        <v>7808</v>
      </c>
      <c r="K1544" s="1" t="s">
        <v>7809</v>
      </c>
      <c r="L1544" s="1">
        <v>277.0</v>
      </c>
      <c r="M1544" s="1" t="s">
        <v>35</v>
      </c>
      <c r="N1544" s="1" t="s">
        <v>36</v>
      </c>
      <c r="O1544" s="1" t="s">
        <v>628</v>
      </c>
      <c r="P1544" s="1">
        <v>3.0E7</v>
      </c>
      <c r="Q1544" s="1">
        <v>2015.0</v>
      </c>
      <c r="R1544" s="1">
        <v>15000.0</v>
      </c>
      <c r="S1544" s="1">
        <v>1000.0</v>
      </c>
      <c r="T1544" s="1">
        <v>424.0</v>
      </c>
      <c r="U1544" s="1">
        <v>16881.0</v>
      </c>
      <c r="V1544" s="1">
        <v>845.0</v>
      </c>
      <c r="W1544" s="1">
        <v>44000.0</v>
      </c>
      <c r="X1544" s="1">
        <v>0.0</v>
      </c>
      <c r="Y1544" s="1">
        <v>2.35</v>
      </c>
      <c r="Z1544" s="1">
        <v>7.5</v>
      </c>
    </row>
    <row r="1545" ht="14.25" customHeight="1">
      <c r="A1545" s="1" t="s">
        <v>26</v>
      </c>
      <c r="B1545" s="1" t="s">
        <v>71</v>
      </c>
      <c r="C1545" s="1" t="s">
        <v>7810</v>
      </c>
      <c r="D1545" s="1">
        <v>4.205734E7</v>
      </c>
      <c r="E1545" s="1" t="s">
        <v>6278</v>
      </c>
      <c r="F1545" s="1" t="s">
        <v>4051</v>
      </c>
      <c r="G1545" s="1" t="s">
        <v>3214</v>
      </c>
      <c r="H1545" s="1" t="s">
        <v>5744</v>
      </c>
      <c r="I1545" s="1">
        <v>158354.0</v>
      </c>
      <c r="J1545" s="1" t="s">
        <v>7811</v>
      </c>
      <c r="K1545" s="1" t="s">
        <v>7812</v>
      </c>
      <c r="L1545" s="1">
        <v>691.0</v>
      </c>
      <c r="M1545" s="1" t="s">
        <v>35</v>
      </c>
      <c r="N1545" s="1" t="s">
        <v>36</v>
      </c>
      <c r="O1545" s="1" t="s">
        <v>37</v>
      </c>
      <c r="P1545" s="1">
        <v>3.0E7</v>
      </c>
      <c r="Q1545" s="1">
        <v>2009.0</v>
      </c>
      <c r="R1545" s="1">
        <v>2000.0</v>
      </c>
      <c r="S1545" s="1">
        <v>1000.0</v>
      </c>
      <c r="T1545" s="1">
        <v>828.0</v>
      </c>
      <c r="U1545" s="1">
        <v>5642.0</v>
      </c>
      <c r="V1545" s="1">
        <v>0.0</v>
      </c>
      <c r="W1545" s="1">
        <v>11000.0</v>
      </c>
      <c r="X1545" s="1">
        <v>0.0</v>
      </c>
      <c r="Y1545" s="1">
        <v>2.35</v>
      </c>
      <c r="Z1545" s="1">
        <v>6.6</v>
      </c>
    </row>
    <row r="1546" ht="14.25" customHeight="1">
      <c r="A1546" s="1" t="s">
        <v>26</v>
      </c>
      <c r="B1546" s="1" t="s">
        <v>7813</v>
      </c>
      <c r="C1546" s="1" t="s">
        <v>7814</v>
      </c>
      <c r="D1546" s="1">
        <v>4.2478175E7</v>
      </c>
      <c r="E1546" s="1" t="s">
        <v>650</v>
      </c>
      <c r="F1546" s="1" t="s">
        <v>383</v>
      </c>
      <c r="G1546" s="1" t="s">
        <v>7171</v>
      </c>
      <c r="H1546" s="1" t="s">
        <v>7260</v>
      </c>
      <c r="I1546" s="1">
        <v>93767.0</v>
      </c>
      <c r="J1546" s="1" t="s">
        <v>7815</v>
      </c>
      <c r="K1546" s="1" t="s">
        <v>7816</v>
      </c>
      <c r="L1546" s="1">
        <v>209.0</v>
      </c>
      <c r="M1546" s="1" t="s">
        <v>35</v>
      </c>
      <c r="N1546" s="1" t="s">
        <v>36</v>
      </c>
      <c r="O1546" s="1" t="s">
        <v>37</v>
      </c>
      <c r="P1546" s="1">
        <v>2.5E7</v>
      </c>
      <c r="Q1546" s="1">
        <v>2015.0</v>
      </c>
      <c r="R1546" s="1">
        <v>11000.0</v>
      </c>
      <c r="S1546" s="1">
        <v>2000.0</v>
      </c>
      <c r="T1546" s="1">
        <v>1000.0</v>
      </c>
      <c r="U1546" s="1">
        <v>15327.0</v>
      </c>
      <c r="V1546" s="1">
        <v>43.0</v>
      </c>
      <c r="W1546" s="1">
        <v>34000.0</v>
      </c>
      <c r="X1546" s="1">
        <v>1.0</v>
      </c>
      <c r="Y1546" s="1">
        <v>2.35</v>
      </c>
      <c r="Z1546" s="1">
        <v>7.2</v>
      </c>
    </row>
    <row r="1547" ht="14.25" customHeight="1">
      <c r="A1547" s="1" t="s">
        <v>26</v>
      </c>
      <c r="B1547" s="1" t="s">
        <v>7817</v>
      </c>
      <c r="C1547" s="1" t="s">
        <v>7818</v>
      </c>
      <c r="D1547" s="1">
        <v>4.140747E7</v>
      </c>
      <c r="E1547" s="1" t="s">
        <v>3731</v>
      </c>
      <c r="F1547" s="1" t="s">
        <v>2105</v>
      </c>
      <c r="G1547" s="1" t="s">
        <v>1606</v>
      </c>
      <c r="H1547" s="1" t="s">
        <v>7819</v>
      </c>
      <c r="I1547" s="1">
        <v>43378.0</v>
      </c>
      <c r="J1547" s="1" t="s">
        <v>7820</v>
      </c>
      <c r="K1547" s="1" t="s">
        <v>7821</v>
      </c>
      <c r="L1547" s="1">
        <v>292.0</v>
      </c>
      <c r="M1547" s="1" t="s">
        <v>35</v>
      </c>
      <c r="N1547" s="1" t="s">
        <v>36</v>
      </c>
      <c r="O1547" s="1" t="s">
        <v>87</v>
      </c>
      <c r="P1547" s="1">
        <v>3.0E7</v>
      </c>
      <c r="Q1547" s="1">
        <v>2003.0</v>
      </c>
      <c r="R1547" s="1">
        <v>3000.0</v>
      </c>
      <c r="S1547" s="1">
        <v>3000.0</v>
      </c>
      <c r="T1547" s="1">
        <v>1000.0</v>
      </c>
      <c r="U1547" s="1">
        <v>9638.0</v>
      </c>
      <c r="V1547" s="1">
        <v>23.0</v>
      </c>
      <c r="W1547" s="1">
        <v>0.0</v>
      </c>
      <c r="X1547" s="1">
        <v>1.0</v>
      </c>
      <c r="Y1547" s="1">
        <v>1.85</v>
      </c>
      <c r="Z1547" s="1">
        <v>7.6</v>
      </c>
    </row>
    <row r="1548" ht="14.25" customHeight="1">
      <c r="A1548" s="1" t="s">
        <v>26</v>
      </c>
      <c r="B1548" s="1" t="s">
        <v>1034</v>
      </c>
      <c r="C1548" s="1" t="s">
        <v>7822</v>
      </c>
      <c r="D1548" s="1">
        <v>4.238552E7</v>
      </c>
      <c r="E1548" s="1" t="s">
        <v>7326</v>
      </c>
      <c r="F1548" s="1" t="s">
        <v>3811</v>
      </c>
      <c r="G1548" s="1" t="s">
        <v>7328</v>
      </c>
      <c r="H1548" s="1" t="s">
        <v>7823</v>
      </c>
      <c r="I1548" s="1">
        <v>47297.0</v>
      </c>
      <c r="J1548" s="1" t="s">
        <v>7824</v>
      </c>
      <c r="K1548" s="1" t="s">
        <v>7825</v>
      </c>
      <c r="L1548" s="1">
        <v>86.0</v>
      </c>
      <c r="M1548" s="1" t="s">
        <v>35</v>
      </c>
      <c r="N1548" s="1" t="s">
        <v>36</v>
      </c>
      <c r="O1548" s="1" t="s">
        <v>37</v>
      </c>
      <c r="P1548" s="1">
        <v>3.0E7</v>
      </c>
      <c r="Q1548" s="1">
        <v>2010.0</v>
      </c>
      <c r="R1548" s="1">
        <v>2000.0</v>
      </c>
      <c r="S1548" s="1">
        <v>594.0</v>
      </c>
      <c r="T1548" s="1">
        <v>357.0</v>
      </c>
      <c r="U1548" s="1">
        <v>4059.0</v>
      </c>
      <c r="V1548" s="1">
        <v>209.0</v>
      </c>
      <c r="W1548" s="1">
        <v>16000.0</v>
      </c>
      <c r="X1548" s="1">
        <v>0.0</v>
      </c>
      <c r="Y1548" s="1">
        <v>1.85</v>
      </c>
      <c r="Z1548" s="1">
        <v>6.2</v>
      </c>
    </row>
    <row r="1549" ht="14.25" customHeight="1">
      <c r="A1549" s="1" t="s">
        <v>26</v>
      </c>
      <c r="B1549" s="1" t="s">
        <v>5109</v>
      </c>
      <c r="C1549" s="1" t="s">
        <v>7826</v>
      </c>
      <c r="D1549" s="1">
        <v>4.011842E7</v>
      </c>
      <c r="E1549" s="1" t="s">
        <v>4645</v>
      </c>
      <c r="F1549" s="1" t="s">
        <v>4939</v>
      </c>
      <c r="G1549" s="1" t="s">
        <v>2635</v>
      </c>
      <c r="H1549" s="1" t="s">
        <v>7827</v>
      </c>
      <c r="I1549" s="1">
        <v>26066.0</v>
      </c>
      <c r="J1549" s="1" t="s">
        <v>7828</v>
      </c>
      <c r="K1549" s="1" t="s">
        <v>7829</v>
      </c>
      <c r="L1549" s="1">
        <v>216.0</v>
      </c>
      <c r="M1549" s="1" t="s">
        <v>35</v>
      </c>
      <c r="N1549" s="1" t="s">
        <v>36</v>
      </c>
      <c r="O1549" s="1" t="s">
        <v>37</v>
      </c>
      <c r="P1549" s="1">
        <v>3.0E7</v>
      </c>
      <c r="Q1549" s="1">
        <v>2002.0</v>
      </c>
      <c r="R1549" s="1">
        <v>585.0</v>
      </c>
      <c r="S1549" s="1">
        <v>495.0</v>
      </c>
      <c r="T1549" s="1">
        <v>64.0</v>
      </c>
      <c r="U1549" s="1">
        <v>1165.0</v>
      </c>
      <c r="V1549" s="1">
        <v>134.0</v>
      </c>
      <c r="W1549" s="1">
        <v>0.0</v>
      </c>
      <c r="X1549" s="1">
        <v>3.0</v>
      </c>
      <c r="Y1549" s="1">
        <v>1.85</v>
      </c>
      <c r="Z1549" s="1">
        <v>5.6</v>
      </c>
    </row>
    <row r="1550" ht="14.25" customHeight="1">
      <c r="A1550" s="1" t="s">
        <v>26</v>
      </c>
      <c r="B1550" s="1" t="s">
        <v>117</v>
      </c>
      <c r="C1550" s="1" t="s">
        <v>7830</v>
      </c>
      <c r="D1550" s="1">
        <v>4.0137776E7</v>
      </c>
      <c r="E1550" s="1" t="s">
        <v>2391</v>
      </c>
      <c r="F1550" s="1" t="s">
        <v>1197</v>
      </c>
      <c r="G1550" s="1" t="s">
        <v>7831</v>
      </c>
      <c r="H1550" s="1" t="s">
        <v>7832</v>
      </c>
      <c r="I1550" s="1">
        <v>186977.0</v>
      </c>
      <c r="J1550" s="1" t="s">
        <v>7833</v>
      </c>
      <c r="K1550" s="1" t="s">
        <v>7834</v>
      </c>
      <c r="L1550" s="1">
        <v>529.0</v>
      </c>
      <c r="M1550" s="1" t="s">
        <v>35</v>
      </c>
      <c r="N1550" s="1" t="s">
        <v>36</v>
      </c>
      <c r="O1550" s="1" t="s">
        <v>37</v>
      </c>
      <c r="P1550" s="1">
        <v>3.8E7</v>
      </c>
      <c r="Q1550" s="1">
        <v>2006.0</v>
      </c>
      <c r="R1550" s="1">
        <v>8000.0</v>
      </c>
      <c r="S1550" s="1">
        <v>189.0</v>
      </c>
      <c r="T1550" s="1">
        <v>77.0</v>
      </c>
      <c r="U1550" s="1">
        <v>8362.0</v>
      </c>
      <c r="V1550" s="1">
        <v>395.0</v>
      </c>
      <c r="W1550" s="1">
        <v>13000.0</v>
      </c>
      <c r="X1550" s="1">
        <v>1.0</v>
      </c>
      <c r="Y1550" s="1">
        <v>1.85</v>
      </c>
      <c r="Z1550" s="1">
        <v>7.6</v>
      </c>
    </row>
    <row r="1551" ht="14.25" customHeight="1">
      <c r="A1551" s="1" t="s">
        <v>26</v>
      </c>
      <c r="B1551" s="1" t="s">
        <v>3363</v>
      </c>
      <c r="C1551" s="1" t="s">
        <v>7835</v>
      </c>
      <c r="D1551" s="1">
        <v>3.9568996E7</v>
      </c>
      <c r="E1551" s="1" t="s">
        <v>6019</v>
      </c>
      <c r="F1551" s="1" t="s">
        <v>2846</v>
      </c>
      <c r="G1551" s="1" t="s">
        <v>7836</v>
      </c>
      <c r="H1551" s="1" t="s">
        <v>7837</v>
      </c>
      <c r="I1551" s="1">
        <v>138435.0</v>
      </c>
      <c r="J1551" s="1" t="s">
        <v>7838</v>
      </c>
      <c r="K1551" s="1" t="s">
        <v>7839</v>
      </c>
      <c r="L1551" s="1">
        <v>527.0</v>
      </c>
      <c r="M1551" s="1" t="s">
        <v>35</v>
      </c>
      <c r="N1551" s="1" t="s">
        <v>36</v>
      </c>
      <c r="O1551" s="1" t="s">
        <v>628</v>
      </c>
      <c r="P1551" s="1">
        <v>3.2E7</v>
      </c>
      <c r="Q1551" s="1">
        <v>2007.0</v>
      </c>
      <c r="R1551" s="1">
        <v>430.0</v>
      </c>
      <c r="S1551" s="1">
        <v>72.0</v>
      </c>
      <c r="T1551" s="1">
        <v>63.0</v>
      </c>
      <c r="U1551" s="1">
        <v>814.0</v>
      </c>
      <c r="V1551" s="1">
        <v>171.0</v>
      </c>
      <c r="W1551" s="1">
        <v>0.0</v>
      </c>
      <c r="X1551" s="1">
        <v>0.0</v>
      </c>
      <c r="Y1551" s="1">
        <v>2.35</v>
      </c>
      <c r="Z1551" s="1">
        <v>6.6</v>
      </c>
    </row>
    <row r="1552" ht="14.25" customHeight="1">
      <c r="A1552" s="1" t="s">
        <v>26</v>
      </c>
      <c r="B1552" s="1" t="s">
        <v>7840</v>
      </c>
      <c r="C1552" s="1" t="s">
        <v>7841</v>
      </c>
      <c r="D1552" s="1">
        <v>4.2043633E7</v>
      </c>
      <c r="E1552" s="1" t="s">
        <v>2546</v>
      </c>
      <c r="F1552" s="1" t="s">
        <v>90</v>
      </c>
      <c r="G1552" s="1" t="s">
        <v>5247</v>
      </c>
      <c r="H1552" s="1" t="s">
        <v>3886</v>
      </c>
      <c r="I1552" s="1">
        <v>277172.0</v>
      </c>
      <c r="J1552" s="1" t="s">
        <v>7842</v>
      </c>
      <c r="K1552" s="1" t="s">
        <v>7843</v>
      </c>
      <c r="L1552" s="1">
        <v>986.0</v>
      </c>
      <c r="M1552" s="1" t="s">
        <v>35</v>
      </c>
      <c r="N1552" s="1" t="s">
        <v>36</v>
      </c>
      <c r="O1552" s="1" t="s">
        <v>628</v>
      </c>
      <c r="P1552" s="1">
        <v>3.0E7</v>
      </c>
      <c r="Q1552" s="1">
        <v>2012.0</v>
      </c>
      <c r="R1552" s="1">
        <v>26000.0</v>
      </c>
      <c r="S1552" s="1">
        <v>821.0</v>
      </c>
      <c r="T1552" s="1">
        <v>751.0</v>
      </c>
      <c r="U1552" s="1">
        <v>29551.0</v>
      </c>
      <c r="V1552" s="1">
        <v>246.0</v>
      </c>
      <c r="W1552" s="1">
        <v>66000.0</v>
      </c>
      <c r="X1552" s="1">
        <v>0.0</v>
      </c>
      <c r="Y1552" s="1">
        <v>2.35</v>
      </c>
      <c r="Z1552" s="1">
        <v>7.0</v>
      </c>
    </row>
    <row r="1553" ht="14.25" customHeight="1">
      <c r="A1553" s="1" t="s">
        <v>26</v>
      </c>
      <c r="B1553" s="1" t="s">
        <v>7844</v>
      </c>
      <c r="C1553" s="1" t="s">
        <v>7845</v>
      </c>
      <c r="D1553" s="1">
        <v>3.8232624E7</v>
      </c>
      <c r="E1553" s="1" t="s">
        <v>1885</v>
      </c>
      <c r="F1553" s="1" t="s">
        <v>2505</v>
      </c>
      <c r="G1553" s="1" t="s">
        <v>827</v>
      </c>
      <c r="H1553" s="1" t="s">
        <v>7846</v>
      </c>
      <c r="I1553" s="1">
        <v>88518.0</v>
      </c>
      <c r="J1553" s="1" t="s">
        <v>7847</v>
      </c>
      <c r="K1553" s="1" t="s">
        <v>7848</v>
      </c>
      <c r="L1553" s="1">
        <v>409.0</v>
      </c>
      <c r="M1553" s="1" t="s">
        <v>35</v>
      </c>
      <c r="N1553" s="1" t="s">
        <v>36</v>
      </c>
      <c r="O1553" s="1" t="s">
        <v>37</v>
      </c>
      <c r="P1553" s="1">
        <v>3.0E7</v>
      </c>
      <c r="Q1553" s="1">
        <v>2008.0</v>
      </c>
      <c r="R1553" s="1">
        <v>869.0</v>
      </c>
      <c r="S1553" s="1">
        <v>759.0</v>
      </c>
      <c r="T1553" s="1">
        <v>362.0</v>
      </c>
      <c r="U1553" s="1">
        <v>3854.0</v>
      </c>
      <c r="V1553" s="1">
        <v>82.0</v>
      </c>
      <c r="W1553" s="1">
        <v>0.0</v>
      </c>
      <c r="X1553" s="1">
        <v>0.0</v>
      </c>
      <c r="Y1553" s="1">
        <v>1.85</v>
      </c>
      <c r="Z1553" s="1">
        <v>2.7</v>
      </c>
    </row>
    <row r="1554" ht="14.25" customHeight="1">
      <c r="A1554" s="1" t="s">
        <v>26</v>
      </c>
      <c r="B1554" s="1" t="s">
        <v>2338</v>
      </c>
      <c r="C1554" s="1" t="s">
        <v>7849</v>
      </c>
      <c r="D1554" s="1">
        <v>3.8413606E7</v>
      </c>
      <c r="E1554" s="1" t="s">
        <v>408</v>
      </c>
      <c r="F1554" s="1" t="s">
        <v>1663</v>
      </c>
      <c r="G1554" s="1" t="s">
        <v>7850</v>
      </c>
      <c r="H1554" s="1" t="s">
        <v>3360</v>
      </c>
      <c r="I1554" s="1">
        <v>54042.0</v>
      </c>
      <c r="J1554" s="1" t="s">
        <v>7851</v>
      </c>
      <c r="K1554" s="1" t="s">
        <v>7852</v>
      </c>
      <c r="L1554" s="1">
        <v>215.0</v>
      </c>
      <c r="M1554" s="1" t="s">
        <v>35</v>
      </c>
      <c r="N1554" s="1" t="s">
        <v>36</v>
      </c>
      <c r="O1554" s="1" t="s">
        <v>628</v>
      </c>
      <c r="P1554" s="1">
        <v>3.0E7</v>
      </c>
      <c r="Q1554" s="1">
        <v>1988.0</v>
      </c>
      <c r="R1554" s="1">
        <v>22000.0</v>
      </c>
      <c r="S1554" s="1">
        <v>581.0</v>
      </c>
      <c r="T1554" s="1">
        <v>497.0</v>
      </c>
      <c r="U1554" s="1">
        <v>23866.0</v>
      </c>
      <c r="V1554" s="1">
        <v>102.0</v>
      </c>
      <c r="W1554" s="1">
        <v>0.0</v>
      </c>
      <c r="X1554" s="1">
        <v>1.0</v>
      </c>
      <c r="Y1554" s="1">
        <v>1.85</v>
      </c>
      <c r="Z1554" s="1">
        <v>7.6</v>
      </c>
    </row>
    <row r="1555" ht="14.25" customHeight="1">
      <c r="A1555" s="1" t="s">
        <v>26</v>
      </c>
      <c r="B1555" s="1" t="s">
        <v>2481</v>
      </c>
      <c r="C1555" s="1" t="s">
        <v>7853</v>
      </c>
      <c r="D1555" s="1">
        <v>3.8122105E7</v>
      </c>
      <c r="E1555" s="1" t="s">
        <v>1345</v>
      </c>
      <c r="F1555" s="1" t="s">
        <v>7850</v>
      </c>
      <c r="G1555" s="1" t="s">
        <v>7854</v>
      </c>
      <c r="H1555" s="1" t="s">
        <v>7855</v>
      </c>
      <c r="I1555" s="1">
        <v>112669.0</v>
      </c>
      <c r="J1555" s="1" t="s">
        <v>7856</v>
      </c>
      <c r="K1555" s="1" t="s">
        <v>7857</v>
      </c>
      <c r="L1555" s="1">
        <v>226.0</v>
      </c>
      <c r="M1555" s="1" t="s">
        <v>35</v>
      </c>
      <c r="N1555" s="1" t="s">
        <v>36</v>
      </c>
      <c r="O1555" s="1" t="s">
        <v>628</v>
      </c>
      <c r="P1555" s="1">
        <v>2.7E7</v>
      </c>
      <c r="Q1555" s="1">
        <v>1987.0</v>
      </c>
      <c r="R1555" s="1">
        <v>581.0</v>
      </c>
      <c r="S1555" s="1">
        <v>571.0</v>
      </c>
      <c r="T1555" s="1">
        <v>384.0</v>
      </c>
      <c r="U1555" s="1">
        <v>2373.0</v>
      </c>
      <c r="V1555" s="1">
        <v>343.0</v>
      </c>
      <c r="W1555" s="1">
        <v>0.0</v>
      </c>
      <c r="X1555" s="1">
        <v>1.0</v>
      </c>
      <c r="Y1555" s="1">
        <v>1.37</v>
      </c>
      <c r="Z1555" s="1">
        <v>6.6</v>
      </c>
    </row>
    <row r="1556" ht="14.25" customHeight="1">
      <c r="A1556" s="1" t="s">
        <v>26</v>
      </c>
      <c r="B1556" s="1" t="s">
        <v>1872</v>
      </c>
      <c r="C1556" s="1" t="s">
        <v>7858</v>
      </c>
      <c r="D1556" s="1">
        <v>3.8747385E7</v>
      </c>
      <c r="E1556" s="1" t="s">
        <v>7859</v>
      </c>
      <c r="F1556" s="1" t="s">
        <v>534</v>
      </c>
      <c r="G1556" s="1" t="s">
        <v>3902</v>
      </c>
      <c r="H1556" s="1" t="s">
        <v>7860</v>
      </c>
      <c r="I1556" s="1">
        <v>49349.0</v>
      </c>
      <c r="J1556" s="1" t="s">
        <v>7861</v>
      </c>
      <c r="K1556" s="1" t="s">
        <v>7862</v>
      </c>
      <c r="L1556" s="1">
        <v>165.0</v>
      </c>
      <c r="M1556" s="1" t="s">
        <v>35</v>
      </c>
      <c r="N1556" s="1" t="s">
        <v>36</v>
      </c>
      <c r="O1556" s="1" t="s">
        <v>37</v>
      </c>
      <c r="P1556" s="1">
        <v>2.5E7</v>
      </c>
      <c r="Q1556" s="1">
        <v>1986.0</v>
      </c>
      <c r="R1556" s="1">
        <v>13000.0</v>
      </c>
      <c r="S1556" s="1">
        <v>854.0</v>
      </c>
      <c r="T1556" s="1">
        <v>413.0</v>
      </c>
      <c r="U1556" s="1">
        <v>15308.0</v>
      </c>
      <c r="V1556" s="1">
        <v>0.0</v>
      </c>
      <c r="W1556" s="1">
        <v>0.0</v>
      </c>
      <c r="X1556" s="1">
        <v>2.0</v>
      </c>
      <c r="Y1556" s="1">
        <v>1.85</v>
      </c>
      <c r="Z1556" s="1">
        <v>6.9</v>
      </c>
    </row>
    <row r="1557" ht="14.25" customHeight="1">
      <c r="A1557" s="1" t="s">
        <v>26</v>
      </c>
      <c r="B1557" s="1" t="s">
        <v>903</v>
      </c>
      <c r="C1557" s="1" t="s">
        <v>7863</v>
      </c>
      <c r="D1557" s="1">
        <v>4.0247512E7</v>
      </c>
      <c r="E1557" s="1" t="s">
        <v>886</v>
      </c>
      <c r="F1557" s="1" t="s">
        <v>7864</v>
      </c>
      <c r="G1557" s="1" t="s">
        <v>7865</v>
      </c>
      <c r="H1557" s="1" t="s">
        <v>7866</v>
      </c>
      <c r="I1557" s="1">
        <v>159198.0</v>
      </c>
      <c r="J1557" s="1" t="s">
        <v>7867</v>
      </c>
      <c r="K1557" s="1" t="s">
        <v>7868</v>
      </c>
      <c r="L1557" s="1">
        <v>438.0</v>
      </c>
      <c r="M1557" s="1" t="s">
        <v>35</v>
      </c>
      <c r="N1557" s="1" t="s">
        <v>36</v>
      </c>
      <c r="O1557" s="1" t="s">
        <v>37</v>
      </c>
      <c r="P1557" s="1">
        <v>3.0E7</v>
      </c>
      <c r="Q1557" s="1">
        <v>2011.0</v>
      </c>
      <c r="R1557" s="1">
        <v>157.0</v>
      </c>
      <c r="S1557" s="1">
        <v>33.0</v>
      </c>
      <c r="T1557" s="1">
        <v>21.0</v>
      </c>
      <c r="U1557" s="1">
        <v>257.0</v>
      </c>
      <c r="V1557" s="1">
        <v>456.0</v>
      </c>
      <c r="W1557" s="1">
        <v>38000.0</v>
      </c>
      <c r="X1557" s="1">
        <v>0.0</v>
      </c>
      <c r="Y1557" s="1">
        <v>2.35</v>
      </c>
      <c r="Z1557" s="1">
        <v>6.8</v>
      </c>
    </row>
    <row r="1558" ht="14.25" customHeight="1">
      <c r="A1558" s="1" t="s">
        <v>26</v>
      </c>
      <c r="B1558" s="1" t="s">
        <v>7869</v>
      </c>
      <c r="C1558" s="1" t="s">
        <v>7870</v>
      </c>
      <c r="D1558" s="1">
        <v>3.5927406E7</v>
      </c>
      <c r="E1558" s="1" t="s">
        <v>254</v>
      </c>
      <c r="F1558" s="1" t="s">
        <v>4276</v>
      </c>
      <c r="G1558" s="1" t="s">
        <v>3313</v>
      </c>
      <c r="H1558" s="1" t="s">
        <v>5189</v>
      </c>
      <c r="I1558" s="1">
        <v>36363.0</v>
      </c>
      <c r="J1558" s="1" t="s">
        <v>7871</v>
      </c>
      <c r="K1558" s="1" t="s">
        <v>7872</v>
      </c>
      <c r="L1558" s="1">
        <v>256.0</v>
      </c>
      <c r="M1558" s="1" t="s">
        <v>35</v>
      </c>
      <c r="N1558" s="1" t="s">
        <v>36</v>
      </c>
      <c r="O1558" s="1" t="s">
        <v>37</v>
      </c>
      <c r="P1558" s="1">
        <v>3.0E7</v>
      </c>
      <c r="Q1558" s="1">
        <v>1997.0</v>
      </c>
      <c r="R1558" s="1">
        <v>663.0</v>
      </c>
      <c r="S1558" s="1">
        <v>349.0</v>
      </c>
      <c r="T1558" s="1">
        <v>342.0</v>
      </c>
      <c r="U1558" s="1">
        <v>2266.0</v>
      </c>
      <c r="V1558" s="1">
        <v>40.0</v>
      </c>
      <c r="W1558" s="1">
        <v>1000.0</v>
      </c>
      <c r="X1558" s="1">
        <v>0.0</v>
      </c>
      <c r="Y1558" s="1">
        <v>1.85</v>
      </c>
      <c r="Z1558" s="1">
        <v>3.7</v>
      </c>
    </row>
    <row r="1559" ht="14.25" customHeight="1">
      <c r="A1559" s="1" t="s">
        <v>26</v>
      </c>
      <c r="B1559" s="1" t="s">
        <v>314</v>
      </c>
      <c r="C1559" s="1" t="s">
        <v>7873</v>
      </c>
      <c r="D1559" s="1">
        <v>3.5565975E7</v>
      </c>
      <c r="E1559" s="1" t="s">
        <v>1359</v>
      </c>
      <c r="F1559" s="1" t="s">
        <v>314</v>
      </c>
      <c r="G1559" s="1" t="s">
        <v>4254</v>
      </c>
      <c r="H1559" s="1" t="s">
        <v>5803</v>
      </c>
      <c r="I1559" s="1">
        <v>49205.0</v>
      </c>
      <c r="J1559" s="1" t="s">
        <v>7874</v>
      </c>
      <c r="K1559" s="1" t="s">
        <v>7875</v>
      </c>
      <c r="L1559" s="1">
        <v>184.0</v>
      </c>
      <c r="M1559" s="1" t="s">
        <v>35</v>
      </c>
      <c r="N1559" s="1" t="s">
        <v>36</v>
      </c>
      <c r="O1559" s="1" t="s">
        <v>37</v>
      </c>
      <c r="P1559" s="1">
        <v>3.0E7</v>
      </c>
      <c r="Q1559" s="1">
        <v>2011.0</v>
      </c>
      <c r="R1559" s="1">
        <v>15000.0</v>
      </c>
      <c r="S1559" s="1">
        <v>839.0</v>
      </c>
      <c r="T1559" s="1">
        <v>392.0</v>
      </c>
      <c r="U1559" s="1">
        <v>16827.0</v>
      </c>
      <c r="V1559" s="1">
        <v>15000.0</v>
      </c>
      <c r="W1559" s="1">
        <v>0.0</v>
      </c>
      <c r="X1559" s="1">
        <v>0.0</v>
      </c>
      <c r="Y1559" s="1">
        <v>2.35</v>
      </c>
      <c r="Z1559" s="1">
        <v>6.1</v>
      </c>
    </row>
    <row r="1560" ht="14.25" customHeight="1">
      <c r="A1560" s="1" t="s">
        <v>26</v>
      </c>
      <c r="B1560" s="1" t="s">
        <v>7876</v>
      </c>
      <c r="C1560" s="1" t="s">
        <v>7877</v>
      </c>
      <c r="D1560" s="1">
        <v>3.5266619E7</v>
      </c>
      <c r="E1560" s="1" t="s">
        <v>4777</v>
      </c>
      <c r="F1560" s="1" t="s">
        <v>475</v>
      </c>
      <c r="G1560" s="1" t="s">
        <v>228</v>
      </c>
      <c r="H1560" s="1" t="s">
        <v>7421</v>
      </c>
      <c r="I1560" s="1">
        <v>108242.0</v>
      </c>
      <c r="J1560" s="1" t="s">
        <v>7878</v>
      </c>
      <c r="K1560" s="1" t="s">
        <v>7879</v>
      </c>
      <c r="L1560" s="1">
        <v>371.0</v>
      </c>
      <c r="M1560" s="1" t="s">
        <v>35</v>
      </c>
      <c r="N1560" s="1" t="s">
        <v>36</v>
      </c>
      <c r="O1560" s="1" t="s">
        <v>628</v>
      </c>
      <c r="P1560" s="1">
        <v>3.0E7</v>
      </c>
      <c r="Q1560" s="1">
        <v>2013.0</v>
      </c>
      <c r="R1560" s="1">
        <v>17000.0</v>
      </c>
      <c r="S1560" s="1">
        <v>2000.0</v>
      </c>
      <c r="T1560" s="1">
        <v>534.0</v>
      </c>
      <c r="U1560" s="1">
        <v>20051.0</v>
      </c>
      <c r="V1560" s="1">
        <v>108.0</v>
      </c>
      <c r="W1560" s="1">
        <v>39000.0</v>
      </c>
      <c r="X1560" s="1">
        <v>1.0</v>
      </c>
      <c r="Y1560" s="1">
        <v>2.35</v>
      </c>
      <c r="Z1560" s="1">
        <v>5.9</v>
      </c>
    </row>
    <row r="1561" ht="14.25" customHeight="1">
      <c r="A1561" s="1" t="s">
        <v>26</v>
      </c>
      <c r="B1561" s="1" t="s">
        <v>7880</v>
      </c>
      <c r="C1561" s="1" t="s">
        <v>7881</v>
      </c>
      <c r="D1561" s="1">
        <v>3.4703228E7</v>
      </c>
      <c r="E1561" s="1" t="s">
        <v>5819</v>
      </c>
      <c r="F1561" s="1" t="s">
        <v>1186</v>
      </c>
      <c r="G1561" s="1" t="s">
        <v>7882</v>
      </c>
      <c r="H1561" s="1" t="s">
        <v>7883</v>
      </c>
      <c r="I1561" s="1">
        <v>21767.0</v>
      </c>
      <c r="J1561" s="1" t="s">
        <v>7884</v>
      </c>
      <c r="K1561" s="1" t="s">
        <v>7885</v>
      </c>
      <c r="L1561" s="1">
        <v>127.0</v>
      </c>
      <c r="M1561" s="1" t="s">
        <v>35</v>
      </c>
      <c r="N1561" s="1" t="s">
        <v>36</v>
      </c>
      <c r="O1561" s="1" t="s">
        <v>37</v>
      </c>
      <c r="P1561" s="1">
        <v>3.0E7</v>
      </c>
      <c r="Q1561" s="1">
        <v>2006.0</v>
      </c>
      <c r="R1561" s="1">
        <v>1000.0</v>
      </c>
      <c r="S1561" s="1">
        <v>712.0</v>
      </c>
      <c r="T1561" s="1">
        <v>439.0</v>
      </c>
      <c r="U1561" s="1">
        <v>3797.0</v>
      </c>
      <c r="V1561" s="1">
        <v>3.0</v>
      </c>
      <c r="W1561" s="1">
        <v>0.0</v>
      </c>
      <c r="X1561" s="1">
        <v>0.0</v>
      </c>
      <c r="Y1561" s="1">
        <v>1.85</v>
      </c>
      <c r="Z1561" s="1">
        <v>6.7</v>
      </c>
    </row>
    <row r="1562" ht="14.25" customHeight="1">
      <c r="A1562" s="1" t="s">
        <v>26</v>
      </c>
      <c r="B1562" s="1" t="s">
        <v>7886</v>
      </c>
      <c r="C1562" s="1" t="s">
        <v>7887</v>
      </c>
      <c r="D1562" s="1">
        <v>3.8432823E7</v>
      </c>
      <c r="E1562" s="1" t="s">
        <v>7888</v>
      </c>
      <c r="F1562" s="1" t="s">
        <v>1036</v>
      </c>
      <c r="G1562" s="1" t="s">
        <v>7889</v>
      </c>
      <c r="H1562" s="1" t="s">
        <v>273</v>
      </c>
      <c r="I1562" s="1">
        <v>33067.0</v>
      </c>
      <c r="J1562" s="1" t="s">
        <v>7890</v>
      </c>
      <c r="K1562" s="1" t="s">
        <v>7891</v>
      </c>
      <c r="L1562" s="1">
        <v>134.0</v>
      </c>
      <c r="M1562" s="1" t="s">
        <v>35</v>
      </c>
      <c r="N1562" s="1" t="s">
        <v>36</v>
      </c>
      <c r="O1562" s="1" t="s">
        <v>37</v>
      </c>
      <c r="P1562" s="1">
        <v>3.0E7</v>
      </c>
      <c r="Q1562" s="1">
        <v>2006.0</v>
      </c>
      <c r="R1562" s="1">
        <v>12000.0</v>
      </c>
      <c r="S1562" s="1">
        <v>2000.0</v>
      </c>
      <c r="T1562" s="1">
        <v>581.0</v>
      </c>
      <c r="U1562" s="1">
        <v>15811.0</v>
      </c>
      <c r="V1562" s="1">
        <v>21.0</v>
      </c>
      <c r="W1562" s="1">
        <v>0.0</v>
      </c>
      <c r="X1562" s="1">
        <v>1.0</v>
      </c>
      <c r="Y1562" s="1">
        <v>2.35</v>
      </c>
      <c r="Z1562" s="1">
        <v>6.9</v>
      </c>
    </row>
    <row r="1563" ht="14.25" customHeight="1">
      <c r="A1563" s="1" t="s">
        <v>26</v>
      </c>
      <c r="B1563" s="1" t="s">
        <v>4339</v>
      </c>
      <c r="C1563" s="1" t="s">
        <v>7892</v>
      </c>
      <c r="D1563" s="1">
        <v>3.2095318E7</v>
      </c>
      <c r="E1563" s="1" t="s">
        <v>972</v>
      </c>
      <c r="F1563" s="1" t="s">
        <v>767</v>
      </c>
      <c r="G1563" s="1" t="s">
        <v>2371</v>
      </c>
      <c r="H1563" s="1" t="s">
        <v>2838</v>
      </c>
      <c r="I1563" s="1">
        <v>12466.0</v>
      </c>
      <c r="J1563" s="1" t="s">
        <v>7893</v>
      </c>
      <c r="K1563" s="1" t="s">
        <v>7894</v>
      </c>
      <c r="L1563" s="1">
        <v>84.0</v>
      </c>
      <c r="M1563" s="1" t="s">
        <v>35</v>
      </c>
      <c r="N1563" s="1" t="s">
        <v>36</v>
      </c>
      <c r="O1563" s="1" t="s">
        <v>37</v>
      </c>
      <c r="P1563" s="1">
        <v>4.5E7</v>
      </c>
      <c r="Q1563" s="1">
        <v>2001.0</v>
      </c>
      <c r="R1563" s="1">
        <v>1000.0</v>
      </c>
      <c r="S1563" s="1">
        <v>611.0</v>
      </c>
      <c r="T1563" s="1">
        <v>506.0</v>
      </c>
      <c r="U1563" s="1">
        <v>3664.0</v>
      </c>
      <c r="V1563" s="1">
        <v>39.0</v>
      </c>
      <c r="W1563" s="1">
        <v>304.0</v>
      </c>
      <c r="X1563" s="1">
        <v>0.0</v>
      </c>
      <c r="Y1563" s="1">
        <v>1.85</v>
      </c>
      <c r="Z1563" s="1">
        <v>5.5</v>
      </c>
    </row>
    <row r="1564" ht="14.25" customHeight="1">
      <c r="A1564" s="1" t="s">
        <v>26</v>
      </c>
      <c r="B1564" s="1" t="s">
        <v>7895</v>
      </c>
      <c r="C1564" s="1">
        <v>9.0</v>
      </c>
      <c r="D1564" s="1">
        <v>3.1743332E7</v>
      </c>
      <c r="E1564" s="1" t="s">
        <v>7896</v>
      </c>
      <c r="F1564" s="1" t="s">
        <v>3095</v>
      </c>
      <c r="G1564" s="1" t="s">
        <v>7897</v>
      </c>
      <c r="H1564" s="1" t="s">
        <v>7898</v>
      </c>
      <c r="I1564" s="1">
        <v>111117.0</v>
      </c>
      <c r="J1564" s="1" t="s">
        <v>7899</v>
      </c>
      <c r="K1564" s="1" t="s">
        <v>7900</v>
      </c>
      <c r="L1564" s="1">
        <v>245.0</v>
      </c>
      <c r="M1564" s="1" t="s">
        <v>35</v>
      </c>
      <c r="N1564" s="1" t="s">
        <v>36</v>
      </c>
      <c r="O1564" s="1" t="s">
        <v>37</v>
      </c>
      <c r="P1564" s="1">
        <v>3.0E7</v>
      </c>
      <c r="Q1564" s="1">
        <v>2009.0</v>
      </c>
      <c r="R1564" s="1">
        <v>940.0</v>
      </c>
      <c r="S1564" s="1">
        <v>271.0</v>
      </c>
      <c r="T1564" s="1">
        <v>265.0</v>
      </c>
      <c r="U1564" s="1">
        <v>1594.0</v>
      </c>
      <c r="V1564" s="1">
        <v>30.0</v>
      </c>
      <c r="W1564" s="1">
        <v>13000.0</v>
      </c>
      <c r="X1564" s="1">
        <v>0.0</v>
      </c>
      <c r="Y1564" s="1">
        <v>1.85</v>
      </c>
      <c r="Z1564" s="1">
        <v>7.1</v>
      </c>
    </row>
    <row r="1565" ht="14.25" customHeight="1">
      <c r="A1565" s="1" t="s">
        <v>26</v>
      </c>
      <c r="B1565" s="1" t="s">
        <v>1456</v>
      </c>
      <c r="C1565" s="1" t="s">
        <v>7901</v>
      </c>
      <c r="D1565" s="1">
        <v>3.215441E7</v>
      </c>
      <c r="E1565" s="1" t="s">
        <v>2045</v>
      </c>
      <c r="F1565" s="1" t="s">
        <v>430</v>
      </c>
      <c r="G1565" s="1" t="s">
        <v>4908</v>
      </c>
      <c r="H1565" s="1" t="s">
        <v>7902</v>
      </c>
      <c r="I1565" s="1">
        <v>148327.0</v>
      </c>
      <c r="J1565" s="1" t="s">
        <v>7903</v>
      </c>
      <c r="K1565" s="1" t="s">
        <v>7904</v>
      </c>
      <c r="L1565" s="1">
        <v>274.0</v>
      </c>
      <c r="M1565" s="1" t="s">
        <v>35</v>
      </c>
      <c r="N1565" s="1" t="s">
        <v>36</v>
      </c>
      <c r="O1565" s="1" t="s">
        <v>628</v>
      </c>
      <c r="P1565" s="1">
        <v>3.0E7</v>
      </c>
      <c r="Q1565" s="1">
        <v>2013.0</v>
      </c>
      <c r="R1565" s="1">
        <v>17000.0</v>
      </c>
      <c r="S1565" s="1">
        <v>681.0</v>
      </c>
      <c r="T1565" s="1">
        <v>273.0</v>
      </c>
      <c r="U1565" s="1">
        <v>18469.0</v>
      </c>
      <c r="V1565" s="1">
        <v>0.0</v>
      </c>
      <c r="W1565" s="1">
        <v>29000.0</v>
      </c>
      <c r="X1565" s="1">
        <v>0.0</v>
      </c>
      <c r="Y1565" s="1">
        <v>1.85</v>
      </c>
      <c r="Z1565" s="1">
        <v>7.1</v>
      </c>
    </row>
    <row r="1566" ht="14.25" customHeight="1">
      <c r="A1566" s="1" t="s">
        <v>26</v>
      </c>
      <c r="B1566" s="1" t="s">
        <v>7905</v>
      </c>
      <c r="C1566" s="1" t="s">
        <v>7906</v>
      </c>
      <c r="D1566" s="1">
        <v>2.6687172E7</v>
      </c>
      <c r="E1566" s="1" t="s">
        <v>1224</v>
      </c>
      <c r="F1566" s="1" t="s">
        <v>618</v>
      </c>
      <c r="G1566" s="1" t="s">
        <v>7907</v>
      </c>
      <c r="H1566" s="1" t="s">
        <v>7908</v>
      </c>
      <c r="I1566" s="1">
        <v>15600.0</v>
      </c>
      <c r="J1566" s="1" t="s">
        <v>7909</v>
      </c>
      <c r="K1566" s="1" t="s">
        <v>7910</v>
      </c>
      <c r="L1566" s="1">
        <v>55.0</v>
      </c>
      <c r="M1566" s="1" t="s">
        <v>35</v>
      </c>
      <c r="N1566" s="1" t="s">
        <v>36</v>
      </c>
      <c r="O1566" s="1" t="s">
        <v>269</v>
      </c>
      <c r="P1566" s="1">
        <v>3.0E7</v>
      </c>
      <c r="Q1566" s="1">
        <v>2011.0</v>
      </c>
      <c r="R1566" s="1">
        <v>759.0</v>
      </c>
      <c r="S1566" s="1">
        <v>73.0</v>
      </c>
      <c r="T1566" s="1">
        <v>69.0</v>
      </c>
      <c r="U1566" s="1">
        <v>1002.0</v>
      </c>
      <c r="V1566" s="1">
        <v>15.0</v>
      </c>
      <c r="W1566" s="1">
        <v>0.0</v>
      </c>
      <c r="X1566" s="1">
        <v>0.0</v>
      </c>
      <c r="Y1566" s="1">
        <v>1.85</v>
      </c>
      <c r="Z1566" s="1">
        <v>7.3</v>
      </c>
    </row>
    <row r="1567" ht="14.25" customHeight="1">
      <c r="A1567" s="1" t="s">
        <v>26</v>
      </c>
      <c r="B1567" s="1" t="s">
        <v>7911</v>
      </c>
      <c r="C1567" s="1" t="s">
        <v>7912</v>
      </c>
      <c r="D1567" s="1">
        <v>2.6096584E7</v>
      </c>
      <c r="E1567" s="1" t="s">
        <v>1885</v>
      </c>
      <c r="F1567" s="1" t="s">
        <v>7913</v>
      </c>
      <c r="G1567" s="1" t="s">
        <v>5753</v>
      </c>
      <c r="H1567" s="1" t="s">
        <v>7914</v>
      </c>
      <c r="I1567" s="1">
        <v>30651.0</v>
      </c>
      <c r="J1567" s="1" t="s">
        <v>7915</v>
      </c>
      <c r="K1567" s="1" t="s">
        <v>7916</v>
      </c>
      <c r="L1567" s="1">
        <v>267.0</v>
      </c>
      <c r="M1567" s="1" t="s">
        <v>35</v>
      </c>
      <c r="N1567" s="1" t="s">
        <v>36</v>
      </c>
      <c r="O1567" s="1" t="s">
        <v>37</v>
      </c>
      <c r="P1567" s="1">
        <v>1.9E7</v>
      </c>
      <c r="Q1567" s="1">
        <v>2003.0</v>
      </c>
      <c r="R1567" s="1">
        <v>577.0</v>
      </c>
      <c r="S1567" s="1">
        <v>291.0</v>
      </c>
      <c r="T1567" s="1">
        <v>244.0</v>
      </c>
      <c r="U1567" s="1">
        <v>1653.0</v>
      </c>
      <c r="V1567" s="1">
        <v>14.0</v>
      </c>
      <c r="W1567" s="1">
        <v>1000.0</v>
      </c>
      <c r="X1567" s="1">
        <v>0.0</v>
      </c>
      <c r="Y1567" s="1">
        <v>1.37</v>
      </c>
      <c r="Z1567" s="1">
        <v>3.4</v>
      </c>
    </row>
    <row r="1568" ht="14.25" customHeight="1">
      <c r="A1568" s="1" t="s">
        <v>26</v>
      </c>
      <c r="B1568" s="1" t="s">
        <v>1600</v>
      </c>
      <c r="C1568" s="1" t="s">
        <v>7917</v>
      </c>
      <c r="D1568" s="1">
        <v>2.6525834E7</v>
      </c>
      <c r="E1568" s="1" t="s">
        <v>1359</v>
      </c>
      <c r="F1568" s="1" t="s">
        <v>1600</v>
      </c>
      <c r="G1568" s="1" t="s">
        <v>7918</v>
      </c>
      <c r="H1568" s="1" t="s">
        <v>7919</v>
      </c>
      <c r="I1568" s="1">
        <v>21998.0</v>
      </c>
      <c r="J1568" s="1" t="s">
        <v>7920</v>
      </c>
      <c r="K1568" s="1" t="s">
        <v>7921</v>
      </c>
      <c r="L1568" s="1">
        <v>227.0</v>
      </c>
      <c r="M1568" s="1" t="s">
        <v>35</v>
      </c>
      <c r="N1568" s="1" t="s">
        <v>36</v>
      </c>
      <c r="O1568" s="1" t="s">
        <v>628</v>
      </c>
      <c r="P1568" s="1">
        <v>3.0E7</v>
      </c>
      <c r="Q1568" s="1">
        <v>1998.0</v>
      </c>
      <c r="R1568" s="1">
        <v>631.0</v>
      </c>
      <c r="S1568" s="1">
        <v>199.0</v>
      </c>
      <c r="T1568" s="1">
        <v>95.0</v>
      </c>
      <c r="U1568" s="1">
        <v>1023.0</v>
      </c>
      <c r="V1568" s="1">
        <v>631.0</v>
      </c>
      <c r="W1568" s="1">
        <v>0.0</v>
      </c>
      <c r="X1568" s="1">
        <v>1.0</v>
      </c>
      <c r="Y1568" s="1">
        <v>1.85</v>
      </c>
      <c r="Z1568" s="1">
        <v>6.8</v>
      </c>
    </row>
    <row r="1569" ht="14.25" customHeight="1">
      <c r="A1569" s="1" t="s">
        <v>26</v>
      </c>
      <c r="B1569" s="1" t="s">
        <v>3281</v>
      </c>
      <c r="C1569" s="1" t="s">
        <v>7922</v>
      </c>
      <c r="D1569" s="1">
        <v>3.051394E7</v>
      </c>
      <c r="E1569" s="1" t="s">
        <v>4075</v>
      </c>
      <c r="F1569" s="1" t="s">
        <v>7923</v>
      </c>
      <c r="G1569" s="1" t="s">
        <v>7924</v>
      </c>
      <c r="H1569" s="1" t="s">
        <v>7925</v>
      </c>
      <c r="I1569" s="1">
        <v>15843.0</v>
      </c>
      <c r="J1569" s="1" t="s">
        <v>7926</v>
      </c>
      <c r="K1569" s="1" t="s">
        <v>7927</v>
      </c>
      <c r="L1569" s="1">
        <v>104.0</v>
      </c>
      <c r="M1569" s="1" t="s">
        <v>35</v>
      </c>
      <c r="N1569" s="1" t="s">
        <v>36</v>
      </c>
      <c r="O1569" s="1" t="s">
        <v>37</v>
      </c>
      <c r="P1569" s="1">
        <v>3.0E7</v>
      </c>
      <c r="Q1569" s="1">
        <v>2014.0</v>
      </c>
      <c r="R1569" s="1">
        <v>521.0</v>
      </c>
      <c r="S1569" s="1">
        <v>491.0</v>
      </c>
      <c r="T1569" s="1">
        <v>400.0</v>
      </c>
      <c r="U1569" s="1">
        <v>2060.0</v>
      </c>
      <c r="V1569" s="1">
        <v>150.0</v>
      </c>
      <c r="W1569" s="1">
        <v>11000.0</v>
      </c>
      <c r="X1569" s="1">
        <v>0.0</v>
      </c>
      <c r="Y1569" s="1">
        <v>1.85</v>
      </c>
      <c r="Z1569" s="1">
        <v>6.9</v>
      </c>
    </row>
    <row r="1570" ht="14.25" customHeight="1">
      <c r="A1570" s="1" t="s">
        <v>26</v>
      </c>
      <c r="B1570" s="1" t="s">
        <v>4985</v>
      </c>
      <c r="C1570" s="1" t="s">
        <v>7928</v>
      </c>
      <c r="D1570" s="1">
        <v>2.320944E7</v>
      </c>
      <c r="E1570" s="1" t="s">
        <v>3238</v>
      </c>
      <c r="F1570" s="1" t="s">
        <v>2286</v>
      </c>
      <c r="G1570" s="1" t="s">
        <v>183</v>
      </c>
      <c r="H1570" s="1" t="s">
        <v>895</v>
      </c>
      <c r="I1570" s="1">
        <v>9283.0</v>
      </c>
      <c r="J1570" s="1" t="s">
        <v>7929</v>
      </c>
      <c r="K1570" s="1" t="s">
        <v>7930</v>
      </c>
      <c r="L1570" s="1">
        <v>112.0</v>
      </c>
      <c r="M1570" s="1" t="s">
        <v>35</v>
      </c>
      <c r="N1570" s="1" t="s">
        <v>36</v>
      </c>
      <c r="O1570" s="1" t="s">
        <v>628</v>
      </c>
      <c r="P1570" s="1">
        <v>3.0E7</v>
      </c>
      <c r="Q1570" s="1">
        <v>1998.0</v>
      </c>
      <c r="R1570" s="1">
        <v>11000.0</v>
      </c>
      <c r="S1570" s="1">
        <v>882.0</v>
      </c>
      <c r="T1570" s="1">
        <v>433.0</v>
      </c>
      <c r="U1570" s="1">
        <v>12785.0</v>
      </c>
      <c r="V1570" s="1">
        <v>73.0</v>
      </c>
      <c r="W1570" s="1">
        <v>592.0</v>
      </c>
      <c r="X1570" s="1">
        <v>3.0</v>
      </c>
      <c r="Y1570" s="1">
        <v>1.85</v>
      </c>
      <c r="Z1570" s="1">
        <v>7.0</v>
      </c>
    </row>
    <row r="1571" ht="14.25" customHeight="1">
      <c r="A1571" s="1" t="s">
        <v>26</v>
      </c>
      <c r="B1571" s="1" t="s">
        <v>7931</v>
      </c>
      <c r="C1571" s="1" t="s">
        <v>7932</v>
      </c>
      <c r="D1571" s="1">
        <v>2.4048E7</v>
      </c>
      <c r="E1571" s="1" t="s">
        <v>1345</v>
      </c>
      <c r="F1571" s="1" t="s">
        <v>1644</v>
      </c>
      <c r="G1571" s="1" t="s">
        <v>5557</v>
      </c>
      <c r="H1571" s="1" t="s">
        <v>5407</v>
      </c>
      <c r="I1571" s="1">
        <v>23579.0</v>
      </c>
      <c r="J1571" s="1" t="s">
        <v>7933</v>
      </c>
      <c r="K1571" s="1" t="s">
        <v>7934</v>
      </c>
      <c r="L1571" s="1">
        <v>88.0</v>
      </c>
      <c r="M1571" s="1" t="s">
        <v>35</v>
      </c>
      <c r="N1571" s="1" t="s">
        <v>36</v>
      </c>
      <c r="O1571" s="1" t="s">
        <v>628</v>
      </c>
      <c r="P1571" s="1">
        <v>3.0E7</v>
      </c>
      <c r="Q1571" s="1">
        <v>1995.0</v>
      </c>
      <c r="R1571" s="1">
        <v>18000.0</v>
      </c>
      <c r="S1571" s="1">
        <v>723.0</v>
      </c>
      <c r="T1571" s="1">
        <v>650.0</v>
      </c>
      <c r="U1571" s="1">
        <v>20772.0</v>
      </c>
      <c r="V1571" s="1">
        <v>32.0</v>
      </c>
      <c r="W1571" s="1">
        <v>0.0</v>
      </c>
      <c r="X1571" s="1">
        <v>1.0</v>
      </c>
      <c r="Y1571" s="1">
        <v>2.35</v>
      </c>
      <c r="Z1571" s="1">
        <v>5.5</v>
      </c>
    </row>
    <row r="1572" ht="14.25" customHeight="1">
      <c r="A1572" s="1" t="s">
        <v>26</v>
      </c>
      <c r="B1572" s="1" t="s">
        <v>2580</v>
      </c>
      <c r="C1572" s="1" t="s">
        <v>7935</v>
      </c>
      <c r="D1572" s="1">
        <v>2.2526144E7</v>
      </c>
      <c r="E1572" s="1" t="s">
        <v>2370</v>
      </c>
      <c r="F1572" s="1" t="s">
        <v>465</v>
      </c>
      <c r="G1572" s="1" t="s">
        <v>302</v>
      </c>
      <c r="H1572" s="1" t="s">
        <v>2167</v>
      </c>
      <c r="I1572" s="1">
        <v>53884.0</v>
      </c>
      <c r="J1572" s="1" t="s">
        <v>7936</v>
      </c>
      <c r="K1572" s="1" t="s">
        <v>7937</v>
      </c>
      <c r="L1572" s="1">
        <v>203.0</v>
      </c>
      <c r="M1572" s="1" t="s">
        <v>35</v>
      </c>
      <c r="N1572" s="1" t="s">
        <v>36</v>
      </c>
      <c r="O1572" s="1" t="s">
        <v>37</v>
      </c>
      <c r="P1572" s="1">
        <v>3.0E7</v>
      </c>
      <c r="Q1572" s="1">
        <v>2006.0</v>
      </c>
      <c r="R1572" s="1">
        <v>973.0</v>
      </c>
      <c r="S1572" s="1">
        <v>776.0</v>
      </c>
      <c r="T1572" s="1">
        <v>560.0</v>
      </c>
      <c r="U1572" s="1">
        <v>2737.0</v>
      </c>
      <c r="V1572" s="1">
        <v>425.0</v>
      </c>
      <c r="W1572" s="1">
        <v>1000.0</v>
      </c>
      <c r="X1572" s="1">
        <v>1.0</v>
      </c>
      <c r="Y1572" s="1">
        <v>2.35</v>
      </c>
      <c r="Z1572" s="1">
        <v>5.1</v>
      </c>
    </row>
    <row r="1573" ht="14.25" customHeight="1">
      <c r="A1573" s="1" t="s">
        <v>26</v>
      </c>
      <c r="B1573" s="1" t="s">
        <v>2564</v>
      </c>
      <c r="C1573" s="1" t="s">
        <v>7938</v>
      </c>
      <c r="D1573" s="1">
        <v>3.0523568E7</v>
      </c>
      <c r="E1573" s="1" t="s">
        <v>2882</v>
      </c>
      <c r="F1573" s="1" t="s">
        <v>4178</v>
      </c>
      <c r="G1573" s="1" t="s">
        <v>2612</v>
      </c>
      <c r="H1573" s="1" t="s">
        <v>841</v>
      </c>
      <c r="I1573" s="1">
        <v>54447.0</v>
      </c>
      <c r="J1573" s="1" t="s">
        <v>7939</v>
      </c>
      <c r="K1573" s="1" t="s">
        <v>7940</v>
      </c>
      <c r="L1573" s="1">
        <v>201.0</v>
      </c>
      <c r="M1573" s="1" t="s">
        <v>35</v>
      </c>
      <c r="N1573" s="1" t="s">
        <v>36</v>
      </c>
      <c r="O1573" s="1" t="s">
        <v>628</v>
      </c>
      <c r="P1573" s="1">
        <v>3.0E7</v>
      </c>
      <c r="Q1573" s="1">
        <v>2014.0</v>
      </c>
      <c r="R1573" s="1">
        <v>2000.0</v>
      </c>
      <c r="S1573" s="1">
        <v>1000.0</v>
      </c>
      <c r="T1573" s="1">
        <v>897.0</v>
      </c>
      <c r="U1573" s="1">
        <v>5697.0</v>
      </c>
      <c r="V1573" s="1">
        <v>301.0</v>
      </c>
      <c r="W1573" s="1">
        <v>18000.0</v>
      </c>
      <c r="X1573" s="1">
        <v>0.0</v>
      </c>
      <c r="Y1573" s="1">
        <v>2.35</v>
      </c>
      <c r="Z1573" s="1">
        <v>6.2</v>
      </c>
    </row>
    <row r="1574" ht="14.25" customHeight="1">
      <c r="A1574" s="1" t="s">
        <v>26</v>
      </c>
      <c r="B1574" s="1" t="s">
        <v>7941</v>
      </c>
      <c r="C1574" s="1" t="s">
        <v>7942</v>
      </c>
      <c r="D1574" s="1">
        <v>2.3070045E7</v>
      </c>
      <c r="E1574" s="1" t="s">
        <v>1744</v>
      </c>
      <c r="F1574" s="1" t="s">
        <v>1297</v>
      </c>
      <c r="G1574" s="1" t="s">
        <v>7943</v>
      </c>
      <c r="H1574" s="1" t="s">
        <v>1011</v>
      </c>
      <c r="I1574" s="1">
        <v>47003.0</v>
      </c>
      <c r="J1574" s="1" t="s">
        <v>7944</v>
      </c>
      <c r="K1574" s="1" t="s">
        <v>7945</v>
      </c>
      <c r="L1574" s="1">
        <v>215.0</v>
      </c>
      <c r="M1574" s="1" t="s">
        <v>35</v>
      </c>
      <c r="N1574" s="1" t="s">
        <v>36</v>
      </c>
      <c r="O1574" s="1" t="s">
        <v>628</v>
      </c>
      <c r="P1574" s="1">
        <v>3.0E7</v>
      </c>
      <c r="Q1574" s="1">
        <v>2011.0</v>
      </c>
      <c r="R1574" s="1">
        <v>2000.0</v>
      </c>
      <c r="S1574" s="1">
        <v>942.0</v>
      </c>
      <c r="T1574" s="1">
        <v>653.0</v>
      </c>
      <c r="U1574" s="1">
        <v>3892.0</v>
      </c>
      <c r="V1574" s="1">
        <v>24.0</v>
      </c>
      <c r="W1574" s="1">
        <v>11000.0</v>
      </c>
      <c r="X1574" s="1">
        <v>0.0</v>
      </c>
      <c r="Y1574" s="1">
        <v>1.85</v>
      </c>
      <c r="Z1574" s="1">
        <v>5.9</v>
      </c>
    </row>
    <row r="1575" ht="14.25" customHeight="1">
      <c r="A1575" s="1" t="s">
        <v>26</v>
      </c>
      <c r="B1575" s="1" t="s">
        <v>7946</v>
      </c>
      <c r="C1575" s="1" t="s">
        <v>7947</v>
      </c>
      <c r="D1575" s="1">
        <v>2.0422207E7</v>
      </c>
      <c r="E1575" s="1" t="s">
        <v>1359</v>
      </c>
      <c r="F1575" s="1" t="s">
        <v>1980</v>
      </c>
      <c r="G1575" s="1" t="s">
        <v>2106</v>
      </c>
      <c r="H1575" s="1" t="s">
        <v>7948</v>
      </c>
      <c r="I1575" s="1">
        <v>15052.0</v>
      </c>
      <c r="J1575" s="1" t="s">
        <v>7949</v>
      </c>
      <c r="K1575" s="1" t="s">
        <v>7950</v>
      </c>
      <c r="L1575" s="1">
        <v>116.0</v>
      </c>
      <c r="M1575" s="1" t="s">
        <v>35</v>
      </c>
      <c r="N1575" s="1" t="s">
        <v>36</v>
      </c>
      <c r="O1575" s="1" t="s">
        <v>37</v>
      </c>
      <c r="P1575" s="1">
        <v>3.5E7</v>
      </c>
      <c r="Q1575" s="1">
        <v>2004.0</v>
      </c>
      <c r="R1575" s="1">
        <v>1000.0</v>
      </c>
      <c r="S1575" s="1">
        <v>681.0</v>
      </c>
      <c r="T1575" s="1">
        <v>642.0</v>
      </c>
      <c r="U1575" s="1">
        <v>4369.0</v>
      </c>
      <c r="V1575" s="1">
        <v>34.0</v>
      </c>
      <c r="W1575" s="1">
        <v>484.0</v>
      </c>
      <c r="X1575" s="1">
        <v>1.0</v>
      </c>
      <c r="Y1575" s="1">
        <v>2.35</v>
      </c>
      <c r="Z1575" s="1">
        <v>5.2</v>
      </c>
    </row>
    <row r="1576" ht="14.25" customHeight="1">
      <c r="A1576" s="1" t="s">
        <v>26</v>
      </c>
      <c r="B1576" s="1" t="s">
        <v>6911</v>
      </c>
      <c r="C1576" s="1" t="s">
        <v>7951</v>
      </c>
      <c r="D1576" s="1">
        <v>2.864477E7</v>
      </c>
      <c r="E1576" s="1" t="s">
        <v>1598</v>
      </c>
      <c r="F1576" s="1" t="s">
        <v>3988</v>
      </c>
      <c r="G1576" s="1" t="s">
        <v>7952</v>
      </c>
      <c r="H1576" s="1" t="s">
        <v>2636</v>
      </c>
      <c r="I1576" s="1">
        <v>78974.0</v>
      </c>
      <c r="J1576" s="1" t="s">
        <v>7953</v>
      </c>
      <c r="K1576" s="1" t="s">
        <v>7954</v>
      </c>
      <c r="L1576" s="1">
        <v>141.0</v>
      </c>
      <c r="M1576" s="1" t="s">
        <v>35</v>
      </c>
      <c r="N1576" s="1" t="s">
        <v>36</v>
      </c>
      <c r="O1576" s="1" t="s">
        <v>628</v>
      </c>
      <c r="P1576" s="1">
        <v>3.0E7</v>
      </c>
      <c r="Q1576" s="1">
        <v>2012.0</v>
      </c>
      <c r="R1576" s="1">
        <v>2000.0</v>
      </c>
      <c r="S1576" s="1">
        <v>401.0</v>
      </c>
      <c r="T1576" s="1">
        <v>372.0</v>
      </c>
      <c r="U1576" s="1">
        <v>3479.0</v>
      </c>
      <c r="V1576" s="1">
        <v>89.0</v>
      </c>
      <c r="W1576" s="1">
        <v>11000.0</v>
      </c>
      <c r="X1576" s="1">
        <v>2.0</v>
      </c>
      <c r="Y1576" s="1">
        <v>1.85</v>
      </c>
      <c r="Z1576" s="1">
        <v>6.2</v>
      </c>
    </row>
    <row r="1577" ht="14.25" customHeight="1">
      <c r="A1577" s="1" t="s">
        <v>26</v>
      </c>
      <c r="B1577" s="1" t="s">
        <v>7955</v>
      </c>
      <c r="C1577" s="1" t="s">
        <v>7956</v>
      </c>
      <c r="D1577" s="1">
        <v>2.1800302E7</v>
      </c>
      <c r="E1577" s="1" t="s">
        <v>4241</v>
      </c>
      <c r="F1577" s="1" t="s">
        <v>767</v>
      </c>
      <c r="G1577" s="1" t="s">
        <v>1897</v>
      </c>
      <c r="H1577" s="1" t="s">
        <v>7184</v>
      </c>
      <c r="I1577" s="1">
        <v>12164.0</v>
      </c>
      <c r="J1577" s="1" t="s">
        <v>7957</v>
      </c>
      <c r="K1577" s="1" t="s">
        <v>7958</v>
      </c>
      <c r="L1577" s="1">
        <v>63.0</v>
      </c>
      <c r="M1577" s="1" t="s">
        <v>35</v>
      </c>
      <c r="N1577" s="1" t="s">
        <v>36</v>
      </c>
      <c r="O1577" s="1" t="s">
        <v>37</v>
      </c>
      <c r="P1577" s="1">
        <v>3.0E7</v>
      </c>
      <c r="Q1577" s="1">
        <v>2004.0</v>
      </c>
      <c r="R1577" s="1">
        <v>1000.0</v>
      </c>
      <c r="S1577" s="1">
        <v>962.0</v>
      </c>
      <c r="T1577" s="1">
        <v>635.0</v>
      </c>
      <c r="U1577" s="1">
        <v>4462.0</v>
      </c>
      <c r="V1577" s="1">
        <v>30.0</v>
      </c>
      <c r="W1577" s="1">
        <v>491.0</v>
      </c>
      <c r="X1577" s="1">
        <v>1.0</v>
      </c>
      <c r="Y1577" s="1">
        <v>1.85</v>
      </c>
      <c r="Z1577" s="1">
        <v>5.5</v>
      </c>
    </row>
    <row r="1578" ht="14.25" customHeight="1">
      <c r="A1578" s="1" t="s">
        <v>26</v>
      </c>
      <c r="B1578" s="1" t="s">
        <v>7959</v>
      </c>
      <c r="C1578" s="1" t="s">
        <v>7960</v>
      </c>
      <c r="D1578" s="1">
        <v>2.1129348E7</v>
      </c>
      <c r="E1578" s="1" t="s">
        <v>4987</v>
      </c>
      <c r="F1578" s="1" t="s">
        <v>294</v>
      </c>
      <c r="G1578" s="1" t="s">
        <v>7961</v>
      </c>
      <c r="H1578" s="1" t="s">
        <v>7962</v>
      </c>
      <c r="I1578" s="1">
        <v>146364.0</v>
      </c>
      <c r="J1578" s="1" t="s">
        <v>7963</v>
      </c>
      <c r="K1578" s="1" t="s">
        <v>7964</v>
      </c>
      <c r="L1578" s="1">
        <v>237.0</v>
      </c>
      <c r="M1578" s="1" t="s">
        <v>35</v>
      </c>
      <c r="N1578" s="1" t="s">
        <v>36</v>
      </c>
      <c r="O1578" s="1" t="s">
        <v>37</v>
      </c>
      <c r="P1578" s="1">
        <v>3.5E7</v>
      </c>
      <c r="Q1578" s="1">
        <v>2010.0</v>
      </c>
      <c r="R1578" s="1">
        <v>10000.0</v>
      </c>
      <c r="S1578" s="1">
        <v>796.0</v>
      </c>
      <c r="T1578" s="1">
        <v>343.0</v>
      </c>
      <c r="U1578" s="1">
        <v>11799.0</v>
      </c>
      <c r="V1578" s="1">
        <v>549.0</v>
      </c>
      <c r="W1578" s="1">
        <v>27000.0</v>
      </c>
      <c r="X1578" s="1">
        <v>0.0</v>
      </c>
      <c r="Y1578" s="1">
        <v>2.35</v>
      </c>
      <c r="Z1578" s="1">
        <v>7.4</v>
      </c>
    </row>
    <row r="1579" ht="14.25" customHeight="1">
      <c r="A1579" s="1" t="s">
        <v>26</v>
      </c>
      <c r="B1579" s="1" t="s">
        <v>7965</v>
      </c>
      <c r="C1579" s="1" t="s">
        <v>7966</v>
      </c>
      <c r="D1579" s="1">
        <v>1.8500966E7</v>
      </c>
      <c r="E1579" s="1" t="s">
        <v>2123</v>
      </c>
      <c r="F1579" s="1" t="s">
        <v>1892</v>
      </c>
      <c r="G1579" s="1" t="s">
        <v>7967</v>
      </c>
      <c r="H1579" s="1" t="s">
        <v>2644</v>
      </c>
      <c r="I1579" s="1">
        <v>70341.0</v>
      </c>
      <c r="J1579" s="1" t="s">
        <v>7968</v>
      </c>
      <c r="K1579" s="1" t="s">
        <v>7969</v>
      </c>
      <c r="L1579" s="1">
        <v>830.0</v>
      </c>
      <c r="M1579" s="1" t="s">
        <v>35</v>
      </c>
      <c r="N1579" s="1" t="s">
        <v>36</v>
      </c>
      <c r="O1579" s="1" t="s">
        <v>37</v>
      </c>
      <c r="P1579" s="1">
        <v>3.0E7</v>
      </c>
      <c r="Q1579" s="1">
        <v>2006.0</v>
      </c>
      <c r="R1579" s="1">
        <v>14000.0</v>
      </c>
      <c r="S1579" s="1">
        <v>829.0</v>
      </c>
      <c r="T1579" s="1">
        <v>277.0</v>
      </c>
      <c r="U1579" s="1">
        <v>15271.0</v>
      </c>
      <c r="V1579" s="1">
        <v>110.0</v>
      </c>
      <c r="W1579" s="1">
        <v>0.0</v>
      </c>
      <c r="X1579" s="1">
        <v>1.0</v>
      </c>
      <c r="Y1579" s="1">
        <v>1.85</v>
      </c>
      <c r="Z1579" s="1">
        <v>4.4</v>
      </c>
    </row>
    <row r="1580" ht="14.25" customHeight="1">
      <c r="A1580" s="1" t="s">
        <v>26</v>
      </c>
      <c r="B1580" s="1" t="s">
        <v>7970</v>
      </c>
      <c r="C1580" s="1" t="s">
        <v>7971</v>
      </c>
      <c r="D1580" s="1">
        <v>1.9976073E7</v>
      </c>
      <c r="E1580" s="1" t="s">
        <v>449</v>
      </c>
      <c r="F1580" s="1" t="s">
        <v>758</v>
      </c>
      <c r="G1580" s="1" t="s">
        <v>7972</v>
      </c>
      <c r="H1580" s="1" t="s">
        <v>7973</v>
      </c>
      <c r="I1580" s="1">
        <v>65979.0</v>
      </c>
      <c r="J1580" s="1" t="s">
        <v>7974</v>
      </c>
      <c r="K1580" s="1" t="s">
        <v>7975</v>
      </c>
      <c r="L1580" s="1">
        <v>220.0</v>
      </c>
      <c r="M1580" s="1" t="s">
        <v>35</v>
      </c>
      <c r="N1580" s="1" t="s">
        <v>36</v>
      </c>
      <c r="O1580" s="1" t="s">
        <v>628</v>
      </c>
      <c r="P1580" s="1">
        <v>2.0E7</v>
      </c>
      <c r="Q1580" s="1">
        <v>2005.0</v>
      </c>
      <c r="R1580" s="1">
        <v>954.0</v>
      </c>
      <c r="S1580" s="1">
        <v>739.0</v>
      </c>
      <c r="T1580" s="1">
        <v>431.0</v>
      </c>
      <c r="U1580" s="1">
        <v>3148.0</v>
      </c>
      <c r="V1580" s="1">
        <v>25.0</v>
      </c>
      <c r="W1580" s="1">
        <v>999.0</v>
      </c>
      <c r="X1580" s="1">
        <v>1.0</v>
      </c>
      <c r="Y1580" s="1">
        <v>2.35</v>
      </c>
      <c r="Z1580" s="1">
        <v>6.3</v>
      </c>
    </row>
    <row r="1581" ht="14.25" customHeight="1">
      <c r="A1581" s="1" t="s">
        <v>26</v>
      </c>
      <c r="B1581" s="1" t="s">
        <v>2938</v>
      </c>
      <c r="C1581" s="1" t="s">
        <v>7976</v>
      </c>
      <c r="D1581" s="1">
        <v>1.8967571E7</v>
      </c>
      <c r="E1581" s="1" t="s">
        <v>326</v>
      </c>
      <c r="F1581" s="1" t="s">
        <v>6309</v>
      </c>
      <c r="G1581" s="1" t="s">
        <v>373</v>
      </c>
      <c r="H1581" s="1" t="s">
        <v>3946</v>
      </c>
      <c r="I1581" s="1">
        <v>23345.0</v>
      </c>
      <c r="J1581" s="1" t="s">
        <v>7977</v>
      </c>
      <c r="K1581" s="1" t="s">
        <v>7978</v>
      </c>
      <c r="L1581" s="1">
        <v>167.0</v>
      </c>
      <c r="M1581" s="1" t="s">
        <v>35</v>
      </c>
      <c r="N1581" s="1" t="s">
        <v>36</v>
      </c>
      <c r="O1581" s="1" t="s">
        <v>628</v>
      </c>
      <c r="P1581" s="1">
        <v>3.0E7</v>
      </c>
      <c r="Q1581" s="1">
        <v>1998.0</v>
      </c>
      <c r="R1581" s="1">
        <v>978.0</v>
      </c>
      <c r="S1581" s="1">
        <v>968.0</v>
      </c>
      <c r="T1581" s="1">
        <v>488.0</v>
      </c>
      <c r="U1581" s="1">
        <v>3072.0</v>
      </c>
      <c r="V1581" s="1">
        <v>845.0</v>
      </c>
      <c r="W1581" s="1">
        <v>629.0</v>
      </c>
      <c r="X1581" s="1">
        <v>2.0</v>
      </c>
      <c r="Y1581" s="1">
        <v>2.35</v>
      </c>
      <c r="Z1581" s="1">
        <v>6.1</v>
      </c>
    </row>
    <row r="1582" ht="14.25" customHeight="1">
      <c r="A1582" s="1" t="s">
        <v>26</v>
      </c>
      <c r="B1582" s="1" t="s">
        <v>7979</v>
      </c>
      <c r="C1582" s="1" t="s">
        <v>7980</v>
      </c>
      <c r="D1582" s="1">
        <v>1.71E7</v>
      </c>
      <c r="E1582" s="1" t="s">
        <v>7981</v>
      </c>
      <c r="F1582" s="1" t="s">
        <v>480</v>
      </c>
      <c r="G1582" s="1" t="s">
        <v>7982</v>
      </c>
      <c r="H1582" s="1" t="s">
        <v>942</v>
      </c>
      <c r="I1582" s="1">
        <v>7073.0</v>
      </c>
      <c r="J1582" s="1" t="s">
        <v>7983</v>
      </c>
      <c r="K1582" s="1" t="s">
        <v>7984</v>
      </c>
      <c r="L1582" s="1">
        <v>29.0</v>
      </c>
      <c r="M1582" s="1" t="s">
        <v>35</v>
      </c>
      <c r="N1582" s="1" t="s">
        <v>36</v>
      </c>
      <c r="O1582" s="1" t="s">
        <v>628</v>
      </c>
      <c r="P1582" s="1">
        <v>2.5E7</v>
      </c>
      <c r="Q1582" s="1">
        <v>1996.0</v>
      </c>
      <c r="R1582" s="1">
        <v>4000.0</v>
      </c>
      <c r="S1582" s="1">
        <v>561.0</v>
      </c>
      <c r="T1582" s="1">
        <v>537.0</v>
      </c>
      <c r="U1582" s="1">
        <v>6152.0</v>
      </c>
      <c r="V1582" s="1">
        <v>114.0</v>
      </c>
      <c r="W1582" s="1">
        <v>204.0</v>
      </c>
      <c r="X1582" s="1">
        <v>1.0</v>
      </c>
      <c r="Y1582" s="1">
        <v>1.85</v>
      </c>
      <c r="Z1582" s="1">
        <v>5.3</v>
      </c>
    </row>
    <row r="1583" ht="14.25" customHeight="1">
      <c r="A1583" s="1" t="s">
        <v>26</v>
      </c>
      <c r="B1583" s="1" t="s">
        <v>7985</v>
      </c>
      <c r="C1583" s="1" t="s">
        <v>7986</v>
      </c>
      <c r="D1583" s="1">
        <v>1.7266505E7</v>
      </c>
      <c r="E1583" s="1" t="s">
        <v>7987</v>
      </c>
      <c r="F1583" s="1" t="s">
        <v>92</v>
      </c>
      <c r="G1583" s="1" t="s">
        <v>7988</v>
      </c>
      <c r="H1583" s="1" t="s">
        <v>6376</v>
      </c>
      <c r="I1583" s="1">
        <v>43764.0</v>
      </c>
      <c r="J1583" s="1" t="s">
        <v>7989</v>
      </c>
      <c r="K1583" s="1" t="s">
        <v>7990</v>
      </c>
      <c r="L1583" s="1">
        <v>291.0</v>
      </c>
      <c r="M1583" s="1" t="s">
        <v>35</v>
      </c>
      <c r="N1583" s="1" t="s">
        <v>36</v>
      </c>
      <c r="O1583" s="1" t="s">
        <v>37</v>
      </c>
      <c r="P1583" s="1">
        <v>3.0E7</v>
      </c>
      <c r="Q1583" s="1">
        <v>2002.0</v>
      </c>
      <c r="R1583" s="1">
        <v>19000.0</v>
      </c>
      <c r="S1583" s="1">
        <v>953.0</v>
      </c>
      <c r="T1583" s="1">
        <v>762.0</v>
      </c>
      <c r="U1583" s="1">
        <v>22554.0</v>
      </c>
      <c r="V1583" s="1">
        <v>11.0</v>
      </c>
      <c r="W1583" s="1">
        <v>0.0</v>
      </c>
      <c r="X1583" s="1">
        <v>1.0</v>
      </c>
      <c r="Y1583" s="1">
        <v>2.35</v>
      </c>
      <c r="Z1583" s="1">
        <v>5.4</v>
      </c>
    </row>
    <row r="1584" ht="14.25" customHeight="1">
      <c r="A1584" s="1" t="s">
        <v>26</v>
      </c>
      <c r="B1584" s="1" t="s">
        <v>978</v>
      </c>
      <c r="C1584" s="1" t="s">
        <v>7991</v>
      </c>
      <c r="D1584" s="1">
        <v>3.2357532E7</v>
      </c>
      <c r="E1584" s="1" t="s">
        <v>1359</v>
      </c>
      <c r="F1584" s="1" t="s">
        <v>365</v>
      </c>
      <c r="G1584" s="1" t="s">
        <v>249</v>
      </c>
      <c r="H1584" s="1" t="s">
        <v>228</v>
      </c>
      <c r="I1584" s="1">
        <v>143368.0</v>
      </c>
      <c r="J1584" s="1" t="s">
        <v>7992</v>
      </c>
      <c r="K1584" s="1" t="s">
        <v>7993</v>
      </c>
      <c r="L1584" s="1">
        <v>215.0</v>
      </c>
      <c r="M1584" s="1" t="s">
        <v>35</v>
      </c>
      <c r="N1584" s="1" t="s">
        <v>36</v>
      </c>
      <c r="O1584" s="1" t="s">
        <v>628</v>
      </c>
      <c r="P1584" s="1">
        <v>3.0E7</v>
      </c>
      <c r="Q1584" s="1">
        <v>2010.0</v>
      </c>
      <c r="R1584" s="1">
        <v>15000.0</v>
      </c>
      <c r="S1584" s="1">
        <v>11000.0</v>
      </c>
      <c r="T1584" s="1">
        <v>2000.0</v>
      </c>
      <c r="U1584" s="1">
        <v>31278.0</v>
      </c>
      <c r="V1584" s="1">
        <v>380.0</v>
      </c>
      <c r="W1584" s="1">
        <v>24000.0</v>
      </c>
      <c r="X1584" s="1">
        <v>0.0</v>
      </c>
      <c r="Y1584" s="1">
        <v>1.85</v>
      </c>
      <c r="Z1584" s="1">
        <v>6.7</v>
      </c>
    </row>
    <row r="1585" ht="14.25" customHeight="1">
      <c r="A1585" s="1" t="s">
        <v>26</v>
      </c>
      <c r="B1585" s="1" t="s">
        <v>3928</v>
      </c>
      <c r="C1585" s="1" t="s">
        <v>7994</v>
      </c>
      <c r="D1585" s="1">
        <v>1.6930884E7</v>
      </c>
      <c r="E1585" s="1" t="s">
        <v>2061</v>
      </c>
      <c r="F1585" s="1" t="s">
        <v>2292</v>
      </c>
      <c r="G1585" s="1" t="s">
        <v>3793</v>
      </c>
      <c r="H1585" s="1" t="s">
        <v>4809</v>
      </c>
      <c r="I1585" s="1">
        <v>65628.0</v>
      </c>
      <c r="J1585" s="1" t="s">
        <v>7995</v>
      </c>
      <c r="K1585" s="1" t="s">
        <v>7996</v>
      </c>
      <c r="L1585" s="1">
        <v>262.0</v>
      </c>
      <c r="M1585" s="1" t="s">
        <v>35</v>
      </c>
      <c r="N1585" s="1" t="s">
        <v>36</v>
      </c>
      <c r="O1585" s="1" t="s">
        <v>628</v>
      </c>
      <c r="P1585" s="1">
        <v>3.0E7</v>
      </c>
      <c r="Q1585" s="1">
        <v>2007.0</v>
      </c>
      <c r="R1585" s="1">
        <v>14000.0</v>
      </c>
      <c r="S1585" s="1">
        <v>975.0</v>
      </c>
      <c r="T1585" s="1">
        <v>494.0</v>
      </c>
      <c r="U1585" s="1">
        <v>16722.0</v>
      </c>
      <c r="V1585" s="1">
        <v>50.0</v>
      </c>
      <c r="W1585" s="1">
        <v>0.0</v>
      </c>
      <c r="X1585" s="1">
        <v>1.0</v>
      </c>
      <c r="Y1585" s="1">
        <v>2.35</v>
      </c>
      <c r="Z1585" s="1">
        <v>5.9</v>
      </c>
    </row>
    <row r="1586" ht="14.25" customHeight="1">
      <c r="A1586" s="1" t="s">
        <v>26</v>
      </c>
      <c r="B1586" s="1" t="s">
        <v>7997</v>
      </c>
      <c r="C1586" s="1" t="s">
        <v>7998</v>
      </c>
      <c r="D1586" s="1">
        <v>1.8324242E7</v>
      </c>
      <c r="E1586" s="1" t="s">
        <v>3238</v>
      </c>
      <c r="F1586" s="1" t="s">
        <v>851</v>
      </c>
      <c r="G1586" s="1" t="s">
        <v>741</v>
      </c>
      <c r="H1586" s="1" t="s">
        <v>7044</v>
      </c>
      <c r="I1586" s="1">
        <v>32815.0</v>
      </c>
      <c r="J1586" s="1" t="s">
        <v>7999</v>
      </c>
      <c r="K1586" s="1" t="s">
        <v>8000</v>
      </c>
      <c r="L1586" s="1">
        <v>214.0</v>
      </c>
      <c r="M1586" s="1" t="s">
        <v>35</v>
      </c>
      <c r="N1586" s="1" t="s">
        <v>36</v>
      </c>
      <c r="O1586" s="1" t="s">
        <v>628</v>
      </c>
      <c r="P1586" s="1">
        <v>3.5E7</v>
      </c>
      <c r="Q1586" s="1">
        <v>2005.0</v>
      </c>
      <c r="R1586" s="1">
        <v>10000.0</v>
      </c>
      <c r="S1586" s="1">
        <v>9000.0</v>
      </c>
      <c r="T1586" s="1">
        <v>874.0</v>
      </c>
      <c r="U1586" s="1">
        <v>20563.0</v>
      </c>
      <c r="V1586" s="1">
        <v>51.0</v>
      </c>
      <c r="W1586" s="1">
        <v>0.0</v>
      </c>
      <c r="X1586" s="1">
        <v>4.0</v>
      </c>
      <c r="Y1586" s="1">
        <v>2.35</v>
      </c>
      <c r="Z1586" s="1">
        <v>7.3</v>
      </c>
    </row>
    <row r="1587" ht="14.25" customHeight="1">
      <c r="A1587" s="1" t="s">
        <v>26</v>
      </c>
      <c r="B1587" s="1" t="s">
        <v>4937</v>
      </c>
      <c r="C1587" s="1" t="s">
        <v>8001</v>
      </c>
      <c r="D1587" s="1">
        <v>1.6323969E7</v>
      </c>
      <c r="E1587" s="1" t="s">
        <v>5605</v>
      </c>
      <c r="F1587" s="1" t="s">
        <v>941</v>
      </c>
      <c r="G1587" s="1" t="s">
        <v>6009</v>
      </c>
      <c r="H1587" s="1" t="s">
        <v>6876</v>
      </c>
      <c r="I1587" s="1">
        <v>45775.0</v>
      </c>
      <c r="J1587" s="1" t="s">
        <v>8002</v>
      </c>
      <c r="K1587" s="1" t="s">
        <v>8003</v>
      </c>
      <c r="L1587" s="1">
        <v>112.0</v>
      </c>
      <c r="M1587" s="1" t="s">
        <v>35</v>
      </c>
      <c r="N1587" s="1" t="s">
        <v>36</v>
      </c>
      <c r="O1587" s="1" t="s">
        <v>37</v>
      </c>
      <c r="P1587" s="1">
        <v>4.0E7</v>
      </c>
      <c r="Q1587" s="1">
        <v>2004.0</v>
      </c>
      <c r="R1587" s="1">
        <v>13000.0</v>
      </c>
      <c r="S1587" s="1">
        <v>2000.0</v>
      </c>
      <c r="T1587" s="1">
        <v>900.0</v>
      </c>
      <c r="U1587" s="1">
        <v>18085.0</v>
      </c>
      <c r="V1587" s="1">
        <v>41.0</v>
      </c>
      <c r="W1587" s="1">
        <v>462.0</v>
      </c>
      <c r="X1587" s="1">
        <v>5.0</v>
      </c>
      <c r="Y1587" s="1">
        <v>1.85</v>
      </c>
      <c r="Z1587" s="1">
        <v>5.5</v>
      </c>
    </row>
    <row r="1588" ht="14.25" customHeight="1">
      <c r="A1588" s="1" t="s">
        <v>26</v>
      </c>
      <c r="B1588" s="1" t="s">
        <v>8004</v>
      </c>
      <c r="C1588" s="1" t="s">
        <v>8005</v>
      </c>
      <c r="D1588" s="1">
        <v>1.6999046E7</v>
      </c>
      <c r="E1588" s="1" t="s">
        <v>745</v>
      </c>
      <c r="F1588" s="1" t="s">
        <v>8006</v>
      </c>
      <c r="G1588" s="1" t="s">
        <v>8007</v>
      </c>
      <c r="H1588" s="1" t="s">
        <v>8008</v>
      </c>
      <c r="I1588" s="1">
        <v>79517.0</v>
      </c>
      <c r="J1588" s="1" t="s">
        <v>8009</v>
      </c>
      <c r="K1588" s="1" t="s">
        <v>8010</v>
      </c>
      <c r="L1588" s="1">
        <v>354.0</v>
      </c>
      <c r="M1588" s="1" t="s">
        <v>35</v>
      </c>
      <c r="N1588" s="1" t="s">
        <v>260</v>
      </c>
      <c r="O1588" s="1" t="s">
        <v>628</v>
      </c>
      <c r="P1588" s="1">
        <v>2.6E7</v>
      </c>
      <c r="Q1588" s="1">
        <v>2009.0</v>
      </c>
      <c r="R1588" s="1">
        <v>900.0</v>
      </c>
      <c r="S1588" s="1">
        <v>686.0</v>
      </c>
      <c r="T1588" s="1">
        <v>559.0</v>
      </c>
      <c r="U1588" s="1">
        <v>2222.0</v>
      </c>
      <c r="V1588" s="1">
        <v>165.0</v>
      </c>
      <c r="W1588" s="1">
        <v>12000.0</v>
      </c>
      <c r="X1588" s="1">
        <v>0.0</v>
      </c>
      <c r="Y1588" s="1">
        <v>1.85</v>
      </c>
      <c r="Z1588" s="1">
        <v>5.8</v>
      </c>
    </row>
    <row r="1589" ht="14.25" customHeight="1">
      <c r="A1589" s="1" t="s">
        <v>26</v>
      </c>
      <c r="B1589" s="1" t="s">
        <v>8011</v>
      </c>
      <c r="C1589" s="1" t="s">
        <v>8012</v>
      </c>
      <c r="D1589" s="1">
        <v>1.6295774E7</v>
      </c>
      <c r="E1589" s="1" t="s">
        <v>4200</v>
      </c>
      <c r="F1589" s="1" t="s">
        <v>5868</v>
      </c>
      <c r="G1589" s="1" t="s">
        <v>1577</v>
      </c>
      <c r="H1589" s="1" t="s">
        <v>8013</v>
      </c>
      <c r="I1589" s="1">
        <v>33669.0</v>
      </c>
      <c r="J1589" s="1" t="s">
        <v>8014</v>
      </c>
      <c r="K1589" s="1" t="s">
        <v>8015</v>
      </c>
      <c r="L1589" s="1">
        <v>269.0</v>
      </c>
      <c r="M1589" s="1" t="s">
        <v>35</v>
      </c>
      <c r="N1589" s="1" t="s">
        <v>36</v>
      </c>
      <c r="O1589" s="1" t="s">
        <v>87</v>
      </c>
      <c r="P1589" s="1">
        <v>3.5E7</v>
      </c>
      <c r="Q1589" s="1">
        <v>1986.0</v>
      </c>
      <c r="R1589" s="1">
        <v>1000.0</v>
      </c>
      <c r="S1589" s="1">
        <v>692.0</v>
      </c>
      <c r="T1589" s="1">
        <v>322.0</v>
      </c>
      <c r="U1589" s="1">
        <v>3000.0</v>
      </c>
      <c r="V1589" s="1">
        <v>8.0</v>
      </c>
      <c r="W1589" s="1">
        <v>0.0</v>
      </c>
      <c r="X1589" s="1">
        <v>1.0</v>
      </c>
      <c r="Y1589" s="1">
        <v>1.85</v>
      </c>
      <c r="Z1589" s="1">
        <v>4.6</v>
      </c>
    </row>
    <row r="1590" ht="14.25" customHeight="1">
      <c r="A1590" s="1" t="s">
        <v>26</v>
      </c>
      <c r="B1590" s="1" t="s">
        <v>8016</v>
      </c>
      <c r="C1590" s="1" t="s">
        <v>8017</v>
      </c>
      <c r="D1590" s="1">
        <v>1.5709385E7</v>
      </c>
      <c r="E1590" s="1" t="s">
        <v>2045</v>
      </c>
      <c r="F1590" s="1" t="s">
        <v>1347</v>
      </c>
      <c r="G1590" s="1" t="s">
        <v>1140</v>
      </c>
      <c r="H1590" s="1" t="s">
        <v>1616</v>
      </c>
      <c r="I1590" s="1">
        <v>53053.0</v>
      </c>
      <c r="J1590" s="1" t="s">
        <v>8018</v>
      </c>
      <c r="K1590" s="1" t="s">
        <v>8019</v>
      </c>
      <c r="L1590" s="1">
        <v>132.0</v>
      </c>
      <c r="M1590" s="1" t="s">
        <v>35</v>
      </c>
      <c r="N1590" s="1" t="s">
        <v>36</v>
      </c>
      <c r="O1590" s="1" t="s">
        <v>628</v>
      </c>
      <c r="P1590" s="1">
        <v>3.0E7</v>
      </c>
      <c r="Q1590" s="1">
        <v>2008.0</v>
      </c>
      <c r="R1590" s="1">
        <v>1000.0</v>
      </c>
      <c r="S1590" s="1">
        <v>807.0</v>
      </c>
      <c r="T1590" s="1">
        <v>798.0</v>
      </c>
      <c r="U1590" s="1">
        <v>5101.0</v>
      </c>
      <c r="V1590" s="1">
        <v>149.0</v>
      </c>
      <c r="W1590" s="1">
        <v>0.0</v>
      </c>
      <c r="X1590" s="1">
        <v>0.0</v>
      </c>
      <c r="Y1590" s="1">
        <v>1.85</v>
      </c>
      <c r="Z1590" s="1">
        <v>6.7</v>
      </c>
    </row>
    <row r="1591" ht="14.25" customHeight="1">
      <c r="A1591" s="1" t="s">
        <v>26</v>
      </c>
      <c r="B1591" s="1" t="s">
        <v>8020</v>
      </c>
      <c r="C1591" s="1" t="s">
        <v>8021</v>
      </c>
      <c r="D1591" s="1">
        <v>1.4888028E7</v>
      </c>
      <c r="E1591" s="1" t="s">
        <v>8022</v>
      </c>
      <c r="F1591" s="1" t="s">
        <v>8023</v>
      </c>
      <c r="G1591" s="1" t="s">
        <v>1969</v>
      </c>
      <c r="H1591" s="1" t="s">
        <v>4972</v>
      </c>
      <c r="I1591" s="1">
        <v>28606.0</v>
      </c>
      <c r="J1591" s="1" t="s">
        <v>8024</v>
      </c>
      <c r="K1591" s="1" t="s">
        <v>8025</v>
      </c>
      <c r="L1591" s="1">
        <v>262.0</v>
      </c>
      <c r="M1591" s="1" t="s">
        <v>35</v>
      </c>
      <c r="N1591" s="1" t="s">
        <v>36</v>
      </c>
      <c r="O1591" s="1" t="s">
        <v>37</v>
      </c>
      <c r="P1591" s="1">
        <v>3.0E7</v>
      </c>
      <c r="Q1591" s="1">
        <v>2005.0</v>
      </c>
      <c r="R1591" s="1">
        <v>849.0</v>
      </c>
      <c r="S1591" s="1">
        <v>787.0</v>
      </c>
      <c r="T1591" s="1">
        <v>258.0</v>
      </c>
      <c r="U1591" s="1">
        <v>2178.0</v>
      </c>
      <c r="V1591" s="1">
        <v>2.0</v>
      </c>
      <c r="W1591" s="1">
        <v>0.0</v>
      </c>
      <c r="X1591" s="1">
        <v>0.0</v>
      </c>
      <c r="Y1591" s="1">
        <v>2.35</v>
      </c>
      <c r="Z1591" s="1">
        <v>5.1</v>
      </c>
    </row>
    <row r="1592" ht="14.25" customHeight="1">
      <c r="A1592" s="1" t="s">
        <v>26</v>
      </c>
      <c r="B1592" s="1" t="s">
        <v>3691</v>
      </c>
      <c r="C1592" s="1" t="s">
        <v>8026</v>
      </c>
      <c r="D1592" s="1">
        <v>1.4208384E7</v>
      </c>
      <c r="E1592" s="1" t="s">
        <v>1598</v>
      </c>
      <c r="F1592" s="1" t="s">
        <v>2636</v>
      </c>
      <c r="G1592" s="1" t="s">
        <v>8027</v>
      </c>
      <c r="H1592" s="1" t="s">
        <v>8028</v>
      </c>
      <c r="I1592" s="1">
        <v>11520.0</v>
      </c>
      <c r="J1592" s="1" t="s">
        <v>8029</v>
      </c>
      <c r="K1592" s="1" t="s">
        <v>8030</v>
      </c>
      <c r="L1592" s="1">
        <v>105.0</v>
      </c>
      <c r="M1592" s="1" t="s">
        <v>35</v>
      </c>
      <c r="N1592" s="1" t="s">
        <v>36</v>
      </c>
      <c r="O1592" s="1" t="s">
        <v>37</v>
      </c>
      <c r="P1592" s="1">
        <v>3.0E7</v>
      </c>
      <c r="Q1592" s="1">
        <v>2003.0</v>
      </c>
      <c r="R1592" s="1">
        <v>372.0</v>
      </c>
      <c r="S1592" s="1">
        <v>206.0</v>
      </c>
      <c r="T1592" s="1">
        <v>130.0</v>
      </c>
      <c r="U1592" s="1">
        <v>977.0</v>
      </c>
      <c r="V1592" s="1">
        <v>0.0</v>
      </c>
      <c r="W1592" s="1">
        <v>625.0</v>
      </c>
      <c r="X1592" s="1">
        <v>2.0</v>
      </c>
      <c r="Y1592" s="1">
        <v>1.85</v>
      </c>
      <c r="Z1592" s="1">
        <v>5.6</v>
      </c>
    </row>
    <row r="1593" ht="14.25" customHeight="1">
      <c r="A1593" s="1" t="s">
        <v>26</v>
      </c>
      <c r="B1593" s="1" t="s">
        <v>5671</v>
      </c>
      <c r="C1593" s="1" t="s">
        <v>8031</v>
      </c>
      <c r="D1593" s="1">
        <v>1.2831121E7</v>
      </c>
      <c r="E1593" s="1" t="s">
        <v>3113</v>
      </c>
      <c r="F1593" s="1" t="s">
        <v>8032</v>
      </c>
      <c r="G1593" s="1" t="s">
        <v>8033</v>
      </c>
      <c r="H1593" s="1" t="s">
        <v>8034</v>
      </c>
      <c r="I1593" s="1">
        <v>44979.0</v>
      </c>
      <c r="J1593" s="1" t="s">
        <v>8035</v>
      </c>
      <c r="K1593" s="1" t="s">
        <v>8036</v>
      </c>
      <c r="L1593" s="1">
        <v>298.0</v>
      </c>
      <c r="M1593" s="1" t="s">
        <v>35</v>
      </c>
      <c r="N1593" s="1" t="s">
        <v>36</v>
      </c>
      <c r="O1593" s="1" t="s">
        <v>37</v>
      </c>
      <c r="P1593" s="1">
        <v>3.0E7</v>
      </c>
      <c r="Q1593" s="1">
        <v>2004.0</v>
      </c>
      <c r="R1593" s="1">
        <v>489.0</v>
      </c>
      <c r="S1593" s="1">
        <v>93.0</v>
      </c>
      <c r="T1593" s="1">
        <v>40.0</v>
      </c>
      <c r="U1593" s="1">
        <v>679.0</v>
      </c>
      <c r="V1593" s="1">
        <v>118.0</v>
      </c>
      <c r="W1593" s="1">
        <v>0.0</v>
      </c>
      <c r="X1593" s="1">
        <v>0.0</v>
      </c>
      <c r="Y1593" s="1">
        <v>2.35</v>
      </c>
      <c r="Z1593" s="1">
        <v>7.0</v>
      </c>
    </row>
    <row r="1594" ht="14.25" customHeight="1">
      <c r="A1594" s="1" t="s">
        <v>26</v>
      </c>
      <c r="B1594" s="1" t="s">
        <v>8037</v>
      </c>
      <c r="C1594" s="1" t="s">
        <v>8038</v>
      </c>
      <c r="D1594" s="1">
        <v>1.8298649E7</v>
      </c>
      <c r="E1594" s="1" t="s">
        <v>7114</v>
      </c>
      <c r="F1594" s="1" t="s">
        <v>8039</v>
      </c>
      <c r="G1594" s="1" t="s">
        <v>8040</v>
      </c>
      <c r="H1594" s="1" t="s">
        <v>8041</v>
      </c>
      <c r="I1594" s="1">
        <v>85024.0</v>
      </c>
      <c r="J1594" s="1" t="s">
        <v>8042</v>
      </c>
      <c r="K1594" s="1" t="s">
        <v>8043</v>
      </c>
      <c r="L1594" s="1">
        <v>242.0</v>
      </c>
      <c r="M1594" s="1" t="s">
        <v>35</v>
      </c>
      <c r="N1594" s="1" t="s">
        <v>36</v>
      </c>
      <c r="O1594" s="1" t="s">
        <v>628</v>
      </c>
      <c r="P1594" s="1">
        <v>3.0E7</v>
      </c>
      <c r="Q1594" s="1">
        <v>2011.0</v>
      </c>
      <c r="R1594" s="1">
        <v>596.0</v>
      </c>
      <c r="S1594" s="1">
        <v>343.0</v>
      </c>
      <c r="T1594" s="1">
        <v>133.0</v>
      </c>
      <c r="U1594" s="1">
        <v>1393.0</v>
      </c>
      <c r="V1594" s="1">
        <v>44.0</v>
      </c>
      <c r="W1594" s="1">
        <v>23000.0</v>
      </c>
      <c r="X1594" s="1">
        <v>1.0</v>
      </c>
      <c r="Y1594" s="1">
        <v>1.85</v>
      </c>
      <c r="Z1594" s="1">
        <v>6.4</v>
      </c>
    </row>
    <row r="1595" ht="14.25" customHeight="1">
      <c r="A1595" s="1" t="s">
        <v>26</v>
      </c>
      <c r="B1595" s="1" t="s">
        <v>4676</v>
      </c>
      <c r="C1595" s="1" t="s">
        <v>8044</v>
      </c>
      <c r="D1595" s="1">
        <v>1.2712093E7</v>
      </c>
      <c r="E1595" s="1" t="s">
        <v>5738</v>
      </c>
      <c r="F1595" s="1" t="s">
        <v>59</v>
      </c>
      <c r="G1595" s="1" t="s">
        <v>8045</v>
      </c>
      <c r="H1595" s="1" t="s">
        <v>32</v>
      </c>
      <c r="I1595" s="1">
        <v>70771.0</v>
      </c>
      <c r="J1595" s="1" t="s">
        <v>8046</v>
      </c>
      <c r="K1595" s="1" t="s">
        <v>8047</v>
      </c>
      <c r="L1595" s="1">
        <v>671.0</v>
      </c>
      <c r="M1595" s="1" t="s">
        <v>35</v>
      </c>
      <c r="N1595" s="1" t="s">
        <v>36</v>
      </c>
      <c r="O1595" s="1" t="s">
        <v>37</v>
      </c>
      <c r="P1595" s="1">
        <v>3.0E7</v>
      </c>
      <c r="Q1595" s="1">
        <v>2005.0</v>
      </c>
      <c r="R1595" s="1">
        <v>23000.0</v>
      </c>
      <c r="S1595" s="1">
        <v>909.0</v>
      </c>
      <c r="T1595" s="1">
        <v>855.0</v>
      </c>
      <c r="U1595" s="1">
        <v>27829.0</v>
      </c>
      <c r="V1595" s="1">
        <v>0.0</v>
      </c>
      <c r="W1595" s="1">
        <v>0.0</v>
      </c>
      <c r="X1595" s="1">
        <v>0.0</v>
      </c>
      <c r="Y1595" s="1">
        <v>2.35</v>
      </c>
      <c r="Z1595" s="1">
        <v>6.7</v>
      </c>
    </row>
    <row r="1596" ht="14.25" customHeight="1">
      <c r="A1596" s="1" t="s">
        <v>26</v>
      </c>
      <c r="B1596" s="1" t="s">
        <v>8048</v>
      </c>
      <c r="C1596" s="1" t="s">
        <v>8049</v>
      </c>
      <c r="D1596" s="1">
        <v>1.1576087E7</v>
      </c>
      <c r="E1596" s="1" t="s">
        <v>65</v>
      </c>
      <c r="F1596" s="1" t="s">
        <v>3856</v>
      </c>
      <c r="G1596" s="1" t="s">
        <v>900</v>
      </c>
      <c r="H1596" s="1" t="s">
        <v>1219</v>
      </c>
      <c r="I1596" s="1">
        <v>14747.0</v>
      </c>
      <c r="J1596" s="1" t="s">
        <v>8050</v>
      </c>
      <c r="K1596" s="1" t="s">
        <v>8051</v>
      </c>
      <c r="L1596" s="1">
        <v>338.0</v>
      </c>
      <c r="M1596" s="1" t="s">
        <v>35</v>
      </c>
      <c r="N1596" s="1" t="s">
        <v>36</v>
      </c>
      <c r="O1596" s="1" t="s">
        <v>37</v>
      </c>
      <c r="P1596" s="1">
        <v>3.0E7</v>
      </c>
      <c r="Q1596" s="1">
        <v>1999.0</v>
      </c>
      <c r="R1596" s="1">
        <v>811.0</v>
      </c>
      <c r="S1596" s="1">
        <v>586.0</v>
      </c>
      <c r="T1596" s="1">
        <v>362.0</v>
      </c>
      <c r="U1596" s="1">
        <v>2497.0</v>
      </c>
      <c r="V1596" s="1">
        <v>38.0</v>
      </c>
      <c r="W1596" s="1">
        <v>858.0</v>
      </c>
      <c r="X1596" s="1">
        <v>3.0</v>
      </c>
      <c r="Y1596" s="1">
        <v>2.35</v>
      </c>
      <c r="Z1596" s="1">
        <v>4.1</v>
      </c>
    </row>
    <row r="1597" ht="14.25" customHeight="1">
      <c r="A1597" s="1" t="s">
        <v>26</v>
      </c>
      <c r="B1597" s="1" t="s">
        <v>4775</v>
      </c>
      <c r="C1597" s="1" t="s">
        <v>8052</v>
      </c>
      <c r="D1597" s="1">
        <v>1.19E7</v>
      </c>
      <c r="E1597" s="1" t="s">
        <v>1920</v>
      </c>
      <c r="F1597" s="1" t="s">
        <v>91</v>
      </c>
      <c r="G1597" s="1" t="s">
        <v>6056</v>
      </c>
      <c r="H1597" s="1" t="s">
        <v>3567</v>
      </c>
      <c r="I1597" s="1">
        <v>11003.0</v>
      </c>
      <c r="J1597" s="1" t="s">
        <v>8053</v>
      </c>
      <c r="K1597" s="1" t="s">
        <v>8054</v>
      </c>
      <c r="L1597" s="1">
        <v>148.0</v>
      </c>
      <c r="M1597" s="1" t="s">
        <v>35</v>
      </c>
      <c r="N1597" s="1" t="s">
        <v>36</v>
      </c>
      <c r="O1597" s="1" t="s">
        <v>628</v>
      </c>
      <c r="P1597" s="1">
        <v>3.0E7</v>
      </c>
      <c r="Q1597" s="1">
        <v>1999.0</v>
      </c>
      <c r="R1597" s="1">
        <v>21000.0</v>
      </c>
      <c r="S1597" s="1">
        <v>767.0</v>
      </c>
      <c r="T1597" s="1">
        <v>210.0</v>
      </c>
      <c r="U1597" s="1">
        <v>22006.0</v>
      </c>
      <c r="V1597" s="1">
        <v>277.0</v>
      </c>
      <c r="W1597" s="1">
        <v>654.0</v>
      </c>
      <c r="X1597" s="1">
        <v>0.0</v>
      </c>
      <c r="Y1597" s="1">
        <v>1.85</v>
      </c>
      <c r="Z1597" s="1">
        <v>5.5</v>
      </c>
    </row>
    <row r="1598" ht="14.25" customHeight="1">
      <c r="A1598" s="1" t="s">
        <v>26</v>
      </c>
      <c r="B1598" s="1" t="s">
        <v>5193</v>
      </c>
      <c r="C1598" s="1" t="s">
        <v>8055</v>
      </c>
      <c r="D1598" s="1">
        <v>9353573.0</v>
      </c>
      <c r="E1598" s="1" t="s">
        <v>254</v>
      </c>
      <c r="F1598" s="1" t="s">
        <v>6143</v>
      </c>
      <c r="G1598" s="1" t="s">
        <v>8056</v>
      </c>
      <c r="H1598" s="1" t="s">
        <v>2980</v>
      </c>
      <c r="I1598" s="1">
        <v>56451.0</v>
      </c>
      <c r="J1598" s="1" t="s">
        <v>8057</v>
      </c>
      <c r="K1598" s="1" t="s">
        <v>8058</v>
      </c>
      <c r="L1598" s="1">
        <v>524.0</v>
      </c>
      <c r="M1598" s="1" t="s">
        <v>35</v>
      </c>
      <c r="N1598" s="1" t="s">
        <v>36</v>
      </c>
      <c r="O1598" s="1" t="s">
        <v>87</v>
      </c>
      <c r="P1598" s="1">
        <v>4.5E7</v>
      </c>
      <c r="Q1598" s="1">
        <v>2009.0</v>
      </c>
      <c r="R1598" s="1">
        <v>473.0</v>
      </c>
      <c r="S1598" s="1">
        <v>315.0</v>
      </c>
      <c r="T1598" s="1">
        <v>99.0</v>
      </c>
      <c r="U1598" s="1">
        <v>1100.0</v>
      </c>
      <c r="V1598" s="1">
        <v>70.0</v>
      </c>
      <c r="W1598" s="1">
        <v>0.0</v>
      </c>
      <c r="X1598" s="1">
        <v>0.0</v>
      </c>
      <c r="Y1598" s="1">
        <v>2.35</v>
      </c>
      <c r="Z1598" s="1">
        <v>2.7</v>
      </c>
    </row>
    <row r="1599" ht="14.25" customHeight="1">
      <c r="A1599" s="1" t="s">
        <v>26</v>
      </c>
      <c r="B1599" s="1" t="s">
        <v>8059</v>
      </c>
      <c r="C1599" s="1" t="s">
        <v>8060</v>
      </c>
      <c r="D1599" s="1">
        <v>1.202667E7</v>
      </c>
      <c r="E1599" s="1" t="s">
        <v>326</v>
      </c>
      <c r="F1599" s="1" t="s">
        <v>8061</v>
      </c>
      <c r="G1599" s="1" t="s">
        <v>8062</v>
      </c>
      <c r="H1599" s="1" t="s">
        <v>8063</v>
      </c>
      <c r="I1599" s="1">
        <v>114241.0</v>
      </c>
      <c r="J1599" s="1" t="s">
        <v>8064</v>
      </c>
      <c r="K1599" s="1" t="s">
        <v>8065</v>
      </c>
      <c r="L1599" s="1">
        <v>258.0</v>
      </c>
      <c r="M1599" s="1" t="s">
        <v>35</v>
      </c>
      <c r="N1599" s="1" t="s">
        <v>36</v>
      </c>
      <c r="O1599" s="1" t="s">
        <v>628</v>
      </c>
      <c r="P1599" s="1">
        <v>4.5E7</v>
      </c>
      <c r="Q1599" s="1">
        <v>2013.0</v>
      </c>
      <c r="R1599" s="1">
        <v>971.0</v>
      </c>
      <c r="S1599" s="1">
        <v>236.0</v>
      </c>
      <c r="T1599" s="1">
        <v>165.0</v>
      </c>
      <c r="U1599" s="1">
        <v>1643.0</v>
      </c>
      <c r="V1599" s="1">
        <v>419.0</v>
      </c>
      <c r="W1599" s="1">
        <v>24000.0</v>
      </c>
      <c r="X1599" s="1">
        <v>2.0</v>
      </c>
      <c r="Y1599" s="1">
        <v>2.35</v>
      </c>
      <c r="Z1599" s="1">
        <v>6.4</v>
      </c>
    </row>
    <row r="1600" ht="14.25" customHeight="1">
      <c r="A1600" s="1" t="s">
        <v>26</v>
      </c>
      <c r="B1600" s="1" t="s">
        <v>8066</v>
      </c>
      <c r="C1600" s="1" t="s">
        <v>8067</v>
      </c>
      <c r="D1600" s="1">
        <v>1.4334645E7</v>
      </c>
      <c r="E1600" s="1" t="s">
        <v>3448</v>
      </c>
      <c r="F1600" s="1" t="s">
        <v>1663</v>
      </c>
      <c r="G1600" s="1" t="s">
        <v>7967</v>
      </c>
      <c r="H1600" s="1" t="s">
        <v>8068</v>
      </c>
      <c r="I1600" s="1">
        <v>22449.0</v>
      </c>
      <c r="J1600" s="1" t="s">
        <v>8069</v>
      </c>
      <c r="K1600" s="1" t="s">
        <v>8070</v>
      </c>
      <c r="L1600" s="1">
        <v>191.0</v>
      </c>
      <c r="M1600" s="1" t="s">
        <v>35</v>
      </c>
      <c r="N1600" s="1" t="s">
        <v>36</v>
      </c>
      <c r="O1600" s="1" t="s">
        <v>37</v>
      </c>
      <c r="P1600" s="1">
        <v>2.5E7</v>
      </c>
      <c r="Q1600" s="1">
        <v>2004.0</v>
      </c>
      <c r="R1600" s="1">
        <v>22000.0</v>
      </c>
      <c r="S1600" s="1">
        <v>829.0</v>
      </c>
      <c r="T1600" s="1">
        <v>353.0</v>
      </c>
      <c r="U1600" s="1">
        <v>23352.0</v>
      </c>
      <c r="V1600" s="1">
        <v>6.0</v>
      </c>
      <c r="W1600" s="1">
        <v>387.0</v>
      </c>
      <c r="X1600" s="1">
        <v>1.0</v>
      </c>
      <c r="Y1600" s="1">
        <v>2.35</v>
      </c>
      <c r="Z1600" s="1">
        <v>4.8</v>
      </c>
    </row>
    <row r="1601" ht="14.25" customHeight="1">
      <c r="A1601" s="1" t="s">
        <v>26</v>
      </c>
      <c r="B1601" s="1" t="s">
        <v>8071</v>
      </c>
      <c r="C1601" s="1" t="s">
        <v>8072</v>
      </c>
      <c r="D1601" s="1">
        <v>1.2189514E7</v>
      </c>
      <c r="E1601" s="1" t="s">
        <v>1598</v>
      </c>
      <c r="F1601" s="1" t="s">
        <v>2651</v>
      </c>
      <c r="G1601" s="1" t="s">
        <v>8073</v>
      </c>
      <c r="H1601" s="1" t="s">
        <v>8074</v>
      </c>
      <c r="I1601" s="1">
        <v>30092.0</v>
      </c>
      <c r="J1601" s="1" t="s">
        <v>8075</v>
      </c>
      <c r="K1601" s="1" t="s">
        <v>8076</v>
      </c>
      <c r="L1601" s="1">
        <v>129.0</v>
      </c>
      <c r="M1601" s="1" t="s">
        <v>35</v>
      </c>
      <c r="N1601" s="1" t="s">
        <v>36</v>
      </c>
      <c r="O1601" s="1" t="s">
        <v>37</v>
      </c>
      <c r="P1601" s="1">
        <v>2.3E7</v>
      </c>
      <c r="Q1601" s="1">
        <v>2004.0</v>
      </c>
      <c r="R1601" s="1">
        <v>448.0</v>
      </c>
      <c r="S1601" s="1">
        <v>143.0</v>
      </c>
      <c r="T1601" s="1">
        <v>120.0</v>
      </c>
      <c r="U1601" s="1">
        <v>842.0</v>
      </c>
      <c r="V1601" s="1">
        <v>3.0</v>
      </c>
      <c r="W1601" s="1">
        <v>0.0</v>
      </c>
      <c r="X1601" s="1">
        <v>0.0</v>
      </c>
      <c r="Y1601" s="1">
        <v>2.35</v>
      </c>
      <c r="Z1601" s="1">
        <v>6.1</v>
      </c>
    </row>
    <row r="1602" ht="14.25" customHeight="1">
      <c r="A1602" s="1" t="s">
        <v>26</v>
      </c>
      <c r="B1602" s="1" t="s">
        <v>8077</v>
      </c>
      <c r="C1602" s="1" t="s">
        <v>8078</v>
      </c>
      <c r="D1602" s="1">
        <v>1.0134754E7</v>
      </c>
      <c r="E1602" s="1" t="s">
        <v>2816</v>
      </c>
      <c r="F1602" s="1" t="s">
        <v>464</v>
      </c>
      <c r="G1602" s="1" t="s">
        <v>8079</v>
      </c>
      <c r="H1602" s="1" t="s">
        <v>3134</v>
      </c>
      <c r="I1602" s="1">
        <v>9682.0</v>
      </c>
      <c r="J1602" s="1" t="s">
        <v>8080</v>
      </c>
      <c r="K1602" s="1" t="s">
        <v>8081</v>
      </c>
      <c r="L1602" s="1">
        <v>38.0</v>
      </c>
      <c r="M1602" s="1" t="s">
        <v>35</v>
      </c>
      <c r="N1602" s="1" t="s">
        <v>36</v>
      </c>
      <c r="O1602" s="1" t="s">
        <v>87</v>
      </c>
      <c r="P1602" s="1">
        <v>3.0E7</v>
      </c>
      <c r="Q1602" s="1">
        <v>2011.0</v>
      </c>
      <c r="R1602" s="1">
        <v>1000.0</v>
      </c>
      <c r="S1602" s="1">
        <v>857.0</v>
      </c>
      <c r="T1602" s="1">
        <v>843.0</v>
      </c>
      <c r="U1602" s="1">
        <v>5393.0</v>
      </c>
      <c r="V1602" s="1">
        <v>6.0</v>
      </c>
      <c r="W1602" s="1">
        <v>0.0</v>
      </c>
      <c r="X1602" s="1">
        <v>0.0</v>
      </c>
      <c r="Y1602" s="1">
        <v>1.85</v>
      </c>
      <c r="Z1602" s="1">
        <v>4.8</v>
      </c>
    </row>
    <row r="1603" ht="14.25" customHeight="1">
      <c r="A1603" s="1" t="s">
        <v>26</v>
      </c>
      <c r="B1603" s="1" t="s">
        <v>7160</v>
      </c>
      <c r="C1603" s="1" t="s">
        <v>8082</v>
      </c>
      <c r="D1603" s="1">
        <v>8535575.0</v>
      </c>
      <c r="E1603" s="1" t="s">
        <v>3238</v>
      </c>
      <c r="F1603" s="1" t="s">
        <v>451</v>
      </c>
      <c r="G1603" s="1" t="s">
        <v>4159</v>
      </c>
      <c r="H1603" s="1" t="s">
        <v>8083</v>
      </c>
      <c r="I1603" s="1">
        <v>24033.0</v>
      </c>
      <c r="J1603" s="1" t="s">
        <v>8084</v>
      </c>
      <c r="K1603" s="1" t="s">
        <v>8085</v>
      </c>
      <c r="L1603" s="1">
        <v>152.0</v>
      </c>
      <c r="M1603" s="1" t="s">
        <v>35</v>
      </c>
      <c r="N1603" s="1" t="s">
        <v>36</v>
      </c>
      <c r="O1603" s="1" t="s">
        <v>37</v>
      </c>
      <c r="P1603" s="1">
        <v>3.0E7</v>
      </c>
      <c r="Q1603" s="1">
        <v>2005.0</v>
      </c>
      <c r="R1603" s="1">
        <v>11000.0</v>
      </c>
      <c r="S1603" s="1">
        <v>329.0</v>
      </c>
      <c r="T1603" s="1">
        <v>83.0</v>
      </c>
      <c r="U1603" s="1">
        <v>11519.0</v>
      </c>
      <c r="V1603" s="1">
        <v>529.0</v>
      </c>
      <c r="W1603" s="1">
        <v>0.0</v>
      </c>
      <c r="X1603" s="1">
        <v>3.0</v>
      </c>
      <c r="Y1603" s="1">
        <v>2.35</v>
      </c>
      <c r="Z1603" s="1">
        <v>7.0</v>
      </c>
    </row>
    <row r="1604" ht="14.25" customHeight="1">
      <c r="A1604" s="1" t="s">
        <v>26</v>
      </c>
      <c r="B1604" s="1" t="s">
        <v>2661</v>
      </c>
      <c r="C1604" s="1" t="s">
        <v>8086</v>
      </c>
      <c r="D1604" s="1">
        <v>7689458.0</v>
      </c>
      <c r="E1604" s="1" t="s">
        <v>8087</v>
      </c>
      <c r="F1604" s="1" t="s">
        <v>175</v>
      </c>
      <c r="G1604" s="1" t="s">
        <v>6807</v>
      </c>
      <c r="H1604" s="1" t="s">
        <v>1202</v>
      </c>
      <c r="I1604" s="1">
        <v>126307.0</v>
      </c>
      <c r="J1604" s="1" t="s">
        <v>8088</v>
      </c>
      <c r="K1604" s="1" t="s">
        <v>8089</v>
      </c>
      <c r="L1604" s="1">
        <v>210.0</v>
      </c>
      <c r="M1604" s="1" t="s">
        <v>35</v>
      </c>
      <c r="N1604" s="1" t="s">
        <v>54</v>
      </c>
      <c r="O1604" s="1" t="s">
        <v>37</v>
      </c>
      <c r="P1604" s="1">
        <v>4.0E7</v>
      </c>
      <c r="Q1604" s="1">
        <v>2009.0</v>
      </c>
      <c r="R1604" s="1">
        <v>10000.0</v>
      </c>
      <c r="S1604" s="1">
        <v>785.0</v>
      </c>
      <c r="T1604" s="1">
        <v>645.0</v>
      </c>
      <c r="U1604" s="1">
        <v>11769.0</v>
      </c>
      <c r="V1604" s="1">
        <v>0.0</v>
      </c>
      <c r="W1604" s="1">
        <v>19000.0</v>
      </c>
      <c r="X1604" s="1">
        <v>1.0</v>
      </c>
      <c r="Y1604" s="1">
        <v>1.85</v>
      </c>
      <c r="Z1604" s="1">
        <v>6.8</v>
      </c>
    </row>
    <row r="1605" ht="14.25" customHeight="1">
      <c r="A1605" s="1" t="s">
        <v>26</v>
      </c>
      <c r="B1605" s="1" t="s">
        <v>6050</v>
      </c>
      <c r="C1605" s="1" t="s">
        <v>8090</v>
      </c>
      <c r="D1605" s="1">
        <v>1.9316646E7</v>
      </c>
      <c r="E1605" s="1" t="s">
        <v>1458</v>
      </c>
      <c r="F1605" s="1" t="s">
        <v>686</v>
      </c>
      <c r="G1605" s="1" t="s">
        <v>3032</v>
      </c>
      <c r="H1605" s="1" t="s">
        <v>4908</v>
      </c>
      <c r="I1605" s="1">
        <v>52069.0</v>
      </c>
      <c r="J1605" s="1" t="s">
        <v>8091</v>
      </c>
      <c r="K1605" s="1" t="s">
        <v>8092</v>
      </c>
      <c r="L1605" s="1">
        <v>95.0</v>
      </c>
      <c r="M1605" s="1" t="s">
        <v>35</v>
      </c>
      <c r="N1605" s="1" t="s">
        <v>36</v>
      </c>
      <c r="O1605" s="1" t="s">
        <v>628</v>
      </c>
      <c r="P1605" s="1">
        <v>3.0E7</v>
      </c>
      <c r="Q1605" s="1">
        <v>2013.0</v>
      </c>
      <c r="R1605" s="1">
        <v>3000.0</v>
      </c>
      <c r="S1605" s="1">
        <v>697.0</v>
      </c>
      <c r="T1605" s="1">
        <v>681.0</v>
      </c>
      <c r="U1605" s="1">
        <v>5706.0</v>
      </c>
      <c r="V1605" s="1">
        <v>65.0</v>
      </c>
      <c r="W1605" s="1">
        <v>0.0</v>
      </c>
      <c r="X1605" s="1">
        <v>3.0</v>
      </c>
      <c r="Y1605" s="1">
        <v>2.35</v>
      </c>
      <c r="Z1605" s="1">
        <v>5.6</v>
      </c>
    </row>
    <row r="1606" ht="14.25" customHeight="1">
      <c r="A1606" s="1" t="s">
        <v>26</v>
      </c>
      <c r="B1606" s="1" t="s">
        <v>5504</v>
      </c>
      <c r="C1606" s="1" t="s">
        <v>8093</v>
      </c>
      <c r="D1606" s="1">
        <v>1.0965209E7</v>
      </c>
      <c r="E1606" s="1" t="s">
        <v>449</v>
      </c>
      <c r="F1606" s="1" t="s">
        <v>265</v>
      </c>
      <c r="G1606" s="1" t="s">
        <v>8094</v>
      </c>
      <c r="H1606" s="1" t="s">
        <v>8095</v>
      </c>
      <c r="I1606" s="1">
        <v>25558.0</v>
      </c>
      <c r="J1606" s="1" t="s">
        <v>8096</v>
      </c>
      <c r="K1606" s="1" t="s">
        <v>8097</v>
      </c>
      <c r="L1606" s="1">
        <v>221.0</v>
      </c>
      <c r="M1606" s="1" t="s">
        <v>35</v>
      </c>
      <c r="N1606" s="1" t="s">
        <v>36</v>
      </c>
      <c r="O1606" s="1" t="s">
        <v>37</v>
      </c>
      <c r="P1606" s="1">
        <v>3.0E7</v>
      </c>
      <c r="Q1606" s="1">
        <v>2001.0</v>
      </c>
      <c r="R1606" s="1">
        <v>779.0</v>
      </c>
      <c r="S1606" s="1">
        <v>240.0</v>
      </c>
      <c r="T1606" s="1">
        <v>91.0</v>
      </c>
      <c r="U1606" s="1">
        <v>1297.0</v>
      </c>
      <c r="V1606" s="1">
        <v>29.0</v>
      </c>
      <c r="W1606" s="1">
        <v>0.0</v>
      </c>
      <c r="X1606" s="1">
        <v>2.0</v>
      </c>
      <c r="Y1606" s="1">
        <v>2.35</v>
      </c>
      <c r="Z1606" s="1">
        <v>6.1</v>
      </c>
    </row>
    <row r="1607" ht="14.25" customHeight="1">
      <c r="A1607" s="1" t="s">
        <v>26</v>
      </c>
      <c r="B1607" s="1" t="s">
        <v>978</v>
      </c>
      <c r="C1607" s="1" t="s">
        <v>8098</v>
      </c>
      <c r="D1607" s="1">
        <v>2.683E7</v>
      </c>
      <c r="E1607" s="1" t="s">
        <v>1880</v>
      </c>
      <c r="F1607" s="1" t="s">
        <v>1644</v>
      </c>
      <c r="G1607" s="1" t="s">
        <v>451</v>
      </c>
      <c r="H1607" s="1" t="s">
        <v>865</v>
      </c>
      <c r="I1607" s="1">
        <v>101888.0</v>
      </c>
      <c r="J1607" s="1" t="s">
        <v>8099</v>
      </c>
      <c r="K1607" s="1" t="s">
        <v>8100</v>
      </c>
      <c r="L1607" s="1">
        <v>365.0</v>
      </c>
      <c r="M1607" s="1" t="s">
        <v>35</v>
      </c>
      <c r="N1607" s="1" t="s">
        <v>36</v>
      </c>
      <c r="O1607" s="1" t="s">
        <v>628</v>
      </c>
      <c r="P1607" s="1">
        <v>1.8E7</v>
      </c>
      <c r="Q1607" s="1">
        <v>1989.0</v>
      </c>
      <c r="R1607" s="1">
        <v>18000.0</v>
      </c>
      <c r="S1607" s="1">
        <v>11000.0</v>
      </c>
      <c r="T1607" s="1">
        <v>2000.0</v>
      </c>
      <c r="U1607" s="1">
        <v>32930.0</v>
      </c>
      <c r="V1607" s="1">
        <v>380.0</v>
      </c>
      <c r="W1607" s="1">
        <v>0.0</v>
      </c>
      <c r="X1607" s="1">
        <v>3.0</v>
      </c>
      <c r="Y1607" s="1">
        <v>1.85</v>
      </c>
      <c r="Z1607" s="1">
        <v>7.9</v>
      </c>
    </row>
    <row r="1608" ht="14.25" customHeight="1">
      <c r="A1608" s="1" t="s">
        <v>26</v>
      </c>
      <c r="B1608" s="1" t="s">
        <v>8101</v>
      </c>
      <c r="C1608" s="1" t="s">
        <v>8102</v>
      </c>
      <c r="D1608" s="1">
        <v>5300000.0</v>
      </c>
      <c r="E1608" s="1" t="s">
        <v>1854</v>
      </c>
      <c r="F1608" s="1" t="s">
        <v>1663</v>
      </c>
      <c r="G1608" s="1" t="s">
        <v>1823</v>
      </c>
      <c r="H1608" s="1" t="s">
        <v>3994</v>
      </c>
      <c r="I1608" s="1">
        <v>221000.0</v>
      </c>
      <c r="J1608" s="1" t="s">
        <v>8103</v>
      </c>
      <c r="K1608" s="1" t="s">
        <v>8104</v>
      </c>
      <c r="L1608" s="1">
        <v>495.0</v>
      </c>
      <c r="M1608" s="1" t="s">
        <v>35</v>
      </c>
      <c r="N1608" s="1" t="s">
        <v>8105</v>
      </c>
      <c r="O1608" s="1" t="s">
        <v>628</v>
      </c>
      <c r="P1608" s="1">
        <v>3.0E7</v>
      </c>
      <c r="Q1608" s="1">
        <v>1984.0</v>
      </c>
      <c r="R1608" s="1">
        <v>22000.0</v>
      </c>
      <c r="S1608" s="1">
        <v>683.0</v>
      </c>
      <c r="T1608" s="1">
        <v>642.0</v>
      </c>
      <c r="U1608" s="1">
        <v>24719.0</v>
      </c>
      <c r="V1608" s="1">
        <v>0.0</v>
      </c>
      <c r="W1608" s="1">
        <v>12000.0</v>
      </c>
      <c r="X1608" s="1">
        <v>8.0</v>
      </c>
      <c r="Y1608" s="1">
        <v>1.85</v>
      </c>
      <c r="Z1608" s="1">
        <v>8.4</v>
      </c>
    </row>
    <row r="1609" ht="14.25" customHeight="1">
      <c r="A1609" s="1" t="s">
        <v>26</v>
      </c>
      <c r="B1609" s="1" t="s">
        <v>8106</v>
      </c>
      <c r="C1609" s="1" t="s">
        <v>8107</v>
      </c>
      <c r="D1609" s="1">
        <v>1.0880926E7</v>
      </c>
      <c r="E1609" s="1" t="s">
        <v>449</v>
      </c>
      <c r="F1609" s="1" t="s">
        <v>693</v>
      </c>
      <c r="G1609" s="1" t="s">
        <v>5665</v>
      </c>
      <c r="H1609" s="1" t="s">
        <v>8108</v>
      </c>
      <c r="I1609" s="1">
        <v>54147.0</v>
      </c>
      <c r="J1609" s="1" t="s">
        <v>8109</v>
      </c>
      <c r="K1609" s="1" t="s">
        <v>8110</v>
      </c>
      <c r="L1609" s="1">
        <v>127.0</v>
      </c>
      <c r="M1609" s="1" t="s">
        <v>35</v>
      </c>
      <c r="N1609" s="1" t="s">
        <v>36</v>
      </c>
      <c r="O1609" s="1" t="s">
        <v>628</v>
      </c>
      <c r="P1609" s="1">
        <v>3.0E7</v>
      </c>
      <c r="Q1609" s="1">
        <v>2013.0</v>
      </c>
      <c r="R1609" s="1">
        <v>3000.0</v>
      </c>
      <c r="S1609" s="1">
        <v>678.0</v>
      </c>
      <c r="T1609" s="1">
        <v>174.0</v>
      </c>
      <c r="U1609" s="1">
        <v>4253.0</v>
      </c>
      <c r="V1609" s="1">
        <v>76.0</v>
      </c>
      <c r="W1609" s="1">
        <v>0.0</v>
      </c>
      <c r="X1609" s="1">
        <v>2.0</v>
      </c>
      <c r="Y1609" s="1">
        <v>2.35</v>
      </c>
      <c r="Z1609" s="1">
        <v>6.5</v>
      </c>
    </row>
    <row r="1610" ht="14.25" customHeight="1">
      <c r="A1610" s="1" t="s">
        <v>26</v>
      </c>
      <c r="B1610" s="1" t="s">
        <v>8111</v>
      </c>
      <c r="C1610" s="1" t="s">
        <v>8112</v>
      </c>
      <c r="D1610" s="1">
        <v>3752725.0</v>
      </c>
      <c r="E1610" s="1" t="s">
        <v>206</v>
      </c>
      <c r="F1610" s="1" t="s">
        <v>2292</v>
      </c>
      <c r="G1610" s="1" t="s">
        <v>1168</v>
      </c>
      <c r="H1610" s="1" t="s">
        <v>5436</v>
      </c>
      <c r="I1610" s="1">
        <v>29715.0</v>
      </c>
      <c r="J1610" s="1" t="s">
        <v>8113</v>
      </c>
      <c r="K1610" s="1" t="s">
        <v>8114</v>
      </c>
      <c r="L1610" s="1">
        <v>161.0</v>
      </c>
      <c r="M1610" s="1" t="s">
        <v>35</v>
      </c>
      <c r="N1610" s="1" t="s">
        <v>36</v>
      </c>
      <c r="O1610" s="1" t="s">
        <v>628</v>
      </c>
      <c r="P1610" s="1">
        <v>1.8E7</v>
      </c>
      <c r="Q1610" s="1">
        <v>2004.0</v>
      </c>
      <c r="R1610" s="1">
        <v>14000.0</v>
      </c>
      <c r="S1610" s="1">
        <v>871.0</v>
      </c>
      <c r="T1610" s="1">
        <v>548.0</v>
      </c>
      <c r="U1610" s="1">
        <v>16252.0</v>
      </c>
      <c r="V1610" s="1">
        <v>53.0</v>
      </c>
      <c r="W1610" s="1">
        <v>0.0</v>
      </c>
      <c r="X1610" s="1">
        <v>3.0</v>
      </c>
      <c r="Y1610" s="1">
        <v>2.35</v>
      </c>
      <c r="Z1610" s="1">
        <v>7.1</v>
      </c>
    </row>
    <row r="1611" ht="14.25" customHeight="1">
      <c r="A1611" s="1" t="s">
        <v>26</v>
      </c>
      <c r="B1611" s="1" t="s">
        <v>4775</v>
      </c>
      <c r="C1611" s="1" t="s">
        <v>8115</v>
      </c>
      <c r="D1611" s="1">
        <v>3517797.0</v>
      </c>
      <c r="E1611" s="1" t="s">
        <v>5448</v>
      </c>
      <c r="F1611" s="1" t="s">
        <v>8116</v>
      </c>
      <c r="G1611" s="1" t="s">
        <v>8117</v>
      </c>
      <c r="H1611" s="1" t="s">
        <v>2364</v>
      </c>
      <c r="I1611" s="1">
        <v>9004.0</v>
      </c>
      <c r="J1611" s="1" t="s">
        <v>8118</v>
      </c>
      <c r="K1611" s="1" t="s">
        <v>8119</v>
      </c>
      <c r="L1611" s="1">
        <v>103.0</v>
      </c>
      <c r="M1611" s="1" t="s">
        <v>35</v>
      </c>
      <c r="N1611" s="1" t="s">
        <v>1832</v>
      </c>
      <c r="O1611" s="1" t="s">
        <v>628</v>
      </c>
      <c r="P1611" s="1">
        <v>2.5E7</v>
      </c>
      <c r="Q1611" s="1">
        <v>2002.0</v>
      </c>
      <c r="R1611" s="1">
        <v>2000.0</v>
      </c>
      <c r="S1611" s="1">
        <v>378.0</v>
      </c>
      <c r="T1611" s="1">
        <v>345.0</v>
      </c>
      <c r="U1611" s="1">
        <v>2759.0</v>
      </c>
      <c r="V1611" s="1">
        <v>277.0</v>
      </c>
      <c r="W1611" s="1">
        <v>287.0</v>
      </c>
      <c r="X1611" s="1">
        <v>0.0</v>
      </c>
      <c r="Y1611" s="1">
        <v>1.85</v>
      </c>
      <c r="Z1611" s="1">
        <v>6.6</v>
      </c>
    </row>
    <row r="1612" ht="14.25" customHeight="1">
      <c r="A1612" s="1" t="s">
        <v>26</v>
      </c>
      <c r="B1612" s="1" t="s">
        <v>7693</v>
      </c>
      <c r="C1612" s="1" t="s">
        <v>8120</v>
      </c>
      <c r="D1612" s="1">
        <v>2975649.0</v>
      </c>
      <c r="E1612" s="1" t="s">
        <v>5942</v>
      </c>
      <c r="F1612" s="1" t="s">
        <v>2783</v>
      </c>
      <c r="G1612" s="1" t="s">
        <v>8121</v>
      </c>
      <c r="H1612" s="1" t="s">
        <v>8122</v>
      </c>
      <c r="I1612" s="1">
        <v>23864.0</v>
      </c>
      <c r="J1612" s="1" t="s">
        <v>8123</v>
      </c>
      <c r="K1612" s="1" t="s">
        <v>8124</v>
      </c>
      <c r="L1612" s="1">
        <v>142.0</v>
      </c>
      <c r="M1612" s="1" t="s">
        <v>35</v>
      </c>
      <c r="N1612" s="1" t="s">
        <v>54</v>
      </c>
      <c r="O1612" s="1" t="s">
        <v>87</v>
      </c>
      <c r="P1612" s="1">
        <v>3.0E7</v>
      </c>
      <c r="Q1612" s="1">
        <v>2006.0</v>
      </c>
      <c r="R1612" s="1">
        <v>876.0</v>
      </c>
      <c r="S1612" s="1">
        <v>142.0</v>
      </c>
      <c r="T1612" s="1">
        <v>135.0</v>
      </c>
      <c r="U1612" s="1">
        <v>1518.0</v>
      </c>
      <c r="V1612" s="1">
        <v>108.0</v>
      </c>
      <c r="W1612" s="1">
        <v>0.0</v>
      </c>
      <c r="X1612" s="1">
        <v>1.0</v>
      </c>
      <c r="Y1612" s="1">
        <v>2.35</v>
      </c>
      <c r="Z1612" s="1">
        <v>7.0</v>
      </c>
    </row>
    <row r="1613" ht="14.25" customHeight="1">
      <c r="A1613" s="1" t="s">
        <v>26</v>
      </c>
      <c r="B1613" s="1" t="s">
        <v>8125</v>
      </c>
      <c r="C1613" s="1" t="s">
        <v>8126</v>
      </c>
      <c r="D1613" s="1">
        <v>668171.0</v>
      </c>
      <c r="E1613" s="1" t="s">
        <v>6499</v>
      </c>
      <c r="F1613" s="1" t="s">
        <v>5810</v>
      </c>
      <c r="G1613" s="1" t="s">
        <v>8127</v>
      </c>
      <c r="H1613" s="1" t="s">
        <v>8128</v>
      </c>
      <c r="I1613" s="1">
        <v>8215.0</v>
      </c>
      <c r="J1613" s="1" t="s">
        <v>8129</v>
      </c>
      <c r="K1613" s="1" t="s">
        <v>8130</v>
      </c>
      <c r="L1613" s="1">
        <v>132.0</v>
      </c>
      <c r="M1613" s="1" t="s">
        <v>1864</v>
      </c>
      <c r="N1613" s="1" t="s">
        <v>855</v>
      </c>
      <c r="O1613" s="1" t="s">
        <v>37</v>
      </c>
      <c r="P1613" s="1">
        <v>6.0E7</v>
      </c>
      <c r="Q1613" s="1">
        <v>2005.0</v>
      </c>
      <c r="R1613" s="1">
        <v>489.0</v>
      </c>
      <c r="S1613" s="1">
        <v>181.0</v>
      </c>
      <c r="T1613" s="1">
        <v>107.0</v>
      </c>
      <c r="U1613" s="1">
        <v>949.0</v>
      </c>
      <c r="V1613" s="1">
        <v>45.0</v>
      </c>
      <c r="W1613" s="1">
        <v>445.0</v>
      </c>
      <c r="X1613" s="1">
        <v>0.0</v>
      </c>
      <c r="Y1613" s="1">
        <v>2.35</v>
      </c>
      <c r="Z1613" s="1">
        <v>5.6</v>
      </c>
    </row>
    <row r="1614" ht="14.25" customHeight="1">
      <c r="A1614" s="1" t="s">
        <v>26</v>
      </c>
      <c r="B1614" s="1" t="s">
        <v>8131</v>
      </c>
      <c r="C1614" s="1" t="s">
        <v>8132</v>
      </c>
      <c r="D1614" s="1">
        <v>480314.0</v>
      </c>
      <c r="E1614" s="1" t="s">
        <v>119</v>
      </c>
      <c r="F1614" s="1" t="s">
        <v>6985</v>
      </c>
      <c r="G1614" s="1" t="s">
        <v>8133</v>
      </c>
      <c r="H1614" s="1" t="s">
        <v>8134</v>
      </c>
      <c r="I1614" s="1">
        <v>38503.0</v>
      </c>
      <c r="J1614" s="1" t="s">
        <v>8135</v>
      </c>
      <c r="K1614" s="1" t="s">
        <v>8136</v>
      </c>
      <c r="L1614" s="1">
        <v>180.0</v>
      </c>
      <c r="M1614" s="1" t="s">
        <v>35</v>
      </c>
      <c r="N1614" s="1" t="s">
        <v>36</v>
      </c>
      <c r="O1614" s="1" t="s">
        <v>37</v>
      </c>
      <c r="P1614" s="1">
        <v>2.1E7</v>
      </c>
      <c r="Q1614" s="1">
        <v>2006.0</v>
      </c>
      <c r="R1614" s="1">
        <v>826.0</v>
      </c>
      <c r="S1614" s="1">
        <v>816.0</v>
      </c>
      <c r="T1614" s="1">
        <v>748.0</v>
      </c>
      <c r="U1614" s="1">
        <v>4473.0</v>
      </c>
      <c r="V1614" s="1">
        <v>23.0</v>
      </c>
      <c r="W1614" s="1">
        <v>0.0</v>
      </c>
      <c r="X1614" s="1">
        <v>4.0</v>
      </c>
      <c r="Y1614" s="1">
        <v>2.35</v>
      </c>
      <c r="Z1614" s="1">
        <v>4.8</v>
      </c>
    </row>
    <row r="1615" ht="14.25" customHeight="1">
      <c r="A1615" s="1" t="s">
        <v>26</v>
      </c>
      <c r="B1615" s="1" t="s">
        <v>8137</v>
      </c>
      <c r="C1615" s="1" t="s">
        <v>8138</v>
      </c>
      <c r="D1615" s="1">
        <v>3904982.0</v>
      </c>
      <c r="E1615" s="1" t="s">
        <v>8139</v>
      </c>
      <c r="F1615" s="1" t="s">
        <v>335</v>
      </c>
      <c r="G1615" s="1" t="s">
        <v>851</v>
      </c>
      <c r="H1615" s="1" t="s">
        <v>1009</v>
      </c>
      <c r="I1615" s="1">
        <v>136104.0</v>
      </c>
      <c r="J1615" s="1" t="s">
        <v>8140</v>
      </c>
      <c r="K1615" s="1" t="s">
        <v>8141</v>
      </c>
      <c r="L1615" s="1">
        <v>415.0</v>
      </c>
      <c r="M1615" s="1" t="s">
        <v>35</v>
      </c>
      <c r="N1615" s="1" t="s">
        <v>36</v>
      </c>
      <c r="O1615" s="1" t="s">
        <v>628</v>
      </c>
      <c r="P1615" s="1">
        <v>3.0E7</v>
      </c>
      <c r="Q1615" s="1">
        <v>2007.0</v>
      </c>
      <c r="R1615" s="1">
        <v>11000.0</v>
      </c>
      <c r="S1615" s="1">
        <v>10000.0</v>
      </c>
      <c r="T1615" s="1">
        <v>820.0</v>
      </c>
      <c r="U1615" s="1">
        <v>22516.0</v>
      </c>
      <c r="V1615" s="1">
        <v>181.0</v>
      </c>
      <c r="W1615" s="1">
        <v>0.0</v>
      </c>
      <c r="X1615" s="1">
        <v>0.0</v>
      </c>
      <c r="Y1615" s="1">
        <v>2.35</v>
      </c>
      <c r="Z1615" s="1">
        <v>7.5</v>
      </c>
    </row>
    <row r="1616" ht="14.25" customHeight="1">
      <c r="A1616" s="1" t="s">
        <v>26</v>
      </c>
      <c r="B1616" s="1" t="s">
        <v>8142</v>
      </c>
      <c r="C1616" s="1">
        <v>1911.0</v>
      </c>
      <c r="D1616" s="1">
        <v>127437.0</v>
      </c>
      <c r="E1616" s="1" t="s">
        <v>1061</v>
      </c>
      <c r="F1616" s="1" t="s">
        <v>278</v>
      </c>
      <c r="G1616" s="1" t="s">
        <v>4993</v>
      </c>
      <c r="H1616" s="1" t="s">
        <v>8143</v>
      </c>
      <c r="I1616" s="1">
        <v>4670.0</v>
      </c>
      <c r="J1616" s="1" t="s">
        <v>8144</v>
      </c>
      <c r="K1616" s="1" t="s">
        <v>8145</v>
      </c>
      <c r="L1616" s="1">
        <v>27.0</v>
      </c>
      <c r="M1616" s="1" t="s">
        <v>1864</v>
      </c>
      <c r="N1616" s="1" t="s">
        <v>855</v>
      </c>
      <c r="O1616" s="1" t="s">
        <v>628</v>
      </c>
      <c r="P1616" s="1">
        <v>1.8E7</v>
      </c>
      <c r="Q1616" s="1">
        <v>2011.0</v>
      </c>
      <c r="R1616" s="1">
        <v>974.0</v>
      </c>
      <c r="S1616" s="1">
        <v>643.0</v>
      </c>
      <c r="T1616" s="1">
        <v>187.0</v>
      </c>
      <c r="U1616" s="1">
        <v>1887.0</v>
      </c>
      <c r="V1616" s="1">
        <v>0.0</v>
      </c>
      <c r="W1616" s="1">
        <v>0.0</v>
      </c>
      <c r="X1616" s="1">
        <v>0.0</v>
      </c>
      <c r="Y1616" s="1">
        <v>2.35</v>
      </c>
      <c r="Z1616" s="1">
        <v>6.0</v>
      </c>
    </row>
    <row r="1617" ht="14.25" customHeight="1">
      <c r="A1617" s="1" t="s">
        <v>26</v>
      </c>
      <c r="B1617" s="1" t="s">
        <v>117</v>
      </c>
      <c r="C1617" s="1" t="s">
        <v>8146</v>
      </c>
      <c r="D1617" s="1">
        <v>537580.0</v>
      </c>
      <c r="E1617" s="1" t="s">
        <v>8147</v>
      </c>
      <c r="F1617" s="1" t="s">
        <v>616</v>
      </c>
      <c r="G1617" s="1" t="s">
        <v>4427</v>
      </c>
      <c r="H1617" s="1" t="s">
        <v>8148</v>
      </c>
      <c r="I1617" s="1">
        <v>52972.0</v>
      </c>
      <c r="J1617" s="1" t="s">
        <v>8149</v>
      </c>
      <c r="K1617" s="1" t="s">
        <v>8150</v>
      </c>
      <c r="L1617" s="1">
        <v>124.0</v>
      </c>
      <c r="M1617" s="1" t="s">
        <v>35</v>
      </c>
      <c r="N1617" s="1" t="s">
        <v>36</v>
      </c>
      <c r="O1617" s="1" t="s">
        <v>628</v>
      </c>
      <c r="P1617" s="1">
        <v>3.0E7</v>
      </c>
      <c r="Q1617" s="1">
        <v>2011.0</v>
      </c>
      <c r="R1617" s="1">
        <v>18000.0</v>
      </c>
      <c r="S1617" s="1">
        <v>1000.0</v>
      </c>
      <c r="T1617" s="1">
        <v>313.0</v>
      </c>
      <c r="U1617" s="1">
        <v>19620.0</v>
      </c>
      <c r="V1617" s="1">
        <v>395.0</v>
      </c>
      <c r="W1617" s="1">
        <v>21000.0</v>
      </c>
      <c r="X1617" s="1">
        <v>1.0</v>
      </c>
      <c r="Y1617" s="1">
        <v>2.35</v>
      </c>
      <c r="Z1617" s="1">
        <v>6.8</v>
      </c>
    </row>
    <row r="1618" ht="14.25" customHeight="1">
      <c r="A1618" s="1" t="s">
        <v>26</v>
      </c>
      <c r="B1618" s="1" t="s">
        <v>8151</v>
      </c>
      <c r="C1618" s="1" t="s">
        <v>8152</v>
      </c>
      <c r="D1618" s="1">
        <v>1.8343638E8</v>
      </c>
      <c r="E1618" s="1" t="s">
        <v>7157</v>
      </c>
      <c r="F1618" s="1" t="s">
        <v>2357</v>
      </c>
      <c r="G1618" s="1" t="s">
        <v>8153</v>
      </c>
      <c r="H1618" s="1" t="s">
        <v>8154</v>
      </c>
      <c r="I1618" s="1">
        <v>97697.0</v>
      </c>
      <c r="J1618" s="1" t="s">
        <v>8155</v>
      </c>
      <c r="K1618" s="1" t="s">
        <v>8156</v>
      </c>
      <c r="L1618" s="1">
        <v>185.0</v>
      </c>
      <c r="M1618" s="1" t="s">
        <v>35</v>
      </c>
      <c r="N1618" s="1" t="s">
        <v>36</v>
      </c>
      <c r="O1618" s="1" t="s">
        <v>37</v>
      </c>
      <c r="P1618" s="1">
        <v>2.9E7</v>
      </c>
      <c r="Q1618" s="1">
        <v>2015.0</v>
      </c>
      <c r="R1618" s="1">
        <v>10000.0</v>
      </c>
      <c r="S1618" s="1">
        <v>1000.0</v>
      </c>
      <c r="T1618" s="1">
        <v>751.0</v>
      </c>
      <c r="U1618" s="1">
        <v>13159.0</v>
      </c>
      <c r="V1618" s="1">
        <v>0.0</v>
      </c>
      <c r="W1618" s="1">
        <v>40000.0</v>
      </c>
      <c r="X1618" s="1">
        <v>8.0</v>
      </c>
      <c r="Y1618" s="1">
        <v>1.85</v>
      </c>
      <c r="Z1618" s="1">
        <v>6.5</v>
      </c>
    </row>
    <row r="1619" ht="14.25" customHeight="1">
      <c r="A1619" s="1" t="s">
        <v>26</v>
      </c>
      <c r="B1619" s="1" t="s">
        <v>1365</v>
      </c>
      <c r="C1619" s="1" t="s">
        <v>8157</v>
      </c>
      <c r="D1619" s="1">
        <v>1.19518352E8</v>
      </c>
      <c r="E1619" s="1" t="s">
        <v>8158</v>
      </c>
      <c r="F1619" s="1" t="s">
        <v>1127</v>
      </c>
      <c r="G1619" s="1" t="s">
        <v>8159</v>
      </c>
      <c r="H1619" s="1" t="s">
        <v>8160</v>
      </c>
      <c r="I1619" s="1">
        <v>188637.0</v>
      </c>
      <c r="J1619" s="1" t="s">
        <v>8161</v>
      </c>
      <c r="K1619" s="1" t="s">
        <v>8162</v>
      </c>
      <c r="L1619" s="1">
        <v>815.0</v>
      </c>
      <c r="M1619" s="1" t="s">
        <v>35</v>
      </c>
      <c r="N1619" s="1" t="s">
        <v>36</v>
      </c>
      <c r="O1619" s="1" t="s">
        <v>37</v>
      </c>
      <c r="P1619" s="1">
        <v>2.8E7</v>
      </c>
      <c r="Q1619" s="1">
        <v>2005.0</v>
      </c>
      <c r="R1619" s="1">
        <v>523.0</v>
      </c>
      <c r="S1619" s="1">
        <v>405.0</v>
      </c>
      <c r="T1619" s="1">
        <v>154.0</v>
      </c>
      <c r="U1619" s="1">
        <v>1383.0</v>
      </c>
      <c r="V1619" s="1">
        <v>446.0</v>
      </c>
      <c r="W1619" s="1">
        <v>11000.0</v>
      </c>
      <c r="X1619" s="1">
        <v>0.0</v>
      </c>
      <c r="Y1619" s="1">
        <v>2.39</v>
      </c>
      <c r="Z1619" s="1">
        <v>7.9</v>
      </c>
    </row>
    <row r="1620" ht="14.25" customHeight="1">
      <c r="A1620" s="1" t="s">
        <v>26</v>
      </c>
      <c r="B1620" s="1" t="s">
        <v>8163</v>
      </c>
      <c r="C1620" s="1" t="s">
        <v>8164</v>
      </c>
      <c r="D1620" s="1">
        <v>3.7036404E7</v>
      </c>
      <c r="E1620" s="1" t="s">
        <v>1359</v>
      </c>
      <c r="F1620" s="1" t="s">
        <v>3440</v>
      </c>
      <c r="G1620" s="1" t="s">
        <v>4686</v>
      </c>
      <c r="H1620" s="1" t="s">
        <v>3798</v>
      </c>
      <c r="I1620" s="1">
        <v>44816.0</v>
      </c>
      <c r="J1620" s="1" t="s">
        <v>8165</v>
      </c>
      <c r="K1620" s="1" t="s">
        <v>8166</v>
      </c>
      <c r="L1620" s="1">
        <v>259.0</v>
      </c>
      <c r="M1620" s="1" t="s">
        <v>35</v>
      </c>
      <c r="N1620" s="1" t="s">
        <v>36</v>
      </c>
      <c r="O1620" s="1" t="s">
        <v>37</v>
      </c>
      <c r="P1620" s="1">
        <v>3.0E7</v>
      </c>
      <c r="Q1620" s="1">
        <v>2000.0</v>
      </c>
      <c r="R1620" s="1">
        <v>955.0</v>
      </c>
      <c r="S1620" s="1">
        <v>869.0</v>
      </c>
      <c r="T1620" s="1">
        <v>754.0</v>
      </c>
      <c r="U1620" s="1">
        <v>5404.0</v>
      </c>
      <c r="V1620" s="1">
        <v>0.0</v>
      </c>
      <c r="W1620" s="1">
        <v>0.0</v>
      </c>
      <c r="X1620" s="1">
        <v>3.0</v>
      </c>
      <c r="Y1620" s="1">
        <v>1.85</v>
      </c>
      <c r="Z1620" s="1">
        <v>6.4</v>
      </c>
    </row>
    <row r="1621" ht="14.25" customHeight="1">
      <c r="A1621" s="1" t="s">
        <v>26</v>
      </c>
      <c r="B1621" s="1" t="s">
        <v>4827</v>
      </c>
      <c r="C1621" s="1" t="s">
        <v>8167</v>
      </c>
      <c r="D1621" s="1">
        <v>2.2359293E7</v>
      </c>
      <c r="E1621" s="1" t="s">
        <v>751</v>
      </c>
      <c r="F1621" s="1" t="s">
        <v>385</v>
      </c>
      <c r="G1621" s="1" t="s">
        <v>8168</v>
      </c>
      <c r="H1621" s="1" t="s">
        <v>8169</v>
      </c>
      <c r="I1621" s="1">
        <v>16222.0</v>
      </c>
      <c r="J1621" s="1" t="s">
        <v>8170</v>
      </c>
      <c r="K1621" s="1" t="s">
        <v>8171</v>
      </c>
      <c r="L1621" s="1">
        <v>39.0</v>
      </c>
      <c r="M1621" s="1" t="s">
        <v>35</v>
      </c>
      <c r="N1621" s="1" t="s">
        <v>54</v>
      </c>
      <c r="O1621" s="1" t="s">
        <v>87</v>
      </c>
      <c r="P1621" s="1">
        <v>2.9E7</v>
      </c>
      <c r="Q1621" s="1">
        <v>1997.0</v>
      </c>
      <c r="R1621" s="1">
        <v>1000.0</v>
      </c>
      <c r="S1621" s="1">
        <v>409.0</v>
      </c>
      <c r="T1621" s="1">
        <v>373.0</v>
      </c>
      <c r="U1621" s="1">
        <v>2056.0</v>
      </c>
      <c r="V1621" s="1">
        <v>12.0</v>
      </c>
      <c r="W1621" s="1">
        <v>0.0</v>
      </c>
      <c r="X1621" s="1">
        <v>0.0</v>
      </c>
      <c r="Y1621" s="1">
        <v>1.85</v>
      </c>
      <c r="Z1621" s="1">
        <v>5.8</v>
      </c>
    </row>
    <row r="1622" ht="14.25" customHeight="1">
      <c r="A1622" s="1" t="s">
        <v>26</v>
      </c>
      <c r="B1622" s="1" t="s">
        <v>813</v>
      </c>
      <c r="C1622" s="1" t="s">
        <v>8172</v>
      </c>
      <c r="D1622" s="1">
        <v>1.8593156E7</v>
      </c>
      <c r="E1622" s="1" t="s">
        <v>3238</v>
      </c>
      <c r="F1622" s="1" t="s">
        <v>1167</v>
      </c>
      <c r="G1622" s="1" t="s">
        <v>1276</v>
      </c>
      <c r="H1622" s="1" t="s">
        <v>415</v>
      </c>
      <c r="I1622" s="1">
        <v>88682.0</v>
      </c>
      <c r="J1622" s="1" t="s">
        <v>8173</v>
      </c>
      <c r="K1622" s="1" t="s">
        <v>8174</v>
      </c>
      <c r="L1622" s="1">
        <v>241.0</v>
      </c>
      <c r="M1622" s="1" t="s">
        <v>35</v>
      </c>
      <c r="N1622" s="1" t="s">
        <v>36</v>
      </c>
      <c r="O1622" s="1" t="s">
        <v>628</v>
      </c>
      <c r="P1622" s="1">
        <v>3.5E7</v>
      </c>
      <c r="Q1622" s="1">
        <v>2008.0</v>
      </c>
      <c r="R1622" s="1">
        <v>2000.0</v>
      </c>
      <c r="S1622" s="1">
        <v>1000.0</v>
      </c>
      <c r="T1622" s="1">
        <v>1000.0</v>
      </c>
      <c r="U1622" s="1">
        <v>6161.0</v>
      </c>
      <c r="V1622" s="1">
        <v>2000.0</v>
      </c>
      <c r="W1622" s="1">
        <v>0.0</v>
      </c>
      <c r="X1622" s="1">
        <v>1.0</v>
      </c>
      <c r="Y1622" s="1">
        <v>2.35</v>
      </c>
      <c r="Z1622" s="1">
        <v>7.7</v>
      </c>
    </row>
    <row r="1623" ht="14.25" customHeight="1">
      <c r="A1623" s="1" t="s">
        <v>26</v>
      </c>
      <c r="B1623" s="1" t="s">
        <v>5727</v>
      </c>
      <c r="C1623" s="1" t="s">
        <v>8175</v>
      </c>
      <c r="D1623" s="1">
        <v>1.6930185E7</v>
      </c>
      <c r="E1623" s="1" t="s">
        <v>1598</v>
      </c>
      <c r="F1623" s="1" t="s">
        <v>6009</v>
      </c>
      <c r="G1623" s="1" t="s">
        <v>2876</v>
      </c>
      <c r="H1623" s="1" t="s">
        <v>3377</v>
      </c>
      <c r="I1623" s="1">
        <v>14315.0</v>
      </c>
      <c r="J1623" s="1" t="s">
        <v>8176</v>
      </c>
      <c r="K1623" s="1" t="s">
        <v>8177</v>
      </c>
      <c r="L1623" s="1">
        <v>101.0</v>
      </c>
      <c r="M1623" s="1" t="s">
        <v>35</v>
      </c>
      <c r="N1623" s="1" t="s">
        <v>730</v>
      </c>
      <c r="O1623" s="1" t="s">
        <v>37</v>
      </c>
      <c r="P1623" s="1">
        <v>2.9E7</v>
      </c>
      <c r="Q1623" s="1">
        <v>2002.0</v>
      </c>
      <c r="R1623" s="1">
        <v>2000.0</v>
      </c>
      <c r="S1623" s="1">
        <v>719.0</v>
      </c>
      <c r="T1623" s="1">
        <v>584.0</v>
      </c>
      <c r="U1623" s="1">
        <v>4169.0</v>
      </c>
      <c r="V1623" s="1">
        <v>71.0</v>
      </c>
      <c r="W1623" s="1">
        <v>201.0</v>
      </c>
      <c r="X1623" s="1">
        <v>2.0</v>
      </c>
      <c r="Y1623" s="1">
        <v>1.85</v>
      </c>
      <c r="Z1623" s="1">
        <v>5.3</v>
      </c>
    </row>
    <row r="1624" ht="14.25" customHeight="1">
      <c r="A1624" s="1" t="s">
        <v>26</v>
      </c>
      <c r="B1624" s="1" t="s">
        <v>8178</v>
      </c>
      <c r="C1624" s="1" t="s">
        <v>8179</v>
      </c>
      <c r="D1624" s="1">
        <v>6.3034755E7</v>
      </c>
      <c r="E1624" s="1" t="s">
        <v>1885</v>
      </c>
      <c r="F1624" s="1" t="s">
        <v>141</v>
      </c>
      <c r="G1624" s="1" t="s">
        <v>265</v>
      </c>
      <c r="H1624" s="1" t="s">
        <v>8178</v>
      </c>
      <c r="I1624" s="1">
        <v>16984.0</v>
      </c>
      <c r="J1624" s="1" t="s">
        <v>8180</v>
      </c>
      <c r="K1624" s="1" t="s">
        <v>8181</v>
      </c>
      <c r="L1624" s="1">
        <v>96.0</v>
      </c>
      <c r="M1624" s="1" t="s">
        <v>35</v>
      </c>
      <c r="N1624" s="1" t="s">
        <v>36</v>
      </c>
      <c r="O1624" s="1" t="s">
        <v>628</v>
      </c>
      <c r="P1624" s="1">
        <v>2.9E7</v>
      </c>
      <c r="Q1624" s="1">
        <v>2016.0</v>
      </c>
      <c r="R1624" s="1">
        <v>22000.0</v>
      </c>
      <c r="S1624" s="1">
        <v>779.0</v>
      </c>
      <c r="T1624" s="1">
        <v>265.0</v>
      </c>
      <c r="U1624" s="1">
        <v>23562.0</v>
      </c>
      <c r="V1624" s="1">
        <v>265.0</v>
      </c>
      <c r="W1624" s="1">
        <v>0.0</v>
      </c>
      <c r="X1624" s="1">
        <v>1.0</v>
      </c>
      <c r="Y1624" s="1">
        <v>1.85</v>
      </c>
      <c r="Z1624" s="1">
        <v>5.3</v>
      </c>
    </row>
    <row r="1625" ht="14.25" customHeight="1">
      <c r="A1625" s="1" t="s">
        <v>26</v>
      </c>
      <c r="B1625" s="1" t="s">
        <v>8182</v>
      </c>
      <c r="C1625" s="1" t="s">
        <v>8183</v>
      </c>
      <c r="D1625" s="1">
        <v>5899797.0</v>
      </c>
      <c r="E1625" s="1" t="s">
        <v>5578</v>
      </c>
      <c r="F1625" s="1" t="s">
        <v>1644</v>
      </c>
      <c r="G1625" s="1" t="s">
        <v>3416</v>
      </c>
      <c r="H1625" s="1" t="s">
        <v>1084</v>
      </c>
      <c r="I1625" s="1">
        <v>9913.0</v>
      </c>
      <c r="J1625" s="1" t="s">
        <v>8184</v>
      </c>
      <c r="K1625" s="1" t="s">
        <v>8185</v>
      </c>
      <c r="L1625" s="1">
        <v>51.0</v>
      </c>
      <c r="M1625" s="1" t="s">
        <v>35</v>
      </c>
      <c r="N1625" s="1" t="s">
        <v>54</v>
      </c>
      <c r="O1625" s="1" t="s">
        <v>87</v>
      </c>
      <c r="P1625" s="1">
        <v>2.9E7</v>
      </c>
      <c r="Q1625" s="1">
        <v>1987.0</v>
      </c>
      <c r="R1625" s="1">
        <v>18000.0</v>
      </c>
      <c r="S1625" s="1">
        <v>427.0</v>
      </c>
      <c r="T1625" s="1">
        <v>400.0</v>
      </c>
      <c r="U1625" s="1">
        <v>18855.0</v>
      </c>
      <c r="V1625" s="1">
        <v>0.0</v>
      </c>
      <c r="W1625" s="1">
        <v>0.0</v>
      </c>
      <c r="X1625" s="1">
        <v>0.0</v>
      </c>
      <c r="Y1625" s="1">
        <v>2.35</v>
      </c>
      <c r="Z1625" s="1">
        <v>7.5</v>
      </c>
    </row>
    <row r="1626" ht="14.25" customHeight="1">
      <c r="A1626" s="1" t="s">
        <v>710</v>
      </c>
      <c r="B1626" s="1" t="s">
        <v>3446</v>
      </c>
      <c r="C1626" s="1" t="s">
        <v>8186</v>
      </c>
      <c r="D1626" s="1">
        <v>4554569.0</v>
      </c>
      <c r="E1626" s="1" t="s">
        <v>2422</v>
      </c>
      <c r="F1626" s="1" t="s">
        <v>1868</v>
      </c>
      <c r="G1626" s="1" t="s">
        <v>1186</v>
      </c>
      <c r="H1626" s="1" t="s">
        <v>2833</v>
      </c>
      <c r="I1626" s="1">
        <v>8134.0</v>
      </c>
      <c r="J1626" s="1" t="s">
        <v>8187</v>
      </c>
      <c r="K1626" s="1" t="s">
        <v>8188</v>
      </c>
      <c r="L1626" s="1">
        <v>123.0</v>
      </c>
      <c r="M1626" s="1" t="s">
        <v>35</v>
      </c>
      <c r="N1626" s="1" t="s">
        <v>36</v>
      </c>
      <c r="O1626" s="1" t="s">
        <v>628</v>
      </c>
      <c r="P1626" s="1">
        <v>2.8E7</v>
      </c>
      <c r="Q1626" s="1">
        <v>1999.0</v>
      </c>
      <c r="R1626" s="1">
        <v>11000.0</v>
      </c>
      <c r="S1626" s="1">
        <v>1000.0</v>
      </c>
      <c r="T1626" s="1">
        <v>933.0</v>
      </c>
      <c r="U1626" s="1">
        <v>17873.0</v>
      </c>
      <c r="V1626" s="1">
        <v>759.0</v>
      </c>
      <c r="W1626" s="1">
        <v>209.0</v>
      </c>
      <c r="X1626" s="1">
        <v>4.0</v>
      </c>
      <c r="Y1626" s="1">
        <v>2.35</v>
      </c>
      <c r="Z1626" s="1">
        <v>6.9</v>
      </c>
    </row>
    <row r="1627" ht="14.25" customHeight="1">
      <c r="A1627" s="1" t="s">
        <v>26</v>
      </c>
      <c r="B1627" s="1" t="s">
        <v>8189</v>
      </c>
      <c r="C1627" s="1" t="s">
        <v>8190</v>
      </c>
      <c r="D1627" s="1">
        <v>1.701619E7</v>
      </c>
      <c r="E1627" s="1" t="s">
        <v>7545</v>
      </c>
      <c r="F1627" s="1" t="s">
        <v>651</v>
      </c>
      <c r="G1627" s="1" t="s">
        <v>1546</v>
      </c>
      <c r="H1627" s="1" t="s">
        <v>8191</v>
      </c>
      <c r="I1627" s="1">
        <v>28632.0</v>
      </c>
      <c r="J1627" s="1" t="s">
        <v>8192</v>
      </c>
      <c r="K1627" s="1" t="s">
        <v>8193</v>
      </c>
      <c r="L1627" s="1">
        <v>214.0</v>
      </c>
      <c r="M1627" s="1" t="s">
        <v>35</v>
      </c>
      <c r="N1627" s="1" t="s">
        <v>8194</v>
      </c>
      <c r="O1627" s="1" t="s">
        <v>628</v>
      </c>
      <c r="P1627" s="1">
        <v>1.2E7</v>
      </c>
      <c r="Q1627" s="1">
        <v>2004.0</v>
      </c>
      <c r="R1627" s="1">
        <v>1000.0</v>
      </c>
      <c r="S1627" s="1">
        <v>857.0</v>
      </c>
      <c r="T1627" s="1">
        <v>363.0</v>
      </c>
      <c r="U1627" s="1">
        <v>2567.0</v>
      </c>
      <c r="V1627" s="1">
        <v>64.0</v>
      </c>
      <c r="W1627" s="1">
        <v>0.0</v>
      </c>
      <c r="X1627" s="1">
        <v>0.0</v>
      </c>
      <c r="Y1627" s="1">
        <v>1.85</v>
      </c>
      <c r="Z1627" s="1">
        <v>4.9</v>
      </c>
    </row>
    <row r="1628" ht="14.25" customHeight="1">
      <c r="A1628" s="1" t="s">
        <v>26</v>
      </c>
      <c r="B1628" s="1" t="s">
        <v>8195</v>
      </c>
      <c r="C1628" s="1" t="s">
        <v>8196</v>
      </c>
      <c r="D1628" s="1">
        <v>6301131.0</v>
      </c>
      <c r="E1628" s="1" t="s">
        <v>2117</v>
      </c>
      <c r="F1628" s="1" t="s">
        <v>2510</v>
      </c>
      <c r="G1628" s="1" t="s">
        <v>8197</v>
      </c>
      <c r="H1628" s="1" t="s">
        <v>8198</v>
      </c>
      <c r="I1628" s="1">
        <v>92850.0</v>
      </c>
      <c r="J1628" s="1" t="s">
        <v>8199</v>
      </c>
      <c r="K1628" s="1" t="s">
        <v>8200</v>
      </c>
      <c r="L1628" s="1">
        <v>263.0</v>
      </c>
      <c r="M1628" s="1" t="s">
        <v>35</v>
      </c>
      <c r="N1628" s="1" t="s">
        <v>36</v>
      </c>
      <c r="O1628" s="1" t="s">
        <v>628</v>
      </c>
      <c r="P1628" s="1">
        <v>2.9E7</v>
      </c>
      <c r="Q1628" s="1">
        <v>2005.0</v>
      </c>
      <c r="R1628" s="1">
        <v>1000.0</v>
      </c>
      <c r="S1628" s="1">
        <v>948.0</v>
      </c>
      <c r="T1628" s="1">
        <v>566.0</v>
      </c>
      <c r="U1628" s="1">
        <v>5085.0</v>
      </c>
      <c r="V1628" s="1">
        <v>11.0</v>
      </c>
      <c r="W1628" s="1">
        <v>0.0</v>
      </c>
      <c r="X1628" s="1">
        <v>0.0</v>
      </c>
      <c r="Y1628" s="1">
        <v>2.35</v>
      </c>
      <c r="Z1628" s="1">
        <v>7.1</v>
      </c>
    </row>
    <row r="1629" ht="14.25" customHeight="1">
      <c r="A1629" s="1" t="s">
        <v>26</v>
      </c>
      <c r="B1629" s="1" t="s">
        <v>1580</v>
      </c>
      <c r="C1629" s="1" t="s">
        <v>8201</v>
      </c>
      <c r="D1629" s="1">
        <v>2.17350219E8</v>
      </c>
      <c r="E1629" s="1" t="s">
        <v>81</v>
      </c>
      <c r="F1629" s="1" t="s">
        <v>774</v>
      </c>
      <c r="G1629" s="1" t="s">
        <v>1905</v>
      </c>
      <c r="H1629" s="1" t="s">
        <v>8202</v>
      </c>
      <c r="I1629" s="1">
        <v>260939.0</v>
      </c>
      <c r="J1629" s="1" t="s">
        <v>8203</v>
      </c>
      <c r="K1629" s="1" t="s">
        <v>8204</v>
      </c>
      <c r="L1629" s="1">
        <v>244.0</v>
      </c>
      <c r="M1629" s="1" t="s">
        <v>35</v>
      </c>
      <c r="N1629" s="1" t="s">
        <v>36</v>
      </c>
      <c r="O1629" s="1" t="s">
        <v>269</v>
      </c>
      <c r="P1629" s="1">
        <v>2.8E7</v>
      </c>
      <c r="Q1629" s="1">
        <v>1992.0</v>
      </c>
      <c r="R1629" s="1">
        <v>49000.0</v>
      </c>
      <c r="S1629" s="1">
        <v>2000.0</v>
      </c>
      <c r="T1629" s="1">
        <v>631.0</v>
      </c>
      <c r="U1629" s="1">
        <v>52970.0</v>
      </c>
      <c r="V1629" s="1">
        <v>63.0</v>
      </c>
      <c r="W1629" s="1">
        <v>0.0</v>
      </c>
      <c r="X1629" s="1">
        <v>0.0</v>
      </c>
      <c r="Y1629" s="1">
        <v>1.33</v>
      </c>
      <c r="Z1629" s="1">
        <v>8.0</v>
      </c>
    </row>
    <row r="1630" ht="14.25" customHeight="1">
      <c r="A1630" s="1" t="s">
        <v>26</v>
      </c>
      <c r="B1630" s="1" t="s">
        <v>2928</v>
      </c>
      <c r="C1630" s="1" t="s">
        <v>8205</v>
      </c>
      <c r="D1630" s="1">
        <v>1.6102927E8</v>
      </c>
      <c r="E1630" s="1" t="s">
        <v>8206</v>
      </c>
      <c r="F1630" s="1" t="s">
        <v>2067</v>
      </c>
      <c r="G1630" s="1" t="s">
        <v>8207</v>
      </c>
      <c r="H1630" s="1" t="s">
        <v>8208</v>
      </c>
      <c r="I1630" s="1">
        <v>119928.0</v>
      </c>
      <c r="J1630" s="1" t="s">
        <v>8209</v>
      </c>
      <c r="K1630" s="1" t="s">
        <v>8210</v>
      </c>
      <c r="L1630" s="1">
        <v>331.0</v>
      </c>
      <c r="M1630" s="1" t="s">
        <v>35</v>
      </c>
      <c r="N1630" s="1" t="s">
        <v>36</v>
      </c>
      <c r="O1630" s="1" t="s">
        <v>628</v>
      </c>
      <c r="P1630" s="1">
        <v>2.8E7</v>
      </c>
      <c r="Q1630" s="1">
        <v>2015.0</v>
      </c>
      <c r="R1630" s="1">
        <v>559.0</v>
      </c>
      <c r="S1630" s="1">
        <v>427.0</v>
      </c>
      <c r="T1630" s="1">
        <v>303.0</v>
      </c>
      <c r="U1630" s="1">
        <v>2702.0</v>
      </c>
      <c r="V1630" s="1">
        <v>473.0</v>
      </c>
      <c r="W1630" s="1">
        <v>76000.0</v>
      </c>
      <c r="X1630" s="1">
        <v>0.0</v>
      </c>
      <c r="Y1630" s="1">
        <v>2.35</v>
      </c>
      <c r="Z1630" s="1">
        <v>7.9</v>
      </c>
    </row>
    <row r="1631" ht="14.25" customHeight="1">
      <c r="A1631" s="1" t="s">
        <v>26</v>
      </c>
      <c r="B1631" s="1" t="s">
        <v>381</v>
      </c>
      <c r="C1631" s="1" t="s">
        <v>8211</v>
      </c>
      <c r="D1631" s="1">
        <v>1.79870271E8</v>
      </c>
      <c r="E1631" s="1" t="s">
        <v>119</v>
      </c>
      <c r="F1631" s="1" t="s">
        <v>383</v>
      </c>
      <c r="G1631" s="1" t="s">
        <v>8212</v>
      </c>
      <c r="H1631" s="1" t="s">
        <v>7794</v>
      </c>
      <c r="I1631" s="1">
        <v>329969.0</v>
      </c>
      <c r="J1631" s="1" t="s">
        <v>8213</v>
      </c>
      <c r="K1631" s="1" t="s">
        <v>8214</v>
      </c>
      <c r="L1631" s="1">
        <v>524.0</v>
      </c>
      <c r="M1631" s="1" t="s">
        <v>35</v>
      </c>
      <c r="N1631" s="1" t="s">
        <v>36</v>
      </c>
      <c r="O1631" s="1" t="s">
        <v>87</v>
      </c>
      <c r="P1631" s="1">
        <v>2.8E7</v>
      </c>
      <c r="Q1631" s="1">
        <v>1984.0</v>
      </c>
      <c r="R1631" s="1">
        <v>11000.0</v>
      </c>
      <c r="S1631" s="1">
        <v>429.0</v>
      </c>
      <c r="T1631" s="1">
        <v>237.0</v>
      </c>
      <c r="U1631" s="1">
        <v>11898.0</v>
      </c>
      <c r="V1631" s="1">
        <v>14000.0</v>
      </c>
      <c r="W1631" s="1">
        <v>0.0</v>
      </c>
      <c r="X1631" s="1">
        <v>2.0</v>
      </c>
      <c r="Y1631" s="1">
        <v>2.35</v>
      </c>
      <c r="Z1631" s="1">
        <v>7.6</v>
      </c>
    </row>
    <row r="1632" ht="14.25" customHeight="1">
      <c r="A1632" s="1" t="s">
        <v>26</v>
      </c>
      <c r="B1632" s="1" t="s">
        <v>8215</v>
      </c>
      <c r="C1632" s="1" t="s">
        <v>8216</v>
      </c>
      <c r="D1632" s="1">
        <v>1.00491683E8</v>
      </c>
      <c r="E1632" s="1" t="s">
        <v>8217</v>
      </c>
      <c r="F1632" s="1" t="s">
        <v>2230</v>
      </c>
      <c r="G1632" s="1" t="s">
        <v>2078</v>
      </c>
      <c r="H1632" s="1" t="s">
        <v>7695</v>
      </c>
      <c r="I1632" s="1">
        <v>14005.0</v>
      </c>
      <c r="J1632" s="1" t="s">
        <v>8218</v>
      </c>
      <c r="K1632" s="1" t="s">
        <v>8219</v>
      </c>
      <c r="L1632" s="1">
        <v>67.0</v>
      </c>
      <c r="M1632" s="1" t="s">
        <v>35</v>
      </c>
      <c r="N1632" s="1" t="s">
        <v>36</v>
      </c>
      <c r="O1632" s="1" t="s">
        <v>269</v>
      </c>
      <c r="P1632" s="1">
        <v>2.4E7</v>
      </c>
      <c r="Q1632" s="1">
        <v>1998.0</v>
      </c>
      <c r="R1632" s="1">
        <v>971.0</v>
      </c>
      <c r="S1632" s="1">
        <v>503.0</v>
      </c>
      <c r="T1632" s="1">
        <v>368.0</v>
      </c>
      <c r="U1632" s="1">
        <v>3438.0</v>
      </c>
      <c r="V1632" s="1">
        <v>5.0</v>
      </c>
      <c r="W1632" s="1">
        <v>418.0</v>
      </c>
      <c r="X1632" s="1">
        <v>0.0</v>
      </c>
      <c r="Y1632" s="1">
        <v>1.85</v>
      </c>
      <c r="Z1632" s="1">
        <v>5.9</v>
      </c>
    </row>
    <row r="1633" ht="14.25" customHeight="1">
      <c r="A1633" s="1" t="s">
        <v>26</v>
      </c>
      <c r="B1633" s="1" t="s">
        <v>925</v>
      </c>
      <c r="C1633" s="1" t="s">
        <v>8220</v>
      </c>
      <c r="D1633" s="1">
        <v>7.4058698E7</v>
      </c>
      <c r="E1633" s="1" t="s">
        <v>2045</v>
      </c>
      <c r="F1633" s="1" t="s">
        <v>451</v>
      </c>
      <c r="G1633" s="1" t="s">
        <v>3848</v>
      </c>
      <c r="H1633" s="1" t="s">
        <v>2519</v>
      </c>
      <c r="I1633" s="1">
        <v>59232.0</v>
      </c>
      <c r="J1633" s="1" t="s">
        <v>8221</v>
      </c>
      <c r="K1633" s="1" t="s">
        <v>8222</v>
      </c>
      <c r="L1633" s="1">
        <v>317.0</v>
      </c>
      <c r="M1633" s="1" t="s">
        <v>35</v>
      </c>
      <c r="N1633" s="1" t="s">
        <v>36</v>
      </c>
      <c r="O1633" s="1" t="s">
        <v>628</v>
      </c>
      <c r="P1633" s="1">
        <v>6.0E7</v>
      </c>
      <c r="Q1633" s="1">
        <v>2001.0</v>
      </c>
      <c r="R1633" s="1">
        <v>11000.0</v>
      </c>
      <c r="S1633" s="1">
        <v>2000.0</v>
      </c>
      <c r="T1633" s="1">
        <v>878.0</v>
      </c>
      <c r="U1633" s="1">
        <v>17109.0</v>
      </c>
      <c r="V1633" s="1">
        <v>93.0</v>
      </c>
      <c r="W1633" s="1">
        <v>0.0</v>
      </c>
      <c r="X1633" s="1">
        <v>0.0</v>
      </c>
      <c r="Y1633" s="1">
        <v>2.35</v>
      </c>
      <c r="Z1633" s="1">
        <v>6.3</v>
      </c>
    </row>
    <row r="1634" ht="14.25" customHeight="1">
      <c r="A1634" s="1" t="s">
        <v>26</v>
      </c>
      <c r="B1634" s="1" t="s">
        <v>4632</v>
      </c>
      <c r="C1634" s="1" t="s">
        <v>8223</v>
      </c>
      <c r="D1634" s="1">
        <v>5.5845943E7</v>
      </c>
      <c r="E1634" s="1" t="s">
        <v>326</v>
      </c>
      <c r="F1634" s="1" t="s">
        <v>41</v>
      </c>
      <c r="G1634" s="1" t="s">
        <v>480</v>
      </c>
      <c r="H1634" s="1" t="s">
        <v>8224</v>
      </c>
      <c r="I1634" s="1">
        <v>130094.0</v>
      </c>
      <c r="J1634" s="1" t="s">
        <v>8225</v>
      </c>
      <c r="K1634" s="1" t="s">
        <v>8226</v>
      </c>
      <c r="L1634" s="1">
        <v>471.0</v>
      </c>
      <c r="M1634" s="1" t="s">
        <v>35</v>
      </c>
      <c r="N1634" s="1" t="s">
        <v>36</v>
      </c>
      <c r="O1634" s="1" t="s">
        <v>628</v>
      </c>
      <c r="P1634" s="1">
        <v>2.9E7</v>
      </c>
      <c r="Q1634" s="1">
        <v>2003.0</v>
      </c>
      <c r="R1634" s="1">
        <v>40000.0</v>
      </c>
      <c r="S1634" s="1">
        <v>4000.0</v>
      </c>
      <c r="T1634" s="1">
        <v>876.0</v>
      </c>
      <c r="U1634" s="1">
        <v>46186.0</v>
      </c>
      <c r="V1634" s="1">
        <v>0.0</v>
      </c>
      <c r="W1634" s="1">
        <v>0.0</v>
      </c>
      <c r="X1634" s="1">
        <v>1.0</v>
      </c>
      <c r="Y1634" s="1">
        <v>1.78</v>
      </c>
      <c r="Z1634" s="1">
        <v>6.4</v>
      </c>
    </row>
    <row r="1635" ht="14.25" customHeight="1">
      <c r="A1635" s="1" t="s">
        <v>26</v>
      </c>
      <c r="B1635" s="1" t="s">
        <v>1255</v>
      </c>
      <c r="C1635" s="1" t="s">
        <v>8227</v>
      </c>
      <c r="D1635" s="1">
        <v>8.1350242E7</v>
      </c>
      <c r="E1635" s="1" t="s">
        <v>57</v>
      </c>
      <c r="F1635" s="1" t="s">
        <v>98</v>
      </c>
      <c r="G1635" s="1" t="s">
        <v>941</v>
      </c>
      <c r="H1635" s="1" t="s">
        <v>8228</v>
      </c>
      <c r="I1635" s="1">
        <v>592582.0</v>
      </c>
      <c r="J1635" s="1" t="s">
        <v>8229</v>
      </c>
      <c r="K1635" s="1" t="s">
        <v>8230</v>
      </c>
      <c r="L1635" s="1">
        <v>722.0</v>
      </c>
      <c r="M1635" s="1" t="s">
        <v>35</v>
      </c>
      <c r="N1635" s="1" t="s">
        <v>36</v>
      </c>
      <c r="O1635" s="1" t="s">
        <v>628</v>
      </c>
      <c r="P1635" s="1">
        <v>2.8E7</v>
      </c>
      <c r="Q1635" s="1">
        <v>1988.0</v>
      </c>
      <c r="R1635" s="1">
        <v>25000.0</v>
      </c>
      <c r="S1635" s="1">
        <v>13000.0</v>
      </c>
      <c r="T1635" s="1">
        <v>541.0</v>
      </c>
      <c r="U1635" s="1">
        <v>40585.0</v>
      </c>
      <c r="V1635" s="1">
        <v>323.0</v>
      </c>
      <c r="W1635" s="1">
        <v>25000.0</v>
      </c>
      <c r="X1635" s="1">
        <v>0.0</v>
      </c>
      <c r="Y1635" s="1">
        <v>2.35</v>
      </c>
      <c r="Z1635" s="1">
        <v>8.2</v>
      </c>
    </row>
    <row r="1636" ht="14.25" customHeight="1">
      <c r="A1636" s="1" t="s">
        <v>26</v>
      </c>
      <c r="B1636" s="1" t="s">
        <v>8231</v>
      </c>
      <c r="C1636" s="1" t="s">
        <v>8232</v>
      </c>
      <c r="D1636" s="1">
        <v>6.72663E7</v>
      </c>
      <c r="E1636" s="1" t="s">
        <v>1885</v>
      </c>
      <c r="F1636" s="1" t="s">
        <v>599</v>
      </c>
      <c r="G1636" s="1" t="s">
        <v>4221</v>
      </c>
      <c r="H1636" s="1" t="s">
        <v>1794</v>
      </c>
      <c r="I1636" s="1">
        <v>195255.0</v>
      </c>
      <c r="J1636" s="1" t="s">
        <v>8233</v>
      </c>
      <c r="K1636" s="1" t="s">
        <v>8234</v>
      </c>
      <c r="L1636" s="1">
        <v>170.0</v>
      </c>
      <c r="M1636" s="1" t="s">
        <v>35</v>
      </c>
      <c r="N1636" s="1" t="s">
        <v>730</v>
      </c>
      <c r="O1636" s="1" t="s">
        <v>628</v>
      </c>
      <c r="P1636" s="1">
        <v>2.8E7</v>
      </c>
      <c r="Q1636" s="1">
        <v>2008.0</v>
      </c>
      <c r="R1636" s="1">
        <v>833.0</v>
      </c>
      <c r="S1636" s="1">
        <v>543.0</v>
      </c>
      <c r="T1636" s="1">
        <v>526.0</v>
      </c>
      <c r="U1636" s="1">
        <v>3400.0</v>
      </c>
      <c r="V1636" s="1">
        <v>136.0</v>
      </c>
      <c r="W1636" s="1">
        <v>0.0</v>
      </c>
      <c r="X1636" s="1">
        <v>1.0</v>
      </c>
      <c r="Y1636" s="1">
        <v>1.85</v>
      </c>
      <c r="Z1636" s="1">
        <v>6.9</v>
      </c>
    </row>
    <row r="1637" ht="14.25" customHeight="1">
      <c r="A1637" s="1" t="s">
        <v>26</v>
      </c>
      <c r="B1637" s="1" t="s">
        <v>1668</v>
      </c>
      <c r="C1637" s="1" t="s">
        <v>8235</v>
      </c>
      <c r="D1637" s="1">
        <v>7.0235322E7</v>
      </c>
      <c r="E1637" s="1" t="s">
        <v>2915</v>
      </c>
      <c r="F1637" s="1" t="s">
        <v>4002</v>
      </c>
      <c r="G1637" s="1" t="s">
        <v>59</v>
      </c>
      <c r="H1637" s="1" t="s">
        <v>8236</v>
      </c>
      <c r="I1637" s="1">
        <v>182983.0</v>
      </c>
      <c r="J1637" s="1" t="s">
        <v>8237</v>
      </c>
      <c r="K1637" s="1" t="s">
        <v>8238</v>
      </c>
      <c r="L1637" s="1">
        <v>374.0</v>
      </c>
      <c r="M1637" s="1" t="s">
        <v>35</v>
      </c>
      <c r="N1637" s="1" t="s">
        <v>36</v>
      </c>
      <c r="O1637" s="1" t="s">
        <v>628</v>
      </c>
      <c r="P1637" s="1">
        <v>2.8E7</v>
      </c>
      <c r="Q1637" s="1">
        <v>2015.0</v>
      </c>
      <c r="R1637" s="1">
        <v>33000.0</v>
      </c>
      <c r="S1637" s="1">
        <v>23000.0</v>
      </c>
      <c r="T1637" s="1">
        <v>767.0</v>
      </c>
      <c r="U1637" s="1">
        <v>57308.0</v>
      </c>
      <c r="V1637" s="1">
        <v>285.0</v>
      </c>
      <c r="W1637" s="1">
        <v>99000.0</v>
      </c>
      <c r="X1637" s="1">
        <v>4.0</v>
      </c>
      <c r="Y1637" s="1">
        <v>2.35</v>
      </c>
      <c r="Z1637" s="1">
        <v>7.8</v>
      </c>
    </row>
    <row r="1638" ht="14.25" customHeight="1">
      <c r="A1638" s="1" t="s">
        <v>26</v>
      </c>
      <c r="B1638" s="1" t="s">
        <v>1027</v>
      </c>
      <c r="C1638" s="1" t="s">
        <v>8239</v>
      </c>
      <c r="D1638" s="1">
        <v>7443007.0</v>
      </c>
      <c r="E1638" s="1" t="s">
        <v>8240</v>
      </c>
      <c r="F1638" s="1" t="s">
        <v>2334</v>
      </c>
      <c r="G1638" s="1" t="s">
        <v>2068</v>
      </c>
      <c r="H1638" s="1" t="s">
        <v>8241</v>
      </c>
      <c r="I1638" s="1">
        <v>24663.0</v>
      </c>
      <c r="J1638" s="1" t="s">
        <v>8242</v>
      </c>
      <c r="K1638" s="1" t="s">
        <v>8243</v>
      </c>
      <c r="L1638" s="1">
        <v>71.0</v>
      </c>
      <c r="M1638" s="1" t="s">
        <v>35</v>
      </c>
      <c r="N1638" s="1" t="s">
        <v>36</v>
      </c>
      <c r="O1638" s="1" t="s">
        <v>628</v>
      </c>
      <c r="P1638" s="1">
        <v>3.0E7</v>
      </c>
      <c r="Q1638" s="1">
        <v>2009.0</v>
      </c>
      <c r="R1638" s="1">
        <v>579.0</v>
      </c>
      <c r="S1638" s="1">
        <v>489.0</v>
      </c>
      <c r="T1638" s="1">
        <v>210.0</v>
      </c>
      <c r="U1638" s="1">
        <v>1500.0</v>
      </c>
      <c r="V1638" s="1">
        <v>0.0</v>
      </c>
      <c r="W1638" s="1">
        <v>0.0</v>
      </c>
      <c r="X1638" s="1">
        <v>12.0</v>
      </c>
      <c r="Y1638" s="1">
        <v>1.85</v>
      </c>
      <c r="Z1638" s="1">
        <v>6.7</v>
      </c>
    </row>
    <row r="1639" ht="14.25" customHeight="1">
      <c r="A1639" s="1" t="s">
        <v>26</v>
      </c>
      <c r="B1639" s="1" t="s">
        <v>8016</v>
      </c>
      <c r="C1639" s="1" t="s">
        <v>8244</v>
      </c>
      <c r="D1639" s="1">
        <v>6.4371181E7</v>
      </c>
      <c r="E1639" s="1" t="s">
        <v>4013</v>
      </c>
      <c r="F1639" s="1" t="s">
        <v>8245</v>
      </c>
      <c r="G1639" s="1" t="s">
        <v>1404</v>
      </c>
      <c r="H1639" s="1" t="s">
        <v>8246</v>
      </c>
      <c r="I1639" s="1">
        <v>36636.0</v>
      </c>
      <c r="J1639" s="1" t="s">
        <v>8247</v>
      </c>
      <c r="K1639" s="1" t="s">
        <v>8248</v>
      </c>
      <c r="L1639" s="1">
        <v>289.0</v>
      </c>
      <c r="M1639" s="1" t="s">
        <v>35</v>
      </c>
      <c r="N1639" s="1" t="s">
        <v>36</v>
      </c>
      <c r="O1639" s="1" t="s">
        <v>87</v>
      </c>
      <c r="P1639" s="1">
        <v>2.8E7</v>
      </c>
      <c r="Q1639" s="1">
        <v>2004.0</v>
      </c>
      <c r="R1639" s="1">
        <v>639.0</v>
      </c>
      <c r="S1639" s="1">
        <v>617.0</v>
      </c>
      <c r="T1639" s="1">
        <v>250.0</v>
      </c>
      <c r="U1639" s="1">
        <v>1845.0</v>
      </c>
      <c r="V1639" s="1">
        <v>149.0</v>
      </c>
      <c r="W1639" s="1">
        <v>0.0</v>
      </c>
      <c r="X1639" s="1">
        <v>0.0</v>
      </c>
      <c r="Y1639" s="1">
        <v>2.4</v>
      </c>
      <c r="Z1639" s="1">
        <v>7.5</v>
      </c>
    </row>
    <row r="1640" ht="14.25" customHeight="1">
      <c r="A1640" s="1" t="s">
        <v>26</v>
      </c>
      <c r="B1640" s="1" t="s">
        <v>103</v>
      </c>
      <c r="C1640" s="1" t="s">
        <v>8249</v>
      </c>
      <c r="D1640" s="1">
        <v>5.8885635E7</v>
      </c>
      <c r="E1640" s="1" t="s">
        <v>4634</v>
      </c>
      <c r="F1640" s="1" t="s">
        <v>911</v>
      </c>
      <c r="G1640" s="1" t="s">
        <v>4147</v>
      </c>
      <c r="H1640" s="1" t="s">
        <v>1470</v>
      </c>
      <c r="I1640" s="1">
        <v>194422.0</v>
      </c>
      <c r="J1640" s="1" t="s">
        <v>8250</v>
      </c>
      <c r="K1640" s="1" t="s">
        <v>8251</v>
      </c>
      <c r="L1640" s="1">
        <v>1057.0</v>
      </c>
      <c r="M1640" s="1" t="s">
        <v>35</v>
      </c>
      <c r="N1640" s="1" t="s">
        <v>36</v>
      </c>
      <c r="O1640" s="1" t="s">
        <v>628</v>
      </c>
      <c r="P1640" s="1">
        <v>2.6E7</v>
      </c>
      <c r="Q1640" s="1">
        <v>2004.0</v>
      </c>
      <c r="R1640" s="1">
        <v>3000.0</v>
      </c>
      <c r="S1640" s="1">
        <v>2000.0</v>
      </c>
      <c r="T1640" s="1">
        <v>1000.0</v>
      </c>
      <c r="U1640" s="1">
        <v>10438.0</v>
      </c>
      <c r="V1640" s="1">
        <v>0.0</v>
      </c>
      <c r="W1640" s="1">
        <v>7000.0</v>
      </c>
      <c r="X1640" s="1">
        <v>0.0</v>
      </c>
      <c r="Y1640" s="1">
        <v>2.35</v>
      </c>
      <c r="Z1640" s="1">
        <v>7.4</v>
      </c>
    </row>
    <row r="1641" ht="14.25" customHeight="1">
      <c r="A1641" s="1" t="s">
        <v>26</v>
      </c>
      <c r="B1641" s="1" t="s">
        <v>2502</v>
      </c>
      <c r="C1641" s="1" t="s">
        <v>8252</v>
      </c>
      <c r="D1641" s="1">
        <v>6.0400856E7</v>
      </c>
      <c r="E1641" s="1" t="s">
        <v>1598</v>
      </c>
      <c r="F1641" s="1" t="s">
        <v>637</v>
      </c>
      <c r="G1641" s="1" t="s">
        <v>228</v>
      </c>
      <c r="H1641" s="1" t="s">
        <v>8253</v>
      </c>
      <c r="I1641" s="1">
        <v>61317.0</v>
      </c>
      <c r="J1641" s="1" t="s">
        <v>8254</v>
      </c>
      <c r="K1641" s="1" t="s">
        <v>8255</v>
      </c>
      <c r="L1641" s="1">
        <v>229.0</v>
      </c>
      <c r="M1641" s="1" t="s">
        <v>35</v>
      </c>
      <c r="N1641" s="1" t="s">
        <v>730</v>
      </c>
      <c r="O1641" s="1" t="s">
        <v>37</v>
      </c>
      <c r="P1641" s="1">
        <v>3.5E7</v>
      </c>
      <c r="Q1641" s="1">
        <v>2001.0</v>
      </c>
      <c r="R1641" s="1">
        <v>11000.0</v>
      </c>
      <c r="S1641" s="1">
        <v>2000.0</v>
      </c>
      <c r="T1641" s="1">
        <v>968.0</v>
      </c>
      <c r="U1641" s="1">
        <v>17533.0</v>
      </c>
      <c r="V1641" s="1">
        <v>163.0</v>
      </c>
      <c r="W1641" s="1">
        <v>0.0</v>
      </c>
      <c r="X1641" s="1">
        <v>2.0</v>
      </c>
      <c r="Y1641" s="1">
        <v>2.35</v>
      </c>
      <c r="Z1641" s="1">
        <v>5.2</v>
      </c>
    </row>
    <row r="1642" ht="14.25" customHeight="1">
      <c r="A1642" s="1" t="s">
        <v>26</v>
      </c>
      <c r="B1642" s="1" t="s">
        <v>5083</v>
      </c>
      <c r="C1642" s="1" t="s">
        <v>8256</v>
      </c>
      <c r="D1642" s="1">
        <v>5.2353636E7</v>
      </c>
      <c r="E1642" s="1" t="s">
        <v>2422</v>
      </c>
      <c r="F1642" s="1" t="s">
        <v>534</v>
      </c>
      <c r="G1642" s="1" t="s">
        <v>3774</v>
      </c>
      <c r="H1642" s="1" t="s">
        <v>4487</v>
      </c>
      <c r="I1642" s="1">
        <v>209133.0</v>
      </c>
      <c r="J1642" s="1" t="s">
        <v>8257</v>
      </c>
      <c r="K1642" s="1" t="s">
        <v>8258</v>
      </c>
      <c r="L1642" s="1">
        <v>962.0</v>
      </c>
      <c r="M1642" s="1" t="s">
        <v>35</v>
      </c>
      <c r="N1642" s="1" t="s">
        <v>36</v>
      </c>
      <c r="O1642" s="1" t="s">
        <v>628</v>
      </c>
      <c r="P1642" s="1">
        <v>2.1E7</v>
      </c>
      <c r="Q1642" s="1">
        <v>2001.0</v>
      </c>
      <c r="R1642" s="1">
        <v>13000.0</v>
      </c>
      <c r="S1642" s="1">
        <v>1000.0</v>
      </c>
      <c r="T1642" s="1">
        <v>327.0</v>
      </c>
      <c r="U1642" s="1">
        <v>14609.0</v>
      </c>
      <c r="V1642" s="1">
        <v>0.0</v>
      </c>
      <c r="W1642" s="1">
        <v>0.0</v>
      </c>
      <c r="X1642" s="1">
        <v>1.0</v>
      </c>
      <c r="Y1642" s="1">
        <v>2.35</v>
      </c>
      <c r="Z1642" s="1">
        <v>7.6</v>
      </c>
    </row>
    <row r="1643" ht="14.25" customHeight="1">
      <c r="A1643" s="1" t="s">
        <v>26</v>
      </c>
      <c r="B1643" s="1" t="s">
        <v>1365</v>
      </c>
      <c r="C1643" s="1" t="s">
        <v>8259</v>
      </c>
      <c r="D1643" s="1">
        <v>5.1475962E7</v>
      </c>
      <c r="E1643" s="1" t="s">
        <v>815</v>
      </c>
      <c r="F1643" s="1" t="s">
        <v>5630</v>
      </c>
      <c r="G1643" s="1" t="s">
        <v>8260</v>
      </c>
      <c r="H1643" s="1" t="s">
        <v>1759</v>
      </c>
      <c r="I1643" s="1">
        <v>177828.0</v>
      </c>
      <c r="J1643" s="1" t="s">
        <v>8261</v>
      </c>
      <c r="K1643" s="1" t="s">
        <v>8262</v>
      </c>
      <c r="L1643" s="1">
        <v>714.0</v>
      </c>
      <c r="M1643" s="1" t="s">
        <v>35</v>
      </c>
      <c r="N1643" s="1" t="s">
        <v>36</v>
      </c>
      <c r="O1643" s="1" t="s">
        <v>628</v>
      </c>
      <c r="P1643" s="1">
        <v>3.0E7</v>
      </c>
      <c r="Q1643" s="1">
        <v>2003.0</v>
      </c>
      <c r="R1643" s="1">
        <v>1000.0</v>
      </c>
      <c r="S1643" s="1">
        <v>872.0</v>
      </c>
      <c r="T1643" s="1">
        <v>660.0</v>
      </c>
      <c r="U1643" s="1">
        <v>3969.0</v>
      </c>
      <c r="V1643" s="1">
        <v>446.0</v>
      </c>
      <c r="W1643" s="1">
        <v>11000.0</v>
      </c>
      <c r="X1643" s="1">
        <v>0.0</v>
      </c>
      <c r="Y1643" s="1">
        <v>2.35</v>
      </c>
      <c r="Z1643" s="1">
        <v>7.3</v>
      </c>
    </row>
    <row r="1644" ht="14.25" customHeight="1">
      <c r="A1644" s="1" t="s">
        <v>26</v>
      </c>
      <c r="B1644" s="1" t="s">
        <v>666</v>
      </c>
      <c r="C1644" s="1" t="s">
        <v>8263</v>
      </c>
      <c r="D1644" s="1">
        <v>6.3910583E7</v>
      </c>
      <c r="E1644" s="1" t="s">
        <v>1598</v>
      </c>
      <c r="F1644" s="1" t="s">
        <v>1663</v>
      </c>
      <c r="G1644" s="1" t="s">
        <v>451</v>
      </c>
      <c r="H1644" s="1" t="s">
        <v>3699</v>
      </c>
      <c r="I1644" s="1">
        <v>106755.0</v>
      </c>
      <c r="J1644" s="1" t="s">
        <v>8264</v>
      </c>
      <c r="K1644" s="1" t="s">
        <v>8265</v>
      </c>
      <c r="L1644" s="1">
        <v>173.0</v>
      </c>
      <c r="M1644" s="1" t="s">
        <v>35</v>
      </c>
      <c r="N1644" s="1" t="s">
        <v>36</v>
      </c>
      <c r="O1644" s="1" t="s">
        <v>37</v>
      </c>
      <c r="P1644" s="1">
        <v>2.8E7</v>
      </c>
      <c r="Q1644" s="1">
        <v>2013.0</v>
      </c>
      <c r="R1644" s="1">
        <v>22000.0</v>
      </c>
      <c r="S1644" s="1">
        <v>11000.0</v>
      </c>
      <c r="T1644" s="1">
        <v>966.0</v>
      </c>
      <c r="U1644" s="1">
        <v>35694.0</v>
      </c>
      <c r="V1644" s="1">
        <v>226.0</v>
      </c>
      <c r="W1644" s="1">
        <v>27000.0</v>
      </c>
      <c r="X1644" s="1">
        <v>2.0</v>
      </c>
      <c r="Y1644" s="1">
        <v>2.35</v>
      </c>
      <c r="Z1644" s="1">
        <v>6.6</v>
      </c>
    </row>
    <row r="1645" ht="14.25" customHeight="1">
      <c r="A1645" s="1" t="s">
        <v>26</v>
      </c>
      <c r="B1645" s="1" t="s">
        <v>5767</v>
      </c>
      <c r="C1645" s="1" t="s">
        <v>8266</v>
      </c>
      <c r="D1645" s="1">
        <v>6.23E7</v>
      </c>
      <c r="E1645" s="1" t="s">
        <v>48</v>
      </c>
      <c r="F1645" s="1" t="s">
        <v>918</v>
      </c>
      <c r="G1645" s="1" t="s">
        <v>8267</v>
      </c>
      <c r="H1645" s="1" t="s">
        <v>1056</v>
      </c>
      <c r="I1645" s="1">
        <v>72085.0</v>
      </c>
      <c r="J1645" s="1" t="s">
        <v>8268</v>
      </c>
      <c r="K1645" s="1" t="s">
        <v>8269</v>
      </c>
      <c r="L1645" s="1">
        <v>263.0</v>
      </c>
      <c r="M1645" s="1" t="s">
        <v>35</v>
      </c>
      <c r="N1645" s="1" t="s">
        <v>54</v>
      </c>
      <c r="O1645" s="1" t="s">
        <v>87</v>
      </c>
      <c r="P1645" s="1">
        <v>2.8E7</v>
      </c>
      <c r="Q1645" s="1">
        <v>1981.0</v>
      </c>
      <c r="R1645" s="1">
        <v>844.0</v>
      </c>
      <c r="S1645" s="1">
        <v>402.0</v>
      </c>
      <c r="T1645" s="1">
        <v>244.0</v>
      </c>
      <c r="U1645" s="1">
        <v>2118.0</v>
      </c>
      <c r="V1645" s="1">
        <v>46.0</v>
      </c>
      <c r="W1645" s="1">
        <v>2000.0</v>
      </c>
      <c r="X1645" s="1">
        <v>1.0</v>
      </c>
      <c r="Y1645" s="1">
        <v>2.35</v>
      </c>
      <c r="Z1645" s="1">
        <v>6.8</v>
      </c>
    </row>
    <row r="1646" ht="14.25" customHeight="1">
      <c r="A1646" s="1" t="s">
        <v>26</v>
      </c>
      <c r="B1646" s="1" t="s">
        <v>1596</v>
      </c>
      <c r="C1646" s="1" t="s">
        <v>8270</v>
      </c>
      <c r="D1646" s="1">
        <v>4.9968653E7</v>
      </c>
      <c r="E1646" s="1" t="s">
        <v>1598</v>
      </c>
      <c r="F1646" s="1" t="s">
        <v>8271</v>
      </c>
      <c r="G1646" s="1" t="s">
        <v>8272</v>
      </c>
      <c r="H1646" s="1" t="s">
        <v>8273</v>
      </c>
      <c r="I1646" s="1">
        <v>85423.0</v>
      </c>
      <c r="J1646" s="1" t="s">
        <v>8274</v>
      </c>
      <c r="K1646" s="1" t="s">
        <v>8275</v>
      </c>
      <c r="L1646" s="1">
        <v>374.0</v>
      </c>
      <c r="M1646" s="1" t="s">
        <v>35</v>
      </c>
      <c r="N1646" s="1" t="s">
        <v>36</v>
      </c>
      <c r="O1646" s="1" t="s">
        <v>37</v>
      </c>
      <c r="P1646" s="1">
        <v>2.8E7</v>
      </c>
      <c r="Q1646" s="1">
        <v>2001.0</v>
      </c>
      <c r="R1646" s="1">
        <v>11.0</v>
      </c>
      <c r="S1646" s="1">
        <v>9.0</v>
      </c>
      <c r="T1646" s="1">
        <v>6.0</v>
      </c>
      <c r="U1646" s="1">
        <v>37.0</v>
      </c>
      <c r="V1646" s="1">
        <v>23.0</v>
      </c>
      <c r="W1646" s="1">
        <v>12000.0</v>
      </c>
      <c r="X1646" s="1">
        <v>0.0</v>
      </c>
      <c r="Y1646" s="1">
        <v>1.85</v>
      </c>
      <c r="Z1646" s="1">
        <v>6.9</v>
      </c>
    </row>
    <row r="1647" ht="14.25" customHeight="1">
      <c r="A1647" s="1" t="s">
        <v>26</v>
      </c>
      <c r="B1647" s="1" t="s">
        <v>1736</v>
      </c>
      <c r="C1647" s="1" t="s">
        <v>8276</v>
      </c>
      <c r="D1647" s="1">
        <v>4.445E7</v>
      </c>
      <c r="E1647" s="1" t="s">
        <v>1345</v>
      </c>
      <c r="F1647" s="1" t="s">
        <v>8277</v>
      </c>
      <c r="G1647" s="1" t="s">
        <v>2200</v>
      </c>
      <c r="H1647" s="1" t="s">
        <v>8278</v>
      </c>
      <c r="I1647" s="1">
        <v>44394.0</v>
      </c>
      <c r="J1647" s="1" t="s">
        <v>8279</v>
      </c>
      <c r="K1647" s="1" t="s">
        <v>8280</v>
      </c>
      <c r="L1647" s="1">
        <v>115.0</v>
      </c>
      <c r="M1647" s="1" t="s">
        <v>35</v>
      </c>
      <c r="N1647" s="1" t="s">
        <v>260</v>
      </c>
      <c r="O1647" s="1" t="s">
        <v>628</v>
      </c>
      <c r="P1647" s="1">
        <v>2.7E7</v>
      </c>
      <c r="Q1647" s="1">
        <v>1994.0</v>
      </c>
      <c r="R1647" s="1">
        <v>664.0</v>
      </c>
      <c r="S1647" s="1">
        <v>655.0</v>
      </c>
      <c r="T1647" s="1">
        <v>186.0</v>
      </c>
      <c r="U1647" s="1">
        <v>2010.0</v>
      </c>
      <c r="V1647" s="1">
        <v>0.0</v>
      </c>
      <c r="W1647" s="1">
        <v>0.0</v>
      </c>
      <c r="X1647" s="1">
        <v>1.0</v>
      </c>
      <c r="Y1647" s="1">
        <v>2.35</v>
      </c>
      <c r="Z1647" s="1">
        <v>5.8</v>
      </c>
    </row>
    <row r="1648" ht="14.25" customHeight="1">
      <c r="A1648" s="1" t="s">
        <v>26</v>
      </c>
      <c r="B1648" s="1" t="s">
        <v>2031</v>
      </c>
      <c r="C1648" s="1" t="s">
        <v>8281</v>
      </c>
      <c r="D1648" s="1">
        <v>4.5162741E7</v>
      </c>
      <c r="E1648" s="1" t="s">
        <v>1885</v>
      </c>
      <c r="F1648" s="1" t="s">
        <v>1892</v>
      </c>
      <c r="G1648" s="1" t="s">
        <v>221</v>
      </c>
      <c r="H1648" s="1" t="s">
        <v>1197</v>
      </c>
      <c r="I1648" s="1">
        <v>201084.0</v>
      </c>
      <c r="J1648" s="1" t="s">
        <v>8282</v>
      </c>
      <c r="K1648" s="1" t="s">
        <v>8283</v>
      </c>
      <c r="L1648" s="1">
        <v>523.0</v>
      </c>
      <c r="M1648" s="1" t="s">
        <v>35</v>
      </c>
      <c r="N1648" s="1" t="s">
        <v>730</v>
      </c>
      <c r="O1648" s="1" t="s">
        <v>37</v>
      </c>
      <c r="P1648" s="1">
        <v>2.8E7</v>
      </c>
      <c r="Q1648" s="1">
        <v>2001.0</v>
      </c>
      <c r="R1648" s="1">
        <v>14000.0</v>
      </c>
      <c r="S1648" s="1">
        <v>10000.0</v>
      </c>
      <c r="T1648" s="1">
        <v>8000.0</v>
      </c>
      <c r="U1648" s="1">
        <v>34565.0</v>
      </c>
      <c r="V1648" s="1">
        <v>0.0</v>
      </c>
      <c r="W1648" s="1">
        <v>0.0</v>
      </c>
      <c r="X1648" s="1">
        <v>0.0</v>
      </c>
      <c r="Y1648" s="1">
        <v>2.35</v>
      </c>
      <c r="Z1648" s="1">
        <v>6.6</v>
      </c>
    </row>
    <row r="1649" ht="14.25" customHeight="1">
      <c r="A1649" s="1" t="s">
        <v>26</v>
      </c>
      <c r="B1649" s="1" t="s">
        <v>7160</v>
      </c>
      <c r="C1649" s="1" t="s">
        <v>8284</v>
      </c>
      <c r="D1649" s="1">
        <v>7.134693E7</v>
      </c>
      <c r="E1649" s="1" t="s">
        <v>8285</v>
      </c>
      <c r="F1649" s="1" t="s">
        <v>8286</v>
      </c>
      <c r="G1649" s="1" t="s">
        <v>8287</v>
      </c>
      <c r="H1649" s="1" t="s">
        <v>8288</v>
      </c>
      <c r="I1649" s="1">
        <v>78008.0</v>
      </c>
      <c r="J1649" s="1" t="s">
        <v>8289</v>
      </c>
      <c r="K1649" s="1" t="s">
        <v>8290</v>
      </c>
      <c r="L1649" s="1">
        <v>160.0</v>
      </c>
      <c r="M1649" s="1" t="s">
        <v>35</v>
      </c>
      <c r="N1649" s="1" t="s">
        <v>36</v>
      </c>
      <c r="O1649" s="1" t="s">
        <v>37</v>
      </c>
      <c r="P1649" s="1">
        <v>2.8E7</v>
      </c>
      <c r="Q1649" s="1">
        <v>2013.0</v>
      </c>
      <c r="R1649" s="1">
        <v>576.0</v>
      </c>
      <c r="S1649" s="1">
        <v>447.0</v>
      </c>
      <c r="T1649" s="1">
        <v>325.0</v>
      </c>
      <c r="U1649" s="1">
        <v>1554.0</v>
      </c>
      <c r="V1649" s="1">
        <v>529.0</v>
      </c>
      <c r="W1649" s="1">
        <v>23000.0</v>
      </c>
      <c r="X1649" s="1">
        <v>0.0</v>
      </c>
      <c r="Y1649" s="1">
        <v>2.35</v>
      </c>
      <c r="Z1649" s="1">
        <v>6.7</v>
      </c>
    </row>
    <row r="1650" ht="14.25" customHeight="1">
      <c r="A1650" s="1" t="s">
        <v>26</v>
      </c>
      <c r="B1650" s="1" t="s">
        <v>3859</v>
      </c>
      <c r="C1650" s="1" t="s">
        <v>8291</v>
      </c>
      <c r="D1650" s="1">
        <v>3.9514713E7</v>
      </c>
      <c r="E1650" s="1" t="s">
        <v>501</v>
      </c>
      <c r="F1650" s="1" t="s">
        <v>3538</v>
      </c>
      <c r="G1650" s="1" t="s">
        <v>8292</v>
      </c>
      <c r="H1650" s="1" t="s">
        <v>8293</v>
      </c>
      <c r="I1650" s="1">
        <v>60494.0</v>
      </c>
      <c r="J1650" s="1" t="s">
        <v>8294</v>
      </c>
      <c r="K1650" s="1" t="s">
        <v>8295</v>
      </c>
      <c r="L1650" s="1">
        <v>132.0</v>
      </c>
      <c r="M1650" s="1" t="s">
        <v>35</v>
      </c>
      <c r="N1650" s="1" t="s">
        <v>36</v>
      </c>
      <c r="O1650" s="1" t="s">
        <v>87</v>
      </c>
      <c r="P1650" s="1">
        <v>2.8E7</v>
      </c>
      <c r="Q1650" s="1">
        <v>1993.0</v>
      </c>
      <c r="R1650" s="1">
        <v>580.0</v>
      </c>
      <c r="S1650" s="1">
        <v>336.0</v>
      </c>
      <c r="T1650" s="1">
        <v>115.0</v>
      </c>
      <c r="U1650" s="1">
        <v>1275.0</v>
      </c>
      <c r="V1650" s="1">
        <v>197.0</v>
      </c>
      <c r="W1650" s="1">
        <v>16000.0</v>
      </c>
      <c r="X1650" s="1">
        <v>0.0</v>
      </c>
      <c r="Y1650" s="1">
        <v>1.85</v>
      </c>
      <c r="Z1650" s="1">
        <v>6.7</v>
      </c>
    </row>
    <row r="1651" ht="14.25" customHeight="1">
      <c r="A1651" s="1" t="s">
        <v>26</v>
      </c>
      <c r="B1651" s="1" t="s">
        <v>6760</v>
      </c>
      <c r="C1651" s="1" t="s">
        <v>8296</v>
      </c>
      <c r="D1651" s="1">
        <v>4.3097652E7</v>
      </c>
      <c r="E1651" s="1" t="s">
        <v>1359</v>
      </c>
      <c r="F1651" s="1" t="s">
        <v>810</v>
      </c>
      <c r="G1651" s="1" t="s">
        <v>8297</v>
      </c>
      <c r="H1651" s="1" t="s">
        <v>3183</v>
      </c>
      <c r="I1651" s="1">
        <v>59068.0</v>
      </c>
      <c r="J1651" s="1" t="s">
        <v>8298</v>
      </c>
      <c r="K1651" s="1" t="s">
        <v>8299</v>
      </c>
      <c r="L1651" s="1">
        <v>128.0</v>
      </c>
      <c r="M1651" s="1" t="s">
        <v>35</v>
      </c>
      <c r="N1651" s="1" t="s">
        <v>36</v>
      </c>
      <c r="O1651" s="1" t="s">
        <v>87</v>
      </c>
      <c r="P1651" s="1">
        <v>2.8E7</v>
      </c>
      <c r="Q1651" s="1">
        <v>2007.0</v>
      </c>
      <c r="R1651" s="1">
        <v>943.0</v>
      </c>
      <c r="S1651" s="1">
        <v>763.0</v>
      </c>
      <c r="T1651" s="1">
        <v>559.0</v>
      </c>
      <c r="U1651" s="1">
        <v>3497.0</v>
      </c>
      <c r="V1651" s="1">
        <v>96.0</v>
      </c>
      <c r="W1651" s="1">
        <v>0.0</v>
      </c>
      <c r="X1651" s="1">
        <v>2.0</v>
      </c>
      <c r="Y1651" s="1">
        <v>2.35</v>
      </c>
      <c r="Z1651" s="1">
        <v>6.3</v>
      </c>
    </row>
    <row r="1652" ht="14.25" customHeight="1">
      <c r="A1652" s="1" t="s">
        <v>26</v>
      </c>
      <c r="B1652" s="1" t="s">
        <v>655</v>
      </c>
      <c r="C1652" s="1" t="s">
        <v>8300</v>
      </c>
      <c r="D1652" s="1">
        <v>4.8043505E7</v>
      </c>
      <c r="E1652" s="1" t="s">
        <v>2056</v>
      </c>
      <c r="F1652" s="1" t="s">
        <v>8301</v>
      </c>
      <c r="G1652" s="1" t="s">
        <v>8302</v>
      </c>
      <c r="H1652" s="1" t="s">
        <v>1658</v>
      </c>
      <c r="I1652" s="1">
        <v>435864.0</v>
      </c>
      <c r="J1652" s="1" t="s">
        <v>8303</v>
      </c>
      <c r="K1652" s="1" t="s">
        <v>8304</v>
      </c>
      <c r="L1652" s="1">
        <v>801.0</v>
      </c>
      <c r="M1652" s="1" t="s">
        <v>35</v>
      </c>
      <c r="N1652" s="1" t="s">
        <v>54</v>
      </c>
      <c r="O1652" s="1" t="s">
        <v>628</v>
      </c>
      <c r="P1652" s="1">
        <v>3.0E7</v>
      </c>
      <c r="Q1652" s="1">
        <v>2010.0</v>
      </c>
      <c r="R1652" s="1">
        <v>553.0</v>
      </c>
      <c r="S1652" s="1">
        <v>488.0</v>
      </c>
      <c r="T1652" s="1">
        <v>385.0</v>
      </c>
      <c r="U1652" s="1">
        <v>2357.0</v>
      </c>
      <c r="V1652" s="1">
        <v>905.0</v>
      </c>
      <c r="W1652" s="1">
        <v>36000.0</v>
      </c>
      <c r="X1652" s="1">
        <v>1.0</v>
      </c>
      <c r="Y1652" s="1">
        <v>2.35</v>
      </c>
      <c r="Z1652" s="1">
        <v>7.7</v>
      </c>
    </row>
    <row r="1653" ht="14.25" customHeight="1">
      <c r="A1653" s="1" t="s">
        <v>26</v>
      </c>
      <c r="B1653" s="1" t="s">
        <v>4000</v>
      </c>
      <c r="C1653" s="1" t="s">
        <v>8305</v>
      </c>
      <c r="D1653" s="1">
        <v>3.7053924E7</v>
      </c>
      <c r="E1653" s="1" t="s">
        <v>1670</v>
      </c>
      <c r="F1653" s="1" t="s">
        <v>8306</v>
      </c>
      <c r="G1653" s="1" t="s">
        <v>8307</v>
      </c>
      <c r="H1653" s="1" t="s">
        <v>3779</v>
      </c>
      <c r="I1653" s="1">
        <v>77935.0</v>
      </c>
      <c r="J1653" s="1" t="s">
        <v>8308</v>
      </c>
      <c r="K1653" s="1" t="s">
        <v>8309</v>
      </c>
      <c r="L1653" s="1">
        <v>122.0</v>
      </c>
      <c r="M1653" s="1" t="s">
        <v>35</v>
      </c>
      <c r="N1653" s="1" t="s">
        <v>730</v>
      </c>
      <c r="O1653" s="1" t="s">
        <v>628</v>
      </c>
      <c r="P1653" s="1">
        <v>2.8E7</v>
      </c>
      <c r="Q1653" s="1">
        <v>2011.0</v>
      </c>
      <c r="R1653" s="1">
        <v>731.0</v>
      </c>
      <c r="S1653" s="1">
        <v>579.0</v>
      </c>
      <c r="T1653" s="1">
        <v>459.0</v>
      </c>
      <c r="U1653" s="1">
        <v>1987.0</v>
      </c>
      <c r="V1653" s="1">
        <v>181.0</v>
      </c>
      <c r="W1653" s="1">
        <v>0.0</v>
      </c>
      <c r="X1653" s="1">
        <v>3.0</v>
      </c>
      <c r="Y1653" s="1">
        <v>2.35</v>
      </c>
      <c r="Z1653" s="1">
        <v>6.1</v>
      </c>
    </row>
    <row r="1654" ht="14.25" customHeight="1">
      <c r="A1654" s="1" t="s">
        <v>26</v>
      </c>
      <c r="B1654" s="1" t="s">
        <v>5184</v>
      </c>
      <c r="C1654" s="1" t="s">
        <v>8310</v>
      </c>
      <c r="D1654" s="1">
        <v>3.3000377E7</v>
      </c>
      <c r="E1654" s="1" t="s">
        <v>8311</v>
      </c>
      <c r="F1654" s="1" t="s">
        <v>616</v>
      </c>
      <c r="G1654" s="1" t="s">
        <v>4781</v>
      </c>
      <c r="H1654" s="1" t="s">
        <v>8312</v>
      </c>
      <c r="I1654" s="1">
        <v>27378.0</v>
      </c>
      <c r="J1654" s="1" t="s">
        <v>8313</v>
      </c>
      <c r="K1654" s="1" t="s">
        <v>8314</v>
      </c>
      <c r="L1654" s="1">
        <v>365.0</v>
      </c>
      <c r="M1654" s="1" t="s">
        <v>35</v>
      </c>
      <c r="N1654" s="1" t="s">
        <v>36</v>
      </c>
      <c r="O1654" s="1" t="s">
        <v>628</v>
      </c>
      <c r="P1654" s="1">
        <v>2.8E7</v>
      </c>
      <c r="Q1654" s="1">
        <v>2000.0</v>
      </c>
      <c r="R1654" s="1">
        <v>18000.0</v>
      </c>
      <c r="S1654" s="1">
        <v>1000.0</v>
      </c>
      <c r="T1654" s="1">
        <v>1000.0</v>
      </c>
      <c r="U1654" s="1">
        <v>23344.0</v>
      </c>
      <c r="V1654" s="1">
        <v>71.0</v>
      </c>
      <c r="W1654" s="1">
        <v>0.0</v>
      </c>
      <c r="X1654" s="1">
        <v>0.0</v>
      </c>
      <c r="Y1654" s="1">
        <v>2.35</v>
      </c>
      <c r="Z1654" s="1">
        <v>4.9</v>
      </c>
    </row>
    <row r="1655" ht="14.25" customHeight="1">
      <c r="A1655" s="1" t="s">
        <v>26</v>
      </c>
      <c r="B1655" s="1" t="s">
        <v>8315</v>
      </c>
      <c r="C1655" s="1" t="s">
        <v>8316</v>
      </c>
      <c r="D1655" s="1">
        <v>6.6950483E7</v>
      </c>
      <c r="E1655" s="1" t="s">
        <v>2904</v>
      </c>
      <c r="F1655" s="1" t="s">
        <v>2084</v>
      </c>
      <c r="G1655" s="1" t="s">
        <v>503</v>
      </c>
      <c r="H1655" s="1" t="s">
        <v>713</v>
      </c>
      <c r="I1655" s="1">
        <v>29738.0</v>
      </c>
      <c r="J1655" s="1" t="s">
        <v>8317</v>
      </c>
      <c r="K1655" s="1" t="s">
        <v>8318</v>
      </c>
      <c r="L1655" s="1">
        <v>85.0</v>
      </c>
      <c r="M1655" s="1" t="s">
        <v>35</v>
      </c>
      <c r="N1655" s="1" t="s">
        <v>36</v>
      </c>
      <c r="O1655" s="1" t="s">
        <v>87</v>
      </c>
      <c r="P1655" s="1">
        <v>2.8E7</v>
      </c>
      <c r="Q1655" s="1">
        <v>2014.0</v>
      </c>
      <c r="R1655" s="1">
        <v>35000.0</v>
      </c>
      <c r="S1655" s="1">
        <v>7000.0</v>
      </c>
      <c r="T1655" s="1">
        <v>3000.0</v>
      </c>
      <c r="U1655" s="1">
        <v>47677.0</v>
      </c>
      <c r="V1655" s="1">
        <v>44.0</v>
      </c>
      <c r="W1655" s="1">
        <v>12000.0</v>
      </c>
      <c r="X1655" s="1">
        <v>6.0</v>
      </c>
      <c r="Y1655" s="1">
        <v>2.39</v>
      </c>
      <c r="Z1655" s="1">
        <v>6.2</v>
      </c>
    </row>
    <row r="1656" ht="14.25" customHeight="1">
      <c r="A1656" s="1" t="s">
        <v>26</v>
      </c>
      <c r="B1656" s="1" t="s">
        <v>903</v>
      </c>
      <c r="C1656" s="1" t="s">
        <v>8319</v>
      </c>
      <c r="D1656" s="1">
        <v>3.8372662E7</v>
      </c>
      <c r="E1656" s="1" t="s">
        <v>206</v>
      </c>
      <c r="F1656" s="1" t="s">
        <v>8320</v>
      </c>
      <c r="G1656" s="1" t="s">
        <v>7784</v>
      </c>
      <c r="H1656" s="1" t="s">
        <v>8321</v>
      </c>
      <c r="I1656" s="1">
        <v>193455.0</v>
      </c>
      <c r="J1656" s="1" t="s">
        <v>8322</v>
      </c>
      <c r="K1656" s="1" t="s">
        <v>8323</v>
      </c>
      <c r="L1656" s="1">
        <v>1058.0</v>
      </c>
      <c r="M1656" s="1" t="s">
        <v>35</v>
      </c>
      <c r="N1656" s="1" t="s">
        <v>1832</v>
      </c>
      <c r="O1656" s="1" t="s">
        <v>87</v>
      </c>
      <c r="P1656" s="1">
        <v>2.8E7</v>
      </c>
      <c r="Q1656" s="1">
        <v>2005.0</v>
      </c>
      <c r="R1656" s="1">
        <v>422.0</v>
      </c>
      <c r="S1656" s="1">
        <v>286.0</v>
      </c>
      <c r="T1656" s="1">
        <v>241.0</v>
      </c>
      <c r="U1656" s="1">
        <v>1083.0</v>
      </c>
      <c r="V1656" s="1">
        <v>456.0</v>
      </c>
      <c r="W1656" s="1">
        <v>17000.0</v>
      </c>
      <c r="X1656" s="1">
        <v>2.0</v>
      </c>
      <c r="Y1656" s="1">
        <v>2.35</v>
      </c>
      <c r="Z1656" s="1">
        <v>7.8</v>
      </c>
    </row>
    <row r="1657" ht="14.25" customHeight="1">
      <c r="A1657" s="1" t="s">
        <v>26</v>
      </c>
      <c r="B1657" s="1" t="s">
        <v>179</v>
      </c>
      <c r="C1657" s="1" t="s">
        <v>8324</v>
      </c>
      <c r="D1657" s="1">
        <v>2.7E7</v>
      </c>
      <c r="E1657" s="1" t="s">
        <v>2804</v>
      </c>
      <c r="F1657" s="1" t="s">
        <v>383</v>
      </c>
      <c r="G1657" s="1" t="s">
        <v>8325</v>
      </c>
      <c r="H1657" s="1" t="s">
        <v>5080</v>
      </c>
      <c r="I1657" s="1">
        <v>461609.0</v>
      </c>
      <c r="J1657" s="1" t="s">
        <v>8326</v>
      </c>
      <c r="K1657" s="1" t="s">
        <v>8327</v>
      </c>
      <c r="L1657" s="1">
        <v>1168.0</v>
      </c>
      <c r="M1657" s="1" t="s">
        <v>35</v>
      </c>
      <c r="N1657" s="1" t="s">
        <v>36</v>
      </c>
      <c r="O1657" s="1" t="s">
        <v>628</v>
      </c>
      <c r="P1657" s="1">
        <v>2.8E7</v>
      </c>
      <c r="Q1657" s="1">
        <v>1982.0</v>
      </c>
      <c r="R1657" s="1">
        <v>11000.0</v>
      </c>
      <c r="S1657" s="1">
        <v>759.0</v>
      </c>
      <c r="T1657" s="1">
        <v>521.0</v>
      </c>
      <c r="U1657" s="1">
        <v>13877.0</v>
      </c>
      <c r="V1657" s="1">
        <v>0.0</v>
      </c>
      <c r="W1657" s="1">
        <v>34000.0</v>
      </c>
      <c r="X1657" s="1">
        <v>2.0</v>
      </c>
      <c r="Y1657" s="1">
        <v>2.35</v>
      </c>
      <c r="Z1657" s="1">
        <v>8.2</v>
      </c>
    </row>
    <row r="1658" ht="14.25" customHeight="1">
      <c r="A1658" s="1" t="s">
        <v>26</v>
      </c>
      <c r="B1658" s="1" t="s">
        <v>3338</v>
      </c>
      <c r="C1658" s="1" t="s">
        <v>8328</v>
      </c>
      <c r="D1658" s="1">
        <v>3.16E7</v>
      </c>
      <c r="E1658" s="1" t="s">
        <v>8329</v>
      </c>
      <c r="F1658" s="1" t="s">
        <v>220</v>
      </c>
      <c r="G1658" s="1" t="s">
        <v>651</v>
      </c>
      <c r="H1658" s="1" t="s">
        <v>5424</v>
      </c>
      <c r="I1658" s="1">
        <v>34427.0</v>
      </c>
      <c r="J1658" s="1" t="s">
        <v>8330</v>
      </c>
      <c r="K1658" s="1" t="s">
        <v>8331</v>
      </c>
      <c r="L1658" s="1">
        <v>126.0</v>
      </c>
      <c r="M1658" s="1" t="s">
        <v>35</v>
      </c>
      <c r="N1658" s="1" t="s">
        <v>36</v>
      </c>
      <c r="O1658" s="1" t="s">
        <v>628</v>
      </c>
      <c r="P1658" s="1">
        <v>2.8E7</v>
      </c>
      <c r="Q1658" s="1">
        <v>1995.0</v>
      </c>
      <c r="R1658" s="1">
        <v>14000.0</v>
      </c>
      <c r="S1658" s="1">
        <v>1000.0</v>
      </c>
      <c r="T1658" s="1">
        <v>902.0</v>
      </c>
      <c r="U1658" s="1">
        <v>16125.0</v>
      </c>
      <c r="V1658" s="1">
        <v>105.0</v>
      </c>
      <c r="W1658" s="1">
        <v>0.0</v>
      </c>
      <c r="X1658" s="1">
        <v>1.0</v>
      </c>
      <c r="Y1658" s="1">
        <v>2.35</v>
      </c>
      <c r="Z1658" s="1">
        <v>6.9</v>
      </c>
    </row>
    <row r="1659" ht="14.25" customHeight="1">
      <c r="A1659" s="1" t="s">
        <v>26</v>
      </c>
      <c r="B1659" s="1" t="s">
        <v>319</v>
      </c>
      <c r="C1659" s="1" t="s">
        <v>8332</v>
      </c>
      <c r="D1659" s="1">
        <v>3.0688364E7</v>
      </c>
      <c r="E1659" s="1" t="s">
        <v>886</v>
      </c>
      <c r="F1659" s="1" t="s">
        <v>1611</v>
      </c>
      <c r="G1659" s="1" t="s">
        <v>8333</v>
      </c>
      <c r="H1659" s="1" t="s">
        <v>8334</v>
      </c>
      <c r="I1659" s="1">
        <v>69355.0</v>
      </c>
      <c r="J1659" s="1" t="s">
        <v>8335</v>
      </c>
      <c r="K1659" s="1" t="s">
        <v>8336</v>
      </c>
      <c r="L1659" s="1">
        <v>211.0</v>
      </c>
      <c r="M1659" s="1" t="s">
        <v>35</v>
      </c>
      <c r="N1659" s="1" t="s">
        <v>36</v>
      </c>
      <c r="O1659" s="1" t="s">
        <v>37</v>
      </c>
      <c r="P1659" s="1">
        <v>2.8E7</v>
      </c>
      <c r="Q1659" s="1">
        <v>2014.0</v>
      </c>
      <c r="R1659" s="1">
        <v>933.0</v>
      </c>
      <c r="S1659" s="1">
        <v>194.0</v>
      </c>
      <c r="T1659" s="1">
        <v>114.0</v>
      </c>
      <c r="U1659" s="1">
        <v>1286.0</v>
      </c>
      <c r="V1659" s="1">
        <v>368.0</v>
      </c>
      <c r="W1659" s="1">
        <v>10000.0</v>
      </c>
      <c r="X1659" s="1">
        <v>0.0</v>
      </c>
      <c r="Y1659" s="1">
        <v>2.35</v>
      </c>
      <c r="Z1659" s="1">
        <v>6.2</v>
      </c>
    </row>
    <row r="1660" ht="14.25" customHeight="1">
      <c r="A1660" s="1" t="s">
        <v>26</v>
      </c>
      <c r="B1660" s="1" t="s">
        <v>8337</v>
      </c>
      <c r="C1660" s="1" t="s">
        <v>8338</v>
      </c>
      <c r="D1660" s="1">
        <v>2.8563179E7</v>
      </c>
      <c r="E1660" s="1" t="s">
        <v>2045</v>
      </c>
      <c r="F1660" s="1" t="s">
        <v>1606</v>
      </c>
      <c r="G1660" s="1" t="s">
        <v>8339</v>
      </c>
      <c r="H1660" s="1" t="s">
        <v>8340</v>
      </c>
      <c r="I1660" s="1">
        <v>72693.0</v>
      </c>
      <c r="J1660" s="1" t="s">
        <v>8341</v>
      </c>
      <c r="K1660" s="1" t="s">
        <v>8342</v>
      </c>
      <c r="L1660" s="1">
        <v>199.0</v>
      </c>
      <c r="M1660" s="1" t="s">
        <v>35</v>
      </c>
      <c r="N1660" s="1" t="s">
        <v>36</v>
      </c>
      <c r="O1660" s="1" t="s">
        <v>628</v>
      </c>
      <c r="P1660" s="1">
        <v>2.1E7</v>
      </c>
      <c r="Q1660" s="1">
        <v>2007.0</v>
      </c>
      <c r="R1660" s="1">
        <v>3000.0</v>
      </c>
      <c r="S1660" s="1">
        <v>327.0</v>
      </c>
      <c r="T1660" s="1">
        <v>97.0</v>
      </c>
      <c r="U1660" s="1">
        <v>3681.0</v>
      </c>
      <c r="V1660" s="1">
        <v>115.0</v>
      </c>
      <c r="W1660" s="1">
        <v>0.0</v>
      </c>
      <c r="X1660" s="1">
        <v>4.0</v>
      </c>
      <c r="Y1660" s="1">
        <v>1.85</v>
      </c>
      <c r="Z1660" s="1">
        <v>6.9</v>
      </c>
    </row>
    <row r="1661" ht="14.25" customHeight="1">
      <c r="A1661" s="1" t="s">
        <v>26</v>
      </c>
      <c r="B1661" s="1" t="s">
        <v>8343</v>
      </c>
      <c r="C1661" s="1" t="s">
        <v>8344</v>
      </c>
      <c r="D1661" s="1">
        <v>1.6779636E7</v>
      </c>
      <c r="E1661" s="1" t="s">
        <v>4158</v>
      </c>
      <c r="F1661" s="1" t="s">
        <v>3360</v>
      </c>
      <c r="G1661" s="1" t="s">
        <v>8345</v>
      </c>
      <c r="H1661" s="1" t="s">
        <v>8346</v>
      </c>
      <c r="I1661" s="1">
        <v>9338.0</v>
      </c>
      <c r="J1661" s="1" t="s">
        <v>8347</v>
      </c>
      <c r="K1661" s="1" t="s">
        <v>8348</v>
      </c>
      <c r="L1661" s="1">
        <v>167.0</v>
      </c>
      <c r="M1661" s="1" t="s">
        <v>35</v>
      </c>
      <c r="N1661" s="1" t="s">
        <v>36</v>
      </c>
      <c r="O1661" s="1" t="s">
        <v>628</v>
      </c>
      <c r="P1661" s="1">
        <v>2.8E7</v>
      </c>
      <c r="Q1661" s="1">
        <v>2000.0</v>
      </c>
      <c r="R1661" s="1">
        <v>497.0</v>
      </c>
      <c r="S1661" s="1">
        <v>347.0</v>
      </c>
      <c r="T1661" s="1">
        <v>258.0</v>
      </c>
      <c r="U1661" s="1">
        <v>1805.0</v>
      </c>
      <c r="V1661" s="1">
        <v>710.0</v>
      </c>
      <c r="W1661" s="1">
        <v>209.0</v>
      </c>
      <c r="X1661" s="1">
        <v>2.0</v>
      </c>
      <c r="Y1661" s="1">
        <v>2.35</v>
      </c>
      <c r="Z1661" s="1">
        <v>4.8</v>
      </c>
    </row>
    <row r="1662" ht="14.25" customHeight="1">
      <c r="A1662" s="1" t="s">
        <v>26</v>
      </c>
      <c r="B1662" s="1" t="s">
        <v>4022</v>
      </c>
      <c r="C1662" s="1" t="s">
        <v>8349</v>
      </c>
      <c r="D1662" s="1">
        <v>1.7324744E7</v>
      </c>
      <c r="E1662" s="1" t="s">
        <v>3439</v>
      </c>
      <c r="F1662" s="1" t="s">
        <v>8350</v>
      </c>
      <c r="G1662" s="1" t="s">
        <v>4437</v>
      </c>
      <c r="H1662" s="1" t="s">
        <v>4939</v>
      </c>
      <c r="I1662" s="1">
        <v>44103.0</v>
      </c>
      <c r="J1662" s="1" t="s">
        <v>8351</v>
      </c>
      <c r="K1662" s="1" t="s">
        <v>8352</v>
      </c>
      <c r="L1662" s="1">
        <v>149.0</v>
      </c>
      <c r="M1662" s="1" t="s">
        <v>35</v>
      </c>
      <c r="N1662" s="1" t="s">
        <v>36</v>
      </c>
      <c r="O1662" s="1" t="s">
        <v>37</v>
      </c>
      <c r="P1662" s="1">
        <v>2.8E7</v>
      </c>
      <c r="Q1662" s="1">
        <v>2006.0</v>
      </c>
      <c r="R1662" s="1">
        <v>806.0</v>
      </c>
      <c r="S1662" s="1">
        <v>591.0</v>
      </c>
      <c r="T1662" s="1">
        <v>585.0</v>
      </c>
      <c r="U1662" s="1">
        <v>3211.0</v>
      </c>
      <c r="V1662" s="1">
        <v>80.0</v>
      </c>
      <c r="W1662" s="1">
        <v>0.0</v>
      </c>
      <c r="X1662" s="1">
        <v>3.0</v>
      </c>
      <c r="Y1662" s="1">
        <v>1.85</v>
      </c>
      <c r="Z1662" s="1">
        <v>5.3</v>
      </c>
    </row>
    <row r="1663" ht="14.25" customHeight="1">
      <c r="A1663" s="1" t="s">
        <v>26</v>
      </c>
      <c r="B1663" s="1" t="s">
        <v>1883</v>
      </c>
      <c r="C1663" s="1" t="s">
        <v>8353</v>
      </c>
      <c r="D1663" s="1">
        <v>8888143.0</v>
      </c>
      <c r="E1663" s="1" t="s">
        <v>5897</v>
      </c>
      <c r="F1663" s="1" t="s">
        <v>184</v>
      </c>
      <c r="G1663" s="1" t="s">
        <v>8354</v>
      </c>
      <c r="H1663" s="1" t="s">
        <v>8355</v>
      </c>
      <c r="I1663" s="1">
        <v>22250.0</v>
      </c>
      <c r="J1663" s="1" t="s">
        <v>8356</v>
      </c>
      <c r="K1663" s="1" t="s">
        <v>8357</v>
      </c>
      <c r="L1663" s="1">
        <v>123.0</v>
      </c>
      <c r="M1663" s="1" t="s">
        <v>35</v>
      </c>
      <c r="N1663" s="1" t="s">
        <v>260</v>
      </c>
      <c r="O1663" s="1" t="s">
        <v>628</v>
      </c>
      <c r="P1663" s="1">
        <v>2.8E7</v>
      </c>
      <c r="Q1663" s="1">
        <v>1999.0</v>
      </c>
      <c r="R1663" s="1">
        <v>738.0</v>
      </c>
      <c r="S1663" s="1">
        <v>428.0</v>
      </c>
      <c r="T1663" s="1">
        <v>385.0</v>
      </c>
      <c r="U1663" s="1">
        <v>2171.0</v>
      </c>
      <c r="V1663" s="1">
        <v>116.0</v>
      </c>
      <c r="W1663" s="1">
        <v>913.0</v>
      </c>
      <c r="X1663" s="1">
        <v>0.0</v>
      </c>
      <c r="Y1663" s="1">
        <v>2.35</v>
      </c>
      <c r="Z1663" s="1">
        <v>6.7</v>
      </c>
    </row>
    <row r="1664" ht="14.25" customHeight="1">
      <c r="A1664" s="1" t="s">
        <v>26</v>
      </c>
      <c r="B1664" s="1" t="s">
        <v>3900</v>
      </c>
      <c r="C1664" s="1" t="s">
        <v>8358</v>
      </c>
      <c r="D1664" s="1">
        <v>2.4268828E7</v>
      </c>
      <c r="E1664" s="1" t="s">
        <v>8359</v>
      </c>
      <c r="F1664" s="1" t="s">
        <v>4427</v>
      </c>
      <c r="G1664" s="1" t="s">
        <v>2014</v>
      </c>
      <c r="H1664" s="1" t="s">
        <v>8360</v>
      </c>
      <c r="I1664" s="1">
        <v>29971.0</v>
      </c>
      <c r="J1664" s="1" t="s">
        <v>8361</v>
      </c>
      <c r="K1664" s="1" t="s">
        <v>8362</v>
      </c>
      <c r="L1664" s="1">
        <v>71.0</v>
      </c>
      <c r="M1664" s="1" t="s">
        <v>35</v>
      </c>
      <c r="N1664" s="1" t="s">
        <v>36</v>
      </c>
      <c r="O1664" s="1" t="s">
        <v>87</v>
      </c>
      <c r="P1664" s="1">
        <v>2.8E7</v>
      </c>
      <c r="Q1664" s="1">
        <v>2010.0</v>
      </c>
      <c r="R1664" s="1">
        <v>1000.0</v>
      </c>
      <c r="S1664" s="1">
        <v>626.0</v>
      </c>
      <c r="T1664" s="1">
        <v>453.0</v>
      </c>
      <c r="U1664" s="1">
        <v>3436.0</v>
      </c>
      <c r="V1664" s="1">
        <v>32.0</v>
      </c>
      <c r="W1664" s="1">
        <v>0.0</v>
      </c>
      <c r="X1664" s="1">
        <v>4.0</v>
      </c>
      <c r="Y1664" s="1">
        <v>1.85</v>
      </c>
      <c r="Z1664" s="1">
        <v>5.4</v>
      </c>
    </row>
    <row r="1665" ht="14.25" customHeight="1">
      <c r="A1665" s="1" t="s">
        <v>26</v>
      </c>
      <c r="B1665" s="1" t="s">
        <v>8363</v>
      </c>
      <c r="C1665" s="1" t="s">
        <v>8364</v>
      </c>
      <c r="D1665" s="1">
        <v>8119205.0</v>
      </c>
      <c r="E1665" s="1" t="s">
        <v>501</v>
      </c>
      <c r="F1665" s="1" t="s">
        <v>8365</v>
      </c>
      <c r="G1665" s="1" t="s">
        <v>8366</v>
      </c>
      <c r="H1665" s="1" t="s">
        <v>3733</v>
      </c>
      <c r="I1665" s="1">
        <v>4288.0</v>
      </c>
      <c r="J1665" s="1" t="s">
        <v>8367</v>
      </c>
      <c r="K1665" s="1" t="s">
        <v>8368</v>
      </c>
      <c r="L1665" s="1">
        <v>21.0</v>
      </c>
      <c r="M1665" s="1" t="s">
        <v>35</v>
      </c>
      <c r="N1665" s="1" t="s">
        <v>36</v>
      </c>
      <c r="O1665" s="1" t="s">
        <v>87</v>
      </c>
      <c r="P1665" s="1">
        <v>2.8E7</v>
      </c>
      <c r="Q1665" s="1">
        <v>1997.0</v>
      </c>
      <c r="R1665" s="1">
        <v>1000.0</v>
      </c>
      <c r="S1665" s="1">
        <v>937.0</v>
      </c>
      <c r="T1665" s="1">
        <v>899.0</v>
      </c>
      <c r="U1665" s="1">
        <v>5535.0</v>
      </c>
      <c r="V1665" s="1">
        <v>23.0</v>
      </c>
      <c r="W1665" s="1">
        <v>517.0</v>
      </c>
      <c r="X1665" s="1">
        <v>3.0</v>
      </c>
      <c r="Y1665" s="1">
        <v>1.85</v>
      </c>
      <c r="Z1665" s="1">
        <v>5.4</v>
      </c>
    </row>
    <row r="1666" ht="14.25" customHeight="1">
      <c r="A1666" s="1" t="s">
        <v>26</v>
      </c>
      <c r="B1666" s="1" t="s">
        <v>5073</v>
      </c>
      <c r="C1666" s="1" t="s">
        <v>8369</v>
      </c>
      <c r="D1666" s="1">
        <v>8434601.0</v>
      </c>
      <c r="E1666" s="1" t="s">
        <v>3966</v>
      </c>
      <c r="F1666" s="1" t="s">
        <v>327</v>
      </c>
      <c r="G1666" s="1" t="s">
        <v>5630</v>
      </c>
      <c r="H1666" s="1" t="s">
        <v>6876</v>
      </c>
      <c r="I1666" s="1">
        <v>43006.0</v>
      </c>
      <c r="J1666" s="1" t="s">
        <v>8370</v>
      </c>
      <c r="K1666" s="1" t="s">
        <v>8371</v>
      </c>
      <c r="L1666" s="1">
        <v>460.0</v>
      </c>
      <c r="M1666" s="1" t="s">
        <v>35</v>
      </c>
      <c r="N1666" s="1" t="s">
        <v>36</v>
      </c>
      <c r="O1666" s="1" t="s">
        <v>628</v>
      </c>
      <c r="P1666" s="1">
        <v>2.8E7</v>
      </c>
      <c r="Q1666" s="1">
        <v>2001.0</v>
      </c>
      <c r="R1666" s="1">
        <v>26000.0</v>
      </c>
      <c r="S1666" s="1">
        <v>1000.0</v>
      </c>
      <c r="T1666" s="1">
        <v>900.0</v>
      </c>
      <c r="U1666" s="1">
        <v>28867.0</v>
      </c>
      <c r="V1666" s="1">
        <v>0.0</v>
      </c>
      <c r="W1666" s="1">
        <v>0.0</v>
      </c>
      <c r="X1666" s="1">
        <v>5.0</v>
      </c>
      <c r="Y1666" s="1">
        <v>2.35</v>
      </c>
      <c r="Z1666" s="1">
        <v>4.9</v>
      </c>
    </row>
    <row r="1667" ht="14.25" customHeight="1">
      <c r="A1667" s="1" t="s">
        <v>26</v>
      </c>
      <c r="B1667" s="1" t="s">
        <v>5119</v>
      </c>
      <c r="C1667" s="1" t="s">
        <v>8372</v>
      </c>
      <c r="D1667" s="1">
        <v>6998324.0</v>
      </c>
      <c r="E1667" s="1" t="s">
        <v>2422</v>
      </c>
      <c r="F1667" s="1" t="s">
        <v>8373</v>
      </c>
      <c r="G1667" s="1" t="s">
        <v>2288</v>
      </c>
      <c r="H1667" s="1" t="s">
        <v>4846</v>
      </c>
      <c r="I1667" s="1">
        <v>11476.0</v>
      </c>
      <c r="J1667" s="1" t="s">
        <v>8374</v>
      </c>
      <c r="K1667" s="1" t="s">
        <v>8375</v>
      </c>
      <c r="L1667" s="1">
        <v>50.0</v>
      </c>
      <c r="M1667" s="1" t="s">
        <v>35</v>
      </c>
      <c r="N1667" s="1" t="s">
        <v>36</v>
      </c>
      <c r="O1667" s="1" t="s">
        <v>628</v>
      </c>
      <c r="P1667" s="1">
        <v>2.8E7</v>
      </c>
      <c r="Q1667" s="1">
        <v>2015.0</v>
      </c>
      <c r="R1667" s="1">
        <v>1000.0</v>
      </c>
      <c r="S1667" s="1">
        <v>962.0</v>
      </c>
      <c r="T1667" s="1">
        <v>660.0</v>
      </c>
      <c r="U1667" s="1">
        <v>3944.0</v>
      </c>
      <c r="V1667" s="1">
        <v>234.0</v>
      </c>
      <c r="W1667" s="1">
        <v>0.0</v>
      </c>
      <c r="X1667" s="1">
        <v>2.0</v>
      </c>
      <c r="Y1667" s="1">
        <v>1.85</v>
      </c>
      <c r="Z1667" s="1">
        <v>6.1</v>
      </c>
    </row>
    <row r="1668" ht="14.25" customHeight="1">
      <c r="A1668" s="1" t="s">
        <v>26</v>
      </c>
      <c r="B1668" s="1" t="s">
        <v>5699</v>
      </c>
      <c r="C1668" s="1" t="s">
        <v>8376</v>
      </c>
      <c r="D1668" s="1">
        <v>1.0907291E7</v>
      </c>
      <c r="E1668" s="1" t="s">
        <v>8377</v>
      </c>
      <c r="F1668" s="1" t="s">
        <v>701</v>
      </c>
      <c r="G1668" s="1" t="s">
        <v>8378</v>
      </c>
      <c r="H1668" s="1" t="s">
        <v>552</v>
      </c>
      <c r="I1668" s="1">
        <v>23775.0</v>
      </c>
      <c r="J1668" s="1" t="s">
        <v>8379</v>
      </c>
      <c r="K1668" s="1" t="s">
        <v>8380</v>
      </c>
      <c r="L1668" s="1">
        <v>134.0</v>
      </c>
      <c r="M1668" s="1" t="s">
        <v>35</v>
      </c>
      <c r="N1668" s="1" t="s">
        <v>36</v>
      </c>
      <c r="O1668" s="1" t="s">
        <v>37</v>
      </c>
      <c r="P1668" s="1">
        <v>2.8E7</v>
      </c>
      <c r="Q1668" s="1">
        <v>2016.0</v>
      </c>
      <c r="R1668" s="1">
        <v>2000.0</v>
      </c>
      <c r="S1668" s="1">
        <v>860.0</v>
      </c>
      <c r="T1668" s="1">
        <v>845.0</v>
      </c>
      <c r="U1668" s="1">
        <v>4710.0</v>
      </c>
      <c r="V1668" s="1">
        <v>23.0</v>
      </c>
      <c r="W1668" s="1">
        <v>73000.0</v>
      </c>
      <c r="X1668" s="1">
        <v>0.0</v>
      </c>
      <c r="Y1668" s="1">
        <v>2.35</v>
      </c>
      <c r="Z1668" s="1">
        <v>5.8</v>
      </c>
    </row>
    <row r="1669" ht="14.25" customHeight="1">
      <c r="A1669" s="1" t="s">
        <v>26</v>
      </c>
      <c r="B1669" s="1" t="s">
        <v>472</v>
      </c>
      <c r="C1669" s="1" t="s">
        <v>8381</v>
      </c>
      <c r="D1669" s="1">
        <v>5532301.0</v>
      </c>
      <c r="E1669" s="1" t="s">
        <v>3075</v>
      </c>
      <c r="F1669" s="1" t="s">
        <v>8382</v>
      </c>
      <c r="G1669" s="1" t="s">
        <v>8383</v>
      </c>
      <c r="H1669" s="1" t="s">
        <v>8384</v>
      </c>
      <c r="I1669" s="1">
        <v>21606.0</v>
      </c>
      <c r="J1669" s="1" t="s">
        <v>8385</v>
      </c>
      <c r="K1669" s="1" t="s">
        <v>8386</v>
      </c>
      <c r="L1669" s="1">
        <v>117.0</v>
      </c>
      <c r="M1669" s="1" t="s">
        <v>35</v>
      </c>
      <c r="N1669" s="1" t="s">
        <v>36</v>
      </c>
      <c r="O1669" s="1" t="s">
        <v>37</v>
      </c>
      <c r="P1669" s="1">
        <v>2.8E7</v>
      </c>
      <c r="Q1669" s="1">
        <v>1997.0</v>
      </c>
      <c r="R1669" s="1">
        <v>2.0</v>
      </c>
      <c r="S1669" s="1">
        <v>2.0</v>
      </c>
      <c r="T1669" s="1">
        <v>0.0</v>
      </c>
      <c r="U1669" s="1">
        <v>4.0</v>
      </c>
      <c r="V1669" s="1">
        <v>17000.0</v>
      </c>
      <c r="W1669" s="1">
        <v>0.0</v>
      </c>
      <c r="X1669" s="1">
        <v>0.0</v>
      </c>
      <c r="Y1669" s="1">
        <v>2.35</v>
      </c>
      <c r="Z1669" s="1">
        <v>7.0</v>
      </c>
    </row>
    <row r="1670" ht="14.25" customHeight="1">
      <c r="A1670" s="1" t="s">
        <v>26</v>
      </c>
      <c r="B1670" s="1" t="s">
        <v>8387</v>
      </c>
      <c r="C1670" s="1" t="s">
        <v>8388</v>
      </c>
      <c r="D1670" s="1">
        <v>2775593.0</v>
      </c>
      <c r="E1670" s="1" t="s">
        <v>1359</v>
      </c>
      <c r="F1670" s="1" t="s">
        <v>1480</v>
      </c>
      <c r="G1670" s="1" t="s">
        <v>8389</v>
      </c>
      <c r="H1670" s="1" t="s">
        <v>8390</v>
      </c>
      <c r="I1670" s="1">
        <v>61269.0</v>
      </c>
      <c r="J1670" s="1" t="s">
        <v>8391</v>
      </c>
      <c r="K1670" s="1" t="s">
        <v>8392</v>
      </c>
      <c r="L1670" s="1">
        <v>98.0</v>
      </c>
      <c r="M1670" s="1" t="s">
        <v>35</v>
      </c>
      <c r="N1670" s="1" t="s">
        <v>54</v>
      </c>
      <c r="O1670" s="1" t="s">
        <v>628</v>
      </c>
      <c r="P1670" s="1">
        <v>2.7E7</v>
      </c>
      <c r="Q1670" s="1">
        <v>2008.0</v>
      </c>
      <c r="R1670" s="1">
        <v>480.0</v>
      </c>
      <c r="S1670" s="1">
        <v>261.0</v>
      </c>
      <c r="T1670" s="1">
        <v>87.0</v>
      </c>
      <c r="U1670" s="1">
        <v>858.0</v>
      </c>
      <c r="V1670" s="1">
        <v>53.0</v>
      </c>
      <c r="W1670" s="1">
        <v>0.0</v>
      </c>
      <c r="X1670" s="1">
        <v>4.0</v>
      </c>
      <c r="Y1670" s="1">
        <v>1.85</v>
      </c>
      <c r="Z1670" s="1">
        <v>6.5</v>
      </c>
    </row>
    <row r="1671" ht="14.25" customHeight="1">
      <c r="A1671" s="1" t="s">
        <v>26</v>
      </c>
      <c r="B1671" s="1" t="s">
        <v>8393</v>
      </c>
      <c r="C1671" s="1" t="s">
        <v>8394</v>
      </c>
      <c r="D1671" s="1">
        <v>2.8751715E7</v>
      </c>
      <c r="E1671" s="1" t="s">
        <v>1670</v>
      </c>
      <c r="F1671" s="1" t="s">
        <v>475</v>
      </c>
      <c r="G1671" s="1" t="s">
        <v>8395</v>
      </c>
      <c r="H1671" s="1" t="s">
        <v>5701</v>
      </c>
      <c r="I1671" s="1">
        <v>202967.0</v>
      </c>
      <c r="J1671" s="1" t="s">
        <v>8396</v>
      </c>
      <c r="K1671" s="1" t="s">
        <v>8397</v>
      </c>
      <c r="L1671" s="1">
        <v>378.0</v>
      </c>
      <c r="M1671" s="1" t="s">
        <v>35</v>
      </c>
      <c r="N1671" s="1" t="s">
        <v>36</v>
      </c>
      <c r="O1671" s="1" t="s">
        <v>628</v>
      </c>
      <c r="P1671" s="1">
        <v>2.8E7</v>
      </c>
      <c r="Q1671" s="1">
        <v>2013.0</v>
      </c>
      <c r="R1671" s="1">
        <v>17000.0</v>
      </c>
      <c r="S1671" s="1">
        <v>927.0</v>
      </c>
      <c r="T1671" s="1">
        <v>405.0</v>
      </c>
      <c r="U1671" s="1">
        <v>19168.0</v>
      </c>
      <c r="V1671" s="1">
        <v>65.0</v>
      </c>
      <c r="W1671" s="1">
        <v>36000.0</v>
      </c>
      <c r="X1671" s="1">
        <v>0.0</v>
      </c>
      <c r="Y1671" s="1">
        <v>2.35</v>
      </c>
      <c r="Z1671" s="1">
        <v>6.6</v>
      </c>
    </row>
    <row r="1672" ht="14.25" customHeight="1">
      <c r="A1672" s="1" t="s">
        <v>26</v>
      </c>
      <c r="B1672" s="1" t="s">
        <v>8398</v>
      </c>
      <c r="C1672" s="1" t="s">
        <v>8399</v>
      </c>
      <c r="D1672" s="1">
        <v>2.0285518E7</v>
      </c>
      <c r="E1672" s="1" t="s">
        <v>449</v>
      </c>
      <c r="F1672" s="1" t="s">
        <v>328</v>
      </c>
      <c r="G1672" s="1" t="s">
        <v>2072</v>
      </c>
      <c r="H1672" s="1" t="s">
        <v>1646</v>
      </c>
      <c r="I1672" s="1">
        <v>32103.0</v>
      </c>
      <c r="J1672" s="1" t="s">
        <v>8400</v>
      </c>
      <c r="K1672" s="1" t="s">
        <v>8401</v>
      </c>
      <c r="L1672" s="1">
        <v>112.0</v>
      </c>
      <c r="M1672" s="1" t="s">
        <v>35</v>
      </c>
      <c r="N1672" s="1" t="s">
        <v>1832</v>
      </c>
      <c r="O1672" s="1" t="s">
        <v>37</v>
      </c>
      <c r="P1672" s="1">
        <v>2.8E7</v>
      </c>
      <c r="Q1672" s="1">
        <v>2014.0</v>
      </c>
      <c r="R1672" s="1">
        <v>23000.0</v>
      </c>
      <c r="S1672" s="1">
        <v>727.0</v>
      </c>
      <c r="T1672" s="1">
        <v>561.0</v>
      </c>
      <c r="U1672" s="1">
        <v>25387.0</v>
      </c>
      <c r="V1672" s="1">
        <v>11.0</v>
      </c>
      <c r="W1672" s="1">
        <v>0.0</v>
      </c>
      <c r="X1672" s="1">
        <v>2.0</v>
      </c>
      <c r="Y1672" s="1">
        <v>2.35</v>
      </c>
      <c r="Z1672" s="1">
        <v>5.7</v>
      </c>
    </row>
    <row r="1673" ht="14.25" customHeight="1">
      <c r="A1673" s="1" t="s">
        <v>26</v>
      </c>
      <c r="B1673" s="1" t="s">
        <v>5767</v>
      </c>
      <c r="C1673" s="1" t="s">
        <v>8402</v>
      </c>
      <c r="D1673" s="1">
        <v>6.79E7</v>
      </c>
      <c r="E1673" s="1" t="s">
        <v>48</v>
      </c>
      <c r="F1673" s="1" t="s">
        <v>8403</v>
      </c>
      <c r="G1673" s="1" t="s">
        <v>8404</v>
      </c>
      <c r="H1673" s="1" t="s">
        <v>8405</v>
      </c>
      <c r="I1673" s="1">
        <v>74374.0</v>
      </c>
      <c r="J1673" s="1" t="s">
        <v>8406</v>
      </c>
      <c r="K1673" s="1" t="s">
        <v>8407</v>
      </c>
      <c r="L1673" s="1">
        <v>225.0</v>
      </c>
      <c r="M1673" s="1" t="s">
        <v>35</v>
      </c>
      <c r="N1673" s="1" t="s">
        <v>54</v>
      </c>
      <c r="O1673" s="1" t="s">
        <v>87</v>
      </c>
      <c r="P1673" s="1">
        <v>2.75E7</v>
      </c>
      <c r="Q1673" s="1">
        <v>1983.0</v>
      </c>
      <c r="R1673" s="1">
        <v>594.0</v>
      </c>
      <c r="S1673" s="1">
        <v>303.0</v>
      </c>
      <c r="T1673" s="1">
        <v>293.0</v>
      </c>
      <c r="U1673" s="1">
        <v>1898.0</v>
      </c>
      <c r="V1673" s="1">
        <v>46.0</v>
      </c>
      <c r="W1673" s="1">
        <v>0.0</v>
      </c>
      <c r="X1673" s="1">
        <v>0.0</v>
      </c>
      <c r="Y1673" s="1">
        <v>2.35</v>
      </c>
      <c r="Z1673" s="1">
        <v>6.6</v>
      </c>
    </row>
    <row r="1674" ht="14.25" customHeight="1">
      <c r="A1674" s="1" t="s">
        <v>26</v>
      </c>
      <c r="B1674" s="1" t="s">
        <v>3052</v>
      </c>
      <c r="C1674" s="1" t="s">
        <v>8408</v>
      </c>
      <c r="D1674" s="1">
        <v>1.48734225E8</v>
      </c>
      <c r="E1674" s="1" t="s">
        <v>1598</v>
      </c>
      <c r="F1674" s="1" t="s">
        <v>4006</v>
      </c>
      <c r="G1674" s="1" t="s">
        <v>8409</v>
      </c>
      <c r="H1674" s="1" t="s">
        <v>6925</v>
      </c>
      <c r="I1674" s="1">
        <v>298590.0</v>
      </c>
      <c r="J1674" s="1" t="s">
        <v>8410</v>
      </c>
      <c r="K1674" s="1" t="s">
        <v>8411</v>
      </c>
      <c r="L1674" s="1">
        <v>559.0</v>
      </c>
      <c r="M1674" s="1" t="s">
        <v>35</v>
      </c>
      <c r="N1674" s="1" t="s">
        <v>36</v>
      </c>
      <c r="O1674" s="1" t="s">
        <v>628</v>
      </c>
      <c r="P1674" s="1">
        <v>3.0E7</v>
      </c>
      <c r="Q1674" s="1">
        <v>2007.0</v>
      </c>
      <c r="R1674" s="1">
        <v>11000.0</v>
      </c>
      <c r="S1674" s="1">
        <v>985.0</v>
      </c>
      <c r="T1674" s="1">
        <v>529.0</v>
      </c>
      <c r="U1674" s="1">
        <v>12874.0</v>
      </c>
      <c r="V1674" s="1">
        <v>0.0</v>
      </c>
      <c r="W1674" s="1">
        <v>0.0</v>
      </c>
      <c r="X1674" s="1">
        <v>2.0</v>
      </c>
      <c r="Y1674" s="1">
        <v>1.85</v>
      </c>
      <c r="Z1674" s="1">
        <v>7.0</v>
      </c>
    </row>
    <row r="1675" ht="14.25" customHeight="1">
      <c r="A1675" s="1" t="s">
        <v>26</v>
      </c>
      <c r="B1675" s="1" t="s">
        <v>6012</v>
      </c>
      <c r="C1675" s="1" t="s">
        <v>8412</v>
      </c>
      <c r="D1675" s="1">
        <v>4.9185998E7</v>
      </c>
      <c r="E1675" s="1" t="s">
        <v>3238</v>
      </c>
      <c r="F1675" s="1" t="s">
        <v>1530</v>
      </c>
      <c r="G1675" s="1" t="s">
        <v>8413</v>
      </c>
      <c r="H1675" s="1" t="s">
        <v>8414</v>
      </c>
      <c r="I1675" s="1">
        <v>74476.0</v>
      </c>
      <c r="J1675" s="1" t="s">
        <v>8415</v>
      </c>
      <c r="K1675" s="1" t="s">
        <v>8416</v>
      </c>
      <c r="L1675" s="1">
        <v>184.0</v>
      </c>
      <c r="M1675" s="1" t="s">
        <v>35</v>
      </c>
      <c r="N1675" s="1" t="s">
        <v>36</v>
      </c>
      <c r="O1675" s="1" t="s">
        <v>37</v>
      </c>
      <c r="P1675" s="1">
        <v>3.0E7</v>
      </c>
      <c r="Q1675" s="1">
        <v>2009.0</v>
      </c>
      <c r="R1675" s="1">
        <v>673.0</v>
      </c>
      <c r="S1675" s="1">
        <v>489.0</v>
      </c>
      <c r="T1675" s="1">
        <v>228.0</v>
      </c>
      <c r="U1675" s="1">
        <v>1775.0</v>
      </c>
      <c r="V1675" s="1">
        <v>415.0</v>
      </c>
      <c r="W1675" s="1">
        <v>15000.0</v>
      </c>
      <c r="X1675" s="1">
        <v>2.0</v>
      </c>
      <c r="Y1675" s="1">
        <v>2.35</v>
      </c>
      <c r="Z1675" s="1">
        <v>7.4</v>
      </c>
    </row>
    <row r="1676" ht="14.25" customHeight="1">
      <c r="A1676" s="1" t="s">
        <v>26</v>
      </c>
      <c r="B1676" s="1" t="s">
        <v>8417</v>
      </c>
      <c r="C1676" s="1" t="s">
        <v>8418</v>
      </c>
      <c r="D1676" s="1">
        <v>4.2168445E7</v>
      </c>
      <c r="E1676" s="1" t="s">
        <v>1359</v>
      </c>
      <c r="F1676" s="1" t="s">
        <v>5151</v>
      </c>
      <c r="G1676" s="1" t="s">
        <v>4977</v>
      </c>
      <c r="H1676" s="1" t="s">
        <v>769</v>
      </c>
      <c r="I1676" s="1">
        <v>10791.0</v>
      </c>
      <c r="J1676" s="1" t="s">
        <v>8419</v>
      </c>
      <c r="K1676" s="1" t="s">
        <v>8420</v>
      </c>
      <c r="L1676" s="1">
        <v>39.0</v>
      </c>
      <c r="M1676" s="1" t="s">
        <v>35</v>
      </c>
      <c r="N1676" s="1" t="s">
        <v>36</v>
      </c>
      <c r="O1676" s="1" t="s">
        <v>37</v>
      </c>
      <c r="P1676" s="1">
        <v>3.5E7</v>
      </c>
      <c r="Q1676" s="1">
        <v>2008.0</v>
      </c>
      <c r="R1676" s="1">
        <v>940.0</v>
      </c>
      <c r="S1676" s="1">
        <v>706.0</v>
      </c>
      <c r="T1676" s="1">
        <v>436.0</v>
      </c>
      <c r="U1676" s="1">
        <v>3565.0</v>
      </c>
      <c r="V1676" s="1">
        <v>92.0</v>
      </c>
      <c r="W1676" s="1">
        <v>464.0</v>
      </c>
      <c r="X1676" s="1">
        <v>3.0</v>
      </c>
      <c r="Y1676" s="1">
        <v>1.85</v>
      </c>
      <c r="Z1676" s="1">
        <v>5.3</v>
      </c>
    </row>
    <row r="1677" ht="14.25" customHeight="1">
      <c r="A1677" s="1" t="s">
        <v>26</v>
      </c>
      <c r="B1677" s="1" t="s">
        <v>8421</v>
      </c>
      <c r="C1677" s="1" t="s">
        <v>8422</v>
      </c>
      <c r="D1677" s="1">
        <v>2.64E7</v>
      </c>
      <c r="E1677" s="1" t="s">
        <v>3461</v>
      </c>
      <c r="F1677" s="1" t="s">
        <v>8423</v>
      </c>
      <c r="G1677" s="1" t="s">
        <v>7442</v>
      </c>
      <c r="H1677" s="1" t="s">
        <v>860</v>
      </c>
      <c r="I1677" s="1">
        <v>12980.0</v>
      </c>
      <c r="J1677" s="1" t="s">
        <v>8424</v>
      </c>
      <c r="K1677" s="1" t="s">
        <v>8425</v>
      </c>
      <c r="L1677" s="1">
        <v>89.0</v>
      </c>
      <c r="M1677" s="1" t="s">
        <v>35</v>
      </c>
      <c r="N1677" s="1" t="s">
        <v>54</v>
      </c>
      <c r="O1677" s="1" t="s">
        <v>87</v>
      </c>
      <c r="P1677" s="1">
        <v>1.6E7</v>
      </c>
      <c r="Q1677" s="1">
        <v>1984.0</v>
      </c>
      <c r="R1677" s="1">
        <v>358.0</v>
      </c>
      <c r="S1677" s="1">
        <v>223.0</v>
      </c>
      <c r="T1677" s="1">
        <v>162.0</v>
      </c>
      <c r="U1677" s="1">
        <v>1334.0</v>
      </c>
      <c r="V1677" s="1">
        <v>767.0</v>
      </c>
      <c r="W1677" s="1">
        <v>845.0</v>
      </c>
      <c r="X1677" s="1">
        <v>0.0</v>
      </c>
      <c r="Y1677" s="1">
        <v>1.85</v>
      </c>
      <c r="Z1677" s="1">
        <v>7.4</v>
      </c>
    </row>
    <row r="1678" ht="14.25" customHeight="1">
      <c r="A1678" s="1" t="s">
        <v>26</v>
      </c>
      <c r="B1678" s="1" t="s">
        <v>8426</v>
      </c>
      <c r="C1678" s="1" t="s">
        <v>8427</v>
      </c>
      <c r="D1678" s="1">
        <v>1.750867E7</v>
      </c>
      <c r="E1678" s="1" t="s">
        <v>4987</v>
      </c>
      <c r="F1678" s="1" t="s">
        <v>8428</v>
      </c>
      <c r="G1678" s="1" t="s">
        <v>8429</v>
      </c>
      <c r="H1678" s="1" t="s">
        <v>8430</v>
      </c>
      <c r="I1678" s="1">
        <v>64625.0</v>
      </c>
      <c r="J1678" s="1" t="s">
        <v>8431</v>
      </c>
      <c r="K1678" s="1" t="s">
        <v>8432</v>
      </c>
      <c r="L1678" s="1">
        <v>281.0</v>
      </c>
      <c r="M1678" s="1" t="s">
        <v>35</v>
      </c>
      <c r="N1678" s="1" t="s">
        <v>54</v>
      </c>
      <c r="O1678" s="1" t="s">
        <v>628</v>
      </c>
      <c r="P1678" s="1">
        <v>1.5E7</v>
      </c>
      <c r="Q1678" s="1">
        <v>2006.0</v>
      </c>
      <c r="R1678" s="1">
        <v>386.0</v>
      </c>
      <c r="S1678" s="1">
        <v>99.0</v>
      </c>
      <c r="T1678" s="1">
        <v>78.0</v>
      </c>
      <c r="U1678" s="1">
        <v>646.0</v>
      </c>
      <c r="V1678" s="1">
        <v>14.0</v>
      </c>
      <c r="W1678" s="1">
        <v>0.0</v>
      </c>
      <c r="X1678" s="1">
        <v>0.0</v>
      </c>
      <c r="Y1678" s="1">
        <v>1.85</v>
      </c>
      <c r="Z1678" s="1">
        <v>7.4</v>
      </c>
    </row>
    <row r="1679" ht="14.25" customHeight="1">
      <c r="A1679" s="1" t="s">
        <v>26</v>
      </c>
      <c r="B1679" s="1" t="s">
        <v>779</v>
      </c>
      <c r="C1679" s="1" t="s">
        <v>8433</v>
      </c>
      <c r="D1679" s="1">
        <v>9664316.0</v>
      </c>
      <c r="E1679" s="1" t="s">
        <v>3868</v>
      </c>
      <c r="F1679" s="1" t="s">
        <v>74</v>
      </c>
      <c r="G1679" s="1" t="s">
        <v>365</v>
      </c>
      <c r="H1679" s="1" t="s">
        <v>2286</v>
      </c>
      <c r="I1679" s="1">
        <v>47203.0</v>
      </c>
      <c r="J1679" s="1" t="s">
        <v>8434</v>
      </c>
      <c r="K1679" s="1" t="s">
        <v>8435</v>
      </c>
      <c r="L1679" s="1">
        <v>197.0</v>
      </c>
      <c r="M1679" s="1" t="s">
        <v>35</v>
      </c>
      <c r="N1679" s="1" t="s">
        <v>36</v>
      </c>
      <c r="O1679" s="1" t="s">
        <v>628</v>
      </c>
      <c r="P1679" s="1">
        <v>2.75E7</v>
      </c>
      <c r="Q1679" s="1">
        <v>2007.0</v>
      </c>
      <c r="R1679" s="1">
        <v>24000.0</v>
      </c>
      <c r="S1679" s="1">
        <v>15000.0</v>
      </c>
      <c r="T1679" s="1">
        <v>11000.0</v>
      </c>
      <c r="U1679" s="1">
        <v>50950.0</v>
      </c>
      <c r="V1679" s="1">
        <v>151.0</v>
      </c>
      <c r="W1679" s="1">
        <v>0.0</v>
      </c>
      <c r="X1679" s="1">
        <v>2.0</v>
      </c>
      <c r="Y1679" s="1">
        <v>2.35</v>
      </c>
      <c r="Z1679" s="1">
        <v>6.8</v>
      </c>
    </row>
    <row r="1680" ht="14.25" customHeight="1">
      <c r="A1680" s="1" t="s">
        <v>26</v>
      </c>
      <c r="B1680" s="1" t="s">
        <v>8436</v>
      </c>
      <c r="C1680" s="1" t="s">
        <v>8437</v>
      </c>
      <c r="D1680" s="1">
        <v>7.4888996E7</v>
      </c>
      <c r="E1680" s="1" t="s">
        <v>219</v>
      </c>
      <c r="F1680" s="1" t="s">
        <v>992</v>
      </c>
      <c r="G1680" s="1" t="s">
        <v>4236</v>
      </c>
      <c r="H1680" s="1" t="s">
        <v>6835</v>
      </c>
      <c r="I1680" s="1">
        <v>55513.0</v>
      </c>
      <c r="J1680" s="1" t="s">
        <v>8438</v>
      </c>
      <c r="K1680" s="1" t="s">
        <v>8439</v>
      </c>
      <c r="L1680" s="1">
        <v>188.0</v>
      </c>
      <c r="M1680" s="1" t="s">
        <v>35</v>
      </c>
      <c r="N1680" s="1" t="s">
        <v>36</v>
      </c>
      <c r="O1680" s="1" t="s">
        <v>87</v>
      </c>
      <c r="P1680" s="1">
        <v>3.0E7</v>
      </c>
      <c r="Q1680" s="1">
        <v>1991.0</v>
      </c>
      <c r="R1680" s="1">
        <v>12000.0</v>
      </c>
      <c r="S1680" s="1">
        <v>1000.0</v>
      </c>
      <c r="T1680" s="1">
        <v>664.0</v>
      </c>
      <c r="U1680" s="1">
        <v>16230.0</v>
      </c>
      <c r="V1680" s="1">
        <v>120.0</v>
      </c>
      <c r="W1680" s="1">
        <v>0.0</v>
      </c>
      <c r="X1680" s="1">
        <v>0.0</v>
      </c>
      <c r="Y1680" s="1">
        <v>2.35</v>
      </c>
      <c r="Z1680" s="1">
        <v>7.2</v>
      </c>
    </row>
    <row r="1681" ht="14.25" customHeight="1">
      <c r="A1681" s="1" t="s">
        <v>26</v>
      </c>
      <c r="B1681" s="1" t="s">
        <v>8440</v>
      </c>
      <c r="C1681" s="1" t="s">
        <v>8441</v>
      </c>
      <c r="D1681" s="1">
        <v>6.9586544E7</v>
      </c>
      <c r="E1681" s="1" t="s">
        <v>3238</v>
      </c>
      <c r="F1681" s="1" t="s">
        <v>7260</v>
      </c>
      <c r="G1681" s="1" t="s">
        <v>7708</v>
      </c>
      <c r="H1681" s="1" t="s">
        <v>8442</v>
      </c>
      <c r="I1681" s="1">
        <v>15352.0</v>
      </c>
      <c r="J1681" s="1" t="s">
        <v>8443</v>
      </c>
      <c r="K1681" s="1" t="s">
        <v>8444</v>
      </c>
      <c r="L1681" s="1">
        <v>199.0</v>
      </c>
      <c r="M1681" s="1" t="s">
        <v>35</v>
      </c>
      <c r="N1681" s="1" t="s">
        <v>36</v>
      </c>
      <c r="O1681" s="1" t="s">
        <v>37</v>
      </c>
      <c r="P1681" s="1">
        <v>2.7E7</v>
      </c>
      <c r="Q1681" s="1">
        <v>2002.0</v>
      </c>
      <c r="R1681" s="1">
        <v>1000.0</v>
      </c>
      <c r="S1681" s="1">
        <v>482.0</v>
      </c>
      <c r="T1681" s="1">
        <v>477.0</v>
      </c>
      <c r="U1681" s="1">
        <v>3845.0</v>
      </c>
      <c r="V1681" s="1">
        <v>144.0</v>
      </c>
      <c r="W1681" s="1">
        <v>0.0</v>
      </c>
      <c r="X1681" s="1">
        <v>4.0</v>
      </c>
      <c r="Y1681" s="1">
        <v>2.35</v>
      </c>
      <c r="Z1681" s="1">
        <v>6.0</v>
      </c>
    </row>
    <row r="1682" ht="14.25" customHeight="1">
      <c r="A1682" s="1" t="s">
        <v>26</v>
      </c>
      <c r="B1682" s="1" t="s">
        <v>243</v>
      </c>
      <c r="C1682" s="1" t="s">
        <v>532</v>
      </c>
      <c r="D1682" s="1">
        <v>3.62645141E8</v>
      </c>
      <c r="E1682" s="1" t="s">
        <v>533</v>
      </c>
      <c r="F1682" s="1" t="s">
        <v>92</v>
      </c>
      <c r="G1682" s="1" t="s">
        <v>534</v>
      </c>
      <c r="H1682" s="1" t="s">
        <v>535</v>
      </c>
      <c r="I1682" s="1">
        <v>106221.0</v>
      </c>
      <c r="J1682" s="1" t="s">
        <v>536</v>
      </c>
      <c r="K1682" s="1" t="s">
        <v>537</v>
      </c>
      <c r="L1682" s="1">
        <v>398.0</v>
      </c>
      <c r="M1682" s="1" t="s">
        <v>35</v>
      </c>
      <c r="N1682" s="1" t="s">
        <v>54</v>
      </c>
      <c r="O1682" s="1" t="s">
        <v>87</v>
      </c>
      <c r="P1682" s="1">
        <v>1.75E8</v>
      </c>
      <c r="Q1682" s="1">
        <v>2016.0</v>
      </c>
      <c r="R1682" s="1">
        <v>19000.0</v>
      </c>
      <c r="S1682" s="1">
        <v>13000.0</v>
      </c>
      <c r="T1682" s="1">
        <v>591.0</v>
      </c>
      <c r="U1682" s="1">
        <v>32921.0</v>
      </c>
      <c r="V1682" s="1">
        <v>4000.0</v>
      </c>
      <c r="W1682" s="1">
        <v>65000.0</v>
      </c>
      <c r="X1682" s="1">
        <v>0.0</v>
      </c>
      <c r="Y1682" s="1">
        <v>1.85</v>
      </c>
      <c r="Z1682" s="1">
        <v>7.8</v>
      </c>
    </row>
    <row r="1683" ht="14.25" customHeight="1">
      <c r="A1683" s="1" t="s">
        <v>26</v>
      </c>
      <c r="B1683" s="1" t="s">
        <v>4876</v>
      </c>
      <c r="C1683" s="1" t="s">
        <v>8445</v>
      </c>
      <c r="D1683" s="1">
        <v>6.049156E7</v>
      </c>
      <c r="E1683" s="1" t="s">
        <v>2061</v>
      </c>
      <c r="F1683" s="1" t="s">
        <v>451</v>
      </c>
      <c r="G1683" s="1" t="s">
        <v>981</v>
      </c>
      <c r="H1683" s="1" t="s">
        <v>8446</v>
      </c>
      <c r="I1683" s="1">
        <v>50653.0</v>
      </c>
      <c r="J1683" s="1" t="s">
        <v>8447</v>
      </c>
      <c r="K1683" s="1" t="s">
        <v>8448</v>
      </c>
      <c r="L1683" s="1">
        <v>143.0</v>
      </c>
      <c r="M1683" s="1" t="s">
        <v>35</v>
      </c>
      <c r="N1683" s="1" t="s">
        <v>36</v>
      </c>
      <c r="O1683" s="1" t="s">
        <v>628</v>
      </c>
      <c r="P1683" s="1">
        <v>2.7E7</v>
      </c>
      <c r="Q1683" s="1">
        <v>1997.0</v>
      </c>
      <c r="R1683" s="1">
        <v>11000.0</v>
      </c>
      <c r="S1683" s="1">
        <v>956.0</v>
      </c>
      <c r="T1683" s="1">
        <v>685.0</v>
      </c>
      <c r="U1683" s="1">
        <v>14322.0</v>
      </c>
      <c r="V1683" s="1">
        <v>39.0</v>
      </c>
      <c r="W1683" s="1">
        <v>0.0</v>
      </c>
      <c r="X1683" s="1">
        <v>1.0</v>
      </c>
      <c r="Y1683" s="1">
        <v>2.35</v>
      </c>
      <c r="Z1683" s="1">
        <v>6.6</v>
      </c>
    </row>
    <row r="1684" ht="14.25" customHeight="1">
      <c r="A1684" s="1" t="s">
        <v>26</v>
      </c>
      <c r="B1684" s="1" t="s">
        <v>4957</v>
      </c>
      <c r="C1684" s="1" t="s">
        <v>8449</v>
      </c>
      <c r="D1684" s="1">
        <v>5.42E7</v>
      </c>
      <c r="E1684" s="1" t="s">
        <v>8450</v>
      </c>
      <c r="F1684" s="1" t="s">
        <v>8451</v>
      </c>
      <c r="G1684" s="1" t="s">
        <v>8452</v>
      </c>
      <c r="H1684" s="1" t="s">
        <v>8453</v>
      </c>
      <c r="I1684" s="1">
        <v>142448.0</v>
      </c>
      <c r="J1684" s="1" t="s">
        <v>8454</v>
      </c>
      <c r="K1684" s="1" t="s">
        <v>8455</v>
      </c>
      <c r="L1684" s="1">
        <v>319.0</v>
      </c>
      <c r="M1684" s="1" t="s">
        <v>35</v>
      </c>
      <c r="N1684" s="1" t="s">
        <v>36</v>
      </c>
      <c r="O1684" s="1" t="s">
        <v>628</v>
      </c>
      <c r="P1684" s="1">
        <v>2.7E7</v>
      </c>
      <c r="Q1684" s="1">
        <v>1980.0</v>
      </c>
      <c r="R1684" s="1">
        <v>1000.0</v>
      </c>
      <c r="S1684" s="1">
        <v>809.0</v>
      </c>
      <c r="T1684" s="1">
        <v>326.0</v>
      </c>
      <c r="U1684" s="1">
        <v>2566.0</v>
      </c>
      <c r="V1684" s="1">
        <v>644.0</v>
      </c>
      <c r="W1684" s="1">
        <v>14000.0</v>
      </c>
      <c r="X1684" s="1">
        <v>1.0</v>
      </c>
      <c r="Y1684" s="1">
        <v>1.85</v>
      </c>
      <c r="Z1684" s="1">
        <v>7.9</v>
      </c>
    </row>
    <row r="1685" ht="14.25" customHeight="1">
      <c r="A1685" s="1" t="s">
        <v>26</v>
      </c>
      <c r="B1685" s="1" t="s">
        <v>3234</v>
      </c>
      <c r="C1685" s="1" t="s">
        <v>8456</v>
      </c>
      <c r="D1685" s="1">
        <v>3.0920167E7</v>
      </c>
      <c r="E1685" s="1" t="s">
        <v>7157</v>
      </c>
      <c r="F1685" s="1" t="s">
        <v>8457</v>
      </c>
      <c r="G1685" s="1" t="s">
        <v>8458</v>
      </c>
      <c r="H1685" s="1" t="s">
        <v>6245</v>
      </c>
      <c r="I1685" s="1">
        <v>6476.0</v>
      </c>
      <c r="J1685" s="1" t="s">
        <v>8459</v>
      </c>
      <c r="K1685" s="1" t="s">
        <v>8460</v>
      </c>
      <c r="L1685" s="1">
        <v>71.0</v>
      </c>
      <c r="M1685" s="1" t="s">
        <v>35</v>
      </c>
      <c r="N1685" s="1" t="s">
        <v>36</v>
      </c>
      <c r="O1685" s="1" t="s">
        <v>37</v>
      </c>
      <c r="P1685" s="1">
        <v>2.5E7</v>
      </c>
      <c r="Q1685" s="1">
        <v>2012.0</v>
      </c>
      <c r="R1685" s="1">
        <v>1000.0</v>
      </c>
      <c r="S1685" s="1">
        <v>773.0</v>
      </c>
      <c r="T1685" s="1">
        <v>715.0</v>
      </c>
      <c r="U1685" s="1">
        <v>3389.0</v>
      </c>
      <c r="V1685" s="1">
        <v>650.0</v>
      </c>
      <c r="W1685" s="1">
        <v>0.0</v>
      </c>
      <c r="X1685" s="1">
        <v>4.0</v>
      </c>
      <c r="Y1685" s="1">
        <v>2.35</v>
      </c>
      <c r="Z1685" s="1">
        <v>5.7</v>
      </c>
    </row>
    <row r="1686" ht="14.25" customHeight="1">
      <c r="A1686" s="1" t="s">
        <v>26</v>
      </c>
      <c r="B1686" s="1" t="s">
        <v>190</v>
      </c>
      <c r="C1686" s="1" t="s">
        <v>8461</v>
      </c>
      <c r="D1686" s="1">
        <v>4.0566655E7</v>
      </c>
      <c r="E1686" s="1" t="s">
        <v>1359</v>
      </c>
      <c r="F1686" s="1" t="s">
        <v>8462</v>
      </c>
      <c r="G1686" s="1" t="s">
        <v>8463</v>
      </c>
      <c r="H1686" s="1" t="s">
        <v>8464</v>
      </c>
      <c r="I1686" s="1">
        <v>144021.0</v>
      </c>
      <c r="J1686" s="1" t="s">
        <v>8465</v>
      </c>
      <c r="K1686" s="1" t="s">
        <v>8466</v>
      </c>
      <c r="L1686" s="1">
        <v>391.0</v>
      </c>
      <c r="M1686" s="1" t="s">
        <v>35</v>
      </c>
      <c r="N1686" s="1" t="s">
        <v>54</v>
      </c>
      <c r="O1686" s="1" t="s">
        <v>37</v>
      </c>
      <c r="P1686" s="1">
        <v>3.0E7</v>
      </c>
      <c r="Q1686" s="1">
        <v>2002.0</v>
      </c>
      <c r="R1686" s="1">
        <v>66.0</v>
      </c>
      <c r="S1686" s="1">
        <v>5.0</v>
      </c>
      <c r="T1686" s="1">
        <v>3.0</v>
      </c>
      <c r="U1686" s="1">
        <v>74.0</v>
      </c>
      <c r="V1686" s="1">
        <v>129.0</v>
      </c>
      <c r="W1686" s="1">
        <v>0.0</v>
      </c>
      <c r="X1686" s="1">
        <v>0.0</v>
      </c>
      <c r="Y1686" s="1">
        <v>2.35</v>
      </c>
      <c r="Z1686" s="1">
        <v>7.1</v>
      </c>
    </row>
    <row r="1687" ht="14.25" customHeight="1">
      <c r="A1687" s="1" t="s">
        <v>26</v>
      </c>
      <c r="B1687" s="1" t="s">
        <v>6634</v>
      </c>
      <c r="C1687" s="1" t="s">
        <v>8467</v>
      </c>
      <c r="D1687" s="1">
        <v>3.1768374E7</v>
      </c>
      <c r="E1687" s="1" t="s">
        <v>7987</v>
      </c>
      <c r="F1687" s="1" t="s">
        <v>415</v>
      </c>
      <c r="G1687" s="1" t="s">
        <v>3012</v>
      </c>
      <c r="H1687" s="1" t="s">
        <v>8468</v>
      </c>
      <c r="I1687" s="1">
        <v>42761.0</v>
      </c>
      <c r="J1687" s="1" t="s">
        <v>8469</v>
      </c>
      <c r="K1687" s="1" t="s">
        <v>8470</v>
      </c>
      <c r="L1687" s="1">
        <v>366.0</v>
      </c>
      <c r="M1687" s="1" t="s">
        <v>35</v>
      </c>
      <c r="N1687" s="1" t="s">
        <v>36</v>
      </c>
      <c r="O1687" s="1" t="s">
        <v>628</v>
      </c>
      <c r="P1687" s="1">
        <v>2.7E7</v>
      </c>
      <c r="Q1687" s="1">
        <v>1999.0</v>
      </c>
      <c r="R1687" s="1">
        <v>1000.0</v>
      </c>
      <c r="S1687" s="1">
        <v>888.0</v>
      </c>
      <c r="T1687" s="1">
        <v>429.0</v>
      </c>
      <c r="U1687" s="1">
        <v>3313.0</v>
      </c>
      <c r="V1687" s="1">
        <v>49.0</v>
      </c>
      <c r="W1687" s="1">
        <v>2000.0</v>
      </c>
      <c r="X1687" s="1">
        <v>0.0</v>
      </c>
      <c r="Y1687" s="1">
        <v>2.35</v>
      </c>
      <c r="Z1687" s="1">
        <v>5.6</v>
      </c>
    </row>
    <row r="1688" ht="14.25" customHeight="1">
      <c r="A1688" s="1" t="s">
        <v>26</v>
      </c>
      <c r="B1688" s="1" t="s">
        <v>5671</v>
      </c>
      <c r="C1688" s="1" t="s">
        <v>8471</v>
      </c>
      <c r="D1688" s="1">
        <v>2.2494487E7</v>
      </c>
      <c r="E1688" s="1" t="s">
        <v>2061</v>
      </c>
      <c r="F1688" s="1" t="s">
        <v>941</v>
      </c>
      <c r="G1688" s="1" t="s">
        <v>451</v>
      </c>
      <c r="H1688" s="1" t="s">
        <v>2612</v>
      </c>
      <c r="I1688" s="1">
        <v>262153.0</v>
      </c>
      <c r="J1688" s="1" t="s">
        <v>8472</v>
      </c>
      <c r="K1688" s="1" t="s">
        <v>8473</v>
      </c>
      <c r="L1688" s="1">
        <v>507.0</v>
      </c>
      <c r="M1688" s="1" t="s">
        <v>35</v>
      </c>
      <c r="N1688" s="1" t="s">
        <v>730</v>
      </c>
      <c r="O1688" s="1" t="s">
        <v>628</v>
      </c>
      <c r="P1688" s="1">
        <v>2.7E7</v>
      </c>
      <c r="Q1688" s="1">
        <v>2006.0</v>
      </c>
      <c r="R1688" s="1">
        <v>13000.0</v>
      </c>
      <c r="S1688" s="1">
        <v>11000.0</v>
      </c>
      <c r="T1688" s="1">
        <v>1000.0</v>
      </c>
      <c r="U1688" s="1">
        <v>26451.0</v>
      </c>
      <c r="V1688" s="1">
        <v>118.0</v>
      </c>
      <c r="W1688" s="1">
        <v>10000.0</v>
      </c>
      <c r="X1688" s="1">
        <v>3.0</v>
      </c>
      <c r="Y1688" s="1">
        <v>2.35</v>
      </c>
      <c r="Z1688" s="1">
        <v>7.8</v>
      </c>
    </row>
    <row r="1689" ht="14.25" customHeight="1">
      <c r="A1689" s="1" t="s">
        <v>26</v>
      </c>
      <c r="B1689" s="1" t="s">
        <v>8474</v>
      </c>
      <c r="C1689" s="1" t="s">
        <v>8475</v>
      </c>
      <c r="D1689" s="1">
        <v>2.15E7</v>
      </c>
      <c r="E1689" s="1" t="s">
        <v>3461</v>
      </c>
      <c r="F1689" s="1" t="s">
        <v>522</v>
      </c>
      <c r="G1689" s="1" t="s">
        <v>1264</v>
      </c>
      <c r="H1689" s="1" t="s">
        <v>1009</v>
      </c>
      <c r="I1689" s="1">
        <v>45271.0</v>
      </c>
      <c r="J1689" s="1" t="s">
        <v>8476</v>
      </c>
      <c r="K1689" s="1" t="s">
        <v>8477</v>
      </c>
      <c r="L1689" s="1">
        <v>170.0</v>
      </c>
      <c r="M1689" s="1" t="s">
        <v>35</v>
      </c>
      <c r="N1689" s="1" t="s">
        <v>36</v>
      </c>
      <c r="O1689" s="1" t="s">
        <v>87</v>
      </c>
      <c r="P1689" s="1">
        <v>2.7E7</v>
      </c>
      <c r="Q1689" s="1">
        <v>1983.0</v>
      </c>
      <c r="R1689" s="1">
        <v>2000.0</v>
      </c>
      <c r="S1689" s="1">
        <v>826.0</v>
      </c>
      <c r="T1689" s="1">
        <v>820.0</v>
      </c>
      <c r="U1689" s="1">
        <v>6341.0</v>
      </c>
      <c r="V1689" s="1">
        <v>133.0</v>
      </c>
      <c r="W1689" s="1">
        <v>0.0</v>
      </c>
      <c r="X1689" s="1">
        <v>0.0</v>
      </c>
      <c r="Y1689" s="1">
        <v>1.85</v>
      </c>
      <c r="Z1689" s="1">
        <v>7.9</v>
      </c>
    </row>
    <row r="1690" ht="14.25" customHeight="1">
      <c r="A1690" s="1" t="s">
        <v>26</v>
      </c>
      <c r="B1690" s="1" t="s">
        <v>414</v>
      </c>
      <c r="C1690" s="1" t="s">
        <v>8478</v>
      </c>
      <c r="D1690" s="1">
        <v>4463292.0</v>
      </c>
      <c r="E1690" s="1" t="s">
        <v>2676</v>
      </c>
      <c r="F1690" s="1" t="s">
        <v>2429</v>
      </c>
      <c r="G1690" s="1" t="s">
        <v>2063</v>
      </c>
      <c r="H1690" s="1" t="s">
        <v>1085</v>
      </c>
      <c r="I1690" s="1">
        <v>34488.0</v>
      </c>
      <c r="J1690" s="1" t="s">
        <v>8479</v>
      </c>
      <c r="K1690" s="1" t="s">
        <v>8480</v>
      </c>
      <c r="L1690" s="1">
        <v>136.0</v>
      </c>
      <c r="M1690" s="1" t="s">
        <v>35</v>
      </c>
      <c r="N1690" s="1" t="s">
        <v>54</v>
      </c>
      <c r="O1690" s="1" t="s">
        <v>37</v>
      </c>
      <c r="P1690" s="1">
        <v>3.0E7</v>
      </c>
      <c r="Q1690" s="1">
        <v>2011.0</v>
      </c>
      <c r="R1690" s="1">
        <v>898.0</v>
      </c>
      <c r="S1690" s="1">
        <v>584.0</v>
      </c>
      <c r="T1690" s="1">
        <v>358.0</v>
      </c>
      <c r="U1690" s="1">
        <v>2452.0</v>
      </c>
      <c r="V1690" s="1">
        <v>776.0</v>
      </c>
      <c r="W1690" s="1">
        <v>15000.0</v>
      </c>
      <c r="X1690" s="1">
        <v>3.0</v>
      </c>
      <c r="Y1690" s="1">
        <v>2.35</v>
      </c>
      <c r="Z1690" s="1">
        <v>6.9</v>
      </c>
    </row>
    <row r="1691" ht="14.25" customHeight="1">
      <c r="A1691" s="1" t="s">
        <v>26</v>
      </c>
      <c r="B1691" s="1" t="s">
        <v>1002</v>
      </c>
      <c r="C1691" s="1" t="s">
        <v>8481</v>
      </c>
      <c r="D1691" s="1">
        <v>1.4337579E7</v>
      </c>
      <c r="E1691" s="1" t="s">
        <v>8482</v>
      </c>
      <c r="F1691" s="1" t="s">
        <v>1733</v>
      </c>
      <c r="G1691" s="1" t="s">
        <v>183</v>
      </c>
      <c r="H1691" s="1" t="s">
        <v>706</v>
      </c>
      <c r="I1691" s="1">
        <v>156929.0</v>
      </c>
      <c r="J1691" s="1" t="s">
        <v>8483</v>
      </c>
      <c r="K1691" s="1" t="s">
        <v>8484</v>
      </c>
      <c r="L1691" s="1">
        <v>624.0</v>
      </c>
      <c r="M1691" s="1" t="s">
        <v>35</v>
      </c>
      <c r="N1691" s="1" t="s">
        <v>362</v>
      </c>
      <c r="O1691" s="1" t="s">
        <v>628</v>
      </c>
      <c r="P1691" s="1">
        <v>2.7E7</v>
      </c>
      <c r="Q1691" s="1">
        <v>1998.0</v>
      </c>
      <c r="R1691" s="1">
        <v>3000.0</v>
      </c>
      <c r="S1691" s="1">
        <v>882.0</v>
      </c>
      <c r="T1691" s="1">
        <v>531.0</v>
      </c>
      <c r="U1691" s="1">
        <v>4696.0</v>
      </c>
      <c r="V1691" s="1">
        <v>295.0</v>
      </c>
      <c r="W1691" s="1">
        <v>14000.0</v>
      </c>
      <c r="X1691" s="1">
        <v>1.0</v>
      </c>
      <c r="Y1691" s="1">
        <v>2.35</v>
      </c>
      <c r="Z1691" s="1">
        <v>7.7</v>
      </c>
    </row>
    <row r="1692" ht="14.25" customHeight="1">
      <c r="A1692" s="1" t="s">
        <v>26</v>
      </c>
      <c r="B1692" s="1" t="s">
        <v>8485</v>
      </c>
      <c r="C1692" s="1" t="s">
        <v>8486</v>
      </c>
      <c r="D1692" s="1">
        <v>1.3823741E7</v>
      </c>
      <c r="E1692" s="1" t="s">
        <v>5738</v>
      </c>
      <c r="F1692" s="1" t="s">
        <v>693</v>
      </c>
      <c r="G1692" s="1" t="s">
        <v>569</v>
      </c>
      <c r="H1692" s="1" t="s">
        <v>3340</v>
      </c>
      <c r="I1692" s="1">
        <v>61777.0</v>
      </c>
      <c r="J1692" s="1" t="s">
        <v>8487</v>
      </c>
      <c r="K1692" s="1" t="s">
        <v>8488</v>
      </c>
      <c r="L1692" s="1">
        <v>140.0</v>
      </c>
      <c r="M1692" s="1" t="s">
        <v>35</v>
      </c>
      <c r="N1692" s="1" t="s">
        <v>54</v>
      </c>
      <c r="O1692" s="1" t="s">
        <v>37</v>
      </c>
      <c r="P1692" s="1">
        <v>1.35E7</v>
      </c>
      <c r="Q1692" s="1">
        <v>2008.0</v>
      </c>
      <c r="R1692" s="1">
        <v>3000.0</v>
      </c>
      <c r="S1692" s="1">
        <v>2000.0</v>
      </c>
      <c r="T1692" s="1">
        <v>844.0</v>
      </c>
      <c r="U1692" s="1">
        <v>6420.0</v>
      </c>
      <c r="V1692" s="1">
        <v>10.0</v>
      </c>
      <c r="W1692" s="1">
        <v>0.0</v>
      </c>
      <c r="X1692" s="1">
        <v>3.0</v>
      </c>
      <c r="Y1692" s="1">
        <v>2.35</v>
      </c>
      <c r="Z1692" s="1">
        <v>6.9</v>
      </c>
    </row>
    <row r="1693" ht="14.25" customHeight="1">
      <c r="A1693" s="1" t="s">
        <v>26</v>
      </c>
      <c r="B1693" s="1" t="s">
        <v>8489</v>
      </c>
      <c r="C1693" s="1" t="s">
        <v>8490</v>
      </c>
      <c r="D1693" s="1">
        <v>1.0297897E7</v>
      </c>
      <c r="E1693" s="1" t="s">
        <v>8491</v>
      </c>
      <c r="F1693" s="1" t="s">
        <v>637</v>
      </c>
      <c r="G1693" s="1" t="s">
        <v>8492</v>
      </c>
      <c r="H1693" s="1" t="s">
        <v>5221</v>
      </c>
      <c r="I1693" s="1">
        <v>8309.0</v>
      </c>
      <c r="J1693" s="1" t="s">
        <v>8493</v>
      </c>
      <c r="K1693" s="1" t="s">
        <v>8494</v>
      </c>
      <c r="L1693" s="1">
        <v>39.0</v>
      </c>
      <c r="M1693" s="1" t="s">
        <v>35</v>
      </c>
      <c r="N1693" s="1" t="s">
        <v>36</v>
      </c>
      <c r="O1693" s="1" t="s">
        <v>37</v>
      </c>
      <c r="P1693" s="1">
        <v>2.7E7</v>
      </c>
      <c r="Q1693" s="1">
        <v>1998.0</v>
      </c>
      <c r="R1693" s="1">
        <v>11000.0</v>
      </c>
      <c r="S1693" s="1">
        <v>597.0</v>
      </c>
      <c r="T1693" s="1">
        <v>324.0</v>
      </c>
      <c r="U1693" s="1">
        <v>11969.0</v>
      </c>
      <c r="V1693" s="1">
        <v>0.0</v>
      </c>
      <c r="W1693" s="1">
        <v>315.0</v>
      </c>
      <c r="X1693" s="1">
        <v>4.0</v>
      </c>
      <c r="Y1693" s="1">
        <v>2.35</v>
      </c>
      <c r="Z1693" s="1">
        <v>6.0</v>
      </c>
    </row>
    <row r="1694" ht="14.25" customHeight="1">
      <c r="A1694" s="1" t="s">
        <v>26</v>
      </c>
      <c r="B1694" s="1" t="s">
        <v>6414</v>
      </c>
      <c r="C1694" s="1" t="s">
        <v>8495</v>
      </c>
      <c r="D1694" s="1">
        <v>1.3248477E7</v>
      </c>
      <c r="E1694" s="1" t="s">
        <v>2882</v>
      </c>
      <c r="F1694" s="1" t="s">
        <v>631</v>
      </c>
      <c r="G1694" s="1" t="s">
        <v>694</v>
      </c>
      <c r="H1694" s="1" t="s">
        <v>8496</v>
      </c>
      <c r="I1694" s="1">
        <v>60555.0</v>
      </c>
      <c r="J1694" s="1" t="s">
        <v>8497</v>
      </c>
      <c r="K1694" s="1" t="s">
        <v>8498</v>
      </c>
      <c r="L1694" s="1">
        <v>174.0</v>
      </c>
      <c r="M1694" s="1" t="s">
        <v>35</v>
      </c>
      <c r="N1694" s="1" t="s">
        <v>36</v>
      </c>
      <c r="O1694" s="1" t="s">
        <v>628</v>
      </c>
      <c r="P1694" s="1">
        <v>2.7E7</v>
      </c>
      <c r="Q1694" s="1">
        <v>2009.0</v>
      </c>
      <c r="R1694" s="1">
        <v>14000.0</v>
      </c>
      <c r="S1694" s="1">
        <v>716.0</v>
      </c>
      <c r="T1694" s="1">
        <v>355.0</v>
      </c>
      <c r="U1694" s="1">
        <v>15790.0</v>
      </c>
      <c r="V1694" s="1">
        <v>22.0</v>
      </c>
      <c r="W1694" s="1">
        <v>0.0</v>
      </c>
      <c r="X1694" s="1">
        <v>1.0</v>
      </c>
      <c r="Y1694" s="1">
        <v>2.35</v>
      </c>
      <c r="Z1694" s="1">
        <v>6.2</v>
      </c>
    </row>
    <row r="1695" ht="14.25" customHeight="1">
      <c r="A1695" s="1" t="s">
        <v>26</v>
      </c>
      <c r="B1695" s="1" t="s">
        <v>8499</v>
      </c>
      <c r="C1695" s="1" t="s">
        <v>8500</v>
      </c>
      <c r="D1695" s="1">
        <v>8712564.0</v>
      </c>
      <c r="E1695" s="1" t="s">
        <v>2061</v>
      </c>
      <c r="F1695" s="1" t="s">
        <v>135</v>
      </c>
      <c r="G1695" s="1" t="s">
        <v>2068</v>
      </c>
      <c r="H1695" s="1" t="s">
        <v>8501</v>
      </c>
      <c r="I1695" s="1">
        <v>16555.0</v>
      </c>
      <c r="J1695" s="1" t="s">
        <v>8502</v>
      </c>
      <c r="K1695" s="1" t="s">
        <v>8503</v>
      </c>
      <c r="L1695" s="1">
        <v>139.0</v>
      </c>
      <c r="M1695" s="1" t="s">
        <v>35</v>
      </c>
      <c r="N1695" s="1" t="s">
        <v>36</v>
      </c>
      <c r="O1695" s="1" t="s">
        <v>628</v>
      </c>
      <c r="P1695" s="1">
        <v>2.7E7</v>
      </c>
      <c r="Q1695" s="1">
        <v>2004.0</v>
      </c>
      <c r="R1695" s="1">
        <v>748.0</v>
      </c>
      <c r="S1695" s="1">
        <v>489.0</v>
      </c>
      <c r="T1695" s="1">
        <v>398.0</v>
      </c>
      <c r="U1695" s="1">
        <v>1721.0</v>
      </c>
      <c r="V1695" s="1">
        <v>54.0</v>
      </c>
      <c r="W1695" s="1">
        <v>817.0</v>
      </c>
      <c r="X1695" s="1">
        <v>0.0</v>
      </c>
      <c r="Y1695" s="1">
        <v>1.33</v>
      </c>
      <c r="Z1695" s="1">
        <v>5.9</v>
      </c>
    </row>
    <row r="1696" ht="14.25" customHeight="1">
      <c r="A1696" s="1" t="s">
        <v>26</v>
      </c>
      <c r="B1696" s="1" t="s">
        <v>8504</v>
      </c>
      <c r="C1696" s="1" t="s">
        <v>8505</v>
      </c>
      <c r="D1696" s="1">
        <v>7486906.0</v>
      </c>
      <c r="E1696" s="1" t="s">
        <v>3731</v>
      </c>
      <c r="F1696" s="1" t="s">
        <v>415</v>
      </c>
      <c r="G1696" s="1" t="s">
        <v>2838</v>
      </c>
      <c r="H1696" s="1" t="s">
        <v>3922</v>
      </c>
      <c r="I1696" s="1">
        <v>17436.0</v>
      </c>
      <c r="J1696" s="1" t="s">
        <v>8506</v>
      </c>
      <c r="K1696" s="1" t="s">
        <v>8507</v>
      </c>
      <c r="L1696" s="1">
        <v>71.0</v>
      </c>
      <c r="M1696" s="1" t="s">
        <v>35</v>
      </c>
      <c r="N1696" s="1" t="s">
        <v>36</v>
      </c>
      <c r="O1696" s="1" t="s">
        <v>87</v>
      </c>
      <c r="P1696" s="1">
        <v>2.7E7</v>
      </c>
      <c r="Q1696" s="1">
        <v>2007.0</v>
      </c>
      <c r="R1696" s="1">
        <v>1000.0</v>
      </c>
      <c r="S1696" s="1">
        <v>506.0</v>
      </c>
      <c r="T1696" s="1">
        <v>460.0</v>
      </c>
      <c r="U1696" s="1">
        <v>2495.0</v>
      </c>
      <c r="V1696" s="1">
        <v>43.0</v>
      </c>
      <c r="W1696" s="1">
        <v>0.0</v>
      </c>
      <c r="X1696" s="1">
        <v>0.0</v>
      </c>
      <c r="Y1696" s="1">
        <v>1.85</v>
      </c>
      <c r="Z1696" s="1">
        <v>6.8</v>
      </c>
    </row>
    <row r="1697" ht="14.25" customHeight="1">
      <c r="A1697" s="1" t="s">
        <v>26</v>
      </c>
      <c r="B1697" s="1" t="s">
        <v>4632</v>
      </c>
      <c r="C1697" s="1" t="s">
        <v>8508</v>
      </c>
      <c r="D1697" s="1">
        <v>3.8536376E7</v>
      </c>
      <c r="E1697" s="1" t="s">
        <v>2889</v>
      </c>
      <c r="F1697" s="1" t="s">
        <v>5540</v>
      </c>
      <c r="G1697" s="1" t="s">
        <v>5477</v>
      </c>
      <c r="H1697" s="1" t="s">
        <v>66</v>
      </c>
      <c r="I1697" s="1">
        <v>15866.0</v>
      </c>
      <c r="J1697" s="1" t="s">
        <v>8509</v>
      </c>
      <c r="K1697" s="1" t="s">
        <v>8510</v>
      </c>
      <c r="L1697" s="1">
        <v>83.0</v>
      </c>
      <c r="M1697" s="1" t="s">
        <v>35</v>
      </c>
      <c r="N1697" s="1" t="s">
        <v>36</v>
      </c>
      <c r="O1697" s="1" t="s">
        <v>87</v>
      </c>
      <c r="P1697" s="1">
        <v>2.7E7</v>
      </c>
      <c r="Q1697" s="1">
        <v>2011.0</v>
      </c>
      <c r="R1697" s="1">
        <v>2000.0</v>
      </c>
      <c r="S1697" s="1">
        <v>734.0</v>
      </c>
      <c r="T1697" s="1">
        <v>640.0</v>
      </c>
      <c r="U1697" s="1">
        <v>4311.0</v>
      </c>
      <c r="V1697" s="1">
        <v>0.0</v>
      </c>
      <c r="W1697" s="1">
        <v>0.0</v>
      </c>
      <c r="X1697" s="1">
        <v>5.0</v>
      </c>
      <c r="Y1697" s="1">
        <v>1.85</v>
      </c>
      <c r="Z1697" s="1">
        <v>3.6</v>
      </c>
    </row>
    <row r="1698" ht="14.25" customHeight="1">
      <c r="A1698" s="1" t="s">
        <v>26</v>
      </c>
      <c r="B1698" s="1" t="s">
        <v>8511</v>
      </c>
      <c r="C1698" s="1" t="s">
        <v>8512</v>
      </c>
      <c r="D1698" s="1">
        <v>4.1008532E7</v>
      </c>
      <c r="E1698" s="1" t="s">
        <v>2045</v>
      </c>
      <c r="F1698" s="1" t="s">
        <v>1459</v>
      </c>
      <c r="G1698" s="1" t="s">
        <v>3499</v>
      </c>
      <c r="H1698" s="1" t="s">
        <v>582</v>
      </c>
      <c r="I1698" s="1">
        <v>19611.0</v>
      </c>
      <c r="J1698" s="1" t="s">
        <v>8513</v>
      </c>
      <c r="K1698" s="1" t="s">
        <v>8514</v>
      </c>
      <c r="L1698" s="1">
        <v>103.0</v>
      </c>
      <c r="M1698" s="1" t="s">
        <v>35</v>
      </c>
      <c r="N1698" s="1" t="s">
        <v>36</v>
      </c>
      <c r="O1698" s="1" t="s">
        <v>628</v>
      </c>
      <c r="P1698" s="1">
        <v>2.7E7</v>
      </c>
      <c r="Q1698" s="1">
        <v>2016.0</v>
      </c>
      <c r="R1698" s="1">
        <v>8000.0</v>
      </c>
      <c r="S1698" s="1">
        <v>698.0</v>
      </c>
      <c r="T1698" s="1">
        <v>638.0</v>
      </c>
      <c r="U1698" s="1">
        <v>10894.0</v>
      </c>
      <c r="V1698" s="1">
        <v>0.0</v>
      </c>
      <c r="W1698" s="1">
        <v>0.0</v>
      </c>
      <c r="X1698" s="1">
        <v>1.0</v>
      </c>
      <c r="Y1698" s="1">
        <v>2.35</v>
      </c>
      <c r="Z1698" s="1">
        <v>6.7</v>
      </c>
    </row>
    <row r="1699" ht="14.25" customHeight="1">
      <c r="A1699" s="1" t="s">
        <v>26</v>
      </c>
      <c r="B1699" s="1" t="s">
        <v>7213</v>
      </c>
      <c r="C1699" s="1" t="s">
        <v>8515</v>
      </c>
      <c r="D1699" s="1">
        <v>5204007.0</v>
      </c>
      <c r="E1699" s="1" t="s">
        <v>408</v>
      </c>
      <c r="F1699" s="1" t="s">
        <v>3593</v>
      </c>
      <c r="G1699" s="1" t="s">
        <v>8516</v>
      </c>
      <c r="H1699" s="1" t="s">
        <v>8517</v>
      </c>
      <c r="I1699" s="1">
        <v>42876.0</v>
      </c>
      <c r="J1699" s="1" t="s">
        <v>8518</v>
      </c>
      <c r="K1699" s="1" t="s">
        <v>8519</v>
      </c>
      <c r="L1699" s="1">
        <v>167.0</v>
      </c>
      <c r="M1699" s="1" t="s">
        <v>35</v>
      </c>
      <c r="N1699" s="1" t="s">
        <v>54</v>
      </c>
      <c r="O1699" s="1" t="s">
        <v>628</v>
      </c>
      <c r="P1699" s="1">
        <v>2.8E7</v>
      </c>
      <c r="Q1699" s="1">
        <v>2001.0</v>
      </c>
      <c r="R1699" s="1">
        <v>783.0</v>
      </c>
      <c r="S1699" s="1">
        <v>132.0</v>
      </c>
      <c r="T1699" s="1">
        <v>57.0</v>
      </c>
      <c r="U1699" s="1">
        <v>1044.0</v>
      </c>
      <c r="V1699" s="1">
        <v>31.0</v>
      </c>
      <c r="W1699" s="1">
        <v>0.0</v>
      </c>
      <c r="X1699" s="1">
        <v>2.0</v>
      </c>
      <c r="Y1699" s="1">
        <v>2.35</v>
      </c>
      <c r="Z1699" s="1">
        <v>6.3</v>
      </c>
    </row>
    <row r="1700" ht="14.25" customHeight="1">
      <c r="A1700" s="1" t="s">
        <v>26</v>
      </c>
      <c r="B1700" s="1" t="s">
        <v>1268</v>
      </c>
      <c r="C1700" s="1" t="s">
        <v>8520</v>
      </c>
      <c r="D1700" s="1">
        <v>4485485.0</v>
      </c>
      <c r="E1700" s="1" t="s">
        <v>8521</v>
      </c>
      <c r="F1700" s="1" t="s">
        <v>1663</v>
      </c>
      <c r="G1700" s="1" t="s">
        <v>662</v>
      </c>
      <c r="H1700" s="1" t="s">
        <v>582</v>
      </c>
      <c r="I1700" s="1">
        <v>14612.0</v>
      </c>
      <c r="J1700" s="1" t="s">
        <v>8522</v>
      </c>
      <c r="K1700" s="1" t="s">
        <v>8523</v>
      </c>
      <c r="L1700" s="1">
        <v>105.0</v>
      </c>
      <c r="M1700" s="1" t="s">
        <v>35</v>
      </c>
      <c r="N1700" s="1" t="s">
        <v>36</v>
      </c>
      <c r="O1700" s="1" t="s">
        <v>628</v>
      </c>
      <c r="P1700" s="1">
        <v>1.5E7</v>
      </c>
      <c r="Q1700" s="1">
        <v>1999.0</v>
      </c>
      <c r="R1700" s="1">
        <v>22000.0</v>
      </c>
      <c r="S1700" s="1">
        <v>22000.0</v>
      </c>
      <c r="T1700" s="1">
        <v>638.0</v>
      </c>
      <c r="U1700" s="1">
        <v>46022.0</v>
      </c>
      <c r="V1700" s="1">
        <v>541.0</v>
      </c>
      <c r="W1700" s="1">
        <v>0.0</v>
      </c>
      <c r="X1700" s="1">
        <v>1.0</v>
      </c>
      <c r="Y1700" s="1">
        <v>1.85</v>
      </c>
      <c r="Z1700" s="1">
        <v>6.4</v>
      </c>
    </row>
    <row r="1701" ht="14.25" customHeight="1">
      <c r="A1701" s="1" t="s">
        <v>26</v>
      </c>
      <c r="B1701" s="1" t="s">
        <v>1985</v>
      </c>
      <c r="C1701" s="1" t="s">
        <v>8524</v>
      </c>
      <c r="D1701" s="1">
        <v>4476235.0</v>
      </c>
      <c r="E1701" s="1" t="s">
        <v>7338</v>
      </c>
      <c r="F1701" s="1" t="s">
        <v>2040</v>
      </c>
      <c r="G1701" s="1" t="s">
        <v>373</v>
      </c>
      <c r="H1701" s="1" t="s">
        <v>8525</v>
      </c>
      <c r="I1701" s="1">
        <v>49405.0</v>
      </c>
      <c r="J1701" s="1" t="s">
        <v>8526</v>
      </c>
      <c r="K1701" s="1" t="s">
        <v>8527</v>
      </c>
      <c r="L1701" s="1">
        <v>226.0</v>
      </c>
      <c r="M1701" s="1" t="s">
        <v>35</v>
      </c>
      <c r="N1701" s="1" t="s">
        <v>36</v>
      </c>
      <c r="O1701" s="1" t="s">
        <v>628</v>
      </c>
      <c r="P1701" s="1">
        <v>2.7E7</v>
      </c>
      <c r="Q1701" s="1">
        <v>2004.0</v>
      </c>
      <c r="R1701" s="1">
        <v>1000.0</v>
      </c>
      <c r="S1701" s="1">
        <v>968.0</v>
      </c>
      <c r="T1701" s="1">
        <v>749.0</v>
      </c>
      <c r="U1701" s="1">
        <v>4186.0</v>
      </c>
      <c r="V1701" s="1">
        <v>212.0</v>
      </c>
      <c r="W1701" s="1">
        <v>2000.0</v>
      </c>
      <c r="X1701" s="1">
        <v>0.0</v>
      </c>
      <c r="Y1701" s="1">
        <v>2.35</v>
      </c>
      <c r="Z1701" s="1">
        <v>6.4</v>
      </c>
    </row>
    <row r="1702" ht="14.25" customHeight="1">
      <c r="A1702" s="1" t="s">
        <v>26</v>
      </c>
      <c r="B1702" s="1" t="s">
        <v>2962</v>
      </c>
      <c r="C1702" s="1" t="s">
        <v>8528</v>
      </c>
      <c r="D1702" s="1">
        <v>1089365.0</v>
      </c>
      <c r="E1702" s="1" t="s">
        <v>2422</v>
      </c>
      <c r="F1702" s="1" t="s">
        <v>1663</v>
      </c>
      <c r="G1702" s="1" t="s">
        <v>423</v>
      </c>
      <c r="H1702" s="1" t="s">
        <v>544</v>
      </c>
      <c r="I1702" s="1">
        <v>23767.0</v>
      </c>
      <c r="J1702" s="1" t="s">
        <v>8529</v>
      </c>
      <c r="K1702" s="1" t="s">
        <v>8530</v>
      </c>
      <c r="L1702" s="1">
        <v>111.0</v>
      </c>
      <c r="M1702" s="1" t="s">
        <v>35</v>
      </c>
      <c r="N1702" s="1" t="s">
        <v>36</v>
      </c>
      <c r="O1702" s="1" t="s">
        <v>628</v>
      </c>
      <c r="P1702" s="1">
        <v>2.5E7</v>
      </c>
      <c r="Q1702" s="1">
        <v>2008.0</v>
      </c>
      <c r="R1702" s="1">
        <v>22000.0</v>
      </c>
      <c r="S1702" s="1">
        <v>18000.0</v>
      </c>
      <c r="T1702" s="1">
        <v>17000.0</v>
      </c>
      <c r="U1702" s="1">
        <v>71973.0</v>
      </c>
      <c r="V1702" s="1">
        <v>272.0</v>
      </c>
      <c r="W1702" s="1">
        <v>845.0</v>
      </c>
      <c r="X1702" s="1">
        <v>1.0</v>
      </c>
      <c r="Y1702" s="1">
        <v>2.35</v>
      </c>
      <c r="Z1702" s="1">
        <v>5.7</v>
      </c>
    </row>
    <row r="1703" ht="14.25" customHeight="1">
      <c r="A1703" s="1" t="s">
        <v>710</v>
      </c>
      <c r="B1703" s="1" t="s">
        <v>6567</v>
      </c>
      <c r="C1703" s="1" t="s">
        <v>8531</v>
      </c>
      <c r="D1703" s="1">
        <v>763044.0</v>
      </c>
      <c r="E1703" s="1" t="s">
        <v>3868</v>
      </c>
      <c r="F1703" s="1" t="s">
        <v>3340</v>
      </c>
      <c r="G1703" s="1" t="s">
        <v>928</v>
      </c>
      <c r="H1703" s="1" t="s">
        <v>8532</v>
      </c>
      <c r="I1703" s="1">
        <v>4257.0</v>
      </c>
      <c r="J1703" s="1" t="s">
        <v>8533</v>
      </c>
      <c r="K1703" s="1" t="s">
        <v>8534</v>
      </c>
      <c r="L1703" s="1">
        <v>52.0</v>
      </c>
      <c r="M1703" s="1" t="s">
        <v>35</v>
      </c>
      <c r="N1703" s="1" t="s">
        <v>260</v>
      </c>
      <c r="O1703" s="1" t="s">
        <v>628</v>
      </c>
      <c r="P1703" s="1">
        <v>2.3E7</v>
      </c>
      <c r="Q1703" s="1">
        <v>2003.0</v>
      </c>
      <c r="R1703" s="1">
        <v>844.0</v>
      </c>
      <c r="S1703" s="1">
        <v>766.0</v>
      </c>
      <c r="T1703" s="1">
        <v>387.0</v>
      </c>
      <c r="U1703" s="1">
        <v>3286.0</v>
      </c>
      <c r="V1703" s="1">
        <v>278.0</v>
      </c>
      <c r="W1703" s="1">
        <v>188.0</v>
      </c>
      <c r="X1703" s="1">
        <v>4.0</v>
      </c>
      <c r="Y1703" s="1">
        <v>1.85</v>
      </c>
      <c r="Z1703" s="1">
        <v>6.2</v>
      </c>
    </row>
    <row r="1704" ht="14.25" customHeight="1">
      <c r="A1704" s="1" t="s">
        <v>26</v>
      </c>
      <c r="B1704" s="1" t="s">
        <v>3067</v>
      </c>
      <c r="C1704" s="1" t="s">
        <v>8535</v>
      </c>
      <c r="D1704" s="1">
        <v>2.0819129E7</v>
      </c>
      <c r="E1704" s="1" t="s">
        <v>1670</v>
      </c>
      <c r="F1704" s="1" t="s">
        <v>1630</v>
      </c>
      <c r="G1704" s="1" t="s">
        <v>8536</v>
      </c>
      <c r="H1704" s="1" t="s">
        <v>2871</v>
      </c>
      <c r="I1704" s="1">
        <v>84209.0</v>
      </c>
      <c r="J1704" s="1" t="s">
        <v>8537</v>
      </c>
      <c r="K1704" s="1" t="s">
        <v>8538</v>
      </c>
      <c r="L1704" s="1">
        <v>201.0</v>
      </c>
      <c r="M1704" s="1" t="s">
        <v>35</v>
      </c>
      <c r="N1704" s="1" t="s">
        <v>36</v>
      </c>
      <c r="O1704" s="1" t="s">
        <v>87</v>
      </c>
      <c r="P1704" s="1">
        <v>2.6E7</v>
      </c>
      <c r="Q1704" s="1">
        <v>2009.0</v>
      </c>
      <c r="R1704" s="1">
        <v>567.0</v>
      </c>
      <c r="S1704" s="1">
        <v>402.0</v>
      </c>
      <c r="T1704" s="1">
        <v>328.0</v>
      </c>
      <c r="U1704" s="1">
        <v>2954.0</v>
      </c>
      <c r="V1704" s="1">
        <v>41.0</v>
      </c>
      <c r="W1704" s="1">
        <v>0.0</v>
      </c>
      <c r="X1704" s="1">
        <v>1.0</v>
      </c>
      <c r="Y1704" s="1">
        <v>1.85</v>
      </c>
      <c r="Z1704" s="1">
        <v>5.2</v>
      </c>
    </row>
    <row r="1705" ht="14.25" customHeight="1">
      <c r="A1705" s="1" t="s">
        <v>26</v>
      </c>
      <c r="B1705" s="1" t="s">
        <v>1961</v>
      </c>
      <c r="C1705" s="1" t="s">
        <v>8539</v>
      </c>
      <c r="D1705" s="1">
        <v>1.10222438E8</v>
      </c>
      <c r="E1705" s="1" t="s">
        <v>8540</v>
      </c>
      <c r="F1705" s="1" t="s">
        <v>1651</v>
      </c>
      <c r="G1705" s="1" t="s">
        <v>8541</v>
      </c>
      <c r="H1705" s="1" t="s">
        <v>4225</v>
      </c>
      <c r="I1705" s="1">
        <v>96693.0</v>
      </c>
      <c r="J1705" s="1" t="s">
        <v>8542</v>
      </c>
      <c r="K1705" s="1" t="s">
        <v>8543</v>
      </c>
      <c r="L1705" s="1">
        <v>271.0</v>
      </c>
      <c r="M1705" s="1" t="s">
        <v>35</v>
      </c>
      <c r="N1705" s="1" t="s">
        <v>36</v>
      </c>
      <c r="O1705" s="1" t="s">
        <v>87</v>
      </c>
      <c r="P1705" s="1">
        <v>2.6E7</v>
      </c>
      <c r="Q1705" s="1">
        <v>2003.0</v>
      </c>
      <c r="R1705" s="1">
        <v>2000.0</v>
      </c>
      <c r="S1705" s="1">
        <v>528.0</v>
      </c>
      <c r="T1705" s="1">
        <v>512.0</v>
      </c>
      <c r="U1705" s="1">
        <v>3984.0</v>
      </c>
      <c r="V1705" s="1">
        <v>70.0</v>
      </c>
      <c r="W1705" s="1">
        <v>0.0</v>
      </c>
      <c r="X1705" s="1">
        <v>2.0</v>
      </c>
      <c r="Y1705" s="1">
        <v>1.85</v>
      </c>
      <c r="Z1705" s="1">
        <v>6.1</v>
      </c>
    </row>
    <row r="1706" ht="14.25" customHeight="1">
      <c r="A1706" s="1" t="s">
        <v>26</v>
      </c>
      <c r="B1706" s="1" t="s">
        <v>3052</v>
      </c>
      <c r="C1706" s="1" t="s">
        <v>8544</v>
      </c>
      <c r="D1706" s="1">
        <v>1.09243478E8</v>
      </c>
      <c r="E1706" s="1" t="s">
        <v>1598</v>
      </c>
      <c r="F1706" s="1" t="s">
        <v>503</v>
      </c>
      <c r="G1706" s="1" t="s">
        <v>3699</v>
      </c>
      <c r="H1706" s="1" t="s">
        <v>8545</v>
      </c>
      <c r="I1706" s="1">
        <v>313797.0</v>
      </c>
      <c r="J1706" s="1" t="s">
        <v>8546</v>
      </c>
      <c r="K1706" s="1" t="s">
        <v>8547</v>
      </c>
      <c r="L1706" s="1">
        <v>546.0</v>
      </c>
      <c r="M1706" s="1" t="s">
        <v>35</v>
      </c>
      <c r="N1706" s="1" t="s">
        <v>36</v>
      </c>
      <c r="O1706" s="1" t="s">
        <v>628</v>
      </c>
      <c r="P1706" s="1">
        <v>2.6E7</v>
      </c>
      <c r="Q1706" s="1">
        <v>2005.0</v>
      </c>
      <c r="R1706" s="1">
        <v>7000.0</v>
      </c>
      <c r="S1706" s="1">
        <v>966.0</v>
      </c>
      <c r="T1706" s="1">
        <v>218.0</v>
      </c>
      <c r="U1706" s="1">
        <v>8341.0</v>
      </c>
      <c r="V1706" s="1">
        <v>0.0</v>
      </c>
      <c r="W1706" s="1">
        <v>0.0</v>
      </c>
      <c r="X1706" s="1">
        <v>1.0</v>
      </c>
      <c r="Y1706" s="1">
        <v>1.85</v>
      </c>
      <c r="Z1706" s="1">
        <v>7.1</v>
      </c>
    </row>
    <row r="1707" ht="14.25" customHeight="1">
      <c r="A1707" s="1" t="s">
        <v>26</v>
      </c>
      <c r="B1707" s="1" t="s">
        <v>4291</v>
      </c>
      <c r="C1707" s="1" t="s">
        <v>8548</v>
      </c>
      <c r="D1707" s="1">
        <v>1.00241322E8</v>
      </c>
      <c r="E1707" s="1" t="s">
        <v>1359</v>
      </c>
      <c r="F1707" s="1" t="s">
        <v>130</v>
      </c>
      <c r="G1707" s="1" t="s">
        <v>8549</v>
      </c>
      <c r="H1707" s="1" t="s">
        <v>8550</v>
      </c>
      <c r="I1707" s="1">
        <v>175524.0</v>
      </c>
      <c r="J1707" s="1" t="s">
        <v>8551</v>
      </c>
      <c r="K1707" s="1" t="s">
        <v>8552</v>
      </c>
      <c r="L1707" s="1">
        <v>752.0</v>
      </c>
      <c r="M1707" s="1" t="s">
        <v>35</v>
      </c>
      <c r="N1707" s="1" t="s">
        <v>36</v>
      </c>
      <c r="O1707" s="1" t="s">
        <v>628</v>
      </c>
      <c r="P1707" s="1">
        <v>2.5E7</v>
      </c>
      <c r="Q1707" s="1">
        <v>1998.0</v>
      </c>
      <c r="R1707" s="1">
        <v>1000.0</v>
      </c>
      <c r="S1707" s="1">
        <v>264.0</v>
      </c>
      <c r="T1707" s="1">
        <v>239.0</v>
      </c>
      <c r="U1707" s="1">
        <v>1690.0</v>
      </c>
      <c r="V1707" s="1">
        <v>108.0</v>
      </c>
      <c r="W1707" s="1">
        <v>0.0</v>
      </c>
      <c r="X1707" s="1">
        <v>0.0</v>
      </c>
      <c r="Y1707" s="1">
        <v>2.35</v>
      </c>
      <c r="Z1707" s="1">
        <v>7.2</v>
      </c>
    </row>
    <row r="1708" ht="14.25" customHeight="1">
      <c r="A1708" s="1" t="s">
        <v>26</v>
      </c>
      <c r="B1708" s="1" t="s">
        <v>8553</v>
      </c>
      <c r="C1708" s="1" t="s">
        <v>8554</v>
      </c>
      <c r="D1708" s="1">
        <v>2.5977365E7</v>
      </c>
      <c r="E1708" s="1" t="s">
        <v>2061</v>
      </c>
      <c r="F1708" s="1" t="s">
        <v>220</v>
      </c>
      <c r="G1708" s="1" t="s">
        <v>8555</v>
      </c>
      <c r="H1708" s="1" t="s">
        <v>8556</v>
      </c>
      <c r="I1708" s="1">
        <v>87950.0</v>
      </c>
      <c r="J1708" s="1" t="s">
        <v>8557</v>
      </c>
      <c r="K1708" s="1" t="s">
        <v>8558</v>
      </c>
      <c r="L1708" s="1">
        <v>207.0</v>
      </c>
      <c r="M1708" s="1" t="s">
        <v>35</v>
      </c>
      <c r="N1708" s="1" t="s">
        <v>36</v>
      </c>
      <c r="O1708" s="1" t="s">
        <v>628</v>
      </c>
      <c r="P1708" s="1">
        <v>2.8E7</v>
      </c>
      <c r="Q1708" s="1">
        <v>2014.0</v>
      </c>
      <c r="R1708" s="1">
        <v>14000.0</v>
      </c>
      <c r="S1708" s="1">
        <v>439.0</v>
      </c>
      <c r="T1708" s="1">
        <v>313.0</v>
      </c>
      <c r="U1708" s="1">
        <v>15428.0</v>
      </c>
      <c r="V1708" s="1">
        <v>71.0</v>
      </c>
      <c r="W1708" s="1">
        <v>15000.0</v>
      </c>
      <c r="X1708" s="1">
        <v>0.0</v>
      </c>
      <c r="Y1708" s="1">
        <v>2.35</v>
      </c>
      <c r="Z1708" s="1">
        <v>6.5</v>
      </c>
    </row>
    <row r="1709" ht="14.25" customHeight="1">
      <c r="A1709" s="1" t="s">
        <v>26</v>
      </c>
      <c r="B1709" s="1" t="s">
        <v>2580</v>
      </c>
      <c r="C1709" s="1" t="s">
        <v>8559</v>
      </c>
      <c r="D1709" s="1">
        <v>9.1457688E7</v>
      </c>
      <c r="E1709" s="1" t="s">
        <v>1670</v>
      </c>
      <c r="F1709" s="1" t="s">
        <v>2696</v>
      </c>
      <c r="G1709" s="1" t="s">
        <v>4062</v>
      </c>
      <c r="H1709" s="1" t="s">
        <v>4057</v>
      </c>
      <c r="I1709" s="1">
        <v>107801.0</v>
      </c>
      <c r="J1709" s="1" t="s">
        <v>8560</v>
      </c>
      <c r="K1709" s="1" t="s">
        <v>8561</v>
      </c>
      <c r="L1709" s="1">
        <v>109.0</v>
      </c>
      <c r="M1709" s="1" t="s">
        <v>35</v>
      </c>
      <c r="N1709" s="1" t="s">
        <v>36</v>
      </c>
      <c r="O1709" s="1" t="s">
        <v>37</v>
      </c>
      <c r="P1709" s="1">
        <v>2.6E7</v>
      </c>
      <c r="Q1709" s="1">
        <v>1990.0</v>
      </c>
      <c r="R1709" s="1">
        <v>743.0</v>
      </c>
      <c r="S1709" s="1">
        <v>394.0</v>
      </c>
      <c r="T1709" s="1">
        <v>344.0</v>
      </c>
      <c r="U1709" s="1">
        <v>2403.0</v>
      </c>
      <c r="V1709" s="1">
        <v>425.0</v>
      </c>
      <c r="W1709" s="1">
        <v>0.0</v>
      </c>
      <c r="X1709" s="1">
        <v>4.0</v>
      </c>
      <c r="Y1709" s="1">
        <v>1.85</v>
      </c>
      <c r="Z1709" s="1">
        <v>6.0</v>
      </c>
    </row>
    <row r="1710" ht="14.25" customHeight="1">
      <c r="A1710" s="1" t="s">
        <v>26</v>
      </c>
      <c r="B1710" s="1" t="s">
        <v>5119</v>
      </c>
      <c r="C1710" s="1" t="s">
        <v>8562</v>
      </c>
      <c r="D1710" s="1">
        <v>8.734138E7</v>
      </c>
      <c r="E1710" s="1" t="s">
        <v>1670</v>
      </c>
      <c r="F1710" s="1" t="s">
        <v>75</v>
      </c>
      <c r="G1710" s="1" t="s">
        <v>3064</v>
      </c>
      <c r="H1710" s="1" t="s">
        <v>1906</v>
      </c>
      <c r="I1710" s="1">
        <v>255257.0</v>
      </c>
      <c r="J1710" s="1" t="s">
        <v>8563</v>
      </c>
      <c r="K1710" s="1" t="s">
        <v>8564</v>
      </c>
      <c r="L1710" s="1">
        <v>374.0</v>
      </c>
      <c r="M1710" s="1" t="s">
        <v>35</v>
      </c>
      <c r="N1710" s="1" t="s">
        <v>36</v>
      </c>
      <c r="O1710" s="1" t="s">
        <v>628</v>
      </c>
      <c r="P1710" s="1">
        <v>2.7E7</v>
      </c>
      <c r="Q1710" s="1">
        <v>2008.0</v>
      </c>
      <c r="R1710" s="1">
        <v>11000.0</v>
      </c>
      <c r="S1710" s="1">
        <v>989.0</v>
      </c>
      <c r="T1710" s="1">
        <v>919.0</v>
      </c>
      <c r="U1710" s="1">
        <v>15590.0</v>
      </c>
      <c r="V1710" s="1">
        <v>234.0</v>
      </c>
      <c r="W1710" s="1">
        <v>0.0</v>
      </c>
      <c r="X1710" s="1">
        <v>3.0</v>
      </c>
      <c r="Y1710" s="1">
        <v>2.35</v>
      </c>
      <c r="Z1710" s="1">
        <v>7.0</v>
      </c>
    </row>
    <row r="1711" ht="14.25" customHeight="1">
      <c r="A1711" s="1" t="s">
        <v>26</v>
      </c>
      <c r="B1711" s="1" t="s">
        <v>2976</v>
      </c>
      <c r="C1711" s="1" t="s">
        <v>8565</v>
      </c>
      <c r="D1711" s="1">
        <v>6.5703412E7</v>
      </c>
      <c r="E1711" s="1" t="s">
        <v>1359</v>
      </c>
      <c r="F1711" s="1" t="s">
        <v>3774</v>
      </c>
      <c r="G1711" s="1" t="s">
        <v>1286</v>
      </c>
      <c r="H1711" s="1" t="s">
        <v>8566</v>
      </c>
      <c r="I1711" s="1">
        <v>57958.0</v>
      </c>
      <c r="J1711" s="1" t="s">
        <v>8567</v>
      </c>
      <c r="K1711" s="1" t="s">
        <v>8568</v>
      </c>
      <c r="L1711" s="1">
        <v>345.0</v>
      </c>
      <c r="M1711" s="1" t="s">
        <v>35</v>
      </c>
      <c r="N1711" s="1" t="s">
        <v>36</v>
      </c>
      <c r="O1711" s="1" t="s">
        <v>37</v>
      </c>
      <c r="P1711" s="1">
        <v>2.6E7</v>
      </c>
      <c r="Q1711" s="1">
        <v>1998.0</v>
      </c>
      <c r="R1711" s="1">
        <v>1000.0</v>
      </c>
      <c r="S1711" s="1">
        <v>794.0</v>
      </c>
      <c r="T1711" s="1">
        <v>343.0</v>
      </c>
      <c r="U1711" s="1">
        <v>2747.0</v>
      </c>
      <c r="V1711" s="1">
        <v>72.0</v>
      </c>
      <c r="W1711" s="1">
        <v>0.0</v>
      </c>
      <c r="X1711" s="1">
        <v>1.0</v>
      </c>
      <c r="Y1711" s="1">
        <v>2.35</v>
      </c>
      <c r="Z1711" s="1">
        <v>7.0</v>
      </c>
    </row>
    <row r="1712" ht="14.25" customHeight="1">
      <c r="A1712" s="1" t="s">
        <v>26</v>
      </c>
      <c r="B1712" s="1" t="s">
        <v>2716</v>
      </c>
      <c r="C1712" s="1" t="s">
        <v>8569</v>
      </c>
      <c r="D1712" s="1">
        <v>5.832868E7</v>
      </c>
      <c r="E1712" s="1" t="s">
        <v>3836</v>
      </c>
      <c r="F1712" s="1" t="s">
        <v>1606</v>
      </c>
      <c r="G1712" s="1" t="s">
        <v>1951</v>
      </c>
      <c r="H1712" s="1" t="s">
        <v>7441</v>
      </c>
      <c r="I1712" s="1">
        <v>54096.0</v>
      </c>
      <c r="J1712" s="1" t="s">
        <v>8570</v>
      </c>
      <c r="K1712" s="1" t="s">
        <v>8571</v>
      </c>
      <c r="L1712" s="1">
        <v>494.0</v>
      </c>
      <c r="M1712" s="1" t="s">
        <v>35</v>
      </c>
      <c r="N1712" s="1" t="s">
        <v>36</v>
      </c>
      <c r="O1712" s="1" t="s">
        <v>628</v>
      </c>
      <c r="P1712" s="1">
        <v>2.2E7</v>
      </c>
      <c r="Q1712" s="1">
        <v>2003.0</v>
      </c>
      <c r="R1712" s="1">
        <v>3000.0</v>
      </c>
      <c r="S1712" s="1">
        <v>693.0</v>
      </c>
      <c r="T1712" s="1">
        <v>648.0</v>
      </c>
      <c r="U1712" s="1">
        <v>5458.0</v>
      </c>
      <c r="V1712" s="1">
        <v>0.0</v>
      </c>
      <c r="W1712" s="1">
        <v>0.0</v>
      </c>
      <c r="X1712" s="1">
        <v>0.0</v>
      </c>
      <c r="Y1712" s="1">
        <v>2.35</v>
      </c>
      <c r="Z1712" s="1">
        <v>7.5</v>
      </c>
    </row>
    <row r="1713" ht="14.25" customHeight="1">
      <c r="A1713" s="1" t="s">
        <v>26</v>
      </c>
      <c r="B1713" s="1" t="s">
        <v>1268</v>
      </c>
      <c r="C1713" s="1" t="s">
        <v>8572</v>
      </c>
      <c r="D1713" s="1">
        <v>6.149E7</v>
      </c>
      <c r="E1713" s="1" t="s">
        <v>3448</v>
      </c>
      <c r="F1713" s="1" t="s">
        <v>1459</v>
      </c>
      <c r="G1713" s="1" t="s">
        <v>415</v>
      </c>
      <c r="H1713" s="1" t="s">
        <v>7541</v>
      </c>
      <c r="I1713" s="1">
        <v>62037.0</v>
      </c>
      <c r="J1713" s="1" t="s">
        <v>8573</v>
      </c>
      <c r="K1713" s="1" t="s">
        <v>8574</v>
      </c>
      <c r="L1713" s="1">
        <v>148.0</v>
      </c>
      <c r="M1713" s="1" t="s">
        <v>35</v>
      </c>
      <c r="N1713" s="1" t="s">
        <v>36</v>
      </c>
      <c r="O1713" s="1" t="s">
        <v>628</v>
      </c>
      <c r="P1713" s="1">
        <v>2.6E7</v>
      </c>
      <c r="Q1713" s="1">
        <v>1990.0</v>
      </c>
      <c r="R1713" s="1">
        <v>8000.0</v>
      </c>
      <c r="S1713" s="1">
        <v>1000.0</v>
      </c>
      <c r="T1713" s="1">
        <v>442.0</v>
      </c>
      <c r="U1713" s="1">
        <v>10493.0</v>
      </c>
      <c r="V1713" s="1">
        <v>541.0</v>
      </c>
      <c r="W1713" s="1">
        <v>0.0</v>
      </c>
      <c r="X1713" s="1">
        <v>5.0</v>
      </c>
      <c r="Y1713" s="1">
        <v>2.35</v>
      </c>
      <c r="Z1713" s="1">
        <v>6.6</v>
      </c>
    </row>
    <row r="1714" ht="14.25" customHeight="1">
      <c r="A1714" s="1" t="s">
        <v>710</v>
      </c>
      <c r="B1714" s="1" t="s">
        <v>8182</v>
      </c>
      <c r="C1714" s="1" t="s">
        <v>8575</v>
      </c>
      <c r="D1714" s="1">
        <v>5.08E7</v>
      </c>
      <c r="E1714" s="1" t="s">
        <v>1880</v>
      </c>
      <c r="F1714" s="1" t="s">
        <v>8576</v>
      </c>
      <c r="G1714" s="1" t="s">
        <v>8577</v>
      </c>
      <c r="H1714" s="1" t="s">
        <v>8578</v>
      </c>
      <c r="I1714" s="1">
        <v>40277.0</v>
      </c>
      <c r="J1714" s="1" t="s">
        <v>8579</v>
      </c>
      <c r="K1714" s="1" t="s">
        <v>8580</v>
      </c>
      <c r="L1714" s="1">
        <v>210.0</v>
      </c>
      <c r="M1714" s="1" t="s">
        <v>35</v>
      </c>
      <c r="N1714" s="1" t="s">
        <v>36</v>
      </c>
      <c r="O1714" s="1" t="s">
        <v>87</v>
      </c>
      <c r="P1714" s="1">
        <v>2.6E7</v>
      </c>
      <c r="Q1714" s="1">
        <v>1977.0</v>
      </c>
      <c r="R1714" s="1">
        <v>385.0</v>
      </c>
      <c r="S1714" s="1">
        <v>232.0</v>
      </c>
      <c r="T1714" s="1">
        <v>14.0</v>
      </c>
      <c r="U1714" s="1">
        <v>669.0</v>
      </c>
      <c r="V1714" s="1">
        <v>0.0</v>
      </c>
      <c r="W1714" s="1">
        <v>0.0</v>
      </c>
      <c r="X1714" s="1">
        <v>14.0</v>
      </c>
      <c r="Y1714" s="1">
        <v>2.35</v>
      </c>
      <c r="Z1714" s="1">
        <v>7.4</v>
      </c>
    </row>
    <row r="1715" ht="14.25" customHeight="1">
      <c r="A1715" s="1" t="s">
        <v>26</v>
      </c>
      <c r="B1715" s="1" t="s">
        <v>5922</v>
      </c>
      <c r="C1715" s="1" t="s">
        <v>8581</v>
      </c>
      <c r="D1715" s="1">
        <v>5.7859105E7</v>
      </c>
      <c r="E1715" s="1" t="s">
        <v>815</v>
      </c>
      <c r="F1715" s="1" t="s">
        <v>8582</v>
      </c>
      <c r="G1715" s="1" t="s">
        <v>8583</v>
      </c>
      <c r="H1715" s="1" t="s">
        <v>8584</v>
      </c>
      <c r="I1715" s="1">
        <v>94108.0</v>
      </c>
      <c r="J1715" s="1" t="s">
        <v>8585</v>
      </c>
      <c r="K1715" s="1" t="s">
        <v>8586</v>
      </c>
      <c r="L1715" s="1">
        <v>673.0</v>
      </c>
      <c r="M1715" s="1" t="s">
        <v>35</v>
      </c>
      <c r="N1715" s="1" t="s">
        <v>36</v>
      </c>
      <c r="O1715" s="1" t="s">
        <v>37</v>
      </c>
      <c r="P1715" s="1">
        <v>2.6E7</v>
      </c>
      <c r="Q1715" s="1">
        <v>2005.0</v>
      </c>
      <c r="R1715" s="1">
        <v>332.0</v>
      </c>
      <c r="S1715" s="1">
        <v>285.0</v>
      </c>
      <c r="T1715" s="1">
        <v>178.0</v>
      </c>
      <c r="U1715" s="1">
        <v>1090.0</v>
      </c>
      <c r="V1715" s="1">
        <v>0.0</v>
      </c>
      <c r="W1715" s="1">
        <v>0.0</v>
      </c>
      <c r="X1715" s="1">
        <v>0.0</v>
      </c>
      <c r="Y1715" s="1">
        <v>2.35</v>
      </c>
      <c r="Z1715" s="1">
        <v>6.5</v>
      </c>
    </row>
    <row r="1716" ht="14.25" customHeight="1">
      <c r="A1716" s="1" t="s">
        <v>26</v>
      </c>
      <c r="B1716" s="1" t="s">
        <v>5498</v>
      </c>
      <c r="C1716" s="1" t="s">
        <v>8587</v>
      </c>
      <c r="D1716" s="1">
        <v>4.6455802E7</v>
      </c>
      <c r="E1716" s="1" t="s">
        <v>6278</v>
      </c>
      <c r="F1716" s="1" t="s">
        <v>8134</v>
      </c>
      <c r="G1716" s="1" t="s">
        <v>8588</v>
      </c>
      <c r="H1716" s="1" t="s">
        <v>8589</v>
      </c>
      <c r="I1716" s="1">
        <v>120786.0</v>
      </c>
      <c r="J1716" s="1" t="s">
        <v>8590</v>
      </c>
      <c r="K1716" s="1" t="s">
        <v>8591</v>
      </c>
      <c r="L1716" s="1">
        <v>472.0</v>
      </c>
      <c r="M1716" s="1" t="s">
        <v>35</v>
      </c>
      <c r="N1716" s="1" t="s">
        <v>36</v>
      </c>
      <c r="O1716" s="1" t="s">
        <v>628</v>
      </c>
      <c r="P1716" s="1">
        <v>2.6E7</v>
      </c>
      <c r="Q1716" s="1">
        <v>2003.0</v>
      </c>
      <c r="R1716" s="1">
        <v>748.0</v>
      </c>
      <c r="S1716" s="1">
        <v>439.0</v>
      </c>
      <c r="T1716" s="1">
        <v>392.0</v>
      </c>
      <c r="U1716" s="1">
        <v>3172.0</v>
      </c>
      <c r="V1716" s="1">
        <v>160.0</v>
      </c>
      <c r="W1716" s="1">
        <v>0.0</v>
      </c>
      <c r="X1716" s="1">
        <v>0.0</v>
      </c>
      <c r="Y1716" s="1">
        <v>1.85</v>
      </c>
      <c r="Z1716" s="1">
        <v>6.2</v>
      </c>
    </row>
    <row r="1717" ht="14.25" customHeight="1">
      <c r="A1717" s="1" t="s">
        <v>26</v>
      </c>
      <c r="B1717" s="1" t="s">
        <v>4043</v>
      </c>
      <c r="C1717" s="1" t="s">
        <v>8592</v>
      </c>
      <c r="D1717" s="1">
        <v>4.5506619E7</v>
      </c>
      <c r="E1717" s="1" t="s">
        <v>8593</v>
      </c>
      <c r="F1717" s="1" t="s">
        <v>1980</v>
      </c>
      <c r="G1717" s="1" t="s">
        <v>1432</v>
      </c>
      <c r="H1717" s="1" t="s">
        <v>3520</v>
      </c>
      <c r="I1717" s="1">
        <v>225102.0</v>
      </c>
      <c r="J1717" s="1" t="s">
        <v>8594</v>
      </c>
      <c r="K1717" s="1" t="s">
        <v>8595</v>
      </c>
      <c r="L1717" s="1">
        <v>862.0</v>
      </c>
      <c r="M1717" s="1" t="s">
        <v>35</v>
      </c>
      <c r="N1717" s="1" t="s">
        <v>54</v>
      </c>
      <c r="O1717" s="1" t="s">
        <v>37</v>
      </c>
      <c r="P1717" s="1">
        <v>2.6E7</v>
      </c>
      <c r="Q1717" s="1">
        <v>2000.0</v>
      </c>
      <c r="R1717" s="1">
        <v>1000.0</v>
      </c>
      <c r="S1717" s="1">
        <v>596.0</v>
      </c>
      <c r="T1717" s="1">
        <v>577.0</v>
      </c>
      <c r="U1717" s="1">
        <v>3066.0</v>
      </c>
      <c r="V1717" s="1">
        <v>0.0</v>
      </c>
      <c r="W1717" s="1">
        <v>16000.0</v>
      </c>
      <c r="X1717" s="1">
        <v>3.0</v>
      </c>
      <c r="Y1717" s="1">
        <v>2.35</v>
      </c>
      <c r="Z1717" s="1">
        <v>7.8</v>
      </c>
    </row>
    <row r="1718" ht="14.25" customHeight="1">
      <c r="A1718" s="1" t="s">
        <v>26</v>
      </c>
      <c r="B1718" s="1" t="s">
        <v>4091</v>
      </c>
      <c r="C1718" s="1" t="s">
        <v>8596</v>
      </c>
      <c r="D1718" s="1">
        <v>4.016808E7</v>
      </c>
      <c r="E1718" s="1" t="s">
        <v>3286</v>
      </c>
      <c r="F1718" s="1" t="s">
        <v>522</v>
      </c>
      <c r="G1718" s="1" t="s">
        <v>8597</v>
      </c>
      <c r="H1718" s="1" t="s">
        <v>4441</v>
      </c>
      <c r="I1718" s="1">
        <v>80870.0</v>
      </c>
      <c r="J1718" s="1" t="s">
        <v>8598</v>
      </c>
      <c r="K1718" s="1" t="s">
        <v>8599</v>
      </c>
      <c r="L1718" s="1">
        <v>315.0</v>
      </c>
      <c r="M1718" s="1" t="s">
        <v>35</v>
      </c>
      <c r="N1718" s="1" t="s">
        <v>36</v>
      </c>
      <c r="O1718" s="1" t="s">
        <v>628</v>
      </c>
      <c r="P1718" s="1">
        <v>2.6E7</v>
      </c>
      <c r="Q1718" s="1">
        <v>2010.0</v>
      </c>
      <c r="R1718" s="1">
        <v>2000.0</v>
      </c>
      <c r="S1718" s="1">
        <v>850.0</v>
      </c>
      <c r="T1718" s="1">
        <v>534.0</v>
      </c>
      <c r="U1718" s="1">
        <v>3889.0</v>
      </c>
      <c r="V1718" s="1">
        <v>124.0</v>
      </c>
      <c r="W1718" s="1">
        <v>0.0</v>
      </c>
      <c r="X1718" s="1">
        <v>0.0</v>
      </c>
      <c r="Y1718" s="1">
        <v>2.35</v>
      </c>
      <c r="Z1718" s="1">
        <v>5.2</v>
      </c>
    </row>
    <row r="1719" ht="14.25" customHeight="1">
      <c r="A1719" s="1" t="s">
        <v>26</v>
      </c>
      <c r="B1719" s="1" t="s">
        <v>270</v>
      </c>
      <c r="C1719" s="1" t="s">
        <v>8600</v>
      </c>
      <c r="D1719" s="1">
        <v>4.9874933E7</v>
      </c>
      <c r="E1719" s="1" t="s">
        <v>8521</v>
      </c>
      <c r="F1719" s="1" t="s">
        <v>1036</v>
      </c>
      <c r="G1719" s="1" t="s">
        <v>8601</v>
      </c>
      <c r="H1719" s="1" t="s">
        <v>1658</v>
      </c>
      <c r="I1719" s="1">
        <v>161168.0</v>
      </c>
      <c r="J1719" s="1" t="s">
        <v>8602</v>
      </c>
      <c r="K1719" s="1" t="s">
        <v>8603</v>
      </c>
      <c r="L1719" s="1">
        <v>287.0</v>
      </c>
      <c r="M1719" s="1" t="s">
        <v>35</v>
      </c>
      <c r="N1719" s="1" t="s">
        <v>36</v>
      </c>
      <c r="O1719" s="1" t="s">
        <v>628</v>
      </c>
      <c r="P1719" s="1">
        <v>2.6E7</v>
      </c>
      <c r="Q1719" s="1">
        <v>2013.0</v>
      </c>
      <c r="R1719" s="1">
        <v>12000.0</v>
      </c>
      <c r="S1719" s="1">
        <v>412.0</v>
      </c>
      <c r="T1719" s="1">
        <v>385.0</v>
      </c>
      <c r="U1719" s="1">
        <v>13573.0</v>
      </c>
      <c r="V1719" s="1">
        <v>0.0</v>
      </c>
      <c r="W1719" s="1">
        <v>43000.0</v>
      </c>
      <c r="X1719" s="1">
        <v>4.0</v>
      </c>
      <c r="Y1719" s="1">
        <v>2.35</v>
      </c>
      <c r="Z1719" s="1">
        <v>6.5</v>
      </c>
    </row>
    <row r="1720" ht="14.25" customHeight="1">
      <c r="A1720" s="1" t="s">
        <v>26</v>
      </c>
      <c r="B1720" s="1" t="s">
        <v>1661</v>
      </c>
      <c r="C1720" s="1" t="s">
        <v>8604</v>
      </c>
      <c r="D1720" s="1">
        <v>4.5489752E7</v>
      </c>
      <c r="E1720" s="1" t="s">
        <v>1359</v>
      </c>
      <c r="F1720" s="1" t="s">
        <v>92</v>
      </c>
      <c r="G1720" s="1" t="s">
        <v>911</v>
      </c>
      <c r="H1720" s="1" t="s">
        <v>522</v>
      </c>
      <c r="I1720" s="1">
        <v>48973.0</v>
      </c>
      <c r="J1720" s="1" t="s">
        <v>8605</v>
      </c>
      <c r="K1720" s="1" t="s">
        <v>8606</v>
      </c>
      <c r="L1720" s="1">
        <v>214.0</v>
      </c>
      <c r="M1720" s="1" t="s">
        <v>35</v>
      </c>
      <c r="N1720" s="1" t="s">
        <v>36</v>
      </c>
      <c r="O1720" s="1" t="s">
        <v>37</v>
      </c>
      <c r="P1720" s="1">
        <v>2.6E7</v>
      </c>
      <c r="Q1720" s="1">
        <v>2004.0</v>
      </c>
      <c r="R1720" s="1">
        <v>19000.0</v>
      </c>
      <c r="S1720" s="1">
        <v>3000.0</v>
      </c>
      <c r="T1720" s="1">
        <v>2000.0</v>
      </c>
      <c r="U1720" s="1">
        <v>28493.0</v>
      </c>
      <c r="V1720" s="1">
        <v>80.0</v>
      </c>
      <c r="W1720" s="1">
        <v>736.0</v>
      </c>
      <c r="X1720" s="1">
        <v>2.0</v>
      </c>
      <c r="Y1720" s="1">
        <v>1.85</v>
      </c>
      <c r="Z1720" s="1">
        <v>6.5</v>
      </c>
    </row>
    <row r="1721" ht="14.25" customHeight="1">
      <c r="A1721" s="1" t="s">
        <v>26</v>
      </c>
      <c r="B1721" s="1" t="s">
        <v>3204</v>
      </c>
      <c r="C1721" s="1" t="s">
        <v>8607</v>
      </c>
      <c r="D1721" s="1">
        <v>3.6985501E7</v>
      </c>
      <c r="E1721" s="1" t="s">
        <v>8608</v>
      </c>
      <c r="F1721" s="1" t="s">
        <v>2860</v>
      </c>
      <c r="G1721" s="1" t="s">
        <v>8609</v>
      </c>
      <c r="H1721" s="1" t="s">
        <v>8610</v>
      </c>
      <c r="I1721" s="1">
        <v>11212.0</v>
      </c>
      <c r="J1721" s="1" t="s">
        <v>8611</v>
      </c>
      <c r="K1721" s="1" t="s">
        <v>8612</v>
      </c>
      <c r="L1721" s="1">
        <v>94.0</v>
      </c>
      <c r="M1721" s="1" t="s">
        <v>35</v>
      </c>
      <c r="N1721" s="1" t="s">
        <v>36</v>
      </c>
      <c r="O1721" s="1" t="s">
        <v>87</v>
      </c>
      <c r="P1721" s="1">
        <v>2.6E7</v>
      </c>
      <c r="Q1721" s="1">
        <v>2002.0</v>
      </c>
      <c r="R1721" s="1">
        <v>2000.0</v>
      </c>
      <c r="S1721" s="1">
        <v>587.0</v>
      </c>
      <c r="T1721" s="1">
        <v>528.0</v>
      </c>
      <c r="U1721" s="1">
        <v>3917.0</v>
      </c>
      <c r="V1721" s="1">
        <v>906.0</v>
      </c>
      <c r="W1721" s="1">
        <v>874.0</v>
      </c>
      <c r="X1721" s="1">
        <v>0.0</v>
      </c>
      <c r="Y1721" s="1">
        <v>1.85</v>
      </c>
      <c r="Z1721" s="1">
        <v>5.2</v>
      </c>
    </row>
    <row r="1722" ht="14.25" customHeight="1">
      <c r="A1722" s="1" t="s">
        <v>26</v>
      </c>
      <c r="B1722" s="1" t="s">
        <v>3446</v>
      </c>
      <c r="C1722" s="1" t="s">
        <v>8613</v>
      </c>
      <c r="D1722" s="1">
        <v>3.32E7</v>
      </c>
      <c r="E1722" s="1" t="s">
        <v>8614</v>
      </c>
      <c r="F1722" s="1" t="s">
        <v>1264</v>
      </c>
      <c r="G1722" s="1" t="s">
        <v>8615</v>
      </c>
      <c r="H1722" s="1" t="s">
        <v>8616</v>
      </c>
      <c r="I1722" s="1">
        <v>28247.0</v>
      </c>
      <c r="J1722" s="1" t="s">
        <v>8617</v>
      </c>
      <c r="K1722" s="1" t="s">
        <v>8618</v>
      </c>
      <c r="L1722" s="1">
        <v>149.0</v>
      </c>
      <c r="M1722" s="1" t="s">
        <v>35</v>
      </c>
      <c r="N1722" s="1" t="s">
        <v>36</v>
      </c>
      <c r="O1722" s="1" t="s">
        <v>37</v>
      </c>
      <c r="P1722" s="1">
        <v>2.6E7</v>
      </c>
      <c r="Q1722" s="1">
        <v>1985.0</v>
      </c>
      <c r="R1722" s="1">
        <v>826.0</v>
      </c>
      <c r="S1722" s="1">
        <v>130.0</v>
      </c>
      <c r="T1722" s="1">
        <v>67.0</v>
      </c>
      <c r="U1722" s="1">
        <v>1154.0</v>
      </c>
      <c r="V1722" s="1">
        <v>759.0</v>
      </c>
      <c r="W1722" s="1">
        <v>0.0</v>
      </c>
      <c r="X1722" s="1">
        <v>4.0</v>
      </c>
      <c r="Y1722" s="1">
        <v>2.35</v>
      </c>
      <c r="Z1722" s="1">
        <v>7.2</v>
      </c>
    </row>
    <row r="1723" ht="14.25" customHeight="1">
      <c r="A1723" s="1" t="s">
        <v>26</v>
      </c>
      <c r="B1723" s="1" t="s">
        <v>5124</v>
      </c>
      <c r="C1723" s="1" t="s">
        <v>8619</v>
      </c>
      <c r="D1723" s="1">
        <v>2.8501651E7</v>
      </c>
      <c r="E1723" s="1" t="s">
        <v>3868</v>
      </c>
      <c r="F1723" s="1" t="s">
        <v>805</v>
      </c>
      <c r="G1723" s="1" t="s">
        <v>365</v>
      </c>
      <c r="H1723" s="1" t="s">
        <v>2515</v>
      </c>
      <c r="I1723" s="1">
        <v>88035.0</v>
      </c>
      <c r="J1723" s="1" t="s">
        <v>8620</v>
      </c>
      <c r="K1723" s="1" t="s">
        <v>8621</v>
      </c>
      <c r="L1723" s="1">
        <v>201.0</v>
      </c>
      <c r="M1723" s="1" t="s">
        <v>35</v>
      </c>
      <c r="N1723" s="1" t="s">
        <v>36</v>
      </c>
      <c r="O1723" s="1" t="s">
        <v>628</v>
      </c>
      <c r="P1723" s="1">
        <v>2.6E7</v>
      </c>
      <c r="Q1723" s="1">
        <v>2009.0</v>
      </c>
      <c r="R1723" s="1">
        <v>20000.0</v>
      </c>
      <c r="S1723" s="1">
        <v>15000.0</v>
      </c>
      <c r="T1723" s="1">
        <v>3000.0</v>
      </c>
      <c r="U1723" s="1">
        <v>42473.0</v>
      </c>
      <c r="V1723" s="1">
        <v>260.0</v>
      </c>
      <c r="W1723" s="1">
        <v>10000.0</v>
      </c>
      <c r="X1723" s="1">
        <v>0.0</v>
      </c>
      <c r="Y1723" s="1">
        <v>2.35</v>
      </c>
      <c r="Z1723" s="1">
        <v>7.1</v>
      </c>
    </row>
    <row r="1724" ht="14.25" customHeight="1">
      <c r="A1724" s="1" t="s">
        <v>26</v>
      </c>
      <c r="B1724" s="1" t="s">
        <v>8622</v>
      </c>
      <c r="C1724" s="1" t="s">
        <v>8623</v>
      </c>
      <c r="D1724" s="1">
        <v>2.3222861E7</v>
      </c>
      <c r="E1724" s="1" t="s">
        <v>8624</v>
      </c>
      <c r="F1724" s="1" t="s">
        <v>5635</v>
      </c>
      <c r="G1724" s="1" t="s">
        <v>8625</v>
      </c>
      <c r="H1724" s="1" t="s">
        <v>752</v>
      </c>
      <c r="I1724" s="1">
        <v>11092.0</v>
      </c>
      <c r="J1724" s="1" t="s">
        <v>8626</v>
      </c>
      <c r="K1724" s="1" t="s">
        <v>8627</v>
      </c>
      <c r="L1724" s="1">
        <v>44.0</v>
      </c>
      <c r="M1724" s="1" t="s">
        <v>35</v>
      </c>
      <c r="N1724" s="1" t="s">
        <v>36</v>
      </c>
      <c r="O1724" s="1" t="s">
        <v>87</v>
      </c>
      <c r="P1724" s="1">
        <v>2.6E7</v>
      </c>
      <c r="Q1724" s="1">
        <v>2004.0</v>
      </c>
      <c r="R1724" s="1">
        <v>1000.0</v>
      </c>
      <c r="S1724" s="1">
        <v>934.0</v>
      </c>
      <c r="T1724" s="1">
        <v>588.0</v>
      </c>
      <c r="U1724" s="1">
        <v>3742.0</v>
      </c>
      <c r="V1724" s="1">
        <v>8.0</v>
      </c>
      <c r="W1724" s="1">
        <v>167.0</v>
      </c>
      <c r="X1724" s="1">
        <v>4.0</v>
      </c>
      <c r="Y1724" s="1">
        <v>2.35</v>
      </c>
      <c r="Z1724" s="1">
        <v>4.5</v>
      </c>
    </row>
    <row r="1725" ht="14.25" customHeight="1">
      <c r="A1725" s="1" t="s">
        <v>26</v>
      </c>
      <c r="B1725" s="1" t="s">
        <v>3138</v>
      </c>
      <c r="C1725" s="1" t="s">
        <v>8628</v>
      </c>
      <c r="D1725" s="1">
        <v>5.4540525E7</v>
      </c>
      <c r="E1725" s="1" t="s">
        <v>1598</v>
      </c>
      <c r="F1725" s="1" t="s">
        <v>1663</v>
      </c>
      <c r="G1725" s="1" t="s">
        <v>321</v>
      </c>
      <c r="H1725" s="1" t="s">
        <v>8629</v>
      </c>
      <c r="I1725" s="1">
        <v>66579.0</v>
      </c>
      <c r="J1725" s="1" t="s">
        <v>8630</v>
      </c>
      <c r="K1725" s="1" t="s">
        <v>8631</v>
      </c>
      <c r="L1725" s="1">
        <v>134.0</v>
      </c>
      <c r="M1725" s="1" t="s">
        <v>35</v>
      </c>
      <c r="N1725" s="1" t="s">
        <v>36</v>
      </c>
      <c r="O1725" s="1" t="s">
        <v>37</v>
      </c>
      <c r="P1725" s="1">
        <v>5.6E7</v>
      </c>
      <c r="Q1725" s="1">
        <v>2011.0</v>
      </c>
      <c r="R1725" s="1">
        <v>22000.0</v>
      </c>
      <c r="S1725" s="1">
        <v>988.0</v>
      </c>
      <c r="T1725" s="1">
        <v>307.0</v>
      </c>
      <c r="U1725" s="1">
        <v>23456.0</v>
      </c>
      <c r="V1725" s="1">
        <v>0.0</v>
      </c>
      <c r="W1725" s="1">
        <v>20000.0</v>
      </c>
      <c r="X1725" s="1">
        <v>15.0</v>
      </c>
      <c r="Y1725" s="1">
        <v>1.85</v>
      </c>
      <c r="Z1725" s="1">
        <v>5.7</v>
      </c>
    </row>
    <row r="1726" ht="14.25" customHeight="1">
      <c r="A1726" s="1" t="s">
        <v>26</v>
      </c>
      <c r="B1726" s="1" t="s">
        <v>8632</v>
      </c>
      <c r="C1726" s="1" t="s">
        <v>8633</v>
      </c>
      <c r="D1726" s="1">
        <v>1.6252765E7</v>
      </c>
      <c r="E1726" s="1" t="s">
        <v>3113</v>
      </c>
      <c r="F1726" s="1" t="s">
        <v>550</v>
      </c>
      <c r="G1726" s="1" t="s">
        <v>8634</v>
      </c>
      <c r="H1726" s="1" t="s">
        <v>8635</v>
      </c>
      <c r="I1726" s="1">
        <v>44913.0</v>
      </c>
      <c r="J1726" s="1" t="s">
        <v>8636</v>
      </c>
      <c r="K1726" s="1" t="s">
        <v>8637</v>
      </c>
      <c r="L1726" s="1">
        <v>181.0</v>
      </c>
      <c r="M1726" s="1" t="s">
        <v>35</v>
      </c>
      <c r="N1726" s="1" t="s">
        <v>1832</v>
      </c>
      <c r="O1726" s="1" t="s">
        <v>628</v>
      </c>
      <c r="P1726" s="1">
        <v>4.2E7</v>
      </c>
      <c r="Q1726" s="1">
        <v>2001.0</v>
      </c>
      <c r="R1726" s="1">
        <v>11000.0</v>
      </c>
      <c r="S1726" s="1">
        <v>216.0</v>
      </c>
      <c r="T1726" s="1">
        <v>155.0</v>
      </c>
      <c r="U1726" s="1">
        <v>11662.0</v>
      </c>
      <c r="V1726" s="1">
        <v>49.0</v>
      </c>
      <c r="W1726" s="1">
        <v>3000.0</v>
      </c>
      <c r="X1726" s="1">
        <v>1.0</v>
      </c>
      <c r="Y1726" s="1">
        <v>2.35</v>
      </c>
      <c r="Z1726" s="1">
        <v>6.0</v>
      </c>
    </row>
    <row r="1727" ht="14.25" customHeight="1">
      <c r="A1727" s="1" t="s">
        <v>26</v>
      </c>
      <c r="B1727" s="1" t="s">
        <v>4855</v>
      </c>
      <c r="C1727" s="1" t="s">
        <v>8638</v>
      </c>
      <c r="D1727" s="1">
        <v>1.6005978E7</v>
      </c>
      <c r="E1727" s="1" t="s">
        <v>2130</v>
      </c>
      <c r="F1727" s="1" t="s">
        <v>8639</v>
      </c>
      <c r="G1727" s="1" t="s">
        <v>8640</v>
      </c>
      <c r="H1727" s="1" t="s">
        <v>3416</v>
      </c>
      <c r="I1727" s="1">
        <v>72886.0</v>
      </c>
      <c r="J1727" s="1" t="s">
        <v>8641</v>
      </c>
      <c r="K1727" s="1" t="s">
        <v>8642</v>
      </c>
      <c r="L1727" s="1">
        <v>190.0</v>
      </c>
      <c r="M1727" s="1" t="s">
        <v>35</v>
      </c>
      <c r="N1727" s="1" t="s">
        <v>36</v>
      </c>
      <c r="O1727" s="1" t="s">
        <v>628</v>
      </c>
      <c r="P1727" s="1">
        <v>2.6E7</v>
      </c>
      <c r="Q1727" s="1">
        <v>2012.0</v>
      </c>
      <c r="R1727" s="1">
        <v>771.0</v>
      </c>
      <c r="S1727" s="1">
        <v>570.0</v>
      </c>
      <c r="T1727" s="1">
        <v>427.0</v>
      </c>
      <c r="U1727" s="1">
        <v>2356.0</v>
      </c>
      <c r="V1727" s="1">
        <v>160.0</v>
      </c>
      <c r="W1727" s="1">
        <v>35000.0</v>
      </c>
      <c r="X1727" s="1">
        <v>1.0</v>
      </c>
      <c r="Y1727" s="1">
        <v>2.35</v>
      </c>
      <c r="Z1727" s="1">
        <v>6.4</v>
      </c>
    </row>
    <row r="1728" ht="14.25" customHeight="1">
      <c r="A1728" s="1" t="s">
        <v>26</v>
      </c>
      <c r="B1728" s="1" t="s">
        <v>4022</v>
      </c>
      <c r="C1728" s="1" t="s">
        <v>8643</v>
      </c>
      <c r="D1728" s="1">
        <v>1.4469428E7</v>
      </c>
      <c r="E1728" s="1" t="s">
        <v>1598</v>
      </c>
      <c r="F1728" s="1" t="s">
        <v>867</v>
      </c>
      <c r="G1728" s="1" t="s">
        <v>2865</v>
      </c>
      <c r="H1728" s="1" t="s">
        <v>3565</v>
      </c>
      <c r="I1728" s="1">
        <v>10667.0</v>
      </c>
      <c r="J1728" s="1" t="s">
        <v>8644</v>
      </c>
      <c r="K1728" s="1" t="s">
        <v>8645</v>
      </c>
      <c r="L1728" s="1">
        <v>95.0</v>
      </c>
      <c r="M1728" s="1" t="s">
        <v>35</v>
      </c>
      <c r="N1728" s="1" t="s">
        <v>36</v>
      </c>
      <c r="O1728" s="1" t="s">
        <v>37</v>
      </c>
      <c r="P1728" s="1">
        <v>2.6E7</v>
      </c>
      <c r="Q1728" s="1">
        <v>2004.0</v>
      </c>
      <c r="R1728" s="1">
        <v>826.0</v>
      </c>
      <c r="S1728" s="1">
        <v>590.0</v>
      </c>
      <c r="T1728" s="1">
        <v>509.0</v>
      </c>
      <c r="U1728" s="1">
        <v>2466.0</v>
      </c>
      <c r="V1728" s="1">
        <v>80.0</v>
      </c>
      <c r="W1728" s="1">
        <v>260.0</v>
      </c>
      <c r="X1728" s="1">
        <v>2.0</v>
      </c>
      <c r="Y1728" s="1">
        <v>1.85</v>
      </c>
      <c r="Z1728" s="1">
        <v>5.2</v>
      </c>
    </row>
    <row r="1729" ht="14.25" customHeight="1">
      <c r="A1729" s="1" t="s">
        <v>26</v>
      </c>
      <c r="B1729" s="1" t="s">
        <v>8646</v>
      </c>
      <c r="C1729" s="1" t="s">
        <v>8647</v>
      </c>
      <c r="D1729" s="1">
        <v>1.3829734E7</v>
      </c>
      <c r="E1729" s="1" t="s">
        <v>8648</v>
      </c>
      <c r="F1729" s="1" t="s">
        <v>4288</v>
      </c>
      <c r="G1729" s="1" t="s">
        <v>715</v>
      </c>
      <c r="H1729" s="1" t="s">
        <v>8649</v>
      </c>
      <c r="I1729" s="1">
        <v>16194.0</v>
      </c>
      <c r="J1729" s="1" t="s">
        <v>8650</v>
      </c>
      <c r="K1729" s="1" t="s">
        <v>8651</v>
      </c>
      <c r="L1729" s="1">
        <v>79.0</v>
      </c>
      <c r="M1729" s="1" t="s">
        <v>35</v>
      </c>
      <c r="N1729" s="1" t="s">
        <v>260</v>
      </c>
      <c r="O1729" s="1" t="s">
        <v>37</v>
      </c>
      <c r="P1729" s="1">
        <v>2.6E7</v>
      </c>
      <c r="Q1729" s="1">
        <v>1994.0</v>
      </c>
      <c r="R1729" s="1">
        <v>1000.0</v>
      </c>
      <c r="S1729" s="1">
        <v>691.0</v>
      </c>
      <c r="T1729" s="1">
        <v>535.0</v>
      </c>
      <c r="U1729" s="1">
        <v>2960.0</v>
      </c>
      <c r="V1729" s="1">
        <v>5.0</v>
      </c>
      <c r="W1729" s="1">
        <v>319.0</v>
      </c>
      <c r="X1729" s="1">
        <v>0.0</v>
      </c>
      <c r="Y1729" s="1">
        <v>2.35</v>
      </c>
      <c r="Z1729" s="1">
        <v>4.3</v>
      </c>
    </row>
    <row r="1730" ht="14.25" customHeight="1">
      <c r="A1730" s="1" t="s">
        <v>26</v>
      </c>
      <c r="B1730" s="1" t="s">
        <v>8652</v>
      </c>
      <c r="C1730" s="1" t="s">
        <v>8653</v>
      </c>
      <c r="D1730" s="1">
        <v>1075288.0</v>
      </c>
      <c r="E1730" s="1" t="s">
        <v>2045</v>
      </c>
      <c r="F1730" s="1" t="s">
        <v>4653</v>
      </c>
      <c r="G1730" s="1" t="s">
        <v>3031</v>
      </c>
      <c r="H1730" s="1" t="s">
        <v>7442</v>
      </c>
      <c r="I1730" s="1">
        <v>7772.0</v>
      </c>
      <c r="J1730" s="1" t="s">
        <v>8654</v>
      </c>
      <c r="K1730" s="1" t="s">
        <v>8655</v>
      </c>
      <c r="L1730" s="1">
        <v>55.0</v>
      </c>
      <c r="M1730" s="1" t="s">
        <v>35</v>
      </c>
      <c r="N1730" s="1" t="s">
        <v>36</v>
      </c>
      <c r="O1730" s="1" t="s">
        <v>628</v>
      </c>
      <c r="P1730" s="1">
        <v>2.2E7</v>
      </c>
      <c r="Q1730" s="1">
        <v>1996.0</v>
      </c>
      <c r="R1730" s="1">
        <v>1000.0</v>
      </c>
      <c r="S1730" s="1">
        <v>854.0</v>
      </c>
      <c r="T1730" s="1">
        <v>223.0</v>
      </c>
      <c r="U1730" s="1">
        <v>2228.0</v>
      </c>
      <c r="V1730" s="1">
        <v>30.0</v>
      </c>
      <c r="W1730" s="1">
        <v>145.0</v>
      </c>
      <c r="X1730" s="1">
        <v>3.0</v>
      </c>
      <c r="Y1730" s="1">
        <v>1.85</v>
      </c>
      <c r="Z1730" s="1">
        <v>6.1</v>
      </c>
    </row>
    <row r="1731" ht="14.25" customHeight="1">
      <c r="A1731" s="1" t="s">
        <v>26</v>
      </c>
      <c r="B1731" s="1" t="s">
        <v>3797</v>
      </c>
      <c r="C1731" s="1" t="s">
        <v>8656</v>
      </c>
      <c r="D1731" s="1">
        <v>7496522.0</v>
      </c>
      <c r="E1731" s="1" t="s">
        <v>8657</v>
      </c>
      <c r="F1731" s="1" t="s">
        <v>3797</v>
      </c>
      <c r="G1731" s="1" t="s">
        <v>6323</v>
      </c>
      <c r="H1731" s="1" t="s">
        <v>3220</v>
      </c>
      <c r="I1731" s="1">
        <v>31798.0</v>
      </c>
      <c r="J1731" s="1" t="s">
        <v>8658</v>
      </c>
      <c r="K1731" s="1" t="s">
        <v>8659</v>
      </c>
      <c r="L1731" s="1">
        <v>178.0</v>
      </c>
      <c r="M1731" s="1" t="s">
        <v>35</v>
      </c>
      <c r="N1731" s="1" t="s">
        <v>36</v>
      </c>
      <c r="O1731" s="1" t="s">
        <v>37</v>
      </c>
      <c r="P1731" s="1">
        <v>2.6E7</v>
      </c>
      <c r="Q1731" s="1">
        <v>2001.0</v>
      </c>
      <c r="R1731" s="1">
        <v>11000.0</v>
      </c>
      <c r="S1731" s="1">
        <v>893.0</v>
      </c>
      <c r="T1731" s="1">
        <v>277.0</v>
      </c>
      <c r="U1731" s="1">
        <v>12534.0</v>
      </c>
      <c r="V1731" s="1">
        <v>11000.0</v>
      </c>
      <c r="W1731" s="1">
        <v>826.0</v>
      </c>
      <c r="X1731" s="1">
        <v>0.0</v>
      </c>
      <c r="Y1731" s="1">
        <v>1.37</v>
      </c>
      <c r="Z1731" s="1">
        <v>6.8</v>
      </c>
    </row>
    <row r="1732" ht="14.25" customHeight="1">
      <c r="A1732" s="1" t="s">
        <v>26</v>
      </c>
      <c r="B1732" s="1" t="s">
        <v>8660</v>
      </c>
      <c r="C1732" s="1" t="s">
        <v>8661</v>
      </c>
      <c r="D1732" s="1">
        <v>2.0047715E7</v>
      </c>
      <c r="E1732" s="1" t="s">
        <v>8662</v>
      </c>
      <c r="F1732" s="1" t="s">
        <v>8663</v>
      </c>
      <c r="G1732" s="1" t="s">
        <v>8664</v>
      </c>
      <c r="H1732" s="1" t="s">
        <v>8665</v>
      </c>
      <c r="I1732" s="1">
        <v>8008.0</v>
      </c>
      <c r="J1732" s="1" t="s">
        <v>8666</v>
      </c>
      <c r="K1732" s="1" t="s">
        <v>8667</v>
      </c>
      <c r="L1732" s="1">
        <v>26.0</v>
      </c>
      <c r="M1732" s="1" t="s">
        <v>35</v>
      </c>
      <c r="N1732" s="1" t="s">
        <v>36</v>
      </c>
      <c r="O1732" s="1" t="s">
        <v>87</v>
      </c>
      <c r="P1732" s="1">
        <v>2.553E7</v>
      </c>
      <c r="Q1732" s="1">
        <v>1996.0</v>
      </c>
      <c r="R1732" s="1">
        <v>442.0</v>
      </c>
      <c r="S1732" s="1">
        <v>95.0</v>
      </c>
      <c r="T1732" s="1">
        <v>26.0</v>
      </c>
      <c r="U1732" s="1">
        <v>616.0</v>
      </c>
      <c r="V1732" s="1">
        <v>0.0</v>
      </c>
      <c r="W1732" s="1">
        <v>504.0</v>
      </c>
      <c r="X1732" s="1">
        <v>1.0</v>
      </c>
      <c r="Y1732" s="1">
        <v>2.35</v>
      </c>
      <c r="Z1732" s="1">
        <v>5.2</v>
      </c>
    </row>
    <row r="1733" ht="14.25" customHeight="1">
      <c r="A1733" s="1" t="s">
        <v>26</v>
      </c>
      <c r="B1733" s="1" t="s">
        <v>2349</v>
      </c>
      <c r="C1733" s="1" t="s">
        <v>8668</v>
      </c>
      <c r="D1733" s="1">
        <v>1.227681E7</v>
      </c>
      <c r="E1733" s="1" t="s">
        <v>1567</v>
      </c>
      <c r="F1733" s="1" t="s">
        <v>307</v>
      </c>
      <c r="G1733" s="1" t="s">
        <v>8669</v>
      </c>
      <c r="H1733" s="1" t="s">
        <v>1127</v>
      </c>
      <c r="I1733" s="1">
        <v>57674.0</v>
      </c>
      <c r="J1733" s="1" t="s">
        <v>8670</v>
      </c>
      <c r="K1733" s="1" t="s">
        <v>8671</v>
      </c>
      <c r="L1733" s="1">
        <v>126.0</v>
      </c>
      <c r="M1733" s="1" t="s">
        <v>35</v>
      </c>
      <c r="N1733" s="1" t="s">
        <v>36</v>
      </c>
      <c r="O1733" s="1" t="s">
        <v>37</v>
      </c>
      <c r="P1733" s="1">
        <v>2.6E7</v>
      </c>
      <c r="Q1733" s="1">
        <v>2015.0</v>
      </c>
      <c r="R1733" s="1">
        <v>16000.0</v>
      </c>
      <c r="S1733" s="1">
        <v>543.0</v>
      </c>
      <c r="T1733" s="1">
        <v>523.0</v>
      </c>
      <c r="U1733" s="1">
        <v>17847.0</v>
      </c>
      <c r="V1733" s="1">
        <v>763.0</v>
      </c>
      <c r="W1733" s="1">
        <v>11000.0</v>
      </c>
      <c r="X1733" s="1">
        <v>0.0</v>
      </c>
      <c r="Y1733" s="1">
        <v>2.35</v>
      </c>
      <c r="Z1733" s="1">
        <v>6.5</v>
      </c>
    </row>
    <row r="1734" ht="14.25" customHeight="1">
      <c r="A1734" s="1" t="s">
        <v>26</v>
      </c>
      <c r="B1734" s="1" t="s">
        <v>8672</v>
      </c>
      <c r="C1734" s="1" t="s">
        <v>8673</v>
      </c>
      <c r="D1734" s="1">
        <v>3.3565375E7</v>
      </c>
      <c r="E1734" s="1" t="s">
        <v>3113</v>
      </c>
      <c r="F1734" s="1" t="s">
        <v>1443</v>
      </c>
      <c r="G1734" s="1" t="s">
        <v>2846</v>
      </c>
      <c r="H1734" s="1" t="s">
        <v>8674</v>
      </c>
      <c r="I1734" s="1">
        <v>111351.0</v>
      </c>
      <c r="J1734" s="1" t="s">
        <v>8675</v>
      </c>
      <c r="K1734" s="1" t="s">
        <v>8676</v>
      </c>
      <c r="L1734" s="1">
        <v>568.0</v>
      </c>
      <c r="M1734" s="1" t="s">
        <v>35</v>
      </c>
      <c r="N1734" s="1" t="s">
        <v>54</v>
      </c>
      <c r="O1734" s="1" t="s">
        <v>628</v>
      </c>
      <c r="P1734" s="1">
        <v>1.5E7</v>
      </c>
      <c r="Q1734" s="1">
        <v>2005.0</v>
      </c>
      <c r="R1734" s="1">
        <v>883.0</v>
      </c>
      <c r="S1734" s="1">
        <v>430.0</v>
      </c>
      <c r="T1734" s="1">
        <v>151.0</v>
      </c>
      <c r="U1734" s="1">
        <v>1565.0</v>
      </c>
      <c r="V1734" s="1">
        <v>353.0</v>
      </c>
      <c r="W1734" s="1">
        <v>0.0</v>
      </c>
      <c r="X1734" s="1">
        <v>0.0</v>
      </c>
      <c r="Y1734" s="1">
        <v>1.85</v>
      </c>
      <c r="Z1734" s="1">
        <v>7.5</v>
      </c>
    </row>
    <row r="1735" ht="14.25" customHeight="1">
      <c r="A1735" s="1" t="s">
        <v>26</v>
      </c>
      <c r="B1735" s="1" t="s">
        <v>3073</v>
      </c>
      <c r="C1735" s="1" t="s">
        <v>8677</v>
      </c>
      <c r="D1735" s="1">
        <v>499263.0</v>
      </c>
      <c r="E1735" s="1" t="s">
        <v>3238</v>
      </c>
      <c r="F1735" s="1" t="s">
        <v>8678</v>
      </c>
      <c r="G1735" s="1" t="s">
        <v>8679</v>
      </c>
      <c r="H1735" s="1" t="s">
        <v>8680</v>
      </c>
      <c r="I1735" s="1">
        <v>179235.0</v>
      </c>
      <c r="J1735" s="1" t="s">
        <v>8681</v>
      </c>
      <c r="K1735" s="1" t="s">
        <v>8682</v>
      </c>
      <c r="L1735" s="1">
        <v>2814.0</v>
      </c>
      <c r="M1735" s="1" t="s">
        <v>8683</v>
      </c>
      <c r="N1735" s="1" t="s">
        <v>36</v>
      </c>
      <c r="O1735" s="1" t="s">
        <v>628</v>
      </c>
      <c r="P1735" s="1">
        <v>3.0E7</v>
      </c>
      <c r="Q1735" s="1">
        <v>2004.0</v>
      </c>
      <c r="R1735" s="1">
        <v>260.0</v>
      </c>
      <c r="S1735" s="1">
        <v>252.0</v>
      </c>
      <c r="T1735" s="1">
        <v>113.0</v>
      </c>
      <c r="U1735" s="1">
        <v>705.0</v>
      </c>
      <c r="V1735" s="1">
        <v>0.0</v>
      </c>
      <c r="W1735" s="1">
        <v>13000.0</v>
      </c>
      <c r="X1735" s="1">
        <v>0.0</v>
      </c>
      <c r="Y1735" s="1">
        <v>2.35</v>
      </c>
      <c r="Z1735" s="1">
        <v>7.1</v>
      </c>
    </row>
    <row r="1736" ht="14.25" customHeight="1">
      <c r="A1736" s="1" t="s">
        <v>26</v>
      </c>
      <c r="B1736" s="1" t="s">
        <v>1200</v>
      </c>
      <c r="C1736" s="1" t="s">
        <v>8684</v>
      </c>
      <c r="D1736" s="1">
        <v>2.192E8</v>
      </c>
      <c r="E1736" s="1" t="s">
        <v>8685</v>
      </c>
      <c r="F1736" s="1" t="s">
        <v>774</v>
      </c>
      <c r="G1736" s="1" t="s">
        <v>8365</v>
      </c>
      <c r="H1736" s="1" t="s">
        <v>8686</v>
      </c>
      <c r="I1736" s="1">
        <v>181380.0</v>
      </c>
      <c r="J1736" s="1" t="s">
        <v>8687</v>
      </c>
      <c r="K1736" s="1" t="s">
        <v>8688</v>
      </c>
      <c r="L1736" s="1">
        <v>223.0</v>
      </c>
      <c r="M1736" s="1" t="s">
        <v>35</v>
      </c>
      <c r="N1736" s="1" t="s">
        <v>36</v>
      </c>
      <c r="O1736" s="1" t="s">
        <v>37</v>
      </c>
      <c r="P1736" s="1">
        <v>2.5E7</v>
      </c>
      <c r="Q1736" s="1">
        <v>1993.0</v>
      </c>
      <c r="R1736" s="1">
        <v>49000.0</v>
      </c>
      <c r="S1736" s="1">
        <v>1000.0</v>
      </c>
      <c r="T1736" s="1">
        <v>711.0</v>
      </c>
      <c r="U1736" s="1">
        <v>52201.0</v>
      </c>
      <c r="V1736" s="1">
        <v>0.0</v>
      </c>
      <c r="W1736" s="1">
        <v>0.0</v>
      </c>
      <c r="X1736" s="1">
        <v>5.0</v>
      </c>
      <c r="Y1736" s="1">
        <v>2.35</v>
      </c>
      <c r="Z1736" s="1">
        <v>6.9</v>
      </c>
    </row>
    <row r="1737" ht="14.25" customHeight="1">
      <c r="A1737" s="1" t="s">
        <v>26</v>
      </c>
      <c r="B1737" s="1" t="s">
        <v>2962</v>
      </c>
      <c r="C1737" s="1" t="s">
        <v>8689</v>
      </c>
      <c r="D1737" s="1">
        <v>1.72825435E8</v>
      </c>
      <c r="E1737" s="1" t="s">
        <v>3238</v>
      </c>
      <c r="F1737" s="1" t="s">
        <v>508</v>
      </c>
      <c r="G1737" s="1" t="s">
        <v>5075</v>
      </c>
      <c r="H1737" s="1" t="s">
        <v>6602</v>
      </c>
      <c r="I1737" s="1">
        <v>383784.0</v>
      </c>
      <c r="J1737" s="1" t="s">
        <v>8690</v>
      </c>
      <c r="K1737" s="1" t="s">
        <v>8691</v>
      </c>
      <c r="L1737" s="1">
        <v>331.0</v>
      </c>
      <c r="M1737" s="1" t="s">
        <v>35</v>
      </c>
      <c r="N1737" s="1" t="s">
        <v>36</v>
      </c>
      <c r="O1737" s="1" t="s">
        <v>628</v>
      </c>
      <c r="P1737" s="1">
        <v>2.5E7</v>
      </c>
      <c r="Q1737" s="1">
        <v>1988.0</v>
      </c>
      <c r="R1737" s="1">
        <v>10000.0</v>
      </c>
      <c r="S1737" s="1">
        <v>898.0</v>
      </c>
      <c r="T1737" s="1">
        <v>628.0</v>
      </c>
      <c r="U1737" s="1">
        <v>12285.0</v>
      </c>
      <c r="V1737" s="1">
        <v>272.0</v>
      </c>
      <c r="W1737" s="1">
        <v>12000.0</v>
      </c>
      <c r="X1737" s="1">
        <v>3.0</v>
      </c>
      <c r="Y1737" s="1">
        <v>1.85</v>
      </c>
      <c r="Z1737" s="1">
        <v>8.0</v>
      </c>
    </row>
    <row r="1738" ht="14.25" customHeight="1">
      <c r="A1738" s="1" t="s">
        <v>26</v>
      </c>
      <c r="B1738" s="1" t="s">
        <v>3503</v>
      </c>
      <c r="C1738" s="1" t="s">
        <v>8692</v>
      </c>
      <c r="D1738" s="1">
        <v>1.48085755E8</v>
      </c>
      <c r="E1738" s="1" t="s">
        <v>3238</v>
      </c>
      <c r="F1738" s="1" t="s">
        <v>3503</v>
      </c>
      <c r="G1738" s="1" t="s">
        <v>8693</v>
      </c>
      <c r="H1738" s="1" t="s">
        <v>8694</v>
      </c>
      <c r="I1738" s="1">
        <v>561773.0</v>
      </c>
      <c r="J1738" s="1" t="s">
        <v>8695</v>
      </c>
      <c r="K1738" s="1" t="s">
        <v>8696</v>
      </c>
      <c r="L1738" s="1">
        <v>871.0</v>
      </c>
      <c r="M1738" s="1" t="s">
        <v>35</v>
      </c>
      <c r="N1738" s="1" t="s">
        <v>36</v>
      </c>
      <c r="O1738" s="1" t="s">
        <v>628</v>
      </c>
      <c r="P1738" s="1">
        <v>3.3E7</v>
      </c>
      <c r="Q1738" s="1">
        <v>2008.0</v>
      </c>
      <c r="R1738" s="1">
        <v>16000.0</v>
      </c>
      <c r="S1738" s="1">
        <v>601.0</v>
      </c>
      <c r="T1738" s="1">
        <v>198.0</v>
      </c>
      <c r="U1738" s="1">
        <v>17347.0</v>
      </c>
      <c r="V1738" s="1">
        <v>16000.0</v>
      </c>
      <c r="W1738" s="1">
        <v>28000.0</v>
      </c>
      <c r="X1738" s="1">
        <v>0.0</v>
      </c>
      <c r="Y1738" s="1">
        <v>2.35</v>
      </c>
      <c r="Z1738" s="1">
        <v>8.2</v>
      </c>
    </row>
    <row r="1739" ht="14.25" customHeight="1">
      <c r="A1739" s="1" t="s">
        <v>26</v>
      </c>
      <c r="B1739" s="1" t="s">
        <v>723</v>
      </c>
      <c r="C1739" s="1" t="s">
        <v>8697</v>
      </c>
      <c r="D1739" s="1">
        <v>2.55175E7</v>
      </c>
      <c r="E1739" s="1" t="s">
        <v>5578</v>
      </c>
      <c r="F1739" s="1" t="s">
        <v>1167</v>
      </c>
      <c r="G1739" s="1" t="s">
        <v>1264</v>
      </c>
      <c r="H1739" s="1" t="s">
        <v>2200</v>
      </c>
      <c r="I1739" s="1">
        <v>40941.0</v>
      </c>
      <c r="J1739" s="1" t="s">
        <v>8698</v>
      </c>
      <c r="K1739" s="1" t="s">
        <v>8699</v>
      </c>
      <c r="L1739" s="1">
        <v>320.0</v>
      </c>
      <c r="M1739" s="1" t="s">
        <v>35</v>
      </c>
      <c r="N1739" s="1" t="s">
        <v>36</v>
      </c>
      <c r="O1739" s="1" t="s">
        <v>37</v>
      </c>
      <c r="P1739" s="1">
        <v>2.51E7</v>
      </c>
      <c r="Q1739" s="1">
        <v>2008.0</v>
      </c>
      <c r="R1739" s="1">
        <v>2000.0</v>
      </c>
      <c r="S1739" s="1">
        <v>826.0</v>
      </c>
      <c r="T1739" s="1">
        <v>655.0</v>
      </c>
      <c r="U1739" s="1">
        <v>4264.0</v>
      </c>
      <c r="V1739" s="1">
        <v>0.0</v>
      </c>
      <c r="W1739" s="1">
        <v>0.0</v>
      </c>
      <c r="X1739" s="1">
        <v>1.0</v>
      </c>
      <c r="Y1739" s="1">
        <v>2.35</v>
      </c>
      <c r="Z1739" s="1">
        <v>6.4</v>
      </c>
    </row>
    <row r="1740" ht="14.25" customHeight="1">
      <c r="A1740" s="1" t="s">
        <v>26</v>
      </c>
      <c r="B1740" s="1" t="s">
        <v>4696</v>
      </c>
      <c r="C1740" s="1" t="s">
        <v>8700</v>
      </c>
      <c r="D1740" s="1">
        <v>1.45000989E8</v>
      </c>
      <c r="E1740" s="1" t="s">
        <v>57</v>
      </c>
      <c r="F1740" s="1" t="s">
        <v>220</v>
      </c>
      <c r="G1740" s="1" t="s">
        <v>8133</v>
      </c>
      <c r="H1740" s="1" t="s">
        <v>4009</v>
      </c>
      <c r="I1740" s="1">
        <v>483756.0</v>
      </c>
      <c r="J1740" s="1" t="s">
        <v>8701</v>
      </c>
      <c r="K1740" s="1" t="s">
        <v>8702</v>
      </c>
      <c r="L1740" s="1">
        <v>974.0</v>
      </c>
      <c r="M1740" s="1" t="s">
        <v>35</v>
      </c>
      <c r="N1740" s="1" t="s">
        <v>1832</v>
      </c>
      <c r="O1740" s="1" t="s">
        <v>37</v>
      </c>
      <c r="P1740" s="1">
        <v>2.5E7</v>
      </c>
      <c r="Q1740" s="1">
        <v>2008.0</v>
      </c>
      <c r="R1740" s="1">
        <v>14000.0</v>
      </c>
      <c r="S1740" s="1">
        <v>816.0</v>
      </c>
      <c r="T1740" s="1">
        <v>485.0</v>
      </c>
      <c r="U1740" s="1">
        <v>16461.0</v>
      </c>
      <c r="V1740" s="1">
        <v>180.0</v>
      </c>
      <c r="W1740" s="1">
        <v>29000.0</v>
      </c>
      <c r="X1740" s="1">
        <v>0.0</v>
      </c>
      <c r="Y1740" s="1">
        <v>2.35</v>
      </c>
      <c r="Z1740" s="1">
        <v>7.9</v>
      </c>
    </row>
    <row r="1741" ht="14.25" customHeight="1">
      <c r="A1741" s="1" t="s">
        <v>26</v>
      </c>
      <c r="B1741" s="1" t="s">
        <v>8703</v>
      </c>
      <c r="C1741" s="1" t="s">
        <v>8704</v>
      </c>
      <c r="D1741" s="1">
        <v>2.6761283E7</v>
      </c>
      <c r="E1741" s="1" t="s">
        <v>206</v>
      </c>
      <c r="F1741" s="1" t="s">
        <v>8705</v>
      </c>
      <c r="G1741" s="1" t="s">
        <v>3550</v>
      </c>
      <c r="H1741" s="1" t="s">
        <v>5714</v>
      </c>
      <c r="I1741" s="1">
        <v>43084.0</v>
      </c>
      <c r="J1741" s="1" t="s">
        <v>8706</v>
      </c>
      <c r="K1741" s="1" t="s">
        <v>8707</v>
      </c>
      <c r="L1741" s="1">
        <v>99.0</v>
      </c>
      <c r="M1741" s="1" t="s">
        <v>35</v>
      </c>
      <c r="N1741" s="1" t="s">
        <v>36</v>
      </c>
      <c r="O1741" s="1" t="s">
        <v>37</v>
      </c>
      <c r="P1741" s="1">
        <v>2.6E7</v>
      </c>
      <c r="Q1741" s="1">
        <v>2014.0</v>
      </c>
      <c r="R1741" s="1">
        <v>775.0</v>
      </c>
      <c r="S1741" s="1">
        <v>523.0</v>
      </c>
      <c r="T1741" s="1">
        <v>437.0</v>
      </c>
      <c r="U1741" s="1">
        <v>3197.0</v>
      </c>
      <c r="V1741" s="1">
        <v>97.0</v>
      </c>
      <c r="W1741" s="1">
        <v>19000.0</v>
      </c>
      <c r="X1741" s="1">
        <v>0.0</v>
      </c>
      <c r="Y1741" s="1">
        <v>2.35</v>
      </c>
      <c r="Z1741" s="1">
        <v>6.7</v>
      </c>
    </row>
    <row r="1742" ht="14.25" customHeight="1">
      <c r="A1742" s="1" t="s">
        <v>26</v>
      </c>
      <c r="B1742" s="1" t="s">
        <v>2175</v>
      </c>
      <c r="C1742" s="1" t="s">
        <v>8708</v>
      </c>
      <c r="D1742" s="1">
        <v>1.2194572E8</v>
      </c>
      <c r="E1742" s="1" t="s">
        <v>8709</v>
      </c>
      <c r="F1742" s="1" t="s">
        <v>3633</v>
      </c>
      <c r="G1742" s="1" t="s">
        <v>3031</v>
      </c>
      <c r="H1742" s="1" t="s">
        <v>8710</v>
      </c>
      <c r="I1742" s="1">
        <v>89972.0</v>
      </c>
      <c r="J1742" s="1" t="s">
        <v>8711</v>
      </c>
      <c r="K1742" s="1" t="s">
        <v>8712</v>
      </c>
      <c r="L1742" s="1">
        <v>126.0</v>
      </c>
      <c r="M1742" s="1" t="s">
        <v>35</v>
      </c>
      <c r="N1742" s="1" t="s">
        <v>36</v>
      </c>
      <c r="O1742" s="1" t="s">
        <v>628</v>
      </c>
      <c r="P1742" s="1">
        <v>2.5E7</v>
      </c>
      <c r="Q1742" s="1">
        <v>1992.0</v>
      </c>
      <c r="R1742" s="1">
        <v>970.0</v>
      </c>
      <c r="S1742" s="1">
        <v>854.0</v>
      </c>
      <c r="T1742" s="1">
        <v>164.0</v>
      </c>
      <c r="U1742" s="1">
        <v>2551.0</v>
      </c>
      <c r="V1742" s="1">
        <v>81.0</v>
      </c>
      <c r="W1742" s="1">
        <v>0.0</v>
      </c>
      <c r="X1742" s="1">
        <v>0.0</v>
      </c>
      <c r="Y1742" s="1">
        <v>1.85</v>
      </c>
      <c r="Z1742" s="1">
        <v>6.1</v>
      </c>
    </row>
    <row r="1743" ht="14.25" customHeight="1">
      <c r="A1743" s="1" t="s">
        <v>710</v>
      </c>
      <c r="B1743" s="1" t="s">
        <v>381</v>
      </c>
      <c r="C1743" s="1" t="s">
        <v>8713</v>
      </c>
      <c r="D1743" s="1">
        <v>9.6067179E7</v>
      </c>
      <c r="E1743" s="1" t="s">
        <v>5578</v>
      </c>
      <c r="F1743" s="1" t="s">
        <v>220</v>
      </c>
      <c r="G1743" s="1" t="s">
        <v>8714</v>
      </c>
      <c r="H1743" s="1" t="s">
        <v>8715</v>
      </c>
      <c r="I1743" s="1">
        <v>865020.0</v>
      </c>
      <c r="J1743" s="1" t="s">
        <v>8716</v>
      </c>
      <c r="K1743" s="1" t="s">
        <v>8717</v>
      </c>
      <c r="L1743" s="1">
        <v>1273.0</v>
      </c>
      <c r="M1743" s="1" t="s">
        <v>35</v>
      </c>
      <c r="N1743" s="1" t="s">
        <v>36</v>
      </c>
      <c r="O1743" s="1" t="s">
        <v>628</v>
      </c>
      <c r="P1743" s="1">
        <v>2.2E7</v>
      </c>
      <c r="Q1743" s="1">
        <v>1993.0</v>
      </c>
      <c r="R1743" s="1">
        <v>14000.0</v>
      </c>
      <c r="S1743" s="1">
        <v>795.0</v>
      </c>
      <c r="T1743" s="1">
        <v>212.0</v>
      </c>
      <c r="U1743" s="1">
        <v>15233.0</v>
      </c>
      <c r="V1743" s="1">
        <v>14000.0</v>
      </c>
      <c r="W1743" s="1">
        <v>41000.0</v>
      </c>
      <c r="X1743" s="1">
        <v>0.0</v>
      </c>
      <c r="Y1743" s="1">
        <v>1.85</v>
      </c>
      <c r="Z1743" s="1">
        <v>8.9</v>
      </c>
    </row>
    <row r="1744" ht="14.25" customHeight="1">
      <c r="A1744" s="1" t="s">
        <v>26</v>
      </c>
      <c r="B1744" s="1" t="s">
        <v>3281</v>
      </c>
      <c r="C1744" s="1" t="s">
        <v>8718</v>
      </c>
      <c r="D1744" s="1">
        <v>1.69705587E8</v>
      </c>
      <c r="E1744" s="1" t="s">
        <v>3238</v>
      </c>
      <c r="F1744" s="1" t="s">
        <v>174</v>
      </c>
      <c r="G1744" s="1" t="s">
        <v>227</v>
      </c>
      <c r="H1744" s="1" t="s">
        <v>676</v>
      </c>
      <c r="I1744" s="1">
        <v>318955.0</v>
      </c>
      <c r="J1744" s="1" t="s">
        <v>8719</v>
      </c>
      <c r="K1744" s="1" t="s">
        <v>8720</v>
      </c>
      <c r="L1744" s="1">
        <v>460.0</v>
      </c>
      <c r="M1744" s="1" t="s">
        <v>35</v>
      </c>
      <c r="N1744" s="1" t="s">
        <v>36</v>
      </c>
      <c r="O1744" s="1" t="s">
        <v>37</v>
      </c>
      <c r="P1744" s="1">
        <v>2.5E7</v>
      </c>
      <c r="Q1744" s="1">
        <v>2011.0</v>
      </c>
      <c r="R1744" s="1">
        <v>15000.0</v>
      </c>
      <c r="S1744" s="1">
        <v>3000.0</v>
      </c>
      <c r="T1744" s="1">
        <v>2000.0</v>
      </c>
      <c r="U1744" s="1">
        <v>23227.0</v>
      </c>
      <c r="V1744" s="1">
        <v>150.0</v>
      </c>
      <c r="W1744" s="1">
        <v>75000.0</v>
      </c>
      <c r="X1744" s="1">
        <v>2.0</v>
      </c>
      <c r="Y1744" s="1">
        <v>1.85</v>
      </c>
      <c r="Z1744" s="1">
        <v>8.1</v>
      </c>
    </row>
    <row r="1745" ht="14.25" customHeight="1">
      <c r="A1745" s="1" t="s">
        <v>26</v>
      </c>
      <c r="B1745" s="1" t="s">
        <v>1067</v>
      </c>
      <c r="C1745" s="1" t="s">
        <v>8721</v>
      </c>
      <c r="D1745" s="1">
        <v>3254172.0</v>
      </c>
      <c r="E1745" s="1" t="s">
        <v>3404</v>
      </c>
      <c r="F1745" s="1" t="s">
        <v>345</v>
      </c>
      <c r="G1745" s="1" t="s">
        <v>334</v>
      </c>
      <c r="H1745" s="1" t="s">
        <v>8722</v>
      </c>
      <c r="I1745" s="1">
        <v>29282.0</v>
      </c>
      <c r="J1745" s="1" t="s">
        <v>8723</v>
      </c>
      <c r="K1745" s="1" t="s">
        <v>8724</v>
      </c>
      <c r="L1745" s="1">
        <v>105.0</v>
      </c>
      <c r="M1745" s="1" t="s">
        <v>35</v>
      </c>
      <c r="N1745" s="1" t="s">
        <v>36</v>
      </c>
      <c r="O1745" s="1" t="s">
        <v>628</v>
      </c>
      <c r="P1745" s="1">
        <v>2.8E7</v>
      </c>
      <c r="Q1745" s="1">
        <v>2013.0</v>
      </c>
      <c r="R1745" s="1">
        <v>19000.0</v>
      </c>
      <c r="S1745" s="1">
        <v>17000.0</v>
      </c>
      <c r="T1745" s="1">
        <v>203.0</v>
      </c>
      <c r="U1745" s="1">
        <v>36337.0</v>
      </c>
      <c r="V1745" s="1">
        <v>386.0</v>
      </c>
      <c r="W1745" s="1">
        <v>11000.0</v>
      </c>
      <c r="X1745" s="1">
        <v>1.0</v>
      </c>
      <c r="Y1745" s="1">
        <v>2.35</v>
      </c>
      <c r="Z1745" s="1">
        <v>6.2</v>
      </c>
    </row>
    <row r="1746" ht="14.25" customHeight="1">
      <c r="A1746" s="1" t="s">
        <v>26</v>
      </c>
      <c r="B1746" s="1" t="s">
        <v>1497</v>
      </c>
      <c r="C1746" s="1" t="s">
        <v>8725</v>
      </c>
      <c r="D1746" s="1">
        <v>8.4185387E7</v>
      </c>
      <c r="E1746" s="1" t="s">
        <v>8726</v>
      </c>
      <c r="F1746" s="1" t="s">
        <v>2378</v>
      </c>
      <c r="G1746" s="1" t="s">
        <v>2379</v>
      </c>
      <c r="H1746" s="1" t="s">
        <v>1432</v>
      </c>
      <c r="I1746" s="1">
        <v>33180.0</v>
      </c>
      <c r="J1746" s="1" t="s">
        <v>8727</v>
      </c>
      <c r="K1746" s="1" t="s">
        <v>8728</v>
      </c>
      <c r="L1746" s="1">
        <v>149.0</v>
      </c>
      <c r="M1746" s="1" t="s">
        <v>35</v>
      </c>
      <c r="N1746" s="1" t="s">
        <v>36</v>
      </c>
      <c r="O1746" s="1" t="s">
        <v>87</v>
      </c>
      <c r="P1746" s="1">
        <v>8.0E7</v>
      </c>
      <c r="Q1746" s="1">
        <v>2004.0</v>
      </c>
      <c r="R1746" s="1">
        <v>4000.0</v>
      </c>
      <c r="S1746" s="1">
        <v>2000.0</v>
      </c>
      <c r="T1746" s="1">
        <v>596.0</v>
      </c>
      <c r="U1746" s="1">
        <v>7800.0</v>
      </c>
      <c r="V1746" s="1">
        <v>67.0</v>
      </c>
      <c r="W1746" s="1">
        <v>567.0</v>
      </c>
      <c r="X1746" s="1">
        <v>0.0</v>
      </c>
      <c r="Y1746" s="1">
        <v>1.85</v>
      </c>
      <c r="Z1746" s="1">
        <v>4.9</v>
      </c>
    </row>
    <row r="1747" ht="14.25" customHeight="1">
      <c r="A1747" s="1" t="s">
        <v>26</v>
      </c>
      <c r="B1747" s="1" t="s">
        <v>7213</v>
      </c>
      <c r="C1747" s="1" t="s">
        <v>8729</v>
      </c>
      <c r="D1747" s="1">
        <v>8.2163317E7</v>
      </c>
      <c r="E1747" s="1" t="s">
        <v>4634</v>
      </c>
      <c r="F1747" s="1" t="s">
        <v>8730</v>
      </c>
      <c r="G1747" s="1" t="s">
        <v>8731</v>
      </c>
      <c r="H1747" s="1" t="s">
        <v>719</v>
      </c>
      <c r="I1747" s="1">
        <v>89101.0</v>
      </c>
      <c r="J1747" s="1" t="s">
        <v>8732</v>
      </c>
      <c r="K1747" s="1" t="s">
        <v>8733</v>
      </c>
      <c r="L1747" s="1">
        <v>885.0</v>
      </c>
      <c r="M1747" s="1" t="s">
        <v>35</v>
      </c>
      <c r="N1747" s="1" t="s">
        <v>36</v>
      </c>
      <c r="O1747" s="1" t="s">
        <v>628</v>
      </c>
      <c r="P1747" s="1">
        <v>3.0E7</v>
      </c>
      <c r="Q1747" s="1">
        <v>2003.0</v>
      </c>
      <c r="R1747" s="1">
        <v>918.0</v>
      </c>
      <c r="S1747" s="1">
        <v>782.0</v>
      </c>
      <c r="T1747" s="1">
        <v>662.0</v>
      </c>
      <c r="U1747" s="1">
        <v>4692.0</v>
      </c>
      <c r="V1747" s="1">
        <v>31.0</v>
      </c>
      <c r="W1747" s="1">
        <v>3000.0</v>
      </c>
      <c r="X1747" s="1">
        <v>0.0</v>
      </c>
      <c r="Y1747" s="1">
        <v>2.35</v>
      </c>
      <c r="Z1747" s="1">
        <v>5.8</v>
      </c>
    </row>
    <row r="1748" ht="14.25" customHeight="1">
      <c r="A1748" s="1" t="s">
        <v>26</v>
      </c>
      <c r="B1748" s="1" t="s">
        <v>5510</v>
      </c>
      <c r="C1748" s="1" t="s">
        <v>8734</v>
      </c>
      <c r="D1748" s="1">
        <v>8.0920948E7</v>
      </c>
      <c r="E1748" s="1" t="s">
        <v>463</v>
      </c>
      <c r="F1748" s="1" t="s">
        <v>922</v>
      </c>
      <c r="G1748" s="1" t="s">
        <v>4715</v>
      </c>
      <c r="H1748" s="1" t="s">
        <v>7487</v>
      </c>
      <c r="I1748" s="1">
        <v>23943.0</v>
      </c>
      <c r="J1748" s="1" t="s">
        <v>8735</v>
      </c>
      <c r="K1748" s="1" t="s">
        <v>8736</v>
      </c>
      <c r="L1748" s="1">
        <v>118.0</v>
      </c>
      <c r="M1748" s="1" t="s">
        <v>35</v>
      </c>
      <c r="N1748" s="1" t="s">
        <v>36</v>
      </c>
      <c r="O1748" s="1" t="s">
        <v>269</v>
      </c>
      <c r="P1748" s="1">
        <v>3.0E7</v>
      </c>
      <c r="Q1748" s="1">
        <v>2001.0</v>
      </c>
      <c r="R1748" s="1">
        <v>770.0</v>
      </c>
      <c r="S1748" s="1">
        <v>677.0</v>
      </c>
      <c r="T1748" s="1">
        <v>179.0</v>
      </c>
      <c r="U1748" s="1">
        <v>2251.0</v>
      </c>
      <c r="V1748" s="1">
        <v>8.0</v>
      </c>
      <c r="W1748" s="1">
        <v>425.0</v>
      </c>
      <c r="X1748" s="1">
        <v>0.0</v>
      </c>
      <c r="Y1748" s="1">
        <v>1.85</v>
      </c>
      <c r="Z1748" s="1">
        <v>6.0</v>
      </c>
    </row>
    <row r="1749" ht="14.25" customHeight="1">
      <c r="A1749" s="1" t="s">
        <v>26</v>
      </c>
      <c r="B1749" s="1" t="s">
        <v>555</v>
      </c>
      <c r="C1749" s="1" t="s">
        <v>8737</v>
      </c>
      <c r="D1749" s="1">
        <v>8.0034302E7</v>
      </c>
      <c r="E1749" s="1" t="s">
        <v>3274</v>
      </c>
      <c r="F1749" s="1" t="s">
        <v>676</v>
      </c>
      <c r="G1749" s="1" t="s">
        <v>8738</v>
      </c>
      <c r="H1749" s="1" t="s">
        <v>8739</v>
      </c>
      <c r="I1749" s="1">
        <v>296787.0</v>
      </c>
      <c r="J1749" s="1" t="s">
        <v>8740</v>
      </c>
      <c r="K1749" s="1" t="s">
        <v>8741</v>
      </c>
      <c r="L1749" s="1">
        <v>2192.0</v>
      </c>
      <c r="M1749" s="1" t="s">
        <v>35</v>
      </c>
      <c r="N1749" s="1" t="s">
        <v>36</v>
      </c>
      <c r="O1749" s="1" t="s">
        <v>37</v>
      </c>
      <c r="P1749" s="1">
        <v>2.5E7</v>
      </c>
      <c r="Q1749" s="1">
        <v>2008.0</v>
      </c>
      <c r="R1749" s="1">
        <v>2000.0</v>
      </c>
      <c r="S1749" s="1">
        <v>1000.0</v>
      </c>
      <c r="T1749" s="1">
        <v>387.0</v>
      </c>
      <c r="U1749" s="1">
        <v>3958.0</v>
      </c>
      <c r="V1749" s="1">
        <v>198.0</v>
      </c>
      <c r="W1749" s="1">
        <v>0.0</v>
      </c>
      <c r="X1749" s="1">
        <v>0.0</v>
      </c>
      <c r="Y1749" s="1">
        <v>1.85</v>
      </c>
      <c r="Z1749" s="1">
        <v>7.0</v>
      </c>
    </row>
    <row r="1750" ht="14.25" customHeight="1">
      <c r="A1750" s="1" t="s">
        <v>26</v>
      </c>
      <c r="B1750" s="1" t="s">
        <v>8742</v>
      </c>
      <c r="C1750" s="1" t="s">
        <v>8743</v>
      </c>
      <c r="D1750" s="1">
        <v>7.8656813E7</v>
      </c>
      <c r="E1750" s="1" t="s">
        <v>2889</v>
      </c>
      <c r="F1750" s="1" t="s">
        <v>8744</v>
      </c>
      <c r="G1750" s="1" t="s">
        <v>8745</v>
      </c>
      <c r="H1750" s="1" t="s">
        <v>8746</v>
      </c>
      <c r="I1750" s="1">
        <v>42765.0</v>
      </c>
      <c r="J1750" s="1" t="s">
        <v>8747</v>
      </c>
      <c r="K1750" s="1" t="s">
        <v>8748</v>
      </c>
      <c r="L1750" s="1">
        <v>93.0</v>
      </c>
      <c r="M1750" s="1" t="s">
        <v>35</v>
      </c>
      <c r="N1750" s="1" t="s">
        <v>36</v>
      </c>
      <c r="O1750" s="1" t="s">
        <v>87</v>
      </c>
      <c r="P1750" s="1">
        <v>2.5E7</v>
      </c>
      <c r="Q1750" s="1">
        <v>1991.0</v>
      </c>
      <c r="R1750" s="1">
        <v>642.0</v>
      </c>
      <c r="S1750" s="1">
        <v>533.0</v>
      </c>
      <c r="T1750" s="1">
        <v>445.0</v>
      </c>
      <c r="U1750" s="1">
        <v>2501.0</v>
      </c>
      <c r="V1750" s="1">
        <v>34.0</v>
      </c>
      <c r="W1750" s="1">
        <v>0.0</v>
      </c>
      <c r="X1750" s="1">
        <v>0.0</v>
      </c>
      <c r="Y1750" s="1">
        <v>1.85</v>
      </c>
      <c r="Z1750" s="1">
        <v>6.0</v>
      </c>
    </row>
    <row r="1751" ht="14.25" customHeight="1">
      <c r="A1751" s="1" t="s">
        <v>26</v>
      </c>
      <c r="B1751" s="1" t="s">
        <v>2161</v>
      </c>
      <c r="C1751" s="1" t="s">
        <v>8749</v>
      </c>
      <c r="D1751" s="1">
        <v>7.6270454E7</v>
      </c>
      <c r="E1751" s="1" t="s">
        <v>2045</v>
      </c>
      <c r="F1751" s="1" t="s">
        <v>1663</v>
      </c>
      <c r="G1751" s="1" t="s">
        <v>8750</v>
      </c>
      <c r="H1751" s="1" t="s">
        <v>6705</v>
      </c>
      <c r="I1751" s="1">
        <v>219008.0</v>
      </c>
      <c r="J1751" s="1" t="s">
        <v>8751</v>
      </c>
      <c r="K1751" s="1" t="s">
        <v>8752</v>
      </c>
      <c r="L1751" s="1">
        <v>418.0</v>
      </c>
      <c r="M1751" s="1" t="s">
        <v>35</v>
      </c>
      <c r="N1751" s="1" t="s">
        <v>36</v>
      </c>
      <c r="O1751" s="1" t="s">
        <v>628</v>
      </c>
      <c r="P1751" s="1">
        <v>2.5E7</v>
      </c>
      <c r="Q1751" s="1">
        <v>1987.0</v>
      </c>
      <c r="R1751" s="1">
        <v>22000.0</v>
      </c>
      <c r="S1751" s="1">
        <v>371.0</v>
      </c>
      <c r="T1751" s="1">
        <v>188.0</v>
      </c>
      <c r="U1751" s="1">
        <v>22767.0</v>
      </c>
      <c r="V1751" s="1">
        <v>0.0</v>
      </c>
      <c r="W1751" s="1">
        <v>0.0</v>
      </c>
      <c r="X1751" s="1">
        <v>1.0</v>
      </c>
      <c r="Y1751" s="1">
        <v>2.35</v>
      </c>
      <c r="Z1751" s="1">
        <v>7.9</v>
      </c>
    </row>
    <row r="1752" ht="14.25" customHeight="1">
      <c r="A1752" s="1" t="s">
        <v>26</v>
      </c>
      <c r="B1752" s="1" t="s">
        <v>6676</v>
      </c>
      <c r="C1752" s="1" t="s">
        <v>8753</v>
      </c>
      <c r="D1752" s="1">
        <v>7.4273505E7</v>
      </c>
      <c r="E1752" s="1" t="s">
        <v>2045</v>
      </c>
      <c r="F1752" s="1" t="s">
        <v>390</v>
      </c>
      <c r="G1752" s="1" t="s">
        <v>1102</v>
      </c>
      <c r="H1752" s="1" t="s">
        <v>8754</v>
      </c>
      <c r="I1752" s="1">
        <v>612060.0</v>
      </c>
      <c r="J1752" s="1" t="s">
        <v>8755</v>
      </c>
      <c r="K1752" s="1" t="s">
        <v>8756</v>
      </c>
      <c r="L1752" s="1">
        <v>1518.0</v>
      </c>
      <c r="M1752" s="1" t="s">
        <v>35</v>
      </c>
      <c r="N1752" s="1" t="s">
        <v>36</v>
      </c>
      <c r="O1752" s="1" t="s">
        <v>628</v>
      </c>
      <c r="P1752" s="1">
        <v>2.5E7</v>
      </c>
      <c r="Q1752" s="1">
        <v>2007.0</v>
      </c>
      <c r="R1752" s="1">
        <v>2000.0</v>
      </c>
      <c r="S1752" s="1">
        <v>939.0</v>
      </c>
      <c r="T1752" s="1">
        <v>883.0</v>
      </c>
      <c r="U1752" s="1">
        <v>4738.0</v>
      </c>
      <c r="V1752" s="1">
        <v>1000.0</v>
      </c>
      <c r="W1752" s="1">
        <v>21000.0</v>
      </c>
      <c r="X1752" s="1">
        <v>0.0</v>
      </c>
      <c r="Y1752" s="1">
        <v>2.35</v>
      </c>
      <c r="Z1752" s="1">
        <v>8.1</v>
      </c>
    </row>
    <row r="1753" ht="14.25" customHeight="1">
      <c r="A1753" s="1" t="s">
        <v>26</v>
      </c>
      <c r="B1753" s="1" t="s">
        <v>1295</v>
      </c>
      <c r="C1753" s="1" t="s">
        <v>8757</v>
      </c>
      <c r="D1753" s="1">
        <v>1.3414153E8</v>
      </c>
      <c r="E1753" s="1" t="s">
        <v>5350</v>
      </c>
      <c r="F1753" s="1" t="s">
        <v>2200</v>
      </c>
      <c r="G1753" s="1" t="s">
        <v>7923</v>
      </c>
      <c r="H1753" s="1" t="s">
        <v>8758</v>
      </c>
      <c r="I1753" s="1">
        <v>75903.0</v>
      </c>
      <c r="J1753" s="1" t="s">
        <v>8759</v>
      </c>
      <c r="K1753" s="1" t="s">
        <v>8760</v>
      </c>
      <c r="L1753" s="1">
        <v>109.0</v>
      </c>
      <c r="M1753" s="1" t="s">
        <v>35</v>
      </c>
      <c r="N1753" s="1" t="s">
        <v>36</v>
      </c>
      <c r="O1753" s="1" t="s">
        <v>37</v>
      </c>
      <c r="P1753" s="1">
        <v>2.5E7</v>
      </c>
      <c r="Q1753" s="1">
        <v>2014.0</v>
      </c>
      <c r="R1753" s="1">
        <v>655.0</v>
      </c>
      <c r="S1753" s="1">
        <v>521.0</v>
      </c>
      <c r="T1753" s="1">
        <v>460.0</v>
      </c>
      <c r="U1753" s="1">
        <v>2394.0</v>
      </c>
      <c r="V1753" s="1">
        <v>167.0</v>
      </c>
      <c r="W1753" s="1">
        <v>0.0</v>
      </c>
      <c r="X1753" s="1">
        <v>1.0</v>
      </c>
      <c r="Y1753" s="1">
        <v>2.35</v>
      </c>
      <c r="Z1753" s="1">
        <v>6.2</v>
      </c>
    </row>
    <row r="1754" ht="14.25" customHeight="1">
      <c r="A1754" s="1" t="s">
        <v>26</v>
      </c>
      <c r="B1754" s="1" t="s">
        <v>8761</v>
      </c>
      <c r="C1754" s="1" t="s">
        <v>8762</v>
      </c>
      <c r="D1754" s="1">
        <v>7.1500556E7</v>
      </c>
      <c r="E1754" s="1" t="s">
        <v>1359</v>
      </c>
      <c r="F1754" s="1" t="s">
        <v>424</v>
      </c>
      <c r="G1754" s="1" t="s">
        <v>385</v>
      </c>
      <c r="H1754" s="1" t="s">
        <v>2207</v>
      </c>
      <c r="I1754" s="1">
        <v>171568.0</v>
      </c>
      <c r="J1754" s="1" t="s">
        <v>8763</v>
      </c>
      <c r="K1754" s="1" t="s">
        <v>8764</v>
      </c>
      <c r="L1754" s="1">
        <v>571.0</v>
      </c>
      <c r="M1754" s="1" t="s">
        <v>35</v>
      </c>
      <c r="N1754" s="1" t="s">
        <v>54</v>
      </c>
      <c r="O1754" s="1" t="s">
        <v>628</v>
      </c>
      <c r="P1754" s="1">
        <v>2.6E7</v>
      </c>
      <c r="Q1754" s="1">
        <v>2001.0</v>
      </c>
      <c r="R1754" s="1">
        <v>14000.0</v>
      </c>
      <c r="S1754" s="1">
        <v>1000.0</v>
      </c>
      <c r="T1754" s="1">
        <v>887.0</v>
      </c>
      <c r="U1754" s="1">
        <v>16999.0</v>
      </c>
      <c r="V1754" s="1">
        <v>11.0</v>
      </c>
      <c r="W1754" s="1">
        <v>0.0</v>
      </c>
      <c r="X1754" s="1">
        <v>3.0</v>
      </c>
      <c r="Y1754" s="1">
        <v>2.35</v>
      </c>
      <c r="Z1754" s="1">
        <v>6.7</v>
      </c>
    </row>
    <row r="1755" ht="14.25" customHeight="1">
      <c r="A1755" s="1" t="s">
        <v>26</v>
      </c>
      <c r="B1755" s="1" t="s">
        <v>7160</v>
      </c>
      <c r="C1755" s="1" t="s">
        <v>8765</v>
      </c>
      <c r="D1755" s="1">
        <v>7.130976E7</v>
      </c>
      <c r="E1755" s="1" t="s">
        <v>206</v>
      </c>
      <c r="F1755" s="1" t="s">
        <v>3001</v>
      </c>
      <c r="G1755" s="1" t="s">
        <v>8766</v>
      </c>
      <c r="H1755" s="1" t="s">
        <v>8767</v>
      </c>
      <c r="I1755" s="1">
        <v>150308.0</v>
      </c>
      <c r="J1755" s="1" t="s">
        <v>8768</v>
      </c>
      <c r="K1755" s="1" t="s">
        <v>8769</v>
      </c>
      <c r="L1755" s="1">
        <v>498.0</v>
      </c>
      <c r="M1755" s="1" t="s">
        <v>35</v>
      </c>
      <c r="N1755" s="1" t="s">
        <v>54</v>
      </c>
      <c r="O1755" s="1" t="s">
        <v>37</v>
      </c>
      <c r="P1755" s="1">
        <v>2.5E7</v>
      </c>
      <c r="Q1755" s="1">
        <v>2000.0</v>
      </c>
      <c r="R1755" s="1">
        <v>541.0</v>
      </c>
      <c r="S1755" s="1">
        <v>399.0</v>
      </c>
      <c r="T1755" s="1">
        <v>163.0</v>
      </c>
      <c r="U1755" s="1">
        <v>1323.0</v>
      </c>
      <c r="V1755" s="1">
        <v>529.0</v>
      </c>
      <c r="W1755" s="1">
        <v>18000.0</v>
      </c>
      <c r="X1755" s="1">
        <v>1.0</v>
      </c>
      <c r="Y1755" s="1">
        <v>1.85</v>
      </c>
      <c r="Z1755" s="1">
        <v>7.3</v>
      </c>
    </row>
    <row r="1756" ht="14.25" customHeight="1">
      <c r="A1756" s="1" t="s">
        <v>26</v>
      </c>
      <c r="B1756" s="1" t="s">
        <v>8770</v>
      </c>
      <c r="C1756" s="1" t="s">
        <v>8771</v>
      </c>
      <c r="D1756" s="1">
        <v>8.9808372E7</v>
      </c>
      <c r="E1756" s="1" t="s">
        <v>1885</v>
      </c>
      <c r="F1756" s="1" t="s">
        <v>4918</v>
      </c>
      <c r="G1756" s="1" t="s">
        <v>2200</v>
      </c>
      <c r="H1756" s="1" t="s">
        <v>8772</v>
      </c>
      <c r="I1756" s="1">
        <v>46417.0</v>
      </c>
      <c r="J1756" s="1" t="s">
        <v>8773</v>
      </c>
      <c r="K1756" s="1" t="s">
        <v>8774</v>
      </c>
      <c r="L1756" s="1">
        <v>297.0</v>
      </c>
      <c r="M1756" s="1" t="s">
        <v>35</v>
      </c>
      <c r="N1756" s="1" t="s">
        <v>36</v>
      </c>
      <c r="O1756" s="1" t="s">
        <v>37</v>
      </c>
      <c r="P1756" s="1">
        <v>4.5E7</v>
      </c>
      <c r="Q1756" s="1">
        <v>2003.0</v>
      </c>
      <c r="R1756" s="1">
        <v>934.0</v>
      </c>
      <c r="S1756" s="1">
        <v>655.0</v>
      </c>
      <c r="T1756" s="1">
        <v>643.0</v>
      </c>
      <c r="U1756" s="1">
        <v>3500.0</v>
      </c>
      <c r="V1756" s="1">
        <v>0.0</v>
      </c>
      <c r="W1756" s="1">
        <v>660.0</v>
      </c>
      <c r="X1756" s="1">
        <v>2.0</v>
      </c>
      <c r="Y1756" s="1">
        <v>1.85</v>
      </c>
      <c r="Z1756" s="1">
        <v>4.6</v>
      </c>
    </row>
    <row r="1757" ht="14.25" customHeight="1">
      <c r="A1757" s="1" t="s">
        <v>26</v>
      </c>
      <c r="B1757" s="1" t="s">
        <v>4849</v>
      </c>
      <c r="C1757" s="1" t="s">
        <v>8775</v>
      </c>
      <c r="D1757" s="1">
        <v>7.7264926E7</v>
      </c>
      <c r="E1757" s="1" t="s">
        <v>2904</v>
      </c>
      <c r="F1757" s="1" t="s">
        <v>2515</v>
      </c>
      <c r="G1757" s="1" t="s">
        <v>8776</v>
      </c>
      <c r="H1757" s="1" t="s">
        <v>895</v>
      </c>
      <c r="I1757" s="1">
        <v>21176.0</v>
      </c>
      <c r="J1757" s="1" t="s">
        <v>8777</v>
      </c>
      <c r="K1757" s="1" t="s">
        <v>8778</v>
      </c>
      <c r="L1757" s="1">
        <v>107.0</v>
      </c>
      <c r="M1757" s="1" t="s">
        <v>35</v>
      </c>
      <c r="N1757" s="1" t="s">
        <v>36</v>
      </c>
      <c r="O1757" s="1" t="s">
        <v>87</v>
      </c>
      <c r="P1757" s="1">
        <v>2.5E7</v>
      </c>
      <c r="Q1757" s="1">
        <v>2012.0</v>
      </c>
      <c r="R1757" s="1">
        <v>3000.0</v>
      </c>
      <c r="S1757" s="1">
        <v>448.0</v>
      </c>
      <c r="T1757" s="1">
        <v>433.0</v>
      </c>
      <c r="U1757" s="1">
        <v>5740.0</v>
      </c>
      <c r="V1757" s="1">
        <v>99.0</v>
      </c>
      <c r="W1757" s="1">
        <v>0.0</v>
      </c>
      <c r="X1757" s="1">
        <v>5.0</v>
      </c>
      <c r="Y1757" s="1">
        <v>1.85</v>
      </c>
      <c r="Z1757" s="1">
        <v>6.1</v>
      </c>
    </row>
    <row r="1758" ht="14.25" customHeight="1">
      <c r="A1758" s="1" t="s">
        <v>26</v>
      </c>
      <c r="B1758" s="1" t="s">
        <v>2580</v>
      </c>
      <c r="C1758" s="1" t="s">
        <v>8779</v>
      </c>
      <c r="D1758" s="1">
        <v>7.0625986E7</v>
      </c>
      <c r="E1758" s="1" t="s">
        <v>1598</v>
      </c>
      <c r="F1758" s="1" t="s">
        <v>805</v>
      </c>
      <c r="G1758" s="1" t="s">
        <v>8780</v>
      </c>
      <c r="H1758" s="1" t="s">
        <v>528</v>
      </c>
      <c r="I1758" s="1">
        <v>168717.0</v>
      </c>
      <c r="J1758" s="1" t="s">
        <v>8781</v>
      </c>
      <c r="K1758" s="1" t="s">
        <v>8782</v>
      </c>
      <c r="L1758" s="1">
        <v>178.0</v>
      </c>
      <c r="M1758" s="1" t="s">
        <v>35</v>
      </c>
      <c r="N1758" s="1" t="s">
        <v>36</v>
      </c>
      <c r="O1758" s="1" t="s">
        <v>628</v>
      </c>
      <c r="P1758" s="1">
        <v>2.5E7</v>
      </c>
      <c r="Q1758" s="1">
        <v>2011.0</v>
      </c>
      <c r="R1758" s="1">
        <v>20000.0</v>
      </c>
      <c r="S1758" s="1">
        <v>962.0</v>
      </c>
      <c r="T1758" s="1">
        <v>766.0</v>
      </c>
      <c r="U1758" s="1">
        <v>22739.0</v>
      </c>
      <c r="V1758" s="1">
        <v>425.0</v>
      </c>
      <c r="W1758" s="1">
        <v>24000.0</v>
      </c>
      <c r="X1758" s="1">
        <v>1.0</v>
      </c>
      <c r="Y1758" s="1">
        <v>2.35</v>
      </c>
      <c r="Z1758" s="1">
        <v>6.2</v>
      </c>
    </row>
    <row r="1759" ht="14.25" customHeight="1">
      <c r="A1759" s="1" t="s">
        <v>26</v>
      </c>
      <c r="B1759" s="1" t="s">
        <v>5615</v>
      </c>
      <c r="C1759" s="1" t="s">
        <v>8783</v>
      </c>
      <c r="D1759" s="1">
        <v>5.6505065E7</v>
      </c>
      <c r="E1759" s="1" t="s">
        <v>8784</v>
      </c>
      <c r="F1759" s="1" t="s">
        <v>2860</v>
      </c>
      <c r="G1759" s="1" t="s">
        <v>8785</v>
      </c>
      <c r="H1759" s="1" t="s">
        <v>5976</v>
      </c>
      <c r="I1759" s="1">
        <v>95241.0</v>
      </c>
      <c r="J1759" s="1" t="s">
        <v>8786</v>
      </c>
      <c r="K1759" s="1" t="s">
        <v>8787</v>
      </c>
      <c r="L1759" s="1">
        <v>439.0</v>
      </c>
      <c r="M1759" s="1" t="s">
        <v>35</v>
      </c>
      <c r="N1759" s="1" t="s">
        <v>36</v>
      </c>
      <c r="O1759" s="1" t="s">
        <v>628</v>
      </c>
      <c r="P1759" s="1">
        <v>2.5E7</v>
      </c>
      <c r="Q1759" s="1">
        <v>1993.0</v>
      </c>
      <c r="R1759" s="1">
        <v>2000.0</v>
      </c>
      <c r="S1759" s="1">
        <v>722.0</v>
      </c>
      <c r="T1759" s="1">
        <v>472.0</v>
      </c>
      <c r="U1759" s="1">
        <v>4453.0</v>
      </c>
      <c r="V1759" s="1">
        <v>170.0</v>
      </c>
      <c r="W1759" s="1">
        <v>11000.0</v>
      </c>
      <c r="X1759" s="1">
        <v>0.0</v>
      </c>
      <c r="Y1759" s="1">
        <v>2.35</v>
      </c>
      <c r="Z1759" s="1">
        <v>7.8</v>
      </c>
    </row>
    <row r="1760" ht="14.25" customHeight="1">
      <c r="A1760" s="1" t="s">
        <v>26</v>
      </c>
      <c r="B1760" s="1" t="s">
        <v>3272</v>
      </c>
      <c r="C1760" s="1" t="s">
        <v>8788</v>
      </c>
      <c r="D1760" s="1">
        <v>5.5973336E7</v>
      </c>
      <c r="E1760" s="1" t="s">
        <v>326</v>
      </c>
      <c r="F1760" s="1" t="s">
        <v>487</v>
      </c>
      <c r="G1760" s="1" t="s">
        <v>457</v>
      </c>
      <c r="H1760" s="1" t="s">
        <v>7029</v>
      </c>
      <c r="I1760" s="1">
        <v>57040.0</v>
      </c>
      <c r="J1760" s="1" t="s">
        <v>8789</v>
      </c>
      <c r="K1760" s="1" t="s">
        <v>8790</v>
      </c>
      <c r="L1760" s="1">
        <v>365.0</v>
      </c>
      <c r="M1760" s="1" t="s">
        <v>35</v>
      </c>
      <c r="N1760" s="1" t="s">
        <v>36</v>
      </c>
      <c r="O1760" s="1" t="s">
        <v>628</v>
      </c>
      <c r="P1760" s="1">
        <v>2.5E7</v>
      </c>
      <c r="Q1760" s="1">
        <v>2000.0</v>
      </c>
      <c r="R1760" s="1">
        <v>5000.0</v>
      </c>
      <c r="S1760" s="1">
        <v>848.0</v>
      </c>
      <c r="T1760" s="1">
        <v>775.0</v>
      </c>
      <c r="U1760" s="1">
        <v>9082.0</v>
      </c>
      <c r="V1760" s="1">
        <v>43.0</v>
      </c>
      <c r="W1760" s="1">
        <v>0.0</v>
      </c>
      <c r="X1760" s="1">
        <v>1.0</v>
      </c>
      <c r="Y1760" s="1">
        <v>2.35</v>
      </c>
      <c r="Z1760" s="1">
        <v>6.1</v>
      </c>
    </row>
    <row r="1761" ht="14.25" customHeight="1">
      <c r="A1761" s="1" t="s">
        <v>26</v>
      </c>
      <c r="B1761" s="1" t="s">
        <v>5193</v>
      </c>
      <c r="C1761" s="1" t="s">
        <v>8791</v>
      </c>
      <c r="D1761" s="1">
        <v>5.4098051E7</v>
      </c>
      <c r="E1761" s="1" t="s">
        <v>6019</v>
      </c>
      <c r="F1761" s="1" t="s">
        <v>8792</v>
      </c>
      <c r="G1761" s="1" t="s">
        <v>8793</v>
      </c>
      <c r="H1761" s="1" t="s">
        <v>5313</v>
      </c>
      <c r="I1761" s="1">
        <v>102861.0</v>
      </c>
      <c r="J1761" s="1" t="s">
        <v>8794</v>
      </c>
      <c r="K1761" s="1" t="s">
        <v>8795</v>
      </c>
      <c r="L1761" s="1">
        <v>571.0</v>
      </c>
      <c r="M1761" s="1" t="s">
        <v>35</v>
      </c>
      <c r="N1761" s="1" t="s">
        <v>730</v>
      </c>
      <c r="O1761" s="1" t="s">
        <v>628</v>
      </c>
      <c r="P1761" s="1">
        <v>2.5E7</v>
      </c>
      <c r="Q1761" s="1">
        <v>2006.0</v>
      </c>
      <c r="R1761" s="1">
        <v>440.0</v>
      </c>
      <c r="S1761" s="1">
        <v>346.0</v>
      </c>
      <c r="T1761" s="1">
        <v>318.0</v>
      </c>
      <c r="U1761" s="1">
        <v>2420.0</v>
      </c>
      <c r="V1761" s="1">
        <v>70.0</v>
      </c>
      <c r="W1761" s="1">
        <v>0.0</v>
      </c>
      <c r="X1761" s="1">
        <v>0.0</v>
      </c>
      <c r="Y1761" s="1">
        <v>2.35</v>
      </c>
      <c r="Z1761" s="1">
        <v>5.8</v>
      </c>
    </row>
    <row r="1762" ht="14.25" customHeight="1">
      <c r="A1762" s="1" t="s">
        <v>26</v>
      </c>
      <c r="B1762" s="1" t="s">
        <v>6760</v>
      </c>
      <c r="C1762" s="1" t="s">
        <v>8796</v>
      </c>
      <c r="D1762" s="1">
        <v>6.0443237E7</v>
      </c>
      <c r="E1762" s="1" t="s">
        <v>206</v>
      </c>
      <c r="F1762" s="1" t="s">
        <v>1664</v>
      </c>
      <c r="G1762" s="1" t="s">
        <v>8797</v>
      </c>
      <c r="H1762" s="1" t="s">
        <v>8798</v>
      </c>
      <c r="I1762" s="1">
        <v>76882.0</v>
      </c>
      <c r="J1762" s="1" t="s">
        <v>8799</v>
      </c>
      <c r="K1762" s="1" t="s">
        <v>8800</v>
      </c>
      <c r="L1762" s="1">
        <v>106.0</v>
      </c>
      <c r="M1762" s="1" t="s">
        <v>35</v>
      </c>
      <c r="N1762" s="1" t="s">
        <v>36</v>
      </c>
      <c r="O1762" s="1" t="s">
        <v>37</v>
      </c>
      <c r="P1762" s="1">
        <v>2.5E7</v>
      </c>
      <c r="Q1762" s="1">
        <v>2012.0</v>
      </c>
      <c r="R1762" s="1">
        <v>713.0</v>
      </c>
      <c r="S1762" s="1">
        <v>220.0</v>
      </c>
      <c r="T1762" s="1">
        <v>204.0</v>
      </c>
      <c r="U1762" s="1">
        <v>1852.0</v>
      </c>
      <c r="V1762" s="1">
        <v>96.0</v>
      </c>
      <c r="W1762" s="1">
        <v>29000.0</v>
      </c>
      <c r="X1762" s="1">
        <v>0.0</v>
      </c>
      <c r="Y1762" s="1">
        <v>2.35</v>
      </c>
      <c r="Z1762" s="1">
        <v>6.5</v>
      </c>
    </row>
    <row r="1763" ht="14.25" customHeight="1">
      <c r="A1763" s="1" t="s">
        <v>26</v>
      </c>
      <c r="B1763" s="1" t="s">
        <v>8801</v>
      </c>
      <c r="C1763" s="1" t="s">
        <v>8802</v>
      </c>
      <c r="D1763" s="1">
        <v>8.2234139E7</v>
      </c>
      <c r="E1763" s="1" t="s">
        <v>533</v>
      </c>
      <c r="F1763" s="1" t="s">
        <v>663</v>
      </c>
      <c r="G1763" s="1" t="s">
        <v>1868</v>
      </c>
      <c r="H1763" s="1" t="s">
        <v>2515</v>
      </c>
      <c r="I1763" s="1">
        <v>110390.0</v>
      </c>
      <c r="J1763" s="1" t="s">
        <v>8803</v>
      </c>
      <c r="K1763" s="1" t="s">
        <v>8804</v>
      </c>
      <c r="L1763" s="1">
        <v>522.0</v>
      </c>
      <c r="M1763" s="1" t="s">
        <v>35</v>
      </c>
      <c r="N1763" s="1" t="s">
        <v>36</v>
      </c>
      <c r="O1763" s="1" t="s">
        <v>87</v>
      </c>
      <c r="P1763" s="1">
        <v>1.7E7</v>
      </c>
      <c r="Q1763" s="1">
        <v>2007.0</v>
      </c>
      <c r="R1763" s="1">
        <v>14000.0</v>
      </c>
      <c r="S1763" s="1">
        <v>11000.0</v>
      </c>
      <c r="T1763" s="1">
        <v>3000.0</v>
      </c>
      <c r="U1763" s="1">
        <v>28071.0</v>
      </c>
      <c r="V1763" s="1">
        <v>47.0</v>
      </c>
      <c r="W1763" s="1">
        <v>6000.0</v>
      </c>
      <c r="X1763" s="1">
        <v>3.0</v>
      </c>
      <c r="Y1763" s="1">
        <v>1.85</v>
      </c>
      <c r="Z1763" s="1">
        <v>7.2</v>
      </c>
    </row>
    <row r="1764" ht="14.25" customHeight="1">
      <c r="A1764" s="1" t="s">
        <v>26</v>
      </c>
      <c r="B1764" s="1" t="s">
        <v>117</v>
      </c>
      <c r="C1764" s="1" t="s">
        <v>8805</v>
      </c>
      <c r="D1764" s="1">
        <v>5.1676606E7</v>
      </c>
      <c r="E1764" s="1" t="s">
        <v>8806</v>
      </c>
      <c r="F1764" s="1" t="s">
        <v>41</v>
      </c>
      <c r="G1764" s="1" t="s">
        <v>208</v>
      </c>
      <c r="H1764" s="1" t="s">
        <v>390</v>
      </c>
      <c r="I1764" s="1">
        <v>174591.0</v>
      </c>
      <c r="J1764" s="1" t="s">
        <v>8807</v>
      </c>
      <c r="K1764" s="1" t="s">
        <v>8808</v>
      </c>
      <c r="L1764" s="1">
        <v>632.0</v>
      </c>
      <c r="M1764" s="1" t="s">
        <v>35</v>
      </c>
      <c r="N1764" s="1" t="s">
        <v>36</v>
      </c>
      <c r="O1764" s="1" t="s">
        <v>87</v>
      </c>
      <c r="P1764" s="1">
        <v>2.5E7</v>
      </c>
      <c r="Q1764" s="1">
        <v>2004.0</v>
      </c>
      <c r="R1764" s="1">
        <v>40000.0</v>
      </c>
      <c r="S1764" s="1">
        <v>14000.0</v>
      </c>
      <c r="T1764" s="1">
        <v>2000.0</v>
      </c>
      <c r="U1764" s="1">
        <v>58823.0</v>
      </c>
      <c r="V1764" s="1">
        <v>395.0</v>
      </c>
      <c r="W1764" s="1">
        <v>0.0</v>
      </c>
      <c r="X1764" s="1">
        <v>1.0</v>
      </c>
      <c r="Y1764" s="1">
        <v>2.35</v>
      </c>
      <c r="Z1764" s="1">
        <v>7.8</v>
      </c>
    </row>
    <row r="1765" ht="14.25" customHeight="1">
      <c r="A1765" s="1" t="s">
        <v>26</v>
      </c>
      <c r="B1765" s="1" t="s">
        <v>8809</v>
      </c>
      <c r="C1765" s="1" t="s">
        <v>8810</v>
      </c>
      <c r="D1765" s="1">
        <v>5.252833E7</v>
      </c>
      <c r="E1765" s="1" t="s">
        <v>2422</v>
      </c>
      <c r="F1765" s="1" t="s">
        <v>3793</v>
      </c>
      <c r="G1765" s="1" t="s">
        <v>7923</v>
      </c>
      <c r="H1765" s="1" t="s">
        <v>8811</v>
      </c>
      <c r="I1765" s="1">
        <v>4265.0</v>
      </c>
      <c r="J1765" s="1" t="s">
        <v>8812</v>
      </c>
      <c r="K1765" s="1" t="s">
        <v>8813</v>
      </c>
      <c r="L1765" s="1">
        <v>27.0</v>
      </c>
      <c r="M1765" s="1" t="s">
        <v>35</v>
      </c>
      <c r="N1765" s="1" t="s">
        <v>36</v>
      </c>
      <c r="O1765" s="1" t="s">
        <v>37</v>
      </c>
      <c r="P1765" s="1">
        <v>2.5E7</v>
      </c>
      <c r="Q1765" s="1">
        <v>2013.0</v>
      </c>
      <c r="R1765" s="1">
        <v>975.0</v>
      </c>
      <c r="S1765" s="1">
        <v>521.0</v>
      </c>
      <c r="T1765" s="1">
        <v>400.0</v>
      </c>
      <c r="U1765" s="1">
        <v>3202.0</v>
      </c>
      <c r="V1765" s="1">
        <v>0.0</v>
      </c>
      <c r="W1765" s="1">
        <v>0.0</v>
      </c>
      <c r="X1765" s="1">
        <v>0.0</v>
      </c>
      <c r="Y1765" s="1">
        <v>1.85</v>
      </c>
      <c r="Z1765" s="1">
        <v>4.7</v>
      </c>
    </row>
    <row r="1766" ht="14.25" customHeight="1">
      <c r="A1766" s="1" t="s">
        <v>26</v>
      </c>
      <c r="B1766" s="1" t="s">
        <v>8814</v>
      </c>
      <c r="C1766" s="1" t="s">
        <v>8815</v>
      </c>
      <c r="D1766" s="1">
        <v>5.1533608E7</v>
      </c>
      <c r="E1766" s="1" t="s">
        <v>675</v>
      </c>
      <c r="F1766" s="1" t="s">
        <v>220</v>
      </c>
      <c r="G1766" s="1" t="s">
        <v>1616</v>
      </c>
      <c r="H1766" s="1" t="s">
        <v>4907</v>
      </c>
      <c r="I1766" s="1">
        <v>203111.0</v>
      </c>
      <c r="J1766" s="1" t="s">
        <v>8816</v>
      </c>
      <c r="K1766" s="1" t="s">
        <v>8817</v>
      </c>
      <c r="L1766" s="1">
        <v>755.0</v>
      </c>
      <c r="M1766" s="1" t="s">
        <v>35</v>
      </c>
      <c r="N1766" s="1" t="s">
        <v>36</v>
      </c>
      <c r="O1766" s="1" t="s">
        <v>628</v>
      </c>
      <c r="P1766" s="1">
        <v>2.5E7</v>
      </c>
      <c r="Q1766" s="1">
        <v>2011.0</v>
      </c>
      <c r="R1766" s="1">
        <v>14000.0</v>
      </c>
      <c r="S1766" s="1">
        <v>798.0</v>
      </c>
      <c r="T1766" s="1">
        <v>726.0</v>
      </c>
      <c r="U1766" s="1">
        <v>16606.0</v>
      </c>
      <c r="V1766" s="1">
        <v>248.0</v>
      </c>
      <c r="W1766" s="1">
        <v>32000.0</v>
      </c>
      <c r="X1766" s="1">
        <v>1.0</v>
      </c>
      <c r="Y1766" s="1">
        <v>2.35</v>
      </c>
      <c r="Z1766" s="1">
        <v>6.8</v>
      </c>
    </row>
    <row r="1767" ht="14.25" customHeight="1">
      <c r="A1767" s="1" t="s">
        <v>26</v>
      </c>
      <c r="B1767" s="1" t="s">
        <v>8818</v>
      </c>
      <c r="C1767" s="1" t="s">
        <v>8819</v>
      </c>
      <c r="D1767" s="1">
        <v>5.1097664E7</v>
      </c>
      <c r="E1767" s="1" t="s">
        <v>5758</v>
      </c>
      <c r="F1767" s="1" t="s">
        <v>1663</v>
      </c>
      <c r="G1767" s="1" t="s">
        <v>4388</v>
      </c>
      <c r="H1767" s="1" t="s">
        <v>7354</v>
      </c>
      <c r="I1767" s="1">
        <v>70205.0</v>
      </c>
      <c r="J1767" s="1" t="s">
        <v>8820</v>
      </c>
      <c r="K1767" s="1" t="s">
        <v>8821</v>
      </c>
      <c r="L1767" s="1">
        <v>450.0</v>
      </c>
      <c r="M1767" s="1" t="s">
        <v>35</v>
      </c>
      <c r="N1767" s="1" t="s">
        <v>36</v>
      </c>
      <c r="O1767" s="1" t="s">
        <v>628</v>
      </c>
      <c r="P1767" s="1">
        <v>3.0E7</v>
      </c>
      <c r="Q1767" s="1">
        <v>2005.0</v>
      </c>
      <c r="R1767" s="1">
        <v>22000.0</v>
      </c>
      <c r="S1767" s="1">
        <v>812.0</v>
      </c>
      <c r="T1767" s="1">
        <v>317.0</v>
      </c>
      <c r="U1767" s="1">
        <v>23328.0</v>
      </c>
      <c r="V1767" s="1">
        <v>21.0</v>
      </c>
      <c r="W1767" s="1">
        <v>0.0</v>
      </c>
      <c r="X1767" s="1">
        <v>0.0</v>
      </c>
      <c r="Y1767" s="1">
        <v>2.35</v>
      </c>
      <c r="Z1767" s="1">
        <v>5.9</v>
      </c>
    </row>
    <row r="1768" ht="14.25" customHeight="1">
      <c r="A1768" s="1" t="s">
        <v>26</v>
      </c>
      <c r="B1768" s="1" t="s">
        <v>1668</v>
      </c>
      <c r="C1768" s="1" t="s">
        <v>8822</v>
      </c>
      <c r="D1768" s="1">
        <v>8.4136909E7</v>
      </c>
      <c r="E1768" s="1" t="s">
        <v>1885</v>
      </c>
      <c r="F1768" s="1" t="s">
        <v>8823</v>
      </c>
      <c r="G1768" s="1" t="s">
        <v>1197</v>
      </c>
      <c r="H1768" s="1" t="s">
        <v>503</v>
      </c>
      <c r="I1768" s="1">
        <v>267921.0</v>
      </c>
      <c r="J1768" s="1" t="s">
        <v>8824</v>
      </c>
      <c r="K1768" s="1" t="s">
        <v>8825</v>
      </c>
      <c r="L1768" s="1">
        <v>577.0</v>
      </c>
      <c r="M1768" s="1" t="s">
        <v>35</v>
      </c>
      <c r="N1768" s="1" t="s">
        <v>36</v>
      </c>
      <c r="O1768" s="1" t="s">
        <v>37</v>
      </c>
      <c r="P1768" s="1">
        <v>2.6E7</v>
      </c>
      <c r="Q1768" s="1">
        <v>2004.0</v>
      </c>
      <c r="R1768" s="1">
        <v>640000.0</v>
      </c>
      <c r="S1768" s="1">
        <v>8000.0</v>
      </c>
      <c r="T1768" s="1">
        <v>7000.0</v>
      </c>
      <c r="U1768" s="1">
        <v>656730.0</v>
      </c>
      <c r="V1768" s="1">
        <v>285.0</v>
      </c>
      <c r="W1768" s="1">
        <v>0.0</v>
      </c>
      <c r="X1768" s="1">
        <v>5.0</v>
      </c>
      <c r="Y1768" s="1">
        <v>1.85</v>
      </c>
      <c r="Z1768" s="1">
        <v>7.2</v>
      </c>
    </row>
    <row r="1769" ht="14.25" customHeight="1">
      <c r="A1769" s="1" t="s">
        <v>26</v>
      </c>
      <c r="B1769" s="1" t="s">
        <v>472</v>
      </c>
      <c r="C1769" s="1" t="s">
        <v>8826</v>
      </c>
      <c r="D1769" s="1">
        <v>4.6836394E7</v>
      </c>
      <c r="E1769" s="1" t="s">
        <v>1643</v>
      </c>
      <c r="F1769" s="1" t="s">
        <v>1663</v>
      </c>
      <c r="G1769" s="1" t="s">
        <v>3031</v>
      </c>
      <c r="H1769" s="1" t="s">
        <v>7184</v>
      </c>
      <c r="I1769" s="1">
        <v>728685.0</v>
      </c>
      <c r="J1769" s="1" t="s">
        <v>8827</v>
      </c>
      <c r="K1769" s="1" t="s">
        <v>8828</v>
      </c>
      <c r="L1769" s="1">
        <v>989.0</v>
      </c>
      <c r="M1769" s="1" t="s">
        <v>35</v>
      </c>
      <c r="N1769" s="1" t="s">
        <v>36</v>
      </c>
      <c r="O1769" s="1" t="s">
        <v>628</v>
      </c>
      <c r="P1769" s="1">
        <v>2.5E7</v>
      </c>
      <c r="Q1769" s="1">
        <v>1990.0</v>
      </c>
      <c r="R1769" s="1">
        <v>22000.0</v>
      </c>
      <c r="S1769" s="1">
        <v>854.0</v>
      </c>
      <c r="T1769" s="1">
        <v>635.0</v>
      </c>
      <c r="U1769" s="1">
        <v>24783.0</v>
      </c>
      <c r="V1769" s="1">
        <v>17000.0</v>
      </c>
      <c r="W1769" s="1">
        <v>25000.0</v>
      </c>
      <c r="X1769" s="1">
        <v>3.0</v>
      </c>
      <c r="Y1769" s="1">
        <v>1.85</v>
      </c>
      <c r="Z1769" s="1">
        <v>8.7</v>
      </c>
    </row>
    <row r="1770" ht="14.25" customHeight="1">
      <c r="A1770" s="1" t="s">
        <v>26</v>
      </c>
      <c r="B1770" s="1" t="s">
        <v>4144</v>
      </c>
      <c r="C1770" s="1" t="s">
        <v>8829</v>
      </c>
      <c r="D1770" s="1">
        <v>4.7285499E7</v>
      </c>
      <c r="E1770" s="1" t="s">
        <v>8830</v>
      </c>
      <c r="F1770" s="1" t="s">
        <v>5635</v>
      </c>
      <c r="G1770" s="1" t="s">
        <v>8625</v>
      </c>
      <c r="H1770" s="1" t="s">
        <v>8831</v>
      </c>
      <c r="I1770" s="1">
        <v>26755.0</v>
      </c>
      <c r="J1770" s="1" t="s">
        <v>8832</v>
      </c>
      <c r="K1770" s="1" t="s">
        <v>8833</v>
      </c>
      <c r="L1770" s="1">
        <v>104.0</v>
      </c>
      <c r="M1770" s="1" t="s">
        <v>35</v>
      </c>
      <c r="N1770" s="1" t="s">
        <v>36</v>
      </c>
      <c r="O1770" s="1" t="s">
        <v>87</v>
      </c>
      <c r="P1770" s="1">
        <v>2.6E7</v>
      </c>
      <c r="Q1770" s="1">
        <v>2003.0</v>
      </c>
      <c r="R1770" s="1">
        <v>1000.0</v>
      </c>
      <c r="S1770" s="1">
        <v>934.0</v>
      </c>
      <c r="T1770" s="1">
        <v>434.0</v>
      </c>
      <c r="U1770" s="1">
        <v>3037.0</v>
      </c>
      <c r="V1770" s="1">
        <v>91.0</v>
      </c>
      <c r="W1770" s="1">
        <v>542.0</v>
      </c>
      <c r="X1770" s="1">
        <v>3.0</v>
      </c>
      <c r="Y1770" s="1">
        <v>2.35</v>
      </c>
      <c r="Z1770" s="1">
        <v>5.0</v>
      </c>
    </row>
    <row r="1771" ht="14.25" customHeight="1">
      <c r="A1771" s="1" t="s">
        <v>26</v>
      </c>
      <c r="B1771" s="1" t="s">
        <v>6672</v>
      </c>
      <c r="C1771" s="1" t="s">
        <v>8834</v>
      </c>
      <c r="D1771" s="1">
        <v>4.71244E7</v>
      </c>
      <c r="E1771" s="1" t="s">
        <v>501</v>
      </c>
      <c r="F1771" s="1" t="s">
        <v>424</v>
      </c>
      <c r="G1771" s="1" t="s">
        <v>390</v>
      </c>
      <c r="H1771" s="1" t="s">
        <v>2334</v>
      </c>
      <c r="I1771" s="1">
        <v>49676.0</v>
      </c>
      <c r="J1771" s="1" t="s">
        <v>8835</v>
      </c>
      <c r="K1771" s="1" t="s">
        <v>8836</v>
      </c>
      <c r="L1771" s="1">
        <v>181.0</v>
      </c>
      <c r="M1771" s="1" t="s">
        <v>35</v>
      </c>
      <c r="N1771" s="1" t="s">
        <v>36</v>
      </c>
      <c r="O1771" s="1" t="s">
        <v>87</v>
      </c>
      <c r="P1771" s="1">
        <v>2.5E7</v>
      </c>
      <c r="Q1771" s="1">
        <v>2005.0</v>
      </c>
      <c r="R1771" s="1">
        <v>14000.0</v>
      </c>
      <c r="S1771" s="1">
        <v>2000.0</v>
      </c>
      <c r="T1771" s="1">
        <v>579.0</v>
      </c>
      <c r="U1771" s="1">
        <v>17278.0</v>
      </c>
      <c r="V1771" s="1">
        <v>52.0</v>
      </c>
      <c r="W1771" s="1">
        <v>0.0</v>
      </c>
      <c r="X1771" s="1">
        <v>0.0</v>
      </c>
      <c r="Y1771" s="1">
        <v>2.35</v>
      </c>
      <c r="Z1771" s="1">
        <v>6.6</v>
      </c>
    </row>
    <row r="1772" ht="14.25" customHeight="1">
      <c r="A1772" s="1" t="s">
        <v>26</v>
      </c>
      <c r="B1772" s="1" t="s">
        <v>2161</v>
      </c>
      <c r="C1772" s="1" t="s">
        <v>8837</v>
      </c>
      <c r="D1772" s="1">
        <v>4.47E7</v>
      </c>
      <c r="E1772" s="1" t="s">
        <v>1854</v>
      </c>
      <c r="F1772" s="1" t="s">
        <v>2292</v>
      </c>
      <c r="G1772" s="1" t="s">
        <v>2317</v>
      </c>
      <c r="H1772" s="1" t="s">
        <v>1291</v>
      </c>
      <c r="I1772" s="1">
        <v>537442.0</v>
      </c>
      <c r="J1772" s="1" t="s">
        <v>8838</v>
      </c>
      <c r="K1772" s="1" t="s">
        <v>8839</v>
      </c>
      <c r="L1772" s="1">
        <v>851.0</v>
      </c>
      <c r="M1772" s="1" t="s">
        <v>35</v>
      </c>
      <c r="N1772" s="1" t="s">
        <v>36</v>
      </c>
      <c r="O1772" s="1" t="s">
        <v>628</v>
      </c>
      <c r="P1772" s="1">
        <v>2.5E7</v>
      </c>
      <c r="Q1772" s="1">
        <v>1983.0</v>
      </c>
      <c r="R1772" s="1">
        <v>14000.0</v>
      </c>
      <c r="S1772" s="1">
        <v>670.0</v>
      </c>
      <c r="T1772" s="1">
        <v>638.0</v>
      </c>
      <c r="U1772" s="1">
        <v>16464.0</v>
      </c>
      <c r="V1772" s="1">
        <v>0.0</v>
      </c>
      <c r="W1772" s="1">
        <v>19000.0</v>
      </c>
      <c r="X1772" s="1">
        <v>0.0</v>
      </c>
      <c r="Y1772" s="1">
        <v>2.35</v>
      </c>
      <c r="Z1772" s="1">
        <v>8.3</v>
      </c>
    </row>
    <row r="1773" ht="14.25" customHeight="1">
      <c r="A1773" s="1" t="s">
        <v>26</v>
      </c>
      <c r="B1773" s="1" t="s">
        <v>4713</v>
      </c>
      <c r="C1773" s="1" t="s">
        <v>8840</v>
      </c>
      <c r="D1773" s="1">
        <v>4.4455658E7</v>
      </c>
      <c r="E1773" s="1" t="s">
        <v>1319</v>
      </c>
      <c r="F1773" s="1" t="s">
        <v>1562</v>
      </c>
      <c r="G1773" s="1" t="s">
        <v>2658</v>
      </c>
      <c r="H1773" s="1" t="s">
        <v>8841</v>
      </c>
      <c r="I1773" s="1">
        <v>36253.0</v>
      </c>
      <c r="J1773" s="1" t="s">
        <v>8842</v>
      </c>
      <c r="K1773" s="1" t="s">
        <v>8843</v>
      </c>
      <c r="L1773" s="1">
        <v>92.0</v>
      </c>
      <c r="M1773" s="1" t="s">
        <v>35</v>
      </c>
      <c r="N1773" s="1" t="s">
        <v>36</v>
      </c>
      <c r="O1773" s="1" t="s">
        <v>628</v>
      </c>
      <c r="P1773" s="1">
        <v>2.5E7</v>
      </c>
      <c r="Q1773" s="1">
        <v>1997.0</v>
      </c>
      <c r="R1773" s="1">
        <v>742.0</v>
      </c>
      <c r="S1773" s="1">
        <v>658.0</v>
      </c>
      <c r="T1773" s="1">
        <v>468.0</v>
      </c>
      <c r="U1773" s="1">
        <v>2457.0</v>
      </c>
      <c r="V1773" s="1">
        <v>176.0</v>
      </c>
      <c r="W1773" s="1">
        <v>0.0</v>
      </c>
      <c r="X1773" s="1">
        <v>2.0</v>
      </c>
      <c r="Y1773" s="1">
        <v>1.85</v>
      </c>
      <c r="Z1773" s="1">
        <v>6.7</v>
      </c>
    </row>
    <row r="1774" ht="14.25" customHeight="1">
      <c r="A1774" s="1" t="s">
        <v>26</v>
      </c>
      <c r="B1774" s="1" t="s">
        <v>8844</v>
      </c>
      <c r="C1774" s="1" t="s">
        <v>8845</v>
      </c>
      <c r="D1774" s="1">
        <v>4.398423E7</v>
      </c>
      <c r="E1774" s="1" t="s">
        <v>5578</v>
      </c>
      <c r="F1774" s="1" t="s">
        <v>564</v>
      </c>
      <c r="G1774" s="1" t="s">
        <v>4993</v>
      </c>
      <c r="H1774" s="1" t="s">
        <v>3260</v>
      </c>
      <c r="I1774" s="1">
        <v>70274.0</v>
      </c>
      <c r="J1774" s="1" t="s">
        <v>8846</v>
      </c>
      <c r="K1774" s="1" t="s">
        <v>8847</v>
      </c>
      <c r="L1774" s="1">
        <v>133.0</v>
      </c>
      <c r="M1774" s="1" t="s">
        <v>35</v>
      </c>
      <c r="N1774" s="1" t="s">
        <v>855</v>
      </c>
      <c r="O1774" s="1" t="s">
        <v>37</v>
      </c>
      <c r="P1774" s="1">
        <v>2.3E7</v>
      </c>
      <c r="Q1774" s="1">
        <v>1987.0</v>
      </c>
      <c r="R1774" s="1">
        <v>1000.0</v>
      </c>
      <c r="S1774" s="1">
        <v>643.0</v>
      </c>
      <c r="T1774" s="1">
        <v>400.0</v>
      </c>
      <c r="U1774" s="1">
        <v>2451.0</v>
      </c>
      <c r="V1774" s="1">
        <v>973.0</v>
      </c>
      <c r="W1774" s="1">
        <v>0.0</v>
      </c>
      <c r="X1774" s="1">
        <v>0.0</v>
      </c>
      <c r="Y1774" s="1">
        <v>2.35</v>
      </c>
      <c r="Z1774" s="1">
        <v>7.8</v>
      </c>
    </row>
    <row r="1775" ht="14.25" customHeight="1">
      <c r="A1775" s="1" t="s">
        <v>26</v>
      </c>
      <c r="B1775" s="1" t="s">
        <v>3636</v>
      </c>
      <c r="C1775" s="1" t="s">
        <v>8848</v>
      </c>
      <c r="D1775" s="1">
        <v>6.6489425E7</v>
      </c>
      <c r="E1775" s="1" t="s">
        <v>449</v>
      </c>
      <c r="F1775" s="1" t="s">
        <v>74</v>
      </c>
      <c r="G1775" s="1" t="s">
        <v>8849</v>
      </c>
      <c r="H1775" s="1" t="s">
        <v>1091</v>
      </c>
      <c r="I1775" s="1">
        <v>101977.0</v>
      </c>
      <c r="J1775" s="1" t="s">
        <v>8850</v>
      </c>
      <c r="K1775" s="1" t="s">
        <v>8851</v>
      </c>
      <c r="L1775" s="1">
        <v>161.0</v>
      </c>
      <c r="M1775" s="1" t="s">
        <v>35</v>
      </c>
      <c r="N1775" s="1" t="s">
        <v>36</v>
      </c>
      <c r="O1775" s="1" t="s">
        <v>628</v>
      </c>
      <c r="P1775" s="1">
        <v>2.5E7</v>
      </c>
      <c r="Q1775" s="1">
        <v>2012.0</v>
      </c>
      <c r="R1775" s="1">
        <v>24000.0</v>
      </c>
      <c r="S1775" s="1">
        <v>736.0</v>
      </c>
      <c r="T1775" s="1">
        <v>733.0</v>
      </c>
      <c r="U1775" s="1">
        <v>26625.0</v>
      </c>
      <c r="V1775" s="1">
        <v>175.0</v>
      </c>
      <c r="W1775" s="1">
        <v>0.0</v>
      </c>
      <c r="X1775" s="1">
        <v>3.0</v>
      </c>
      <c r="Y1775" s="1">
        <v>2.35</v>
      </c>
      <c r="Z1775" s="1">
        <v>6.5</v>
      </c>
    </row>
    <row r="1776" ht="14.25" customHeight="1">
      <c r="A1776" s="1" t="s">
        <v>26</v>
      </c>
      <c r="B1776" s="1" t="s">
        <v>252</v>
      </c>
      <c r="C1776" s="1" t="s">
        <v>8852</v>
      </c>
      <c r="D1776" s="1">
        <v>4.1067398E7</v>
      </c>
      <c r="E1776" s="1" t="s">
        <v>408</v>
      </c>
      <c r="F1776" s="1" t="s">
        <v>2703</v>
      </c>
      <c r="G1776" s="1" t="s">
        <v>7184</v>
      </c>
      <c r="H1776" s="1" t="s">
        <v>4939</v>
      </c>
      <c r="I1776" s="1">
        <v>22748.0</v>
      </c>
      <c r="J1776" s="1" t="s">
        <v>8853</v>
      </c>
      <c r="K1776" s="1" t="s">
        <v>8854</v>
      </c>
      <c r="L1776" s="1">
        <v>41.0</v>
      </c>
      <c r="M1776" s="1" t="s">
        <v>35</v>
      </c>
      <c r="N1776" s="1" t="s">
        <v>36</v>
      </c>
      <c r="O1776" s="1" t="s">
        <v>628</v>
      </c>
      <c r="P1776" s="1">
        <v>2.5E7</v>
      </c>
      <c r="Q1776" s="1">
        <v>1997.0</v>
      </c>
      <c r="R1776" s="1">
        <v>695.0</v>
      </c>
      <c r="S1776" s="1">
        <v>635.0</v>
      </c>
      <c r="T1776" s="1">
        <v>585.0</v>
      </c>
      <c r="U1776" s="1">
        <v>2530.0</v>
      </c>
      <c r="V1776" s="1">
        <v>420.0</v>
      </c>
      <c r="W1776" s="1">
        <v>666.0</v>
      </c>
      <c r="X1776" s="1">
        <v>2.0</v>
      </c>
      <c r="Y1776" s="1">
        <v>2.35</v>
      </c>
      <c r="Z1776" s="1">
        <v>6.1</v>
      </c>
    </row>
    <row r="1777" ht="14.25" customHeight="1">
      <c r="A1777" s="1" t="s">
        <v>26</v>
      </c>
      <c r="B1777" s="1" t="s">
        <v>6646</v>
      </c>
      <c r="C1777" s="1" t="s">
        <v>8855</v>
      </c>
      <c r="D1777" s="1">
        <v>4.0218903E7</v>
      </c>
      <c r="E1777" s="1" t="s">
        <v>3238</v>
      </c>
      <c r="F1777" s="1" t="s">
        <v>6694</v>
      </c>
      <c r="G1777" s="1" t="s">
        <v>8856</v>
      </c>
      <c r="H1777" s="1" t="s">
        <v>8857</v>
      </c>
      <c r="I1777" s="1">
        <v>372990.0</v>
      </c>
      <c r="J1777" s="1" t="s">
        <v>8858</v>
      </c>
      <c r="K1777" s="1" t="s">
        <v>8859</v>
      </c>
      <c r="L1777" s="1">
        <v>1107.0</v>
      </c>
      <c r="M1777" s="1" t="s">
        <v>35</v>
      </c>
      <c r="N1777" s="1" t="s">
        <v>36</v>
      </c>
      <c r="O1777" s="1" t="s">
        <v>628</v>
      </c>
      <c r="P1777" s="1">
        <v>2.5E7</v>
      </c>
      <c r="Q1777" s="1">
        <v>2007.0</v>
      </c>
      <c r="R1777" s="1">
        <v>272.0</v>
      </c>
      <c r="S1777" s="1">
        <v>111.0</v>
      </c>
      <c r="T1777" s="1">
        <v>104.0</v>
      </c>
      <c r="U1777" s="1">
        <v>533.0</v>
      </c>
      <c r="V1777" s="1">
        <v>0.0</v>
      </c>
      <c r="W1777" s="1">
        <v>16000.0</v>
      </c>
      <c r="X1777" s="1">
        <v>0.0</v>
      </c>
      <c r="Y1777" s="1">
        <v>2.35</v>
      </c>
      <c r="Z1777" s="1">
        <v>8.1</v>
      </c>
    </row>
    <row r="1778" ht="14.25" customHeight="1">
      <c r="A1778" s="1" t="s">
        <v>26</v>
      </c>
      <c r="B1778" s="1" t="s">
        <v>8860</v>
      </c>
      <c r="C1778" s="1" t="s">
        <v>8861</v>
      </c>
      <c r="D1778" s="1">
        <v>3.9880476E7</v>
      </c>
      <c r="E1778" s="1" t="s">
        <v>263</v>
      </c>
      <c r="F1778" s="1" t="s">
        <v>1186</v>
      </c>
      <c r="G1778" s="1" t="s">
        <v>8862</v>
      </c>
      <c r="H1778" s="1" t="s">
        <v>2078</v>
      </c>
      <c r="I1778" s="1">
        <v>12218.0</v>
      </c>
      <c r="J1778" s="1" t="s">
        <v>8863</v>
      </c>
      <c r="K1778" s="1" t="s">
        <v>8864</v>
      </c>
      <c r="L1778" s="1">
        <v>33.0</v>
      </c>
      <c r="M1778" s="1" t="s">
        <v>35</v>
      </c>
      <c r="N1778" s="1" t="s">
        <v>36</v>
      </c>
      <c r="O1778" s="1" t="s">
        <v>87</v>
      </c>
      <c r="P1778" s="1">
        <v>2.5E7</v>
      </c>
      <c r="Q1778" s="1">
        <v>2002.0</v>
      </c>
      <c r="R1778" s="1">
        <v>1000.0</v>
      </c>
      <c r="S1778" s="1">
        <v>535.0</v>
      </c>
      <c r="T1778" s="1">
        <v>503.0</v>
      </c>
      <c r="U1778" s="1">
        <v>2908.0</v>
      </c>
      <c r="V1778" s="1">
        <v>0.0</v>
      </c>
      <c r="W1778" s="1">
        <v>187.0</v>
      </c>
      <c r="X1778" s="1">
        <v>0.0</v>
      </c>
      <c r="Y1778" s="1">
        <v>2.35</v>
      </c>
      <c r="Z1778" s="1">
        <v>5.2</v>
      </c>
    </row>
    <row r="1779" ht="14.25" customHeight="1">
      <c r="A1779" s="1" t="s">
        <v>26</v>
      </c>
      <c r="B1779" s="1" t="s">
        <v>8865</v>
      </c>
      <c r="C1779" s="1" t="s">
        <v>8866</v>
      </c>
      <c r="D1779" s="1">
        <v>3.939975E7</v>
      </c>
      <c r="E1779" s="1" t="s">
        <v>792</v>
      </c>
      <c r="F1779" s="1" t="s">
        <v>2230</v>
      </c>
      <c r="G1779" s="1" t="s">
        <v>2078</v>
      </c>
      <c r="H1779" s="1" t="s">
        <v>8867</v>
      </c>
      <c r="I1779" s="1">
        <v>5674.0</v>
      </c>
      <c r="J1779" s="1" t="s">
        <v>8868</v>
      </c>
      <c r="K1779" s="1" t="s">
        <v>8869</v>
      </c>
      <c r="L1779" s="1">
        <v>35.0</v>
      </c>
      <c r="M1779" s="1" t="s">
        <v>35</v>
      </c>
      <c r="N1779" s="1" t="s">
        <v>36</v>
      </c>
      <c r="O1779" s="1" t="s">
        <v>87</v>
      </c>
      <c r="P1779" s="1">
        <v>2.5E7</v>
      </c>
      <c r="Q1779" s="1">
        <v>2003.0</v>
      </c>
      <c r="R1779" s="1">
        <v>971.0</v>
      </c>
      <c r="S1779" s="1">
        <v>503.0</v>
      </c>
      <c r="T1779" s="1">
        <v>362.0</v>
      </c>
      <c r="U1779" s="1">
        <v>3017.0</v>
      </c>
      <c r="V1779" s="1">
        <v>0.0</v>
      </c>
      <c r="W1779" s="1">
        <v>329.0</v>
      </c>
      <c r="X1779" s="1">
        <v>0.0</v>
      </c>
      <c r="Y1779" s="1">
        <v>2.35</v>
      </c>
      <c r="Z1779" s="1">
        <v>5.6</v>
      </c>
    </row>
    <row r="1780" ht="14.25" customHeight="1">
      <c r="A1780" s="1" t="s">
        <v>26</v>
      </c>
      <c r="B1780" s="1" t="s">
        <v>8417</v>
      </c>
      <c r="C1780" s="1" t="s">
        <v>8870</v>
      </c>
      <c r="D1780" s="1">
        <v>3.8230435E7</v>
      </c>
      <c r="E1780" s="1" t="s">
        <v>2056</v>
      </c>
      <c r="F1780" s="1" t="s">
        <v>2520</v>
      </c>
      <c r="G1780" s="1" t="s">
        <v>8871</v>
      </c>
      <c r="H1780" s="1" t="s">
        <v>1568</v>
      </c>
      <c r="I1780" s="1">
        <v>29661.0</v>
      </c>
      <c r="J1780" s="1" t="s">
        <v>8872</v>
      </c>
      <c r="K1780" s="1" t="s">
        <v>8873</v>
      </c>
      <c r="L1780" s="1">
        <v>179.0</v>
      </c>
      <c r="M1780" s="1" t="s">
        <v>35</v>
      </c>
      <c r="N1780" s="1" t="s">
        <v>36</v>
      </c>
      <c r="O1780" s="1" t="s">
        <v>37</v>
      </c>
      <c r="P1780" s="1">
        <v>2.5E7</v>
      </c>
      <c r="Q1780" s="1">
        <v>2002.0</v>
      </c>
      <c r="R1780" s="1">
        <v>744.0</v>
      </c>
      <c r="S1780" s="1">
        <v>489.0</v>
      </c>
      <c r="T1780" s="1">
        <v>466.0</v>
      </c>
      <c r="U1780" s="1">
        <v>3001.0</v>
      </c>
      <c r="V1780" s="1">
        <v>92.0</v>
      </c>
      <c r="W1780" s="1">
        <v>0.0</v>
      </c>
      <c r="X1780" s="1">
        <v>3.0</v>
      </c>
      <c r="Y1780" s="1">
        <v>1.85</v>
      </c>
      <c r="Z1780" s="1">
        <v>5.8</v>
      </c>
    </row>
    <row r="1781" ht="14.25" customHeight="1">
      <c r="A1781" s="1" t="s">
        <v>26</v>
      </c>
      <c r="B1781" s="1" t="s">
        <v>5911</v>
      </c>
      <c r="C1781" s="1" t="s">
        <v>8874</v>
      </c>
      <c r="D1781" s="1">
        <v>3.9008741E7</v>
      </c>
      <c r="E1781" s="1" t="s">
        <v>8685</v>
      </c>
      <c r="F1781" s="1" t="s">
        <v>676</v>
      </c>
      <c r="G1781" s="1" t="s">
        <v>617</v>
      </c>
      <c r="H1781" s="1" t="s">
        <v>7452</v>
      </c>
      <c r="I1781" s="1">
        <v>44838.0</v>
      </c>
      <c r="J1781" s="1" t="s">
        <v>8875</v>
      </c>
      <c r="K1781" s="1" t="s">
        <v>8876</v>
      </c>
      <c r="L1781" s="1">
        <v>223.0</v>
      </c>
      <c r="M1781" s="1" t="s">
        <v>35</v>
      </c>
      <c r="N1781" s="1" t="s">
        <v>36</v>
      </c>
      <c r="O1781" s="1" t="s">
        <v>87</v>
      </c>
      <c r="P1781" s="1">
        <v>2.5E7</v>
      </c>
      <c r="Q1781" s="1">
        <v>2005.0</v>
      </c>
      <c r="R1781" s="1">
        <v>2000.0</v>
      </c>
      <c r="S1781" s="1">
        <v>953.0</v>
      </c>
      <c r="T1781" s="1">
        <v>917.0</v>
      </c>
      <c r="U1781" s="1">
        <v>6862.0</v>
      </c>
      <c r="V1781" s="1">
        <v>42.0</v>
      </c>
      <c r="W1781" s="1">
        <v>0.0</v>
      </c>
      <c r="X1781" s="1">
        <v>0.0</v>
      </c>
      <c r="Y1781" s="1">
        <v>2.35</v>
      </c>
      <c r="Z1781" s="1">
        <v>6.6</v>
      </c>
    </row>
    <row r="1782" ht="14.25" customHeight="1">
      <c r="A1782" s="1" t="s">
        <v>26</v>
      </c>
      <c r="B1782" s="1" t="s">
        <v>8877</v>
      </c>
      <c r="C1782" s="1" t="s">
        <v>8878</v>
      </c>
      <c r="D1782" s="1">
        <v>3.6833473E7</v>
      </c>
      <c r="E1782" s="1" t="s">
        <v>449</v>
      </c>
      <c r="F1782" s="1" t="s">
        <v>487</v>
      </c>
      <c r="G1782" s="1" t="s">
        <v>3012</v>
      </c>
      <c r="H1782" s="1" t="s">
        <v>2824</v>
      </c>
      <c r="I1782" s="1">
        <v>53126.0</v>
      </c>
      <c r="J1782" s="1" t="s">
        <v>8879</v>
      </c>
      <c r="K1782" s="1" t="s">
        <v>8880</v>
      </c>
      <c r="L1782" s="1">
        <v>254.0</v>
      </c>
      <c r="M1782" s="1" t="s">
        <v>35</v>
      </c>
      <c r="N1782" s="1" t="s">
        <v>1832</v>
      </c>
      <c r="O1782" s="1" t="s">
        <v>628</v>
      </c>
      <c r="P1782" s="1">
        <v>2.5E7</v>
      </c>
      <c r="Q1782" s="1">
        <v>2001.0</v>
      </c>
      <c r="R1782" s="1">
        <v>5000.0</v>
      </c>
      <c r="S1782" s="1">
        <v>888.0</v>
      </c>
      <c r="T1782" s="1">
        <v>872.0</v>
      </c>
      <c r="U1782" s="1">
        <v>7945.0</v>
      </c>
      <c r="V1782" s="1">
        <v>20.0</v>
      </c>
      <c r="W1782" s="1">
        <v>0.0</v>
      </c>
      <c r="X1782" s="1">
        <v>1.0</v>
      </c>
      <c r="Y1782" s="1">
        <v>2.35</v>
      </c>
      <c r="Z1782" s="1">
        <v>6.6</v>
      </c>
    </row>
    <row r="1783" ht="14.25" customHeight="1">
      <c r="A1783" s="1" t="s">
        <v>26</v>
      </c>
      <c r="B1783" s="1" t="s">
        <v>8881</v>
      </c>
      <c r="C1783" s="1" t="s">
        <v>8882</v>
      </c>
      <c r="D1783" s="1">
        <v>4.8237389E7</v>
      </c>
      <c r="E1783" s="1" t="s">
        <v>1598</v>
      </c>
      <c r="F1783" s="1" t="s">
        <v>174</v>
      </c>
      <c r="G1783" s="1" t="s">
        <v>8883</v>
      </c>
      <c r="H1783" s="1" t="s">
        <v>7556</v>
      </c>
      <c r="I1783" s="1">
        <v>63969.0</v>
      </c>
      <c r="J1783" s="1" t="s">
        <v>8884</v>
      </c>
      <c r="K1783" s="1" t="s">
        <v>8885</v>
      </c>
      <c r="L1783" s="1">
        <v>126.0</v>
      </c>
      <c r="M1783" s="1" t="s">
        <v>35</v>
      </c>
      <c r="N1783" s="1" t="s">
        <v>36</v>
      </c>
      <c r="O1783" s="1" t="s">
        <v>37</v>
      </c>
      <c r="P1783" s="1">
        <v>2.5E7</v>
      </c>
      <c r="Q1783" s="1">
        <v>2008.0</v>
      </c>
      <c r="R1783" s="1">
        <v>15000.0</v>
      </c>
      <c r="S1783" s="1">
        <v>852.0</v>
      </c>
      <c r="T1783" s="1">
        <v>816.0</v>
      </c>
      <c r="U1783" s="1">
        <v>18789.0</v>
      </c>
      <c r="V1783" s="1">
        <v>29.0</v>
      </c>
      <c r="W1783" s="1">
        <v>0.0</v>
      </c>
      <c r="X1783" s="1">
        <v>1.0</v>
      </c>
      <c r="Y1783" s="1">
        <v>2.35</v>
      </c>
      <c r="Z1783" s="1">
        <v>5.5</v>
      </c>
    </row>
    <row r="1784" ht="14.25" customHeight="1">
      <c r="A1784" s="1" t="s">
        <v>26</v>
      </c>
      <c r="B1784" s="1" t="s">
        <v>8037</v>
      </c>
      <c r="C1784" s="1" t="s">
        <v>8886</v>
      </c>
      <c r="D1784" s="1">
        <v>3.6447959E7</v>
      </c>
      <c r="E1784" s="1" t="s">
        <v>1557</v>
      </c>
      <c r="F1784" s="1" t="s">
        <v>574</v>
      </c>
      <c r="G1784" s="1" t="s">
        <v>1302</v>
      </c>
      <c r="H1784" s="1" t="s">
        <v>8887</v>
      </c>
      <c r="I1784" s="1">
        <v>35833.0</v>
      </c>
      <c r="J1784" s="1" t="s">
        <v>8888</v>
      </c>
      <c r="K1784" s="1" t="s">
        <v>8889</v>
      </c>
      <c r="L1784" s="1">
        <v>96.0</v>
      </c>
      <c r="M1784" s="1" t="s">
        <v>35</v>
      </c>
      <c r="N1784" s="1" t="s">
        <v>36</v>
      </c>
      <c r="O1784" s="1" t="s">
        <v>87</v>
      </c>
      <c r="P1784" s="1">
        <v>2.5E7</v>
      </c>
      <c r="Q1784" s="1">
        <v>2014.0</v>
      </c>
      <c r="R1784" s="1">
        <v>4000.0</v>
      </c>
      <c r="S1784" s="1">
        <v>774.0</v>
      </c>
      <c r="T1784" s="1">
        <v>367.0</v>
      </c>
      <c r="U1784" s="1">
        <v>6393.0</v>
      </c>
      <c r="V1784" s="1">
        <v>44.0</v>
      </c>
      <c r="W1784" s="1">
        <v>10000.0</v>
      </c>
      <c r="X1784" s="1">
        <v>0.0</v>
      </c>
      <c r="Y1784" s="1">
        <v>2.39</v>
      </c>
      <c r="Z1784" s="1">
        <v>7.0</v>
      </c>
    </row>
    <row r="1785" ht="14.25" customHeight="1">
      <c r="A1785" s="1" t="s">
        <v>710</v>
      </c>
      <c r="B1785" s="1" t="s">
        <v>1153</v>
      </c>
      <c r="C1785" s="1" t="s">
        <v>8890</v>
      </c>
      <c r="D1785" s="1">
        <v>4.5089048E7</v>
      </c>
      <c r="E1785" s="1" t="s">
        <v>8891</v>
      </c>
      <c r="F1785" s="1" t="s">
        <v>293</v>
      </c>
      <c r="G1785" s="1" t="s">
        <v>2286</v>
      </c>
      <c r="H1785" s="1" t="s">
        <v>221</v>
      </c>
      <c r="I1785" s="1">
        <v>86251.0</v>
      </c>
      <c r="J1785" s="1" t="s">
        <v>8892</v>
      </c>
      <c r="K1785" s="1" t="s">
        <v>8893</v>
      </c>
      <c r="L1785" s="1">
        <v>260.0</v>
      </c>
      <c r="M1785" s="1" t="s">
        <v>35</v>
      </c>
      <c r="N1785" s="1" t="s">
        <v>7624</v>
      </c>
      <c r="O1785" s="1" t="s">
        <v>37</v>
      </c>
      <c r="P1785" s="1">
        <v>2.5E7</v>
      </c>
      <c r="Q1785" s="1">
        <v>2014.0</v>
      </c>
      <c r="R1785" s="1">
        <v>12000.0</v>
      </c>
      <c r="S1785" s="1">
        <v>11000.0</v>
      </c>
      <c r="T1785" s="1">
        <v>10000.0</v>
      </c>
      <c r="U1785" s="1">
        <v>36064.0</v>
      </c>
      <c r="V1785" s="1">
        <v>176.0</v>
      </c>
      <c r="W1785" s="1">
        <v>58000.0</v>
      </c>
      <c r="X1785" s="1">
        <v>3.0</v>
      </c>
      <c r="Y1785" s="1">
        <v>2.35</v>
      </c>
      <c r="Z1785" s="1">
        <v>6.5</v>
      </c>
    </row>
    <row r="1786" ht="14.25" customHeight="1">
      <c r="A1786" s="1" t="s">
        <v>26</v>
      </c>
      <c r="B1786" s="1" t="s">
        <v>6371</v>
      </c>
      <c r="C1786" s="1" t="s">
        <v>8894</v>
      </c>
      <c r="D1786" s="1">
        <v>3.5990505E7</v>
      </c>
      <c r="E1786" s="1" t="s">
        <v>8685</v>
      </c>
      <c r="F1786" s="1" t="s">
        <v>424</v>
      </c>
      <c r="G1786" s="1" t="s">
        <v>8895</v>
      </c>
      <c r="H1786" s="1" t="s">
        <v>1562</v>
      </c>
      <c r="I1786" s="1">
        <v>48095.0</v>
      </c>
      <c r="J1786" s="1" t="s">
        <v>8896</v>
      </c>
      <c r="K1786" s="1" t="s">
        <v>8897</v>
      </c>
      <c r="L1786" s="1">
        <v>194.0</v>
      </c>
      <c r="M1786" s="1" t="s">
        <v>35</v>
      </c>
      <c r="N1786" s="1" t="s">
        <v>36</v>
      </c>
      <c r="O1786" s="1" t="s">
        <v>87</v>
      </c>
      <c r="P1786" s="1">
        <v>2.0E7</v>
      </c>
      <c r="Q1786" s="1">
        <v>2003.0</v>
      </c>
      <c r="R1786" s="1">
        <v>14000.0</v>
      </c>
      <c r="S1786" s="1">
        <v>1000.0</v>
      </c>
      <c r="T1786" s="1">
        <v>742.0</v>
      </c>
      <c r="U1786" s="1">
        <v>16400.0</v>
      </c>
      <c r="V1786" s="1">
        <v>29.0</v>
      </c>
      <c r="W1786" s="1">
        <v>0.0</v>
      </c>
      <c r="X1786" s="1">
        <v>1.0</v>
      </c>
      <c r="Y1786" s="1">
        <v>2.35</v>
      </c>
      <c r="Z1786" s="1">
        <v>5.8</v>
      </c>
    </row>
    <row r="1787" ht="14.25" customHeight="1">
      <c r="A1787" s="1" t="s">
        <v>26</v>
      </c>
      <c r="B1787" s="1" t="s">
        <v>8898</v>
      </c>
      <c r="C1787" s="1" t="s">
        <v>8899</v>
      </c>
      <c r="D1787" s="1">
        <v>3.5143332E7</v>
      </c>
      <c r="E1787" s="1" t="s">
        <v>6019</v>
      </c>
      <c r="F1787" s="1" t="s">
        <v>7072</v>
      </c>
      <c r="G1787" s="1" t="s">
        <v>8900</v>
      </c>
      <c r="H1787" s="1" t="s">
        <v>8901</v>
      </c>
      <c r="I1787" s="1">
        <v>45102.0</v>
      </c>
      <c r="J1787" s="1" t="s">
        <v>8902</v>
      </c>
      <c r="K1787" s="1" t="s">
        <v>8903</v>
      </c>
      <c r="L1787" s="1">
        <v>316.0</v>
      </c>
      <c r="M1787" s="1" t="s">
        <v>35</v>
      </c>
      <c r="N1787" s="1" t="s">
        <v>36</v>
      </c>
      <c r="O1787" s="1" t="s">
        <v>628</v>
      </c>
      <c r="P1787" s="1">
        <v>1.7E7</v>
      </c>
      <c r="Q1787" s="1">
        <v>2003.0</v>
      </c>
      <c r="R1787" s="1">
        <v>296.0</v>
      </c>
      <c r="S1787" s="1">
        <v>270.0</v>
      </c>
      <c r="T1787" s="1">
        <v>177.0</v>
      </c>
      <c r="U1787" s="1">
        <v>1340.0</v>
      </c>
      <c r="V1787" s="1">
        <v>108.0</v>
      </c>
      <c r="W1787" s="1">
        <v>0.0</v>
      </c>
      <c r="X1787" s="1">
        <v>0.0</v>
      </c>
      <c r="Y1787" s="1">
        <v>2.35</v>
      </c>
      <c r="Z1787" s="1">
        <v>5.6</v>
      </c>
    </row>
    <row r="1788" ht="14.25" customHeight="1">
      <c r="A1788" s="1" t="s">
        <v>26</v>
      </c>
      <c r="B1788" s="1" t="s">
        <v>8904</v>
      </c>
      <c r="C1788" s="1" t="s">
        <v>8905</v>
      </c>
      <c r="D1788" s="1">
        <v>3.5000629E7</v>
      </c>
      <c r="E1788" s="1" t="s">
        <v>1598</v>
      </c>
      <c r="F1788" s="1" t="s">
        <v>6315</v>
      </c>
      <c r="G1788" s="1" t="s">
        <v>894</v>
      </c>
      <c r="H1788" s="1" t="s">
        <v>8792</v>
      </c>
      <c r="I1788" s="1">
        <v>74622.0</v>
      </c>
      <c r="J1788" s="1" t="s">
        <v>8906</v>
      </c>
      <c r="K1788" s="1" t="s">
        <v>8907</v>
      </c>
      <c r="L1788" s="1">
        <v>150.0</v>
      </c>
      <c r="M1788" s="1" t="s">
        <v>35</v>
      </c>
      <c r="N1788" s="1" t="s">
        <v>36</v>
      </c>
      <c r="O1788" s="1" t="s">
        <v>628</v>
      </c>
      <c r="P1788" s="1">
        <v>2.5E7</v>
      </c>
      <c r="Q1788" s="1">
        <v>2007.0</v>
      </c>
      <c r="R1788" s="1">
        <v>1000.0</v>
      </c>
      <c r="S1788" s="1">
        <v>562.0</v>
      </c>
      <c r="T1788" s="1">
        <v>440.0</v>
      </c>
      <c r="U1788" s="1">
        <v>2822.0</v>
      </c>
      <c r="V1788" s="1">
        <v>7.0</v>
      </c>
      <c r="W1788" s="1">
        <v>0.0</v>
      </c>
      <c r="X1788" s="1">
        <v>1.0</v>
      </c>
      <c r="Y1788" s="1">
        <v>1.85</v>
      </c>
      <c r="Z1788" s="1">
        <v>5.6</v>
      </c>
    </row>
    <row r="1789" ht="14.25" customHeight="1">
      <c r="A1789" s="1" t="s">
        <v>26</v>
      </c>
      <c r="B1789" s="1" t="s">
        <v>3272</v>
      </c>
      <c r="C1789" s="1" t="s">
        <v>8908</v>
      </c>
      <c r="D1789" s="1">
        <v>3.4604054E7</v>
      </c>
      <c r="E1789" s="1" t="s">
        <v>449</v>
      </c>
      <c r="F1789" s="1" t="s">
        <v>487</v>
      </c>
      <c r="G1789" s="1" t="s">
        <v>1653</v>
      </c>
      <c r="H1789" s="1" t="s">
        <v>8909</v>
      </c>
      <c r="I1789" s="1">
        <v>34942.0</v>
      </c>
      <c r="J1789" s="1" t="s">
        <v>8910</v>
      </c>
      <c r="K1789" s="1" t="s">
        <v>8911</v>
      </c>
      <c r="L1789" s="1">
        <v>185.0</v>
      </c>
      <c r="M1789" s="1" t="s">
        <v>35</v>
      </c>
      <c r="N1789" s="1" t="s">
        <v>36</v>
      </c>
      <c r="O1789" s="1" t="s">
        <v>628</v>
      </c>
      <c r="P1789" s="1">
        <v>3.0E7</v>
      </c>
      <c r="Q1789" s="1">
        <v>2003.0</v>
      </c>
      <c r="R1789" s="1">
        <v>5000.0</v>
      </c>
      <c r="S1789" s="1">
        <v>618.0</v>
      </c>
      <c r="T1789" s="1">
        <v>432.0</v>
      </c>
      <c r="U1789" s="1">
        <v>6867.0</v>
      </c>
      <c r="V1789" s="1">
        <v>43.0</v>
      </c>
      <c r="W1789" s="1">
        <v>1000.0</v>
      </c>
      <c r="X1789" s="1">
        <v>2.0</v>
      </c>
      <c r="Y1789" s="1">
        <v>2.35</v>
      </c>
      <c r="Z1789" s="1">
        <v>5.8</v>
      </c>
    </row>
    <row r="1790" ht="14.25" customHeight="1">
      <c r="A1790" s="1" t="s">
        <v>26</v>
      </c>
      <c r="B1790" s="1" t="s">
        <v>6221</v>
      </c>
      <c r="C1790" s="1" t="s">
        <v>8912</v>
      </c>
      <c r="D1790" s="1">
        <v>4.159783E7</v>
      </c>
      <c r="E1790" s="1" t="s">
        <v>206</v>
      </c>
      <c r="F1790" s="1" t="s">
        <v>2286</v>
      </c>
      <c r="G1790" s="1" t="s">
        <v>2157</v>
      </c>
      <c r="H1790" s="1" t="s">
        <v>4512</v>
      </c>
      <c r="I1790" s="1">
        <v>102123.0</v>
      </c>
      <c r="J1790" s="1" t="s">
        <v>8913</v>
      </c>
      <c r="K1790" s="1" t="s">
        <v>8914</v>
      </c>
      <c r="L1790" s="1">
        <v>660.0</v>
      </c>
      <c r="M1790" s="1" t="s">
        <v>35</v>
      </c>
      <c r="N1790" s="1" t="s">
        <v>36</v>
      </c>
      <c r="O1790" s="1" t="s">
        <v>37</v>
      </c>
      <c r="P1790" s="1">
        <v>2.5E7</v>
      </c>
      <c r="Q1790" s="1">
        <v>2002.0</v>
      </c>
      <c r="R1790" s="1">
        <v>11000.0</v>
      </c>
      <c r="S1790" s="1">
        <v>577.0</v>
      </c>
      <c r="T1790" s="1">
        <v>530.0</v>
      </c>
      <c r="U1790" s="1">
        <v>12624.0</v>
      </c>
      <c r="V1790" s="1">
        <v>335.0</v>
      </c>
      <c r="W1790" s="1">
        <v>0.0</v>
      </c>
      <c r="X1790" s="1">
        <v>3.0</v>
      </c>
      <c r="Y1790" s="1">
        <v>1.85</v>
      </c>
      <c r="Z1790" s="1">
        <v>7.6</v>
      </c>
    </row>
    <row r="1791" ht="14.25" customHeight="1">
      <c r="A1791" s="1" t="s">
        <v>26</v>
      </c>
      <c r="B1791" s="1" t="s">
        <v>4849</v>
      </c>
      <c r="C1791" s="1" t="s">
        <v>8915</v>
      </c>
      <c r="D1791" s="1">
        <v>3.368763E7</v>
      </c>
      <c r="E1791" s="1" t="s">
        <v>1598</v>
      </c>
      <c r="F1791" s="1" t="s">
        <v>430</v>
      </c>
      <c r="G1791" s="1" t="s">
        <v>8916</v>
      </c>
      <c r="H1791" s="1" t="s">
        <v>8917</v>
      </c>
      <c r="I1791" s="1">
        <v>116762.0</v>
      </c>
      <c r="J1791" s="1" t="s">
        <v>8918</v>
      </c>
      <c r="K1791" s="1" t="s">
        <v>8919</v>
      </c>
      <c r="L1791" s="1">
        <v>261.0</v>
      </c>
      <c r="M1791" s="1" t="s">
        <v>35</v>
      </c>
      <c r="N1791" s="1" t="s">
        <v>36</v>
      </c>
      <c r="O1791" s="1" t="s">
        <v>37</v>
      </c>
      <c r="P1791" s="1">
        <v>2.0E7</v>
      </c>
      <c r="Q1791" s="1">
        <v>2006.0</v>
      </c>
      <c r="R1791" s="1">
        <v>17000.0</v>
      </c>
      <c r="S1791" s="1">
        <v>1000.0</v>
      </c>
      <c r="T1791" s="1">
        <v>960.0</v>
      </c>
      <c r="U1791" s="1">
        <v>20109.0</v>
      </c>
      <c r="V1791" s="1">
        <v>99.0</v>
      </c>
      <c r="W1791" s="1">
        <v>0.0</v>
      </c>
      <c r="X1791" s="1">
        <v>0.0</v>
      </c>
      <c r="Y1791" s="1">
        <v>1.85</v>
      </c>
      <c r="Z1791" s="1">
        <v>6.4</v>
      </c>
    </row>
    <row r="1792" ht="14.25" customHeight="1">
      <c r="A1792" s="1" t="s">
        <v>26</v>
      </c>
      <c r="B1792" s="1" t="s">
        <v>8920</v>
      </c>
      <c r="C1792" s="1" t="s">
        <v>8921</v>
      </c>
      <c r="D1792" s="1">
        <v>3.255321E7</v>
      </c>
      <c r="E1792" s="1" t="s">
        <v>2904</v>
      </c>
      <c r="F1792" s="1" t="s">
        <v>8922</v>
      </c>
      <c r="G1792" s="1" t="s">
        <v>8923</v>
      </c>
      <c r="H1792" s="1" t="s">
        <v>8924</v>
      </c>
      <c r="I1792" s="1">
        <v>88714.0</v>
      </c>
      <c r="J1792" s="1" t="s">
        <v>8925</v>
      </c>
      <c r="K1792" s="1" t="s">
        <v>8926</v>
      </c>
      <c r="L1792" s="1">
        <v>235.0</v>
      </c>
      <c r="M1792" s="1" t="s">
        <v>35</v>
      </c>
      <c r="N1792" s="1" t="s">
        <v>54</v>
      </c>
      <c r="O1792" s="1" t="s">
        <v>87</v>
      </c>
      <c r="P1792" s="1">
        <v>2.5E7</v>
      </c>
      <c r="Q1792" s="1">
        <v>2007.0</v>
      </c>
      <c r="R1792" s="1">
        <v>328.0</v>
      </c>
      <c r="S1792" s="1">
        <v>132.0</v>
      </c>
      <c r="T1792" s="1">
        <v>100.0</v>
      </c>
      <c r="U1792" s="1">
        <v>794.0</v>
      </c>
      <c r="V1792" s="1">
        <v>68.0</v>
      </c>
      <c r="W1792" s="1">
        <v>0.0</v>
      </c>
      <c r="X1792" s="1">
        <v>0.0</v>
      </c>
      <c r="Y1792" s="1">
        <v>1.85</v>
      </c>
      <c r="Z1792" s="1">
        <v>6.3</v>
      </c>
    </row>
    <row r="1793" ht="14.25" customHeight="1">
      <c r="A1793" s="1" t="s">
        <v>26</v>
      </c>
      <c r="B1793" s="1" t="s">
        <v>8927</v>
      </c>
      <c r="C1793" s="1" t="s">
        <v>8928</v>
      </c>
      <c r="D1793" s="1">
        <v>3.1526393E7</v>
      </c>
      <c r="E1793" s="1" t="s">
        <v>5423</v>
      </c>
      <c r="F1793" s="1" t="s">
        <v>8929</v>
      </c>
      <c r="G1793" s="1" t="s">
        <v>8930</v>
      </c>
      <c r="H1793" s="1" t="s">
        <v>8931</v>
      </c>
      <c r="I1793" s="1">
        <v>22243.0</v>
      </c>
      <c r="J1793" s="1" t="s">
        <v>8932</v>
      </c>
      <c r="K1793" s="1" t="s">
        <v>8933</v>
      </c>
      <c r="L1793" s="1">
        <v>144.0</v>
      </c>
      <c r="M1793" s="1" t="s">
        <v>35</v>
      </c>
      <c r="N1793" s="1" t="s">
        <v>36</v>
      </c>
      <c r="O1793" s="1" t="s">
        <v>37</v>
      </c>
      <c r="P1793" s="1">
        <v>2.5E7</v>
      </c>
      <c r="Q1793" s="1">
        <v>2004.0</v>
      </c>
      <c r="R1793" s="1">
        <v>601.0</v>
      </c>
      <c r="S1793" s="1">
        <v>543.0</v>
      </c>
      <c r="T1793" s="1">
        <v>522.0</v>
      </c>
      <c r="U1793" s="1">
        <v>2730.0</v>
      </c>
      <c r="V1793" s="1">
        <v>27.0</v>
      </c>
      <c r="W1793" s="1">
        <v>686.0</v>
      </c>
      <c r="X1793" s="1">
        <v>0.0</v>
      </c>
      <c r="Y1793" s="1">
        <v>2.35</v>
      </c>
      <c r="Z1793" s="1">
        <v>4.6</v>
      </c>
    </row>
    <row r="1794" ht="14.25" customHeight="1">
      <c r="A1794" s="1" t="s">
        <v>26</v>
      </c>
      <c r="B1794" s="1" t="s">
        <v>8934</v>
      </c>
      <c r="C1794" s="1" t="s">
        <v>8935</v>
      </c>
      <c r="D1794" s="1">
        <v>41229.0</v>
      </c>
      <c r="E1794" s="1" t="s">
        <v>2045</v>
      </c>
      <c r="F1794" s="1" t="s">
        <v>284</v>
      </c>
      <c r="G1794" s="1" t="s">
        <v>2547</v>
      </c>
      <c r="H1794" s="1" t="s">
        <v>1017</v>
      </c>
      <c r="I1794" s="1">
        <v>14612.0</v>
      </c>
      <c r="J1794" s="1" t="s">
        <v>8936</v>
      </c>
      <c r="K1794" s="1" t="s">
        <v>8937</v>
      </c>
      <c r="L1794" s="1">
        <v>41.0</v>
      </c>
      <c r="M1794" s="1" t="s">
        <v>35</v>
      </c>
      <c r="N1794" s="1" t="s">
        <v>1832</v>
      </c>
      <c r="O1794" s="1" t="s">
        <v>628</v>
      </c>
      <c r="P1794" s="1">
        <v>2.55E7</v>
      </c>
      <c r="Q1794" s="1">
        <v>2013.0</v>
      </c>
      <c r="R1794" s="1">
        <v>15000.0</v>
      </c>
      <c r="S1794" s="1">
        <v>960.0</v>
      </c>
      <c r="T1794" s="1">
        <v>745.0</v>
      </c>
      <c r="U1794" s="1">
        <v>18442.0</v>
      </c>
      <c r="V1794" s="1">
        <v>0.0</v>
      </c>
      <c r="W1794" s="1">
        <v>0.0</v>
      </c>
      <c r="X1794" s="1">
        <v>6.0</v>
      </c>
      <c r="Y1794" s="1">
        <v>2.35</v>
      </c>
      <c r="Z1794" s="1">
        <v>6.5</v>
      </c>
    </row>
    <row r="1795" ht="14.25" customHeight="1">
      <c r="A1795" s="1" t="s">
        <v>26</v>
      </c>
      <c r="B1795" s="1" t="s">
        <v>8938</v>
      </c>
      <c r="C1795" s="1" t="s">
        <v>8939</v>
      </c>
      <c r="D1795" s="1">
        <v>3.1655091E7</v>
      </c>
      <c r="E1795" s="1" t="s">
        <v>5819</v>
      </c>
      <c r="F1795" s="1" t="s">
        <v>774</v>
      </c>
      <c r="G1795" s="1" t="s">
        <v>8940</v>
      </c>
      <c r="H1795" s="1" t="s">
        <v>3528</v>
      </c>
      <c r="I1795" s="1">
        <v>87331.0</v>
      </c>
      <c r="J1795" s="1" t="s">
        <v>8941</v>
      </c>
      <c r="K1795" s="1" t="s">
        <v>8942</v>
      </c>
      <c r="L1795" s="1">
        <v>364.0</v>
      </c>
      <c r="M1795" s="1" t="s">
        <v>35</v>
      </c>
      <c r="N1795" s="1" t="s">
        <v>36</v>
      </c>
      <c r="O1795" s="1" t="s">
        <v>87</v>
      </c>
      <c r="P1795" s="1">
        <v>3.0E7</v>
      </c>
      <c r="Q1795" s="1">
        <v>2007.0</v>
      </c>
      <c r="R1795" s="1">
        <v>49000.0</v>
      </c>
      <c r="S1795" s="1">
        <v>702.0</v>
      </c>
      <c r="T1795" s="1">
        <v>403.0</v>
      </c>
      <c r="U1795" s="1">
        <v>50927.0</v>
      </c>
      <c r="V1795" s="1">
        <v>59.0</v>
      </c>
      <c r="W1795" s="1">
        <v>18000.0</v>
      </c>
      <c r="X1795" s="1">
        <v>0.0</v>
      </c>
      <c r="Y1795" s="1">
        <v>2.35</v>
      </c>
      <c r="Z1795" s="1">
        <v>7.5</v>
      </c>
    </row>
    <row r="1796" ht="14.25" customHeight="1">
      <c r="A1796" s="1" t="s">
        <v>26</v>
      </c>
      <c r="B1796" s="1" t="s">
        <v>4515</v>
      </c>
      <c r="C1796" s="1" t="s">
        <v>8943</v>
      </c>
      <c r="D1796" s="1">
        <v>3.001299E7</v>
      </c>
      <c r="E1796" s="1" t="s">
        <v>5578</v>
      </c>
      <c r="F1796" s="1" t="s">
        <v>8944</v>
      </c>
      <c r="G1796" s="1" t="s">
        <v>2973</v>
      </c>
      <c r="H1796" s="1" t="s">
        <v>8945</v>
      </c>
      <c r="I1796" s="1">
        <v>75973.0</v>
      </c>
      <c r="J1796" s="1" t="s">
        <v>8946</v>
      </c>
      <c r="K1796" s="1" t="s">
        <v>8947</v>
      </c>
      <c r="L1796" s="1">
        <v>409.0</v>
      </c>
      <c r="M1796" s="1" t="s">
        <v>35</v>
      </c>
      <c r="N1796" s="1" t="s">
        <v>54</v>
      </c>
      <c r="O1796" s="1" t="s">
        <v>628</v>
      </c>
      <c r="P1796" s="1">
        <v>2.5E7</v>
      </c>
      <c r="Q1796" s="1">
        <v>1998.0</v>
      </c>
      <c r="R1796" s="1">
        <v>288.0</v>
      </c>
      <c r="S1796" s="1">
        <v>249.0</v>
      </c>
      <c r="T1796" s="1">
        <v>240.0</v>
      </c>
      <c r="U1796" s="1">
        <v>1006.0</v>
      </c>
      <c r="V1796" s="1">
        <v>159.0</v>
      </c>
      <c r="W1796" s="1">
        <v>0.0</v>
      </c>
      <c r="X1796" s="1">
        <v>1.0</v>
      </c>
      <c r="Y1796" s="1">
        <v>1.85</v>
      </c>
      <c r="Z1796" s="1">
        <v>7.5</v>
      </c>
    </row>
    <row r="1797" ht="14.25" customHeight="1">
      <c r="A1797" s="1" t="s">
        <v>26</v>
      </c>
      <c r="B1797" s="1" t="s">
        <v>7213</v>
      </c>
      <c r="C1797" s="1" t="s">
        <v>8948</v>
      </c>
      <c r="D1797" s="1">
        <v>3.236896E7</v>
      </c>
      <c r="E1797" s="1" t="s">
        <v>8949</v>
      </c>
      <c r="F1797" s="1" t="s">
        <v>8950</v>
      </c>
      <c r="G1797" s="1" t="s">
        <v>8951</v>
      </c>
      <c r="H1797" s="1" t="s">
        <v>8952</v>
      </c>
      <c r="I1797" s="1">
        <v>39768.0</v>
      </c>
      <c r="J1797" s="1" t="s">
        <v>8953</v>
      </c>
      <c r="K1797" s="1" t="s">
        <v>8954</v>
      </c>
      <c r="L1797" s="1">
        <v>292.0</v>
      </c>
      <c r="M1797" s="1" t="s">
        <v>35</v>
      </c>
      <c r="N1797" s="1" t="s">
        <v>260</v>
      </c>
      <c r="O1797" s="1" t="s">
        <v>628</v>
      </c>
      <c r="P1797" s="1">
        <v>2.5E7</v>
      </c>
      <c r="Q1797" s="1">
        <v>1998.0</v>
      </c>
      <c r="R1797" s="1">
        <v>285.0</v>
      </c>
      <c r="S1797" s="1">
        <v>81.0</v>
      </c>
      <c r="T1797" s="1">
        <v>71.0</v>
      </c>
      <c r="U1797" s="1">
        <v>667.0</v>
      </c>
      <c r="V1797" s="1">
        <v>31.0</v>
      </c>
      <c r="W1797" s="1">
        <v>0.0</v>
      </c>
      <c r="X1797" s="1">
        <v>0.0</v>
      </c>
      <c r="Y1797" s="1">
        <v>1.85</v>
      </c>
      <c r="Z1797" s="1">
        <v>5.3</v>
      </c>
    </row>
    <row r="1798" ht="14.25" customHeight="1">
      <c r="A1798" s="1" t="s">
        <v>26</v>
      </c>
      <c r="B1798" s="1" t="s">
        <v>8955</v>
      </c>
      <c r="C1798" s="1" t="s">
        <v>8956</v>
      </c>
      <c r="D1798" s="1">
        <v>1.45E7</v>
      </c>
      <c r="E1798" s="1" t="s">
        <v>980</v>
      </c>
      <c r="F1798" s="1" t="s">
        <v>8957</v>
      </c>
      <c r="G1798" s="1" t="s">
        <v>8958</v>
      </c>
      <c r="H1798" s="1" t="s">
        <v>8959</v>
      </c>
      <c r="I1798" s="1">
        <v>25019.0</v>
      </c>
      <c r="J1798" s="1" t="s">
        <v>8960</v>
      </c>
      <c r="K1798" s="1" t="s">
        <v>8961</v>
      </c>
      <c r="L1798" s="1">
        <v>159.0</v>
      </c>
      <c r="M1798" s="1" t="s">
        <v>35</v>
      </c>
      <c r="N1798" s="1" t="s">
        <v>2821</v>
      </c>
      <c r="O1798" s="1" t="s">
        <v>269</v>
      </c>
      <c r="P1798" s="1">
        <v>2.5E7</v>
      </c>
      <c r="Q1798" s="1">
        <v>1970.0</v>
      </c>
      <c r="R1798" s="1">
        <v>469.0</v>
      </c>
      <c r="S1798" s="1">
        <v>377.0</v>
      </c>
      <c r="T1798" s="1">
        <v>288.0</v>
      </c>
      <c r="U1798" s="1">
        <v>1548.0</v>
      </c>
      <c r="V1798" s="1">
        <v>130.0</v>
      </c>
      <c r="W1798" s="1">
        <v>0.0</v>
      </c>
      <c r="X1798" s="1">
        <v>0.0</v>
      </c>
      <c r="Y1798" s="1">
        <v>2.35</v>
      </c>
      <c r="Z1798" s="1">
        <v>7.5</v>
      </c>
    </row>
    <row r="1799" ht="14.25" customHeight="1">
      <c r="A1799" s="1" t="s">
        <v>26</v>
      </c>
      <c r="B1799" s="1" t="s">
        <v>8962</v>
      </c>
      <c r="C1799" s="1" t="s">
        <v>8963</v>
      </c>
      <c r="D1799" s="1">
        <v>2.9247405E7</v>
      </c>
      <c r="E1799" s="1" t="s">
        <v>8964</v>
      </c>
      <c r="F1799" s="1" t="s">
        <v>651</v>
      </c>
      <c r="G1799" s="1" t="s">
        <v>8965</v>
      </c>
      <c r="H1799" s="1" t="s">
        <v>8966</v>
      </c>
      <c r="I1799" s="1">
        <v>28377.0</v>
      </c>
      <c r="J1799" s="1" t="s">
        <v>8967</v>
      </c>
      <c r="K1799" s="1" t="s">
        <v>8968</v>
      </c>
      <c r="L1799" s="1">
        <v>261.0</v>
      </c>
      <c r="M1799" s="1" t="s">
        <v>35</v>
      </c>
      <c r="N1799" s="1" t="s">
        <v>54</v>
      </c>
      <c r="O1799" s="1" t="s">
        <v>87</v>
      </c>
      <c r="P1799" s="1">
        <v>2.5E7</v>
      </c>
      <c r="Q1799" s="1">
        <v>1997.0</v>
      </c>
      <c r="R1799" s="1">
        <v>1000.0</v>
      </c>
      <c r="S1799" s="1">
        <v>401.0</v>
      </c>
      <c r="T1799" s="1">
        <v>199.0</v>
      </c>
      <c r="U1799" s="1">
        <v>2176.0</v>
      </c>
      <c r="V1799" s="1">
        <v>14.0</v>
      </c>
      <c r="W1799" s="1">
        <v>0.0</v>
      </c>
      <c r="X1799" s="1">
        <v>1.0</v>
      </c>
      <c r="Y1799" s="1">
        <v>1.85</v>
      </c>
      <c r="Z1799" s="1">
        <v>3.3</v>
      </c>
    </row>
    <row r="1800" ht="14.25" customHeight="1">
      <c r="A1800" s="1" t="s">
        <v>26</v>
      </c>
      <c r="B1800" s="1" t="s">
        <v>8969</v>
      </c>
      <c r="C1800" s="1" t="s">
        <v>8970</v>
      </c>
      <c r="D1800" s="1">
        <v>2.5615792E7</v>
      </c>
      <c r="E1800" s="1" t="s">
        <v>8971</v>
      </c>
      <c r="F1800" s="1" t="s">
        <v>589</v>
      </c>
      <c r="G1800" s="1" t="s">
        <v>8972</v>
      </c>
      <c r="H1800" s="1" t="s">
        <v>2373</v>
      </c>
      <c r="I1800" s="1">
        <v>10161.0</v>
      </c>
      <c r="J1800" s="1" t="s">
        <v>8973</v>
      </c>
      <c r="K1800" s="1" t="s">
        <v>8974</v>
      </c>
      <c r="L1800" s="1">
        <v>50.0</v>
      </c>
      <c r="M1800" s="1" t="s">
        <v>35</v>
      </c>
      <c r="N1800" s="1" t="s">
        <v>36</v>
      </c>
      <c r="O1800" s="1" t="s">
        <v>37</v>
      </c>
      <c r="P1800" s="1">
        <v>2.5E7</v>
      </c>
      <c r="Q1800" s="1">
        <v>2009.0</v>
      </c>
      <c r="R1800" s="1">
        <v>756.0</v>
      </c>
      <c r="S1800" s="1">
        <v>713.0</v>
      </c>
      <c r="T1800" s="1">
        <v>571.0</v>
      </c>
      <c r="U1800" s="1">
        <v>4378.0</v>
      </c>
      <c r="V1800" s="1">
        <v>82.0</v>
      </c>
      <c r="W1800" s="1">
        <v>657.0</v>
      </c>
      <c r="X1800" s="1">
        <v>0.0</v>
      </c>
      <c r="Y1800" s="1">
        <v>1.85</v>
      </c>
      <c r="Z1800" s="1">
        <v>3.5</v>
      </c>
    </row>
    <row r="1801" ht="14.25" customHeight="1">
      <c r="A1801" s="1" t="s">
        <v>26</v>
      </c>
      <c r="B1801" s="1" t="s">
        <v>3093</v>
      </c>
      <c r="C1801" s="1" t="s">
        <v>8975</v>
      </c>
      <c r="D1801" s="1">
        <v>2.8341469E7</v>
      </c>
      <c r="E1801" s="1" t="s">
        <v>1854</v>
      </c>
      <c r="F1801" s="1" t="s">
        <v>451</v>
      </c>
      <c r="G1801" s="1" t="s">
        <v>3097</v>
      </c>
      <c r="H1801" s="1" t="s">
        <v>1292</v>
      </c>
      <c r="I1801" s="1">
        <v>1689764.0</v>
      </c>
      <c r="J1801" s="1" t="s">
        <v>8976</v>
      </c>
      <c r="K1801" s="1" t="s">
        <v>8977</v>
      </c>
      <c r="L1801" s="1">
        <v>4144.0</v>
      </c>
      <c r="M1801" s="1" t="s">
        <v>35</v>
      </c>
      <c r="N1801" s="1" t="s">
        <v>36</v>
      </c>
      <c r="O1801" s="1" t="s">
        <v>628</v>
      </c>
      <c r="P1801" s="1">
        <v>2.5E7</v>
      </c>
      <c r="Q1801" s="1">
        <v>1994.0</v>
      </c>
      <c r="R1801" s="1">
        <v>11000.0</v>
      </c>
      <c r="S1801" s="1">
        <v>745.0</v>
      </c>
      <c r="T1801" s="1">
        <v>461.0</v>
      </c>
      <c r="U1801" s="1">
        <v>13495.0</v>
      </c>
      <c r="V1801" s="1">
        <v>0.0</v>
      </c>
      <c r="W1801" s="1">
        <v>108000.0</v>
      </c>
      <c r="X1801" s="1">
        <v>0.0</v>
      </c>
      <c r="Y1801" s="1">
        <v>1.85</v>
      </c>
      <c r="Z1801" s="1">
        <v>9.3</v>
      </c>
    </row>
    <row r="1802" ht="14.25" customHeight="1">
      <c r="A1802" s="1" t="s">
        <v>26</v>
      </c>
      <c r="B1802" s="1" t="s">
        <v>5567</v>
      </c>
      <c r="C1802" s="1" t="s">
        <v>8978</v>
      </c>
      <c r="D1802" s="1">
        <v>2.5590119E7</v>
      </c>
      <c r="E1802" s="1" t="s">
        <v>8979</v>
      </c>
      <c r="F1802" s="1" t="s">
        <v>8980</v>
      </c>
      <c r="G1802" s="1" t="s">
        <v>8663</v>
      </c>
      <c r="H1802" s="1" t="s">
        <v>8981</v>
      </c>
      <c r="I1802" s="1">
        <v>19699.0</v>
      </c>
      <c r="J1802" s="1" t="s">
        <v>8982</v>
      </c>
      <c r="K1802" s="1" t="s">
        <v>8983</v>
      </c>
      <c r="L1802" s="1">
        <v>119.0</v>
      </c>
      <c r="M1802" s="1" t="s">
        <v>35</v>
      </c>
      <c r="N1802" s="1" t="s">
        <v>362</v>
      </c>
      <c r="O1802" s="1" t="s">
        <v>87</v>
      </c>
      <c r="P1802" s="1">
        <v>2.115E7</v>
      </c>
      <c r="Q1802" s="1">
        <v>2001.0</v>
      </c>
      <c r="R1802" s="1">
        <v>460.0</v>
      </c>
      <c r="S1802" s="1">
        <v>442.0</v>
      </c>
      <c r="T1802" s="1">
        <v>162.0</v>
      </c>
      <c r="U1802" s="1">
        <v>1315.0</v>
      </c>
      <c r="V1802" s="1">
        <v>23.0</v>
      </c>
      <c r="W1802" s="1">
        <v>387.0</v>
      </c>
      <c r="X1802" s="1">
        <v>0.0</v>
      </c>
      <c r="Y1802" s="1">
        <v>1.85</v>
      </c>
      <c r="Z1802" s="1">
        <v>4.8</v>
      </c>
    </row>
    <row r="1803" ht="14.25" customHeight="1">
      <c r="A1803" s="1" t="s">
        <v>26</v>
      </c>
      <c r="B1803" s="1" t="s">
        <v>3322</v>
      </c>
      <c r="C1803" s="1" t="s">
        <v>8984</v>
      </c>
      <c r="D1803" s="1">
        <v>2.4944213E7</v>
      </c>
      <c r="E1803" s="1" t="s">
        <v>3714</v>
      </c>
      <c r="F1803" s="1" t="s">
        <v>534</v>
      </c>
      <c r="G1803" s="1" t="s">
        <v>6882</v>
      </c>
      <c r="H1803" s="1" t="s">
        <v>2696</v>
      </c>
      <c r="I1803" s="1">
        <v>63459.0</v>
      </c>
      <c r="J1803" s="1" t="s">
        <v>8985</v>
      </c>
      <c r="K1803" s="1" t="s">
        <v>8986</v>
      </c>
      <c r="L1803" s="1">
        <v>185.0</v>
      </c>
      <c r="M1803" s="1" t="s">
        <v>35</v>
      </c>
      <c r="N1803" s="1" t="s">
        <v>36</v>
      </c>
      <c r="O1803" s="1" t="s">
        <v>37</v>
      </c>
      <c r="P1803" s="1">
        <v>2.7E7</v>
      </c>
      <c r="Q1803" s="1">
        <v>1996.0</v>
      </c>
      <c r="R1803" s="1">
        <v>13000.0</v>
      </c>
      <c r="S1803" s="1">
        <v>852.0</v>
      </c>
      <c r="T1803" s="1">
        <v>743.0</v>
      </c>
      <c r="U1803" s="1">
        <v>16937.0</v>
      </c>
      <c r="V1803" s="1">
        <v>101.0</v>
      </c>
      <c r="W1803" s="1">
        <v>3000.0</v>
      </c>
      <c r="X1803" s="1">
        <v>2.0</v>
      </c>
      <c r="Y1803" s="1">
        <v>2.35</v>
      </c>
      <c r="Z1803" s="1">
        <v>6.9</v>
      </c>
    </row>
    <row r="1804" ht="14.25" customHeight="1">
      <c r="A1804" s="1" t="s">
        <v>26</v>
      </c>
      <c r="B1804" s="1" t="s">
        <v>1956</v>
      </c>
      <c r="C1804" s="1" t="s">
        <v>8987</v>
      </c>
      <c r="D1804" s="1">
        <v>3.3631221E7</v>
      </c>
      <c r="E1804" s="1" t="s">
        <v>2045</v>
      </c>
      <c r="F1804" s="1" t="s">
        <v>7496</v>
      </c>
      <c r="G1804" s="1" t="s">
        <v>8988</v>
      </c>
      <c r="H1804" s="1" t="s">
        <v>8989</v>
      </c>
      <c r="I1804" s="1">
        <v>48559.0</v>
      </c>
      <c r="J1804" s="1" t="s">
        <v>8990</v>
      </c>
      <c r="K1804" s="1" t="s">
        <v>8991</v>
      </c>
      <c r="L1804" s="1">
        <v>145.0</v>
      </c>
      <c r="M1804" s="1" t="s">
        <v>35</v>
      </c>
      <c r="N1804" s="1" t="s">
        <v>36</v>
      </c>
      <c r="O1804" s="1" t="s">
        <v>628</v>
      </c>
      <c r="P1804" s="1">
        <v>2.5E7</v>
      </c>
      <c r="Q1804" s="1">
        <v>2014.0</v>
      </c>
      <c r="R1804" s="1">
        <v>3000.0</v>
      </c>
      <c r="S1804" s="1">
        <v>571.0</v>
      </c>
      <c r="T1804" s="1">
        <v>81.0</v>
      </c>
      <c r="U1804" s="1">
        <v>3784.0</v>
      </c>
      <c r="V1804" s="1">
        <v>81.0</v>
      </c>
      <c r="W1804" s="1">
        <v>0.0</v>
      </c>
      <c r="X1804" s="1">
        <v>1.0</v>
      </c>
      <c r="Y1804" s="1">
        <v>2.35</v>
      </c>
      <c r="Z1804" s="1">
        <v>6.0</v>
      </c>
    </row>
    <row r="1805" ht="14.25" customHeight="1">
      <c r="A1805" s="1" t="s">
        <v>26</v>
      </c>
      <c r="B1805" s="1" t="s">
        <v>8992</v>
      </c>
      <c r="C1805" s="1" t="s">
        <v>8993</v>
      </c>
      <c r="D1805" s="1">
        <v>3.77384E7</v>
      </c>
      <c r="E1805" s="1" t="s">
        <v>3238</v>
      </c>
      <c r="F1805" s="1" t="s">
        <v>345</v>
      </c>
      <c r="G1805" s="1" t="s">
        <v>2286</v>
      </c>
      <c r="H1805" s="1" t="s">
        <v>1459</v>
      </c>
      <c r="I1805" s="1">
        <v>67797.0</v>
      </c>
      <c r="J1805" s="1" t="s">
        <v>8994</v>
      </c>
      <c r="K1805" s="1" t="s">
        <v>8995</v>
      </c>
      <c r="L1805" s="1">
        <v>285.0</v>
      </c>
      <c r="M1805" s="1" t="s">
        <v>35</v>
      </c>
      <c r="N1805" s="1" t="s">
        <v>36</v>
      </c>
      <c r="O1805" s="1" t="s">
        <v>628</v>
      </c>
      <c r="P1805" s="1">
        <v>2.5E7</v>
      </c>
      <c r="Q1805" s="1">
        <v>2013.0</v>
      </c>
      <c r="R1805" s="1">
        <v>19000.0</v>
      </c>
      <c r="S1805" s="1">
        <v>11000.0</v>
      </c>
      <c r="T1805" s="1">
        <v>8000.0</v>
      </c>
      <c r="U1805" s="1">
        <v>39690.0</v>
      </c>
      <c r="V1805" s="1">
        <v>53.0</v>
      </c>
      <c r="W1805" s="1">
        <v>30000.0</v>
      </c>
      <c r="X1805" s="1">
        <v>3.0</v>
      </c>
      <c r="Y1805" s="1">
        <v>2.35</v>
      </c>
      <c r="Z1805" s="1">
        <v>7.3</v>
      </c>
    </row>
    <row r="1806" ht="14.25" customHeight="1">
      <c r="A1806" s="1" t="s">
        <v>26</v>
      </c>
      <c r="B1806" s="1" t="s">
        <v>8996</v>
      </c>
      <c r="C1806" s="1" t="s">
        <v>8997</v>
      </c>
      <c r="D1806" s="1">
        <v>2.1835784E7</v>
      </c>
      <c r="E1806" s="1" t="s">
        <v>1359</v>
      </c>
      <c r="F1806" s="1" t="s">
        <v>7482</v>
      </c>
      <c r="G1806" s="1" t="s">
        <v>8998</v>
      </c>
      <c r="H1806" s="1" t="s">
        <v>8999</v>
      </c>
      <c r="I1806" s="1">
        <v>58297.0</v>
      </c>
      <c r="J1806" s="1" t="s">
        <v>9000</v>
      </c>
      <c r="K1806" s="1" t="s">
        <v>9001</v>
      </c>
      <c r="L1806" s="1">
        <v>161.0</v>
      </c>
      <c r="M1806" s="1" t="s">
        <v>35</v>
      </c>
      <c r="N1806" s="1" t="s">
        <v>36</v>
      </c>
      <c r="O1806" s="1" t="s">
        <v>37</v>
      </c>
      <c r="P1806" s="1">
        <v>3.0E7</v>
      </c>
      <c r="Q1806" s="1">
        <v>2005.0</v>
      </c>
      <c r="R1806" s="1">
        <v>618.0</v>
      </c>
      <c r="S1806" s="1">
        <v>172.0</v>
      </c>
      <c r="T1806" s="1">
        <v>165.0</v>
      </c>
      <c r="U1806" s="1">
        <v>1095.0</v>
      </c>
      <c r="V1806" s="1">
        <v>13.0</v>
      </c>
      <c r="W1806" s="1">
        <v>0.0</v>
      </c>
      <c r="X1806" s="1">
        <v>3.0</v>
      </c>
      <c r="Y1806" s="1">
        <v>1.85</v>
      </c>
      <c r="Z1806" s="1">
        <v>6.6</v>
      </c>
    </row>
    <row r="1807" ht="14.25" customHeight="1">
      <c r="A1807" s="1" t="s">
        <v>26</v>
      </c>
      <c r="B1807" s="1" t="s">
        <v>3276</v>
      </c>
      <c r="C1807" s="1" t="s">
        <v>9002</v>
      </c>
      <c r="D1807" s="1">
        <v>1.5785632E7</v>
      </c>
      <c r="E1807" s="1" t="s">
        <v>9003</v>
      </c>
      <c r="F1807" s="1" t="s">
        <v>255</v>
      </c>
      <c r="G1807" s="1" t="s">
        <v>9004</v>
      </c>
      <c r="H1807" s="1" t="s">
        <v>5623</v>
      </c>
      <c r="I1807" s="1">
        <v>32507.0</v>
      </c>
      <c r="J1807" s="1" t="s">
        <v>9005</v>
      </c>
      <c r="K1807" s="1" t="s">
        <v>9006</v>
      </c>
      <c r="L1807" s="1">
        <v>119.0</v>
      </c>
      <c r="M1807" s="1" t="s">
        <v>35</v>
      </c>
      <c r="N1807" s="1" t="s">
        <v>54</v>
      </c>
      <c r="O1807" s="1" t="s">
        <v>37</v>
      </c>
      <c r="P1807" s="1">
        <v>2.3E7</v>
      </c>
      <c r="Q1807" s="1">
        <v>2016.0</v>
      </c>
      <c r="R1807" s="1">
        <v>20000.0</v>
      </c>
      <c r="S1807" s="1">
        <v>732.0</v>
      </c>
      <c r="T1807" s="1">
        <v>141.0</v>
      </c>
      <c r="U1807" s="1">
        <v>21195.0</v>
      </c>
      <c r="V1807" s="1">
        <v>452.0</v>
      </c>
      <c r="W1807" s="1">
        <v>15000.0</v>
      </c>
      <c r="X1807" s="1">
        <v>3.0</v>
      </c>
      <c r="Y1807" s="1">
        <v>2.35</v>
      </c>
      <c r="Z1807" s="1">
        <v>7.5</v>
      </c>
    </row>
    <row r="1808" ht="14.25" customHeight="1">
      <c r="A1808" s="1" t="s">
        <v>26</v>
      </c>
      <c r="B1808" s="1" t="s">
        <v>4801</v>
      </c>
      <c r="C1808" s="1" t="s">
        <v>9007</v>
      </c>
      <c r="D1808" s="1">
        <v>2.1554585E7</v>
      </c>
      <c r="E1808" s="1" t="s">
        <v>3598</v>
      </c>
      <c r="F1808" s="1" t="s">
        <v>1644</v>
      </c>
      <c r="G1808" s="1" t="s">
        <v>1892</v>
      </c>
      <c r="H1808" s="1" t="s">
        <v>947</v>
      </c>
      <c r="I1808" s="1">
        <v>36108.0</v>
      </c>
      <c r="J1808" s="1" t="s">
        <v>9008</v>
      </c>
      <c r="K1808" s="1" t="s">
        <v>9009</v>
      </c>
      <c r="L1808" s="1">
        <v>109.0</v>
      </c>
      <c r="M1808" s="1" t="s">
        <v>35</v>
      </c>
      <c r="N1808" s="1" t="s">
        <v>36</v>
      </c>
      <c r="O1808" s="1" t="s">
        <v>628</v>
      </c>
      <c r="P1808" s="1">
        <v>2.5E7</v>
      </c>
      <c r="Q1808" s="1">
        <v>1998.0</v>
      </c>
      <c r="R1808" s="1">
        <v>18000.0</v>
      </c>
      <c r="S1808" s="1">
        <v>14000.0</v>
      </c>
      <c r="T1808" s="1">
        <v>3000.0</v>
      </c>
      <c r="U1808" s="1">
        <v>37315.0</v>
      </c>
      <c r="V1808" s="1">
        <v>0.0</v>
      </c>
      <c r="W1808" s="1">
        <v>0.0</v>
      </c>
      <c r="X1808" s="1">
        <v>0.0</v>
      </c>
      <c r="Y1808" s="1">
        <v>1.85</v>
      </c>
      <c r="Z1808" s="1">
        <v>6.9</v>
      </c>
    </row>
    <row r="1809" ht="14.25" customHeight="1">
      <c r="A1809" s="1" t="s">
        <v>26</v>
      </c>
      <c r="B1809" s="1" t="s">
        <v>9010</v>
      </c>
      <c r="C1809" s="1" t="s">
        <v>9011</v>
      </c>
      <c r="D1809" s="1">
        <v>2.22E7</v>
      </c>
      <c r="E1809" s="1" t="s">
        <v>1359</v>
      </c>
      <c r="F1809" s="1" t="s">
        <v>41</v>
      </c>
      <c r="G1809" s="1" t="s">
        <v>113</v>
      </c>
      <c r="H1809" s="1" t="s">
        <v>5286</v>
      </c>
      <c r="I1809" s="1">
        <v>41310.0</v>
      </c>
      <c r="J1809" s="1" t="s">
        <v>9012</v>
      </c>
      <c r="K1809" s="1" t="s">
        <v>9013</v>
      </c>
      <c r="L1809" s="1">
        <v>117.0</v>
      </c>
      <c r="M1809" s="1" t="s">
        <v>35</v>
      </c>
      <c r="N1809" s="1" t="s">
        <v>36</v>
      </c>
      <c r="O1809" s="1" t="s">
        <v>37</v>
      </c>
      <c r="P1809" s="1">
        <v>2.5E7</v>
      </c>
      <c r="Q1809" s="1">
        <v>1994.0</v>
      </c>
      <c r="R1809" s="1">
        <v>40000.0</v>
      </c>
      <c r="S1809" s="1">
        <v>10000.0</v>
      </c>
      <c r="T1809" s="1">
        <v>977.0</v>
      </c>
      <c r="U1809" s="1">
        <v>52122.0</v>
      </c>
      <c r="V1809" s="1">
        <v>19.0</v>
      </c>
      <c r="W1809" s="1">
        <v>0.0</v>
      </c>
      <c r="X1809" s="1">
        <v>3.0</v>
      </c>
      <c r="Y1809" s="1">
        <v>1.85</v>
      </c>
      <c r="Z1809" s="1">
        <v>6.8</v>
      </c>
    </row>
    <row r="1810" ht="14.25" customHeight="1">
      <c r="A1810" s="1" t="s">
        <v>26</v>
      </c>
      <c r="B1810" s="1" t="s">
        <v>9014</v>
      </c>
      <c r="C1810" s="1" t="s">
        <v>9015</v>
      </c>
      <c r="D1810" s="1">
        <v>2.3527955E7</v>
      </c>
      <c r="E1810" s="1" t="s">
        <v>2281</v>
      </c>
      <c r="F1810" s="1" t="s">
        <v>214</v>
      </c>
      <c r="G1810" s="1" t="s">
        <v>1530</v>
      </c>
      <c r="H1810" s="1" t="s">
        <v>9016</v>
      </c>
      <c r="I1810" s="1">
        <v>74691.0</v>
      </c>
      <c r="J1810" s="1" t="s">
        <v>9017</v>
      </c>
      <c r="K1810" s="1" t="s">
        <v>9018</v>
      </c>
      <c r="L1810" s="1">
        <v>165.0</v>
      </c>
      <c r="M1810" s="1" t="s">
        <v>35</v>
      </c>
      <c r="N1810" s="1" t="s">
        <v>36</v>
      </c>
      <c r="O1810" s="1" t="s">
        <v>37</v>
      </c>
      <c r="P1810" s="1">
        <v>2.5E7</v>
      </c>
      <c r="Q1810" s="1">
        <v>2010.0</v>
      </c>
      <c r="R1810" s="1">
        <v>11000.0</v>
      </c>
      <c r="S1810" s="1">
        <v>673.0</v>
      </c>
      <c r="T1810" s="1">
        <v>619.0</v>
      </c>
      <c r="U1810" s="1">
        <v>12841.0</v>
      </c>
      <c r="V1810" s="1">
        <v>41.0</v>
      </c>
      <c r="W1810" s="1">
        <v>0.0</v>
      </c>
      <c r="X1810" s="1">
        <v>1.0</v>
      </c>
      <c r="Y1810" s="1">
        <v>2.35</v>
      </c>
      <c r="Z1810" s="1">
        <v>6.4</v>
      </c>
    </row>
    <row r="1811" ht="14.25" customHeight="1">
      <c r="A1811" s="1" t="s">
        <v>26</v>
      </c>
      <c r="B1811" s="1" t="s">
        <v>9019</v>
      </c>
      <c r="C1811" s="1" t="s">
        <v>9020</v>
      </c>
      <c r="D1811" s="1">
        <v>2.404249E7</v>
      </c>
      <c r="E1811" s="1" t="s">
        <v>9021</v>
      </c>
      <c r="F1811" s="1" t="s">
        <v>2515</v>
      </c>
      <c r="G1811" s="1" t="s">
        <v>4095</v>
      </c>
      <c r="H1811" s="1" t="s">
        <v>8635</v>
      </c>
      <c r="I1811" s="1">
        <v>40776.0</v>
      </c>
      <c r="J1811" s="1" t="s">
        <v>9022</v>
      </c>
      <c r="K1811" s="1" t="s">
        <v>9023</v>
      </c>
      <c r="L1811" s="1">
        <v>250.0</v>
      </c>
      <c r="M1811" s="1" t="s">
        <v>35</v>
      </c>
      <c r="N1811" s="1" t="s">
        <v>36</v>
      </c>
      <c r="O1811" s="1" t="s">
        <v>628</v>
      </c>
      <c r="P1811" s="1">
        <v>2.5E7</v>
      </c>
      <c r="Q1811" s="1">
        <v>2010.0</v>
      </c>
      <c r="R1811" s="1">
        <v>3000.0</v>
      </c>
      <c r="S1811" s="1">
        <v>441.0</v>
      </c>
      <c r="T1811" s="1">
        <v>155.0</v>
      </c>
      <c r="U1811" s="1">
        <v>3744.0</v>
      </c>
      <c r="V1811" s="1">
        <v>24.0</v>
      </c>
      <c r="W1811" s="1">
        <v>10000.0</v>
      </c>
      <c r="X1811" s="1">
        <v>1.0</v>
      </c>
      <c r="Y1811" s="1">
        <v>1.85</v>
      </c>
      <c r="Z1811" s="1">
        <v>5.6</v>
      </c>
    </row>
    <row r="1812" ht="14.25" customHeight="1">
      <c r="A1812" s="1" t="s">
        <v>26</v>
      </c>
      <c r="B1812" s="1" t="s">
        <v>9024</v>
      </c>
      <c r="C1812" s="1" t="s">
        <v>9025</v>
      </c>
      <c r="D1812" s="1">
        <v>2.2466994E7</v>
      </c>
      <c r="E1812" s="1" t="s">
        <v>326</v>
      </c>
      <c r="F1812" s="1" t="s">
        <v>327</v>
      </c>
      <c r="G1812" s="1" t="s">
        <v>487</v>
      </c>
      <c r="H1812" s="1" t="s">
        <v>5962</v>
      </c>
      <c r="I1812" s="1">
        <v>72673.0</v>
      </c>
      <c r="J1812" s="1" t="s">
        <v>9026</v>
      </c>
      <c r="K1812" s="1" t="s">
        <v>9027</v>
      </c>
      <c r="L1812" s="1">
        <v>166.0</v>
      </c>
      <c r="M1812" s="1" t="s">
        <v>35</v>
      </c>
      <c r="N1812" s="1" t="s">
        <v>36</v>
      </c>
      <c r="O1812" s="1" t="s">
        <v>628</v>
      </c>
      <c r="P1812" s="1">
        <v>2.5E7</v>
      </c>
      <c r="Q1812" s="1">
        <v>2007.0</v>
      </c>
      <c r="R1812" s="1">
        <v>26000.0</v>
      </c>
      <c r="S1812" s="1">
        <v>5000.0</v>
      </c>
      <c r="T1812" s="1">
        <v>874.0</v>
      </c>
      <c r="U1812" s="1">
        <v>33565.0</v>
      </c>
      <c r="V1812" s="1">
        <v>5.0</v>
      </c>
      <c r="W1812" s="1">
        <v>0.0</v>
      </c>
      <c r="X1812" s="1">
        <v>0.0</v>
      </c>
      <c r="Y1812" s="1">
        <v>2.35</v>
      </c>
      <c r="Z1812" s="1">
        <v>6.3</v>
      </c>
    </row>
    <row r="1813" ht="14.25" customHeight="1">
      <c r="A1813" s="1" t="s">
        <v>26</v>
      </c>
      <c r="B1813" s="1" t="s">
        <v>6646</v>
      </c>
      <c r="C1813" s="1" t="s">
        <v>9028</v>
      </c>
      <c r="D1813" s="1">
        <v>1.7791031E7</v>
      </c>
      <c r="E1813" s="1" t="s">
        <v>9029</v>
      </c>
      <c r="F1813" s="1" t="s">
        <v>2095</v>
      </c>
      <c r="G1813" s="1" t="s">
        <v>2783</v>
      </c>
      <c r="H1813" s="1" t="s">
        <v>9030</v>
      </c>
      <c r="I1813" s="1">
        <v>109855.0</v>
      </c>
      <c r="J1813" s="1" t="s">
        <v>9031</v>
      </c>
      <c r="K1813" s="1" t="s">
        <v>9032</v>
      </c>
      <c r="L1813" s="1">
        <v>888.0</v>
      </c>
      <c r="M1813" s="1" t="s">
        <v>35</v>
      </c>
      <c r="N1813" s="1" t="s">
        <v>36</v>
      </c>
      <c r="O1813" s="1" t="s">
        <v>628</v>
      </c>
      <c r="P1813" s="1">
        <v>2.5E7</v>
      </c>
      <c r="Q1813" s="1">
        <v>2002.0</v>
      </c>
      <c r="R1813" s="1">
        <v>11000.0</v>
      </c>
      <c r="S1813" s="1">
        <v>876.0</v>
      </c>
      <c r="T1813" s="1">
        <v>98.0</v>
      </c>
      <c r="U1813" s="1">
        <v>11994.0</v>
      </c>
      <c r="V1813" s="1">
        <v>0.0</v>
      </c>
      <c r="W1813" s="1">
        <v>0.0</v>
      </c>
      <c r="X1813" s="1">
        <v>0.0</v>
      </c>
      <c r="Y1813" s="1">
        <v>2.35</v>
      </c>
      <c r="Z1813" s="1">
        <v>7.3</v>
      </c>
    </row>
    <row r="1814" ht="14.25" customHeight="1">
      <c r="A1814" s="1" t="s">
        <v>26</v>
      </c>
      <c r="B1814" s="1" t="s">
        <v>9033</v>
      </c>
      <c r="C1814" s="1" t="s">
        <v>9034</v>
      </c>
      <c r="D1814" s="1">
        <v>1.7718223E7</v>
      </c>
      <c r="E1814" s="1" t="s">
        <v>1885</v>
      </c>
      <c r="F1814" s="1" t="s">
        <v>1113</v>
      </c>
      <c r="G1814" s="1" t="s">
        <v>9035</v>
      </c>
      <c r="H1814" s="1" t="s">
        <v>9036</v>
      </c>
      <c r="I1814" s="1">
        <v>162067.0</v>
      </c>
      <c r="J1814" s="1" t="s">
        <v>9037</v>
      </c>
      <c r="K1814" s="1" t="s">
        <v>9038</v>
      </c>
      <c r="L1814" s="1">
        <v>316.0</v>
      </c>
      <c r="M1814" s="1" t="s">
        <v>35</v>
      </c>
      <c r="N1814" s="1" t="s">
        <v>36</v>
      </c>
      <c r="O1814" s="1" t="s">
        <v>628</v>
      </c>
      <c r="P1814" s="1">
        <v>2.5E7</v>
      </c>
      <c r="Q1814" s="1">
        <v>2004.0</v>
      </c>
      <c r="R1814" s="1">
        <v>13000.0</v>
      </c>
      <c r="S1814" s="1">
        <v>634.0</v>
      </c>
      <c r="T1814" s="1">
        <v>360.0</v>
      </c>
      <c r="U1814" s="1">
        <v>14180.0</v>
      </c>
      <c r="V1814" s="1">
        <v>17.0</v>
      </c>
      <c r="W1814" s="1">
        <v>0.0</v>
      </c>
      <c r="X1814" s="1">
        <v>5.0</v>
      </c>
      <c r="Y1814" s="1">
        <v>1.85</v>
      </c>
      <c r="Z1814" s="1">
        <v>6.6</v>
      </c>
    </row>
    <row r="1815" ht="14.25" customHeight="1">
      <c r="A1815" s="1" t="s">
        <v>26</v>
      </c>
      <c r="B1815" s="1" t="s">
        <v>9039</v>
      </c>
      <c r="C1815" s="1" t="s">
        <v>9040</v>
      </c>
      <c r="D1815" s="1">
        <v>1.5361537E7</v>
      </c>
      <c r="E1815" s="1" t="s">
        <v>326</v>
      </c>
      <c r="F1815" s="1" t="s">
        <v>9041</v>
      </c>
      <c r="G1815" s="1" t="s">
        <v>9042</v>
      </c>
      <c r="H1815" s="1" t="s">
        <v>9043</v>
      </c>
      <c r="I1815" s="1">
        <v>12263.0</v>
      </c>
      <c r="J1815" s="1" t="s">
        <v>9044</v>
      </c>
      <c r="K1815" s="1" t="s">
        <v>9045</v>
      </c>
      <c r="L1815" s="1">
        <v>132.0</v>
      </c>
      <c r="M1815" s="1" t="s">
        <v>35</v>
      </c>
      <c r="N1815" s="1" t="s">
        <v>730</v>
      </c>
      <c r="O1815" s="1" t="s">
        <v>37</v>
      </c>
      <c r="P1815" s="1">
        <v>1.3E7</v>
      </c>
      <c r="Q1815" s="1">
        <v>2002.0</v>
      </c>
      <c r="R1815" s="1">
        <v>462.0</v>
      </c>
      <c r="S1815" s="1">
        <v>444.0</v>
      </c>
      <c r="T1815" s="1">
        <v>223.0</v>
      </c>
      <c r="U1815" s="1">
        <v>1855.0</v>
      </c>
      <c r="V1815" s="1">
        <v>70.0</v>
      </c>
      <c r="W1815" s="1">
        <v>564.0</v>
      </c>
      <c r="X1815" s="1">
        <v>0.0</v>
      </c>
      <c r="Y1815" s="1">
        <v>1.85</v>
      </c>
      <c r="Z1815" s="1">
        <v>4.6</v>
      </c>
    </row>
    <row r="1816" ht="14.25" customHeight="1">
      <c r="A1816" s="1" t="s">
        <v>26</v>
      </c>
      <c r="B1816" s="1" t="s">
        <v>932</v>
      </c>
      <c r="C1816" s="1" t="s">
        <v>9046</v>
      </c>
      <c r="D1816" s="1">
        <v>1.6647384E7</v>
      </c>
      <c r="E1816" s="1" t="s">
        <v>9047</v>
      </c>
      <c r="F1816" s="1" t="s">
        <v>9048</v>
      </c>
      <c r="G1816" s="1" t="s">
        <v>4254</v>
      </c>
      <c r="H1816" s="1" t="s">
        <v>288</v>
      </c>
      <c r="I1816" s="1">
        <v>8398.0</v>
      </c>
      <c r="J1816" s="1" t="s">
        <v>9049</v>
      </c>
      <c r="K1816" s="1" t="s">
        <v>9050</v>
      </c>
      <c r="L1816" s="1">
        <v>56.0</v>
      </c>
      <c r="M1816" s="1" t="s">
        <v>35</v>
      </c>
      <c r="N1816" s="1" t="s">
        <v>36</v>
      </c>
      <c r="O1816" s="1" t="s">
        <v>87</v>
      </c>
      <c r="P1816" s="1">
        <v>2.6E7</v>
      </c>
      <c r="Q1816" s="1">
        <v>2006.0</v>
      </c>
      <c r="R1816" s="1">
        <v>931.0</v>
      </c>
      <c r="S1816" s="1">
        <v>839.0</v>
      </c>
      <c r="T1816" s="1">
        <v>825.0</v>
      </c>
      <c r="U1816" s="1">
        <v>4431.0</v>
      </c>
      <c r="V1816" s="1">
        <v>176.0</v>
      </c>
      <c r="W1816" s="1">
        <v>498.0</v>
      </c>
      <c r="X1816" s="1">
        <v>1.0</v>
      </c>
      <c r="Y1816" s="1">
        <v>2.35</v>
      </c>
      <c r="Z1816" s="1">
        <v>5.1</v>
      </c>
    </row>
    <row r="1817" ht="14.25" customHeight="1">
      <c r="A1817" s="1" t="s">
        <v>26</v>
      </c>
      <c r="B1817" s="1" t="s">
        <v>9051</v>
      </c>
      <c r="C1817" s="1" t="s">
        <v>9052</v>
      </c>
      <c r="D1817" s="1">
        <v>1.6118077E7</v>
      </c>
      <c r="E1817" s="1" t="s">
        <v>3238</v>
      </c>
      <c r="F1817" s="1" t="s">
        <v>3984</v>
      </c>
      <c r="G1817" s="1" t="s">
        <v>4965</v>
      </c>
      <c r="H1817" s="1" t="s">
        <v>5331</v>
      </c>
      <c r="I1817" s="1">
        <v>5817.0</v>
      </c>
      <c r="J1817" s="1" t="s">
        <v>9053</v>
      </c>
      <c r="K1817" s="1" t="s">
        <v>9054</v>
      </c>
      <c r="L1817" s="1">
        <v>37.0</v>
      </c>
      <c r="M1817" s="1" t="s">
        <v>35</v>
      </c>
      <c r="N1817" s="1" t="s">
        <v>36</v>
      </c>
      <c r="O1817" s="1" t="s">
        <v>628</v>
      </c>
      <c r="P1817" s="1">
        <v>2.5E7</v>
      </c>
      <c r="Q1817" s="1">
        <v>1988.0</v>
      </c>
      <c r="R1817" s="1">
        <v>967.0</v>
      </c>
      <c r="S1817" s="1">
        <v>767.0</v>
      </c>
      <c r="T1817" s="1">
        <v>418.0</v>
      </c>
      <c r="U1817" s="1">
        <v>3067.0</v>
      </c>
      <c r="V1817" s="1">
        <v>21.0</v>
      </c>
      <c r="W1817" s="1">
        <v>377.0</v>
      </c>
      <c r="X1817" s="1">
        <v>0.0</v>
      </c>
      <c r="Y1817" s="1">
        <v>1.85</v>
      </c>
      <c r="Z1817" s="1">
        <v>5.6</v>
      </c>
    </row>
    <row r="1818" ht="14.25" customHeight="1">
      <c r="A1818" s="1" t="s">
        <v>26</v>
      </c>
      <c r="B1818" s="1" t="s">
        <v>9055</v>
      </c>
      <c r="C1818" s="1" t="s">
        <v>9056</v>
      </c>
      <c r="D1818" s="1">
        <v>1.5091542E7</v>
      </c>
      <c r="E1818" s="1" t="s">
        <v>9057</v>
      </c>
      <c r="F1818" s="1" t="s">
        <v>3095</v>
      </c>
      <c r="G1818" s="1" t="s">
        <v>1740</v>
      </c>
      <c r="H1818" s="1" t="s">
        <v>9058</v>
      </c>
      <c r="I1818" s="1">
        <v>4086.0</v>
      </c>
      <c r="J1818" s="1" t="s">
        <v>9059</v>
      </c>
      <c r="K1818" s="1" t="s">
        <v>9060</v>
      </c>
      <c r="L1818" s="1">
        <v>22.0</v>
      </c>
      <c r="M1818" s="1" t="s">
        <v>9061</v>
      </c>
      <c r="N1818" s="1" t="s">
        <v>54</v>
      </c>
      <c r="O1818" s="1" t="s">
        <v>269</v>
      </c>
      <c r="P1818" s="1">
        <v>2.5E7</v>
      </c>
      <c r="Q1818" s="1">
        <v>1996.0</v>
      </c>
      <c r="R1818" s="1">
        <v>940.0</v>
      </c>
      <c r="S1818" s="1">
        <v>595.0</v>
      </c>
      <c r="T1818" s="1">
        <v>376.0</v>
      </c>
      <c r="U1818" s="1">
        <v>2465.0</v>
      </c>
      <c r="V1818" s="1">
        <v>48.0</v>
      </c>
      <c r="W1818" s="1">
        <v>246.0</v>
      </c>
      <c r="X1818" s="1">
        <v>2.0</v>
      </c>
      <c r="Y1818" s="1">
        <v>2.35</v>
      </c>
      <c r="Z1818" s="1">
        <v>5.3</v>
      </c>
    </row>
    <row r="1819" ht="14.25" customHeight="1">
      <c r="A1819" s="1" t="s">
        <v>26</v>
      </c>
      <c r="B1819" s="1" t="s">
        <v>9062</v>
      </c>
      <c r="C1819" s="1" t="s">
        <v>9063</v>
      </c>
      <c r="D1819" s="1">
        <v>1.5045676E7</v>
      </c>
      <c r="E1819" s="1" t="s">
        <v>3181</v>
      </c>
      <c r="F1819" s="1" t="s">
        <v>114</v>
      </c>
      <c r="G1819" s="1" t="s">
        <v>9064</v>
      </c>
      <c r="H1819" s="1" t="s">
        <v>1031</v>
      </c>
      <c r="I1819" s="1">
        <v>76303.0</v>
      </c>
      <c r="J1819" s="1" t="s">
        <v>9065</v>
      </c>
      <c r="K1819" s="1" t="s">
        <v>9066</v>
      </c>
      <c r="L1819" s="1">
        <v>376.0</v>
      </c>
      <c r="M1819" s="1" t="s">
        <v>35</v>
      </c>
      <c r="N1819" s="1" t="s">
        <v>36</v>
      </c>
      <c r="O1819" s="1" t="s">
        <v>37</v>
      </c>
      <c r="P1819" s="1">
        <v>1.6E7</v>
      </c>
      <c r="Q1819" s="1">
        <v>2009.0</v>
      </c>
      <c r="R1819" s="1">
        <v>902.0</v>
      </c>
      <c r="S1819" s="1">
        <v>837.0</v>
      </c>
      <c r="T1819" s="1">
        <v>258.0</v>
      </c>
      <c r="U1819" s="1">
        <v>2466.0</v>
      </c>
      <c r="V1819" s="1">
        <v>219.0</v>
      </c>
      <c r="W1819" s="1">
        <v>0.0</v>
      </c>
      <c r="X1819" s="1">
        <v>1.0</v>
      </c>
      <c r="Y1819" s="1">
        <v>2.35</v>
      </c>
      <c r="Z1819" s="1">
        <v>5.6</v>
      </c>
    </row>
    <row r="1820" ht="14.25" customHeight="1">
      <c r="A1820" s="1" t="s">
        <v>26</v>
      </c>
      <c r="B1820" s="1" t="s">
        <v>9067</v>
      </c>
      <c r="C1820" s="1" t="s">
        <v>9068</v>
      </c>
      <c r="D1820" s="1">
        <v>1.7427926E7</v>
      </c>
      <c r="E1820" s="1" t="s">
        <v>6019</v>
      </c>
      <c r="F1820" s="1" t="s">
        <v>8917</v>
      </c>
      <c r="G1820" s="1" t="s">
        <v>9069</v>
      </c>
      <c r="H1820" s="1" t="s">
        <v>9070</v>
      </c>
      <c r="I1820" s="1">
        <v>60062.0</v>
      </c>
      <c r="J1820" s="1" t="s">
        <v>9071</v>
      </c>
      <c r="K1820" s="1" t="s">
        <v>9072</v>
      </c>
      <c r="L1820" s="1">
        <v>351.0</v>
      </c>
      <c r="M1820" s="1" t="s">
        <v>35</v>
      </c>
      <c r="N1820" s="1" t="s">
        <v>36</v>
      </c>
      <c r="O1820" s="1" t="s">
        <v>628</v>
      </c>
      <c r="P1820" s="1">
        <v>8000000.0</v>
      </c>
      <c r="Q1820" s="1">
        <v>2008.0</v>
      </c>
      <c r="R1820" s="1">
        <v>960.0</v>
      </c>
      <c r="S1820" s="1">
        <v>664.0</v>
      </c>
      <c r="T1820" s="1">
        <v>49.0</v>
      </c>
      <c r="U1820" s="1">
        <v>1749.0</v>
      </c>
      <c r="V1820" s="1">
        <v>27.0</v>
      </c>
      <c r="W1820" s="1">
        <v>0.0</v>
      </c>
      <c r="X1820" s="1">
        <v>0.0</v>
      </c>
      <c r="Y1820" s="1">
        <v>2.35</v>
      </c>
      <c r="Z1820" s="1">
        <v>5.9</v>
      </c>
    </row>
    <row r="1821" ht="14.25" customHeight="1">
      <c r="A1821" s="1" t="s">
        <v>26</v>
      </c>
      <c r="B1821" s="1" t="s">
        <v>9073</v>
      </c>
      <c r="C1821" s="1" t="s">
        <v>9074</v>
      </c>
      <c r="D1821" s="1">
        <v>1.4983572E7</v>
      </c>
      <c r="E1821" s="1" t="s">
        <v>1359</v>
      </c>
      <c r="F1821" s="1" t="s">
        <v>3250</v>
      </c>
      <c r="G1821" s="1" t="s">
        <v>688</v>
      </c>
      <c r="H1821" s="1" t="s">
        <v>7430</v>
      </c>
      <c r="I1821" s="1">
        <v>9361.0</v>
      </c>
      <c r="J1821" s="1" t="s">
        <v>9075</v>
      </c>
      <c r="K1821" s="1" t="s">
        <v>9076</v>
      </c>
      <c r="L1821" s="1">
        <v>162.0</v>
      </c>
      <c r="M1821" s="1" t="s">
        <v>35</v>
      </c>
      <c r="N1821" s="1" t="s">
        <v>36</v>
      </c>
      <c r="O1821" s="1" t="s">
        <v>37</v>
      </c>
      <c r="P1821" s="1">
        <v>2.5E7</v>
      </c>
      <c r="Q1821" s="1">
        <v>2000.0</v>
      </c>
      <c r="R1821" s="1">
        <v>774.0</v>
      </c>
      <c r="S1821" s="1">
        <v>692.0</v>
      </c>
      <c r="T1821" s="1">
        <v>347.0</v>
      </c>
      <c r="U1821" s="1">
        <v>2498.0</v>
      </c>
      <c r="V1821" s="1">
        <v>154.0</v>
      </c>
      <c r="W1821" s="1">
        <v>378.0</v>
      </c>
      <c r="X1821" s="1">
        <v>1.0</v>
      </c>
      <c r="Y1821" s="1">
        <v>1.85</v>
      </c>
      <c r="Z1821" s="1">
        <v>4.7</v>
      </c>
    </row>
    <row r="1822" ht="14.25" customHeight="1">
      <c r="A1822" s="1" t="s">
        <v>26</v>
      </c>
      <c r="B1822" s="1" t="s">
        <v>5922</v>
      </c>
      <c r="C1822" s="1" t="s">
        <v>9077</v>
      </c>
      <c r="D1822" s="1">
        <v>1.463749E7</v>
      </c>
      <c r="E1822" s="1" t="s">
        <v>2882</v>
      </c>
      <c r="F1822" s="1" t="s">
        <v>1616</v>
      </c>
      <c r="G1822" s="1" t="s">
        <v>9078</v>
      </c>
      <c r="H1822" s="1" t="s">
        <v>9079</v>
      </c>
      <c r="I1822" s="1">
        <v>16411.0</v>
      </c>
      <c r="J1822" s="1" t="s">
        <v>9080</v>
      </c>
      <c r="K1822" s="1" t="s">
        <v>9081</v>
      </c>
      <c r="L1822" s="1">
        <v>136.0</v>
      </c>
      <c r="M1822" s="1" t="s">
        <v>35</v>
      </c>
      <c r="N1822" s="1" t="s">
        <v>36</v>
      </c>
      <c r="O1822" s="1" t="s">
        <v>628</v>
      </c>
      <c r="P1822" s="1">
        <v>2.5E7</v>
      </c>
      <c r="Q1822" s="1">
        <v>2010.0</v>
      </c>
      <c r="R1822" s="1">
        <v>798.0</v>
      </c>
      <c r="S1822" s="1">
        <v>374.0</v>
      </c>
      <c r="T1822" s="1">
        <v>255.0</v>
      </c>
      <c r="U1822" s="1">
        <v>2537.0</v>
      </c>
      <c r="V1822" s="1">
        <v>0.0</v>
      </c>
      <c r="W1822" s="1">
        <v>0.0</v>
      </c>
      <c r="X1822" s="1">
        <v>2.0</v>
      </c>
      <c r="Y1822" s="1">
        <v>2.35</v>
      </c>
      <c r="Z1822" s="1">
        <v>4.8</v>
      </c>
    </row>
    <row r="1823" ht="14.25" customHeight="1">
      <c r="A1823" s="1" t="s">
        <v>26</v>
      </c>
      <c r="B1823" s="1" t="s">
        <v>6982</v>
      </c>
      <c r="C1823" s="1" t="s">
        <v>9082</v>
      </c>
      <c r="D1823" s="1">
        <v>1.4589444E7</v>
      </c>
      <c r="E1823" s="1" t="s">
        <v>1359</v>
      </c>
      <c r="F1823" s="1" t="s">
        <v>9083</v>
      </c>
      <c r="G1823" s="1" t="s">
        <v>9084</v>
      </c>
      <c r="H1823" s="1" t="s">
        <v>9085</v>
      </c>
      <c r="I1823" s="1">
        <v>171151.0</v>
      </c>
      <c r="J1823" s="1" t="s">
        <v>9086</v>
      </c>
      <c r="K1823" s="1" t="s">
        <v>9087</v>
      </c>
      <c r="L1823" s="1">
        <v>513.0</v>
      </c>
      <c r="M1823" s="1" t="s">
        <v>35</v>
      </c>
      <c r="N1823" s="1" t="s">
        <v>36</v>
      </c>
      <c r="O1823" s="1" t="s">
        <v>628</v>
      </c>
      <c r="P1823" s="1">
        <v>2.5E7</v>
      </c>
      <c r="Q1823" s="1">
        <v>2004.0</v>
      </c>
      <c r="R1823" s="1">
        <v>355.0</v>
      </c>
      <c r="S1823" s="1">
        <v>155.0</v>
      </c>
      <c r="T1823" s="1">
        <v>111.0</v>
      </c>
      <c r="U1823" s="1">
        <v>911.0</v>
      </c>
      <c r="V1823" s="1">
        <v>42.0</v>
      </c>
      <c r="W1823" s="1">
        <v>0.0</v>
      </c>
      <c r="X1823" s="1">
        <v>2.0</v>
      </c>
      <c r="Y1823" s="1">
        <v>1.85</v>
      </c>
      <c r="Z1823" s="1">
        <v>6.8</v>
      </c>
    </row>
    <row r="1824" ht="14.25" customHeight="1">
      <c r="A1824" s="1" t="s">
        <v>26</v>
      </c>
      <c r="B1824" s="1" t="s">
        <v>9088</v>
      </c>
      <c r="C1824" s="1" t="s">
        <v>9089</v>
      </c>
      <c r="D1824" s="1">
        <v>1.4095303E7</v>
      </c>
      <c r="E1824" s="1" t="s">
        <v>2571</v>
      </c>
      <c r="F1824" s="1" t="s">
        <v>6876</v>
      </c>
      <c r="G1824" s="1" t="s">
        <v>9090</v>
      </c>
      <c r="H1824" s="1" t="s">
        <v>9091</v>
      </c>
      <c r="I1824" s="1">
        <v>15814.0</v>
      </c>
      <c r="J1824" s="1" t="s">
        <v>9092</v>
      </c>
      <c r="K1824" s="1" t="s">
        <v>9093</v>
      </c>
      <c r="L1824" s="1">
        <v>68.0</v>
      </c>
      <c r="M1824" s="1" t="s">
        <v>35</v>
      </c>
      <c r="N1824" s="1" t="s">
        <v>36</v>
      </c>
      <c r="O1824" s="1" t="s">
        <v>628</v>
      </c>
      <c r="P1824" s="1">
        <v>2.5E7</v>
      </c>
      <c r="Q1824" s="1">
        <v>1996.0</v>
      </c>
      <c r="R1824" s="1">
        <v>900.0</v>
      </c>
      <c r="S1824" s="1">
        <v>246.0</v>
      </c>
      <c r="T1824" s="1">
        <v>218.0</v>
      </c>
      <c r="U1824" s="1">
        <v>1634.0</v>
      </c>
      <c r="V1824" s="1">
        <v>17.0</v>
      </c>
      <c r="W1824" s="1">
        <v>503.0</v>
      </c>
      <c r="X1824" s="1">
        <v>1.0</v>
      </c>
      <c r="Y1824" s="1">
        <v>2.35</v>
      </c>
      <c r="Z1824" s="1">
        <v>5.4</v>
      </c>
    </row>
    <row r="1825" ht="14.25" customHeight="1">
      <c r="A1825" s="1" t="s">
        <v>26</v>
      </c>
      <c r="B1825" s="1" t="s">
        <v>9094</v>
      </c>
      <c r="C1825" s="1" t="s">
        <v>9095</v>
      </c>
      <c r="D1825" s="1">
        <v>1.3973532E7</v>
      </c>
      <c r="E1825" s="1" t="s">
        <v>972</v>
      </c>
      <c r="F1825" s="1" t="s">
        <v>8409</v>
      </c>
      <c r="G1825" s="1" t="s">
        <v>3013</v>
      </c>
      <c r="H1825" s="1" t="s">
        <v>4282</v>
      </c>
      <c r="I1825" s="1">
        <v>11211.0</v>
      </c>
      <c r="J1825" s="1" t="s">
        <v>9096</v>
      </c>
      <c r="K1825" s="1" t="s">
        <v>9097</v>
      </c>
      <c r="L1825" s="1">
        <v>92.0</v>
      </c>
      <c r="M1825" s="1" t="s">
        <v>35</v>
      </c>
      <c r="N1825" s="1" t="s">
        <v>36</v>
      </c>
      <c r="O1825" s="1" t="s">
        <v>37</v>
      </c>
      <c r="P1825" s="1">
        <v>2.5E7</v>
      </c>
      <c r="Q1825" s="1">
        <v>2002.0</v>
      </c>
      <c r="R1825" s="1">
        <v>985.0</v>
      </c>
      <c r="S1825" s="1">
        <v>637.0</v>
      </c>
      <c r="T1825" s="1">
        <v>455.0</v>
      </c>
      <c r="U1825" s="1">
        <v>3065.0</v>
      </c>
      <c r="V1825" s="1">
        <v>54.0</v>
      </c>
      <c r="W1825" s="1">
        <v>215.0</v>
      </c>
      <c r="X1825" s="1">
        <v>1.0</v>
      </c>
      <c r="Y1825" s="1">
        <v>1.85</v>
      </c>
      <c r="Z1825" s="1">
        <v>5.1</v>
      </c>
    </row>
    <row r="1826" ht="14.25" customHeight="1">
      <c r="A1826" s="1" t="s">
        <v>26</v>
      </c>
      <c r="B1826" s="1" t="s">
        <v>4806</v>
      </c>
      <c r="C1826" s="1" t="s">
        <v>9098</v>
      </c>
      <c r="D1826" s="1">
        <v>1865774.0</v>
      </c>
      <c r="E1826" s="1" t="s">
        <v>9099</v>
      </c>
      <c r="F1826" s="1" t="s">
        <v>58</v>
      </c>
      <c r="G1826" s="1" t="s">
        <v>1241</v>
      </c>
      <c r="H1826" s="1" t="s">
        <v>9100</v>
      </c>
      <c r="I1826" s="1">
        <v>87682.0</v>
      </c>
      <c r="J1826" s="1" t="s">
        <v>9101</v>
      </c>
      <c r="K1826" s="1" t="s">
        <v>9102</v>
      </c>
      <c r="L1826" s="1">
        <v>174.0</v>
      </c>
      <c r="M1826" s="1" t="s">
        <v>35</v>
      </c>
      <c r="N1826" s="1" t="s">
        <v>54</v>
      </c>
      <c r="O1826" s="1" t="s">
        <v>628</v>
      </c>
      <c r="P1826" s="1">
        <v>3.0E7</v>
      </c>
      <c r="Q1826" s="1">
        <v>2015.0</v>
      </c>
      <c r="R1826" s="1">
        <v>27000.0</v>
      </c>
      <c r="S1826" s="1">
        <v>154.0</v>
      </c>
      <c r="T1826" s="1">
        <v>151.0</v>
      </c>
      <c r="U1826" s="1">
        <v>27659.0</v>
      </c>
      <c r="V1826" s="1">
        <v>241.0</v>
      </c>
      <c r="W1826" s="1">
        <v>43000.0</v>
      </c>
      <c r="X1826" s="1">
        <v>2.0</v>
      </c>
      <c r="Y1826" s="1">
        <v>2.35</v>
      </c>
      <c r="Z1826" s="1">
        <v>7.0</v>
      </c>
    </row>
    <row r="1827" ht="14.25" customHeight="1">
      <c r="A1827" s="1" t="s">
        <v>26</v>
      </c>
      <c r="B1827" s="1" t="s">
        <v>5498</v>
      </c>
      <c r="C1827" s="1" t="s">
        <v>9103</v>
      </c>
      <c r="D1827" s="1">
        <v>1.8860403E7</v>
      </c>
      <c r="E1827" s="1" t="s">
        <v>6278</v>
      </c>
      <c r="F1827" s="1" t="s">
        <v>176</v>
      </c>
      <c r="G1827" s="1" t="s">
        <v>31</v>
      </c>
      <c r="H1827" s="1" t="s">
        <v>8883</v>
      </c>
      <c r="I1827" s="1">
        <v>20823.0</v>
      </c>
      <c r="J1827" s="1" t="s">
        <v>9104</v>
      </c>
      <c r="K1827" s="1" t="s">
        <v>9105</v>
      </c>
      <c r="L1827" s="1">
        <v>130.0</v>
      </c>
      <c r="M1827" s="1" t="s">
        <v>35</v>
      </c>
      <c r="N1827" s="1" t="s">
        <v>36</v>
      </c>
      <c r="O1827" s="1" t="s">
        <v>37</v>
      </c>
      <c r="P1827" s="1">
        <v>2.5E7</v>
      </c>
      <c r="Q1827" s="1">
        <v>2011.0</v>
      </c>
      <c r="R1827" s="1">
        <v>963.0</v>
      </c>
      <c r="S1827" s="1">
        <v>936.0</v>
      </c>
      <c r="T1827" s="1">
        <v>852.0</v>
      </c>
      <c r="U1827" s="1">
        <v>4952.0</v>
      </c>
      <c r="V1827" s="1">
        <v>160.0</v>
      </c>
      <c r="W1827" s="1">
        <v>0.0</v>
      </c>
      <c r="X1827" s="1">
        <v>0.0</v>
      </c>
      <c r="Y1827" s="1">
        <v>1.85</v>
      </c>
      <c r="Z1827" s="1">
        <v>4.0</v>
      </c>
    </row>
    <row r="1828" ht="14.25" customHeight="1">
      <c r="A1828" s="1" t="s">
        <v>26</v>
      </c>
      <c r="B1828" s="1" t="s">
        <v>4446</v>
      </c>
      <c r="C1828" s="1" t="s">
        <v>9106</v>
      </c>
      <c r="D1828" s="1">
        <v>1.303866E7</v>
      </c>
      <c r="E1828" s="1" t="s">
        <v>3238</v>
      </c>
      <c r="F1828" s="1" t="s">
        <v>2783</v>
      </c>
      <c r="G1828" s="1" t="s">
        <v>9107</v>
      </c>
      <c r="H1828" s="1" t="s">
        <v>9108</v>
      </c>
      <c r="I1828" s="1">
        <v>16995.0</v>
      </c>
      <c r="J1828" s="1" t="s">
        <v>9109</v>
      </c>
      <c r="K1828" s="1" t="s">
        <v>9110</v>
      </c>
      <c r="L1828" s="1">
        <v>163.0</v>
      </c>
      <c r="M1828" s="1" t="s">
        <v>35</v>
      </c>
      <c r="N1828" s="1" t="s">
        <v>36</v>
      </c>
      <c r="O1828" s="1" t="s">
        <v>628</v>
      </c>
      <c r="P1828" s="1">
        <v>2.5E7</v>
      </c>
      <c r="Q1828" s="1">
        <v>1999.0</v>
      </c>
      <c r="R1828" s="1">
        <v>876.0</v>
      </c>
      <c r="S1828" s="1">
        <v>219.0</v>
      </c>
      <c r="T1828" s="1">
        <v>70.0</v>
      </c>
      <c r="U1828" s="1">
        <v>1282.0</v>
      </c>
      <c r="V1828" s="1">
        <v>317.0</v>
      </c>
      <c r="W1828" s="1">
        <v>0.0</v>
      </c>
      <c r="X1828" s="1">
        <v>1.0</v>
      </c>
      <c r="Y1828" s="1">
        <v>1.85</v>
      </c>
      <c r="Z1828" s="1">
        <v>7.3</v>
      </c>
    </row>
    <row r="1829" ht="14.25" customHeight="1">
      <c r="A1829" s="1" t="s">
        <v>26</v>
      </c>
      <c r="B1829" s="1" t="s">
        <v>2580</v>
      </c>
      <c r="C1829" s="1" t="s">
        <v>9111</v>
      </c>
      <c r="D1829" s="1">
        <v>2.8831145E7</v>
      </c>
      <c r="E1829" s="1" t="s">
        <v>3598</v>
      </c>
      <c r="F1829" s="1" t="s">
        <v>713</v>
      </c>
      <c r="G1829" s="1" t="s">
        <v>1568</v>
      </c>
      <c r="H1829" s="1" t="s">
        <v>9112</v>
      </c>
      <c r="I1829" s="1">
        <v>39357.0</v>
      </c>
      <c r="J1829" s="1" t="s">
        <v>9113</v>
      </c>
      <c r="K1829" s="1" t="s">
        <v>9114</v>
      </c>
      <c r="L1829" s="1">
        <v>113.0</v>
      </c>
      <c r="M1829" s="1" t="s">
        <v>35</v>
      </c>
      <c r="N1829" s="1" t="s">
        <v>36</v>
      </c>
      <c r="O1829" s="1" t="s">
        <v>628</v>
      </c>
      <c r="P1829" s="1">
        <v>2.5E7</v>
      </c>
      <c r="Q1829" s="1">
        <v>2014.0</v>
      </c>
      <c r="R1829" s="1">
        <v>3000.0</v>
      </c>
      <c r="S1829" s="1">
        <v>466.0</v>
      </c>
      <c r="T1829" s="1">
        <v>148.0</v>
      </c>
      <c r="U1829" s="1">
        <v>3757.0</v>
      </c>
      <c r="V1829" s="1">
        <v>425.0</v>
      </c>
      <c r="W1829" s="1">
        <v>14000.0</v>
      </c>
      <c r="X1829" s="1">
        <v>1.0</v>
      </c>
      <c r="Y1829" s="1">
        <v>2.35</v>
      </c>
      <c r="Z1829" s="1">
        <v>6.8</v>
      </c>
    </row>
    <row r="1830" ht="14.25" customHeight="1">
      <c r="A1830" s="1" t="s">
        <v>26</v>
      </c>
      <c r="B1830" s="1" t="s">
        <v>3834</v>
      </c>
      <c r="C1830" s="1" t="s">
        <v>9115</v>
      </c>
      <c r="D1830" s="1">
        <v>1.1538204E7</v>
      </c>
      <c r="E1830" s="1" t="s">
        <v>9116</v>
      </c>
      <c r="F1830" s="1" t="s">
        <v>423</v>
      </c>
      <c r="G1830" s="1" t="s">
        <v>130</v>
      </c>
      <c r="H1830" s="1" t="s">
        <v>1102</v>
      </c>
      <c r="I1830" s="1">
        <v>23696.0</v>
      </c>
      <c r="J1830" s="1" t="s">
        <v>9117</v>
      </c>
      <c r="K1830" s="1" t="s">
        <v>9118</v>
      </c>
      <c r="L1830" s="1">
        <v>135.0</v>
      </c>
      <c r="M1830" s="1" t="s">
        <v>35</v>
      </c>
      <c r="N1830" s="1" t="s">
        <v>36</v>
      </c>
      <c r="O1830" s="1" t="s">
        <v>37</v>
      </c>
      <c r="P1830" s="1">
        <v>2.5E7</v>
      </c>
      <c r="Q1830" s="1">
        <v>2010.0</v>
      </c>
      <c r="R1830" s="1">
        <v>18000.0</v>
      </c>
      <c r="S1830" s="1">
        <v>1000.0</v>
      </c>
      <c r="T1830" s="1">
        <v>939.0</v>
      </c>
      <c r="U1830" s="1">
        <v>21163.0</v>
      </c>
      <c r="V1830" s="1">
        <v>0.0</v>
      </c>
      <c r="W1830" s="1">
        <v>0.0</v>
      </c>
      <c r="X1830" s="1">
        <v>0.0</v>
      </c>
      <c r="Y1830" s="1">
        <v>2.35</v>
      </c>
      <c r="Z1830" s="1">
        <v>7.0</v>
      </c>
    </row>
    <row r="1831" ht="14.25" customHeight="1">
      <c r="A1831" s="1" t="s">
        <v>26</v>
      </c>
      <c r="B1831" s="1" t="s">
        <v>5773</v>
      </c>
      <c r="C1831" s="1" t="s">
        <v>9119</v>
      </c>
      <c r="D1831" s="1">
        <v>1.1008432E7</v>
      </c>
      <c r="E1831" s="1" t="s">
        <v>1557</v>
      </c>
      <c r="F1831" s="1" t="s">
        <v>450</v>
      </c>
      <c r="G1831" s="1" t="s">
        <v>2214</v>
      </c>
      <c r="H1831" s="1" t="s">
        <v>8260</v>
      </c>
      <c r="I1831" s="1">
        <v>43903.0</v>
      </c>
      <c r="J1831" s="1" t="s">
        <v>9120</v>
      </c>
      <c r="K1831" s="1" t="s">
        <v>9121</v>
      </c>
      <c r="L1831" s="1">
        <v>194.0</v>
      </c>
      <c r="M1831" s="1" t="s">
        <v>35</v>
      </c>
      <c r="N1831" s="1" t="s">
        <v>36</v>
      </c>
      <c r="O1831" s="1" t="s">
        <v>37</v>
      </c>
      <c r="P1831" s="1">
        <v>2.5E7</v>
      </c>
      <c r="Q1831" s="1">
        <v>2005.0</v>
      </c>
      <c r="R1831" s="1">
        <v>13000.0</v>
      </c>
      <c r="S1831" s="1">
        <v>947.0</v>
      </c>
      <c r="T1831" s="1">
        <v>872.0</v>
      </c>
      <c r="U1831" s="1">
        <v>16651.0</v>
      </c>
      <c r="V1831" s="1">
        <v>308.0</v>
      </c>
      <c r="W1831" s="1">
        <v>5000.0</v>
      </c>
      <c r="X1831" s="1">
        <v>0.0</v>
      </c>
      <c r="Y1831" s="1">
        <v>1.85</v>
      </c>
      <c r="Z1831" s="1">
        <v>7.1</v>
      </c>
    </row>
    <row r="1832" ht="14.25" customHeight="1">
      <c r="A1832" s="1" t="s">
        <v>26</v>
      </c>
      <c r="B1832" s="1" t="s">
        <v>9122</v>
      </c>
      <c r="C1832" s="1" t="s">
        <v>9123</v>
      </c>
      <c r="D1832" s="1">
        <v>1.2188642E7</v>
      </c>
      <c r="E1832" s="1" t="s">
        <v>5578</v>
      </c>
      <c r="F1832" s="1" t="s">
        <v>9124</v>
      </c>
      <c r="G1832" s="1" t="s">
        <v>6472</v>
      </c>
      <c r="H1832" s="1" t="s">
        <v>5204</v>
      </c>
      <c r="I1832" s="1">
        <v>21098.0</v>
      </c>
      <c r="J1832" s="1" t="s">
        <v>9125</v>
      </c>
      <c r="K1832" s="1" t="s">
        <v>9126</v>
      </c>
      <c r="L1832" s="1">
        <v>56.0</v>
      </c>
      <c r="M1832" s="1" t="s">
        <v>35</v>
      </c>
      <c r="N1832" s="1" t="s">
        <v>9127</v>
      </c>
      <c r="O1832" s="1" t="s">
        <v>37</v>
      </c>
      <c r="P1832" s="1">
        <v>2.6E7</v>
      </c>
      <c r="Q1832" s="1">
        <v>2015.0</v>
      </c>
      <c r="R1832" s="1">
        <v>562.0</v>
      </c>
      <c r="S1832" s="1">
        <v>499.0</v>
      </c>
      <c r="T1832" s="1">
        <v>399.0</v>
      </c>
      <c r="U1832" s="1">
        <v>2230.0</v>
      </c>
      <c r="V1832" s="1">
        <v>36.0</v>
      </c>
      <c r="W1832" s="1">
        <v>0.0</v>
      </c>
      <c r="X1832" s="1">
        <v>7.0</v>
      </c>
      <c r="Y1832" s="1">
        <v>2.35</v>
      </c>
      <c r="Z1832" s="1">
        <v>6.9</v>
      </c>
    </row>
    <row r="1833" ht="14.25" customHeight="1">
      <c r="A1833" s="1" t="s">
        <v>26</v>
      </c>
      <c r="B1833" s="1" t="s">
        <v>5073</v>
      </c>
      <c r="C1833" s="1" t="s">
        <v>9128</v>
      </c>
      <c r="D1833" s="1">
        <v>1.11E7</v>
      </c>
      <c r="E1833" s="1" t="s">
        <v>2316</v>
      </c>
      <c r="F1833" s="1" t="s">
        <v>3260</v>
      </c>
      <c r="G1833" s="1" t="s">
        <v>9129</v>
      </c>
      <c r="H1833" s="1" t="s">
        <v>9130</v>
      </c>
      <c r="I1833" s="1">
        <v>92464.0</v>
      </c>
      <c r="J1833" s="1" t="s">
        <v>9131</v>
      </c>
      <c r="K1833" s="1" t="s">
        <v>9132</v>
      </c>
      <c r="L1833" s="1">
        <v>331.0</v>
      </c>
      <c r="M1833" s="1" t="s">
        <v>35</v>
      </c>
      <c r="N1833" s="1" t="s">
        <v>36</v>
      </c>
      <c r="O1833" s="1" t="s">
        <v>37</v>
      </c>
      <c r="P1833" s="1">
        <v>2.5E7</v>
      </c>
      <c r="Q1833" s="1">
        <v>1986.0</v>
      </c>
      <c r="R1833" s="1">
        <v>400.0</v>
      </c>
      <c r="S1833" s="1">
        <v>223.0</v>
      </c>
      <c r="T1833" s="1">
        <v>52.0</v>
      </c>
      <c r="U1833" s="1">
        <v>896.0</v>
      </c>
      <c r="V1833" s="1">
        <v>0.0</v>
      </c>
      <c r="W1833" s="1">
        <v>19000.0</v>
      </c>
      <c r="X1833" s="1">
        <v>1.0</v>
      </c>
      <c r="Y1833" s="1">
        <v>2.35</v>
      </c>
      <c r="Z1833" s="1">
        <v>7.3</v>
      </c>
    </row>
    <row r="1834" ht="14.25" customHeight="1">
      <c r="A1834" s="1" t="s">
        <v>26</v>
      </c>
      <c r="B1834" s="1" t="s">
        <v>8016</v>
      </c>
      <c r="C1834" s="1" t="s">
        <v>9133</v>
      </c>
      <c r="D1834" s="1">
        <v>1.3651662E7</v>
      </c>
      <c r="E1834" s="1" t="s">
        <v>3598</v>
      </c>
      <c r="F1834" s="1" t="s">
        <v>58</v>
      </c>
      <c r="G1834" s="1" t="s">
        <v>1616</v>
      </c>
      <c r="H1834" s="1" t="s">
        <v>273</v>
      </c>
      <c r="I1834" s="1">
        <v>332276.0</v>
      </c>
      <c r="J1834" s="1" t="s">
        <v>9134</v>
      </c>
      <c r="K1834" s="1" t="s">
        <v>9135</v>
      </c>
      <c r="L1834" s="1">
        <v>514.0</v>
      </c>
      <c r="M1834" s="1" t="s">
        <v>35</v>
      </c>
      <c r="N1834" s="1" t="s">
        <v>36</v>
      </c>
      <c r="O1834" s="1" t="s">
        <v>37</v>
      </c>
      <c r="P1834" s="1">
        <v>2.5E7</v>
      </c>
      <c r="Q1834" s="1">
        <v>2011.0</v>
      </c>
      <c r="R1834" s="1">
        <v>27000.0</v>
      </c>
      <c r="S1834" s="1">
        <v>798.0</v>
      </c>
      <c r="T1834" s="1">
        <v>581.0</v>
      </c>
      <c r="U1834" s="1">
        <v>29692.0</v>
      </c>
      <c r="V1834" s="1">
        <v>149.0</v>
      </c>
      <c r="W1834" s="1">
        <v>77000.0</v>
      </c>
      <c r="X1834" s="1">
        <v>1.0</v>
      </c>
      <c r="Y1834" s="1">
        <v>2.35</v>
      </c>
      <c r="Z1834" s="1">
        <v>8.2</v>
      </c>
    </row>
    <row r="1835" ht="14.25" customHeight="1">
      <c r="A1835" s="1" t="s">
        <v>710</v>
      </c>
      <c r="B1835" s="1" t="s">
        <v>4775</v>
      </c>
      <c r="C1835" s="1" t="s">
        <v>9136</v>
      </c>
      <c r="D1835" s="1">
        <v>1.1030963E7</v>
      </c>
      <c r="E1835" s="1" t="s">
        <v>9137</v>
      </c>
      <c r="F1835" s="1" t="s">
        <v>98</v>
      </c>
      <c r="G1835" s="1" t="s">
        <v>220</v>
      </c>
      <c r="H1835" s="1" t="s">
        <v>1459</v>
      </c>
      <c r="I1835" s="1">
        <v>24145.0</v>
      </c>
      <c r="J1835" s="1" t="s">
        <v>9138</v>
      </c>
      <c r="K1835" s="1" t="s">
        <v>9139</v>
      </c>
      <c r="L1835" s="1">
        <v>93.0</v>
      </c>
      <c r="M1835" s="1" t="s">
        <v>35</v>
      </c>
      <c r="N1835" s="1" t="s">
        <v>54</v>
      </c>
      <c r="O1835" s="1" t="s">
        <v>628</v>
      </c>
      <c r="P1835" s="1">
        <v>2.8E7</v>
      </c>
      <c r="Q1835" s="1">
        <v>1996.0</v>
      </c>
      <c r="R1835" s="1">
        <v>25000.0</v>
      </c>
      <c r="S1835" s="1">
        <v>14000.0</v>
      </c>
      <c r="T1835" s="1">
        <v>8000.0</v>
      </c>
      <c r="U1835" s="1">
        <v>48482.0</v>
      </c>
      <c r="V1835" s="1">
        <v>277.0</v>
      </c>
      <c r="W1835" s="1">
        <v>0.0</v>
      </c>
      <c r="X1835" s="1">
        <v>2.0</v>
      </c>
      <c r="Y1835" s="1">
        <v>1.85</v>
      </c>
      <c r="Z1835" s="1">
        <v>7.1</v>
      </c>
    </row>
    <row r="1836" ht="14.25" customHeight="1">
      <c r="A1836" s="1" t="s">
        <v>26</v>
      </c>
      <c r="B1836" s="1" t="s">
        <v>4524</v>
      </c>
      <c r="C1836" s="1" t="s">
        <v>9140</v>
      </c>
      <c r="D1836" s="1">
        <v>1.076996E7</v>
      </c>
      <c r="E1836" s="1" t="s">
        <v>1880</v>
      </c>
      <c r="F1836" s="1" t="s">
        <v>5388</v>
      </c>
      <c r="G1836" s="1" t="s">
        <v>9141</v>
      </c>
      <c r="H1836" s="1" t="s">
        <v>9142</v>
      </c>
      <c r="I1836" s="1">
        <v>21940.0</v>
      </c>
      <c r="J1836" s="1" t="s">
        <v>9143</v>
      </c>
      <c r="K1836" s="1" t="s">
        <v>9144</v>
      </c>
      <c r="L1836" s="1">
        <v>256.0</v>
      </c>
      <c r="M1836" s="1" t="s">
        <v>35</v>
      </c>
      <c r="N1836" s="1" t="s">
        <v>36</v>
      </c>
      <c r="O1836" s="1" t="s">
        <v>87</v>
      </c>
      <c r="P1836" s="1">
        <v>2.5E7</v>
      </c>
      <c r="Q1836" s="1">
        <v>1993.0</v>
      </c>
      <c r="R1836" s="1">
        <v>854.0</v>
      </c>
      <c r="S1836" s="1">
        <v>702.0</v>
      </c>
      <c r="T1836" s="1">
        <v>251.0</v>
      </c>
      <c r="U1836" s="1">
        <v>2107.0</v>
      </c>
      <c r="V1836" s="1">
        <v>33.0</v>
      </c>
      <c r="W1836" s="1">
        <v>0.0</v>
      </c>
      <c r="X1836" s="1">
        <v>0.0</v>
      </c>
      <c r="Y1836" s="1">
        <v>1.85</v>
      </c>
      <c r="Z1836" s="1">
        <v>7.7</v>
      </c>
    </row>
    <row r="1837" ht="14.25" customHeight="1">
      <c r="A1837" s="1" t="s">
        <v>26</v>
      </c>
      <c r="B1837" s="1" t="s">
        <v>7876</v>
      </c>
      <c r="C1837" s="1" t="s">
        <v>9145</v>
      </c>
      <c r="D1837" s="1">
        <v>1.091175E7</v>
      </c>
      <c r="E1837" s="1" t="s">
        <v>3225</v>
      </c>
      <c r="F1837" s="1" t="s">
        <v>60</v>
      </c>
      <c r="G1837" s="1" t="s">
        <v>430</v>
      </c>
      <c r="H1837" s="1" t="s">
        <v>1346</v>
      </c>
      <c r="I1837" s="1">
        <v>17757.0</v>
      </c>
      <c r="J1837" s="1" t="s">
        <v>9146</v>
      </c>
      <c r="K1837" s="1" t="s">
        <v>9147</v>
      </c>
      <c r="L1837" s="1">
        <v>99.0</v>
      </c>
      <c r="M1837" s="1" t="s">
        <v>35</v>
      </c>
      <c r="N1837" s="1" t="s">
        <v>36</v>
      </c>
      <c r="O1837" s="1" t="s">
        <v>628</v>
      </c>
      <c r="P1837" s="1">
        <v>2.5E7</v>
      </c>
      <c r="Q1837" s="1">
        <v>2008.0</v>
      </c>
      <c r="R1837" s="1">
        <v>23000.0</v>
      </c>
      <c r="S1837" s="1">
        <v>17000.0</v>
      </c>
      <c r="T1837" s="1">
        <v>2000.0</v>
      </c>
      <c r="U1837" s="1">
        <v>43560.0</v>
      </c>
      <c r="V1837" s="1">
        <v>108.0</v>
      </c>
      <c r="W1837" s="1">
        <v>982.0</v>
      </c>
      <c r="X1837" s="1">
        <v>2.0</v>
      </c>
      <c r="Y1837" s="1">
        <v>1.85</v>
      </c>
      <c r="Z1837" s="1">
        <v>6.5</v>
      </c>
    </row>
    <row r="1838" ht="14.25" customHeight="1">
      <c r="A1838" s="1" t="s">
        <v>26</v>
      </c>
      <c r="B1838" s="1" t="s">
        <v>4900</v>
      </c>
      <c r="C1838" s="1" t="s">
        <v>9148</v>
      </c>
      <c r="D1838" s="1">
        <v>1.0719367E7</v>
      </c>
      <c r="E1838" s="1" t="s">
        <v>9149</v>
      </c>
      <c r="F1838" s="1" t="s">
        <v>372</v>
      </c>
      <c r="G1838" s="1" t="s">
        <v>1868</v>
      </c>
      <c r="H1838" s="1" t="s">
        <v>981</v>
      </c>
      <c r="I1838" s="1">
        <v>7909.0</v>
      </c>
      <c r="J1838" s="1" t="s">
        <v>9150</v>
      </c>
      <c r="K1838" s="1" t="s">
        <v>9151</v>
      </c>
      <c r="L1838" s="1">
        <v>157.0</v>
      </c>
      <c r="M1838" s="1" t="s">
        <v>35</v>
      </c>
      <c r="N1838" s="1" t="s">
        <v>36</v>
      </c>
      <c r="O1838" s="1" t="s">
        <v>37</v>
      </c>
      <c r="P1838" s="1">
        <v>2.5E7</v>
      </c>
      <c r="Q1838" s="1">
        <v>2002.0</v>
      </c>
      <c r="R1838" s="1">
        <v>16000.0</v>
      </c>
      <c r="S1838" s="1">
        <v>11000.0</v>
      </c>
      <c r="T1838" s="1">
        <v>956.0</v>
      </c>
      <c r="U1838" s="1">
        <v>28987.0</v>
      </c>
      <c r="V1838" s="1">
        <v>79.0</v>
      </c>
      <c r="W1838" s="1">
        <v>261.0</v>
      </c>
      <c r="X1838" s="1">
        <v>3.0</v>
      </c>
      <c r="Y1838" s="1">
        <v>2.35</v>
      </c>
      <c r="Z1838" s="1">
        <v>4.9</v>
      </c>
    </row>
    <row r="1839" ht="14.25" customHeight="1">
      <c r="A1839" s="1" t="s">
        <v>26</v>
      </c>
      <c r="B1839" s="1" t="s">
        <v>9152</v>
      </c>
      <c r="C1839" s="1" t="s">
        <v>9153</v>
      </c>
      <c r="D1839" s="1">
        <v>1.0114315E7</v>
      </c>
      <c r="E1839" s="1" t="s">
        <v>1842</v>
      </c>
      <c r="F1839" s="1" t="s">
        <v>9154</v>
      </c>
      <c r="G1839" s="1" t="s">
        <v>9155</v>
      </c>
      <c r="H1839" s="1" t="s">
        <v>9156</v>
      </c>
      <c r="I1839" s="1">
        <v>18693.0</v>
      </c>
      <c r="J1839" s="1" t="s">
        <v>9157</v>
      </c>
      <c r="K1839" s="1" t="s">
        <v>9158</v>
      </c>
      <c r="L1839" s="1">
        <v>187.0</v>
      </c>
      <c r="M1839" s="1" t="s">
        <v>35</v>
      </c>
      <c r="N1839" s="1" t="s">
        <v>36</v>
      </c>
      <c r="O1839" s="1" t="s">
        <v>37</v>
      </c>
      <c r="P1839" s="1">
        <v>2.5E7</v>
      </c>
      <c r="Q1839" s="1">
        <v>1999.0</v>
      </c>
      <c r="R1839" s="1">
        <v>181.0</v>
      </c>
      <c r="S1839" s="1">
        <v>151.0</v>
      </c>
      <c r="T1839" s="1">
        <v>92.0</v>
      </c>
      <c r="U1839" s="1">
        <v>582.0</v>
      </c>
      <c r="V1839" s="1">
        <v>57.0</v>
      </c>
      <c r="W1839" s="1">
        <v>0.0</v>
      </c>
      <c r="X1839" s="1">
        <v>0.0</v>
      </c>
      <c r="Y1839" s="1">
        <v>2.35</v>
      </c>
      <c r="Z1839" s="1">
        <v>6.4</v>
      </c>
    </row>
    <row r="1840" ht="14.25" customHeight="1">
      <c r="A1840" s="1" t="s">
        <v>26</v>
      </c>
      <c r="B1840" s="1" t="s">
        <v>9159</v>
      </c>
      <c r="C1840" s="1" t="s">
        <v>9160</v>
      </c>
      <c r="D1840" s="1">
        <v>4.9122319E7</v>
      </c>
      <c r="E1840" s="1" t="s">
        <v>6278</v>
      </c>
      <c r="F1840" s="1" t="s">
        <v>7379</v>
      </c>
      <c r="G1840" s="1" t="s">
        <v>9161</v>
      </c>
      <c r="H1840" s="1" t="s">
        <v>9162</v>
      </c>
      <c r="I1840" s="1">
        <v>47169.0</v>
      </c>
      <c r="J1840" s="1" t="s">
        <v>9163</v>
      </c>
      <c r="K1840" s="1" t="s">
        <v>9164</v>
      </c>
      <c r="L1840" s="1">
        <v>162.0</v>
      </c>
      <c r="M1840" s="1" t="s">
        <v>35</v>
      </c>
      <c r="N1840" s="1" t="s">
        <v>36</v>
      </c>
      <c r="O1840" s="1" t="s">
        <v>37</v>
      </c>
      <c r="P1840" s="1">
        <v>1.4E7</v>
      </c>
      <c r="Q1840" s="1">
        <v>2012.0</v>
      </c>
      <c r="R1840" s="1">
        <v>941.0</v>
      </c>
      <c r="S1840" s="1">
        <v>459.0</v>
      </c>
      <c r="T1840" s="1">
        <v>309.0</v>
      </c>
      <c r="U1840" s="1">
        <v>2348.0</v>
      </c>
      <c r="V1840" s="1">
        <v>30.0</v>
      </c>
      <c r="W1840" s="1">
        <v>17000.0</v>
      </c>
      <c r="X1840" s="1">
        <v>0.0</v>
      </c>
      <c r="Y1840" s="1">
        <v>2.35</v>
      </c>
      <c r="Z1840" s="1">
        <v>5.9</v>
      </c>
    </row>
    <row r="1841" ht="14.25" customHeight="1">
      <c r="A1841" s="1" t="s">
        <v>26</v>
      </c>
      <c r="B1841" s="1" t="s">
        <v>9165</v>
      </c>
      <c r="C1841" s="1" t="s">
        <v>9166</v>
      </c>
      <c r="D1841" s="1">
        <v>1.007E7</v>
      </c>
      <c r="E1841" s="1" t="s">
        <v>1359</v>
      </c>
      <c r="F1841" s="1" t="s">
        <v>488</v>
      </c>
      <c r="G1841" s="1" t="s">
        <v>2298</v>
      </c>
      <c r="H1841" s="1" t="s">
        <v>9167</v>
      </c>
      <c r="I1841" s="1">
        <v>5668.0</v>
      </c>
      <c r="J1841" s="1" t="s">
        <v>9168</v>
      </c>
      <c r="K1841" s="1" t="s">
        <v>9169</v>
      </c>
      <c r="L1841" s="1">
        <v>50.0</v>
      </c>
      <c r="M1841" s="1" t="s">
        <v>35</v>
      </c>
      <c r="N1841" s="1" t="s">
        <v>36</v>
      </c>
      <c r="O1841" s="1" t="s">
        <v>37</v>
      </c>
      <c r="P1841" s="1">
        <v>2.5E7</v>
      </c>
      <c r="Q1841" s="1">
        <v>1996.0</v>
      </c>
      <c r="R1841" s="1">
        <v>3000.0</v>
      </c>
      <c r="S1841" s="1">
        <v>624.0</v>
      </c>
      <c r="T1841" s="1">
        <v>354.0</v>
      </c>
      <c r="U1841" s="1">
        <v>5023.0</v>
      </c>
      <c r="V1841" s="1">
        <v>121.0</v>
      </c>
      <c r="W1841" s="1">
        <v>491.0</v>
      </c>
      <c r="X1841" s="1">
        <v>3.0</v>
      </c>
      <c r="Y1841" s="1">
        <v>1.85</v>
      </c>
      <c r="Z1841" s="1">
        <v>6.2</v>
      </c>
    </row>
    <row r="1842" ht="14.25" customHeight="1">
      <c r="A1842" s="1" t="s">
        <v>26</v>
      </c>
      <c r="B1842" s="1" t="s">
        <v>4125</v>
      </c>
      <c r="C1842" s="1" t="s">
        <v>9170</v>
      </c>
      <c r="D1842" s="1">
        <v>1.0324441E7</v>
      </c>
      <c r="E1842" s="1" t="s">
        <v>886</v>
      </c>
      <c r="F1842" s="1" t="s">
        <v>221</v>
      </c>
      <c r="G1842" s="1" t="s">
        <v>5590</v>
      </c>
      <c r="H1842" s="1" t="s">
        <v>9171</v>
      </c>
      <c r="I1842" s="1">
        <v>27117.0</v>
      </c>
      <c r="J1842" s="1" t="s">
        <v>9172</v>
      </c>
      <c r="K1842" s="1" t="s">
        <v>9173</v>
      </c>
      <c r="L1842" s="1">
        <v>140.0</v>
      </c>
      <c r="M1842" s="1" t="s">
        <v>35</v>
      </c>
      <c r="N1842" s="1" t="s">
        <v>36</v>
      </c>
      <c r="O1842" s="1" t="s">
        <v>628</v>
      </c>
      <c r="P1842" s="1">
        <v>2.5E7</v>
      </c>
      <c r="Q1842" s="1">
        <v>2011.0</v>
      </c>
      <c r="R1842" s="1">
        <v>10000.0</v>
      </c>
      <c r="S1842" s="1">
        <v>826.0</v>
      </c>
      <c r="T1842" s="1">
        <v>268.0</v>
      </c>
      <c r="U1842" s="1">
        <v>11431.0</v>
      </c>
      <c r="V1842" s="1">
        <v>37.0</v>
      </c>
      <c r="W1842" s="1">
        <v>7000.0</v>
      </c>
      <c r="X1842" s="1">
        <v>1.0</v>
      </c>
      <c r="Y1842" s="1">
        <v>2.35</v>
      </c>
      <c r="Z1842" s="1">
        <v>5.8</v>
      </c>
    </row>
    <row r="1843" ht="14.25" customHeight="1">
      <c r="A1843" s="1" t="s">
        <v>26</v>
      </c>
      <c r="B1843" s="1" t="s">
        <v>7160</v>
      </c>
      <c r="C1843" s="1" t="s">
        <v>9174</v>
      </c>
      <c r="D1843" s="1">
        <v>7156933.0</v>
      </c>
      <c r="E1843" s="1" t="s">
        <v>2422</v>
      </c>
      <c r="F1843" s="1" t="s">
        <v>7541</v>
      </c>
      <c r="G1843" s="1" t="s">
        <v>9175</v>
      </c>
      <c r="H1843" s="1" t="s">
        <v>8108</v>
      </c>
      <c r="I1843" s="1">
        <v>14581.0</v>
      </c>
      <c r="J1843" s="1" t="s">
        <v>9176</v>
      </c>
      <c r="K1843" s="1" t="s">
        <v>9177</v>
      </c>
      <c r="L1843" s="1">
        <v>74.0</v>
      </c>
      <c r="M1843" s="1" t="s">
        <v>35</v>
      </c>
      <c r="N1843" s="1" t="s">
        <v>36</v>
      </c>
      <c r="O1843" s="1" t="s">
        <v>628</v>
      </c>
      <c r="P1843" s="1">
        <v>2.5E7</v>
      </c>
      <c r="Q1843" s="1">
        <v>2006.0</v>
      </c>
      <c r="R1843" s="1">
        <v>442.0</v>
      </c>
      <c r="S1843" s="1">
        <v>252.0</v>
      </c>
      <c r="T1843" s="1">
        <v>174.0</v>
      </c>
      <c r="U1843" s="1">
        <v>1134.0</v>
      </c>
      <c r="V1843" s="1">
        <v>529.0</v>
      </c>
      <c r="W1843" s="1">
        <v>348.0</v>
      </c>
      <c r="X1843" s="1">
        <v>0.0</v>
      </c>
      <c r="Y1843" s="1">
        <v>1.85</v>
      </c>
      <c r="Z1843" s="1">
        <v>6.7</v>
      </c>
    </row>
    <row r="1844" ht="14.25" customHeight="1">
      <c r="A1844" s="1" t="s">
        <v>26</v>
      </c>
      <c r="B1844" s="1" t="s">
        <v>9178</v>
      </c>
      <c r="C1844" s="1" t="s">
        <v>9179</v>
      </c>
      <c r="D1844" s="1">
        <v>9286314.0</v>
      </c>
      <c r="E1844" s="1" t="s">
        <v>449</v>
      </c>
      <c r="F1844" s="1" t="s">
        <v>9180</v>
      </c>
      <c r="G1844" s="1" t="s">
        <v>9181</v>
      </c>
      <c r="H1844" s="1" t="s">
        <v>9182</v>
      </c>
      <c r="I1844" s="1">
        <v>4972.0</v>
      </c>
      <c r="J1844" s="1" t="s">
        <v>9183</v>
      </c>
      <c r="K1844" s="1" t="s">
        <v>9184</v>
      </c>
      <c r="L1844" s="1">
        <v>62.0</v>
      </c>
      <c r="M1844" s="1" t="s">
        <v>35</v>
      </c>
      <c r="N1844" s="1" t="s">
        <v>36</v>
      </c>
      <c r="O1844" s="1" t="s">
        <v>628</v>
      </c>
      <c r="P1844" s="1">
        <v>1.7E7</v>
      </c>
      <c r="Q1844" s="1">
        <v>1991.0</v>
      </c>
      <c r="R1844" s="1">
        <v>174.0</v>
      </c>
      <c r="S1844" s="1">
        <v>132.0</v>
      </c>
      <c r="T1844" s="1">
        <v>120.0</v>
      </c>
      <c r="U1844" s="1">
        <v>583.0</v>
      </c>
      <c r="V1844" s="1">
        <v>22.0</v>
      </c>
      <c r="W1844" s="1">
        <v>0.0</v>
      </c>
      <c r="X1844" s="1">
        <v>1.0</v>
      </c>
      <c r="Y1844" s="1">
        <v>1.85</v>
      </c>
      <c r="Z1844" s="1">
        <v>5.9</v>
      </c>
    </row>
    <row r="1845" ht="14.25" customHeight="1">
      <c r="A1845" s="1" t="s">
        <v>26</v>
      </c>
      <c r="B1845" s="1" t="s">
        <v>9185</v>
      </c>
      <c r="C1845" s="1" t="s">
        <v>9186</v>
      </c>
      <c r="D1845" s="1">
        <v>56692.0</v>
      </c>
      <c r="E1845" s="1" t="s">
        <v>6613</v>
      </c>
      <c r="F1845" s="1" t="s">
        <v>2682</v>
      </c>
      <c r="G1845" s="1" t="s">
        <v>741</v>
      </c>
      <c r="H1845" s="1" t="s">
        <v>1606</v>
      </c>
      <c r="I1845" s="1">
        <v>177401.0</v>
      </c>
      <c r="J1845" s="1" t="s">
        <v>9187</v>
      </c>
      <c r="K1845" s="1" t="s">
        <v>9188</v>
      </c>
      <c r="L1845" s="1">
        <v>504.0</v>
      </c>
      <c r="M1845" s="1" t="s">
        <v>35</v>
      </c>
      <c r="N1845" s="1" t="s">
        <v>36</v>
      </c>
      <c r="O1845" s="1" t="s">
        <v>628</v>
      </c>
      <c r="P1845" s="1">
        <v>2.5E7</v>
      </c>
      <c r="Q1845" s="1">
        <v>2009.0</v>
      </c>
      <c r="R1845" s="1">
        <v>10000.0</v>
      </c>
      <c r="S1845" s="1">
        <v>9000.0</v>
      </c>
      <c r="T1845" s="1">
        <v>3000.0</v>
      </c>
      <c r="U1845" s="1">
        <v>23566.0</v>
      </c>
      <c r="V1845" s="1">
        <v>214.0</v>
      </c>
      <c r="W1845" s="1">
        <v>32000.0</v>
      </c>
      <c r="X1845" s="1">
        <v>2.0</v>
      </c>
      <c r="Y1845" s="1">
        <v>2.35</v>
      </c>
      <c r="Z1845" s="1">
        <v>7.3</v>
      </c>
    </row>
    <row r="1846" ht="14.25" customHeight="1">
      <c r="A1846" s="1" t="s">
        <v>26</v>
      </c>
      <c r="B1846" s="1" t="s">
        <v>9189</v>
      </c>
      <c r="C1846" s="1" t="s">
        <v>9190</v>
      </c>
      <c r="D1846" s="1">
        <v>5654777.0</v>
      </c>
      <c r="E1846" s="1" t="s">
        <v>3376</v>
      </c>
      <c r="F1846" s="1" t="s">
        <v>3134</v>
      </c>
      <c r="G1846" s="1" t="s">
        <v>6035</v>
      </c>
      <c r="H1846" s="1" t="s">
        <v>9191</v>
      </c>
      <c r="I1846" s="1">
        <v>4875.0</v>
      </c>
      <c r="J1846" s="1" t="s">
        <v>9192</v>
      </c>
      <c r="K1846" s="1" t="s">
        <v>9193</v>
      </c>
      <c r="L1846" s="1">
        <v>26.0</v>
      </c>
      <c r="M1846" s="1" t="s">
        <v>35</v>
      </c>
      <c r="N1846" s="1" t="s">
        <v>36</v>
      </c>
      <c r="O1846" s="1" t="s">
        <v>37</v>
      </c>
      <c r="P1846" s="1">
        <v>2.5E7</v>
      </c>
      <c r="Q1846" s="1">
        <v>2005.0</v>
      </c>
      <c r="R1846" s="1">
        <v>843.0</v>
      </c>
      <c r="S1846" s="1">
        <v>593.0</v>
      </c>
      <c r="T1846" s="1">
        <v>324.0</v>
      </c>
      <c r="U1846" s="1">
        <v>2165.0</v>
      </c>
      <c r="V1846" s="1">
        <v>32.0</v>
      </c>
      <c r="W1846" s="1">
        <v>206.0</v>
      </c>
      <c r="X1846" s="1">
        <v>3.0</v>
      </c>
      <c r="Y1846" s="1">
        <v>2.35</v>
      </c>
      <c r="Z1846" s="1">
        <v>4.1</v>
      </c>
    </row>
    <row r="1847" ht="14.25" customHeight="1">
      <c r="A1847" s="1" t="s">
        <v>26</v>
      </c>
      <c r="B1847" s="1" t="s">
        <v>7572</v>
      </c>
      <c r="C1847" s="1" t="s">
        <v>9194</v>
      </c>
      <c r="D1847" s="1">
        <v>5516708.0</v>
      </c>
      <c r="E1847" s="1" t="s">
        <v>1598</v>
      </c>
      <c r="F1847" s="1" t="s">
        <v>8023</v>
      </c>
      <c r="G1847" s="1" t="s">
        <v>3197</v>
      </c>
      <c r="H1847" s="1" t="s">
        <v>9195</v>
      </c>
      <c r="I1847" s="1">
        <v>11375.0</v>
      </c>
      <c r="J1847" s="1" t="s">
        <v>9196</v>
      </c>
      <c r="K1847" s="1" t="s">
        <v>9197</v>
      </c>
      <c r="L1847" s="1">
        <v>91.0</v>
      </c>
      <c r="M1847" s="1" t="s">
        <v>35</v>
      </c>
      <c r="N1847" s="1" t="s">
        <v>36</v>
      </c>
      <c r="O1847" s="1" t="s">
        <v>628</v>
      </c>
      <c r="P1847" s="1">
        <v>2.5E7</v>
      </c>
      <c r="Q1847" s="1">
        <v>2001.0</v>
      </c>
      <c r="R1847" s="1">
        <v>849.0</v>
      </c>
      <c r="S1847" s="1">
        <v>841.0</v>
      </c>
      <c r="T1847" s="1">
        <v>248.0</v>
      </c>
      <c r="U1847" s="1">
        <v>2413.0</v>
      </c>
      <c r="V1847" s="1">
        <v>6.0</v>
      </c>
      <c r="W1847" s="1">
        <v>295.0</v>
      </c>
      <c r="X1847" s="1">
        <v>2.0</v>
      </c>
      <c r="Y1847" s="1">
        <v>1.85</v>
      </c>
      <c r="Z1847" s="1">
        <v>4.9</v>
      </c>
    </row>
    <row r="1848" ht="14.25" customHeight="1">
      <c r="A1848" s="1" t="s">
        <v>26</v>
      </c>
      <c r="B1848" s="1" t="s">
        <v>1424</v>
      </c>
      <c r="C1848" s="1" t="s">
        <v>9198</v>
      </c>
      <c r="D1848" s="1">
        <v>5128124.0</v>
      </c>
      <c r="E1848" s="1" t="s">
        <v>1557</v>
      </c>
      <c r="F1848" s="1" t="s">
        <v>726</v>
      </c>
      <c r="G1848" s="1" t="s">
        <v>7724</v>
      </c>
      <c r="H1848" s="1" t="s">
        <v>9199</v>
      </c>
      <c r="I1848" s="1">
        <v>44198.0</v>
      </c>
      <c r="J1848" s="1" t="s">
        <v>9200</v>
      </c>
      <c r="K1848" s="1" t="s">
        <v>9201</v>
      </c>
      <c r="L1848" s="1">
        <v>251.0</v>
      </c>
      <c r="M1848" s="1" t="s">
        <v>35</v>
      </c>
      <c r="N1848" s="1" t="s">
        <v>171</v>
      </c>
      <c r="O1848" s="1" t="s">
        <v>37</v>
      </c>
      <c r="P1848" s="1">
        <v>2.5E7</v>
      </c>
      <c r="Q1848" s="1">
        <v>2005.0</v>
      </c>
      <c r="R1848" s="1">
        <v>12000.0</v>
      </c>
      <c r="S1848" s="1">
        <v>506.0</v>
      </c>
      <c r="T1848" s="1">
        <v>50.0</v>
      </c>
      <c r="U1848" s="1">
        <v>12574.0</v>
      </c>
      <c r="V1848" s="1">
        <v>79.0</v>
      </c>
      <c r="W1848" s="1">
        <v>11000.0</v>
      </c>
      <c r="X1848" s="1">
        <v>1.0</v>
      </c>
      <c r="Y1848" s="1">
        <v>2.35</v>
      </c>
      <c r="Z1848" s="1">
        <v>7.9</v>
      </c>
    </row>
    <row r="1849" ht="14.25" customHeight="1">
      <c r="A1849" s="1" t="s">
        <v>26</v>
      </c>
      <c r="B1849" s="1" t="s">
        <v>5498</v>
      </c>
      <c r="C1849" s="1" t="s">
        <v>7331</v>
      </c>
      <c r="D1849" s="1">
        <v>3.4014398E7</v>
      </c>
      <c r="E1849" s="1" t="s">
        <v>7332</v>
      </c>
      <c r="F1849" s="1" t="s">
        <v>6882</v>
      </c>
      <c r="G1849" s="1" t="s">
        <v>6779</v>
      </c>
      <c r="H1849" s="1" t="s">
        <v>7333</v>
      </c>
      <c r="I1849" s="1">
        <v>115650.0</v>
      </c>
      <c r="J1849" s="1" t="s">
        <v>7334</v>
      </c>
      <c r="K1849" s="1" t="s">
        <v>7335</v>
      </c>
      <c r="L1849" s="1">
        <v>1033.0</v>
      </c>
      <c r="M1849" s="1" t="s">
        <v>35</v>
      </c>
      <c r="N1849" s="1" t="s">
        <v>730</v>
      </c>
      <c r="O1849" s="1" t="s">
        <v>628</v>
      </c>
      <c r="P1849" s="1">
        <v>3.3E7</v>
      </c>
      <c r="Q1849" s="1">
        <v>2006.0</v>
      </c>
      <c r="R1849" s="1">
        <v>852.0</v>
      </c>
      <c r="S1849" s="1">
        <v>521.0</v>
      </c>
      <c r="T1849" s="1">
        <v>490.0</v>
      </c>
      <c r="U1849" s="1">
        <v>2603.0</v>
      </c>
      <c r="V1849" s="1">
        <v>160.0</v>
      </c>
      <c r="W1849" s="1">
        <v>4000.0</v>
      </c>
      <c r="X1849" s="1">
        <v>0.0</v>
      </c>
      <c r="Y1849" s="1">
        <v>2.35</v>
      </c>
      <c r="Z1849" s="1">
        <v>5.6</v>
      </c>
    </row>
    <row r="1850" ht="14.25" customHeight="1">
      <c r="A1850" s="1" t="s">
        <v>26</v>
      </c>
      <c r="B1850" s="1" t="s">
        <v>9202</v>
      </c>
      <c r="C1850" s="1" t="s">
        <v>9203</v>
      </c>
      <c r="D1850" s="1">
        <v>4064333.0</v>
      </c>
      <c r="E1850" s="1" t="s">
        <v>1821</v>
      </c>
      <c r="F1850" s="1" t="s">
        <v>200</v>
      </c>
      <c r="G1850" s="1" t="s">
        <v>5898</v>
      </c>
      <c r="H1850" s="1" t="s">
        <v>6572</v>
      </c>
      <c r="I1850" s="1">
        <v>24790.0</v>
      </c>
      <c r="J1850" s="1" t="s">
        <v>9204</v>
      </c>
      <c r="K1850" s="1" t="s">
        <v>9205</v>
      </c>
      <c r="L1850" s="1">
        <v>173.0</v>
      </c>
      <c r="M1850" s="1" t="s">
        <v>35</v>
      </c>
      <c r="N1850" s="1" t="s">
        <v>36</v>
      </c>
      <c r="O1850" s="1" t="s">
        <v>628</v>
      </c>
      <c r="P1850" s="1">
        <v>2.5E7</v>
      </c>
      <c r="Q1850" s="1">
        <v>1995.0</v>
      </c>
      <c r="R1850" s="1">
        <v>6000.0</v>
      </c>
      <c r="S1850" s="1">
        <v>923.0</v>
      </c>
      <c r="T1850" s="1">
        <v>919.0</v>
      </c>
      <c r="U1850" s="1">
        <v>9662.0</v>
      </c>
      <c r="V1850" s="1">
        <v>54.0</v>
      </c>
      <c r="W1850" s="1">
        <v>0.0</v>
      </c>
      <c r="X1850" s="1">
        <v>0.0</v>
      </c>
      <c r="Y1850" s="1">
        <v>2.35</v>
      </c>
      <c r="Z1850" s="1">
        <v>5.2</v>
      </c>
    </row>
    <row r="1851" ht="14.25" customHeight="1">
      <c r="A1851" s="1" t="s">
        <v>26</v>
      </c>
      <c r="B1851" s="1" t="s">
        <v>9206</v>
      </c>
      <c r="C1851" s="1" t="s">
        <v>9207</v>
      </c>
      <c r="D1851" s="1">
        <v>4006906.0</v>
      </c>
      <c r="E1851" s="1" t="s">
        <v>972</v>
      </c>
      <c r="F1851" s="1" t="s">
        <v>8395</v>
      </c>
      <c r="G1851" s="1" t="s">
        <v>2924</v>
      </c>
      <c r="H1851" s="1" t="s">
        <v>5344</v>
      </c>
      <c r="I1851" s="1">
        <v>3229.0</v>
      </c>
      <c r="J1851" s="1" t="s">
        <v>9208</v>
      </c>
      <c r="K1851" s="1" t="s">
        <v>9209</v>
      </c>
      <c r="L1851" s="1">
        <v>20.0</v>
      </c>
      <c r="M1851" s="1" t="s">
        <v>35</v>
      </c>
      <c r="N1851" s="1" t="s">
        <v>36</v>
      </c>
      <c r="O1851" s="1" t="s">
        <v>37</v>
      </c>
      <c r="P1851" s="1">
        <v>1.5E7</v>
      </c>
      <c r="Q1851" s="1">
        <v>2005.0</v>
      </c>
      <c r="R1851" s="1">
        <v>927.0</v>
      </c>
      <c r="S1851" s="1">
        <v>912.0</v>
      </c>
      <c r="T1851" s="1">
        <v>807.0</v>
      </c>
      <c r="U1851" s="1">
        <v>4990.0</v>
      </c>
      <c r="V1851" s="1">
        <v>2.0</v>
      </c>
      <c r="W1851" s="1">
        <v>83.0</v>
      </c>
      <c r="X1851" s="1">
        <v>7.0</v>
      </c>
      <c r="Y1851" s="1">
        <v>1.85</v>
      </c>
      <c r="Z1851" s="1">
        <v>4.1</v>
      </c>
    </row>
    <row r="1852" ht="14.25" customHeight="1">
      <c r="A1852" s="1" t="s">
        <v>26</v>
      </c>
      <c r="B1852" s="1" t="s">
        <v>8672</v>
      </c>
      <c r="C1852" s="1" t="s">
        <v>9210</v>
      </c>
      <c r="D1852" s="1">
        <v>3073392.0</v>
      </c>
      <c r="E1852" s="1" t="s">
        <v>2117</v>
      </c>
      <c r="F1852" s="1" t="s">
        <v>9211</v>
      </c>
      <c r="G1852" s="1" t="s">
        <v>9212</v>
      </c>
      <c r="H1852" s="1" t="s">
        <v>9213</v>
      </c>
      <c r="I1852" s="1">
        <v>59462.0</v>
      </c>
      <c r="J1852" s="1" t="s">
        <v>9214</v>
      </c>
      <c r="K1852" s="1" t="s">
        <v>9215</v>
      </c>
      <c r="L1852" s="1">
        <v>300.0</v>
      </c>
      <c r="M1852" s="1" t="s">
        <v>35</v>
      </c>
      <c r="N1852" s="1" t="s">
        <v>260</v>
      </c>
      <c r="O1852" s="1" t="s">
        <v>628</v>
      </c>
      <c r="P1852" s="1">
        <v>2.5E7</v>
      </c>
      <c r="Q1852" s="1">
        <v>2008.0</v>
      </c>
      <c r="R1852" s="1">
        <v>45.0</v>
      </c>
      <c r="S1852" s="1">
        <v>30.0</v>
      </c>
      <c r="T1852" s="1">
        <v>18.0</v>
      </c>
      <c r="U1852" s="1">
        <v>142.0</v>
      </c>
      <c r="V1852" s="1">
        <v>353.0</v>
      </c>
      <c r="W1852" s="1">
        <v>0.0</v>
      </c>
      <c r="X1852" s="1">
        <v>0.0</v>
      </c>
      <c r="Y1852" s="1">
        <v>1.85</v>
      </c>
      <c r="Z1852" s="1">
        <v>6.6</v>
      </c>
    </row>
    <row r="1853" ht="14.25" customHeight="1">
      <c r="A1853" s="1" t="s">
        <v>26</v>
      </c>
      <c r="B1853" s="1" t="s">
        <v>4182</v>
      </c>
      <c r="C1853" s="1" t="s">
        <v>9216</v>
      </c>
      <c r="D1853" s="1">
        <v>1550000.0</v>
      </c>
      <c r="E1853" s="1" t="s">
        <v>9217</v>
      </c>
      <c r="F1853" s="1" t="s">
        <v>3593</v>
      </c>
      <c r="G1853" s="1" t="s">
        <v>1740</v>
      </c>
      <c r="H1853" s="1" t="s">
        <v>9218</v>
      </c>
      <c r="I1853" s="1">
        <v>30628.0</v>
      </c>
      <c r="J1853" s="1" t="s">
        <v>9219</v>
      </c>
      <c r="K1853" s="1" t="s">
        <v>9220</v>
      </c>
      <c r="L1853" s="1">
        <v>471.0</v>
      </c>
      <c r="M1853" s="1" t="s">
        <v>35</v>
      </c>
      <c r="N1853" s="1" t="s">
        <v>36</v>
      </c>
      <c r="O1853" s="1" t="s">
        <v>628</v>
      </c>
      <c r="P1853" s="1">
        <v>2.5E7</v>
      </c>
      <c r="Q1853" s="1">
        <v>2005.0</v>
      </c>
      <c r="R1853" s="1">
        <v>783.0</v>
      </c>
      <c r="S1853" s="1">
        <v>595.0</v>
      </c>
      <c r="T1853" s="1">
        <v>492.0</v>
      </c>
      <c r="U1853" s="1">
        <v>2930.0</v>
      </c>
      <c r="V1853" s="1">
        <v>892.0</v>
      </c>
      <c r="W1853" s="1">
        <v>937.0</v>
      </c>
      <c r="X1853" s="1">
        <v>2.0</v>
      </c>
      <c r="Y1853" s="1">
        <v>2.35</v>
      </c>
      <c r="Z1853" s="1">
        <v>2.9</v>
      </c>
    </row>
    <row r="1854" ht="14.25" customHeight="1">
      <c r="A1854" s="1" t="s">
        <v>26</v>
      </c>
      <c r="B1854" s="1" t="s">
        <v>9221</v>
      </c>
      <c r="C1854" s="1" t="s">
        <v>9222</v>
      </c>
      <c r="D1854" s="1">
        <v>871527.0</v>
      </c>
      <c r="E1854" s="1" t="s">
        <v>2061</v>
      </c>
      <c r="F1854" s="1" t="s">
        <v>424</v>
      </c>
      <c r="G1854" s="1" t="s">
        <v>3214</v>
      </c>
      <c r="H1854" s="1" t="s">
        <v>7333</v>
      </c>
      <c r="I1854" s="1">
        <v>14982.0</v>
      </c>
      <c r="J1854" s="1" t="s">
        <v>9223</v>
      </c>
      <c r="K1854" s="1" t="s">
        <v>9224</v>
      </c>
      <c r="L1854" s="1">
        <v>128.0</v>
      </c>
      <c r="M1854" s="1" t="s">
        <v>35</v>
      </c>
      <c r="N1854" s="1" t="s">
        <v>260</v>
      </c>
      <c r="O1854" s="1" t="s">
        <v>628</v>
      </c>
      <c r="P1854" s="1">
        <v>2.5E7</v>
      </c>
      <c r="Q1854" s="1">
        <v>2005.0</v>
      </c>
      <c r="R1854" s="1">
        <v>14000.0</v>
      </c>
      <c r="S1854" s="1">
        <v>1000.0</v>
      </c>
      <c r="T1854" s="1">
        <v>490.0</v>
      </c>
      <c r="U1854" s="1">
        <v>16090.0</v>
      </c>
      <c r="V1854" s="1">
        <v>460.0</v>
      </c>
      <c r="W1854" s="1">
        <v>507.0</v>
      </c>
      <c r="X1854" s="1">
        <v>2.0</v>
      </c>
      <c r="Y1854" s="1">
        <v>2.35</v>
      </c>
      <c r="Z1854" s="1">
        <v>6.5</v>
      </c>
    </row>
    <row r="1855" ht="14.25" customHeight="1">
      <c r="A1855" s="1" t="s">
        <v>26</v>
      </c>
      <c r="B1855" s="1" t="s">
        <v>9225</v>
      </c>
      <c r="C1855" s="1" t="s">
        <v>9226</v>
      </c>
      <c r="D1855" s="1">
        <v>777423.0</v>
      </c>
      <c r="E1855" s="1" t="s">
        <v>1557</v>
      </c>
      <c r="F1855" s="1" t="s">
        <v>3848</v>
      </c>
      <c r="G1855" s="1" t="s">
        <v>2519</v>
      </c>
      <c r="H1855" s="1" t="s">
        <v>1017</v>
      </c>
      <c r="I1855" s="1">
        <v>5841.0</v>
      </c>
      <c r="J1855" s="1" t="s">
        <v>9227</v>
      </c>
      <c r="K1855" s="1" t="s">
        <v>9228</v>
      </c>
      <c r="L1855" s="1">
        <v>57.0</v>
      </c>
      <c r="M1855" s="1" t="s">
        <v>35</v>
      </c>
      <c r="N1855" s="1" t="s">
        <v>36</v>
      </c>
      <c r="O1855" s="1" t="s">
        <v>37</v>
      </c>
      <c r="P1855" s="1">
        <v>2.5E7</v>
      </c>
      <c r="Q1855" s="1">
        <v>1998.0</v>
      </c>
      <c r="R1855" s="1">
        <v>2000.0</v>
      </c>
      <c r="S1855" s="1">
        <v>878.0</v>
      </c>
      <c r="T1855" s="1">
        <v>745.0</v>
      </c>
      <c r="U1855" s="1">
        <v>4351.0</v>
      </c>
      <c r="V1855" s="1">
        <v>162.0</v>
      </c>
      <c r="W1855" s="1">
        <v>942.0</v>
      </c>
      <c r="X1855" s="1">
        <v>0.0</v>
      </c>
      <c r="Y1855" s="1">
        <v>2.35</v>
      </c>
      <c r="Z1855" s="1">
        <v>7.2</v>
      </c>
    </row>
    <row r="1856" ht="14.25" customHeight="1">
      <c r="A1856" s="1" t="s">
        <v>26</v>
      </c>
      <c r="B1856" s="1" t="s">
        <v>8489</v>
      </c>
      <c r="C1856" s="1" t="s">
        <v>9229</v>
      </c>
      <c r="D1856" s="1">
        <v>1186957.0</v>
      </c>
      <c r="E1856" s="1" t="s">
        <v>3238</v>
      </c>
      <c r="F1856" s="1" t="s">
        <v>2288</v>
      </c>
      <c r="G1856" s="1" t="s">
        <v>9230</v>
      </c>
      <c r="H1856" s="1" t="s">
        <v>9231</v>
      </c>
      <c r="I1856" s="1">
        <v>9264.0</v>
      </c>
      <c r="J1856" s="1" t="s">
        <v>9232</v>
      </c>
      <c r="K1856" s="1" t="s">
        <v>9233</v>
      </c>
      <c r="L1856" s="1">
        <v>69.0</v>
      </c>
      <c r="M1856" s="1" t="s">
        <v>35</v>
      </c>
      <c r="N1856" s="1" t="s">
        <v>54</v>
      </c>
      <c r="O1856" s="1" t="s">
        <v>37</v>
      </c>
      <c r="P1856" s="1">
        <v>2.5E7</v>
      </c>
      <c r="Q1856" s="1">
        <v>2008.0</v>
      </c>
      <c r="R1856" s="1">
        <v>962.0</v>
      </c>
      <c r="S1856" s="1">
        <v>266.0</v>
      </c>
      <c r="T1856" s="1">
        <v>240.0</v>
      </c>
      <c r="U1856" s="1">
        <v>1591.0</v>
      </c>
      <c r="V1856" s="1">
        <v>0.0</v>
      </c>
      <c r="W1856" s="1">
        <v>0.0</v>
      </c>
      <c r="X1856" s="1">
        <v>3.0</v>
      </c>
      <c r="Y1856" s="1">
        <v>2.35</v>
      </c>
      <c r="Z1856" s="1">
        <v>6.8</v>
      </c>
    </row>
    <row r="1857" ht="14.25" customHeight="1">
      <c r="A1857" s="1" t="s">
        <v>26</v>
      </c>
      <c r="B1857" s="1" t="s">
        <v>9234</v>
      </c>
      <c r="C1857" s="1" t="s">
        <v>9235</v>
      </c>
      <c r="D1857" s="1">
        <v>85433.0</v>
      </c>
      <c r="E1857" s="1" t="s">
        <v>9236</v>
      </c>
      <c r="F1857" s="1" t="s">
        <v>1767</v>
      </c>
      <c r="G1857" s="1" t="s">
        <v>9237</v>
      </c>
      <c r="H1857" s="1" t="s">
        <v>9238</v>
      </c>
      <c r="I1857" s="1">
        <v>69676.0</v>
      </c>
      <c r="J1857" s="1" t="s">
        <v>9239</v>
      </c>
      <c r="K1857" s="1" t="s">
        <v>9240</v>
      </c>
      <c r="L1857" s="1">
        <v>131.0</v>
      </c>
      <c r="M1857" s="1" t="s">
        <v>35</v>
      </c>
      <c r="N1857" s="1" t="s">
        <v>8105</v>
      </c>
      <c r="O1857" s="1" t="s">
        <v>628</v>
      </c>
      <c r="P1857" s="1">
        <v>1.35E7</v>
      </c>
      <c r="Q1857" s="1">
        <v>2013.0</v>
      </c>
      <c r="R1857" s="1">
        <v>5000.0</v>
      </c>
      <c r="S1857" s="1">
        <v>234.0</v>
      </c>
      <c r="T1857" s="1">
        <v>232.0</v>
      </c>
      <c r="U1857" s="1">
        <v>5954.0</v>
      </c>
      <c r="V1857" s="1">
        <v>911.0</v>
      </c>
      <c r="W1857" s="1">
        <v>31000.0</v>
      </c>
      <c r="X1857" s="1">
        <v>2.0</v>
      </c>
      <c r="Y1857" s="1">
        <v>2.35</v>
      </c>
      <c r="Z1857" s="1">
        <v>7.8</v>
      </c>
    </row>
    <row r="1858" ht="14.25" customHeight="1">
      <c r="A1858" s="1" t="s">
        <v>26</v>
      </c>
      <c r="B1858" s="1" t="s">
        <v>9241</v>
      </c>
      <c r="C1858" s="1" t="s">
        <v>9242</v>
      </c>
      <c r="D1858" s="1">
        <v>1697956.0</v>
      </c>
      <c r="E1858" s="1" t="s">
        <v>1854</v>
      </c>
      <c r="F1858" s="1" t="s">
        <v>668</v>
      </c>
      <c r="G1858" s="1" t="s">
        <v>5494</v>
      </c>
      <c r="H1858" s="1" t="s">
        <v>9243</v>
      </c>
      <c r="I1858" s="1">
        <v>64944.0</v>
      </c>
      <c r="J1858" s="1" t="s">
        <v>9244</v>
      </c>
      <c r="K1858" s="1" t="s">
        <v>9245</v>
      </c>
      <c r="L1858" s="1">
        <v>212.0</v>
      </c>
      <c r="M1858" s="1" t="s">
        <v>35</v>
      </c>
      <c r="N1858" s="1" t="s">
        <v>36</v>
      </c>
      <c r="O1858" s="1" t="s">
        <v>628</v>
      </c>
      <c r="P1858" s="1">
        <v>2.0E7</v>
      </c>
      <c r="Q1858" s="1">
        <v>2009.0</v>
      </c>
      <c r="R1858" s="1">
        <v>12000.0</v>
      </c>
      <c r="S1858" s="1">
        <v>463.0</v>
      </c>
      <c r="T1858" s="1">
        <v>407.0</v>
      </c>
      <c r="U1858" s="1">
        <v>13809.0</v>
      </c>
      <c r="V1858" s="1">
        <v>0.0</v>
      </c>
      <c r="W1858" s="1">
        <v>6000.0</v>
      </c>
      <c r="X1858" s="1">
        <v>2.0</v>
      </c>
      <c r="Y1858" s="1">
        <v>1.85</v>
      </c>
      <c r="Z1858" s="1">
        <v>6.7</v>
      </c>
    </row>
    <row r="1859" ht="14.25" customHeight="1">
      <c r="A1859" s="1" t="s">
        <v>26</v>
      </c>
      <c r="B1859" s="1" t="s">
        <v>8934</v>
      </c>
      <c r="C1859" s="1" t="s">
        <v>9246</v>
      </c>
      <c r="D1859" s="1">
        <v>183662.0</v>
      </c>
      <c r="E1859" s="1" t="s">
        <v>2422</v>
      </c>
      <c r="F1859" s="1" t="s">
        <v>9247</v>
      </c>
      <c r="G1859" s="1" t="s">
        <v>9248</v>
      </c>
      <c r="H1859" s="1" t="s">
        <v>9249</v>
      </c>
      <c r="I1859" s="1">
        <v>18395.0</v>
      </c>
      <c r="J1859" s="1" t="s">
        <v>9250</v>
      </c>
      <c r="K1859" s="1" t="s">
        <v>9251</v>
      </c>
      <c r="L1859" s="1">
        <v>48.0</v>
      </c>
      <c r="M1859" s="1" t="s">
        <v>2752</v>
      </c>
      <c r="N1859" s="1" t="s">
        <v>1832</v>
      </c>
      <c r="O1859" s="1" t="s">
        <v>9252</v>
      </c>
      <c r="P1859" s="1">
        <v>2.5E7</v>
      </c>
      <c r="Q1859" s="1">
        <v>2010.0</v>
      </c>
      <c r="R1859" s="1">
        <v>541.0</v>
      </c>
      <c r="S1859" s="1">
        <v>173.0</v>
      </c>
      <c r="T1859" s="1">
        <v>92.0</v>
      </c>
      <c r="U1859" s="1">
        <v>890.0</v>
      </c>
      <c r="V1859" s="1">
        <v>0.0</v>
      </c>
      <c r="W1859" s="1">
        <v>0.0</v>
      </c>
      <c r="X1859" s="1">
        <v>6.0</v>
      </c>
      <c r="Y1859" s="1">
        <v>2.35</v>
      </c>
      <c r="Z1859" s="1">
        <v>7.1</v>
      </c>
    </row>
    <row r="1860" ht="14.25" customHeight="1">
      <c r="A1860" s="1" t="s">
        <v>26</v>
      </c>
      <c r="B1860" s="1" t="s">
        <v>3582</v>
      </c>
      <c r="C1860" s="1" t="s">
        <v>9253</v>
      </c>
      <c r="D1860" s="1">
        <v>134904.0</v>
      </c>
      <c r="E1860" s="1" t="s">
        <v>4241</v>
      </c>
      <c r="F1860" s="1" t="s">
        <v>9254</v>
      </c>
      <c r="G1860" s="1" t="s">
        <v>481</v>
      </c>
      <c r="H1860" s="1" t="s">
        <v>9255</v>
      </c>
      <c r="I1860" s="1">
        <v>2395.0</v>
      </c>
      <c r="J1860" s="1" t="s">
        <v>9256</v>
      </c>
      <c r="K1860" s="1" t="s">
        <v>9257</v>
      </c>
      <c r="L1860" s="1">
        <v>17.0</v>
      </c>
      <c r="M1860" s="1" t="s">
        <v>35</v>
      </c>
      <c r="N1860" s="1" t="s">
        <v>36</v>
      </c>
      <c r="O1860" s="1" t="s">
        <v>628</v>
      </c>
      <c r="P1860" s="1">
        <v>2.5E7</v>
      </c>
      <c r="Q1860" s="1">
        <v>2010.0</v>
      </c>
      <c r="R1860" s="1">
        <v>908.0</v>
      </c>
      <c r="S1860" s="1">
        <v>581.0</v>
      </c>
      <c r="T1860" s="1">
        <v>416.0</v>
      </c>
      <c r="U1860" s="1">
        <v>3204.0</v>
      </c>
      <c r="V1860" s="1">
        <v>138.0</v>
      </c>
      <c r="W1860" s="1">
        <v>636.0</v>
      </c>
      <c r="X1860" s="1">
        <v>9.0</v>
      </c>
      <c r="Y1860" s="1">
        <v>1.78</v>
      </c>
      <c r="Z1860" s="1">
        <v>5.7</v>
      </c>
    </row>
    <row r="1861" ht="14.25" customHeight="1">
      <c r="A1861" s="1" t="s">
        <v>26</v>
      </c>
      <c r="B1861" s="1" t="s">
        <v>179</v>
      </c>
      <c r="C1861" s="1" t="s">
        <v>9258</v>
      </c>
      <c r="D1861" s="1">
        <v>1.696939E7</v>
      </c>
      <c r="E1861" s="1" t="s">
        <v>2045</v>
      </c>
      <c r="F1861" s="1" t="s">
        <v>444</v>
      </c>
      <c r="G1861" s="1" t="s">
        <v>335</v>
      </c>
      <c r="H1861" s="1" t="s">
        <v>2062</v>
      </c>
      <c r="I1861" s="1">
        <v>80861.0</v>
      </c>
      <c r="J1861" s="1" t="s">
        <v>9259</v>
      </c>
      <c r="K1861" s="1" t="s">
        <v>9260</v>
      </c>
      <c r="L1861" s="1">
        <v>431.0</v>
      </c>
      <c r="M1861" s="1" t="s">
        <v>35</v>
      </c>
      <c r="N1861" s="1" t="s">
        <v>36</v>
      </c>
      <c r="O1861" s="1" t="s">
        <v>628</v>
      </c>
      <c r="P1861" s="1">
        <v>2.5E7</v>
      </c>
      <c r="Q1861" s="1">
        <v>2013.0</v>
      </c>
      <c r="R1861" s="1">
        <v>13000.0</v>
      </c>
      <c r="S1861" s="1">
        <v>11000.0</v>
      </c>
      <c r="T1861" s="1">
        <v>1000.0</v>
      </c>
      <c r="U1861" s="1">
        <v>27797.0</v>
      </c>
      <c r="V1861" s="1">
        <v>0.0</v>
      </c>
      <c r="W1861" s="1">
        <v>24000.0</v>
      </c>
      <c r="X1861" s="1">
        <v>4.0</v>
      </c>
      <c r="Y1861" s="1">
        <v>2.35</v>
      </c>
      <c r="Z1861" s="1">
        <v>5.3</v>
      </c>
    </row>
    <row r="1862" ht="14.25" customHeight="1">
      <c r="A1862" s="1" t="s">
        <v>26</v>
      </c>
      <c r="B1862" s="1" t="s">
        <v>5299</v>
      </c>
      <c r="C1862" s="1" t="s">
        <v>9261</v>
      </c>
      <c r="D1862" s="1">
        <v>3.47E7</v>
      </c>
      <c r="E1862" s="1" t="s">
        <v>206</v>
      </c>
      <c r="F1862" s="1" t="s">
        <v>563</v>
      </c>
      <c r="G1862" s="1" t="s">
        <v>334</v>
      </c>
      <c r="H1862" s="1" t="s">
        <v>5331</v>
      </c>
      <c r="I1862" s="1">
        <v>52846.0</v>
      </c>
      <c r="J1862" s="1" t="s">
        <v>9262</v>
      </c>
      <c r="K1862" s="1" t="s">
        <v>9263</v>
      </c>
      <c r="L1862" s="1">
        <v>143.0</v>
      </c>
      <c r="M1862" s="1" t="s">
        <v>35</v>
      </c>
      <c r="N1862" s="1" t="s">
        <v>36</v>
      </c>
      <c r="O1862" s="1" t="s">
        <v>628</v>
      </c>
      <c r="P1862" s="1">
        <v>1.4E7</v>
      </c>
      <c r="Q1862" s="1">
        <v>1988.0</v>
      </c>
      <c r="R1862" s="1">
        <v>18000.0</v>
      </c>
      <c r="S1862" s="1">
        <v>17000.0</v>
      </c>
      <c r="T1862" s="1">
        <v>418.0</v>
      </c>
      <c r="U1862" s="1">
        <v>35501.0</v>
      </c>
      <c r="V1862" s="1">
        <v>350.0</v>
      </c>
      <c r="W1862" s="1">
        <v>0.0</v>
      </c>
      <c r="X1862" s="1">
        <v>2.0</v>
      </c>
      <c r="Y1862" s="1">
        <v>1.85</v>
      </c>
      <c r="Z1862" s="1">
        <v>7.7</v>
      </c>
    </row>
    <row r="1863" ht="14.25" customHeight="1">
      <c r="A1863" s="1" t="s">
        <v>26</v>
      </c>
      <c r="B1863" s="1" t="s">
        <v>4156</v>
      </c>
      <c r="C1863" s="1" t="s">
        <v>9264</v>
      </c>
      <c r="D1863" s="1">
        <v>717753.0</v>
      </c>
      <c r="E1863" s="1" t="s">
        <v>6613</v>
      </c>
      <c r="F1863" s="1" t="s">
        <v>544</v>
      </c>
      <c r="G1863" s="1" t="s">
        <v>2682</v>
      </c>
      <c r="H1863" s="1" t="s">
        <v>76</v>
      </c>
      <c r="I1863" s="1">
        <v>33107.0</v>
      </c>
      <c r="J1863" s="1" t="s">
        <v>9265</v>
      </c>
      <c r="K1863" s="1" t="s">
        <v>9266</v>
      </c>
      <c r="L1863" s="1">
        <v>128.0</v>
      </c>
      <c r="M1863" s="1" t="s">
        <v>35</v>
      </c>
      <c r="N1863" s="1" t="s">
        <v>1832</v>
      </c>
      <c r="O1863" s="1" t="s">
        <v>628</v>
      </c>
      <c r="P1863" s="1">
        <v>2.5E7</v>
      </c>
      <c r="Q1863" s="1">
        <v>2012.0</v>
      </c>
      <c r="R1863" s="1">
        <v>17000.0</v>
      </c>
      <c r="S1863" s="1">
        <v>10000.0</v>
      </c>
      <c r="T1863" s="1">
        <v>4000.0</v>
      </c>
      <c r="U1863" s="1">
        <v>33747.0</v>
      </c>
      <c r="V1863" s="1">
        <v>179.0</v>
      </c>
      <c r="W1863" s="1">
        <v>27000.0</v>
      </c>
      <c r="X1863" s="1">
        <v>4.0</v>
      </c>
      <c r="Y1863" s="1">
        <v>2.35</v>
      </c>
      <c r="Z1863" s="1">
        <v>6.1</v>
      </c>
    </row>
    <row r="1864" ht="14.25" customHeight="1">
      <c r="A1864" s="1" t="s">
        <v>26</v>
      </c>
      <c r="B1864" s="1" t="s">
        <v>992</v>
      </c>
      <c r="C1864" s="1" t="s">
        <v>9267</v>
      </c>
      <c r="D1864" s="1">
        <v>1.09713132E8</v>
      </c>
      <c r="E1864" s="1" t="s">
        <v>1792</v>
      </c>
      <c r="F1864" s="1" t="s">
        <v>992</v>
      </c>
      <c r="G1864" s="1" t="s">
        <v>6835</v>
      </c>
      <c r="H1864" s="1" t="s">
        <v>6836</v>
      </c>
      <c r="I1864" s="1">
        <v>61621.0</v>
      </c>
      <c r="J1864" s="1" t="s">
        <v>9268</v>
      </c>
      <c r="K1864" s="1" t="s">
        <v>9269</v>
      </c>
      <c r="L1864" s="1">
        <v>219.0</v>
      </c>
      <c r="M1864" s="1" t="s">
        <v>35</v>
      </c>
      <c r="N1864" s="1" t="s">
        <v>36</v>
      </c>
      <c r="O1864" s="1" t="s">
        <v>87</v>
      </c>
      <c r="P1864" s="1">
        <v>2.5E7</v>
      </c>
      <c r="Q1864" s="1">
        <v>1986.0</v>
      </c>
      <c r="R1864" s="1">
        <v>12000.0</v>
      </c>
      <c r="S1864" s="1">
        <v>664.0</v>
      </c>
      <c r="T1864" s="1">
        <v>643.0</v>
      </c>
      <c r="U1864" s="1">
        <v>15449.0</v>
      </c>
      <c r="V1864" s="1">
        <v>12000.0</v>
      </c>
      <c r="W1864" s="1">
        <v>0.0</v>
      </c>
      <c r="X1864" s="1">
        <v>5.0</v>
      </c>
      <c r="Y1864" s="1">
        <v>2.35</v>
      </c>
      <c r="Z1864" s="1">
        <v>7.3</v>
      </c>
    </row>
    <row r="1865" ht="14.25" customHeight="1">
      <c r="A1865" s="1" t="s">
        <v>26</v>
      </c>
      <c r="B1865" s="1" t="s">
        <v>1702</v>
      </c>
      <c r="C1865" s="1" t="s">
        <v>9270</v>
      </c>
      <c r="D1865" s="1">
        <v>7.0269171E7</v>
      </c>
      <c r="E1865" s="1" t="s">
        <v>3598</v>
      </c>
      <c r="F1865" s="1" t="s">
        <v>1702</v>
      </c>
      <c r="G1865" s="1" t="s">
        <v>1823</v>
      </c>
      <c r="H1865" s="1" t="s">
        <v>2439</v>
      </c>
      <c r="I1865" s="1">
        <v>162130.0</v>
      </c>
      <c r="J1865" s="1" t="s">
        <v>9271</v>
      </c>
      <c r="K1865" s="1" t="s">
        <v>9272</v>
      </c>
      <c r="L1865" s="1">
        <v>962.0</v>
      </c>
      <c r="M1865" s="1" t="s">
        <v>35</v>
      </c>
      <c r="N1865" s="1" t="s">
        <v>36</v>
      </c>
      <c r="O1865" s="1" t="s">
        <v>87</v>
      </c>
      <c r="P1865" s="1">
        <v>2.4E7</v>
      </c>
      <c r="Q1865" s="1">
        <v>2006.0</v>
      </c>
      <c r="R1865" s="1">
        <v>13000.0</v>
      </c>
      <c r="S1865" s="1">
        <v>683.0</v>
      </c>
      <c r="T1865" s="1">
        <v>461.0</v>
      </c>
      <c r="U1865" s="1">
        <v>15111.0</v>
      </c>
      <c r="V1865" s="1">
        <v>13000.0</v>
      </c>
      <c r="W1865" s="1">
        <v>0.0</v>
      </c>
      <c r="X1865" s="1">
        <v>0.0</v>
      </c>
      <c r="Y1865" s="1">
        <v>1.85</v>
      </c>
      <c r="Z1865" s="1">
        <v>7.2</v>
      </c>
    </row>
    <row r="1866" ht="14.25" customHeight="1">
      <c r="A1866" s="1" t="s">
        <v>26</v>
      </c>
      <c r="B1866" s="1" t="s">
        <v>1801</v>
      </c>
      <c r="C1866" s="1" t="s">
        <v>1802</v>
      </c>
      <c r="D1866" s="1">
        <v>2.8772222E7</v>
      </c>
      <c r="E1866" s="1" t="s">
        <v>1803</v>
      </c>
      <c r="F1866" s="1" t="s">
        <v>384</v>
      </c>
      <c r="G1866" s="1" t="s">
        <v>841</v>
      </c>
      <c r="H1866" s="1" t="s">
        <v>457</v>
      </c>
      <c r="I1866" s="1">
        <v>33958.0</v>
      </c>
      <c r="J1866" s="1" t="s">
        <v>1804</v>
      </c>
      <c r="K1866" s="1" t="s">
        <v>1805</v>
      </c>
      <c r="L1866" s="1">
        <v>163.0</v>
      </c>
      <c r="M1866" s="1" t="s">
        <v>35</v>
      </c>
      <c r="N1866" s="1" t="s">
        <v>36</v>
      </c>
      <c r="O1866" s="1" t="s">
        <v>37</v>
      </c>
      <c r="P1866" s="1">
        <v>1.05E8</v>
      </c>
      <c r="Q1866" s="1">
        <v>2015.0</v>
      </c>
      <c r="R1866" s="1">
        <v>1000.0</v>
      </c>
      <c r="S1866" s="1">
        <v>897.0</v>
      </c>
      <c r="T1866" s="1">
        <v>848.0</v>
      </c>
      <c r="U1866" s="1">
        <v>3962.0</v>
      </c>
      <c r="V1866" s="1">
        <v>19.0</v>
      </c>
      <c r="W1866" s="1">
        <v>37000.0</v>
      </c>
      <c r="X1866" s="1">
        <v>1.0</v>
      </c>
      <c r="Y1866" s="1">
        <v>2.35</v>
      </c>
      <c r="Z1866" s="1">
        <v>5.3</v>
      </c>
    </row>
    <row r="1867" ht="14.25" customHeight="1">
      <c r="A1867" s="1" t="s">
        <v>26</v>
      </c>
      <c r="B1867" s="1" t="s">
        <v>5922</v>
      </c>
      <c r="C1867" s="1" t="s">
        <v>9273</v>
      </c>
      <c r="D1867" s="1">
        <v>1.01334374E8</v>
      </c>
      <c r="E1867" s="1" t="s">
        <v>5924</v>
      </c>
      <c r="F1867" s="1" t="s">
        <v>5606</v>
      </c>
      <c r="G1867" s="1" t="s">
        <v>768</v>
      </c>
      <c r="H1867" s="1" t="s">
        <v>9274</v>
      </c>
      <c r="I1867" s="1">
        <v>124941.0</v>
      </c>
      <c r="J1867" s="1" t="s">
        <v>9275</v>
      </c>
      <c r="K1867" s="1" t="s">
        <v>9276</v>
      </c>
      <c r="L1867" s="1">
        <v>488.0</v>
      </c>
      <c r="M1867" s="1" t="s">
        <v>35</v>
      </c>
      <c r="N1867" s="1" t="s">
        <v>36</v>
      </c>
      <c r="O1867" s="1" t="s">
        <v>628</v>
      </c>
      <c r="P1867" s="1">
        <v>2.4E7</v>
      </c>
      <c r="Q1867" s="1">
        <v>1997.0</v>
      </c>
      <c r="R1867" s="1">
        <v>865.0</v>
      </c>
      <c r="S1867" s="1">
        <v>851.0</v>
      </c>
      <c r="T1867" s="1">
        <v>221.0</v>
      </c>
      <c r="U1867" s="1">
        <v>2321.0</v>
      </c>
      <c r="V1867" s="1">
        <v>0.0</v>
      </c>
      <c r="W1867" s="1">
        <v>0.0</v>
      </c>
      <c r="X1867" s="1">
        <v>5.0</v>
      </c>
      <c r="Y1867" s="1">
        <v>2.35</v>
      </c>
      <c r="Z1867" s="1">
        <v>6.1</v>
      </c>
    </row>
    <row r="1868" ht="14.25" customHeight="1">
      <c r="A1868" s="1" t="s">
        <v>26</v>
      </c>
      <c r="B1868" s="1" t="s">
        <v>8016</v>
      </c>
      <c r="C1868" s="1" t="s">
        <v>9277</v>
      </c>
      <c r="D1868" s="1">
        <v>1512815.0</v>
      </c>
      <c r="E1868" s="1" t="s">
        <v>9278</v>
      </c>
      <c r="F1868" s="1" t="s">
        <v>805</v>
      </c>
      <c r="G1868" s="1" t="s">
        <v>1404</v>
      </c>
      <c r="H1868" s="1" t="s">
        <v>8555</v>
      </c>
      <c r="I1868" s="1">
        <v>8885.0</v>
      </c>
      <c r="J1868" s="1" t="s">
        <v>9279</v>
      </c>
      <c r="K1868" s="1" t="s">
        <v>9280</v>
      </c>
      <c r="L1868" s="1">
        <v>56.0</v>
      </c>
      <c r="M1868" s="1" t="s">
        <v>35</v>
      </c>
      <c r="N1868" s="1" t="s">
        <v>36</v>
      </c>
      <c r="O1868" s="1" t="s">
        <v>628</v>
      </c>
      <c r="P1868" s="1">
        <v>2.5E7</v>
      </c>
      <c r="Q1868" s="1">
        <v>2016.0</v>
      </c>
      <c r="R1868" s="1">
        <v>20000.0</v>
      </c>
      <c r="S1868" s="1">
        <v>617.0</v>
      </c>
      <c r="T1868" s="1">
        <v>439.0</v>
      </c>
      <c r="U1868" s="1">
        <v>21414.0</v>
      </c>
      <c r="V1868" s="1">
        <v>149.0</v>
      </c>
      <c r="W1868" s="1">
        <v>0.0</v>
      </c>
      <c r="X1868" s="1">
        <v>0.0</v>
      </c>
      <c r="Y1868" s="1">
        <v>2.35</v>
      </c>
      <c r="Z1868" s="1">
        <v>5.8</v>
      </c>
    </row>
    <row r="1869" ht="14.25" customHeight="1">
      <c r="A1869" s="1" t="s">
        <v>26</v>
      </c>
      <c r="B1869" s="1" t="s">
        <v>1295</v>
      </c>
      <c r="C1869" s="1" t="s">
        <v>9281</v>
      </c>
      <c r="D1869" s="1">
        <v>6.5182182E7</v>
      </c>
      <c r="E1869" s="1" t="s">
        <v>1598</v>
      </c>
      <c r="F1869" s="1" t="s">
        <v>3699</v>
      </c>
      <c r="G1869" s="1" t="s">
        <v>5344</v>
      </c>
      <c r="H1869" s="1" t="s">
        <v>4555</v>
      </c>
      <c r="I1869" s="1">
        <v>15310.0</v>
      </c>
      <c r="J1869" s="1" t="s">
        <v>9282</v>
      </c>
      <c r="K1869" s="1" t="s">
        <v>9283</v>
      </c>
      <c r="L1869" s="1">
        <v>38.0</v>
      </c>
      <c r="M1869" s="1" t="s">
        <v>35</v>
      </c>
      <c r="N1869" s="1" t="s">
        <v>36</v>
      </c>
      <c r="O1869" s="1" t="s">
        <v>37</v>
      </c>
      <c r="P1869" s="1">
        <v>2.4E7</v>
      </c>
      <c r="Q1869" s="1">
        <v>2014.0</v>
      </c>
      <c r="R1869" s="1">
        <v>966.0</v>
      </c>
      <c r="S1869" s="1">
        <v>807.0</v>
      </c>
      <c r="T1869" s="1">
        <v>676.0</v>
      </c>
      <c r="U1869" s="1">
        <v>4830.0</v>
      </c>
      <c r="V1869" s="1">
        <v>167.0</v>
      </c>
      <c r="W1869" s="1">
        <v>3000.0</v>
      </c>
      <c r="X1869" s="1">
        <v>8.0</v>
      </c>
      <c r="Y1869" s="1">
        <v>2.35</v>
      </c>
      <c r="Z1869" s="1">
        <v>5.7</v>
      </c>
    </row>
    <row r="1870" ht="14.25" customHeight="1">
      <c r="A1870" s="1" t="s">
        <v>26</v>
      </c>
      <c r="B1870" s="1" t="s">
        <v>6543</v>
      </c>
      <c r="C1870" s="1" t="s">
        <v>9284</v>
      </c>
      <c r="D1870" s="1">
        <v>5.7262492E7</v>
      </c>
      <c r="E1870" s="1" t="s">
        <v>972</v>
      </c>
      <c r="F1870" s="1" t="s">
        <v>941</v>
      </c>
      <c r="G1870" s="1" t="s">
        <v>6009</v>
      </c>
      <c r="H1870" s="1" t="s">
        <v>6876</v>
      </c>
      <c r="I1870" s="1">
        <v>90374.0</v>
      </c>
      <c r="J1870" s="1" t="s">
        <v>9285</v>
      </c>
      <c r="K1870" s="1" t="s">
        <v>9286</v>
      </c>
      <c r="L1870" s="1">
        <v>318.0</v>
      </c>
      <c r="M1870" s="1" t="s">
        <v>35</v>
      </c>
      <c r="N1870" s="1" t="s">
        <v>36</v>
      </c>
      <c r="O1870" s="1" t="s">
        <v>628</v>
      </c>
      <c r="P1870" s="1">
        <v>2.4E7</v>
      </c>
      <c r="Q1870" s="1">
        <v>2000.0</v>
      </c>
      <c r="R1870" s="1">
        <v>13000.0</v>
      </c>
      <c r="S1870" s="1">
        <v>2000.0</v>
      </c>
      <c r="T1870" s="1">
        <v>900.0</v>
      </c>
      <c r="U1870" s="1">
        <v>17582.0</v>
      </c>
      <c r="V1870" s="1">
        <v>36.0</v>
      </c>
      <c r="W1870" s="1">
        <v>0.0</v>
      </c>
      <c r="X1870" s="1">
        <v>4.0</v>
      </c>
      <c r="Y1870" s="1">
        <v>1.85</v>
      </c>
      <c r="Z1870" s="1">
        <v>6.7</v>
      </c>
    </row>
    <row r="1871" ht="14.25" customHeight="1">
      <c r="A1871" s="1" t="s">
        <v>26</v>
      </c>
      <c r="B1871" s="1" t="s">
        <v>9287</v>
      </c>
      <c r="C1871" s="1" t="s">
        <v>9288</v>
      </c>
      <c r="D1871" s="1">
        <v>8.0E7</v>
      </c>
      <c r="E1871" s="1" t="s">
        <v>7326</v>
      </c>
      <c r="F1871" s="1" t="s">
        <v>3984</v>
      </c>
      <c r="G1871" s="1" t="s">
        <v>4282</v>
      </c>
      <c r="H1871" s="1" t="s">
        <v>9289</v>
      </c>
      <c r="I1871" s="1">
        <v>51459.0</v>
      </c>
      <c r="J1871" s="1" t="s">
        <v>9290</v>
      </c>
      <c r="K1871" s="1" t="s">
        <v>9291</v>
      </c>
      <c r="L1871" s="1">
        <v>113.0</v>
      </c>
      <c r="M1871" s="1" t="s">
        <v>35</v>
      </c>
      <c r="N1871" s="1" t="s">
        <v>36</v>
      </c>
      <c r="O1871" s="1" t="s">
        <v>87</v>
      </c>
      <c r="P1871" s="1">
        <v>8200000.0</v>
      </c>
      <c r="Q1871" s="1">
        <v>1984.0</v>
      </c>
      <c r="R1871" s="1">
        <v>967.0</v>
      </c>
      <c r="S1871" s="1">
        <v>455.0</v>
      </c>
      <c r="T1871" s="1">
        <v>304.0</v>
      </c>
      <c r="U1871" s="1">
        <v>1962.0</v>
      </c>
      <c r="V1871" s="1">
        <v>71.0</v>
      </c>
      <c r="W1871" s="1">
        <v>0.0</v>
      </c>
      <c r="X1871" s="1">
        <v>0.0</v>
      </c>
      <c r="Y1871" s="1">
        <v>1.85</v>
      </c>
      <c r="Z1871" s="1">
        <v>6.5</v>
      </c>
    </row>
    <row r="1872" ht="14.25" customHeight="1">
      <c r="A1872" s="1" t="s">
        <v>26</v>
      </c>
      <c r="B1872" s="1" t="s">
        <v>2436</v>
      </c>
      <c r="C1872" s="1" t="s">
        <v>9292</v>
      </c>
      <c r="D1872" s="1">
        <v>7.4608545E7</v>
      </c>
      <c r="E1872" s="1" t="s">
        <v>1885</v>
      </c>
      <c r="F1872" s="1" t="s">
        <v>1197</v>
      </c>
      <c r="G1872" s="1" t="s">
        <v>9293</v>
      </c>
      <c r="H1872" s="1" t="s">
        <v>3778</v>
      </c>
      <c r="I1872" s="1">
        <v>185258.0</v>
      </c>
      <c r="J1872" s="1" t="s">
        <v>9294</v>
      </c>
      <c r="K1872" s="1" t="s">
        <v>9295</v>
      </c>
      <c r="L1872" s="1">
        <v>404.0</v>
      </c>
      <c r="M1872" s="1" t="s">
        <v>35</v>
      </c>
      <c r="N1872" s="1" t="s">
        <v>36</v>
      </c>
      <c r="O1872" s="1" t="s">
        <v>628</v>
      </c>
      <c r="P1872" s="1">
        <v>2.4E7</v>
      </c>
      <c r="Q1872" s="1">
        <v>2003.0</v>
      </c>
      <c r="R1872" s="1">
        <v>8000.0</v>
      </c>
      <c r="S1872" s="1">
        <v>909.0</v>
      </c>
      <c r="T1872" s="1">
        <v>497.0</v>
      </c>
      <c r="U1872" s="1">
        <v>10325.0</v>
      </c>
      <c r="V1872" s="1">
        <v>480.0</v>
      </c>
      <c r="W1872" s="1">
        <v>0.0</v>
      </c>
      <c r="X1872" s="1">
        <v>4.0</v>
      </c>
      <c r="Y1872" s="1">
        <v>2.35</v>
      </c>
      <c r="Z1872" s="1">
        <v>7.2</v>
      </c>
    </row>
    <row r="1873" ht="14.25" customHeight="1">
      <c r="A1873" s="1" t="s">
        <v>26</v>
      </c>
      <c r="B1873" s="1" t="s">
        <v>2661</v>
      </c>
      <c r="C1873" s="1" t="s">
        <v>9296</v>
      </c>
      <c r="D1873" s="1">
        <v>4.1895491E7</v>
      </c>
      <c r="E1873" s="1" t="s">
        <v>7388</v>
      </c>
      <c r="F1873" s="1" t="s">
        <v>293</v>
      </c>
      <c r="G1873" s="1" t="s">
        <v>3219</v>
      </c>
      <c r="H1873" s="1" t="s">
        <v>9297</v>
      </c>
      <c r="I1873" s="1">
        <v>63274.0</v>
      </c>
      <c r="J1873" s="1" t="s">
        <v>9298</v>
      </c>
      <c r="K1873" s="1" t="s">
        <v>9299</v>
      </c>
      <c r="L1873" s="1">
        <v>170.0</v>
      </c>
      <c r="M1873" s="1" t="s">
        <v>35</v>
      </c>
      <c r="N1873" s="1" t="s">
        <v>36</v>
      </c>
      <c r="O1873" s="1" t="s">
        <v>628</v>
      </c>
      <c r="P1873" s="1">
        <v>2.4E7</v>
      </c>
      <c r="Q1873" s="1">
        <v>1991.0</v>
      </c>
      <c r="R1873" s="1">
        <v>12000.0</v>
      </c>
      <c r="S1873" s="1">
        <v>443.0</v>
      </c>
      <c r="T1873" s="1">
        <v>161.0</v>
      </c>
      <c r="U1873" s="1">
        <v>12947.0</v>
      </c>
      <c r="V1873" s="1">
        <v>0.0</v>
      </c>
      <c r="W1873" s="1">
        <v>12000.0</v>
      </c>
      <c r="X1873" s="1">
        <v>1.0</v>
      </c>
      <c r="Y1873" s="1">
        <v>1.85</v>
      </c>
      <c r="Z1873" s="1">
        <v>7.6</v>
      </c>
    </row>
    <row r="1874" ht="14.25" customHeight="1">
      <c r="A1874" s="1" t="s">
        <v>26</v>
      </c>
      <c r="B1874" s="1" t="s">
        <v>7348</v>
      </c>
      <c r="C1874" s="1" t="s">
        <v>9300</v>
      </c>
      <c r="D1874" s="1">
        <v>3.9989008E7</v>
      </c>
      <c r="E1874" s="1" t="s">
        <v>5924</v>
      </c>
      <c r="F1874" s="1" t="s">
        <v>5040</v>
      </c>
      <c r="G1874" s="1" t="s">
        <v>1470</v>
      </c>
      <c r="H1874" s="1" t="s">
        <v>3633</v>
      </c>
      <c r="I1874" s="1">
        <v>55398.0</v>
      </c>
      <c r="J1874" s="1" t="s">
        <v>9301</v>
      </c>
      <c r="K1874" s="1" t="s">
        <v>9302</v>
      </c>
      <c r="L1874" s="1">
        <v>418.0</v>
      </c>
      <c r="M1874" s="1" t="s">
        <v>35</v>
      </c>
      <c r="N1874" s="1" t="s">
        <v>36</v>
      </c>
      <c r="O1874" s="1" t="s">
        <v>628</v>
      </c>
      <c r="P1874" s="1">
        <v>2.4E7</v>
      </c>
      <c r="Q1874" s="1">
        <v>1998.0</v>
      </c>
      <c r="R1874" s="1">
        <v>45000.0</v>
      </c>
      <c r="S1874" s="1">
        <v>1000.0</v>
      </c>
      <c r="T1874" s="1">
        <v>970.0</v>
      </c>
      <c r="U1874" s="1">
        <v>49847.0</v>
      </c>
      <c r="V1874" s="1">
        <v>41.0</v>
      </c>
      <c r="W1874" s="1">
        <v>891.0</v>
      </c>
      <c r="X1874" s="1">
        <v>2.0</v>
      </c>
      <c r="Y1874" s="1">
        <v>2.35</v>
      </c>
      <c r="Z1874" s="1">
        <v>4.6</v>
      </c>
    </row>
    <row r="1875" ht="14.25" customHeight="1">
      <c r="A1875" s="1" t="s">
        <v>26</v>
      </c>
      <c r="B1875" s="1" t="s">
        <v>4736</v>
      </c>
      <c r="C1875" s="1" t="s">
        <v>9303</v>
      </c>
      <c r="D1875" s="1">
        <v>3.2662299E7</v>
      </c>
      <c r="E1875" s="1" t="s">
        <v>1359</v>
      </c>
      <c r="F1875" s="1" t="s">
        <v>3319</v>
      </c>
      <c r="G1875" s="1" t="s">
        <v>3902</v>
      </c>
      <c r="H1875" s="1" t="s">
        <v>4736</v>
      </c>
      <c r="I1875" s="1">
        <v>16469.0</v>
      </c>
      <c r="J1875" s="1" t="s">
        <v>9304</v>
      </c>
      <c r="K1875" s="1" t="s">
        <v>9305</v>
      </c>
      <c r="L1875" s="1">
        <v>275.0</v>
      </c>
      <c r="M1875" s="1" t="s">
        <v>35</v>
      </c>
      <c r="N1875" s="1" t="s">
        <v>36</v>
      </c>
      <c r="O1875" s="1" t="s">
        <v>87</v>
      </c>
      <c r="P1875" s="1">
        <v>2.4E7</v>
      </c>
      <c r="Q1875" s="1">
        <v>2000.0</v>
      </c>
      <c r="R1875" s="1">
        <v>893.0</v>
      </c>
      <c r="S1875" s="1">
        <v>854.0</v>
      </c>
      <c r="T1875" s="1">
        <v>597.0</v>
      </c>
      <c r="U1875" s="1">
        <v>3946.0</v>
      </c>
      <c r="V1875" s="1">
        <v>597.0</v>
      </c>
      <c r="W1875" s="1">
        <v>0.0</v>
      </c>
      <c r="X1875" s="1">
        <v>1.0</v>
      </c>
      <c r="Y1875" s="1">
        <v>1.85</v>
      </c>
      <c r="Z1875" s="1">
        <v>6.9</v>
      </c>
    </row>
    <row r="1876" ht="14.25" customHeight="1">
      <c r="A1876" s="1" t="s">
        <v>26</v>
      </c>
      <c r="B1876" s="1" t="s">
        <v>6697</v>
      </c>
      <c r="C1876" s="1" t="s">
        <v>9306</v>
      </c>
      <c r="D1876" s="1">
        <v>3.1452765E7</v>
      </c>
      <c r="E1876" s="1" t="s">
        <v>1598</v>
      </c>
      <c r="F1876" s="1" t="s">
        <v>8545</v>
      </c>
      <c r="G1876" s="1" t="s">
        <v>9307</v>
      </c>
      <c r="H1876" s="1" t="s">
        <v>9308</v>
      </c>
      <c r="I1876" s="1">
        <v>149835.0</v>
      </c>
      <c r="J1876" s="1" t="s">
        <v>9309</v>
      </c>
      <c r="K1876" s="1" t="s">
        <v>9310</v>
      </c>
      <c r="L1876" s="1">
        <v>243.0</v>
      </c>
      <c r="M1876" s="1" t="s">
        <v>35</v>
      </c>
      <c r="N1876" s="1" t="s">
        <v>36</v>
      </c>
      <c r="O1876" s="1" t="s">
        <v>628</v>
      </c>
      <c r="P1876" s="1">
        <v>2.4E7</v>
      </c>
      <c r="Q1876" s="1">
        <v>2008.0</v>
      </c>
      <c r="R1876" s="1">
        <v>218.0</v>
      </c>
      <c r="S1876" s="1">
        <v>216.0</v>
      </c>
      <c r="T1876" s="1">
        <v>92.0</v>
      </c>
      <c r="U1876" s="1">
        <v>638.0</v>
      </c>
      <c r="V1876" s="1">
        <v>0.0</v>
      </c>
      <c r="W1876" s="1">
        <v>0.0</v>
      </c>
      <c r="X1876" s="1">
        <v>7.0</v>
      </c>
      <c r="Y1876" s="1">
        <v>1.85</v>
      </c>
      <c r="Z1876" s="1">
        <v>6.6</v>
      </c>
    </row>
    <row r="1877" ht="14.25" customHeight="1">
      <c r="A1877" s="1" t="s">
        <v>26</v>
      </c>
      <c r="B1877" s="1" t="s">
        <v>9311</v>
      </c>
      <c r="C1877" s="1" t="s">
        <v>9312</v>
      </c>
      <c r="D1877" s="1">
        <v>2.516727E7</v>
      </c>
      <c r="E1877" s="1" t="s">
        <v>8521</v>
      </c>
      <c r="F1877" s="1" t="s">
        <v>451</v>
      </c>
      <c r="G1877" s="1" t="s">
        <v>5164</v>
      </c>
      <c r="H1877" s="1" t="s">
        <v>9313</v>
      </c>
      <c r="I1877" s="1">
        <v>30119.0</v>
      </c>
      <c r="J1877" s="1" t="s">
        <v>9314</v>
      </c>
      <c r="K1877" s="1" t="s">
        <v>9315</v>
      </c>
      <c r="L1877" s="1">
        <v>263.0</v>
      </c>
      <c r="M1877" s="1" t="s">
        <v>35</v>
      </c>
      <c r="N1877" s="1" t="s">
        <v>730</v>
      </c>
      <c r="O1877" s="1" t="s">
        <v>628</v>
      </c>
      <c r="P1877" s="1">
        <v>2.4E7</v>
      </c>
      <c r="Q1877" s="1">
        <v>2000.0</v>
      </c>
      <c r="R1877" s="1">
        <v>11000.0</v>
      </c>
      <c r="S1877" s="1">
        <v>592.0</v>
      </c>
      <c r="T1877" s="1">
        <v>265.0</v>
      </c>
      <c r="U1877" s="1">
        <v>12254.0</v>
      </c>
      <c r="V1877" s="1">
        <v>119.0</v>
      </c>
      <c r="W1877" s="1">
        <v>455.0</v>
      </c>
      <c r="X1877" s="1">
        <v>4.0</v>
      </c>
      <c r="Y1877" s="1">
        <v>2.35</v>
      </c>
      <c r="Z1877" s="1">
        <v>6.3</v>
      </c>
    </row>
    <row r="1878" ht="14.25" customHeight="1">
      <c r="A1878" s="1" t="s">
        <v>26</v>
      </c>
      <c r="B1878" s="1" t="s">
        <v>1427</v>
      </c>
      <c r="C1878" s="1" t="s">
        <v>9316</v>
      </c>
      <c r="D1878" s="1">
        <v>3.2416109E7</v>
      </c>
      <c r="E1878" s="1" t="s">
        <v>9317</v>
      </c>
      <c r="F1878" s="1" t="s">
        <v>112</v>
      </c>
      <c r="G1878" s="1" t="s">
        <v>293</v>
      </c>
      <c r="H1878" s="1" t="s">
        <v>1102</v>
      </c>
      <c r="I1878" s="1">
        <v>109620.0</v>
      </c>
      <c r="J1878" s="1" t="s">
        <v>9318</v>
      </c>
      <c r="K1878" s="1" t="s">
        <v>9319</v>
      </c>
      <c r="L1878" s="1">
        <v>268.0</v>
      </c>
      <c r="M1878" s="1" t="s">
        <v>35</v>
      </c>
      <c r="N1878" s="1" t="s">
        <v>36</v>
      </c>
      <c r="O1878" s="1" t="s">
        <v>628</v>
      </c>
      <c r="P1878" s="1">
        <v>2.5E7</v>
      </c>
      <c r="Q1878" s="1">
        <v>2009.0</v>
      </c>
      <c r="R1878" s="1">
        <v>18000.0</v>
      </c>
      <c r="S1878" s="1">
        <v>12000.0</v>
      </c>
      <c r="T1878" s="1">
        <v>939.0</v>
      </c>
      <c r="U1878" s="1">
        <v>32474.0</v>
      </c>
      <c r="V1878" s="1">
        <v>293.0</v>
      </c>
      <c r="W1878" s="1">
        <v>15000.0</v>
      </c>
      <c r="X1878" s="1">
        <v>0.0</v>
      </c>
      <c r="Y1878" s="1">
        <v>2.35</v>
      </c>
      <c r="Z1878" s="1">
        <v>6.2</v>
      </c>
    </row>
    <row r="1879" ht="14.25" customHeight="1">
      <c r="A1879" s="1" t="s">
        <v>26</v>
      </c>
      <c r="B1879" s="1" t="s">
        <v>9320</v>
      </c>
      <c r="C1879" s="1" t="s">
        <v>9321</v>
      </c>
      <c r="D1879" s="1">
        <v>20218.0</v>
      </c>
      <c r="E1879" s="1" t="s">
        <v>408</v>
      </c>
      <c r="F1879" s="1" t="s">
        <v>5635</v>
      </c>
      <c r="G1879" s="1" t="s">
        <v>8871</v>
      </c>
      <c r="H1879" s="1" t="s">
        <v>3269</v>
      </c>
      <c r="I1879" s="1">
        <v>5431.0</v>
      </c>
      <c r="J1879" s="1" t="s">
        <v>9322</v>
      </c>
      <c r="K1879" s="1" t="s">
        <v>9323</v>
      </c>
      <c r="L1879" s="1">
        <v>50.0</v>
      </c>
      <c r="M1879" s="1" t="s">
        <v>35</v>
      </c>
      <c r="N1879" s="1" t="s">
        <v>36</v>
      </c>
      <c r="O1879" s="1" t="s">
        <v>37</v>
      </c>
      <c r="P1879" s="1">
        <v>2.4E7</v>
      </c>
      <c r="Q1879" s="1">
        <v>2001.0</v>
      </c>
      <c r="R1879" s="1">
        <v>1000.0</v>
      </c>
      <c r="S1879" s="1">
        <v>489.0</v>
      </c>
      <c r="T1879" s="1">
        <v>384.0</v>
      </c>
      <c r="U1879" s="1">
        <v>2557.0</v>
      </c>
      <c r="V1879" s="1">
        <v>269.0</v>
      </c>
      <c r="W1879" s="1">
        <v>204.0</v>
      </c>
      <c r="X1879" s="1">
        <v>2.0</v>
      </c>
      <c r="Y1879" s="1">
        <v>2.35</v>
      </c>
      <c r="Z1879" s="1">
        <v>5.3</v>
      </c>
    </row>
    <row r="1880" ht="14.25" customHeight="1">
      <c r="A1880" s="1" t="s">
        <v>26</v>
      </c>
      <c r="B1880" s="1" t="s">
        <v>1365</v>
      </c>
      <c r="C1880" s="1" t="s">
        <v>9324</v>
      </c>
      <c r="D1880" s="1">
        <v>2.887119E7</v>
      </c>
      <c r="E1880" s="1" t="s">
        <v>1474</v>
      </c>
      <c r="F1880" s="1" t="s">
        <v>550</v>
      </c>
      <c r="G1880" s="1" t="s">
        <v>5630</v>
      </c>
      <c r="H1880" s="1" t="s">
        <v>2429</v>
      </c>
      <c r="I1880" s="1">
        <v>125421.0</v>
      </c>
      <c r="J1880" s="1" t="s">
        <v>9325</v>
      </c>
      <c r="K1880" s="1" t="s">
        <v>9326</v>
      </c>
      <c r="L1880" s="1">
        <v>385.0</v>
      </c>
      <c r="M1880" s="1" t="s">
        <v>35</v>
      </c>
      <c r="N1880" s="1" t="s">
        <v>36</v>
      </c>
      <c r="O1880" s="1" t="s">
        <v>628</v>
      </c>
      <c r="P1880" s="1">
        <v>2.4E7</v>
      </c>
      <c r="Q1880" s="1">
        <v>1999.0</v>
      </c>
      <c r="R1880" s="1">
        <v>11000.0</v>
      </c>
      <c r="S1880" s="1">
        <v>1000.0</v>
      </c>
      <c r="T1880" s="1">
        <v>898.0</v>
      </c>
      <c r="U1880" s="1">
        <v>13433.0</v>
      </c>
      <c r="V1880" s="1">
        <v>446.0</v>
      </c>
      <c r="W1880" s="1">
        <v>0.0</v>
      </c>
      <c r="X1880" s="1">
        <v>0.0</v>
      </c>
      <c r="Y1880" s="1">
        <v>1.85</v>
      </c>
      <c r="Z1880" s="1">
        <v>7.3</v>
      </c>
    </row>
    <row r="1881" ht="14.25" customHeight="1">
      <c r="A1881" s="1" t="s">
        <v>26</v>
      </c>
      <c r="B1881" s="1" t="s">
        <v>2942</v>
      </c>
      <c r="C1881" s="1" t="s">
        <v>9327</v>
      </c>
      <c r="D1881" s="1">
        <v>1.6964743E7</v>
      </c>
      <c r="E1881" s="1" t="s">
        <v>1598</v>
      </c>
      <c r="F1881" s="1" t="s">
        <v>6084</v>
      </c>
      <c r="G1881" s="1" t="s">
        <v>3064</v>
      </c>
      <c r="H1881" s="1" t="s">
        <v>1329</v>
      </c>
      <c r="I1881" s="1">
        <v>22844.0</v>
      </c>
      <c r="J1881" s="1" t="s">
        <v>9328</v>
      </c>
      <c r="K1881" s="1" t="s">
        <v>9329</v>
      </c>
      <c r="L1881" s="1">
        <v>140.0</v>
      </c>
      <c r="M1881" s="1" t="s">
        <v>35</v>
      </c>
      <c r="N1881" s="1" t="s">
        <v>36</v>
      </c>
      <c r="O1881" s="1" t="s">
        <v>37</v>
      </c>
      <c r="P1881" s="1">
        <v>2.4E7</v>
      </c>
      <c r="Q1881" s="1">
        <v>2004.0</v>
      </c>
      <c r="R1881" s="1">
        <v>2000.0</v>
      </c>
      <c r="S1881" s="1">
        <v>989.0</v>
      </c>
      <c r="T1881" s="1">
        <v>886.0</v>
      </c>
      <c r="U1881" s="1">
        <v>4681.0</v>
      </c>
      <c r="V1881" s="1">
        <v>126.0</v>
      </c>
      <c r="W1881" s="1">
        <v>876.0</v>
      </c>
      <c r="X1881" s="1">
        <v>1.0</v>
      </c>
      <c r="Y1881" s="1">
        <v>2.35</v>
      </c>
      <c r="Z1881" s="1">
        <v>5.6</v>
      </c>
    </row>
    <row r="1882" ht="14.25" customHeight="1">
      <c r="A1882" s="1" t="s">
        <v>26</v>
      </c>
      <c r="B1882" s="1" t="s">
        <v>3717</v>
      </c>
      <c r="C1882" s="1" t="s">
        <v>9330</v>
      </c>
      <c r="D1882" s="1">
        <v>1.6290976E7</v>
      </c>
      <c r="E1882" s="1" t="s">
        <v>9331</v>
      </c>
      <c r="F1882" s="1" t="s">
        <v>3172</v>
      </c>
      <c r="G1882" s="1" t="s">
        <v>2317</v>
      </c>
      <c r="H1882" s="1" t="s">
        <v>9332</v>
      </c>
      <c r="I1882" s="1">
        <v>14637.0</v>
      </c>
      <c r="J1882" s="1" t="s">
        <v>9333</v>
      </c>
      <c r="K1882" s="1" t="s">
        <v>9334</v>
      </c>
      <c r="L1882" s="1">
        <v>100.0</v>
      </c>
      <c r="M1882" s="1" t="s">
        <v>35</v>
      </c>
      <c r="N1882" s="1" t="s">
        <v>36</v>
      </c>
      <c r="O1882" s="1" t="s">
        <v>269</v>
      </c>
      <c r="P1882" s="1">
        <v>2.4E7</v>
      </c>
      <c r="Q1882" s="1">
        <v>1999.0</v>
      </c>
      <c r="R1882" s="1">
        <v>1000.0</v>
      </c>
      <c r="S1882" s="1">
        <v>670.0</v>
      </c>
      <c r="T1882" s="1">
        <v>611.0</v>
      </c>
      <c r="U1882" s="1">
        <v>3243.0</v>
      </c>
      <c r="V1882" s="1">
        <v>25.0</v>
      </c>
      <c r="W1882" s="1">
        <v>619.0</v>
      </c>
      <c r="X1882" s="1">
        <v>0.0</v>
      </c>
      <c r="Y1882" s="1">
        <v>1.85</v>
      </c>
      <c r="Z1882" s="1">
        <v>6.2</v>
      </c>
    </row>
    <row r="1883" ht="14.25" customHeight="1">
      <c r="A1883" s="1" t="s">
        <v>26</v>
      </c>
      <c r="B1883" s="1" t="s">
        <v>9335</v>
      </c>
      <c r="C1883" s="1" t="s">
        <v>9336</v>
      </c>
      <c r="D1883" s="1">
        <v>1.3E7</v>
      </c>
      <c r="E1883" s="1" t="s">
        <v>9337</v>
      </c>
      <c r="F1883" s="1" t="s">
        <v>9338</v>
      </c>
      <c r="G1883" s="1" t="s">
        <v>9339</v>
      </c>
      <c r="H1883" s="1" t="s">
        <v>9340</v>
      </c>
      <c r="I1883" s="1">
        <v>10895.0</v>
      </c>
      <c r="J1883" s="1" t="s">
        <v>9341</v>
      </c>
      <c r="K1883" s="1" t="s">
        <v>9342</v>
      </c>
      <c r="L1883" s="1">
        <v>150.0</v>
      </c>
      <c r="M1883" s="1" t="s">
        <v>35</v>
      </c>
      <c r="N1883" s="1" t="s">
        <v>36</v>
      </c>
      <c r="O1883" s="1" t="s">
        <v>269</v>
      </c>
      <c r="P1883" s="1">
        <v>2.4E7</v>
      </c>
      <c r="Q1883" s="1">
        <v>1978.0</v>
      </c>
      <c r="R1883" s="1">
        <v>738.0</v>
      </c>
      <c r="S1883" s="1">
        <v>295.0</v>
      </c>
      <c r="T1883" s="1">
        <v>227.0</v>
      </c>
      <c r="U1883" s="1">
        <v>1458.0</v>
      </c>
      <c r="V1883" s="1">
        <v>0.0</v>
      </c>
      <c r="W1883" s="1">
        <v>0.0</v>
      </c>
      <c r="X1883" s="1">
        <v>0.0</v>
      </c>
      <c r="Y1883" s="1">
        <v>1.85</v>
      </c>
      <c r="Z1883" s="1">
        <v>5.2</v>
      </c>
    </row>
    <row r="1884" ht="14.25" customHeight="1">
      <c r="A1884" s="1" t="s">
        <v>26</v>
      </c>
      <c r="B1884" s="1" t="s">
        <v>3892</v>
      </c>
      <c r="C1884" s="1" t="s">
        <v>9343</v>
      </c>
      <c r="D1884" s="1">
        <v>1.237241E7</v>
      </c>
      <c r="E1884" s="1" t="s">
        <v>3714</v>
      </c>
      <c r="F1884" s="1" t="s">
        <v>415</v>
      </c>
      <c r="G1884" s="1" t="s">
        <v>9344</v>
      </c>
      <c r="H1884" s="1" t="s">
        <v>3095</v>
      </c>
      <c r="I1884" s="1">
        <v>11709.0</v>
      </c>
      <c r="J1884" s="1" t="s">
        <v>9345</v>
      </c>
      <c r="K1884" s="1" t="s">
        <v>9346</v>
      </c>
      <c r="L1884" s="1">
        <v>101.0</v>
      </c>
      <c r="M1884" s="1" t="s">
        <v>35</v>
      </c>
      <c r="N1884" s="1" t="s">
        <v>36</v>
      </c>
      <c r="O1884" s="1" t="s">
        <v>37</v>
      </c>
      <c r="P1884" s="1">
        <v>2.4E7</v>
      </c>
      <c r="Q1884" s="1">
        <v>2000.0</v>
      </c>
      <c r="R1884" s="1">
        <v>1000.0</v>
      </c>
      <c r="S1884" s="1">
        <v>957.0</v>
      </c>
      <c r="T1884" s="1">
        <v>940.0</v>
      </c>
      <c r="U1884" s="1">
        <v>4971.0</v>
      </c>
      <c r="V1884" s="1">
        <v>48.0</v>
      </c>
      <c r="W1884" s="1">
        <v>650.0</v>
      </c>
      <c r="X1884" s="1">
        <v>1.0</v>
      </c>
      <c r="Y1884" s="1">
        <v>1.85</v>
      </c>
      <c r="Z1884" s="1">
        <v>5.3</v>
      </c>
    </row>
    <row r="1885" ht="14.25" customHeight="1">
      <c r="A1885" s="1" t="s">
        <v>26</v>
      </c>
      <c r="B1885" s="1" t="s">
        <v>2999</v>
      </c>
      <c r="C1885" s="1" t="s">
        <v>9347</v>
      </c>
      <c r="D1885" s="1">
        <v>8427204.0</v>
      </c>
      <c r="E1885" s="1" t="s">
        <v>5897</v>
      </c>
      <c r="F1885" s="1" t="s">
        <v>4225</v>
      </c>
      <c r="G1885" s="1" t="s">
        <v>3652</v>
      </c>
      <c r="H1885" s="1" t="s">
        <v>9348</v>
      </c>
      <c r="I1885" s="1">
        <v>10100.0</v>
      </c>
      <c r="J1885" s="1" t="s">
        <v>9349</v>
      </c>
      <c r="K1885" s="1" t="s">
        <v>9350</v>
      </c>
      <c r="L1885" s="1">
        <v>59.0</v>
      </c>
      <c r="M1885" s="1" t="s">
        <v>35</v>
      </c>
      <c r="N1885" s="1" t="s">
        <v>36</v>
      </c>
      <c r="O1885" s="1" t="s">
        <v>628</v>
      </c>
      <c r="P1885" s="1">
        <v>2.4E7</v>
      </c>
      <c r="Q1885" s="1">
        <v>1999.0</v>
      </c>
      <c r="R1885" s="1">
        <v>512.0</v>
      </c>
      <c r="S1885" s="1">
        <v>481.0</v>
      </c>
      <c r="T1885" s="1">
        <v>197.0</v>
      </c>
      <c r="U1885" s="1">
        <v>1523.0</v>
      </c>
      <c r="V1885" s="1">
        <v>41.0</v>
      </c>
      <c r="W1885" s="1">
        <v>153.0</v>
      </c>
      <c r="X1885" s="1">
        <v>0.0</v>
      </c>
      <c r="Y1885" s="1">
        <v>2.35</v>
      </c>
      <c r="Z1885" s="1">
        <v>5.4</v>
      </c>
    </row>
    <row r="1886" ht="14.25" customHeight="1">
      <c r="A1886" s="1" t="s">
        <v>26</v>
      </c>
      <c r="B1886" s="1" t="s">
        <v>9351</v>
      </c>
      <c r="C1886" s="1" t="s">
        <v>9352</v>
      </c>
      <c r="D1886" s="1">
        <v>9639242.0</v>
      </c>
      <c r="E1886" s="1" t="s">
        <v>1598</v>
      </c>
      <c r="F1886" s="1" t="s">
        <v>4178</v>
      </c>
      <c r="G1886" s="1" t="s">
        <v>6112</v>
      </c>
      <c r="H1886" s="1" t="s">
        <v>4253</v>
      </c>
      <c r="I1886" s="1">
        <v>16437.0</v>
      </c>
      <c r="J1886" s="1" t="s">
        <v>9353</v>
      </c>
      <c r="K1886" s="1" t="s">
        <v>9354</v>
      </c>
      <c r="L1886" s="1">
        <v>68.0</v>
      </c>
      <c r="M1886" s="1" t="s">
        <v>35</v>
      </c>
      <c r="N1886" s="1" t="s">
        <v>36</v>
      </c>
      <c r="O1886" s="1" t="s">
        <v>37</v>
      </c>
      <c r="P1886" s="1">
        <v>2.4E7</v>
      </c>
      <c r="Q1886" s="1">
        <v>2011.0</v>
      </c>
      <c r="R1886" s="1">
        <v>2000.0</v>
      </c>
      <c r="S1886" s="1">
        <v>1000.0</v>
      </c>
      <c r="T1886" s="1">
        <v>847.0</v>
      </c>
      <c r="U1886" s="1">
        <v>5470.0</v>
      </c>
      <c r="V1886" s="1">
        <v>41.0</v>
      </c>
      <c r="W1886" s="1">
        <v>0.0</v>
      </c>
      <c r="X1886" s="1">
        <v>0.0</v>
      </c>
      <c r="Y1886" s="1">
        <v>1.85</v>
      </c>
      <c r="Z1886" s="1">
        <v>4.9</v>
      </c>
    </row>
    <row r="1887" ht="14.25" customHeight="1">
      <c r="A1887" s="1" t="s">
        <v>26</v>
      </c>
      <c r="B1887" s="1" t="s">
        <v>7023</v>
      </c>
      <c r="C1887" s="1" t="s">
        <v>9355</v>
      </c>
      <c r="D1887" s="1">
        <v>2.5003072E7</v>
      </c>
      <c r="E1887" s="1" t="s">
        <v>7114</v>
      </c>
      <c r="F1887" s="1" t="s">
        <v>1475</v>
      </c>
      <c r="G1887" s="1" t="s">
        <v>9356</v>
      </c>
      <c r="H1887" s="1" t="s">
        <v>4253</v>
      </c>
      <c r="I1887" s="1">
        <v>72552.0</v>
      </c>
      <c r="J1887" s="1" t="s">
        <v>9357</v>
      </c>
      <c r="K1887" s="1" t="s">
        <v>9358</v>
      </c>
      <c r="L1887" s="1">
        <v>374.0</v>
      </c>
      <c r="M1887" s="1" t="s">
        <v>35</v>
      </c>
      <c r="N1887" s="1" t="s">
        <v>36</v>
      </c>
      <c r="O1887" s="1" t="s">
        <v>628</v>
      </c>
      <c r="P1887" s="1">
        <v>2.4E7</v>
      </c>
      <c r="Q1887" s="1">
        <v>2010.0</v>
      </c>
      <c r="R1887" s="1">
        <v>3000.0</v>
      </c>
      <c r="S1887" s="1">
        <v>859.0</v>
      </c>
      <c r="T1887" s="1">
        <v>847.0</v>
      </c>
      <c r="U1887" s="1">
        <v>5737.0</v>
      </c>
      <c r="V1887" s="1">
        <v>192.0</v>
      </c>
      <c r="W1887" s="1">
        <v>13000.0</v>
      </c>
      <c r="X1887" s="1">
        <v>0.0</v>
      </c>
      <c r="Y1887" s="1">
        <v>2.35</v>
      </c>
      <c r="Z1887" s="1">
        <v>5.5</v>
      </c>
    </row>
    <row r="1888" ht="14.25" customHeight="1">
      <c r="A1888" s="1" t="s">
        <v>710</v>
      </c>
      <c r="B1888" s="1" t="s">
        <v>112</v>
      </c>
      <c r="C1888" s="1" t="s">
        <v>9359</v>
      </c>
      <c r="D1888" s="1">
        <v>6144806.0</v>
      </c>
      <c r="E1888" s="1" t="s">
        <v>6117</v>
      </c>
      <c r="F1888" s="1" t="s">
        <v>112</v>
      </c>
      <c r="G1888" s="1" t="s">
        <v>2307</v>
      </c>
      <c r="H1888" s="1" t="s">
        <v>7784</v>
      </c>
      <c r="I1888" s="1">
        <v>12821.0</v>
      </c>
      <c r="J1888" s="1" t="s">
        <v>9360</v>
      </c>
      <c r="K1888" s="1" t="s">
        <v>9361</v>
      </c>
      <c r="L1888" s="1">
        <v>248.0</v>
      </c>
      <c r="M1888" s="1" t="s">
        <v>35</v>
      </c>
      <c r="N1888" s="1" t="s">
        <v>36</v>
      </c>
      <c r="O1888" s="1" t="s">
        <v>37</v>
      </c>
      <c r="P1888" s="1">
        <v>2.3E7</v>
      </c>
      <c r="Q1888" s="1">
        <v>2004.0</v>
      </c>
      <c r="R1888" s="1">
        <v>18000.0</v>
      </c>
      <c r="S1888" s="1">
        <v>5000.0</v>
      </c>
      <c r="T1888" s="1">
        <v>286.0</v>
      </c>
      <c r="U1888" s="1">
        <v>23689.0</v>
      </c>
      <c r="V1888" s="1">
        <v>18000.0</v>
      </c>
      <c r="W1888" s="1">
        <v>0.0</v>
      </c>
      <c r="X1888" s="1">
        <v>1.0</v>
      </c>
      <c r="Y1888" s="1">
        <v>2.35</v>
      </c>
      <c r="Z1888" s="1">
        <v>6.7</v>
      </c>
    </row>
    <row r="1889" ht="14.25" customHeight="1">
      <c r="A1889" s="1" t="s">
        <v>26</v>
      </c>
      <c r="B1889" s="1" t="s">
        <v>9362</v>
      </c>
      <c r="C1889" s="1" t="s">
        <v>9363</v>
      </c>
      <c r="D1889" s="1">
        <v>669276.0</v>
      </c>
      <c r="E1889" s="1" t="s">
        <v>9364</v>
      </c>
      <c r="F1889" s="1" t="s">
        <v>9365</v>
      </c>
      <c r="G1889" s="1" t="s">
        <v>9366</v>
      </c>
      <c r="H1889" s="1" t="s">
        <v>9367</v>
      </c>
      <c r="I1889" s="1">
        <v>2541.0</v>
      </c>
      <c r="J1889" s="1" t="s">
        <v>9368</v>
      </c>
      <c r="K1889" s="1" t="s">
        <v>9369</v>
      </c>
      <c r="L1889" s="1">
        <v>47.0</v>
      </c>
      <c r="M1889" s="1" t="s">
        <v>35</v>
      </c>
      <c r="N1889" s="1" t="s">
        <v>54</v>
      </c>
      <c r="O1889" s="1" t="s">
        <v>269</v>
      </c>
      <c r="P1889" s="1">
        <v>2.8E7</v>
      </c>
      <c r="Q1889" s="1">
        <v>1993.0</v>
      </c>
      <c r="R1889" s="1">
        <v>742.0</v>
      </c>
      <c r="S1889" s="1">
        <v>83.0</v>
      </c>
      <c r="T1889" s="1">
        <v>73.0</v>
      </c>
      <c r="U1889" s="1">
        <v>1088.0</v>
      </c>
      <c r="V1889" s="1">
        <v>18.0</v>
      </c>
      <c r="W1889" s="1">
        <v>408.0</v>
      </c>
      <c r="X1889" s="1">
        <v>0.0</v>
      </c>
      <c r="Y1889" s="1">
        <v>2.35</v>
      </c>
      <c r="Z1889" s="1">
        <v>7.2</v>
      </c>
    </row>
    <row r="1890" ht="14.25" customHeight="1">
      <c r="A1890" s="1" t="s">
        <v>26</v>
      </c>
      <c r="B1890" s="1" t="s">
        <v>9370</v>
      </c>
      <c r="C1890" s="1" t="s">
        <v>9371</v>
      </c>
      <c r="D1890" s="1">
        <v>42880.0</v>
      </c>
      <c r="E1890" s="1" t="s">
        <v>206</v>
      </c>
      <c r="F1890" s="1" t="s">
        <v>1663</v>
      </c>
      <c r="G1890" s="1" t="s">
        <v>2317</v>
      </c>
      <c r="H1890" s="1" t="s">
        <v>6341</v>
      </c>
      <c r="I1890" s="1">
        <v>2919.0</v>
      </c>
      <c r="J1890" s="1" t="s">
        <v>9372</v>
      </c>
      <c r="K1890" s="1" t="s">
        <v>9373</v>
      </c>
      <c r="L1890" s="1">
        <v>50.0</v>
      </c>
      <c r="M1890" s="1" t="s">
        <v>35</v>
      </c>
      <c r="N1890" s="1" t="s">
        <v>54</v>
      </c>
      <c r="O1890" s="1" t="s">
        <v>87</v>
      </c>
      <c r="P1890" s="1">
        <v>2.4E7</v>
      </c>
      <c r="Q1890" s="1">
        <v>2004.0</v>
      </c>
      <c r="R1890" s="1">
        <v>22000.0</v>
      </c>
      <c r="S1890" s="1">
        <v>670.0</v>
      </c>
      <c r="T1890" s="1">
        <v>382.0</v>
      </c>
      <c r="U1890" s="1">
        <v>23769.0</v>
      </c>
      <c r="V1890" s="1">
        <v>6.0</v>
      </c>
      <c r="W1890" s="1">
        <v>181.0</v>
      </c>
      <c r="X1890" s="1">
        <v>3.0</v>
      </c>
      <c r="Y1890" s="1">
        <v>1.85</v>
      </c>
      <c r="Z1890" s="1">
        <v>5.1</v>
      </c>
    </row>
    <row r="1891" ht="14.25" customHeight="1">
      <c r="A1891" s="1" t="s">
        <v>26</v>
      </c>
      <c r="B1891" s="1" t="s">
        <v>7282</v>
      </c>
      <c r="C1891" s="1" t="s">
        <v>9374</v>
      </c>
      <c r="D1891" s="1">
        <v>2.3225911E7</v>
      </c>
      <c r="E1891" s="1" t="s">
        <v>449</v>
      </c>
      <c r="F1891" s="1" t="s">
        <v>1036</v>
      </c>
      <c r="G1891" s="1" t="s">
        <v>5388</v>
      </c>
      <c r="H1891" s="1" t="s">
        <v>4977</v>
      </c>
      <c r="I1891" s="1">
        <v>80574.0</v>
      </c>
      <c r="J1891" s="1" t="s">
        <v>9375</v>
      </c>
      <c r="K1891" s="1" t="s">
        <v>9376</v>
      </c>
      <c r="L1891" s="1">
        <v>157.0</v>
      </c>
      <c r="M1891" s="1" t="s">
        <v>35</v>
      </c>
      <c r="N1891" s="1" t="s">
        <v>36</v>
      </c>
      <c r="O1891" s="1" t="s">
        <v>628</v>
      </c>
      <c r="P1891" s="1">
        <v>2.4E7</v>
      </c>
      <c r="Q1891" s="1">
        <v>2010.0</v>
      </c>
      <c r="R1891" s="1">
        <v>12000.0</v>
      </c>
      <c r="S1891" s="1">
        <v>854.0</v>
      </c>
      <c r="T1891" s="1">
        <v>706.0</v>
      </c>
      <c r="U1891" s="1">
        <v>14699.0</v>
      </c>
      <c r="V1891" s="1">
        <v>88.0</v>
      </c>
      <c r="W1891" s="1">
        <v>12000.0</v>
      </c>
      <c r="X1891" s="1">
        <v>1.0</v>
      </c>
      <c r="Y1891" s="1">
        <v>2.35</v>
      </c>
      <c r="Z1891" s="1">
        <v>6.5</v>
      </c>
    </row>
    <row r="1892" ht="14.25" customHeight="1">
      <c r="A1892" s="1" t="s">
        <v>26</v>
      </c>
      <c r="B1892" s="1" t="s">
        <v>7274</v>
      </c>
      <c r="C1892" s="1" t="s">
        <v>9377</v>
      </c>
      <c r="D1892" s="1">
        <v>4710455.0</v>
      </c>
      <c r="E1892" s="1" t="s">
        <v>603</v>
      </c>
      <c r="F1892" s="1" t="s">
        <v>59</v>
      </c>
      <c r="G1892" s="1" t="s">
        <v>1664</v>
      </c>
      <c r="H1892" s="1" t="s">
        <v>1048</v>
      </c>
      <c r="I1892" s="1">
        <v>214091.0</v>
      </c>
      <c r="J1892" s="1" t="s">
        <v>9378</v>
      </c>
      <c r="K1892" s="1" t="s">
        <v>9379</v>
      </c>
      <c r="L1892" s="1">
        <v>330.0</v>
      </c>
      <c r="M1892" s="1" t="s">
        <v>7281</v>
      </c>
      <c r="N1892" s="1" t="s">
        <v>2821</v>
      </c>
      <c r="O1892" s="1" t="s">
        <v>87</v>
      </c>
      <c r="P1892" s="1">
        <v>2.4E7</v>
      </c>
      <c r="Q1892" s="1">
        <v>2004.0</v>
      </c>
      <c r="R1892" s="1">
        <v>23000.0</v>
      </c>
      <c r="S1892" s="1">
        <v>713.0</v>
      </c>
      <c r="T1892" s="1">
        <v>422.0</v>
      </c>
      <c r="U1892" s="1">
        <v>24263.0</v>
      </c>
      <c r="V1892" s="1">
        <v>6000.0</v>
      </c>
      <c r="W1892" s="1">
        <v>13000.0</v>
      </c>
      <c r="X1892" s="1">
        <v>0.0</v>
      </c>
      <c r="Y1892" s="1">
        <v>1.85</v>
      </c>
      <c r="Z1892" s="1">
        <v>8.2</v>
      </c>
    </row>
    <row r="1893" ht="14.25" customHeight="1">
      <c r="A1893" s="1" t="s">
        <v>26</v>
      </c>
      <c r="B1893" s="1" t="s">
        <v>4000</v>
      </c>
      <c r="C1893" s="1" t="s">
        <v>9380</v>
      </c>
      <c r="D1893" s="1">
        <v>7.5590286E7</v>
      </c>
      <c r="E1893" s="1" t="s">
        <v>9381</v>
      </c>
      <c r="F1893" s="1" t="s">
        <v>174</v>
      </c>
      <c r="G1893" s="1" t="s">
        <v>534</v>
      </c>
      <c r="H1893" s="1" t="s">
        <v>9382</v>
      </c>
      <c r="I1893" s="1">
        <v>386217.0</v>
      </c>
      <c r="J1893" s="1" t="s">
        <v>9383</v>
      </c>
      <c r="K1893" s="1" t="s">
        <v>9384</v>
      </c>
      <c r="L1893" s="1">
        <v>553.0</v>
      </c>
      <c r="M1893" s="1" t="s">
        <v>35</v>
      </c>
      <c r="N1893" s="1" t="s">
        <v>36</v>
      </c>
      <c r="O1893" s="1" t="s">
        <v>628</v>
      </c>
      <c r="P1893" s="1">
        <v>2.36E7</v>
      </c>
      <c r="Q1893" s="1">
        <v>2009.0</v>
      </c>
      <c r="R1893" s="1">
        <v>15000.0</v>
      </c>
      <c r="S1893" s="1">
        <v>13000.0</v>
      </c>
      <c r="T1893" s="1">
        <v>11.0</v>
      </c>
      <c r="U1893" s="1">
        <v>28011.0</v>
      </c>
      <c r="V1893" s="1">
        <v>181.0</v>
      </c>
      <c r="W1893" s="1">
        <v>26000.0</v>
      </c>
      <c r="X1893" s="1">
        <v>4.0</v>
      </c>
      <c r="Y1893" s="1">
        <v>2.35</v>
      </c>
      <c r="Z1893" s="1">
        <v>7.7</v>
      </c>
    </row>
    <row r="1894" ht="14.25" customHeight="1">
      <c r="A1894" s="1" t="s">
        <v>26</v>
      </c>
      <c r="B1894" s="1" t="s">
        <v>163</v>
      </c>
      <c r="C1894" s="1" t="s">
        <v>198</v>
      </c>
      <c r="D1894" s="1">
        <v>2.1805126E8</v>
      </c>
      <c r="E1894" s="1" t="s">
        <v>199</v>
      </c>
      <c r="F1894" s="1" t="s">
        <v>200</v>
      </c>
      <c r="G1894" s="1" t="s">
        <v>201</v>
      </c>
      <c r="H1894" s="1" t="s">
        <v>202</v>
      </c>
      <c r="I1894" s="1">
        <v>316020.0</v>
      </c>
      <c r="J1894" s="1" t="s">
        <v>203</v>
      </c>
      <c r="K1894" s="1" t="s">
        <v>204</v>
      </c>
      <c r="L1894" s="1">
        <v>2618.0</v>
      </c>
      <c r="M1894" s="1" t="s">
        <v>35</v>
      </c>
      <c r="N1894" s="1" t="s">
        <v>171</v>
      </c>
      <c r="O1894" s="1" t="s">
        <v>37</v>
      </c>
      <c r="P1894" s="1">
        <v>2.07E8</v>
      </c>
      <c r="Q1894" s="1">
        <v>2005.0</v>
      </c>
      <c r="R1894" s="1">
        <v>6000.0</v>
      </c>
      <c r="S1894" s="1">
        <v>918.0</v>
      </c>
      <c r="T1894" s="1">
        <v>84.0</v>
      </c>
      <c r="U1894" s="1">
        <v>7122.0</v>
      </c>
      <c r="V1894" s="1">
        <v>0.0</v>
      </c>
      <c r="W1894" s="1">
        <v>0.0</v>
      </c>
      <c r="X1894" s="1">
        <v>0.0</v>
      </c>
      <c r="Y1894" s="1">
        <v>2.35</v>
      </c>
      <c r="Z1894" s="1">
        <v>7.2</v>
      </c>
    </row>
    <row r="1895" ht="14.25" customHeight="1">
      <c r="A1895" s="1" t="s">
        <v>710</v>
      </c>
      <c r="B1895" s="1" t="s">
        <v>1549</v>
      </c>
      <c r="C1895" s="1" t="s">
        <v>9385</v>
      </c>
      <c r="D1895" s="1">
        <v>1.61487252E8</v>
      </c>
      <c r="E1895" s="1" t="s">
        <v>3714</v>
      </c>
      <c r="F1895" s="1" t="s">
        <v>2095</v>
      </c>
      <c r="G1895" s="1" t="s">
        <v>1276</v>
      </c>
      <c r="H1895" s="1" t="s">
        <v>2870</v>
      </c>
      <c r="I1895" s="1">
        <v>119450.0</v>
      </c>
      <c r="J1895" s="1" t="s">
        <v>9386</v>
      </c>
      <c r="K1895" s="1" t="s">
        <v>9387</v>
      </c>
      <c r="L1895" s="1">
        <v>300.0</v>
      </c>
      <c r="M1895" s="1" t="s">
        <v>35</v>
      </c>
      <c r="N1895" s="1" t="s">
        <v>36</v>
      </c>
      <c r="O1895" s="1" t="s">
        <v>37</v>
      </c>
      <c r="P1895" s="1">
        <v>2.0E7</v>
      </c>
      <c r="Q1895" s="1">
        <v>1998.0</v>
      </c>
      <c r="R1895" s="1">
        <v>11000.0</v>
      </c>
      <c r="S1895" s="1">
        <v>1000.0</v>
      </c>
      <c r="T1895" s="1">
        <v>427.0</v>
      </c>
      <c r="U1895" s="1">
        <v>13823.0</v>
      </c>
      <c r="V1895" s="1">
        <v>153.0</v>
      </c>
      <c r="W1895" s="1">
        <v>0.0</v>
      </c>
      <c r="X1895" s="1">
        <v>0.0</v>
      </c>
      <c r="Y1895" s="1">
        <v>1.85</v>
      </c>
      <c r="Z1895" s="1">
        <v>6.1</v>
      </c>
    </row>
    <row r="1896" ht="14.25" customHeight="1">
      <c r="A1896" s="1" t="s">
        <v>26</v>
      </c>
      <c r="B1896" s="1" t="s">
        <v>6730</v>
      </c>
      <c r="C1896" s="1" t="s">
        <v>9388</v>
      </c>
      <c r="D1896" s="1">
        <v>2.90158751E8</v>
      </c>
      <c r="E1896" s="1" t="s">
        <v>29</v>
      </c>
      <c r="F1896" s="1" t="s">
        <v>383</v>
      </c>
      <c r="G1896" s="1" t="s">
        <v>7362</v>
      </c>
      <c r="H1896" s="1" t="s">
        <v>9389</v>
      </c>
      <c r="I1896" s="1">
        <v>837759.0</v>
      </c>
      <c r="J1896" s="1" t="s">
        <v>9390</v>
      </c>
      <c r="K1896" s="1" t="s">
        <v>9391</v>
      </c>
      <c r="L1896" s="1">
        <v>900.0</v>
      </c>
      <c r="M1896" s="1" t="s">
        <v>35</v>
      </c>
      <c r="N1896" s="1" t="s">
        <v>36</v>
      </c>
      <c r="O1896" s="1" t="s">
        <v>87</v>
      </c>
      <c r="P1896" s="1">
        <v>1.8E7</v>
      </c>
      <c r="Q1896" s="1">
        <v>1980.0</v>
      </c>
      <c r="R1896" s="1">
        <v>11000.0</v>
      </c>
      <c r="S1896" s="1">
        <v>504.0</v>
      </c>
      <c r="T1896" s="1">
        <v>441.0</v>
      </c>
      <c r="U1896" s="1">
        <v>12643.0</v>
      </c>
      <c r="V1896" s="1">
        <v>883.0</v>
      </c>
      <c r="W1896" s="1">
        <v>17000.0</v>
      </c>
      <c r="X1896" s="1">
        <v>0.0</v>
      </c>
      <c r="Y1896" s="1">
        <v>2.35</v>
      </c>
      <c r="Z1896" s="1">
        <v>8.8</v>
      </c>
    </row>
    <row r="1897" ht="14.25" customHeight="1">
      <c r="A1897" s="1" t="s">
        <v>26</v>
      </c>
      <c r="B1897" s="1" t="s">
        <v>270</v>
      </c>
      <c r="C1897" s="1" t="s">
        <v>9392</v>
      </c>
      <c r="D1897" s="1">
        <v>6.5807024E7</v>
      </c>
      <c r="E1897" s="1" t="s">
        <v>3376</v>
      </c>
      <c r="F1897" s="1" t="s">
        <v>158</v>
      </c>
      <c r="G1897" s="1" t="s">
        <v>2364</v>
      </c>
      <c r="H1897" s="1" t="s">
        <v>9393</v>
      </c>
      <c r="I1897" s="1">
        <v>172405.0</v>
      </c>
      <c r="J1897" s="1" t="s">
        <v>9394</v>
      </c>
      <c r="K1897" s="1" t="s">
        <v>9395</v>
      </c>
      <c r="L1897" s="1">
        <v>203.0</v>
      </c>
      <c r="M1897" s="1" t="s">
        <v>35</v>
      </c>
      <c r="N1897" s="1" t="s">
        <v>36</v>
      </c>
      <c r="O1897" s="1" t="s">
        <v>628</v>
      </c>
      <c r="P1897" s="1">
        <v>1.9E7</v>
      </c>
      <c r="Q1897" s="1">
        <v>1995.0</v>
      </c>
      <c r="R1897" s="1">
        <v>10000.0</v>
      </c>
      <c r="S1897" s="1">
        <v>345.0</v>
      </c>
      <c r="T1897" s="1">
        <v>244.0</v>
      </c>
      <c r="U1897" s="1">
        <v>11013.0</v>
      </c>
      <c r="V1897" s="1">
        <v>0.0</v>
      </c>
      <c r="W1897" s="1">
        <v>0.0</v>
      </c>
      <c r="X1897" s="1">
        <v>0.0</v>
      </c>
      <c r="Y1897" s="1">
        <v>1.85</v>
      </c>
      <c r="Z1897" s="1">
        <v>6.8</v>
      </c>
    </row>
    <row r="1898" ht="14.25" customHeight="1">
      <c r="A1898" s="1" t="s">
        <v>26</v>
      </c>
      <c r="B1898" s="1" t="s">
        <v>5342</v>
      </c>
      <c r="C1898" s="1" t="s">
        <v>9396</v>
      </c>
      <c r="D1898" s="1">
        <v>8.6930411E7</v>
      </c>
      <c r="E1898" s="1" t="s">
        <v>972</v>
      </c>
      <c r="F1898" s="1" t="s">
        <v>7496</v>
      </c>
      <c r="G1898" s="1" t="s">
        <v>7762</v>
      </c>
      <c r="H1898" s="1" t="s">
        <v>9397</v>
      </c>
      <c r="I1898" s="1">
        <v>83269.0</v>
      </c>
      <c r="J1898" s="1" t="s">
        <v>9398</v>
      </c>
      <c r="K1898" s="1" t="s">
        <v>9399</v>
      </c>
      <c r="L1898" s="1">
        <v>87.0</v>
      </c>
      <c r="M1898" s="1" t="s">
        <v>35</v>
      </c>
      <c r="N1898" s="1" t="s">
        <v>36</v>
      </c>
      <c r="O1898" s="1" t="s">
        <v>37</v>
      </c>
      <c r="P1898" s="1">
        <v>2.3E7</v>
      </c>
      <c r="Q1898" s="1">
        <v>1991.0</v>
      </c>
      <c r="R1898" s="1">
        <v>3000.0</v>
      </c>
      <c r="S1898" s="1">
        <v>348.0</v>
      </c>
      <c r="T1898" s="1">
        <v>144.0</v>
      </c>
      <c r="U1898" s="1">
        <v>3847.0</v>
      </c>
      <c r="V1898" s="1">
        <v>119.0</v>
      </c>
      <c r="W1898" s="1">
        <v>0.0</v>
      </c>
      <c r="X1898" s="1">
        <v>6.0</v>
      </c>
      <c r="Y1898" s="1">
        <v>1.85</v>
      </c>
      <c r="Z1898" s="1">
        <v>6.8</v>
      </c>
    </row>
    <row r="1899" ht="14.25" customHeight="1">
      <c r="A1899" s="1" t="s">
        <v>26</v>
      </c>
      <c r="B1899" s="1" t="s">
        <v>5193</v>
      </c>
      <c r="C1899" s="1" t="s">
        <v>9400</v>
      </c>
      <c r="D1899" s="1">
        <v>5.3302314E7</v>
      </c>
      <c r="E1899" s="1" t="s">
        <v>6278</v>
      </c>
      <c r="F1899" s="1" t="s">
        <v>5635</v>
      </c>
      <c r="G1899" s="1" t="s">
        <v>9401</v>
      </c>
      <c r="H1899" s="1" t="s">
        <v>9402</v>
      </c>
      <c r="I1899" s="1">
        <v>181058.0</v>
      </c>
      <c r="J1899" s="1" t="s">
        <v>9403</v>
      </c>
      <c r="K1899" s="1" t="s">
        <v>9404</v>
      </c>
      <c r="L1899" s="1">
        <v>674.0</v>
      </c>
      <c r="M1899" s="1" t="s">
        <v>35</v>
      </c>
      <c r="N1899" s="1" t="s">
        <v>36</v>
      </c>
      <c r="O1899" s="1" t="s">
        <v>628</v>
      </c>
      <c r="P1899" s="1">
        <v>2.3E7</v>
      </c>
      <c r="Q1899" s="1">
        <v>2000.0</v>
      </c>
      <c r="R1899" s="1">
        <v>1000.0</v>
      </c>
      <c r="S1899" s="1">
        <v>847.0</v>
      </c>
      <c r="T1899" s="1">
        <v>591.0</v>
      </c>
      <c r="U1899" s="1">
        <v>3345.0</v>
      </c>
      <c r="V1899" s="1">
        <v>70.0</v>
      </c>
      <c r="W1899" s="1">
        <v>0.0</v>
      </c>
      <c r="X1899" s="1">
        <v>1.0</v>
      </c>
      <c r="Y1899" s="1">
        <v>1.85</v>
      </c>
      <c r="Z1899" s="1">
        <v>6.7</v>
      </c>
    </row>
    <row r="1900" ht="14.25" customHeight="1">
      <c r="A1900" s="1" t="s">
        <v>26</v>
      </c>
      <c r="B1900" s="1" t="s">
        <v>3229</v>
      </c>
      <c r="C1900" s="1" t="s">
        <v>9405</v>
      </c>
      <c r="D1900" s="1">
        <v>4.0962534E7</v>
      </c>
      <c r="E1900" s="1" t="s">
        <v>3238</v>
      </c>
      <c r="F1900" s="1" t="s">
        <v>4002</v>
      </c>
      <c r="G1900" s="1" t="s">
        <v>662</v>
      </c>
      <c r="H1900" s="1" t="s">
        <v>1347</v>
      </c>
      <c r="I1900" s="1">
        <v>188652.0</v>
      </c>
      <c r="J1900" s="1" t="s">
        <v>9406</v>
      </c>
      <c r="K1900" s="1" t="s">
        <v>9407</v>
      </c>
      <c r="L1900" s="1">
        <v>288.0</v>
      </c>
      <c r="M1900" s="1" t="s">
        <v>35</v>
      </c>
      <c r="N1900" s="1" t="s">
        <v>36</v>
      </c>
      <c r="O1900" s="1" t="s">
        <v>628</v>
      </c>
      <c r="P1900" s="1">
        <v>1.25E7</v>
      </c>
      <c r="Q1900" s="1">
        <v>2011.0</v>
      </c>
      <c r="R1900" s="1">
        <v>33000.0</v>
      </c>
      <c r="S1900" s="1">
        <v>22000.0</v>
      </c>
      <c r="T1900" s="1">
        <v>1000.0</v>
      </c>
      <c r="U1900" s="1">
        <v>57077.0</v>
      </c>
      <c r="V1900" s="1">
        <v>0.0</v>
      </c>
      <c r="W1900" s="1">
        <v>22000.0</v>
      </c>
      <c r="X1900" s="1">
        <v>1.0</v>
      </c>
      <c r="Y1900" s="1">
        <v>2.35</v>
      </c>
      <c r="Z1900" s="1">
        <v>7.1</v>
      </c>
    </row>
    <row r="1901" ht="14.25" customHeight="1">
      <c r="A1901" s="1" t="s">
        <v>26</v>
      </c>
      <c r="B1901" s="1" t="s">
        <v>1338</v>
      </c>
      <c r="C1901" s="1" t="s">
        <v>9408</v>
      </c>
      <c r="D1901" s="1">
        <v>3.9235088E7</v>
      </c>
      <c r="E1901" s="1" t="s">
        <v>9409</v>
      </c>
      <c r="F1901" s="1" t="s">
        <v>329</v>
      </c>
      <c r="G1901" s="1" t="s">
        <v>3201</v>
      </c>
      <c r="H1901" s="1" t="s">
        <v>1969</v>
      </c>
      <c r="I1901" s="1">
        <v>193962.0</v>
      </c>
      <c r="J1901" s="1" t="s">
        <v>9410</v>
      </c>
      <c r="K1901" s="1" t="s">
        <v>9411</v>
      </c>
      <c r="L1901" s="1">
        <v>805.0</v>
      </c>
      <c r="M1901" s="1" t="s">
        <v>35</v>
      </c>
      <c r="N1901" s="1" t="s">
        <v>36</v>
      </c>
      <c r="O1901" s="1" t="s">
        <v>628</v>
      </c>
      <c r="P1901" s="1">
        <v>2.3E7</v>
      </c>
      <c r="Q1901" s="1">
        <v>2000.0</v>
      </c>
      <c r="R1901" s="1">
        <v>14000.0</v>
      </c>
      <c r="S1901" s="1">
        <v>991.0</v>
      </c>
      <c r="T1901" s="1">
        <v>787.0</v>
      </c>
      <c r="U1901" s="1">
        <v>16196.0</v>
      </c>
      <c r="V1901" s="1">
        <v>123.0</v>
      </c>
      <c r="W1901" s="1">
        <v>5000.0</v>
      </c>
      <c r="X1901" s="1">
        <v>0.0</v>
      </c>
      <c r="Y1901" s="1">
        <v>2.35</v>
      </c>
      <c r="Z1901" s="1">
        <v>7.1</v>
      </c>
    </row>
    <row r="1902" ht="14.25" customHeight="1">
      <c r="A1902" s="1" t="s">
        <v>26</v>
      </c>
      <c r="B1902" s="1" t="s">
        <v>981</v>
      </c>
      <c r="C1902" s="1" t="s">
        <v>9412</v>
      </c>
      <c r="D1902" s="1">
        <v>2.7338033E7</v>
      </c>
      <c r="E1902" s="1" t="s">
        <v>1598</v>
      </c>
      <c r="F1902" s="1" t="s">
        <v>255</v>
      </c>
      <c r="G1902" s="1" t="s">
        <v>4507</v>
      </c>
      <c r="H1902" s="1" t="s">
        <v>9413</v>
      </c>
      <c r="I1902" s="1">
        <v>19709.0</v>
      </c>
      <c r="J1902" s="1" t="s">
        <v>9414</v>
      </c>
      <c r="K1902" s="1" t="s">
        <v>9415</v>
      </c>
      <c r="L1902" s="1">
        <v>167.0</v>
      </c>
      <c r="M1902" s="1" t="s">
        <v>35</v>
      </c>
      <c r="N1902" s="1" t="s">
        <v>36</v>
      </c>
      <c r="O1902" s="1" t="s">
        <v>37</v>
      </c>
      <c r="P1902" s="1">
        <v>2.3E7</v>
      </c>
      <c r="Q1902" s="1">
        <v>2001.0</v>
      </c>
      <c r="R1902" s="1">
        <v>20000.0</v>
      </c>
      <c r="S1902" s="1">
        <v>551.0</v>
      </c>
      <c r="T1902" s="1">
        <v>99.0</v>
      </c>
      <c r="U1902" s="1">
        <v>20798.0</v>
      </c>
      <c r="V1902" s="1">
        <v>956.0</v>
      </c>
      <c r="W1902" s="1">
        <v>0.0</v>
      </c>
      <c r="X1902" s="1">
        <v>3.0</v>
      </c>
      <c r="Y1902" s="1">
        <v>1.85</v>
      </c>
      <c r="Z1902" s="1">
        <v>6.1</v>
      </c>
    </row>
    <row r="1903" ht="14.25" customHeight="1">
      <c r="A1903" s="1" t="s">
        <v>26</v>
      </c>
      <c r="B1903" s="1" t="s">
        <v>1717</v>
      </c>
      <c r="C1903" s="1" t="s">
        <v>9416</v>
      </c>
      <c r="D1903" s="1">
        <v>2.5556065E7</v>
      </c>
      <c r="E1903" s="1" t="s">
        <v>8891</v>
      </c>
      <c r="F1903" s="1" t="s">
        <v>92</v>
      </c>
      <c r="G1903" s="1" t="s">
        <v>9417</v>
      </c>
      <c r="H1903" s="1" t="s">
        <v>9418</v>
      </c>
      <c r="I1903" s="1">
        <v>355126.0</v>
      </c>
      <c r="J1903" s="1" t="s">
        <v>9419</v>
      </c>
      <c r="K1903" s="1" t="s">
        <v>9420</v>
      </c>
      <c r="L1903" s="1">
        <v>748.0</v>
      </c>
      <c r="M1903" s="1" t="s">
        <v>35</v>
      </c>
      <c r="N1903" s="1" t="s">
        <v>36</v>
      </c>
      <c r="O1903" s="1" t="s">
        <v>628</v>
      </c>
      <c r="P1903" s="1">
        <v>2.3E7</v>
      </c>
      <c r="Q1903" s="1">
        <v>2013.0</v>
      </c>
      <c r="R1903" s="1">
        <v>19000.0</v>
      </c>
      <c r="S1903" s="1">
        <v>128.0</v>
      </c>
      <c r="T1903" s="1">
        <v>105.0</v>
      </c>
      <c r="U1903" s="1">
        <v>19359.0</v>
      </c>
      <c r="V1903" s="1">
        <v>0.0</v>
      </c>
      <c r="W1903" s="1">
        <v>148000.0</v>
      </c>
      <c r="X1903" s="1">
        <v>1.0</v>
      </c>
      <c r="Y1903" s="1">
        <v>1.85</v>
      </c>
      <c r="Z1903" s="1">
        <v>8.0</v>
      </c>
    </row>
    <row r="1904" ht="14.25" customHeight="1">
      <c r="A1904" s="1" t="s">
        <v>26</v>
      </c>
      <c r="B1904" s="1" t="s">
        <v>3276</v>
      </c>
      <c r="C1904" s="1" t="s">
        <v>9002</v>
      </c>
      <c r="D1904" s="1">
        <v>1.5785632E7</v>
      </c>
      <c r="E1904" s="1" t="s">
        <v>9003</v>
      </c>
      <c r="F1904" s="1" t="s">
        <v>255</v>
      </c>
      <c r="G1904" s="1" t="s">
        <v>9004</v>
      </c>
      <c r="H1904" s="1" t="s">
        <v>5623</v>
      </c>
      <c r="I1904" s="1">
        <v>32513.0</v>
      </c>
      <c r="J1904" s="1" t="s">
        <v>9005</v>
      </c>
      <c r="K1904" s="1" t="s">
        <v>9006</v>
      </c>
      <c r="L1904" s="1">
        <v>119.0</v>
      </c>
      <c r="M1904" s="1" t="s">
        <v>35</v>
      </c>
      <c r="N1904" s="1" t="s">
        <v>54</v>
      </c>
      <c r="O1904" s="1" t="s">
        <v>37</v>
      </c>
      <c r="P1904" s="1">
        <v>2.3E7</v>
      </c>
      <c r="Q1904" s="1">
        <v>2016.0</v>
      </c>
      <c r="R1904" s="1">
        <v>20000.0</v>
      </c>
      <c r="S1904" s="1">
        <v>732.0</v>
      </c>
      <c r="T1904" s="1">
        <v>141.0</v>
      </c>
      <c r="U1904" s="1">
        <v>21195.0</v>
      </c>
      <c r="V1904" s="1">
        <v>452.0</v>
      </c>
      <c r="W1904" s="1">
        <v>15000.0</v>
      </c>
      <c r="X1904" s="1">
        <v>3.0</v>
      </c>
      <c r="Y1904" s="1">
        <v>2.35</v>
      </c>
      <c r="Z1904" s="1">
        <v>7.5</v>
      </c>
    </row>
    <row r="1905" ht="14.25" customHeight="1">
      <c r="A1905" s="1" t="s">
        <v>26</v>
      </c>
      <c r="B1905" s="1" t="s">
        <v>4191</v>
      </c>
      <c r="C1905" s="1" t="s">
        <v>9421</v>
      </c>
      <c r="D1905" s="1">
        <v>2.1973182E7</v>
      </c>
      <c r="E1905" s="1" t="s">
        <v>815</v>
      </c>
      <c r="F1905" s="1" t="s">
        <v>328</v>
      </c>
      <c r="G1905" s="1" t="s">
        <v>9422</v>
      </c>
      <c r="H1905" s="1" t="s">
        <v>9423</v>
      </c>
      <c r="I1905" s="1">
        <v>53415.0</v>
      </c>
      <c r="J1905" s="1" t="s">
        <v>9424</v>
      </c>
      <c r="K1905" s="1" t="s">
        <v>9425</v>
      </c>
      <c r="L1905" s="1">
        <v>339.0</v>
      </c>
      <c r="M1905" s="1" t="s">
        <v>35</v>
      </c>
      <c r="N1905" s="1" t="s">
        <v>36</v>
      </c>
      <c r="O1905" s="1" t="s">
        <v>628</v>
      </c>
      <c r="P1905" s="1">
        <v>2.3E7</v>
      </c>
      <c r="Q1905" s="1">
        <v>2001.0</v>
      </c>
      <c r="R1905" s="1">
        <v>23000.0</v>
      </c>
      <c r="S1905" s="1">
        <v>81.0</v>
      </c>
      <c r="T1905" s="1">
        <v>62.0</v>
      </c>
      <c r="U1905" s="1">
        <v>23242.0</v>
      </c>
      <c r="V1905" s="1">
        <v>131.0</v>
      </c>
      <c r="W1905" s="1">
        <v>0.0</v>
      </c>
      <c r="X1905" s="1">
        <v>2.0</v>
      </c>
      <c r="Y1905" s="1">
        <v>2.35</v>
      </c>
      <c r="Z1905" s="1">
        <v>6.6</v>
      </c>
    </row>
    <row r="1906" ht="14.25" customHeight="1">
      <c r="A1906" s="1" t="s">
        <v>26</v>
      </c>
      <c r="B1906" s="1" t="s">
        <v>9426</v>
      </c>
      <c r="C1906" s="1" t="s">
        <v>9427</v>
      </c>
      <c r="D1906" s="1">
        <v>4756.0</v>
      </c>
      <c r="E1906" s="1" t="s">
        <v>192</v>
      </c>
      <c r="F1906" s="1" t="s">
        <v>1297</v>
      </c>
      <c r="G1906" s="1" t="s">
        <v>9428</v>
      </c>
      <c r="H1906" s="1" t="s">
        <v>9429</v>
      </c>
      <c r="I1906" s="1">
        <v>4191.0</v>
      </c>
      <c r="J1906" s="1" t="s">
        <v>9430</v>
      </c>
      <c r="K1906" s="1" t="s">
        <v>9431</v>
      </c>
      <c r="L1906" s="1">
        <v>32.0</v>
      </c>
      <c r="M1906" s="1" t="s">
        <v>35</v>
      </c>
      <c r="N1906" s="1" t="s">
        <v>54</v>
      </c>
      <c r="O1906" s="1" t="s">
        <v>87</v>
      </c>
      <c r="P1906" s="1">
        <v>2.5E7</v>
      </c>
      <c r="Q1906" s="1">
        <v>2013.0</v>
      </c>
      <c r="R1906" s="1">
        <v>2000.0</v>
      </c>
      <c r="S1906" s="1">
        <v>228.0</v>
      </c>
      <c r="T1906" s="1">
        <v>88.0</v>
      </c>
      <c r="U1906" s="1">
        <v>2450.0</v>
      </c>
      <c r="V1906" s="1">
        <v>3.0</v>
      </c>
      <c r="W1906" s="1">
        <v>0.0</v>
      </c>
      <c r="X1906" s="1">
        <v>4.0</v>
      </c>
      <c r="Y1906" s="1">
        <v>2.35</v>
      </c>
      <c r="Z1906" s="1">
        <v>5.4</v>
      </c>
    </row>
    <row r="1907" ht="14.25" customHeight="1">
      <c r="A1907" s="1" t="s">
        <v>26</v>
      </c>
      <c r="B1907" s="1" t="s">
        <v>4367</v>
      </c>
      <c r="C1907" s="1" t="s">
        <v>9432</v>
      </c>
      <c r="D1907" s="1">
        <v>1.8653615E7</v>
      </c>
      <c r="E1907" s="1" t="s">
        <v>2422</v>
      </c>
      <c r="F1907" s="1" t="s">
        <v>805</v>
      </c>
      <c r="G1907" s="1" t="s">
        <v>9433</v>
      </c>
      <c r="H1907" s="1" t="s">
        <v>9243</v>
      </c>
      <c r="I1907" s="1">
        <v>14786.0</v>
      </c>
      <c r="J1907" s="1" t="s">
        <v>9434</v>
      </c>
      <c r="K1907" s="1" t="s">
        <v>9435</v>
      </c>
      <c r="L1907" s="1">
        <v>103.0</v>
      </c>
      <c r="M1907" s="1" t="s">
        <v>35</v>
      </c>
      <c r="N1907" s="1" t="s">
        <v>36</v>
      </c>
      <c r="O1907" s="1" t="s">
        <v>37</v>
      </c>
      <c r="P1907" s="1">
        <v>2.3E7</v>
      </c>
      <c r="Q1907" s="1">
        <v>1999.0</v>
      </c>
      <c r="R1907" s="1">
        <v>20000.0</v>
      </c>
      <c r="S1907" s="1">
        <v>797.0</v>
      </c>
      <c r="T1907" s="1">
        <v>407.0</v>
      </c>
      <c r="U1907" s="1">
        <v>22040.0</v>
      </c>
      <c r="V1907" s="1">
        <v>61.0</v>
      </c>
      <c r="W1907" s="1">
        <v>638.0</v>
      </c>
      <c r="X1907" s="1">
        <v>2.0</v>
      </c>
      <c r="Y1907" s="1">
        <v>2.35</v>
      </c>
      <c r="Z1907" s="1">
        <v>6.1</v>
      </c>
    </row>
    <row r="1908" ht="14.25" customHeight="1">
      <c r="A1908" s="1" t="s">
        <v>26</v>
      </c>
      <c r="B1908" s="1" t="s">
        <v>8071</v>
      </c>
      <c r="C1908" s="1" t="s">
        <v>8072</v>
      </c>
      <c r="D1908" s="1">
        <v>1.2189514E7</v>
      </c>
      <c r="E1908" s="1" t="s">
        <v>1598</v>
      </c>
      <c r="F1908" s="1" t="s">
        <v>2651</v>
      </c>
      <c r="G1908" s="1" t="s">
        <v>8073</v>
      </c>
      <c r="H1908" s="1" t="s">
        <v>8074</v>
      </c>
      <c r="I1908" s="1">
        <v>30092.0</v>
      </c>
      <c r="J1908" s="1" t="s">
        <v>8075</v>
      </c>
      <c r="K1908" s="1" t="s">
        <v>8076</v>
      </c>
      <c r="L1908" s="1">
        <v>129.0</v>
      </c>
      <c r="M1908" s="1" t="s">
        <v>35</v>
      </c>
      <c r="N1908" s="1" t="s">
        <v>36</v>
      </c>
      <c r="O1908" s="1" t="s">
        <v>37</v>
      </c>
      <c r="P1908" s="1">
        <v>2.3E7</v>
      </c>
      <c r="Q1908" s="1">
        <v>2004.0</v>
      </c>
      <c r="R1908" s="1">
        <v>448.0</v>
      </c>
      <c r="S1908" s="1">
        <v>143.0</v>
      </c>
      <c r="T1908" s="1">
        <v>120.0</v>
      </c>
      <c r="U1908" s="1">
        <v>829.0</v>
      </c>
      <c r="V1908" s="1">
        <v>3.0</v>
      </c>
      <c r="W1908" s="1">
        <v>0.0</v>
      </c>
      <c r="X1908" s="1">
        <v>0.0</v>
      </c>
      <c r="Y1908" s="1">
        <v>2.35</v>
      </c>
      <c r="Z1908" s="1">
        <v>6.1</v>
      </c>
    </row>
    <row r="1909" ht="14.25" customHeight="1">
      <c r="A1909" s="1" t="s">
        <v>26</v>
      </c>
      <c r="B1909" s="1" t="s">
        <v>9436</v>
      </c>
      <c r="C1909" s="1" t="s">
        <v>9437</v>
      </c>
      <c r="D1909" s="1">
        <v>1.3019253E7</v>
      </c>
      <c r="E1909" s="1" t="s">
        <v>972</v>
      </c>
      <c r="F1909" s="1" t="s">
        <v>4487</v>
      </c>
      <c r="G1909" s="1" t="s">
        <v>9438</v>
      </c>
      <c r="H1909" s="1" t="s">
        <v>9439</v>
      </c>
      <c r="I1909" s="1">
        <v>3914.0</v>
      </c>
      <c r="J1909" s="1" t="s">
        <v>9440</v>
      </c>
      <c r="K1909" s="1" t="s">
        <v>9441</v>
      </c>
      <c r="L1909" s="1">
        <v>47.0</v>
      </c>
      <c r="M1909" s="1" t="s">
        <v>35</v>
      </c>
      <c r="N1909" s="1" t="s">
        <v>36</v>
      </c>
      <c r="O1909" s="1" t="s">
        <v>37</v>
      </c>
      <c r="P1909" s="1">
        <v>2.3E7</v>
      </c>
      <c r="Q1909" s="1">
        <v>2000.0</v>
      </c>
      <c r="R1909" s="1">
        <v>327.0</v>
      </c>
      <c r="S1909" s="1">
        <v>281.0</v>
      </c>
      <c r="T1909" s="1">
        <v>249.0</v>
      </c>
      <c r="U1909" s="1">
        <v>1509.0</v>
      </c>
      <c r="V1909" s="1">
        <v>12.0</v>
      </c>
      <c r="W1909" s="1">
        <v>153.0</v>
      </c>
      <c r="X1909" s="1">
        <v>4.0</v>
      </c>
      <c r="Y1909" s="1">
        <v>1.85</v>
      </c>
      <c r="Z1909" s="1">
        <v>5.6</v>
      </c>
    </row>
    <row r="1910" ht="14.25" customHeight="1">
      <c r="A1910" s="1" t="s">
        <v>26</v>
      </c>
      <c r="B1910" s="1" t="s">
        <v>1456</v>
      </c>
      <c r="C1910" s="1" t="s">
        <v>9442</v>
      </c>
      <c r="D1910" s="1">
        <v>1.8934858E7</v>
      </c>
      <c r="E1910" s="1" t="s">
        <v>57</v>
      </c>
      <c r="F1910" s="1" t="s">
        <v>430</v>
      </c>
      <c r="G1910" s="1" t="s">
        <v>444</v>
      </c>
      <c r="H1910" s="1" t="s">
        <v>2214</v>
      </c>
      <c r="I1910" s="1">
        <v>72646.0</v>
      </c>
      <c r="J1910" s="1" t="s">
        <v>9443</v>
      </c>
      <c r="K1910" s="1" t="s">
        <v>9444</v>
      </c>
      <c r="L1910" s="1">
        <v>397.0</v>
      </c>
      <c r="M1910" s="1" t="s">
        <v>35</v>
      </c>
      <c r="N1910" s="1" t="s">
        <v>7469</v>
      </c>
      <c r="O1910" s="1" t="s">
        <v>628</v>
      </c>
      <c r="P1910" s="1">
        <v>2.3E7</v>
      </c>
      <c r="Q1910" s="1">
        <v>2011.0</v>
      </c>
      <c r="R1910" s="1">
        <v>17000.0</v>
      </c>
      <c r="S1910" s="1">
        <v>13000.0</v>
      </c>
      <c r="T1910" s="1">
        <v>947.0</v>
      </c>
      <c r="U1910" s="1">
        <v>31187.0</v>
      </c>
      <c r="V1910" s="1">
        <v>0.0</v>
      </c>
      <c r="W1910" s="1">
        <v>0.0</v>
      </c>
      <c r="X1910" s="1">
        <v>5.0</v>
      </c>
      <c r="Y1910" s="1">
        <v>2.35</v>
      </c>
      <c r="Z1910" s="1">
        <v>5.8</v>
      </c>
    </row>
    <row r="1911" ht="14.25" customHeight="1">
      <c r="A1911" s="1" t="s">
        <v>26</v>
      </c>
      <c r="B1911" s="1" t="s">
        <v>9445</v>
      </c>
      <c r="C1911" s="1" t="s">
        <v>9446</v>
      </c>
      <c r="D1911" s="1">
        <v>2.0763013E7</v>
      </c>
      <c r="E1911" s="1" t="s">
        <v>8022</v>
      </c>
      <c r="F1911" s="1" t="s">
        <v>9447</v>
      </c>
      <c r="G1911" s="1" t="s">
        <v>8649</v>
      </c>
      <c r="H1911" s="1" t="s">
        <v>9448</v>
      </c>
      <c r="I1911" s="1">
        <v>30840.0</v>
      </c>
      <c r="J1911" s="1" t="s">
        <v>9449</v>
      </c>
      <c r="K1911" s="1" t="s">
        <v>9450</v>
      </c>
      <c r="L1911" s="1">
        <v>383.0</v>
      </c>
      <c r="M1911" s="1" t="s">
        <v>35</v>
      </c>
      <c r="N1911" s="1" t="s">
        <v>36</v>
      </c>
      <c r="O1911" s="1" t="s">
        <v>37</v>
      </c>
      <c r="P1911" s="1">
        <v>2.3E7</v>
      </c>
      <c r="Q1911" s="1">
        <v>1987.0</v>
      </c>
      <c r="R1911" s="1">
        <v>912.0</v>
      </c>
      <c r="S1911" s="1">
        <v>535.0</v>
      </c>
      <c r="T1911" s="1">
        <v>434.0</v>
      </c>
      <c r="U1911" s="1">
        <v>2355.0</v>
      </c>
      <c r="V1911" s="1">
        <v>114.0</v>
      </c>
      <c r="W1911" s="1">
        <v>0.0</v>
      </c>
      <c r="X1911" s="1">
        <v>0.0</v>
      </c>
      <c r="Y1911" s="1">
        <v>2.35</v>
      </c>
      <c r="Z1911" s="1">
        <v>2.8</v>
      </c>
    </row>
    <row r="1912" ht="14.25" customHeight="1">
      <c r="A1912" s="1" t="s">
        <v>26</v>
      </c>
      <c r="B1912" s="1" t="s">
        <v>9451</v>
      </c>
      <c r="C1912" s="1" t="s">
        <v>9452</v>
      </c>
      <c r="D1912" s="1">
        <v>1.2782508E7</v>
      </c>
      <c r="E1912" s="1" t="s">
        <v>3238</v>
      </c>
      <c r="F1912" s="1" t="s">
        <v>207</v>
      </c>
      <c r="G1912" s="1" t="s">
        <v>1663</v>
      </c>
      <c r="H1912" s="1" t="s">
        <v>2286</v>
      </c>
      <c r="I1912" s="1">
        <v>20163.0</v>
      </c>
      <c r="J1912" s="1" t="s">
        <v>9453</v>
      </c>
      <c r="K1912" s="1" t="s">
        <v>9454</v>
      </c>
      <c r="L1912" s="1">
        <v>71.0</v>
      </c>
      <c r="M1912" s="1" t="s">
        <v>35</v>
      </c>
      <c r="N1912" s="1" t="s">
        <v>36</v>
      </c>
      <c r="O1912" s="1" t="s">
        <v>37</v>
      </c>
      <c r="P1912" s="1">
        <v>2.3E7</v>
      </c>
      <c r="Q1912" s="1">
        <v>1996.0</v>
      </c>
      <c r="R1912" s="1">
        <v>29000.0</v>
      </c>
      <c r="S1912" s="1">
        <v>22000.0</v>
      </c>
      <c r="T1912" s="1">
        <v>11000.0</v>
      </c>
      <c r="U1912" s="1">
        <v>63194.0</v>
      </c>
      <c r="V1912" s="1">
        <v>4.0</v>
      </c>
      <c r="W1912" s="1">
        <v>1000.0</v>
      </c>
      <c r="X1912" s="1">
        <v>2.0</v>
      </c>
      <c r="Y1912" s="1">
        <v>1.85</v>
      </c>
      <c r="Z1912" s="1">
        <v>6.7</v>
      </c>
    </row>
    <row r="1913" ht="14.25" customHeight="1">
      <c r="A1913" s="1" t="s">
        <v>26</v>
      </c>
      <c r="B1913" s="1" t="s">
        <v>9455</v>
      </c>
      <c r="C1913" s="1" t="s">
        <v>9456</v>
      </c>
      <c r="D1913" s="1">
        <v>1.1508423E7</v>
      </c>
      <c r="E1913" s="1" t="s">
        <v>9457</v>
      </c>
      <c r="F1913" s="1" t="s">
        <v>3803</v>
      </c>
      <c r="G1913" s="1" t="s">
        <v>4678</v>
      </c>
      <c r="H1913" s="1" t="s">
        <v>9458</v>
      </c>
      <c r="I1913" s="1">
        <v>3174.0</v>
      </c>
      <c r="J1913" s="1" t="s">
        <v>9459</v>
      </c>
      <c r="K1913" s="1" t="s">
        <v>9460</v>
      </c>
      <c r="L1913" s="1">
        <v>19.0</v>
      </c>
      <c r="M1913" s="1" t="s">
        <v>35</v>
      </c>
      <c r="N1913" s="1" t="s">
        <v>36</v>
      </c>
      <c r="O1913" s="1" t="s">
        <v>87</v>
      </c>
      <c r="P1913" s="1">
        <v>2.3E7</v>
      </c>
      <c r="Q1913" s="1">
        <v>2008.0</v>
      </c>
      <c r="R1913" s="1">
        <v>721.0</v>
      </c>
      <c r="S1913" s="1">
        <v>463.0</v>
      </c>
      <c r="T1913" s="1">
        <v>424.0</v>
      </c>
      <c r="U1913" s="1">
        <v>2453.0</v>
      </c>
      <c r="V1913" s="1">
        <v>258.0</v>
      </c>
      <c r="W1913" s="1">
        <v>376.0</v>
      </c>
      <c r="X1913" s="1">
        <v>2.0</v>
      </c>
      <c r="Y1913" s="1">
        <v>2.35</v>
      </c>
      <c r="Z1913" s="1">
        <v>5.1</v>
      </c>
    </row>
    <row r="1914" ht="14.25" customHeight="1">
      <c r="A1914" s="1" t="s">
        <v>26</v>
      </c>
      <c r="B1914" s="1" t="s">
        <v>4775</v>
      </c>
      <c r="C1914" s="1" t="s">
        <v>9461</v>
      </c>
      <c r="D1914" s="1">
        <v>1.0660147E7</v>
      </c>
      <c r="E1914" s="1" t="s">
        <v>206</v>
      </c>
      <c r="F1914" s="1" t="s">
        <v>3287</v>
      </c>
      <c r="G1914" s="1" t="s">
        <v>9462</v>
      </c>
      <c r="H1914" s="1" t="s">
        <v>9463</v>
      </c>
      <c r="I1914" s="1">
        <v>17740.0</v>
      </c>
      <c r="J1914" s="1" t="s">
        <v>9464</v>
      </c>
      <c r="K1914" s="1" t="s">
        <v>9465</v>
      </c>
      <c r="L1914" s="1">
        <v>165.0</v>
      </c>
      <c r="M1914" s="1" t="s">
        <v>35</v>
      </c>
      <c r="N1914" s="1" t="s">
        <v>54</v>
      </c>
      <c r="O1914" s="1" t="s">
        <v>628</v>
      </c>
      <c r="P1914" s="1">
        <v>2.3E7</v>
      </c>
      <c r="Q1914" s="1">
        <v>1999.0</v>
      </c>
      <c r="R1914" s="1">
        <v>327.0</v>
      </c>
      <c r="S1914" s="1">
        <v>261.0</v>
      </c>
      <c r="T1914" s="1">
        <v>57.0</v>
      </c>
      <c r="U1914" s="1">
        <v>672.0</v>
      </c>
      <c r="V1914" s="1">
        <v>277.0</v>
      </c>
      <c r="W1914" s="1">
        <v>0.0</v>
      </c>
      <c r="X1914" s="1">
        <v>0.0</v>
      </c>
      <c r="Y1914" s="1">
        <v>1.85</v>
      </c>
      <c r="Z1914" s="1">
        <v>7.2</v>
      </c>
    </row>
    <row r="1915" ht="14.25" customHeight="1">
      <c r="A1915" s="1" t="s">
        <v>26</v>
      </c>
      <c r="B1915" s="1" t="s">
        <v>5567</v>
      </c>
      <c r="C1915" s="1" t="s">
        <v>9466</v>
      </c>
      <c r="D1915" s="1">
        <v>7434726.0</v>
      </c>
      <c r="E1915" s="1" t="s">
        <v>9467</v>
      </c>
      <c r="F1915" s="1" t="s">
        <v>1677</v>
      </c>
      <c r="G1915" s="1" t="s">
        <v>1652</v>
      </c>
      <c r="H1915" s="1" t="s">
        <v>5455</v>
      </c>
      <c r="I1915" s="1">
        <v>14473.0</v>
      </c>
      <c r="J1915" s="1" t="s">
        <v>9468</v>
      </c>
      <c r="K1915" s="1" t="s">
        <v>9469</v>
      </c>
      <c r="L1915" s="1">
        <v>81.0</v>
      </c>
      <c r="M1915" s="1" t="s">
        <v>35</v>
      </c>
      <c r="N1915" s="1" t="s">
        <v>36</v>
      </c>
      <c r="O1915" s="1" t="s">
        <v>628</v>
      </c>
      <c r="P1915" s="1">
        <v>2.3E7</v>
      </c>
      <c r="Q1915" s="1">
        <v>1991.0</v>
      </c>
      <c r="R1915" s="1">
        <v>1000.0</v>
      </c>
      <c r="S1915" s="1">
        <v>1000.0</v>
      </c>
      <c r="T1915" s="1">
        <v>982.0</v>
      </c>
      <c r="U1915" s="1">
        <v>3671.0</v>
      </c>
      <c r="V1915" s="1">
        <v>23.0</v>
      </c>
      <c r="W1915" s="1">
        <v>0.0</v>
      </c>
      <c r="X1915" s="1">
        <v>2.0</v>
      </c>
      <c r="Y1915" s="1">
        <v>1.85</v>
      </c>
      <c r="Z1915" s="1">
        <v>6.0</v>
      </c>
    </row>
    <row r="1916" ht="14.25" customHeight="1">
      <c r="A1916" s="1" t="s">
        <v>26</v>
      </c>
      <c r="B1916" s="1" t="s">
        <v>9470</v>
      </c>
      <c r="C1916" s="1" t="s">
        <v>9471</v>
      </c>
      <c r="D1916" s="1">
        <v>6109075.0</v>
      </c>
      <c r="E1916" s="1" t="s">
        <v>1474</v>
      </c>
      <c r="F1916" s="1" t="s">
        <v>1953</v>
      </c>
      <c r="G1916" s="1" t="s">
        <v>9472</v>
      </c>
      <c r="H1916" s="1" t="s">
        <v>9473</v>
      </c>
      <c r="I1916" s="1">
        <v>32003.0</v>
      </c>
      <c r="J1916" s="1" t="s">
        <v>9474</v>
      </c>
      <c r="K1916" s="1" t="s">
        <v>9475</v>
      </c>
      <c r="L1916" s="1">
        <v>65.0</v>
      </c>
      <c r="M1916" s="1" t="s">
        <v>2752</v>
      </c>
      <c r="N1916" s="1" t="s">
        <v>1832</v>
      </c>
      <c r="O1916" s="1" t="s">
        <v>37</v>
      </c>
      <c r="P1916" s="1">
        <v>1.943E7</v>
      </c>
      <c r="Q1916" s="1">
        <v>2009.0</v>
      </c>
      <c r="R1916" s="1">
        <v>527.0</v>
      </c>
      <c r="S1916" s="1">
        <v>86.0</v>
      </c>
      <c r="T1916" s="1">
        <v>64.0</v>
      </c>
      <c r="U1916" s="1">
        <v>735.0</v>
      </c>
      <c r="V1916" s="1">
        <v>105.0</v>
      </c>
      <c r="W1916" s="1">
        <v>0.0</v>
      </c>
      <c r="X1916" s="1">
        <v>1.0</v>
      </c>
      <c r="Y1916" s="1">
        <v>2.35</v>
      </c>
      <c r="Z1916" s="1">
        <v>6.7</v>
      </c>
    </row>
    <row r="1917" ht="14.25" customHeight="1">
      <c r="A1917" s="1" t="s">
        <v>26</v>
      </c>
      <c r="B1917" s="1" t="s">
        <v>5299</v>
      </c>
      <c r="C1917" s="1" t="s">
        <v>9476</v>
      </c>
      <c r="D1917" s="1">
        <v>2708188.0</v>
      </c>
      <c r="E1917" s="1" t="s">
        <v>1359</v>
      </c>
      <c r="F1917" s="1" t="s">
        <v>9477</v>
      </c>
      <c r="G1917" s="1" t="s">
        <v>9478</v>
      </c>
      <c r="H1917" s="1" t="s">
        <v>9479</v>
      </c>
      <c r="I1917" s="1">
        <v>8924.0</v>
      </c>
      <c r="J1917" s="1" t="s">
        <v>9480</v>
      </c>
      <c r="K1917" s="1" t="s">
        <v>9481</v>
      </c>
      <c r="L1917" s="1">
        <v>43.0</v>
      </c>
      <c r="M1917" s="1" t="s">
        <v>35</v>
      </c>
      <c r="N1917" s="1" t="s">
        <v>54</v>
      </c>
      <c r="O1917" s="1" t="s">
        <v>628</v>
      </c>
      <c r="P1917" s="1">
        <v>2.3E7</v>
      </c>
      <c r="Q1917" s="1">
        <v>2009.0</v>
      </c>
      <c r="R1917" s="1">
        <v>201.0</v>
      </c>
      <c r="S1917" s="1">
        <v>123.0</v>
      </c>
      <c r="T1917" s="1">
        <v>30.0</v>
      </c>
      <c r="U1917" s="1">
        <v>365.0</v>
      </c>
      <c r="V1917" s="1">
        <v>350.0</v>
      </c>
      <c r="W1917" s="1">
        <v>0.0</v>
      </c>
      <c r="X1917" s="1">
        <v>1.0</v>
      </c>
      <c r="Y1917" s="1">
        <v>2.35</v>
      </c>
      <c r="Z1917" s="1">
        <v>6.2</v>
      </c>
    </row>
    <row r="1918" ht="14.25" customHeight="1">
      <c r="A1918" s="1" t="s">
        <v>26</v>
      </c>
      <c r="B1918" s="1" t="s">
        <v>9482</v>
      </c>
      <c r="C1918" s="1" t="s">
        <v>9483</v>
      </c>
      <c r="D1918" s="1">
        <v>1.6123851E7</v>
      </c>
      <c r="E1918" s="1" t="s">
        <v>3238</v>
      </c>
      <c r="F1918" s="1" t="s">
        <v>9484</v>
      </c>
      <c r="G1918" s="1" t="s">
        <v>9485</v>
      </c>
      <c r="H1918" s="1" t="s">
        <v>9486</v>
      </c>
      <c r="I1918" s="1">
        <v>17373.0</v>
      </c>
      <c r="J1918" s="1" t="s">
        <v>9487</v>
      </c>
      <c r="K1918" s="1" t="s">
        <v>9488</v>
      </c>
      <c r="L1918" s="1">
        <v>148.0</v>
      </c>
      <c r="M1918" s="1" t="s">
        <v>35</v>
      </c>
      <c r="N1918" s="1" t="s">
        <v>36</v>
      </c>
      <c r="O1918" s="1" t="s">
        <v>37</v>
      </c>
      <c r="P1918" s="1">
        <v>2.3E7</v>
      </c>
      <c r="Q1918" s="1">
        <v>2004.0</v>
      </c>
      <c r="R1918" s="1">
        <v>805.0</v>
      </c>
      <c r="S1918" s="1">
        <v>539.0</v>
      </c>
      <c r="T1918" s="1">
        <v>73.0</v>
      </c>
      <c r="U1918" s="1">
        <v>1618.0</v>
      </c>
      <c r="V1918" s="1">
        <v>300.0</v>
      </c>
      <c r="W1918" s="1">
        <v>767.0</v>
      </c>
      <c r="X1918" s="1">
        <v>2.0</v>
      </c>
      <c r="Y1918" s="1">
        <v>2.35</v>
      </c>
      <c r="Z1918" s="1">
        <v>6.2</v>
      </c>
    </row>
    <row r="1919" ht="14.25" customHeight="1">
      <c r="A1919" s="1" t="s">
        <v>26</v>
      </c>
      <c r="B1919" s="1" t="s">
        <v>3345</v>
      </c>
      <c r="C1919" s="1">
        <v>1408.0</v>
      </c>
      <c r="D1919" s="1">
        <v>7.1975611E7</v>
      </c>
      <c r="E1919" s="1" t="s">
        <v>6959</v>
      </c>
      <c r="F1919" s="1" t="s">
        <v>9489</v>
      </c>
      <c r="G1919" s="1" t="s">
        <v>9490</v>
      </c>
      <c r="H1919" s="1" t="s">
        <v>9491</v>
      </c>
      <c r="I1919" s="1">
        <v>209396.0</v>
      </c>
      <c r="J1919" s="1" t="s">
        <v>9492</v>
      </c>
      <c r="K1919" s="1" t="s">
        <v>9493</v>
      </c>
      <c r="L1919" s="1">
        <v>580.0</v>
      </c>
      <c r="M1919" s="1" t="s">
        <v>35</v>
      </c>
      <c r="N1919" s="1" t="s">
        <v>36</v>
      </c>
      <c r="O1919" s="1" t="s">
        <v>37</v>
      </c>
      <c r="P1919" s="1">
        <v>2.5E7</v>
      </c>
      <c r="Q1919" s="1">
        <v>2007.0</v>
      </c>
      <c r="R1919" s="1">
        <v>129.0</v>
      </c>
      <c r="S1919" s="1">
        <v>25.0</v>
      </c>
      <c r="T1919" s="1">
        <v>23.0</v>
      </c>
      <c r="U1919" s="1">
        <v>214.0</v>
      </c>
      <c r="V1919" s="1">
        <v>101.0</v>
      </c>
      <c r="W1919" s="1">
        <v>11000.0</v>
      </c>
      <c r="X1919" s="1">
        <v>0.0</v>
      </c>
      <c r="Y1919" s="1">
        <v>2.35</v>
      </c>
      <c r="Z1919" s="1">
        <v>6.8</v>
      </c>
    </row>
    <row r="1920" ht="14.25" customHeight="1">
      <c r="A1920" s="1" t="s">
        <v>26</v>
      </c>
      <c r="B1920" s="1" t="s">
        <v>9494</v>
      </c>
      <c r="C1920" s="1" t="s">
        <v>9495</v>
      </c>
      <c r="D1920" s="1">
        <v>3.8119483E7</v>
      </c>
      <c r="E1920" s="1" t="s">
        <v>1792</v>
      </c>
      <c r="F1920" s="1" t="s">
        <v>9496</v>
      </c>
      <c r="G1920" s="1" t="s">
        <v>9497</v>
      </c>
      <c r="H1920" s="1" t="s">
        <v>9498</v>
      </c>
      <c r="I1920" s="1">
        <v>136667.0</v>
      </c>
      <c r="J1920" s="1" t="s">
        <v>9499</v>
      </c>
      <c r="K1920" s="1" t="s">
        <v>9500</v>
      </c>
      <c r="L1920" s="1">
        <v>273.0</v>
      </c>
      <c r="M1920" s="1" t="s">
        <v>35</v>
      </c>
      <c r="N1920" s="1" t="s">
        <v>36</v>
      </c>
      <c r="O1920" s="1" t="s">
        <v>87</v>
      </c>
      <c r="P1920" s="1">
        <v>2.27E7</v>
      </c>
      <c r="Q1920" s="1">
        <v>1987.0</v>
      </c>
      <c r="R1920" s="1">
        <v>1000.0</v>
      </c>
      <c r="S1920" s="1">
        <v>605.0</v>
      </c>
      <c r="T1920" s="1">
        <v>542.0</v>
      </c>
      <c r="U1920" s="1">
        <v>2936.0</v>
      </c>
      <c r="V1920" s="1">
        <v>0.0</v>
      </c>
      <c r="W1920" s="1">
        <v>13000.0</v>
      </c>
      <c r="X1920" s="1">
        <v>2.0</v>
      </c>
      <c r="Y1920" s="1">
        <v>1.85</v>
      </c>
      <c r="Z1920" s="1">
        <v>7.1</v>
      </c>
    </row>
    <row r="1921" ht="14.25" customHeight="1">
      <c r="A1921" s="1" t="s">
        <v>26</v>
      </c>
      <c r="B1921" s="1" t="s">
        <v>9501</v>
      </c>
      <c r="C1921" s="1" t="s">
        <v>9502</v>
      </c>
      <c r="D1921" s="1">
        <v>4190530.0</v>
      </c>
      <c r="E1921" s="1" t="s">
        <v>3225</v>
      </c>
      <c r="F1921" s="1" t="s">
        <v>9503</v>
      </c>
      <c r="G1921" s="1" t="s">
        <v>1720</v>
      </c>
      <c r="H1921" s="1" t="s">
        <v>799</v>
      </c>
      <c r="I1921" s="1">
        <v>53341.0</v>
      </c>
      <c r="J1921" s="1" t="s">
        <v>9504</v>
      </c>
      <c r="K1921" s="1" t="s">
        <v>9505</v>
      </c>
      <c r="L1921" s="1">
        <v>185.0</v>
      </c>
      <c r="M1921" s="1" t="s">
        <v>35</v>
      </c>
      <c r="N1921" s="1" t="s">
        <v>362</v>
      </c>
      <c r="O1921" s="1" t="s">
        <v>628</v>
      </c>
      <c r="P1921" s="1">
        <v>2.25E7</v>
      </c>
      <c r="Q1921" s="1">
        <v>2014.0</v>
      </c>
      <c r="R1921" s="1">
        <v>523.0</v>
      </c>
      <c r="S1921" s="1">
        <v>468.0</v>
      </c>
      <c r="T1921" s="1">
        <v>234.0</v>
      </c>
      <c r="U1921" s="1">
        <v>1795.0</v>
      </c>
      <c r="V1921" s="1">
        <v>0.0</v>
      </c>
      <c r="W1921" s="1">
        <v>18000.0</v>
      </c>
      <c r="X1921" s="1">
        <v>0.0</v>
      </c>
      <c r="Y1921" s="1">
        <v>2.35</v>
      </c>
      <c r="Z1921" s="1">
        <v>7.1</v>
      </c>
    </row>
    <row r="1922" ht="14.25" customHeight="1">
      <c r="A1922" s="1" t="s">
        <v>26</v>
      </c>
      <c r="B1922" s="1" t="s">
        <v>2969</v>
      </c>
      <c r="C1922" s="1" t="s">
        <v>9506</v>
      </c>
      <c r="D1922" s="1">
        <v>2.17631306E8</v>
      </c>
      <c r="E1922" s="1" t="s">
        <v>9507</v>
      </c>
      <c r="F1922" s="1" t="s">
        <v>1320</v>
      </c>
      <c r="G1922" s="1" t="s">
        <v>981</v>
      </c>
      <c r="H1922" s="1" t="s">
        <v>9508</v>
      </c>
      <c r="I1922" s="1">
        <v>154199.0</v>
      </c>
      <c r="J1922" s="1" t="s">
        <v>9509</v>
      </c>
      <c r="K1922" s="1" t="s">
        <v>9510</v>
      </c>
      <c r="L1922" s="1">
        <v>252.0</v>
      </c>
      <c r="M1922" s="1" t="s">
        <v>35</v>
      </c>
      <c r="N1922" s="1" t="s">
        <v>36</v>
      </c>
      <c r="O1922" s="1" t="s">
        <v>37</v>
      </c>
      <c r="P1922" s="1">
        <v>2.2E7</v>
      </c>
      <c r="Q1922" s="1">
        <v>1990.0</v>
      </c>
      <c r="R1922" s="1">
        <v>2000.0</v>
      </c>
      <c r="S1922" s="1">
        <v>956.0</v>
      </c>
      <c r="T1922" s="1">
        <v>71.0</v>
      </c>
      <c r="U1922" s="1">
        <v>3100.0</v>
      </c>
      <c r="V1922" s="1">
        <v>109.0</v>
      </c>
      <c r="W1922" s="1">
        <v>0.0</v>
      </c>
      <c r="X1922" s="1">
        <v>0.0</v>
      </c>
      <c r="Y1922" s="1">
        <v>1.85</v>
      </c>
      <c r="Z1922" s="1">
        <v>7.0</v>
      </c>
    </row>
    <row r="1923" ht="14.25" customHeight="1">
      <c r="A1923" s="1" t="s">
        <v>26</v>
      </c>
      <c r="B1923" s="1" t="s">
        <v>3322</v>
      </c>
      <c r="C1923" s="1" t="s">
        <v>9511</v>
      </c>
      <c r="D1923" s="1">
        <v>1.76483808E8</v>
      </c>
      <c r="E1923" s="1" t="s">
        <v>1598</v>
      </c>
      <c r="F1923" s="1" t="s">
        <v>598</v>
      </c>
      <c r="G1923" s="1" t="s">
        <v>6882</v>
      </c>
      <c r="H1923" s="1" t="s">
        <v>2696</v>
      </c>
      <c r="I1923" s="1">
        <v>247289.0</v>
      </c>
      <c r="J1923" s="1" t="s">
        <v>9512</v>
      </c>
      <c r="K1923" s="1" t="s">
        <v>9513</v>
      </c>
      <c r="L1923" s="1">
        <v>611.0</v>
      </c>
      <c r="M1923" s="1" t="s">
        <v>35</v>
      </c>
      <c r="N1923" s="1" t="s">
        <v>36</v>
      </c>
      <c r="O1923" s="1" t="s">
        <v>628</v>
      </c>
      <c r="P1923" s="1">
        <v>2.3E7</v>
      </c>
      <c r="Q1923" s="1">
        <v>1998.0</v>
      </c>
      <c r="R1923" s="1">
        <v>931.0</v>
      </c>
      <c r="S1923" s="1">
        <v>852.0</v>
      </c>
      <c r="T1923" s="1">
        <v>743.0</v>
      </c>
      <c r="U1923" s="1">
        <v>4664.0</v>
      </c>
      <c r="V1923" s="1">
        <v>101.0</v>
      </c>
      <c r="W1923" s="1">
        <v>0.0</v>
      </c>
      <c r="X1923" s="1">
        <v>1.0</v>
      </c>
      <c r="Y1923" s="1">
        <v>1.85</v>
      </c>
      <c r="Z1923" s="1">
        <v>7.1</v>
      </c>
    </row>
    <row r="1924" ht="14.25" customHeight="1">
      <c r="A1924" s="1" t="s">
        <v>26</v>
      </c>
      <c r="B1924" s="1" t="s">
        <v>3991</v>
      </c>
      <c r="C1924" s="1" t="s">
        <v>9514</v>
      </c>
      <c r="D1924" s="1">
        <v>1.44833357E8</v>
      </c>
      <c r="E1924" s="1" t="s">
        <v>4538</v>
      </c>
      <c r="F1924" s="1" t="s">
        <v>3468</v>
      </c>
      <c r="G1924" s="1" t="s">
        <v>3470</v>
      </c>
      <c r="H1924" s="1" t="s">
        <v>3118</v>
      </c>
      <c r="I1924" s="1">
        <v>64742.0</v>
      </c>
      <c r="J1924" s="1" t="s">
        <v>9515</v>
      </c>
      <c r="K1924" s="1" t="s">
        <v>9516</v>
      </c>
      <c r="L1924" s="1">
        <v>111.0</v>
      </c>
      <c r="M1924" s="1" t="s">
        <v>35</v>
      </c>
      <c r="N1924" s="1" t="s">
        <v>36</v>
      </c>
      <c r="O1924" s="1" t="s">
        <v>87</v>
      </c>
      <c r="P1924" s="1">
        <v>2.2E7</v>
      </c>
      <c r="Q1924" s="1">
        <v>1994.0</v>
      </c>
      <c r="R1924" s="1">
        <v>901.0</v>
      </c>
      <c r="S1924" s="1">
        <v>775.0</v>
      </c>
      <c r="T1924" s="1">
        <v>595.0</v>
      </c>
      <c r="U1924" s="1">
        <v>2790.0</v>
      </c>
      <c r="V1924" s="1">
        <v>11.0</v>
      </c>
      <c r="W1924" s="1">
        <v>0.0</v>
      </c>
      <c r="X1924" s="1">
        <v>0.0</v>
      </c>
      <c r="Y1924" s="1">
        <v>1.85</v>
      </c>
      <c r="Z1924" s="1">
        <v>6.4</v>
      </c>
    </row>
    <row r="1925" ht="14.25" customHeight="1">
      <c r="A1925" s="1" t="s">
        <v>26</v>
      </c>
      <c r="B1925" s="1" t="s">
        <v>1973</v>
      </c>
      <c r="C1925" s="1" t="s">
        <v>9517</v>
      </c>
      <c r="D1925" s="1">
        <v>7.5597042E7</v>
      </c>
      <c r="E1925" s="1" t="s">
        <v>7446</v>
      </c>
      <c r="F1925" s="1" t="s">
        <v>522</v>
      </c>
      <c r="G1925" s="1" t="s">
        <v>3524</v>
      </c>
      <c r="H1925" s="1" t="s">
        <v>9518</v>
      </c>
      <c r="I1925" s="1">
        <v>26434.0</v>
      </c>
      <c r="J1925" s="1" t="s">
        <v>9519</v>
      </c>
      <c r="K1925" s="1" t="s">
        <v>9520</v>
      </c>
      <c r="L1925" s="1">
        <v>174.0</v>
      </c>
      <c r="M1925" s="1" t="s">
        <v>35</v>
      </c>
      <c r="N1925" s="1" t="s">
        <v>36</v>
      </c>
      <c r="O1925" s="1" t="s">
        <v>269</v>
      </c>
      <c r="P1925" s="1">
        <v>2.0E7</v>
      </c>
      <c r="Q1925" s="1">
        <v>2002.0</v>
      </c>
      <c r="R1925" s="1">
        <v>2000.0</v>
      </c>
      <c r="S1925" s="1">
        <v>1000.0</v>
      </c>
      <c r="T1925" s="1">
        <v>1000.0</v>
      </c>
      <c r="U1925" s="1">
        <v>6657.0</v>
      </c>
      <c r="V1925" s="1">
        <v>102.0</v>
      </c>
      <c r="W1925" s="1">
        <v>0.0</v>
      </c>
      <c r="X1925" s="1">
        <v>0.0</v>
      </c>
      <c r="Y1925" s="1">
        <v>2.35</v>
      </c>
      <c r="Z1925" s="1">
        <v>7.0</v>
      </c>
    </row>
    <row r="1926" ht="14.25" customHeight="1">
      <c r="A1926" s="1" t="s">
        <v>26</v>
      </c>
      <c r="B1926" s="1" t="s">
        <v>4849</v>
      </c>
      <c r="C1926" s="1" t="s">
        <v>9521</v>
      </c>
      <c r="D1926" s="1">
        <v>9.0636983E7</v>
      </c>
      <c r="E1926" s="1" t="s">
        <v>7393</v>
      </c>
      <c r="F1926" s="1" t="s">
        <v>1036</v>
      </c>
      <c r="G1926" s="1" t="s">
        <v>7379</v>
      </c>
      <c r="H1926" s="1" t="s">
        <v>4570</v>
      </c>
      <c r="I1926" s="1">
        <v>44021.0</v>
      </c>
      <c r="J1926" s="1" t="s">
        <v>9522</v>
      </c>
      <c r="K1926" s="1" t="s">
        <v>9523</v>
      </c>
      <c r="L1926" s="1">
        <v>83.0</v>
      </c>
      <c r="M1926" s="1" t="s">
        <v>35</v>
      </c>
      <c r="N1926" s="1" t="s">
        <v>36</v>
      </c>
      <c r="O1926" s="1" t="s">
        <v>87</v>
      </c>
      <c r="P1926" s="1">
        <v>2.2E7</v>
      </c>
      <c r="Q1926" s="1">
        <v>2007.0</v>
      </c>
      <c r="R1926" s="1">
        <v>12000.0</v>
      </c>
      <c r="S1926" s="1">
        <v>941.0</v>
      </c>
      <c r="T1926" s="1">
        <v>835.0</v>
      </c>
      <c r="U1926" s="1">
        <v>15170.0</v>
      </c>
      <c r="V1926" s="1">
        <v>99.0</v>
      </c>
      <c r="W1926" s="1">
        <v>0.0</v>
      </c>
      <c r="X1926" s="1">
        <v>0.0</v>
      </c>
      <c r="Y1926" s="1">
        <v>2.35</v>
      </c>
      <c r="Z1926" s="1">
        <v>6.2</v>
      </c>
    </row>
    <row r="1927" ht="14.25" customHeight="1">
      <c r="A1927" s="1" t="s">
        <v>26</v>
      </c>
      <c r="B1927" s="1" t="s">
        <v>3503</v>
      </c>
      <c r="C1927" s="1" t="s">
        <v>9524</v>
      </c>
      <c r="D1927" s="1">
        <v>7.0960517E7</v>
      </c>
      <c r="E1927" s="1" t="s">
        <v>206</v>
      </c>
      <c r="F1927" s="1" t="s">
        <v>3503</v>
      </c>
      <c r="G1927" s="1" t="s">
        <v>2286</v>
      </c>
      <c r="H1927" s="1" t="s">
        <v>9525</v>
      </c>
      <c r="I1927" s="1">
        <v>54631.0</v>
      </c>
      <c r="J1927" s="1" t="s">
        <v>9526</v>
      </c>
      <c r="K1927" s="1" t="s">
        <v>9527</v>
      </c>
      <c r="L1927" s="1">
        <v>192.0</v>
      </c>
      <c r="M1927" s="1" t="s">
        <v>35</v>
      </c>
      <c r="N1927" s="1" t="s">
        <v>36</v>
      </c>
      <c r="O1927" s="1" t="s">
        <v>37</v>
      </c>
      <c r="P1927" s="1">
        <v>3.5E7</v>
      </c>
      <c r="Q1927" s="1">
        <v>1995.0</v>
      </c>
      <c r="R1927" s="1">
        <v>16000.0</v>
      </c>
      <c r="S1927" s="1">
        <v>11000.0</v>
      </c>
      <c r="T1927" s="1">
        <v>86.0</v>
      </c>
      <c r="U1927" s="1">
        <v>27237.0</v>
      </c>
      <c r="V1927" s="1">
        <v>16000.0</v>
      </c>
      <c r="W1927" s="1">
        <v>0.0</v>
      </c>
      <c r="X1927" s="1">
        <v>0.0</v>
      </c>
      <c r="Y1927" s="1">
        <v>1.85</v>
      </c>
      <c r="Z1927" s="1">
        <v>7.5</v>
      </c>
    </row>
    <row r="1928" ht="14.25" customHeight="1">
      <c r="A1928" s="1" t="s">
        <v>26</v>
      </c>
      <c r="B1928" s="1" t="s">
        <v>6982</v>
      </c>
      <c r="C1928" s="1" t="s">
        <v>9528</v>
      </c>
      <c r="D1928" s="1">
        <v>5.5762229E7</v>
      </c>
      <c r="E1928" s="1" t="s">
        <v>5181</v>
      </c>
      <c r="F1928" s="1" t="s">
        <v>4172</v>
      </c>
      <c r="G1928" s="1" t="s">
        <v>9529</v>
      </c>
      <c r="H1928" s="1" t="s">
        <v>9530</v>
      </c>
      <c r="I1928" s="1">
        <v>47383.0</v>
      </c>
      <c r="J1928" s="1" t="s">
        <v>9531</v>
      </c>
      <c r="K1928" s="1" t="s">
        <v>9532</v>
      </c>
      <c r="L1928" s="1">
        <v>132.0</v>
      </c>
      <c r="M1928" s="1" t="s">
        <v>35</v>
      </c>
      <c r="N1928" s="1" t="s">
        <v>36</v>
      </c>
      <c r="O1928" s="1" t="s">
        <v>37</v>
      </c>
      <c r="P1928" s="1">
        <v>2.2E7</v>
      </c>
      <c r="Q1928" s="1">
        <v>2001.0</v>
      </c>
      <c r="R1928" s="1">
        <v>436.0</v>
      </c>
      <c r="S1928" s="1">
        <v>241.0</v>
      </c>
      <c r="T1928" s="1">
        <v>182.0</v>
      </c>
      <c r="U1928" s="1">
        <v>1203.0</v>
      </c>
      <c r="V1928" s="1">
        <v>42.0</v>
      </c>
      <c r="W1928" s="1">
        <v>1000.0</v>
      </c>
      <c r="X1928" s="1">
        <v>1.0</v>
      </c>
      <c r="Y1928" s="1">
        <v>1.85</v>
      </c>
      <c r="Z1928" s="1">
        <v>4.8</v>
      </c>
    </row>
    <row r="1929" ht="14.25" customHeight="1">
      <c r="A1929" s="1" t="s">
        <v>26</v>
      </c>
      <c r="B1929" s="1" t="s">
        <v>7160</v>
      </c>
      <c r="C1929" s="1" t="s">
        <v>9533</v>
      </c>
      <c r="D1929" s="1">
        <v>5.4235441E7</v>
      </c>
      <c r="E1929" s="1" t="s">
        <v>2422</v>
      </c>
      <c r="F1929" s="1" t="s">
        <v>9534</v>
      </c>
      <c r="G1929" s="1" t="s">
        <v>9535</v>
      </c>
      <c r="H1929" s="1" t="s">
        <v>9536</v>
      </c>
      <c r="I1929" s="1">
        <v>52894.0</v>
      </c>
      <c r="J1929" s="1" t="s">
        <v>9537</v>
      </c>
      <c r="K1929" s="1" t="s">
        <v>9538</v>
      </c>
      <c r="L1929" s="1">
        <v>185.0</v>
      </c>
      <c r="M1929" s="1" t="s">
        <v>35</v>
      </c>
      <c r="N1929" s="1" t="s">
        <v>36</v>
      </c>
      <c r="O1929" s="1" t="s">
        <v>87</v>
      </c>
      <c r="P1929" s="1">
        <v>2.2E7</v>
      </c>
      <c r="Q1929" s="1">
        <v>2014.0</v>
      </c>
      <c r="R1929" s="1">
        <v>820.0</v>
      </c>
      <c r="S1929" s="1">
        <v>201.0</v>
      </c>
      <c r="T1929" s="1">
        <v>171.0</v>
      </c>
      <c r="U1929" s="1">
        <v>1484.0</v>
      </c>
      <c r="V1929" s="1">
        <v>529.0</v>
      </c>
      <c r="W1929" s="1">
        <v>55000.0</v>
      </c>
      <c r="X1929" s="1">
        <v>3.0</v>
      </c>
      <c r="Y1929" s="1">
        <v>2.35</v>
      </c>
      <c r="Z1929" s="1">
        <v>7.3</v>
      </c>
    </row>
    <row r="1930" ht="14.25" customHeight="1">
      <c r="A1930" s="1" t="s">
        <v>26</v>
      </c>
      <c r="B1930" s="1" t="s">
        <v>6307</v>
      </c>
      <c r="C1930" s="1" t="s">
        <v>9539</v>
      </c>
      <c r="D1930" s="1">
        <v>5.0728E7</v>
      </c>
      <c r="E1930" s="1" t="s">
        <v>2281</v>
      </c>
      <c r="F1930" s="1" t="s">
        <v>7447</v>
      </c>
      <c r="G1930" s="1" t="s">
        <v>2806</v>
      </c>
      <c r="H1930" s="1" t="s">
        <v>9540</v>
      </c>
      <c r="I1930" s="1">
        <v>48909.0</v>
      </c>
      <c r="J1930" s="1" t="s">
        <v>9541</v>
      </c>
      <c r="K1930" s="1" t="s">
        <v>9542</v>
      </c>
      <c r="L1930" s="1">
        <v>166.0</v>
      </c>
      <c r="M1930" s="1" t="s">
        <v>35</v>
      </c>
      <c r="N1930" s="1" t="s">
        <v>36</v>
      </c>
      <c r="O1930" s="1" t="s">
        <v>37</v>
      </c>
      <c r="P1930" s="1">
        <v>2.2E7</v>
      </c>
      <c r="Q1930" s="1">
        <v>1995.0</v>
      </c>
      <c r="R1930" s="1">
        <v>649.0</v>
      </c>
      <c r="S1930" s="1">
        <v>327.0</v>
      </c>
      <c r="T1930" s="1">
        <v>287.0</v>
      </c>
      <c r="U1930" s="1">
        <v>1725.0</v>
      </c>
      <c r="V1930" s="1">
        <v>34.0</v>
      </c>
      <c r="W1930" s="1">
        <v>0.0</v>
      </c>
      <c r="X1930" s="1">
        <v>0.0</v>
      </c>
      <c r="Y1930" s="1">
        <v>1.85</v>
      </c>
      <c r="Z1930" s="1">
        <v>5.8</v>
      </c>
    </row>
    <row r="1931" ht="14.25" customHeight="1">
      <c r="A1931" s="1" t="s">
        <v>26</v>
      </c>
      <c r="B1931" s="1" t="s">
        <v>9543</v>
      </c>
      <c r="C1931" s="1" t="s">
        <v>9544</v>
      </c>
      <c r="D1931" s="1">
        <v>4.0270895E7</v>
      </c>
      <c r="E1931" s="1" t="s">
        <v>3238</v>
      </c>
      <c r="F1931" s="1" t="s">
        <v>3984</v>
      </c>
      <c r="G1931" s="1" t="s">
        <v>2924</v>
      </c>
      <c r="H1931" s="1" t="s">
        <v>2838</v>
      </c>
      <c r="I1931" s="1">
        <v>121937.0</v>
      </c>
      <c r="J1931" s="1" t="s">
        <v>9545</v>
      </c>
      <c r="K1931" s="1" t="s">
        <v>9546</v>
      </c>
      <c r="L1931" s="1">
        <v>431.0</v>
      </c>
      <c r="M1931" s="1" t="s">
        <v>35</v>
      </c>
      <c r="N1931" s="1" t="s">
        <v>36</v>
      </c>
      <c r="O1931" s="1" t="s">
        <v>37</v>
      </c>
      <c r="P1931" s="1">
        <v>2.2E7</v>
      </c>
      <c r="Q1931" s="1">
        <v>2001.0</v>
      </c>
      <c r="R1931" s="1">
        <v>967.0</v>
      </c>
      <c r="S1931" s="1">
        <v>912.0</v>
      </c>
      <c r="T1931" s="1">
        <v>506.0</v>
      </c>
      <c r="U1931" s="1">
        <v>3152.0</v>
      </c>
      <c r="V1931" s="1">
        <v>24.0</v>
      </c>
      <c r="W1931" s="1">
        <v>15000.0</v>
      </c>
      <c r="X1931" s="1">
        <v>0.0</v>
      </c>
      <c r="Y1931" s="1">
        <v>1.85</v>
      </c>
      <c r="Z1931" s="1">
        <v>7.6</v>
      </c>
    </row>
    <row r="1932" ht="14.25" customHeight="1">
      <c r="A1932" s="1" t="s">
        <v>26</v>
      </c>
      <c r="B1932" s="1" t="s">
        <v>9547</v>
      </c>
      <c r="C1932" s="1" t="s">
        <v>9548</v>
      </c>
      <c r="D1932" s="1">
        <v>5.9696176E7</v>
      </c>
      <c r="E1932" s="1" t="s">
        <v>5578</v>
      </c>
      <c r="F1932" s="1" t="s">
        <v>9549</v>
      </c>
      <c r="G1932" s="1" t="s">
        <v>4699</v>
      </c>
      <c r="H1932" s="1" t="s">
        <v>9550</v>
      </c>
      <c r="I1932" s="1">
        <v>15448.0</v>
      </c>
      <c r="J1932" s="1" t="s">
        <v>9551</v>
      </c>
      <c r="K1932" s="1" t="s">
        <v>9552</v>
      </c>
      <c r="L1932" s="1">
        <v>174.0</v>
      </c>
      <c r="M1932" s="1" t="s">
        <v>35</v>
      </c>
      <c r="N1932" s="1" t="s">
        <v>36</v>
      </c>
      <c r="O1932" s="1" t="s">
        <v>37</v>
      </c>
      <c r="P1932" s="1">
        <v>2.2E7</v>
      </c>
      <c r="Q1932" s="1">
        <v>2014.0</v>
      </c>
      <c r="R1932" s="1">
        <v>329.0</v>
      </c>
      <c r="S1932" s="1">
        <v>134.0</v>
      </c>
      <c r="T1932" s="1">
        <v>55.0</v>
      </c>
      <c r="U1932" s="1">
        <v>775.0</v>
      </c>
      <c r="V1932" s="1">
        <v>25.0</v>
      </c>
      <c r="W1932" s="1">
        <v>15000.0</v>
      </c>
      <c r="X1932" s="1">
        <v>1.0</v>
      </c>
      <c r="Y1932" s="1">
        <v>2.35</v>
      </c>
      <c r="Z1932" s="1">
        <v>5.6</v>
      </c>
    </row>
    <row r="1933" ht="14.25" customHeight="1">
      <c r="A1933" s="1" t="s">
        <v>26</v>
      </c>
      <c r="B1933" s="1" t="s">
        <v>1539</v>
      </c>
      <c r="C1933" s="1" t="s">
        <v>9553</v>
      </c>
      <c r="D1933" s="1">
        <v>5.1483949E7</v>
      </c>
      <c r="E1933" s="1" t="s">
        <v>1308</v>
      </c>
      <c r="F1933" s="1" t="s">
        <v>279</v>
      </c>
      <c r="G1933" s="1" t="s">
        <v>3614</v>
      </c>
      <c r="H1933" s="1" t="s">
        <v>9554</v>
      </c>
      <c r="I1933" s="1">
        <v>208092.0</v>
      </c>
      <c r="J1933" s="1" t="s">
        <v>9555</v>
      </c>
      <c r="K1933" s="1" t="s">
        <v>9556</v>
      </c>
      <c r="L1933" s="1">
        <v>806.0</v>
      </c>
      <c r="M1933" s="1" t="s">
        <v>35</v>
      </c>
      <c r="N1933" s="1" t="s">
        <v>54</v>
      </c>
      <c r="O1933" s="1" t="s">
        <v>628</v>
      </c>
      <c r="P1933" s="1">
        <v>2.2E7</v>
      </c>
      <c r="Q1933" s="1">
        <v>2003.0</v>
      </c>
      <c r="R1933" s="1">
        <v>955.0</v>
      </c>
      <c r="S1933" s="1">
        <v>593.0</v>
      </c>
      <c r="T1933" s="1">
        <v>105.0</v>
      </c>
      <c r="U1933" s="1">
        <v>1777.0</v>
      </c>
      <c r="V1933" s="1">
        <v>235.0</v>
      </c>
      <c r="W1933" s="1">
        <v>0.0</v>
      </c>
      <c r="X1933" s="1">
        <v>0.0</v>
      </c>
      <c r="Y1933" s="1">
        <v>2.35</v>
      </c>
      <c r="Z1933" s="1">
        <v>7.0</v>
      </c>
    </row>
    <row r="1934" ht="14.25" customHeight="1">
      <c r="A1934" s="1" t="s">
        <v>26</v>
      </c>
      <c r="B1934" s="1" t="s">
        <v>3345</v>
      </c>
      <c r="C1934" s="1" t="s">
        <v>9557</v>
      </c>
      <c r="D1934" s="1">
        <v>3.6020063E7</v>
      </c>
      <c r="E1934" s="1" t="s">
        <v>3868</v>
      </c>
      <c r="F1934" s="1" t="s">
        <v>4019</v>
      </c>
      <c r="G1934" s="1" t="s">
        <v>1646</v>
      </c>
      <c r="H1934" s="1" t="s">
        <v>4088</v>
      </c>
      <c r="I1934" s="1">
        <v>62584.0</v>
      </c>
      <c r="J1934" s="1" t="s">
        <v>9558</v>
      </c>
      <c r="K1934" s="1" t="s">
        <v>9559</v>
      </c>
      <c r="L1934" s="1">
        <v>375.0</v>
      </c>
      <c r="M1934" s="1" t="s">
        <v>35</v>
      </c>
      <c r="N1934" s="1" t="s">
        <v>36</v>
      </c>
      <c r="O1934" s="1" t="s">
        <v>628</v>
      </c>
      <c r="P1934" s="1">
        <v>2.2E7</v>
      </c>
      <c r="Q1934" s="1">
        <v>2005.0</v>
      </c>
      <c r="R1934" s="1">
        <v>896.0</v>
      </c>
      <c r="S1934" s="1">
        <v>561.0</v>
      </c>
      <c r="T1934" s="1">
        <v>218.0</v>
      </c>
      <c r="U1934" s="1">
        <v>2019.0</v>
      </c>
      <c r="V1934" s="1">
        <v>101.0</v>
      </c>
      <c r="W1934" s="1">
        <v>0.0</v>
      </c>
      <c r="X1934" s="1">
        <v>2.0</v>
      </c>
      <c r="Y1934" s="1">
        <v>2.35</v>
      </c>
      <c r="Z1934" s="1">
        <v>6.6</v>
      </c>
    </row>
    <row r="1935" ht="14.25" customHeight="1">
      <c r="A1935" s="1" t="s">
        <v>26</v>
      </c>
      <c r="B1935" s="1" t="s">
        <v>1456</v>
      </c>
      <c r="C1935" s="1" t="s">
        <v>9560</v>
      </c>
      <c r="D1935" s="1">
        <v>3.3313582E7</v>
      </c>
      <c r="E1935" s="1" t="s">
        <v>5022</v>
      </c>
      <c r="F1935" s="1" t="s">
        <v>1113</v>
      </c>
      <c r="G1935" s="1" t="s">
        <v>5477</v>
      </c>
      <c r="H1935" s="1" t="s">
        <v>5870</v>
      </c>
      <c r="I1935" s="1">
        <v>52888.0</v>
      </c>
      <c r="J1935" s="1" t="s">
        <v>9561</v>
      </c>
      <c r="K1935" s="1" t="s">
        <v>9562</v>
      </c>
      <c r="L1935" s="1">
        <v>175.0</v>
      </c>
      <c r="M1935" s="1" t="s">
        <v>35</v>
      </c>
      <c r="N1935" s="1" t="s">
        <v>36</v>
      </c>
      <c r="O1935" s="1" t="s">
        <v>628</v>
      </c>
      <c r="P1935" s="1">
        <v>2.1E7</v>
      </c>
      <c r="Q1935" s="1">
        <v>2009.0</v>
      </c>
      <c r="R1935" s="1">
        <v>13000.0</v>
      </c>
      <c r="S1935" s="1">
        <v>734.0</v>
      </c>
      <c r="T1935" s="1">
        <v>690.0</v>
      </c>
      <c r="U1935" s="1">
        <v>16031.0</v>
      </c>
      <c r="V1935" s="1">
        <v>0.0</v>
      </c>
      <c r="W1935" s="1">
        <v>0.0</v>
      </c>
      <c r="X1935" s="1">
        <v>1.0</v>
      </c>
      <c r="Y1935" s="1">
        <v>1.85</v>
      </c>
      <c r="Z1935" s="1">
        <v>6.5</v>
      </c>
    </row>
    <row r="1936" ht="14.25" customHeight="1">
      <c r="A1936" s="1" t="s">
        <v>26</v>
      </c>
      <c r="B1936" s="1" t="s">
        <v>8182</v>
      </c>
      <c r="C1936" s="1" t="s">
        <v>9563</v>
      </c>
      <c r="D1936" s="1">
        <v>2.5842E7</v>
      </c>
      <c r="E1936" s="1" t="s">
        <v>5942</v>
      </c>
      <c r="F1936" s="1" t="s">
        <v>726</v>
      </c>
      <c r="G1936" s="1" t="s">
        <v>295</v>
      </c>
      <c r="H1936" s="1" t="s">
        <v>9564</v>
      </c>
      <c r="I1936" s="1">
        <v>13455.0</v>
      </c>
      <c r="J1936" s="1" t="s">
        <v>9565</v>
      </c>
      <c r="K1936" s="1" t="s">
        <v>9566</v>
      </c>
      <c r="L1936" s="1">
        <v>87.0</v>
      </c>
      <c r="M1936" s="1" t="s">
        <v>35</v>
      </c>
      <c r="N1936" s="1" t="s">
        <v>54</v>
      </c>
      <c r="O1936" s="1" t="s">
        <v>87</v>
      </c>
      <c r="P1936" s="1">
        <v>2.2E7</v>
      </c>
      <c r="Q1936" s="1">
        <v>1993.0</v>
      </c>
      <c r="R1936" s="1">
        <v>12000.0</v>
      </c>
      <c r="S1936" s="1">
        <v>1000.0</v>
      </c>
      <c r="T1936" s="1">
        <v>266.0</v>
      </c>
      <c r="U1936" s="1">
        <v>13619.0</v>
      </c>
      <c r="V1936" s="1">
        <v>0.0</v>
      </c>
      <c r="W1936" s="1">
        <v>2000.0</v>
      </c>
      <c r="X1936" s="1">
        <v>0.0</v>
      </c>
      <c r="Y1936" s="1">
        <v>2.35</v>
      </c>
      <c r="Z1936" s="1">
        <v>7.4</v>
      </c>
    </row>
    <row r="1937" ht="14.25" customHeight="1">
      <c r="A1937" s="1" t="s">
        <v>26</v>
      </c>
      <c r="B1937" s="1" t="s">
        <v>9567</v>
      </c>
      <c r="C1937" s="1" t="s">
        <v>9568</v>
      </c>
      <c r="D1937" s="1">
        <v>2.2264487E7</v>
      </c>
      <c r="E1937" s="1" t="s">
        <v>1885</v>
      </c>
      <c r="F1937" s="1" t="s">
        <v>4437</v>
      </c>
      <c r="G1937" s="1" t="s">
        <v>8871</v>
      </c>
      <c r="H1937" s="1" t="s">
        <v>9569</v>
      </c>
      <c r="I1937" s="1">
        <v>41239.0</v>
      </c>
      <c r="J1937" s="1" t="s">
        <v>9570</v>
      </c>
      <c r="K1937" s="1" t="s">
        <v>9571</v>
      </c>
      <c r="L1937" s="1">
        <v>166.0</v>
      </c>
      <c r="M1937" s="1" t="s">
        <v>35</v>
      </c>
      <c r="N1937" s="1" t="s">
        <v>36</v>
      </c>
      <c r="O1937" s="1" t="s">
        <v>628</v>
      </c>
      <c r="P1937" s="1">
        <v>2.2E7</v>
      </c>
      <c r="Q1937" s="1">
        <v>2005.0</v>
      </c>
      <c r="R1937" s="1">
        <v>591.0</v>
      </c>
      <c r="S1937" s="1">
        <v>489.0</v>
      </c>
      <c r="T1937" s="1">
        <v>137.0</v>
      </c>
      <c r="U1937" s="1">
        <v>1729.0</v>
      </c>
      <c r="V1937" s="1">
        <v>2.0</v>
      </c>
      <c r="W1937" s="1">
        <v>887.0</v>
      </c>
      <c r="X1937" s="1">
        <v>0.0</v>
      </c>
      <c r="Y1937" s="1">
        <v>1.85</v>
      </c>
      <c r="Z1937" s="1">
        <v>4.6</v>
      </c>
    </row>
    <row r="1938" ht="14.25" customHeight="1">
      <c r="A1938" s="1" t="s">
        <v>26</v>
      </c>
      <c r="B1938" s="1" t="s">
        <v>7250</v>
      </c>
      <c r="C1938" s="1" t="s">
        <v>9572</v>
      </c>
      <c r="D1938" s="1">
        <v>3.0659817E7</v>
      </c>
      <c r="E1938" s="1" t="s">
        <v>2422</v>
      </c>
      <c r="F1938" s="1" t="s">
        <v>9573</v>
      </c>
      <c r="G1938" s="1" t="s">
        <v>9574</v>
      </c>
      <c r="H1938" s="1" t="s">
        <v>9575</v>
      </c>
      <c r="I1938" s="1">
        <v>59805.0</v>
      </c>
      <c r="J1938" s="1" t="s">
        <v>9576</v>
      </c>
      <c r="K1938" s="1" t="s">
        <v>9577</v>
      </c>
      <c r="L1938" s="1">
        <v>95.0</v>
      </c>
      <c r="M1938" s="1" t="s">
        <v>35</v>
      </c>
      <c r="N1938" s="1" t="s">
        <v>36</v>
      </c>
      <c r="O1938" s="1" t="s">
        <v>37</v>
      </c>
      <c r="P1938" s="1">
        <v>2.6E7</v>
      </c>
      <c r="Q1938" s="1">
        <v>2013.0</v>
      </c>
      <c r="R1938" s="1">
        <v>390.0</v>
      </c>
      <c r="S1938" s="1">
        <v>311.0</v>
      </c>
      <c r="T1938" s="1">
        <v>110.0</v>
      </c>
      <c r="U1938" s="1">
        <v>1006.0</v>
      </c>
      <c r="V1938" s="1">
        <v>31.0</v>
      </c>
      <c r="W1938" s="1">
        <v>0.0</v>
      </c>
      <c r="X1938" s="1">
        <v>10.0</v>
      </c>
      <c r="Y1938" s="1">
        <v>2.35</v>
      </c>
      <c r="Z1938" s="1">
        <v>6.4</v>
      </c>
    </row>
    <row r="1939" ht="14.25" customHeight="1">
      <c r="A1939" s="1" t="s">
        <v>26</v>
      </c>
      <c r="B1939" s="1" t="s">
        <v>5671</v>
      </c>
      <c r="C1939" s="1" t="s">
        <v>5672</v>
      </c>
      <c r="D1939" s="1">
        <v>5773519.0</v>
      </c>
      <c r="E1939" s="1" t="s">
        <v>3448</v>
      </c>
      <c r="F1939" s="1" t="s">
        <v>99</v>
      </c>
      <c r="G1939" s="1" t="s">
        <v>4287</v>
      </c>
      <c r="H1939" s="1" t="s">
        <v>5673</v>
      </c>
      <c r="I1939" s="1">
        <v>28621.0</v>
      </c>
      <c r="J1939" s="1" t="s">
        <v>5674</v>
      </c>
      <c r="K1939" s="1" t="s">
        <v>5675</v>
      </c>
      <c r="L1939" s="1">
        <v>91.0</v>
      </c>
      <c r="M1939" s="1" t="s">
        <v>35</v>
      </c>
      <c r="N1939" s="1" t="s">
        <v>36</v>
      </c>
      <c r="O1939" s="1" t="s">
        <v>37</v>
      </c>
      <c r="P1939" s="1">
        <v>4.0E7</v>
      </c>
      <c r="Q1939" s="1">
        <v>2015.0</v>
      </c>
      <c r="R1939" s="1">
        <v>11000.0</v>
      </c>
      <c r="S1939" s="1">
        <v>1000.0</v>
      </c>
      <c r="T1939" s="1">
        <v>287.0</v>
      </c>
      <c r="U1939" s="1">
        <v>12876.0</v>
      </c>
      <c r="V1939" s="1">
        <v>118.0</v>
      </c>
      <c r="W1939" s="1">
        <v>11000.0</v>
      </c>
      <c r="X1939" s="1">
        <v>2.0</v>
      </c>
      <c r="Y1939" s="1">
        <v>2.35</v>
      </c>
      <c r="Z1939" s="1">
        <v>6.0</v>
      </c>
    </row>
    <row r="1940" ht="14.25" customHeight="1">
      <c r="A1940" s="1" t="s">
        <v>26</v>
      </c>
      <c r="B1940" s="1" t="s">
        <v>2093</v>
      </c>
      <c r="C1940" s="1" t="s">
        <v>9578</v>
      </c>
      <c r="D1940" s="1">
        <v>1.9351569E7</v>
      </c>
      <c r="E1940" s="1" t="s">
        <v>4045</v>
      </c>
      <c r="F1940" s="1" t="s">
        <v>4588</v>
      </c>
      <c r="G1940" s="1" t="s">
        <v>9579</v>
      </c>
      <c r="H1940" s="1" t="s">
        <v>9580</v>
      </c>
      <c r="I1940" s="1">
        <v>33287.0</v>
      </c>
      <c r="J1940" s="1" t="s">
        <v>9581</v>
      </c>
      <c r="K1940" s="1" t="s">
        <v>9582</v>
      </c>
      <c r="L1940" s="1">
        <v>201.0</v>
      </c>
      <c r="M1940" s="1" t="s">
        <v>35</v>
      </c>
      <c r="N1940" s="1" t="s">
        <v>36</v>
      </c>
      <c r="O1940" s="1" t="s">
        <v>37</v>
      </c>
      <c r="P1940" s="1">
        <v>2.2E7</v>
      </c>
      <c r="Q1940" s="1">
        <v>2001.0</v>
      </c>
      <c r="R1940" s="1">
        <v>240.0</v>
      </c>
      <c r="S1940" s="1">
        <v>226.0</v>
      </c>
      <c r="T1940" s="1">
        <v>110.0</v>
      </c>
      <c r="U1940" s="1">
        <v>664.0</v>
      </c>
      <c r="V1940" s="1">
        <v>221.0</v>
      </c>
      <c r="W1940" s="1">
        <v>739.0</v>
      </c>
      <c r="X1940" s="1">
        <v>1.0</v>
      </c>
      <c r="Y1940" s="1">
        <v>1.85</v>
      </c>
      <c r="Z1940" s="1">
        <v>5.9</v>
      </c>
    </row>
    <row r="1941" ht="14.25" customHeight="1">
      <c r="A1941" s="1" t="s">
        <v>26</v>
      </c>
      <c r="B1941" s="1" t="s">
        <v>898</v>
      </c>
      <c r="C1941" s="1" t="s">
        <v>9583</v>
      </c>
      <c r="D1941" s="1">
        <v>4.9002815E7</v>
      </c>
      <c r="E1941" s="1" t="s">
        <v>2904</v>
      </c>
      <c r="F1941" s="1" t="s">
        <v>9584</v>
      </c>
      <c r="G1941" s="1" t="s">
        <v>2112</v>
      </c>
      <c r="H1941" s="1" t="s">
        <v>913</v>
      </c>
      <c r="I1941" s="1">
        <v>15665.0</v>
      </c>
      <c r="J1941" s="1" t="s">
        <v>9585</v>
      </c>
      <c r="K1941" s="1" t="s">
        <v>9586</v>
      </c>
      <c r="L1941" s="1">
        <v>35.0</v>
      </c>
      <c r="M1941" s="1" t="s">
        <v>35</v>
      </c>
      <c r="N1941" s="1" t="s">
        <v>36</v>
      </c>
      <c r="O1941" s="1" t="s">
        <v>87</v>
      </c>
      <c r="P1941" s="1">
        <v>2.2E7</v>
      </c>
      <c r="Q1941" s="1">
        <v>2012.0</v>
      </c>
      <c r="R1941" s="1">
        <v>975.0</v>
      </c>
      <c r="S1941" s="1">
        <v>569.0</v>
      </c>
      <c r="T1941" s="1">
        <v>517.0</v>
      </c>
      <c r="U1941" s="1">
        <v>3153.0</v>
      </c>
      <c r="V1941" s="1">
        <v>42.0</v>
      </c>
      <c r="W1941" s="1">
        <v>0.0</v>
      </c>
      <c r="X1941" s="1">
        <v>2.0</v>
      </c>
      <c r="Y1941" s="1">
        <v>2.35</v>
      </c>
      <c r="Z1941" s="1">
        <v>6.4</v>
      </c>
    </row>
    <row r="1942" ht="14.25" customHeight="1">
      <c r="A1942" s="1" t="s">
        <v>26</v>
      </c>
      <c r="B1942" s="1" t="s">
        <v>4801</v>
      </c>
      <c r="C1942" s="1" t="s">
        <v>9587</v>
      </c>
      <c r="D1942" s="1">
        <v>1.9283782E7</v>
      </c>
      <c r="E1942" s="1" t="s">
        <v>4987</v>
      </c>
      <c r="F1942" s="1" t="s">
        <v>6309</v>
      </c>
      <c r="G1942" s="1" t="s">
        <v>4878</v>
      </c>
      <c r="H1942" s="1" t="s">
        <v>3031</v>
      </c>
      <c r="I1942" s="1">
        <v>31227.0</v>
      </c>
      <c r="J1942" s="1" t="s">
        <v>9588</v>
      </c>
      <c r="K1942" s="1" t="s">
        <v>9589</v>
      </c>
      <c r="L1942" s="1">
        <v>354.0</v>
      </c>
      <c r="M1942" s="1" t="s">
        <v>35</v>
      </c>
      <c r="N1942" s="1" t="s">
        <v>36</v>
      </c>
      <c r="O1942" s="1" t="s">
        <v>628</v>
      </c>
      <c r="P1942" s="1">
        <v>2.2E7</v>
      </c>
      <c r="Q1942" s="1">
        <v>1999.0</v>
      </c>
      <c r="R1942" s="1">
        <v>978.0</v>
      </c>
      <c r="S1942" s="1">
        <v>911.0</v>
      </c>
      <c r="T1942" s="1">
        <v>854.0</v>
      </c>
      <c r="U1942" s="1">
        <v>5386.0</v>
      </c>
      <c r="V1942" s="1">
        <v>0.0</v>
      </c>
      <c r="W1942" s="1">
        <v>0.0</v>
      </c>
      <c r="X1942" s="1">
        <v>0.0</v>
      </c>
      <c r="Y1942" s="1">
        <v>1.85</v>
      </c>
      <c r="Z1942" s="1">
        <v>6.6</v>
      </c>
    </row>
    <row r="1943" ht="14.25" customHeight="1">
      <c r="A1943" s="1" t="s">
        <v>26</v>
      </c>
      <c r="B1943" s="1" t="s">
        <v>6697</v>
      </c>
      <c r="C1943" s="1" t="s">
        <v>9590</v>
      </c>
      <c r="D1943" s="1">
        <v>3.0059386E7</v>
      </c>
      <c r="E1943" s="1" t="s">
        <v>1885</v>
      </c>
      <c r="F1943" s="1" t="s">
        <v>1197</v>
      </c>
      <c r="G1943" s="1" t="s">
        <v>7115</v>
      </c>
      <c r="H1943" s="1" t="s">
        <v>9591</v>
      </c>
      <c r="I1943" s="1">
        <v>128593.0</v>
      </c>
      <c r="J1943" s="1" t="s">
        <v>9592</v>
      </c>
      <c r="K1943" s="1" t="s">
        <v>9593</v>
      </c>
      <c r="L1943" s="1">
        <v>867.0</v>
      </c>
      <c r="M1943" s="1" t="s">
        <v>35</v>
      </c>
      <c r="N1943" s="1" t="s">
        <v>36</v>
      </c>
      <c r="O1943" s="1" t="s">
        <v>628</v>
      </c>
      <c r="P1943" s="1">
        <v>2.2E7</v>
      </c>
      <c r="Q1943" s="1">
        <v>2001.0</v>
      </c>
      <c r="R1943" s="1">
        <v>8000.0</v>
      </c>
      <c r="S1943" s="1">
        <v>1000.0</v>
      </c>
      <c r="T1943" s="1">
        <v>898.0</v>
      </c>
      <c r="U1943" s="1">
        <v>11632.0</v>
      </c>
      <c r="V1943" s="1">
        <v>0.0</v>
      </c>
      <c r="W1943" s="1">
        <v>0.0</v>
      </c>
      <c r="X1943" s="1">
        <v>5.0</v>
      </c>
      <c r="Y1943" s="1">
        <v>2.35</v>
      </c>
      <c r="Z1943" s="1">
        <v>6.9</v>
      </c>
    </row>
    <row r="1944" ht="14.25" customHeight="1">
      <c r="A1944" s="1" t="s">
        <v>26</v>
      </c>
      <c r="B1944" s="1" t="s">
        <v>270</v>
      </c>
      <c r="C1944" s="1" t="s">
        <v>1592</v>
      </c>
      <c r="D1944" s="1">
        <v>3.5799026E7</v>
      </c>
      <c r="E1944" s="1" t="s">
        <v>1593</v>
      </c>
      <c r="F1944" s="1" t="s">
        <v>92</v>
      </c>
      <c r="G1944" s="1" t="s">
        <v>264</v>
      </c>
      <c r="H1944" s="1" t="s">
        <v>632</v>
      </c>
      <c r="I1944" s="1">
        <v>263336.0</v>
      </c>
      <c r="J1944" s="1" t="s">
        <v>1594</v>
      </c>
      <c r="K1944" s="1" t="s">
        <v>1595</v>
      </c>
      <c r="L1944" s="1">
        <v>899.0</v>
      </c>
      <c r="M1944" s="1" t="s">
        <v>35</v>
      </c>
      <c r="N1944" s="1" t="s">
        <v>36</v>
      </c>
      <c r="O1944" s="1" t="s">
        <v>37</v>
      </c>
      <c r="P1944" s="1">
        <v>1.26E8</v>
      </c>
      <c r="Q1944" s="1">
        <v>2005.0</v>
      </c>
      <c r="R1944" s="1">
        <v>19000.0</v>
      </c>
      <c r="S1944" s="1">
        <v>12000.0</v>
      </c>
      <c r="T1944" s="1">
        <v>3000.0</v>
      </c>
      <c r="U1944" s="1">
        <v>34838.0</v>
      </c>
      <c r="V1944" s="1">
        <v>0.0</v>
      </c>
      <c r="W1944" s="1">
        <v>0.0</v>
      </c>
      <c r="X1944" s="1">
        <v>1.0</v>
      </c>
      <c r="Y1944" s="1">
        <v>2.35</v>
      </c>
      <c r="Z1944" s="1">
        <v>6.9</v>
      </c>
    </row>
    <row r="1945" ht="14.25" customHeight="1">
      <c r="A1945" s="1" t="s">
        <v>26</v>
      </c>
      <c r="B1945" s="1" t="s">
        <v>9594</v>
      </c>
      <c r="C1945" s="1" t="s">
        <v>9595</v>
      </c>
      <c r="D1945" s="1">
        <v>1.7951431E7</v>
      </c>
      <c r="E1945" s="1" t="s">
        <v>2061</v>
      </c>
      <c r="F1945" s="1" t="s">
        <v>1897</v>
      </c>
      <c r="G1945" s="1" t="s">
        <v>9596</v>
      </c>
      <c r="H1945" s="1" t="s">
        <v>1952</v>
      </c>
      <c r="I1945" s="1">
        <v>25462.0</v>
      </c>
      <c r="J1945" s="1" t="s">
        <v>9597</v>
      </c>
      <c r="K1945" s="1" t="s">
        <v>9598</v>
      </c>
      <c r="L1945" s="1">
        <v>200.0</v>
      </c>
      <c r="M1945" s="1" t="s">
        <v>35</v>
      </c>
      <c r="N1945" s="1" t="s">
        <v>36</v>
      </c>
      <c r="O1945" s="1" t="s">
        <v>37</v>
      </c>
      <c r="P1945" s="1">
        <v>3.0E7</v>
      </c>
      <c r="Q1945" s="1">
        <v>2001.0</v>
      </c>
      <c r="R1945" s="1">
        <v>962.0</v>
      </c>
      <c r="S1945" s="1">
        <v>844.0</v>
      </c>
      <c r="T1945" s="1">
        <v>595.0</v>
      </c>
      <c r="U1945" s="1">
        <v>4239.0</v>
      </c>
      <c r="V1945" s="1">
        <v>12.0</v>
      </c>
      <c r="W1945" s="1">
        <v>804.0</v>
      </c>
      <c r="X1945" s="1">
        <v>1.0</v>
      </c>
      <c r="Y1945" s="1">
        <v>2.35</v>
      </c>
      <c r="Z1945" s="1">
        <v>5.8</v>
      </c>
    </row>
    <row r="1946" ht="14.25" customHeight="1">
      <c r="A1946" s="1" t="s">
        <v>26</v>
      </c>
      <c r="B1946" s="1" t="s">
        <v>6676</v>
      </c>
      <c r="C1946" s="1" t="s">
        <v>9599</v>
      </c>
      <c r="D1946" s="1">
        <v>2.9997095E7</v>
      </c>
      <c r="E1946" s="1" t="s">
        <v>9600</v>
      </c>
      <c r="F1946" s="1" t="s">
        <v>92</v>
      </c>
      <c r="G1946" s="1" t="s">
        <v>430</v>
      </c>
      <c r="H1946" s="1" t="s">
        <v>5162</v>
      </c>
      <c r="I1946" s="1">
        <v>60926.0</v>
      </c>
      <c r="J1946" s="1" t="s">
        <v>9601</v>
      </c>
      <c r="K1946" s="1" t="s">
        <v>9602</v>
      </c>
      <c r="L1946" s="1">
        <v>302.0</v>
      </c>
      <c r="M1946" s="1" t="s">
        <v>35</v>
      </c>
      <c r="N1946" s="1" t="s">
        <v>54</v>
      </c>
      <c r="O1946" s="1" t="s">
        <v>37</v>
      </c>
      <c r="P1946" s="1">
        <v>2.2E7</v>
      </c>
      <c r="Q1946" s="1">
        <v>2016.0</v>
      </c>
      <c r="R1946" s="1">
        <v>19000.0</v>
      </c>
      <c r="S1946" s="1">
        <v>17000.0</v>
      </c>
      <c r="T1946" s="1">
        <v>1000.0</v>
      </c>
      <c r="U1946" s="1">
        <v>38494.0</v>
      </c>
      <c r="V1946" s="1">
        <v>1000.0</v>
      </c>
      <c r="W1946" s="1">
        <v>23000.0</v>
      </c>
      <c r="X1946" s="1">
        <v>5.0</v>
      </c>
      <c r="Y1946" s="1">
        <v>1.85</v>
      </c>
      <c r="Z1946" s="1">
        <v>6.4</v>
      </c>
    </row>
    <row r="1947" ht="14.25" customHeight="1">
      <c r="A1947" s="1" t="s">
        <v>26</v>
      </c>
      <c r="B1947" s="1" t="s">
        <v>9603</v>
      </c>
      <c r="C1947" s="1" t="s">
        <v>9604</v>
      </c>
      <c r="D1947" s="1">
        <v>1.425283E7</v>
      </c>
      <c r="E1947" s="1" t="s">
        <v>7157</v>
      </c>
      <c r="F1947" s="1" t="s">
        <v>947</v>
      </c>
      <c r="G1947" s="1" t="s">
        <v>9605</v>
      </c>
      <c r="H1947" s="1" t="s">
        <v>9606</v>
      </c>
      <c r="I1947" s="1">
        <v>18900.0</v>
      </c>
      <c r="J1947" s="1" t="s">
        <v>9607</v>
      </c>
      <c r="K1947" s="1" t="s">
        <v>9608</v>
      </c>
      <c r="L1947" s="1">
        <v>242.0</v>
      </c>
      <c r="M1947" s="1" t="s">
        <v>35</v>
      </c>
      <c r="N1947" s="1" t="s">
        <v>260</v>
      </c>
      <c r="O1947" s="1" t="s">
        <v>37</v>
      </c>
      <c r="P1947" s="1">
        <v>2.2E7</v>
      </c>
      <c r="Q1947" s="1">
        <v>2001.0</v>
      </c>
      <c r="R1947" s="1">
        <v>3000.0</v>
      </c>
      <c r="S1947" s="1">
        <v>486.0</v>
      </c>
      <c r="T1947" s="1">
        <v>83.0</v>
      </c>
      <c r="U1947" s="1">
        <v>3769.0</v>
      </c>
      <c r="V1947" s="1">
        <v>4.0</v>
      </c>
      <c r="W1947" s="1">
        <v>0.0</v>
      </c>
      <c r="X1947" s="1">
        <v>0.0</v>
      </c>
      <c r="Y1947" s="1">
        <v>1.85</v>
      </c>
      <c r="Z1947" s="1">
        <v>5.3</v>
      </c>
    </row>
    <row r="1948" ht="14.25" customHeight="1">
      <c r="A1948" s="1" t="s">
        <v>26</v>
      </c>
      <c r="B1948" s="1" t="s">
        <v>4876</v>
      </c>
      <c r="C1948" s="1" t="s">
        <v>9609</v>
      </c>
      <c r="D1948" s="1">
        <v>1.9783777E7</v>
      </c>
      <c r="E1948" s="1" t="s">
        <v>449</v>
      </c>
      <c r="F1948" s="1" t="s">
        <v>327</v>
      </c>
      <c r="G1948" s="1" t="s">
        <v>75</v>
      </c>
      <c r="H1948" s="1" t="s">
        <v>1616</v>
      </c>
      <c r="I1948" s="1">
        <v>82804.0</v>
      </c>
      <c r="J1948" s="1" t="s">
        <v>9610</v>
      </c>
      <c r="K1948" s="1" t="s">
        <v>9611</v>
      </c>
      <c r="L1948" s="1">
        <v>154.0</v>
      </c>
      <c r="M1948" s="1" t="s">
        <v>35</v>
      </c>
      <c r="N1948" s="1" t="s">
        <v>36</v>
      </c>
      <c r="O1948" s="1" t="s">
        <v>628</v>
      </c>
      <c r="P1948" s="1">
        <v>2.2E7</v>
      </c>
      <c r="Q1948" s="1">
        <v>2013.0</v>
      </c>
      <c r="R1948" s="1">
        <v>26000.0</v>
      </c>
      <c r="S1948" s="1">
        <v>11000.0</v>
      </c>
      <c r="T1948" s="1">
        <v>798.0</v>
      </c>
      <c r="U1948" s="1">
        <v>39989.0</v>
      </c>
      <c r="V1948" s="1">
        <v>39.0</v>
      </c>
      <c r="W1948" s="1">
        <v>15000.0</v>
      </c>
      <c r="X1948" s="1">
        <v>1.0</v>
      </c>
      <c r="Y1948" s="1">
        <v>2.35</v>
      </c>
      <c r="Z1948" s="1">
        <v>6.5</v>
      </c>
    </row>
    <row r="1949" ht="14.25" customHeight="1">
      <c r="A1949" s="1" t="s">
        <v>26</v>
      </c>
      <c r="B1949" s="1" t="s">
        <v>9612</v>
      </c>
      <c r="C1949" s="1" t="s">
        <v>9613</v>
      </c>
      <c r="D1949" s="1">
        <v>1.3555988E7</v>
      </c>
      <c r="E1949" s="1" t="s">
        <v>751</v>
      </c>
      <c r="F1949" s="1" t="s">
        <v>2208</v>
      </c>
      <c r="G1949" s="1" t="s">
        <v>2268</v>
      </c>
      <c r="H1949" s="1" t="s">
        <v>4934</v>
      </c>
      <c r="I1949" s="1">
        <v>7242.0</v>
      </c>
      <c r="J1949" s="1" t="s">
        <v>9614</v>
      </c>
      <c r="K1949" s="1" t="s">
        <v>9615</v>
      </c>
      <c r="L1949" s="1">
        <v>38.0</v>
      </c>
      <c r="M1949" s="1" t="s">
        <v>35</v>
      </c>
      <c r="N1949" s="1" t="s">
        <v>730</v>
      </c>
      <c r="O1949" s="1" t="s">
        <v>87</v>
      </c>
      <c r="P1949" s="1">
        <v>2.2E7</v>
      </c>
      <c r="Q1949" s="1">
        <v>2000.0</v>
      </c>
      <c r="R1949" s="1">
        <v>554.0</v>
      </c>
      <c r="S1949" s="1">
        <v>439.0</v>
      </c>
      <c r="T1949" s="1">
        <v>368.0</v>
      </c>
      <c r="U1949" s="1">
        <v>2216.0</v>
      </c>
      <c r="V1949" s="1">
        <v>34.0</v>
      </c>
      <c r="W1949" s="1">
        <v>0.0</v>
      </c>
      <c r="X1949" s="1">
        <v>1.0</v>
      </c>
      <c r="Y1949" s="1">
        <v>1.85</v>
      </c>
      <c r="Z1949" s="1">
        <v>5.7</v>
      </c>
    </row>
    <row r="1950" ht="14.25" customHeight="1">
      <c r="A1950" s="1" t="s">
        <v>26</v>
      </c>
      <c r="B1950" s="1" t="s">
        <v>3954</v>
      </c>
      <c r="C1950" s="1" t="s">
        <v>9616</v>
      </c>
      <c r="D1950" s="1">
        <v>1.2784713E7</v>
      </c>
      <c r="E1950" s="1" t="s">
        <v>1885</v>
      </c>
      <c r="F1950" s="1" t="s">
        <v>200</v>
      </c>
      <c r="G1950" s="1" t="s">
        <v>3519</v>
      </c>
      <c r="H1950" s="1" t="s">
        <v>5665</v>
      </c>
      <c r="I1950" s="1">
        <v>56813.0</v>
      </c>
      <c r="J1950" s="1" t="s">
        <v>9617</v>
      </c>
      <c r="K1950" s="1" t="s">
        <v>9618</v>
      </c>
      <c r="L1950" s="1">
        <v>381.0</v>
      </c>
      <c r="M1950" s="1" t="s">
        <v>35</v>
      </c>
      <c r="N1950" s="1" t="s">
        <v>36</v>
      </c>
      <c r="O1950" s="1" t="s">
        <v>628</v>
      </c>
      <c r="P1950" s="1">
        <v>2.2E7</v>
      </c>
      <c r="Q1950" s="1">
        <v>2004.0</v>
      </c>
      <c r="R1950" s="1">
        <v>6000.0</v>
      </c>
      <c r="S1950" s="1">
        <v>718.0</v>
      </c>
      <c r="T1950" s="1">
        <v>678.0</v>
      </c>
      <c r="U1950" s="1">
        <v>8094.0</v>
      </c>
      <c r="V1950" s="1">
        <v>737.0</v>
      </c>
      <c r="W1950" s="1">
        <v>0.0</v>
      </c>
      <c r="X1950" s="1">
        <v>11.0</v>
      </c>
      <c r="Y1950" s="1">
        <v>2.35</v>
      </c>
      <c r="Z1950" s="1">
        <v>6.7</v>
      </c>
    </row>
    <row r="1951" ht="14.25" customHeight="1">
      <c r="A1951" s="1" t="s">
        <v>26</v>
      </c>
      <c r="B1951" s="1" t="s">
        <v>9619</v>
      </c>
      <c r="C1951" s="1" t="s">
        <v>9620</v>
      </c>
      <c r="D1951" s="1">
        <v>1.069621E7</v>
      </c>
      <c r="E1951" s="1" t="s">
        <v>1345</v>
      </c>
      <c r="F1951" s="1" t="s">
        <v>30</v>
      </c>
      <c r="G1951" s="1" t="s">
        <v>867</v>
      </c>
      <c r="H1951" s="1" t="s">
        <v>715</v>
      </c>
      <c r="I1951" s="1">
        <v>35018.0</v>
      </c>
      <c r="J1951" s="1" t="s">
        <v>9621</v>
      </c>
      <c r="K1951" s="1" t="s">
        <v>9622</v>
      </c>
      <c r="L1951" s="1">
        <v>180.0</v>
      </c>
      <c r="M1951" s="1" t="s">
        <v>35</v>
      </c>
      <c r="N1951" s="1" t="s">
        <v>36</v>
      </c>
      <c r="O1951" s="1" t="s">
        <v>37</v>
      </c>
      <c r="P1951" s="1">
        <v>2.35E7</v>
      </c>
      <c r="Q1951" s="1">
        <v>1993.0</v>
      </c>
      <c r="R1951" s="1">
        <v>1000.0</v>
      </c>
      <c r="S1951" s="1">
        <v>826.0</v>
      </c>
      <c r="T1951" s="1">
        <v>691.0</v>
      </c>
      <c r="U1951" s="1">
        <v>3148.0</v>
      </c>
      <c r="V1951" s="1">
        <v>87.0</v>
      </c>
      <c r="W1951" s="1">
        <v>716.0</v>
      </c>
      <c r="X1951" s="1">
        <v>0.0</v>
      </c>
      <c r="Y1951" s="1">
        <v>1.85</v>
      </c>
      <c r="Z1951" s="1">
        <v>3.9</v>
      </c>
    </row>
    <row r="1952" ht="14.25" customHeight="1">
      <c r="A1952" s="1" t="s">
        <v>26</v>
      </c>
      <c r="B1952" s="1" t="s">
        <v>9623</v>
      </c>
      <c r="C1952" s="1" t="s">
        <v>9624</v>
      </c>
      <c r="D1952" s="1">
        <v>5974653.0</v>
      </c>
      <c r="E1952" s="1" t="s">
        <v>254</v>
      </c>
      <c r="F1952" s="1" t="s">
        <v>2860</v>
      </c>
      <c r="G1952" s="1" t="s">
        <v>1740</v>
      </c>
      <c r="H1952" s="1" t="s">
        <v>3166</v>
      </c>
      <c r="I1952" s="1">
        <v>2253.0</v>
      </c>
      <c r="J1952" s="1" t="s">
        <v>9625</v>
      </c>
      <c r="K1952" s="1" t="s">
        <v>9626</v>
      </c>
      <c r="L1952" s="1">
        <v>111.0</v>
      </c>
      <c r="M1952" s="1" t="s">
        <v>35</v>
      </c>
      <c r="N1952" s="1" t="s">
        <v>36</v>
      </c>
      <c r="O1952" s="1" t="s">
        <v>37</v>
      </c>
      <c r="P1952" s="1">
        <v>2.2E7</v>
      </c>
      <c r="Q1952" s="1">
        <v>2001.0</v>
      </c>
      <c r="R1952" s="1">
        <v>2000.0</v>
      </c>
      <c r="S1952" s="1">
        <v>595.0</v>
      </c>
      <c r="T1952" s="1">
        <v>576.0</v>
      </c>
      <c r="U1952" s="1">
        <v>4221.0</v>
      </c>
      <c r="V1952" s="1">
        <v>53.0</v>
      </c>
      <c r="W1952" s="1">
        <v>158.0</v>
      </c>
      <c r="X1952" s="1">
        <v>0.0</v>
      </c>
      <c r="Y1952" s="1">
        <v>1.85</v>
      </c>
      <c r="Z1952" s="1">
        <v>4.1</v>
      </c>
    </row>
    <row r="1953" ht="14.25" customHeight="1">
      <c r="A1953" s="1" t="s">
        <v>26</v>
      </c>
      <c r="B1953" s="1" t="s">
        <v>9627</v>
      </c>
      <c r="C1953" s="1" t="s">
        <v>9628</v>
      </c>
      <c r="D1953" s="1">
        <v>5000000.0</v>
      </c>
      <c r="E1953" s="1" t="s">
        <v>9629</v>
      </c>
      <c r="F1953" s="1" t="s">
        <v>9630</v>
      </c>
      <c r="G1953" s="1" t="s">
        <v>9631</v>
      </c>
      <c r="H1953" s="1" t="s">
        <v>9632</v>
      </c>
      <c r="I1953" s="1">
        <v>1547.0</v>
      </c>
      <c r="J1953" s="1" t="s">
        <v>9633</v>
      </c>
      <c r="K1953" s="1" t="s">
        <v>9634</v>
      </c>
      <c r="L1953" s="1">
        <v>50.0</v>
      </c>
      <c r="M1953" s="1" t="s">
        <v>35</v>
      </c>
      <c r="N1953" s="1" t="s">
        <v>36</v>
      </c>
      <c r="O1953" s="1" t="s">
        <v>269</v>
      </c>
      <c r="P1953" s="1">
        <v>2.5E7</v>
      </c>
      <c r="Q1953" s="1">
        <v>1970.0</v>
      </c>
      <c r="R1953" s="1">
        <v>638.0</v>
      </c>
      <c r="S1953" s="1">
        <v>50.0</v>
      </c>
      <c r="T1953" s="1">
        <v>42.0</v>
      </c>
      <c r="U1953" s="1">
        <v>788.0</v>
      </c>
      <c r="V1953" s="1">
        <v>688.0</v>
      </c>
      <c r="W1953" s="1">
        <v>104.0</v>
      </c>
      <c r="X1953" s="1">
        <v>2.0</v>
      </c>
      <c r="Y1953" s="1">
        <v>2.35</v>
      </c>
      <c r="Z1953" s="1">
        <v>6.2</v>
      </c>
    </row>
    <row r="1954" ht="14.25" customHeight="1">
      <c r="A1954" s="1" t="s">
        <v>26</v>
      </c>
      <c r="B1954" s="1" t="s">
        <v>7041</v>
      </c>
      <c r="C1954" s="1" t="s">
        <v>9635</v>
      </c>
      <c r="D1954" s="1">
        <v>9694105.0</v>
      </c>
      <c r="E1954" s="1" t="s">
        <v>2599</v>
      </c>
      <c r="F1954" s="1" t="s">
        <v>488</v>
      </c>
      <c r="G1954" s="1" t="s">
        <v>8253</v>
      </c>
      <c r="H1954" s="1" t="s">
        <v>687</v>
      </c>
      <c r="I1954" s="1">
        <v>8176.0</v>
      </c>
      <c r="J1954" s="1" t="s">
        <v>9636</v>
      </c>
      <c r="K1954" s="1" t="s">
        <v>9637</v>
      </c>
      <c r="L1954" s="1">
        <v>77.0</v>
      </c>
      <c r="M1954" s="1" t="s">
        <v>35</v>
      </c>
      <c r="N1954" s="1" t="s">
        <v>36</v>
      </c>
      <c r="O1954" s="1" t="s">
        <v>87</v>
      </c>
      <c r="P1954" s="1">
        <v>2.2E7</v>
      </c>
      <c r="Q1954" s="1">
        <v>1999.0</v>
      </c>
      <c r="R1954" s="1">
        <v>3000.0</v>
      </c>
      <c r="S1954" s="1">
        <v>968.0</v>
      </c>
      <c r="T1954" s="1">
        <v>795.0</v>
      </c>
      <c r="U1954" s="1">
        <v>5568.0</v>
      </c>
      <c r="V1954" s="1">
        <v>37.0</v>
      </c>
      <c r="W1954" s="1">
        <v>272.0</v>
      </c>
      <c r="X1954" s="1">
        <v>0.0</v>
      </c>
      <c r="Y1954" s="1">
        <v>2.35</v>
      </c>
      <c r="Z1954" s="1">
        <v>3.8</v>
      </c>
    </row>
    <row r="1955" ht="14.25" customHeight="1">
      <c r="A1955" s="1" t="s">
        <v>26</v>
      </c>
      <c r="B1955" s="1" t="s">
        <v>8398</v>
      </c>
      <c r="C1955" s="1" t="s">
        <v>9638</v>
      </c>
      <c r="D1955" s="1">
        <v>1.6027866E7</v>
      </c>
      <c r="E1955" s="1" t="s">
        <v>326</v>
      </c>
      <c r="F1955" s="1" t="s">
        <v>4201</v>
      </c>
      <c r="G1955" s="1" t="s">
        <v>411</v>
      </c>
      <c r="H1955" s="1" t="s">
        <v>9639</v>
      </c>
      <c r="I1955" s="1">
        <v>26767.0</v>
      </c>
      <c r="J1955" s="1" t="s">
        <v>9640</v>
      </c>
      <c r="K1955" s="1" t="s">
        <v>9641</v>
      </c>
      <c r="L1955" s="1">
        <v>121.0</v>
      </c>
      <c r="M1955" s="1" t="s">
        <v>35</v>
      </c>
      <c r="N1955" s="1" t="s">
        <v>1832</v>
      </c>
      <c r="O1955" s="1" t="s">
        <v>37</v>
      </c>
      <c r="P1955" s="1">
        <v>2.5E7</v>
      </c>
      <c r="Q1955" s="1">
        <v>2015.0</v>
      </c>
      <c r="R1955" s="1">
        <v>805.0</v>
      </c>
      <c r="S1955" s="1">
        <v>173.0</v>
      </c>
      <c r="T1955" s="1">
        <v>150.0</v>
      </c>
      <c r="U1955" s="1">
        <v>1411.0</v>
      </c>
      <c r="V1955" s="1">
        <v>11.0</v>
      </c>
      <c r="W1955" s="1">
        <v>0.0</v>
      </c>
      <c r="X1955" s="1">
        <v>0.0</v>
      </c>
      <c r="Y1955" s="1">
        <v>2.35</v>
      </c>
      <c r="Z1955" s="1">
        <v>5.1</v>
      </c>
    </row>
    <row r="1956" ht="14.25" customHeight="1">
      <c r="A1956" s="1" t="s">
        <v>26</v>
      </c>
      <c r="B1956" s="1" t="s">
        <v>1248</v>
      </c>
      <c r="C1956" s="1" t="s">
        <v>9642</v>
      </c>
      <c r="D1956" s="1">
        <v>4398392.0</v>
      </c>
      <c r="E1956" s="1" t="s">
        <v>7147</v>
      </c>
      <c r="F1956" s="1" t="s">
        <v>7171</v>
      </c>
      <c r="G1956" s="1" t="s">
        <v>9643</v>
      </c>
      <c r="H1956" s="1" t="s">
        <v>2949</v>
      </c>
      <c r="I1956" s="1">
        <v>59507.0</v>
      </c>
      <c r="J1956" s="1" t="s">
        <v>9644</v>
      </c>
      <c r="K1956" s="1" t="s">
        <v>9645</v>
      </c>
      <c r="L1956" s="1">
        <v>232.0</v>
      </c>
      <c r="M1956" s="1" t="s">
        <v>9646</v>
      </c>
      <c r="N1956" s="1" t="s">
        <v>9647</v>
      </c>
      <c r="O1956" s="1" t="s">
        <v>628</v>
      </c>
      <c r="P1956" s="1">
        <v>2.1E7</v>
      </c>
      <c r="Q1956" s="1">
        <v>2006.0</v>
      </c>
      <c r="R1956" s="1">
        <v>2000.0</v>
      </c>
      <c r="S1956" s="1">
        <v>380.0</v>
      </c>
      <c r="T1956" s="1">
        <v>104.0</v>
      </c>
      <c r="U1956" s="1">
        <v>2590.0</v>
      </c>
      <c r="V1956" s="1">
        <v>719.0</v>
      </c>
      <c r="W1956" s="1">
        <v>0.0</v>
      </c>
      <c r="X1956" s="1">
        <v>1.0</v>
      </c>
      <c r="Y1956" s="1">
        <v>2.35</v>
      </c>
      <c r="Z1956" s="1">
        <v>7.8</v>
      </c>
    </row>
    <row r="1957" ht="14.25" customHeight="1">
      <c r="A1957" s="1" t="s">
        <v>26</v>
      </c>
      <c r="B1957" s="1" t="s">
        <v>9648</v>
      </c>
      <c r="C1957" s="1" t="s">
        <v>9649</v>
      </c>
      <c r="D1957" s="1">
        <v>1050445.0</v>
      </c>
      <c r="E1957" s="1" t="s">
        <v>9650</v>
      </c>
      <c r="F1957" s="1" t="s">
        <v>1714</v>
      </c>
      <c r="G1957" s="1" t="s">
        <v>5815</v>
      </c>
      <c r="H1957" s="1" t="s">
        <v>5444</v>
      </c>
      <c r="I1957" s="1">
        <v>21394.0</v>
      </c>
      <c r="J1957" s="1" t="s">
        <v>9651</v>
      </c>
      <c r="K1957" s="1" t="s">
        <v>9652</v>
      </c>
      <c r="L1957" s="1">
        <v>147.0</v>
      </c>
      <c r="M1957" s="1" t="s">
        <v>2752</v>
      </c>
      <c r="N1957" s="1" t="s">
        <v>1832</v>
      </c>
      <c r="O1957" s="1" t="s">
        <v>37</v>
      </c>
      <c r="P1957" s="1">
        <v>2.2E7</v>
      </c>
      <c r="Q1957" s="1">
        <v>2005.0</v>
      </c>
      <c r="R1957" s="1">
        <v>203.0</v>
      </c>
      <c r="S1957" s="1">
        <v>172.0</v>
      </c>
      <c r="T1957" s="1">
        <v>140.0</v>
      </c>
      <c r="U1957" s="1">
        <v>773.0</v>
      </c>
      <c r="V1957" s="1">
        <v>13.0</v>
      </c>
      <c r="W1957" s="1">
        <v>11000.0</v>
      </c>
      <c r="X1957" s="1">
        <v>0.0</v>
      </c>
      <c r="Y1957" s="1">
        <v>2.35</v>
      </c>
      <c r="Z1957" s="1">
        <v>7.8</v>
      </c>
    </row>
    <row r="1958" ht="14.25" customHeight="1">
      <c r="A1958" s="1" t="s">
        <v>26</v>
      </c>
      <c r="B1958" s="1" t="s">
        <v>9653</v>
      </c>
      <c r="C1958" s="1" t="s">
        <v>9654</v>
      </c>
      <c r="D1958" s="1">
        <v>1.374655E7</v>
      </c>
      <c r="E1958" s="1" t="s">
        <v>1367</v>
      </c>
      <c r="F1958" s="1" t="s">
        <v>631</v>
      </c>
      <c r="G1958" s="1" t="s">
        <v>1653</v>
      </c>
      <c r="H1958" s="1" t="s">
        <v>6968</v>
      </c>
      <c r="I1958" s="1">
        <v>29322.0</v>
      </c>
      <c r="J1958" s="1" t="s">
        <v>9655</v>
      </c>
      <c r="K1958" s="1" t="s">
        <v>9656</v>
      </c>
      <c r="L1958" s="1">
        <v>104.0</v>
      </c>
      <c r="M1958" s="1" t="s">
        <v>35</v>
      </c>
      <c r="N1958" s="1" t="s">
        <v>36</v>
      </c>
      <c r="O1958" s="1" t="s">
        <v>628</v>
      </c>
      <c r="P1958" s="1">
        <v>2000000.0</v>
      </c>
      <c r="Q1958" s="1">
        <v>2012.0</v>
      </c>
      <c r="R1958" s="1">
        <v>14000.0</v>
      </c>
      <c r="S1958" s="1">
        <v>618.0</v>
      </c>
      <c r="T1958" s="1">
        <v>552.0</v>
      </c>
      <c r="U1958" s="1">
        <v>15922.0</v>
      </c>
      <c r="V1958" s="1">
        <v>21.0</v>
      </c>
      <c r="W1958" s="1">
        <v>0.0</v>
      </c>
      <c r="X1958" s="1">
        <v>5.0</v>
      </c>
      <c r="Y1958" s="1">
        <v>2.35</v>
      </c>
      <c r="Z1958" s="1">
        <v>6.1</v>
      </c>
    </row>
    <row r="1959" ht="14.25" customHeight="1">
      <c r="A1959" s="1" t="s">
        <v>26</v>
      </c>
      <c r="B1959" s="1" t="s">
        <v>8440</v>
      </c>
      <c r="C1959" s="1" t="s">
        <v>9657</v>
      </c>
      <c r="D1959" s="1">
        <v>2.0668843E7</v>
      </c>
      <c r="E1959" s="1" t="s">
        <v>5605</v>
      </c>
      <c r="F1959" s="1" t="s">
        <v>1102</v>
      </c>
      <c r="G1959" s="1" t="s">
        <v>6384</v>
      </c>
      <c r="H1959" s="1" t="s">
        <v>9658</v>
      </c>
      <c r="I1959" s="1">
        <v>16831.0</v>
      </c>
      <c r="J1959" s="1" t="s">
        <v>9659</v>
      </c>
      <c r="K1959" s="1" t="s">
        <v>9660</v>
      </c>
      <c r="L1959" s="1">
        <v>54.0</v>
      </c>
      <c r="M1959" s="1" t="s">
        <v>35</v>
      </c>
      <c r="N1959" s="1" t="s">
        <v>36</v>
      </c>
      <c r="O1959" s="1" t="s">
        <v>37</v>
      </c>
      <c r="P1959" s="1">
        <v>2.2E7</v>
      </c>
      <c r="Q1959" s="1">
        <v>2008.0</v>
      </c>
      <c r="R1959" s="1">
        <v>939.0</v>
      </c>
      <c r="S1959" s="1">
        <v>875.0</v>
      </c>
      <c r="T1959" s="1">
        <v>290.0</v>
      </c>
      <c r="U1959" s="1">
        <v>2453.0</v>
      </c>
      <c r="V1959" s="1">
        <v>144.0</v>
      </c>
      <c r="W1959" s="1">
        <v>687.0</v>
      </c>
      <c r="X1959" s="1">
        <v>3.0</v>
      </c>
      <c r="Y1959" s="1">
        <v>2.35</v>
      </c>
      <c r="Z1959" s="1">
        <v>5.8</v>
      </c>
    </row>
    <row r="1960" ht="14.25" customHeight="1">
      <c r="A1960" s="1" t="s">
        <v>26</v>
      </c>
      <c r="B1960" s="1" t="s">
        <v>9661</v>
      </c>
      <c r="C1960" s="1" t="s">
        <v>9662</v>
      </c>
      <c r="D1960" s="1">
        <v>2963012.0</v>
      </c>
      <c r="E1960" s="1" t="s">
        <v>1842</v>
      </c>
      <c r="F1960" s="1" t="s">
        <v>424</v>
      </c>
      <c r="G1960" s="1" t="s">
        <v>9663</v>
      </c>
      <c r="H1960" s="1" t="s">
        <v>9664</v>
      </c>
      <c r="I1960" s="1">
        <v>48873.0</v>
      </c>
      <c r="J1960" s="1" t="s">
        <v>9665</v>
      </c>
      <c r="K1960" s="1" t="s">
        <v>9666</v>
      </c>
      <c r="L1960" s="1">
        <v>105.0</v>
      </c>
      <c r="M1960" s="1" t="s">
        <v>35</v>
      </c>
      <c r="N1960" s="1" t="s">
        <v>54</v>
      </c>
      <c r="O1960" s="1" t="s">
        <v>628</v>
      </c>
      <c r="P1960" s="1">
        <v>2.2E7</v>
      </c>
      <c r="Q1960" s="1">
        <v>2014.0</v>
      </c>
      <c r="R1960" s="1">
        <v>14000.0</v>
      </c>
      <c r="S1960" s="1">
        <v>257.0</v>
      </c>
      <c r="T1960" s="1">
        <v>231.0</v>
      </c>
      <c r="U1960" s="1">
        <v>14617.0</v>
      </c>
      <c r="V1960" s="1">
        <v>17.0</v>
      </c>
      <c r="W1960" s="1">
        <v>11000.0</v>
      </c>
      <c r="X1960" s="1">
        <v>1.0</v>
      </c>
      <c r="Y1960" s="1">
        <v>2.35</v>
      </c>
      <c r="Z1960" s="1">
        <v>6.3</v>
      </c>
    </row>
    <row r="1961" ht="14.25" customHeight="1">
      <c r="A1961" s="1" t="s">
        <v>26</v>
      </c>
      <c r="B1961" s="1" t="s">
        <v>9667</v>
      </c>
      <c r="C1961" s="1" t="s">
        <v>9668</v>
      </c>
      <c r="D1961" s="1">
        <v>1796024.0</v>
      </c>
      <c r="E1961" s="1" t="s">
        <v>3868</v>
      </c>
      <c r="F1961" s="1" t="s">
        <v>1663</v>
      </c>
      <c r="G1961" s="1" t="s">
        <v>1892</v>
      </c>
      <c r="H1961" s="1" t="s">
        <v>1476</v>
      </c>
      <c r="I1961" s="1">
        <v>34985.0</v>
      </c>
      <c r="J1961" s="1" t="s">
        <v>9669</v>
      </c>
      <c r="K1961" s="1" t="s">
        <v>9670</v>
      </c>
      <c r="L1961" s="1">
        <v>135.0</v>
      </c>
      <c r="M1961" s="1" t="s">
        <v>35</v>
      </c>
      <c r="N1961" s="1" t="s">
        <v>36</v>
      </c>
      <c r="O1961" s="1" t="s">
        <v>628</v>
      </c>
      <c r="P1961" s="1">
        <v>2.2E7</v>
      </c>
      <c r="Q1961" s="1">
        <v>2010.0</v>
      </c>
      <c r="R1961" s="1">
        <v>22000.0</v>
      </c>
      <c r="S1961" s="1">
        <v>14000.0</v>
      </c>
      <c r="T1961" s="1">
        <v>827.0</v>
      </c>
      <c r="U1961" s="1">
        <v>37766.0</v>
      </c>
      <c r="V1961" s="1">
        <v>43.0</v>
      </c>
      <c r="W1961" s="1">
        <v>0.0</v>
      </c>
      <c r="X1961" s="1">
        <v>1.0</v>
      </c>
      <c r="Y1961" s="1">
        <v>2.35</v>
      </c>
      <c r="Z1961" s="1">
        <v>5.4</v>
      </c>
    </row>
    <row r="1962" ht="14.25" customHeight="1">
      <c r="A1962" s="1" t="s">
        <v>26</v>
      </c>
      <c r="B1962" s="1" t="s">
        <v>9671</v>
      </c>
      <c r="C1962" s="1" t="s">
        <v>9672</v>
      </c>
      <c r="D1962" s="1">
        <v>634277.0</v>
      </c>
      <c r="E1962" s="1" t="s">
        <v>9673</v>
      </c>
      <c r="F1962" s="1" t="s">
        <v>9674</v>
      </c>
      <c r="G1962" s="1" t="s">
        <v>9675</v>
      </c>
      <c r="H1962" s="1" t="s">
        <v>9676</v>
      </c>
      <c r="I1962" s="1">
        <v>5166.0</v>
      </c>
      <c r="J1962" s="1" t="s">
        <v>9677</v>
      </c>
      <c r="K1962" s="1" t="s">
        <v>9678</v>
      </c>
      <c r="L1962" s="1">
        <v>27.0</v>
      </c>
      <c r="M1962" s="1" t="s">
        <v>2752</v>
      </c>
      <c r="N1962" s="1" t="s">
        <v>1832</v>
      </c>
      <c r="O1962" s="1" t="s">
        <v>37</v>
      </c>
      <c r="P1962" s="1">
        <v>1.6E7</v>
      </c>
      <c r="Q1962" s="1">
        <v>2007.0</v>
      </c>
      <c r="R1962" s="1">
        <v>809.0</v>
      </c>
      <c r="S1962" s="1">
        <v>521.0</v>
      </c>
      <c r="T1962" s="1">
        <v>80.0</v>
      </c>
      <c r="U1962" s="1">
        <v>1651.0</v>
      </c>
      <c r="V1962" s="1">
        <v>2.0</v>
      </c>
      <c r="W1962" s="1">
        <v>815.0</v>
      </c>
      <c r="X1962" s="1">
        <v>1.0</v>
      </c>
      <c r="Y1962" s="1">
        <v>2.35</v>
      </c>
      <c r="Z1962" s="1">
        <v>7.3</v>
      </c>
    </row>
    <row r="1963" ht="14.25" customHeight="1">
      <c r="A1963" s="1" t="s">
        <v>26</v>
      </c>
      <c r="B1963" s="1" t="s">
        <v>4622</v>
      </c>
      <c r="C1963" s="1" t="s">
        <v>9679</v>
      </c>
      <c r="D1963" s="1">
        <v>1.1326836E7</v>
      </c>
      <c r="E1963" s="1" t="s">
        <v>2045</v>
      </c>
      <c r="F1963" s="1" t="s">
        <v>59</v>
      </c>
      <c r="G1963" s="1" t="s">
        <v>1009</v>
      </c>
      <c r="H1963" s="1" t="s">
        <v>9680</v>
      </c>
      <c r="I1963" s="1">
        <v>83171.0</v>
      </c>
      <c r="J1963" s="1" t="s">
        <v>9681</v>
      </c>
      <c r="K1963" s="1" t="s">
        <v>9682</v>
      </c>
      <c r="L1963" s="1">
        <v>231.0</v>
      </c>
      <c r="M1963" s="1" t="s">
        <v>35</v>
      </c>
      <c r="N1963" s="1" t="s">
        <v>36</v>
      </c>
      <c r="O1963" s="1" t="s">
        <v>628</v>
      </c>
      <c r="P1963" s="1">
        <v>2.2E7</v>
      </c>
      <c r="Q1963" s="1">
        <v>2013.0</v>
      </c>
      <c r="R1963" s="1">
        <v>23000.0</v>
      </c>
      <c r="S1963" s="1">
        <v>820.0</v>
      </c>
      <c r="T1963" s="1">
        <v>120.0</v>
      </c>
      <c r="U1963" s="1">
        <v>24134.0</v>
      </c>
      <c r="V1963" s="1">
        <v>108.0</v>
      </c>
      <c r="W1963" s="1">
        <v>17000.0</v>
      </c>
      <c r="X1963" s="1">
        <v>0.0</v>
      </c>
      <c r="Y1963" s="1">
        <v>2.35</v>
      </c>
      <c r="Z1963" s="1">
        <v>6.8</v>
      </c>
    </row>
    <row r="1964" ht="14.25" customHeight="1">
      <c r="A1964" s="1" t="s">
        <v>26</v>
      </c>
      <c r="B1964" s="1" t="s">
        <v>1262</v>
      </c>
      <c r="C1964" s="1" t="s">
        <v>9683</v>
      </c>
      <c r="D1964" s="1">
        <v>4.9024969E7</v>
      </c>
      <c r="E1964" s="1" t="s">
        <v>2061</v>
      </c>
      <c r="F1964" s="1" t="s">
        <v>130</v>
      </c>
      <c r="G1964" s="1" t="s">
        <v>4019</v>
      </c>
      <c r="H1964" s="1" t="s">
        <v>2128</v>
      </c>
      <c r="I1964" s="1">
        <v>133367.0</v>
      </c>
      <c r="J1964" s="1" t="s">
        <v>9684</v>
      </c>
      <c r="K1964" s="1" t="s">
        <v>9685</v>
      </c>
      <c r="L1964" s="1">
        <v>363.0</v>
      </c>
      <c r="M1964" s="1" t="s">
        <v>35</v>
      </c>
      <c r="N1964" s="1" t="s">
        <v>36</v>
      </c>
      <c r="O1964" s="1" t="s">
        <v>628</v>
      </c>
      <c r="P1964" s="1">
        <v>2.5E7</v>
      </c>
      <c r="Q1964" s="1">
        <v>2007.0</v>
      </c>
      <c r="R1964" s="1">
        <v>1000.0</v>
      </c>
      <c r="S1964" s="1">
        <v>896.0</v>
      </c>
      <c r="T1964" s="1">
        <v>521.0</v>
      </c>
      <c r="U1964" s="1">
        <v>3284.0</v>
      </c>
      <c r="V1964" s="1">
        <v>209.0</v>
      </c>
      <c r="W1964" s="1">
        <v>0.0</v>
      </c>
      <c r="X1964" s="1">
        <v>0.0</v>
      </c>
      <c r="Y1964" s="1">
        <v>2.35</v>
      </c>
      <c r="Z1964" s="1">
        <v>7.3</v>
      </c>
    </row>
    <row r="1965" ht="14.25" customHeight="1">
      <c r="A1965" s="1" t="s">
        <v>26</v>
      </c>
      <c r="B1965" s="1" t="s">
        <v>2368</v>
      </c>
      <c r="C1965" s="1" t="s">
        <v>9686</v>
      </c>
      <c r="D1965" s="1">
        <v>2.2294341E7</v>
      </c>
      <c r="E1965" s="1" t="s">
        <v>4008</v>
      </c>
      <c r="F1965" s="1" t="s">
        <v>5696</v>
      </c>
      <c r="G1965" s="1" t="s">
        <v>5247</v>
      </c>
      <c r="H1965" s="1" t="s">
        <v>610</v>
      </c>
      <c r="I1965" s="1">
        <v>12278.0</v>
      </c>
      <c r="J1965" s="1" t="s">
        <v>9687</v>
      </c>
      <c r="K1965" s="1" t="s">
        <v>9688</v>
      </c>
      <c r="L1965" s="1">
        <v>71.0</v>
      </c>
      <c r="M1965" s="1" t="s">
        <v>35</v>
      </c>
      <c r="N1965" s="1" t="s">
        <v>36</v>
      </c>
      <c r="O1965" s="1" t="s">
        <v>37</v>
      </c>
      <c r="P1965" s="1">
        <v>2.15E7</v>
      </c>
      <c r="Q1965" s="1">
        <v>1996.0</v>
      </c>
      <c r="R1965" s="1">
        <v>957.0</v>
      </c>
      <c r="S1965" s="1">
        <v>821.0</v>
      </c>
      <c r="T1965" s="1">
        <v>812.0</v>
      </c>
      <c r="U1965" s="1">
        <v>4629.0</v>
      </c>
      <c r="V1965" s="1">
        <v>88.0</v>
      </c>
      <c r="W1965" s="1">
        <v>758.0</v>
      </c>
      <c r="X1965" s="1">
        <v>3.0</v>
      </c>
      <c r="Y1965" s="1">
        <v>1.85</v>
      </c>
      <c r="Z1965" s="1">
        <v>6.5</v>
      </c>
    </row>
    <row r="1966" ht="14.25" customHeight="1">
      <c r="A1966" s="1" t="s">
        <v>26</v>
      </c>
      <c r="B1966" s="1" t="s">
        <v>5756</v>
      </c>
      <c r="C1966" s="1" t="s">
        <v>9689</v>
      </c>
      <c r="D1966" s="1">
        <v>2.4362501E7</v>
      </c>
      <c r="E1966" s="1" t="s">
        <v>2045</v>
      </c>
      <c r="F1966" s="1" t="s">
        <v>293</v>
      </c>
      <c r="G1966" s="1" t="s">
        <v>7631</v>
      </c>
      <c r="H1966" s="1" t="s">
        <v>7541</v>
      </c>
      <c r="I1966" s="1">
        <v>69980.0</v>
      </c>
      <c r="J1966" s="1" t="s">
        <v>9690</v>
      </c>
      <c r="K1966" s="1" t="s">
        <v>9691</v>
      </c>
      <c r="L1966" s="1">
        <v>591.0</v>
      </c>
      <c r="M1966" s="1" t="s">
        <v>35</v>
      </c>
      <c r="N1966" s="1" t="s">
        <v>36</v>
      </c>
      <c r="O1966" s="1" t="s">
        <v>628</v>
      </c>
      <c r="P1966" s="1">
        <v>2.15E7</v>
      </c>
      <c r="Q1966" s="1">
        <v>1999.0</v>
      </c>
      <c r="R1966" s="1">
        <v>12000.0</v>
      </c>
      <c r="S1966" s="1">
        <v>541.0</v>
      </c>
      <c r="T1966" s="1">
        <v>442.0</v>
      </c>
      <c r="U1966" s="1">
        <v>13576.0</v>
      </c>
      <c r="V1966" s="1">
        <v>89.0</v>
      </c>
      <c r="W1966" s="1">
        <v>0.0</v>
      </c>
      <c r="X1966" s="1">
        <v>1.0</v>
      </c>
      <c r="Y1966" s="1">
        <v>2.35</v>
      </c>
      <c r="Z1966" s="1">
        <v>7.2</v>
      </c>
    </row>
    <row r="1967" ht="14.25" customHeight="1">
      <c r="A1967" s="1" t="s">
        <v>26</v>
      </c>
      <c r="B1967" s="1" t="s">
        <v>3797</v>
      </c>
      <c r="C1967" s="1" t="s">
        <v>9692</v>
      </c>
      <c r="D1967" s="1">
        <v>1.6684352E7</v>
      </c>
      <c r="E1967" s="1" t="s">
        <v>1598</v>
      </c>
      <c r="F1967" s="1" t="s">
        <v>9693</v>
      </c>
      <c r="G1967" s="1" t="s">
        <v>7442</v>
      </c>
      <c r="H1967" s="1" t="s">
        <v>9694</v>
      </c>
      <c r="I1967" s="1">
        <v>67893.0</v>
      </c>
      <c r="J1967" s="1" t="s">
        <v>9695</v>
      </c>
      <c r="K1967" s="1" t="s">
        <v>9696</v>
      </c>
      <c r="L1967" s="1">
        <v>163.0</v>
      </c>
      <c r="M1967" s="1" t="s">
        <v>35</v>
      </c>
      <c r="N1967" s="1" t="s">
        <v>36</v>
      </c>
      <c r="O1967" s="1" t="s">
        <v>628</v>
      </c>
      <c r="P1967" s="1">
        <v>1.7E7</v>
      </c>
      <c r="Q1967" s="1">
        <v>2012.0</v>
      </c>
      <c r="R1967" s="1">
        <v>385.0</v>
      </c>
      <c r="S1967" s="1">
        <v>223.0</v>
      </c>
      <c r="T1967" s="1">
        <v>159.0</v>
      </c>
      <c r="U1967" s="1">
        <v>1205.0</v>
      </c>
      <c r="V1967" s="1">
        <v>11000.0</v>
      </c>
      <c r="W1967" s="1">
        <v>18000.0</v>
      </c>
      <c r="X1967" s="1">
        <v>0.0</v>
      </c>
      <c r="Y1967" s="1">
        <v>1.85</v>
      </c>
      <c r="Z1967" s="1">
        <v>6.3</v>
      </c>
    </row>
    <row r="1968" ht="14.25" customHeight="1">
      <c r="A1968" s="1" t="s">
        <v>26</v>
      </c>
      <c r="B1968" s="1" t="s">
        <v>3503</v>
      </c>
      <c r="C1968" s="1" t="s">
        <v>9697</v>
      </c>
      <c r="D1968" s="1">
        <v>4.67E7</v>
      </c>
      <c r="E1968" s="1" t="s">
        <v>48</v>
      </c>
      <c r="F1968" s="1" t="s">
        <v>3503</v>
      </c>
      <c r="G1968" s="1" t="s">
        <v>9698</v>
      </c>
      <c r="H1968" s="1" t="s">
        <v>9699</v>
      </c>
      <c r="I1968" s="1">
        <v>19832.0</v>
      </c>
      <c r="J1968" s="1" t="s">
        <v>9700</v>
      </c>
      <c r="K1968" s="1" t="s">
        <v>9701</v>
      </c>
      <c r="L1968" s="1">
        <v>98.0</v>
      </c>
      <c r="M1968" s="1" t="s">
        <v>35</v>
      </c>
      <c r="N1968" s="1" t="s">
        <v>36</v>
      </c>
      <c r="O1968" s="1" t="s">
        <v>87</v>
      </c>
      <c r="P1968" s="1">
        <v>2.1E7</v>
      </c>
      <c r="Q1968" s="1">
        <v>1982.0</v>
      </c>
      <c r="R1968" s="1">
        <v>16000.0</v>
      </c>
      <c r="S1968" s="1">
        <v>281.0</v>
      </c>
      <c r="T1968" s="1">
        <v>216.0</v>
      </c>
      <c r="U1968" s="1">
        <v>16805.0</v>
      </c>
      <c r="V1968" s="1">
        <v>16000.0</v>
      </c>
      <c r="W1968" s="1">
        <v>0.0</v>
      </c>
      <c r="X1968" s="1">
        <v>1.0</v>
      </c>
      <c r="Y1968" s="1">
        <v>2.35</v>
      </c>
      <c r="Z1968" s="1">
        <v>5.9</v>
      </c>
    </row>
    <row r="1969" ht="14.25" customHeight="1">
      <c r="A1969" s="1" t="s">
        <v>26</v>
      </c>
      <c r="B1969" s="1" t="s">
        <v>9702</v>
      </c>
      <c r="C1969" s="1" t="s">
        <v>9703</v>
      </c>
      <c r="D1969" s="1">
        <v>5.2008288E7</v>
      </c>
      <c r="E1969" s="1" t="s">
        <v>9704</v>
      </c>
      <c r="F1969" s="1" t="s">
        <v>3319</v>
      </c>
      <c r="G1969" s="1" t="s">
        <v>687</v>
      </c>
      <c r="H1969" s="1" t="s">
        <v>9702</v>
      </c>
      <c r="I1969" s="1">
        <v>162037.0</v>
      </c>
      <c r="J1969" s="1" t="s">
        <v>9705</v>
      </c>
      <c r="K1969" s="1" t="s">
        <v>9706</v>
      </c>
      <c r="L1969" s="1">
        <v>928.0</v>
      </c>
      <c r="M1969" s="1" t="s">
        <v>35</v>
      </c>
      <c r="N1969" s="1" t="s">
        <v>36</v>
      </c>
      <c r="O1969" s="1" t="s">
        <v>628</v>
      </c>
      <c r="P1969" s="1">
        <v>2.1E7</v>
      </c>
      <c r="Q1969" s="1">
        <v>1999.0</v>
      </c>
      <c r="R1969" s="1">
        <v>893.0</v>
      </c>
      <c r="S1969" s="1">
        <v>795.0</v>
      </c>
      <c r="T1969" s="1">
        <v>406.0</v>
      </c>
      <c r="U1969" s="1">
        <v>3003.0</v>
      </c>
      <c r="V1969" s="1">
        <v>406.0</v>
      </c>
      <c r="W1969" s="1">
        <v>0.0</v>
      </c>
      <c r="X1969" s="1">
        <v>1.0</v>
      </c>
      <c r="Y1969" s="1">
        <v>1.85</v>
      </c>
      <c r="Z1969" s="1">
        <v>7.8</v>
      </c>
    </row>
    <row r="1970" ht="14.25" customHeight="1">
      <c r="A1970" s="1" t="s">
        <v>26</v>
      </c>
      <c r="B1970" s="1" t="s">
        <v>1872</v>
      </c>
      <c r="C1970" s="1" t="s">
        <v>9707</v>
      </c>
      <c r="D1970" s="1">
        <v>8579684.0</v>
      </c>
      <c r="E1970" s="1" t="s">
        <v>1885</v>
      </c>
      <c r="F1970" s="1" t="s">
        <v>141</v>
      </c>
      <c r="G1970" s="1" t="s">
        <v>352</v>
      </c>
      <c r="H1970" s="1" t="s">
        <v>5436</v>
      </c>
      <c r="I1970" s="1">
        <v>89547.0</v>
      </c>
      <c r="J1970" s="1" t="s">
        <v>9708</v>
      </c>
      <c r="K1970" s="1" t="s">
        <v>9709</v>
      </c>
      <c r="L1970" s="1">
        <v>199.0</v>
      </c>
      <c r="M1970" s="1" t="s">
        <v>35</v>
      </c>
      <c r="N1970" s="1" t="s">
        <v>36</v>
      </c>
      <c r="O1970" s="1" t="s">
        <v>628</v>
      </c>
      <c r="P1970" s="1">
        <v>9000000.0</v>
      </c>
      <c r="Q1970" s="1">
        <v>2007.0</v>
      </c>
      <c r="R1970" s="1">
        <v>22000.0</v>
      </c>
      <c r="S1970" s="1">
        <v>557.0</v>
      </c>
      <c r="T1970" s="1">
        <v>548.0</v>
      </c>
      <c r="U1970" s="1">
        <v>24324.0</v>
      </c>
      <c r="V1970" s="1">
        <v>0.0</v>
      </c>
      <c r="W1970" s="1">
        <v>0.0</v>
      </c>
      <c r="X1970" s="1">
        <v>0.0</v>
      </c>
      <c r="Y1970" s="1">
        <v>1.85</v>
      </c>
      <c r="Z1970" s="1">
        <v>7.4</v>
      </c>
    </row>
    <row r="1971" ht="14.25" customHeight="1">
      <c r="A1971" s="1" t="s">
        <v>26</v>
      </c>
      <c r="B1971" s="1" t="s">
        <v>9710</v>
      </c>
      <c r="C1971" s="1" t="s">
        <v>9711</v>
      </c>
      <c r="D1971" s="1">
        <v>4.266E7</v>
      </c>
      <c r="E1971" s="1" t="s">
        <v>157</v>
      </c>
      <c r="F1971" s="1" t="s">
        <v>8745</v>
      </c>
      <c r="G1971" s="1" t="s">
        <v>6432</v>
      </c>
      <c r="H1971" s="1" t="s">
        <v>9712</v>
      </c>
      <c r="I1971" s="1">
        <v>25086.0</v>
      </c>
      <c r="J1971" s="1" t="s">
        <v>9713</v>
      </c>
      <c r="K1971" s="1" t="s">
        <v>9714</v>
      </c>
      <c r="L1971" s="1">
        <v>87.0</v>
      </c>
      <c r="M1971" s="1" t="s">
        <v>35</v>
      </c>
      <c r="N1971" s="1" t="s">
        <v>36</v>
      </c>
      <c r="O1971" s="1" t="s">
        <v>87</v>
      </c>
      <c r="P1971" s="1">
        <v>1.7E7</v>
      </c>
      <c r="Q1971" s="1">
        <v>1993.0</v>
      </c>
      <c r="R1971" s="1">
        <v>533.0</v>
      </c>
      <c r="S1971" s="1">
        <v>219.0</v>
      </c>
      <c r="T1971" s="1">
        <v>199.0</v>
      </c>
      <c r="U1971" s="1">
        <v>1254.0</v>
      </c>
      <c r="V1971" s="1">
        <v>8.0</v>
      </c>
      <c r="W1971" s="1">
        <v>1000.0</v>
      </c>
      <c r="X1971" s="1">
        <v>0.0</v>
      </c>
      <c r="Y1971" s="1">
        <v>1.85</v>
      </c>
      <c r="Z1971" s="1">
        <v>4.8</v>
      </c>
    </row>
    <row r="1972" ht="14.25" customHeight="1">
      <c r="A1972" s="1" t="s">
        <v>26</v>
      </c>
      <c r="B1972" s="1" t="s">
        <v>3892</v>
      </c>
      <c r="C1972" s="1" t="s">
        <v>9715</v>
      </c>
      <c r="D1972" s="1">
        <v>4.0219708E7</v>
      </c>
      <c r="E1972" s="1" t="s">
        <v>3598</v>
      </c>
      <c r="F1972" s="1" t="s">
        <v>563</v>
      </c>
      <c r="G1972" s="1" t="s">
        <v>1187</v>
      </c>
      <c r="H1972" s="1" t="s">
        <v>9716</v>
      </c>
      <c r="I1972" s="1">
        <v>22649.0</v>
      </c>
      <c r="J1972" s="1" t="s">
        <v>9717</v>
      </c>
      <c r="K1972" s="1" t="s">
        <v>9718</v>
      </c>
      <c r="L1972" s="1">
        <v>131.0</v>
      </c>
      <c r="M1972" s="1" t="s">
        <v>35</v>
      </c>
      <c r="N1972" s="1" t="s">
        <v>36</v>
      </c>
      <c r="O1972" s="1" t="s">
        <v>37</v>
      </c>
      <c r="P1972" s="1">
        <v>2.1E7</v>
      </c>
      <c r="Q1972" s="1">
        <v>2001.0</v>
      </c>
      <c r="R1972" s="1">
        <v>18000.0</v>
      </c>
      <c r="S1972" s="1">
        <v>558.0</v>
      </c>
      <c r="T1972" s="1">
        <v>39.0</v>
      </c>
      <c r="U1972" s="1">
        <v>18630.0</v>
      </c>
      <c r="V1972" s="1">
        <v>48.0</v>
      </c>
      <c r="W1972" s="1">
        <v>0.0</v>
      </c>
      <c r="X1972" s="1">
        <v>3.0</v>
      </c>
      <c r="Y1972" s="1">
        <v>1.85</v>
      </c>
      <c r="Z1972" s="1">
        <v>6.3</v>
      </c>
    </row>
    <row r="1973" ht="14.25" customHeight="1">
      <c r="A1973" s="1" t="s">
        <v>26</v>
      </c>
      <c r="B1973" s="1" t="s">
        <v>3954</v>
      </c>
      <c r="C1973" s="1" t="s">
        <v>9719</v>
      </c>
      <c r="D1973" s="1">
        <v>1.3208891E8</v>
      </c>
      <c r="E1973" s="1" t="s">
        <v>1359</v>
      </c>
      <c r="F1973" s="1" t="s">
        <v>340</v>
      </c>
      <c r="G1973" s="1" t="s">
        <v>1663</v>
      </c>
      <c r="H1973" s="1" t="s">
        <v>631</v>
      </c>
      <c r="I1973" s="1">
        <v>533607.0</v>
      </c>
      <c r="J1973" s="1" t="s">
        <v>9720</v>
      </c>
      <c r="K1973" s="1" t="s">
        <v>9721</v>
      </c>
      <c r="L1973" s="1">
        <v>692.0</v>
      </c>
      <c r="M1973" s="1" t="s">
        <v>35</v>
      </c>
      <c r="N1973" s="1" t="s">
        <v>36</v>
      </c>
      <c r="O1973" s="1" t="s">
        <v>628</v>
      </c>
      <c r="P1973" s="1">
        <v>2.1E7</v>
      </c>
      <c r="Q1973" s="1">
        <v>2012.0</v>
      </c>
      <c r="R1973" s="1">
        <v>34000.0</v>
      </c>
      <c r="S1973" s="1">
        <v>22000.0</v>
      </c>
      <c r="T1973" s="1">
        <v>14000.0</v>
      </c>
      <c r="U1973" s="1">
        <v>72115.0</v>
      </c>
      <c r="V1973" s="1">
        <v>737.0</v>
      </c>
      <c r="W1973" s="1">
        <v>117000.0</v>
      </c>
      <c r="X1973" s="1">
        <v>0.0</v>
      </c>
      <c r="Y1973" s="1">
        <v>2.35</v>
      </c>
      <c r="Z1973" s="1">
        <v>7.8</v>
      </c>
    </row>
    <row r="1974" ht="14.25" customHeight="1">
      <c r="A1974" s="1" t="s">
        <v>26</v>
      </c>
      <c r="B1974" s="1" t="s">
        <v>5160</v>
      </c>
      <c r="C1974" s="1" t="s">
        <v>9722</v>
      </c>
      <c r="D1974" s="1">
        <v>3.6581633E7</v>
      </c>
      <c r="E1974" s="1" t="s">
        <v>1643</v>
      </c>
      <c r="F1974" s="1" t="s">
        <v>2287</v>
      </c>
      <c r="G1974" s="1" t="s">
        <v>1264</v>
      </c>
      <c r="H1974" s="1" t="s">
        <v>2334</v>
      </c>
      <c r="I1974" s="1">
        <v>52533.0</v>
      </c>
      <c r="J1974" s="1" t="s">
        <v>9723</v>
      </c>
      <c r="K1974" s="1" t="s">
        <v>9724</v>
      </c>
      <c r="L1974" s="1">
        <v>235.0</v>
      </c>
      <c r="M1974" s="1" t="s">
        <v>35</v>
      </c>
      <c r="N1974" s="1" t="s">
        <v>730</v>
      </c>
      <c r="O1974" s="1" t="s">
        <v>37</v>
      </c>
      <c r="P1974" s="1">
        <v>2.1E7</v>
      </c>
      <c r="Q1974" s="1">
        <v>2007.0</v>
      </c>
      <c r="R1974" s="1">
        <v>2000.0</v>
      </c>
      <c r="S1974" s="1">
        <v>826.0</v>
      </c>
      <c r="T1974" s="1">
        <v>579.0</v>
      </c>
      <c r="U1974" s="1">
        <v>3994.0</v>
      </c>
      <c r="V1974" s="1">
        <v>98.0</v>
      </c>
      <c r="W1974" s="1">
        <v>10000.0</v>
      </c>
      <c r="X1974" s="1">
        <v>1.0</v>
      </c>
      <c r="Y1974" s="1">
        <v>1.85</v>
      </c>
      <c r="Z1974" s="1">
        <v>7.5</v>
      </c>
    </row>
    <row r="1975" ht="14.25" customHeight="1">
      <c r="A1975" s="1" t="s">
        <v>26</v>
      </c>
      <c r="B1975" s="1" t="s">
        <v>1077</v>
      </c>
      <c r="C1975" s="1" t="s">
        <v>9725</v>
      </c>
      <c r="D1975" s="1">
        <v>2.5296447E7</v>
      </c>
      <c r="E1975" s="1" t="s">
        <v>326</v>
      </c>
      <c r="F1975" s="1" t="s">
        <v>327</v>
      </c>
      <c r="G1975" s="1" t="s">
        <v>9726</v>
      </c>
      <c r="H1975" s="1" t="s">
        <v>9727</v>
      </c>
      <c r="I1975" s="1">
        <v>237248.0</v>
      </c>
      <c r="J1975" s="1" t="s">
        <v>9728</v>
      </c>
      <c r="K1975" s="1" t="s">
        <v>9729</v>
      </c>
      <c r="L1975" s="1">
        <v>460.0</v>
      </c>
      <c r="M1975" s="1" t="s">
        <v>35</v>
      </c>
      <c r="N1975" s="1" t="s">
        <v>1832</v>
      </c>
      <c r="O1975" s="1" t="s">
        <v>37</v>
      </c>
      <c r="P1975" s="1">
        <v>2.1E7</v>
      </c>
      <c r="Q1975" s="1">
        <v>2002.0</v>
      </c>
      <c r="R1975" s="1">
        <v>26000.0</v>
      </c>
      <c r="S1975" s="1">
        <v>1000.0</v>
      </c>
      <c r="T1975" s="1">
        <v>447.0</v>
      </c>
      <c r="U1975" s="1">
        <v>27572.0</v>
      </c>
      <c r="V1975" s="1">
        <v>255.0</v>
      </c>
      <c r="W1975" s="1">
        <v>0.0</v>
      </c>
      <c r="X1975" s="1">
        <v>0.0</v>
      </c>
      <c r="Y1975" s="1">
        <v>2.35</v>
      </c>
      <c r="Z1975" s="1">
        <v>6.8</v>
      </c>
    </row>
    <row r="1976" ht="14.25" customHeight="1">
      <c r="A1976" s="1" t="s">
        <v>26</v>
      </c>
      <c r="B1976" s="1" t="s">
        <v>8393</v>
      </c>
      <c r="C1976" s="1" t="s">
        <v>9730</v>
      </c>
      <c r="D1976" s="1">
        <v>2.4848292E7</v>
      </c>
      <c r="E1976" s="1" t="s">
        <v>3101</v>
      </c>
      <c r="F1976" s="1" t="s">
        <v>632</v>
      </c>
      <c r="G1976" s="1" t="s">
        <v>8207</v>
      </c>
      <c r="H1976" s="1" t="s">
        <v>9731</v>
      </c>
      <c r="I1976" s="1">
        <v>80556.0</v>
      </c>
      <c r="J1976" s="1" t="s">
        <v>9732</v>
      </c>
      <c r="K1976" s="1" t="s">
        <v>9733</v>
      </c>
      <c r="L1976" s="1">
        <v>184.0</v>
      </c>
      <c r="M1976" s="1" t="s">
        <v>35</v>
      </c>
      <c r="N1976" s="1" t="s">
        <v>36</v>
      </c>
      <c r="O1976" s="1" t="s">
        <v>37</v>
      </c>
      <c r="P1976" s="1">
        <v>2.0E7</v>
      </c>
      <c r="Q1976" s="1">
        <v>2008.0</v>
      </c>
      <c r="R1976" s="1">
        <v>3000.0</v>
      </c>
      <c r="S1976" s="1">
        <v>427.0</v>
      </c>
      <c r="T1976" s="1">
        <v>149.0</v>
      </c>
      <c r="U1976" s="1">
        <v>4089.0</v>
      </c>
      <c r="V1976" s="1">
        <v>65.0</v>
      </c>
      <c r="W1976" s="1">
        <v>0.0</v>
      </c>
      <c r="X1976" s="1">
        <v>1.0</v>
      </c>
      <c r="Y1976" s="1">
        <v>2.35</v>
      </c>
      <c r="Z1976" s="1">
        <v>6.6</v>
      </c>
    </row>
    <row r="1977" ht="14.25" customHeight="1">
      <c r="A1977" s="1" t="s">
        <v>710</v>
      </c>
      <c r="B1977" s="1" t="s">
        <v>9734</v>
      </c>
      <c r="C1977" s="1" t="s">
        <v>9735</v>
      </c>
      <c r="D1977" s="1">
        <v>1.7757087E7</v>
      </c>
      <c r="E1977" s="1" t="s">
        <v>4107</v>
      </c>
      <c r="F1977" s="1" t="s">
        <v>9736</v>
      </c>
      <c r="G1977" s="1" t="s">
        <v>7333</v>
      </c>
      <c r="H1977" s="1" t="s">
        <v>9737</v>
      </c>
      <c r="I1977" s="1">
        <v>13065.0</v>
      </c>
      <c r="J1977" s="1" t="s">
        <v>9738</v>
      </c>
      <c r="K1977" s="1" t="s">
        <v>9739</v>
      </c>
      <c r="L1977" s="1">
        <v>253.0</v>
      </c>
      <c r="M1977" s="1" t="s">
        <v>35</v>
      </c>
      <c r="N1977" s="1" t="s">
        <v>36</v>
      </c>
      <c r="O1977" s="1" t="s">
        <v>628</v>
      </c>
      <c r="P1977" s="1">
        <v>2.1E7</v>
      </c>
      <c r="Q1977" s="1">
        <v>1999.0</v>
      </c>
      <c r="R1977" s="1">
        <v>711.0</v>
      </c>
      <c r="S1977" s="1">
        <v>490.0</v>
      </c>
      <c r="T1977" s="1">
        <v>484.0</v>
      </c>
      <c r="U1977" s="1">
        <v>3162.0</v>
      </c>
      <c r="V1977" s="1">
        <v>52.0</v>
      </c>
      <c r="W1977" s="1">
        <v>897.0</v>
      </c>
      <c r="X1977" s="1">
        <v>1.0</v>
      </c>
      <c r="Y1977" s="1">
        <v>1.85</v>
      </c>
      <c r="Z1977" s="1">
        <v>4.6</v>
      </c>
    </row>
    <row r="1978" ht="14.25" customHeight="1">
      <c r="A1978" s="1" t="s">
        <v>26</v>
      </c>
      <c r="B1978" s="1" t="s">
        <v>46</v>
      </c>
      <c r="C1978" s="1" t="s">
        <v>9740</v>
      </c>
      <c r="D1978" s="1">
        <v>9430988.0</v>
      </c>
      <c r="E1978" s="1" t="s">
        <v>1359</v>
      </c>
      <c r="F1978" s="1" t="s">
        <v>1719</v>
      </c>
      <c r="G1978" s="1" t="s">
        <v>7123</v>
      </c>
      <c r="H1978" s="1" t="s">
        <v>7053</v>
      </c>
      <c r="I1978" s="1">
        <v>45992.0</v>
      </c>
      <c r="J1978" s="1" t="s">
        <v>9741</v>
      </c>
      <c r="K1978" s="1" t="s">
        <v>9742</v>
      </c>
      <c r="L1978" s="1">
        <v>115.0</v>
      </c>
      <c r="M1978" s="1" t="s">
        <v>35</v>
      </c>
      <c r="N1978" s="1" t="s">
        <v>36</v>
      </c>
      <c r="O1978" s="1" t="s">
        <v>628</v>
      </c>
      <c r="P1978" s="1">
        <v>1.7E7</v>
      </c>
      <c r="Q1978" s="1">
        <v>2009.0</v>
      </c>
      <c r="R1978" s="1">
        <v>925.0</v>
      </c>
      <c r="S1978" s="1">
        <v>472.0</v>
      </c>
      <c r="T1978" s="1">
        <v>374.0</v>
      </c>
      <c r="U1978" s="1">
        <v>1997.0</v>
      </c>
      <c r="V1978" s="1">
        <v>0.0</v>
      </c>
      <c r="W1978" s="1">
        <v>7000.0</v>
      </c>
      <c r="X1978" s="1">
        <v>2.0</v>
      </c>
      <c r="Y1978" s="1">
        <v>2.35</v>
      </c>
      <c r="Z1978" s="1">
        <v>7.1</v>
      </c>
    </row>
    <row r="1979" ht="14.25" customHeight="1">
      <c r="A1979" s="1" t="s">
        <v>26</v>
      </c>
      <c r="B1979" s="1" t="s">
        <v>9743</v>
      </c>
      <c r="C1979" s="1" t="s">
        <v>9744</v>
      </c>
      <c r="D1979" s="1">
        <v>1.628436E7</v>
      </c>
      <c r="E1979" s="1" t="s">
        <v>2422</v>
      </c>
      <c r="F1979" s="1" t="s">
        <v>4427</v>
      </c>
      <c r="G1979" s="1" t="s">
        <v>3468</v>
      </c>
      <c r="H1979" s="1" t="s">
        <v>1329</v>
      </c>
      <c r="I1979" s="1">
        <v>15079.0</v>
      </c>
      <c r="J1979" s="1" t="s">
        <v>9745</v>
      </c>
      <c r="K1979" s="1" t="s">
        <v>9746</v>
      </c>
      <c r="L1979" s="1">
        <v>79.0</v>
      </c>
      <c r="M1979" s="1" t="s">
        <v>35</v>
      </c>
      <c r="N1979" s="1" t="s">
        <v>36</v>
      </c>
      <c r="O1979" s="1" t="s">
        <v>37</v>
      </c>
      <c r="P1979" s="1">
        <v>2.1E7</v>
      </c>
      <c r="Q1979" s="1">
        <v>2008.0</v>
      </c>
      <c r="R1979" s="1">
        <v>1000.0</v>
      </c>
      <c r="S1979" s="1">
        <v>901.0</v>
      </c>
      <c r="T1979" s="1">
        <v>886.0</v>
      </c>
      <c r="U1979" s="1">
        <v>6212.0</v>
      </c>
      <c r="V1979" s="1">
        <v>0.0</v>
      </c>
      <c r="W1979" s="1">
        <v>1000.0</v>
      </c>
      <c r="X1979" s="1">
        <v>1.0</v>
      </c>
      <c r="Y1979" s="1">
        <v>2.35</v>
      </c>
      <c r="Z1979" s="1">
        <v>6.1</v>
      </c>
    </row>
    <row r="1980" ht="14.25" customHeight="1">
      <c r="A1980" s="1" t="s">
        <v>26</v>
      </c>
      <c r="B1980" s="1" t="s">
        <v>1790</v>
      </c>
      <c r="C1980" s="1" t="s">
        <v>9747</v>
      </c>
      <c r="D1980" s="1">
        <v>6830957.0</v>
      </c>
      <c r="E1980" s="1" t="s">
        <v>206</v>
      </c>
      <c r="F1980" s="1" t="s">
        <v>365</v>
      </c>
      <c r="G1980" s="1" t="s">
        <v>1980</v>
      </c>
      <c r="H1980" s="1" t="s">
        <v>8345</v>
      </c>
      <c r="I1980" s="1">
        <v>11983.0</v>
      </c>
      <c r="J1980" s="1" t="s">
        <v>9748</v>
      </c>
      <c r="K1980" s="1" t="s">
        <v>9749</v>
      </c>
      <c r="L1980" s="1">
        <v>147.0</v>
      </c>
      <c r="M1980" s="1" t="s">
        <v>35</v>
      </c>
      <c r="N1980" s="1" t="s">
        <v>36</v>
      </c>
      <c r="O1980" s="1" t="s">
        <v>37</v>
      </c>
      <c r="P1980" s="1">
        <v>2.1E7</v>
      </c>
      <c r="Q1980" s="1">
        <v>2002.0</v>
      </c>
      <c r="R1980" s="1">
        <v>15000.0</v>
      </c>
      <c r="S1980" s="1">
        <v>1000.0</v>
      </c>
      <c r="T1980" s="1">
        <v>347.0</v>
      </c>
      <c r="U1980" s="1">
        <v>16692.0</v>
      </c>
      <c r="V1980" s="1">
        <v>52.0</v>
      </c>
      <c r="W1980" s="1">
        <v>365.0</v>
      </c>
      <c r="X1980" s="1">
        <v>3.0</v>
      </c>
      <c r="Y1980" s="1">
        <v>2.35</v>
      </c>
      <c r="Z1980" s="1">
        <v>6.7</v>
      </c>
    </row>
    <row r="1981" ht="14.25" customHeight="1">
      <c r="A1981" s="1" t="s">
        <v>26</v>
      </c>
      <c r="B1981" s="1" t="s">
        <v>9750</v>
      </c>
      <c r="C1981" s="1" t="s">
        <v>9751</v>
      </c>
      <c r="D1981" s="1">
        <v>2.4104113E7</v>
      </c>
      <c r="E1981" s="1" t="s">
        <v>1842</v>
      </c>
      <c r="F1981" s="1" t="s">
        <v>345</v>
      </c>
      <c r="G1981" s="1" t="s">
        <v>424</v>
      </c>
      <c r="H1981" s="1" t="s">
        <v>425</v>
      </c>
      <c r="I1981" s="1">
        <v>149066.0</v>
      </c>
      <c r="J1981" s="1" t="s">
        <v>9752</v>
      </c>
      <c r="K1981" s="1" t="s">
        <v>9753</v>
      </c>
      <c r="L1981" s="1">
        <v>517.0</v>
      </c>
      <c r="M1981" s="1" t="s">
        <v>35</v>
      </c>
      <c r="N1981" s="1" t="s">
        <v>1832</v>
      </c>
      <c r="O1981" s="1" t="s">
        <v>628</v>
      </c>
      <c r="P1981" s="1">
        <v>2.0E7</v>
      </c>
      <c r="Q1981" s="1">
        <v>2011.0</v>
      </c>
      <c r="R1981" s="1">
        <v>19000.0</v>
      </c>
      <c r="S1981" s="1">
        <v>14000.0</v>
      </c>
      <c r="T1981" s="1">
        <v>10000.0</v>
      </c>
      <c r="U1981" s="1">
        <v>46241.0</v>
      </c>
      <c r="V1981" s="1">
        <v>140.0</v>
      </c>
      <c r="W1981" s="1">
        <v>24000.0</v>
      </c>
      <c r="X1981" s="1">
        <v>1.0</v>
      </c>
      <c r="Y1981" s="1">
        <v>2.35</v>
      </c>
      <c r="Z1981" s="1">
        <v>7.1</v>
      </c>
    </row>
    <row r="1982" ht="14.25" customHeight="1">
      <c r="A1982" s="1" t="s">
        <v>26</v>
      </c>
      <c r="B1982" s="1" t="s">
        <v>9754</v>
      </c>
      <c r="C1982" s="1" t="s">
        <v>9755</v>
      </c>
      <c r="D1982" s="1">
        <v>15593.0</v>
      </c>
      <c r="E1982" s="1" t="s">
        <v>1359</v>
      </c>
      <c r="F1982" s="1" t="s">
        <v>9756</v>
      </c>
      <c r="G1982" s="1" t="s">
        <v>9757</v>
      </c>
      <c r="H1982" s="1" t="s">
        <v>9758</v>
      </c>
      <c r="I1982" s="1">
        <v>2295.0</v>
      </c>
      <c r="J1982" s="1" t="s">
        <v>9759</v>
      </c>
      <c r="K1982" s="1" t="s">
        <v>9760</v>
      </c>
      <c r="L1982" s="1">
        <v>40.0</v>
      </c>
      <c r="M1982" s="1" t="s">
        <v>35</v>
      </c>
      <c r="N1982" s="1" t="s">
        <v>36</v>
      </c>
      <c r="O1982" s="1" t="s">
        <v>37</v>
      </c>
      <c r="P1982" s="1">
        <v>2.1E7</v>
      </c>
      <c r="Q1982" s="1">
        <v>1999.0</v>
      </c>
      <c r="R1982" s="1">
        <v>670.0</v>
      </c>
      <c r="S1982" s="1">
        <v>419.0</v>
      </c>
      <c r="T1982" s="1">
        <v>186.0</v>
      </c>
      <c r="U1982" s="1">
        <v>1562.0</v>
      </c>
      <c r="V1982" s="1">
        <v>18.0</v>
      </c>
      <c r="W1982" s="1">
        <v>284.0</v>
      </c>
      <c r="X1982" s="1">
        <v>1.0</v>
      </c>
      <c r="Y1982" s="1">
        <v>1.85</v>
      </c>
      <c r="Z1982" s="1">
        <v>5.8</v>
      </c>
    </row>
    <row r="1983" ht="14.25" customHeight="1">
      <c r="A1983" s="1" t="s">
        <v>26</v>
      </c>
      <c r="B1983" s="1" t="s">
        <v>8511</v>
      </c>
      <c r="C1983" s="1" t="s">
        <v>9761</v>
      </c>
      <c r="D1983" s="1">
        <v>958319.0</v>
      </c>
      <c r="E1983" s="1" t="s">
        <v>3238</v>
      </c>
      <c r="F1983" s="1" t="s">
        <v>340</v>
      </c>
      <c r="G1983" s="1" t="s">
        <v>3124</v>
      </c>
      <c r="H1983" s="1" t="s">
        <v>8797</v>
      </c>
      <c r="I1983" s="1">
        <v>39764.0</v>
      </c>
      <c r="J1983" s="1" t="s">
        <v>9762</v>
      </c>
      <c r="K1983" s="1" t="s">
        <v>9763</v>
      </c>
      <c r="L1983" s="1">
        <v>148.0</v>
      </c>
      <c r="M1983" s="1" t="s">
        <v>35</v>
      </c>
      <c r="N1983" s="1" t="s">
        <v>36</v>
      </c>
      <c r="O1983" s="1" t="s">
        <v>37</v>
      </c>
      <c r="P1983" s="1">
        <v>2.1E7</v>
      </c>
      <c r="Q1983" s="1">
        <v>2011.0</v>
      </c>
      <c r="R1983" s="1">
        <v>34000.0</v>
      </c>
      <c r="S1983" s="1">
        <v>242.0</v>
      </c>
      <c r="T1983" s="1">
        <v>220.0</v>
      </c>
      <c r="U1983" s="1">
        <v>34705.0</v>
      </c>
      <c r="V1983" s="1">
        <v>0.0</v>
      </c>
      <c r="W1983" s="1">
        <v>17000.0</v>
      </c>
      <c r="X1983" s="1">
        <v>0.0</v>
      </c>
      <c r="Y1983" s="1">
        <v>2.35</v>
      </c>
      <c r="Z1983" s="1">
        <v>6.7</v>
      </c>
    </row>
    <row r="1984" ht="14.25" customHeight="1">
      <c r="A1984" s="1" t="s">
        <v>26</v>
      </c>
      <c r="B1984" s="1" t="s">
        <v>9764</v>
      </c>
      <c r="C1984" s="1" t="s">
        <v>9765</v>
      </c>
      <c r="D1984" s="1">
        <v>6.97E7</v>
      </c>
      <c r="E1984" s="1" t="s">
        <v>5564</v>
      </c>
      <c r="F1984" s="1" t="s">
        <v>8457</v>
      </c>
      <c r="G1984" s="1" t="s">
        <v>8754</v>
      </c>
      <c r="H1984" s="1" t="s">
        <v>9766</v>
      </c>
      <c r="I1984" s="1">
        <v>7748.0</v>
      </c>
      <c r="J1984" s="1" t="s">
        <v>9767</v>
      </c>
      <c r="K1984" s="1" t="s">
        <v>9768</v>
      </c>
      <c r="L1984" s="1">
        <v>48.0</v>
      </c>
      <c r="M1984" s="1" t="s">
        <v>35</v>
      </c>
      <c r="N1984" s="1" t="s">
        <v>36</v>
      </c>
      <c r="O1984" s="1" t="s">
        <v>628</v>
      </c>
      <c r="P1984" s="1">
        <v>3.5E7</v>
      </c>
      <c r="Q1984" s="1">
        <v>1982.0</v>
      </c>
      <c r="R1984" s="1">
        <v>1000.0</v>
      </c>
      <c r="S1984" s="1">
        <v>883.0</v>
      </c>
      <c r="T1984" s="1">
        <v>842.0</v>
      </c>
      <c r="U1984" s="1">
        <v>3688.0</v>
      </c>
      <c r="V1984" s="1">
        <v>19.0</v>
      </c>
      <c r="W1984" s="1">
        <v>0.0</v>
      </c>
      <c r="X1984" s="1">
        <v>2.0</v>
      </c>
      <c r="Y1984" s="1">
        <v>2.35</v>
      </c>
      <c r="Z1984" s="1">
        <v>5.8</v>
      </c>
    </row>
    <row r="1985" ht="14.25" customHeight="1">
      <c r="A1985" s="1" t="s">
        <v>26</v>
      </c>
      <c r="B1985" s="1" t="s">
        <v>5104</v>
      </c>
      <c r="C1985" s="1" t="s">
        <v>9769</v>
      </c>
      <c r="D1985" s="1">
        <v>2840417.0</v>
      </c>
      <c r="E1985" s="1" t="s">
        <v>4107</v>
      </c>
      <c r="F1985" s="1" t="s">
        <v>2510</v>
      </c>
      <c r="G1985" s="1" t="s">
        <v>8006</v>
      </c>
      <c r="H1985" s="1" t="s">
        <v>694</v>
      </c>
      <c r="I1985" s="1">
        <v>77493.0</v>
      </c>
      <c r="J1985" s="1" t="s">
        <v>9770</v>
      </c>
      <c r="K1985" s="1" t="s">
        <v>9771</v>
      </c>
      <c r="L1985" s="1">
        <v>527.0</v>
      </c>
      <c r="M1985" s="1" t="s">
        <v>35</v>
      </c>
      <c r="N1985" s="1" t="s">
        <v>260</v>
      </c>
      <c r="O1985" s="1" t="s">
        <v>628</v>
      </c>
      <c r="P1985" s="1">
        <v>3.1E7</v>
      </c>
      <c r="Q1985" s="1">
        <v>1999.0</v>
      </c>
      <c r="R1985" s="1">
        <v>1000.0</v>
      </c>
      <c r="S1985" s="1">
        <v>900.0</v>
      </c>
      <c r="T1985" s="1">
        <v>716.0</v>
      </c>
      <c r="U1985" s="1">
        <v>2990.0</v>
      </c>
      <c r="V1985" s="1">
        <v>0.0</v>
      </c>
      <c r="W1985" s="1">
        <v>6000.0</v>
      </c>
      <c r="X1985" s="1">
        <v>0.0</v>
      </c>
      <c r="Y1985" s="1">
        <v>1.85</v>
      </c>
      <c r="Z1985" s="1">
        <v>6.8</v>
      </c>
    </row>
    <row r="1986" ht="14.25" customHeight="1">
      <c r="A1986" s="1" t="s">
        <v>26</v>
      </c>
      <c r="B1986" s="1" t="s">
        <v>381</v>
      </c>
      <c r="C1986" s="1" t="s">
        <v>9772</v>
      </c>
      <c r="D1986" s="1">
        <v>2.42374454E8</v>
      </c>
      <c r="E1986" s="1" t="s">
        <v>119</v>
      </c>
      <c r="F1986" s="1" t="s">
        <v>383</v>
      </c>
      <c r="G1986" s="1" t="s">
        <v>1290</v>
      </c>
      <c r="H1986" s="1" t="s">
        <v>6802</v>
      </c>
      <c r="I1986" s="1">
        <v>661017.0</v>
      </c>
      <c r="J1986" s="1" t="s">
        <v>9773</v>
      </c>
      <c r="K1986" s="1" t="s">
        <v>9774</v>
      </c>
      <c r="L1986" s="1">
        <v>771.0</v>
      </c>
      <c r="M1986" s="1" t="s">
        <v>35</v>
      </c>
      <c r="N1986" s="1" t="s">
        <v>36</v>
      </c>
      <c r="O1986" s="1" t="s">
        <v>87</v>
      </c>
      <c r="P1986" s="1">
        <v>1.8E7</v>
      </c>
      <c r="Q1986" s="1">
        <v>1981.0</v>
      </c>
      <c r="R1986" s="1">
        <v>11000.0</v>
      </c>
      <c r="S1986" s="1">
        <v>783.0</v>
      </c>
      <c r="T1986" s="1">
        <v>488.0</v>
      </c>
      <c r="U1986" s="1">
        <v>12906.0</v>
      </c>
      <c r="V1986" s="1">
        <v>14000.0</v>
      </c>
      <c r="W1986" s="1">
        <v>16000.0</v>
      </c>
      <c r="X1986" s="1">
        <v>1.0</v>
      </c>
      <c r="Y1986" s="1">
        <v>2.35</v>
      </c>
      <c r="Z1986" s="1">
        <v>8.5</v>
      </c>
    </row>
    <row r="1987" ht="14.25" customHeight="1">
      <c r="A1987" s="1" t="s">
        <v>26</v>
      </c>
      <c r="B1987" s="1" t="s">
        <v>1200</v>
      </c>
      <c r="C1987" s="1" t="s">
        <v>9775</v>
      </c>
      <c r="D1987" s="1">
        <v>1.73585516E8</v>
      </c>
      <c r="E1987" s="1" t="s">
        <v>2267</v>
      </c>
      <c r="F1987" s="1" t="s">
        <v>6147</v>
      </c>
      <c r="G1987" s="1" t="s">
        <v>2358</v>
      </c>
      <c r="H1987" s="1" t="s">
        <v>2671</v>
      </c>
      <c r="I1987" s="1">
        <v>200077.0</v>
      </c>
      <c r="J1987" s="1" t="s">
        <v>9776</v>
      </c>
      <c r="K1987" s="1" t="s">
        <v>9777</v>
      </c>
      <c r="L1987" s="1">
        <v>189.0</v>
      </c>
      <c r="M1987" s="1" t="s">
        <v>35</v>
      </c>
      <c r="N1987" s="1" t="s">
        <v>36</v>
      </c>
      <c r="O1987" s="1" t="s">
        <v>87</v>
      </c>
      <c r="P1987" s="1">
        <v>1.8E7</v>
      </c>
      <c r="Q1987" s="1">
        <v>1992.0</v>
      </c>
      <c r="R1987" s="1">
        <v>3000.0</v>
      </c>
      <c r="S1987" s="1">
        <v>1000.0</v>
      </c>
      <c r="T1987" s="1">
        <v>1000.0</v>
      </c>
      <c r="U1987" s="1">
        <v>7860.0</v>
      </c>
      <c r="V1987" s="1">
        <v>0.0</v>
      </c>
      <c r="W1987" s="1">
        <v>0.0</v>
      </c>
      <c r="X1987" s="1">
        <v>2.0</v>
      </c>
      <c r="Y1987" s="1">
        <v>1.85</v>
      </c>
      <c r="Z1987" s="1">
        <v>6.6</v>
      </c>
    </row>
    <row r="1988" ht="14.25" customHeight="1">
      <c r="A1988" s="1" t="s">
        <v>26</v>
      </c>
      <c r="B1988" s="1" t="s">
        <v>381</v>
      </c>
      <c r="C1988" s="1" t="s">
        <v>9778</v>
      </c>
      <c r="D1988" s="1">
        <v>1.283E8</v>
      </c>
      <c r="E1988" s="1" t="s">
        <v>1766</v>
      </c>
      <c r="F1988" s="1" t="s">
        <v>3183</v>
      </c>
      <c r="G1988" s="1" t="s">
        <v>9779</v>
      </c>
      <c r="H1988" s="1" t="s">
        <v>7660</v>
      </c>
      <c r="I1988" s="1">
        <v>139288.0</v>
      </c>
      <c r="J1988" s="1" t="s">
        <v>9780</v>
      </c>
      <c r="K1988" s="1" t="s">
        <v>9781</v>
      </c>
      <c r="L1988" s="1">
        <v>339.0</v>
      </c>
      <c r="M1988" s="1" t="s">
        <v>35</v>
      </c>
      <c r="N1988" s="1" t="s">
        <v>36</v>
      </c>
      <c r="O1988" s="1" t="s">
        <v>87</v>
      </c>
      <c r="P1988" s="1">
        <v>1.940087E7</v>
      </c>
      <c r="Q1988" s="1">
        <v>1977.0</v>
      </c>
      <c r="R1988" s="1">
        <v>559.0</v>
      </c>
      <c r="S1988" s="1">
        <v>481.0</v>
      </c>
      <c r="T1988" s="1">
        <v>252.0</v>
      </c>
      <c r="U1988" s="1">
        <v>1591.0</v>
      </c>
      <c r="V1988" s="1">
        <v>14000.0</v>
      </c>
      <c r="W1988" s="1">
        <v>0.0</v>
      </c>
      <c r="X1988" s="1">
        <v>0.0</v>
      </c>
      <c r="Y1988" s="1">
        <v>2.35</v>
      </c>
      <c r="Z1988" s="1">
        <v>7.7</v>
      </c>
    </row>
    <row r="1989" ht="14.25" customHeight="1">
      <c r="A1989" s="1" t="s">
        <v>26</v>
      </c>
      <c r="B1989" s="1" t="s">
        <v>9782</v>
      </c>
      <c r="C1989" s="1" t="s">
        <v>9783</v>
      </c>
      <c r="D1989" s="1">
        <v>2.0259297E7</v>
      </c>
      <c r="E1989" s="1" t="s">
        <v>3448</v>
      </c>
      <c r="F1989" s="1" t="s">
        <v>9784</v>
      </c>
      <c r="G1989" s="1" t="s">
        <v>2931</v>
      </c>
      <c r="H1989" s="1" t="s">
        <v>1140</v>
      </c>
      <c r="I1989" s="1">
        <v>24969.0</v>
      </c>
      <c r="J1989" s="1" t="s">
        <v>9785</v>
      </c>
      <c r="K1989" s="1" t="s">
        <v>9786</v>
      </c>
      <c r="L1989" s="1">
        <v>258.0</v>
      </c>
      <c r="M1989" s="1" t="s">
        <v>35</v>
      </c>
      <c r="N1989" s="1" t="s">
        <v>36</v>
      </c>
      <c r="O1989" s="1" t="s">
        <v>37</v>
      </c>
      <c r="P1989" s="1">
        <v>2.0E7</v>
      </c>
      <c r="Q1989" s="1">
        <v>2006.0</v>
      </c>
      <c r="R1989" s="1">
        <v>16000.0</v>
      </c>
      <c r="S1989" s="1">
        <v>1000.0</v>
      </c>
      <c r="T1989" s="1">
        <v>807.0</v>
      </c>
      <c r="U1989" s="1">
        <v>19952.0</v>
      </c>
      <c r="V1989" s="1">
        <v>2.0</v>
      </c>
      <c r="W1989" s="1">
        <v>0.0</v>
      </c>
      <c r="X1989" s="1">
        <v>0.0</v>
      </c>
      <c r="Y1989" s="1">
        <v>2.35</v>
      </c>
      <c r="Z1989" s="1">
        <v>4.7</v>
      </c>
    </row>
    <row r="1990" ht="14.25" customHeight="1">
      <c r="A1990" s="1" t="s">
        <v>26</v>
      </c>
      <c r="B1990" s="1" t="s">
        <v>1656</v>
      </c>
      <c r="C1990" s="1" t="s">
        <v>9787</v>
      </c>
      <c r="D1990" s="1">
        <v>1.53665036E8</v>
      </c>
      <c r="E1990" s="1" t="s">
        <v>408</v>
      </c>
      <c r="F1990" s="1" t="s">
        <v>2239</v>
      </c>
      <c r="G1990" s="1" t="s">
        <v>3468</v>
      </c>
      <c r="H1990" s="1" t="s">
        <v>1250</v>
      </c>
      <c r="I1990" s="1">
        <v>84824.0</v>
      </c>
      <c r="J1990" s="1" t="s">
        <v>9788</v>
      </c>
      <c r="K1990" s="1" t="s">
        <v>9789</v>
      </c>
      <c r="L1990" s="1">
        <v>95.0</v>
      </c>
      <c r="M1990" s="1" t="s">
        <v>35</v>
      </c>
      <c r="N1990" s="1" t="s">
        <v>36</v>
      </c>
      <c r="O1990" s="1" t="s">
        <v>628</v>
      </c>
      <c r="P1990" s="1">
        <v>2.8E7</v>
      </c>
      <c r="Q1990" s="1">
        <v>1987.0</v>
      </c>
      <c r="R1990" s="1">
        <v>936.0</v>
      </c>
      <c r="S1990" s="1">
        <v>901.0</v>
      </c>
      <c r="T1990" s="1">
        <v>605.0</v>
      </c>
      <c r="U1990" s="1">
        <v>4121.0</v>
      </c>
      <c r="V1990" s="1">
        <v>12000.0</v>
      </c>
      <c r="W1990" s="1">
        <v>0.0</v>
      </c>
      <c r="X1990" s="1">
        <v>1.0</v>
      </c>
      <c r="Y1990" s="1">
        <v>2.35</v>
      </c>
      <c r="Z1990" s="1">
        <v>6.4</v>
      </c>
    </row>
    <row r="1991" ht="14.25" customHeight="1">
      <c r="A1991" s="1" t="s">
        <v>26</v>
      </c>
      <c r="B1991" s="1" t="s">
        <v>2502</v>
      </c>
      <c r="C1991" s="1" t="s">
        <v>9790</v>
      </c>
      <c r="D1991" s="1">
        <v>1.32541238E8</v>
      </c>
      <c r="E1991" s="1" t="s">
        <v>1885</v>
      </c>
      <c r="F1991" s="1" t="s">
        <v>9518</v>
      </c>
      <c r="G1991" s="1" t="s">
        <v>9791</v>
      </c>
      <c r="H1991" s="1" t="s">
        <v>9792</v>
      </c>
      <c r="I1991" s="1">
        <v>30058.0</v>
      </c>
      <c r="J1991" s="1" t="s">
        <v>9793</v>
      </c>
      <c r="K1991" s="1" t="s">
        <v>9794</v>
      </c>
      <c r="L1991" s="1">
        <v>236.0</v>
      </c>
      <c r="M1991" s="1" t="s">
        <v>35</v>
      </c>
      <c r="N1991" s="1" t="s">
        <v>36</v>
      </c>
      <c r="O1991" s="1" t="s">
        <v>37</v>
      </c>
      <c r="P1991" s="1">
        <v>3.3E7</v>
      </c>
      <c r="Q1991" s="1">
        <v>2003.0</v>
      </c>
      <c r="R1991" s="1">
        <v>1000.0</v>
      </c>
      <c r="S1991" s="1">
        <v>409.0</v>
      </c>
      <c r="T1991" s="1">
        <v>338.0</v>
      </c>
      <c r="U1991" s="1">
        <v>2505.0</v>
      </c>
      <c r="V1991" s="1">
        <v>163.0</v>
      </c>
      <c r="W1991" s="1">
        <v>800.0</v>
      </c>
      <c r="X1991" s="1">
        <v>2.0</v>
      </c>
      <c r="Y1991" s="1">
        <v>2.35</v>
      </c>
      <c r="Z1991" s="1">
        <v>5.5</v>
      </c>
    </row>
    <row r="1992" ht="14.25" customHeight="1">
      <c r="A1992" s="1" t="s">
        <v>26</v>
      </c>
      <c r="B1992" s="1" t="s">
        <v>2610</v>
      </c>
      <c r="C1992" s="1" t="s">
        <v>9795</v>
      </c>
      <c r="D1992" s="1">
        <v>1.30727E8</v>
      </c>
      <c r="E1992" s="1" t="s">
        <v>6249</v>
      </c>
      <c r="F1992" s="1" t="s">
        <v>726</v>
      </c>
      <c r="G1992" s="1" t="s">
        <v>1264</v>
      </c>
      <c r="H1992" s="1" t="s">
        <v>6173</v>
      </c>
      <c r="I1992" s="1">
        <v>887467.0</v>
      </c>
      <c r="J1992" s="1" t="s">
        <v>9796</v>
      </c>
      <c r="K1992" s="1" t="s">
        <v>9797</v>
      </c>
      <c r="L1992" s="1">
        <v>916.0</v>
      </c>
      <c r="M1992" s="1" t="s">
        <v>35</v>
      </c>
      <c r="N1992" s="1" t="s">
        <v>36</v>
      </c>
      <c r="O1992" s="1" t="s">
        <v>628</v>
      </c>
      <c r="P1992" s="1">
        <v>1.9E7</v>
      </c>
      <c r="Q1992" s="1">
        <v>1991.0</v>
      </c>
      <c r="R1992" s="1">
        <v>12000.0</v>
      </c>
      <c r="S1992" s="1">
        <v>826.0</v>
      </c>
      <c r="T1992" s="1">
        <v>173.0</v>
      </c>
      <c r="U1992" s="1">
        <v>13184.0</v>
      </c>
      <c r="V1992" s="1">
        <v>438.0</v>
      </c>
      <c r="W1992" s="1">
        <v>40000.0</v>
      </c>
      <c r="X1992" s="1">
        <v>0.0</v>
      </c>
      <c r="Y1992" s="1">
        <v>1.85</v>
      </c>
      <c r="Z1992" s="1">
        <v>8.6</v>
      </c>
    </row>
    <row r="1993" ht="14.25" customHeight="1">
      <c r="A1993" s="1" t="s">
        <v>26</v>
      </c>
      <c r="B1993" s="1" t="s">
        <v>9798</v>
      </c>
      <c r="C1993" s="1" t="s">
        <v>9799</v>
      </c>
      <c r="D1993" s="1">
        <v>1.2169735E8</v>
      </c>
      <c r="E1993" s="1" t="s">
        <v>7157</v>
      </c>
      <c r="F1993" s="1" t="s">
        <v>1652</v>
      </c>
      <c r="G1993" s="1" t="s">
        <v>5137</v>
      </c>
      <c r="H1993" s="1" t="s">
        <v>4378</v>
      </c>
      <c r="I1993" s="1">
        <v>114610.0</v>
      </c>
      <c r="J1993" s="1" t="s">
        <v>9800</v>
      </c>
      <c r="K1993" s="1" t="s">
        <v>9801</v>
      </c>
      <c r="L1993" s="1">
        <v>176.0</v>
      </c>
      <c r="M1993" s="1" t="s">
        <v>35</v>
      </c>
      <c r="N1993" s="1" t="s">
        <v>36</v>
      </c>
      <c r="O1993" s="1" t="s">
        <v>37</v>
      </c>
      <c r="P1993" s="1">
        <v>2.0E7</v>
      </c>
      <c r="Q1993" s="1">
        <v>1992.0</v>
      </c>
      <c r="R1993" s="1">
        <v>1000.0</v>
      </c>
      <c r="S1993" s="1">
        <v>619.0</v>
      </c>
      <c r="T1993" s="1">
        <v>617.0</v>
      </c>
      <c r="U1993" s="1">
        <v>4263.0</v>
      </c>
      <c r="V1993" s="1">
        <v>122.0</v>
      </c>
      <c r="W1993" s="1">
        <v>0.0</v>
      </c>
      <c r="X1993" s="1">
        <v>2.0</v>
      </c>
      <c r="Y1993" s="1">
        <v>1.85</v>
      </c>
      <c r="Z1993" s="1">
        <v>7.0</v>
      </c>
    </row>
    <row r="1994" ht="14.25" customHeight="1">
      <c r="A1994" s="1" t="s">
        <v>26</v>
      </c>
      <c r="B1994" s="1" t="s">
        <v>9802</v>
      </c>
      <c r="C1994" s="1" t="s">
        <v>9803</v>
      </c>
      <c r="D1994" s="1">
        <v>1.17224271E8</v>
      </c>
      <c r="E1994" s="1" t="s">
        <v>9804</v>
      </c>
      <c r="F1994" s="1" t="s">
        <v>9805</v>
      </c>
      <c r="G1994" s="1" t="s">
        <v>9806</v>
      </c>
      <c r="H1994" s="1" t="s">
        <v>9807</v>
      </c>
      <c r="I1994" s="1">
        <v>47794.0</v>
      </c>
      <c r="J1994" s="1" t="s">
        <v>9808</v>
      </c>
      <c r="K1994" s="1" t="s">
        <v>9809</v>
      </c>
      <c r="L1994" s="1">
        <v>81.0</v>
      </c>
      <c r="M1994" s="1" t="s">
        <v>35</v>
      </c>
      <c r="N1994" s="1" t="s">
        <v>36</v>
      </c>
      <c r="O1994" s="1" t="s">
        <v>628</v>
      </c>
      <c r="P1994" s="1">
        <v>2.0E7</v>
      </c>
      <c r="Q1994" s="1">
        <v>2010.0</v>
      </c>
      <c r="R1994" s="1">
        <v>608.0</v>
      </c>
      <c r="S1994" s="1">
        <v>362.0</v>
      </c>
      <c r="T1994" s="1">
        <v>218.0</v>
      </c>
      <c r="U1994" s="1">
        <v>1787.0</v>
      </c>
      <c r="V1994" s="1">
        <v>79.0</v>
      </c>
      <c r="W1994" s="1">
        <v>0.0</v>
      </c>
      <c r="X1994" s="1">
        <v>1.0</v>
      </c>
      <c r="Y1994" s="1">
        <v>1.78</v>
      </c>
      <c r="Z1994" s="1">
        <v>7.1</v>
      </c>
    </row>
    <row r="1995" ht="14.25" customHeight="1">
      <c r="A1995" s="1" t="s">
        <v>26</v>
      </c>
      <c r="B1995" s="1" t="s">
        <v>9810</v>
      </c>
      <c r="C1995" s="1" t="s">
        <v>9811</v>
      </c>
      <c r="D1995" s="1">
        <v>1.02922376E8</v>
      </c>
      <c r="E1995" s="1" t="s">
        <v>8022</v>
      </c>
      <c r="F1995" s="1" t="s">
        <v>9812</v>
      </c>
      <c r="G1995" s="1" t="s">
        <v>9813</v>
      </c>
      <c r="H1995" s="1" t="s">
        <v>9814</v>
      </c>
      <c r="I1995" s="1">
        <v>51314.0</v>
      </c>
      <c r="J1995" s="1" t="s">
        <v>9815</v>
      </c>
      <c r="K1995" s="1" t="s">
        <v>9816</v>
      </c>
      <c r="L1995" s="1">
        <v>265.0</v>
      </c>
      <c r="M1995" s="1" t="s">
        <v>35</v>
      </c>
      <c r="N1995" s="1" t="s">
        <v>36</v>
      </c>
      <c r="O1995" s="1" t="s">
        <v>87</v>
      </c>
      <c r="P1995" s="1">
        <v>2.0E7</v>
      </c>
      <c r="Q1995" s="1">
        <v>1978.0</v>
      </c>
      <c r="R1995" s="1">
        <v>813.0</v>
      </c>
      <c r="S1995" s="1">
        <v>366.0</v>
      </c>
      <c r="T1995" s="1">
        <v>85.0</v>
      </c>
      <c r="U1995" s="1">
        <v>1520.0</v>
      </c>
      <c r="V1995" s="1">
        <v>82.0</v>
      </c>
      <c r="W1995" s="1">
        <v>0.0</v>
      </c>
      <c r="X1995" s="1">
        <v>0.0</v>
      </c>
      <c r="Y1995" s="1">
        <v>2.35</v>
      </c>
      <c r="Z1995" s="1">
        <v>5.7</v>
      </c>
    </row>
    <row r="1996" ht="14.25" customHeight="1">
      <c r="A1996" s="1" t="s">
        <v>26</v>
      </c>
      <c r="B1996" s="1" t="s">
        <v>1497</v>
      </c>
      <c r="C1996" s="1" t="s">
        <v>9817</v>
      </c>
      <c r="D1996" s="1">
        <v>9.4497271E7</v>
      </c>
      <c r="E1996" s="1" t="s">
        <v>9818</v>
      </c>
      <c r="F1996" s="1" t="s">
        <v>1651</v>
      </c>
      <c r="G1996" s="1" t="s">
        <v>5468</v>
      </c>
      <c r="H1996" s="1" t="s">
        <v>9819</v>
      </c>
      <c r="I1996" s="1">
        <v>17829.0</v>
      </c>
      <c r="J1996" s="1" t="s">
        <v>9820</v>
      </c>
      <c r="K1996" s="1" t="s">
        <v>9821</v>
      </c>
      <c r="L1996" s="1">
        <v>99.0</v>
      </c>
      <c r="M1996" s="1" t="s">
        <v>35</v>
      </c>
      <c r="N1996" s="1" t="s">
        <v>36</v>
      </c>
      <c r="O1996" s="1" t="s">
        <v>87</v>
      </c>
      <c r="P1996" s="1">
        <v>2.0E7</v>
      </c>
      <c r="Q1996" s="1">
        <v>2008.0</v>
      </c>
      <c r="R1996" s="1">
        <v>2000.0</v>
      </c>
      <c r="S1996" s="1">
        <v>641.0</v>
      </c>
      <c r="T1996" s="1">
        <v>597.0</v>
      </c>
      <c r="U1996" s="1">
        <v>4729.0</v>
      </c>
      <c r="V1996" s="1">
        <v>67.0</v>
      </c>
      <c r="W1996" s="1">
        <v>0.0</v>
      </c>
      <c r="X1996" s="1">
        <v>1.0</v>
      </c>
      <c r="Y1996" s="1">
        <v>2.35</v>
      </c>
      <c r="Z1996" s="1">
        <v>3.7</v>
      </c>
    </row>
    <row r="1997" ht="14.25" customHeight="1">
      <c r="A1997" s="1" t="s">
        <v>26</v>
      </c>
      <c r="B1997" s="1" t="s">
        <v>324</v>
      </c>
      <c r="C1997" s="1" t="s">
        <v>9822</v>
      </c>
      <c r="D1997" s="1">
        <v>1.37387272E8</v>
      </c>
      <c r="E1997" s="1" t="s">
        <v>2882</v>
      </c>
      <c r="F1997" s="1" t="s">
        <v>638</v>
      </c>
      <c r="G1997" s="1" t="s">
        <v>2547</v>
      </c>
      <c r="H1997" s="1" t="s">
        <v>9823</v>
      </c>
      <c r="I1997" s="1">
        <v>300110.0</v>
      </c>
      <c r="J1997" s="1" t="s">
        <v>9824</v>
      </c>
      <c r="K1997" s="1" t="s">
        <v>9825</v>
      </c>
      <c r="L1997" s="1">
        <v>807.0</v>
      </c>
      <c r="M1997" s="1" t="s">
        <v>35</v>
      </c>
      <c r="N1997" s="1" t="s">
        <v>36</v>
      </c>
      <c r="O1997" s="1" t="s">
        <v>628</v>
      </c>
      <c r="P1997" s="1">
        <v>2.0E7</v>
      </c>
      <c r="Q1997" s="1">
        <v>2013.0</v>
      </c>
      <c r="R1997" s="1">
        <v>6000.0</v>
      </c>
      <c r="S1997" s="1">
        <v>960.0</v>
      </c>
      <c r="T1997" s="1">
        <v>697.0</v>
      </c>
      <c r="U1997" s="1">
        <v>9049.0</v>
      </c>
      <c r="V1997" s="1">
        <v>0.0</v>
      </c>
      <c r="W1997" s="1">
        <v>131000.0</v>
      </c>
      <c r="X1997" s="1">
        <v>0.0</v>
      </c>
      <c r="Y1997" s="1">
        <v>2.35</v>
      </c>
      <c r="Z1997" s="1">
        <v>7.5</v>
      </c>
    </row>
    <row r="1998" ht="14.25" customHeight="1">
      <c r="A1998" s="1" t="s">
        <v>26</v>
      </c>
      <c r="B1998" s="1" t="s">
        <v>3900</v>
      </c>
      <c r="C1998" s="1" t="s">
        <v>9826</v>
      </c>
      <c r="D1998" s="1">
        <v>8.2301521E7</v>
      </c>
      <c r="E1998" s="1" t="s">
        <v>9047</v>
      </c>
      <c r="F1998" s="1" t="s">
        <v>5999</v>
      </c>
      <c r="G1998" s="1" t="s">
        <v>3979</v>
      </c>
      <c r="H1998" s="1" t="s">
        <v>5031</v>
      </c>
      <c r="I1998" s="1">
        <v>22679.0</v>
      </c>
      <c r="J1998" s="1" t="s">
        <v>9827</v>
      </c>
      <c r="K1998" s="1" t="s">
        <v>9828</v>
      </c>
      <c r="L1998" s="1">
        <v>149.0</v>
      </c>
      <c r="M1998" s="1" t="s">
        <v>35</v>
      </c>
      <c r="N1998" s="1" t="s">
        <v>36</v>
      </c>
      <c r="O1998" s="1" t="s">
        <v>87</v>
      </c>
      <c r="P1998" s="1">
        <v>3.2E7</v>
      </c>
      <c r="Q1998" s="1">
        <v>2005.0</v>
      </c>
      <c r="R1998" s="1">
        <v>826.0</v>
      </c>
      <c r="S1998" s="1">
        <v>642.0</v>
      </c>
      <c r="T1998" s="1">
        <v>563.0</v>
      </c>
      <c r="U1998" s="1">
        <v>3558.0</v>
      </c>
      <c r="V1998" s="1">
        <v>32.0</v>
      </c>
      <c r="W1998" s="1">
        <v>773.0</v>
      </c>
      <c r="X1998" s="1">
        <v>2.0</v>
      </c>
      <c r="Y1998" s="1">
        <v>1.85</v>
      </c>
      <c r="Z1998" s="1">
        <v>4.6</v>
      </c>
    </row>
    <row r="1999" ht="14.25" customHeight="1">
      <c r="A1999" s="1" t="s">
        <v>26</v>
      </c>
      <c r="B1999" s="1" t="s">
        <v>8178</v>
      </c>
      <c r="C1999" s="1" t="s">
        <v>9829</v>
      </c>
      <c r="D1999" s="1">
        <v>8.4518155E7</v>
      </c>
      <c r="E1999" s="1" t="s">
        <v>1885</v>
      </c>
      <c r="F1999" s="1" t="s">
        <v>3064</v>
      </c>
      <c r="G1999" s="1" t="s">
        <v>9830</v>
      </c>
      <c r="H1999" s="1" t="s">
        <v>8178</v>
      </c>
      <c r="I1999" s="1">
        <v>35965.0</v>
      </c>
      <c r="J1999" s="1" t="s">
        <v>9831</v>
      </c>
      <c r="K1999" s="1" t="s">
        <v>9832</v>
      </c>
      <c r="L1999" s="1">
        <v>144.0</v>
      </c>
      <c r="M1999" s="1" t="s">
        <v>35</v>
      </c>
      <c r="N1999" s="1" t="s">
        <v>36</v>
      </c>
      <c r="O1999" s="1" t="s">
        <v>628</v>
      </c>
      <c r="P1999" s="1">
        <v>2.0E7</v>
      </c>
      <c r="Q1999" s="1">
        <v>2014.0</v>
      </c>
      <c r="R1999" s="1">
        <v>989.0</v>
      </c>
      <c r="S1999" s="1">
        <v>830.0</v>
      </c>
      <c r="T1999" s="1">
        <v>265.0</v>
      </c>
      <c r="U1999" s="1">
        <v>2654.0</v>
      </c>
      <c r="V1999" s="1">
        <v>265.0</v>
      </c>
      <c r="W1999" s="1">
        <v>11000.0</v>
      </c>
      <c r="X1999" s="1">
        <v>0.0</v>
      </c>
      <c r="Y1999" s="1">
        <v>1.85</v>
      </c>
      <c r="Z1999" s="1">
        <v>4.9</v>
      </c>
    </row>
    <row r="2000" ht="14.25" customHeight="1">
      <c r="A2000" s="1" t="s">
        <v>26</v>
      </c>
      <c r="B2000" s="1" t="s">
        <v>2523</v>
      </c>
      <c r="C2000" s="1" t="s">
        <v>6461</v>
      </c>
      <c r="D2000" s="1">
        <v>8.0050171E7</v>
      </c>
      <c r="E2000" s="1" t="s">
        <v>1842</v>
      </c>
      <c r="F2000" s="1" t="s">
        <v>6462</v>
      </c>
      <c r="G2000" s="1" t="s">
        <v>6463</v>
      </c>
      <c r="H2000" s="1" t="s">
        <v>2613</v>
      </c>
      <c r="I2000" s="1">
        <v>186984.0</v>
      </c>
      <c r="J2000" s="1" t="s">
        <v>6464</v>
      </c>
      <c r="K2000" s="1" t="s">
        <v>6465</v>
      </c>
      <c r="L2000" s="1">
        <v>491.0</v>
      </c>
      <c r="M2000" s="1" t="s">
        <v>35</v>
      </c>
      <c r="N2000" s="1" t="s">
        <v>36</v>
      </c>
      <c r="O2000" s="1" t="s">
        <v>37</v>
      </c>
      <c r="P2000" s="1">
        <v>2.0E7</v>
      </c>
      <c r="Q2000" s="1">
        <v>2007.0</v>
      </c>
      <c r="R2000" s="1">
        <v>884.0</v>
      </c>
      <c r="S2000" s="1">
        <v>617.0</v>
      </c>
      <c r="T2000" s="1">
        <v>501.0</v>
      </c>
      <c r="U2000" s="1">
        <v>2287.0</v>
      </c>
      <c r="V2000" s="1">
        <v>154.0</v>
      </c>
      <c r="W2000" s="1">
        <v>0.0</v>
      </c>
      <c r="X2000" s="1">
        <v>0.0</v>
      </c>
      <c r="Y2000" s="1">
        <v>1.85</v>
      </c>
      <c r="Z2000" s="1">
        <v>6.9</v>
      </c>
    </row>
    <row r="2001" ht="14.25" customHeight="1">
      <c r="A2001" s="1" t="s">
        <v>26</v>
      </c>
      <c r="B2001" s="1" t="s">
        <v>8489</v>
      </c>
      <c r="C2001" s="1" t="s">
        <v>9833</v>
      </c>
      <c r="D2001" s="1">
        <v>8.1257845E7</v>
      </c>
      <c r="E2001" s="1" t="s">
        <v>7157</v>
      </c>
      <c r="F2001" s="1" t="s">
        <v>2829</v>
      </c>
      <c r="G2001" s="1" t="s">
        <v>598</v>
      </c>
      <c r="H2001" s="1" t="s">
        <v>9834</v>
      </c>
      <c r="I2001" s="1">
        <v>210680.0</v>
      </c>
      <c r="J2001" s="1" t="s">
        <v>9835</v>
      </c>
      <c r="K2001" s="1" t="s">
        <v>9836</v>
      </c>
      <c r="L2001" s="1">
        <v>479.0</v>
      </c>
      <c r="M2001" s="1" t="s">
        <v>35</v>
      </c>
      <c r="N2001" s="1" t="s">
        <v>36</v>
      </c>
      <c r="O2001" s="1" t="s">
        <v>37</v>
      </c>
      <c r="P2001" s="1">
        <v>3.5E7</v>
      </c>
      <c r="Q2001" s="1">
        <v>2003.0</v>
      </c>
      <c r="R2001" s="1">
        <v>2000.0</v>
      </c>
      <c r="S2001" s="1">
        <v>931.0</v>
      </c>
      <c r="T2001" s="1">
        <v>487.0</v>
      </c>
      <c r="U2001" s="1">
        <v>4403.0</v>
      </c>
      <c r="V2001" s="1">
        <v>0.0</v>
      </c>
      <c r="W2001" s="1">
        <v>0.0</v>
      </c>
      <c r="X2001" s="1">
        <v>1.0</v>
      </c>
      <c r="Y2001" s="1">
        <v>1.85</v>
      </c>
      <c r="Z2001" s="1">
        <v>7.1</v>
      </c>
    </row>
    <row r="2002" ht="14.25" customHeight="1">
      <c r="A2002" s="1" t="s">
        <v>26</v>
      </c>
      <c r="B2002" s="1" t="s">
        <v>2246</v>
      </c>
      <c r="C2002" s="1" t="s">
        <v>9837</v>
      </c>
      <c r="D2002" s="1">
        <v>7.0360285E7</v>
      </c>
      <c r="E2002" s="1" t="s">
        <v>254</v>
      </c>
      <c r="F2002" s="1" t="s">
        <v>4288</v>
      </c>
      <c r="G2002" s="1" t="s">
        <v>564</v>
      </c>
      <c r="H2002" s="1" t="s">
        <v>6425</v>
      </c>
      <c r="I2002" s="1">
        <v>81783.0</v>
      </c>
      <c r="J2002" s="1" t="s">
        <v>9838</v>
      </c>
      <c r="K2002" s="1" t="s">
        <v>9839</v>
      </c>
      <c r="L2002" s="1">
        <v>283.0</v>
      </c>
      <c r="M2002" s="1" t="s">
        <v>35</v>
      </c>
      <c r="N2002" s="1" t="s">
        <v>36</v>
      </c>
      <c r="O2002" s="1" t="s">
        <v>37</v>
      </c>
      <c r="P2002" s="1">
        <v>1.8E7</v>
      </c>
      <c r="Q2002" s="1">
        <v>1995.0</v>
      </c>
      <c r="R2002" s="1">
        <v>1000.0</v>
      </c>
      <c r="S2002" s="1">
        <v>1000.0</v>
      </c>
      <c r="T2002" s="1">
        <v>545.0</v>
      </c>
      <c r="U2002" s="1">
        <v>3816.0</v>
      </c>
      <c r="V2002" s="1">
        <v>545.0</v>
      </c>
      <c r="W2002" s="1">
        <v>0.0</v>
      </c>
      <c r="X2002" s="1">
        <v>0.0</v>
      </c>
      <c r="Y2002" s="1">
        <v>1.85</v>
      </c>
      <c r="Z2002" s="1">
        <v>5.8</v>
      </c>
    </row>
    <row r="2003" ht="14.25" customHeight="1">
      <c r="A2003" s="1" t="s">
        <v>26</v>
      </c>
      <c r="B2003" s="1" t="s">
        <v>5671</v>
      </c>
      <c r="C2003" s="1" t="s">
        <v>8031</v>
      </c>
      <c r="D2003" s="1">
        <v>1.2831121E7</v>
      </c>
      <c r="E2003" s="1" t="s">
        <v>3113</v>
      </c>
      <c r="F2003" s="1" t="s">
        <v>8032</v>
      </c>
      <c r="G2003" s="1" t="s">
        <v>8033</v>
      </c>
      <c r="H2003" s="1" t="s">
        <v>8034</v>
      </c>
      <c r="I2003" s="1">
        <v>44979.0</v>
      </c>
      <c r="J2003" s="1" t="s">
        <v>8035</v>
      </c>
      <c r="K2003" s="1" t="s">
        <v>8036</v>
      </c>
      <c r="L2003" s="1">
        <v>298.0</v>
      </c>
      <c r="M2003" s="1" t="s">
        <v>35</v>
      </c>
      <c r="N2003" s="1" t="s">
        <v>36</v>
      </c>
      <c r="O2003" s="1" t="s">
        <v>37</v>
      </c>
      <c r="P2003" s="1">
        <v>3.0E7</v>
      </c>
      <c r="Q2003" s="1">
        <v>2004.0</v>
      </c>
      <c r="R2003" s="1">
        <v>489.0</v>
      </c>
      <c r="S2003" s="1">
        <v>93.0</v>
      </c>
      <c r="T2003" s="1">
        <v>40.0</v>
      </c>
      <c r="U2003" s="1">
        <v>679.0</v>
      </c>
      <c r="V2003" s="1">
        <v>118.0</v>
      </c>
      <c r="W2003" s="1">
        <v>0.0</v>
      </c>
      <c r="X2003" s="1">
        <v>0.0</v>
      </c>
      <c r="Y2003" s="1">
        <v>2.35</v>
      </c>
      <c r="Z2003" s="1">
        <v>7.0</v>
      </c>
    </row>
    <row r="2004" ht="14.25" customHeight="1">
      <c r="A2004" s="1" t="s">
        <v>26</v>
      </c>
      <c r="B2004" s="1" t="s">
        <v>3680</v>
      </c>
      <c r="C2004" s="1" t="s">
        <v>9840</v>
      </c>
      <c r="D2004" s="1">
        <v>6.9148997E7</v>
      </c>
      <c r="E2004" s="1" t="s">
        <v>972</v>
      </c>
      <c r="F2004" s="1" t="s">
        <v>6112</v>
      </c>
      <c r="G2004" s="1" t="s">
        <v>714</v>
      </c>
      <c r="H2004" s="1" t="s">
        <v>3682</v>
      </c>
      <c r="I2004" s="1">
        <v>98794.0</v>
      </c>
      <c r="J2004" s="1" t="s">
        <v>9841</v>
      </c>
      <c r="K2004" s="1" t="s">
        <v>9842</v>
      </c>
      <c r="L2004" s="1">
        <v>251.0</v>
      </c>
      <c r="M2004" s="1" t="s">
        <v>35</v>
      </c>
      <c r="N2004" s="1" t="s">
        <v>36</v>
      </c>
      <c r="O2004" s="1" t="s">
        <v>37</v>
      </c>
      <c r="P2004" s="1">
        <v>3.7E7</v>
      </c>
      <c r="Q2004" s="1">
        <v>2004.0</v>
      </c>
      <c r="R2004" s="1">
        <v>1000.0</v>
      </c>
      <c r="S2004" s="1">
        <v>960.0</v>
      </c>
      <c r="T2004" s="1">
        <v>861.0</v>
      </c>
      <c r="U2004" s="1">
        <v>6313.0</v>
      </c>
      <c r="V2004" s="1">
        <v>322.0</v>
      </c>
      <c r="W2004" s="1">
        <v>0.0</v>
      </c>
      <c r="X2004" s="1">
        <v>4.0</v>
      </c>
      <c r="Y2004" s="1">
        <v>1.85</v>
      </c>
      <c r="Z2004" s="1">
        <v>5.4</v>
      </c>
    </row>
    <row r="2005" ht="14.25" customHeight="1">
      <c r="A2005" s="1" t="s">
        <v>26</v>
      </c>
      <c r="B2005" s="1" t="s">
        <v>7671</v>
      </c>
      <c r="C2005" s="1" t="s">
        <v>9843</v>
      </c>
      <c r="D2005" s="1">
        <v>8.2624961E7</v>
      </c>
      <c r="E2005" s="1" t="s">
        <v>2422</v>
      </c>
      <c r="F2005" s="1" t="s">
        <v>9844</v>
      </c>
      <c r="G2005" s="1" t="s">
        <v>9845</v>
      </c>
      <c r="H2005" s="1" t="s">
        <v>6968</v>
      </c>
      <c r="I2005" s="1">
        <v>205284.0</v>
      </c>
      <c r="J2005" s="1" t="s">
        <v>9846</v>
      </c>
      <c r="K2005" s="1" t="s">
        <v>9847</v>
      </c>
      <c r="L2005" s="1">
        <v>439.0</v>
      </c>
      <c r="M2005" s="1" t="s">
        <v>35</v>
      </c>
      <c r="N2005" s="1" t="s">
        <v>36</v>
      </c>
      <c r="O2005" s="1" t="s">
        <v>628</v>
      </c>
      <c r="P2005" s="1">
        <v>2.0E7</v>
      </c>
      <c r="Q2005" s="1">
        <v>2011.0</v>
      </c>
      <c r="R2005" s="1">
        <v>8000.0</v>
      </c>
      <c r="S2005" s="1">
        <v>727.0</v>
      </c>
      <c r="T2005" s="1">
        <v>552.0</v>
      </c>
      <c r="U2005" s="1">
        <v>9578.0</v>
      </c>
      <c r="V2005" s="1">
        <v>729.0</v>
      </c>
      <c r="W2005" s="1">
        <v>22000.0</v>
      </c>
      <c r="X2005" s="1">
        <v>0.0</v>
      </c>
      <c r="Y2005" s="1">
        <v>2.35</v>
      </c>
      <c r="Z2005" s="1">
        <v>7.3</v>
      </c>
    </row>
    <row r="2006" ht="14.25" customHeight="1">
      <c r="A2006" s="1" t="s">
        <v>710</v>
      </c>
      <c r="B2006" s="1" t="s">
        <v>2342</v>
      </c>
      <c r="C2006" s="1" t="s">
        <v>9848</v>
      </c>
      <c r="D2006" s="1">
        <v>6.7325559E7</v>
      </c>
      <c r="E2006" s="1" t="s">
        <v>9849</v>
      </c>
      <c r="F2006" s="1" t="s">
        <v>1432</v>
      </c>
      <c r="G2006" s="1" t="s">
        <v>9850</v>
      </c>
      <c r="H2006" s="1" t="s">
        <v>9851</v>
      </c>
      <c r="I2006" s="1">
        <v>58222.0</v>
      </c>
      <c r="J2006" s="1" t="s">
        <v>9852</v>
      </c>
      <c r="K2006" s="1" t="s">
        <v>9853</v>
      </c>
      <c r="L2006" s="1">
        <v>331.0</v>
      </c>
      <c r="M2006" s="1" t="s">
        <v>35</v>
      </c>
      <c r="N2006" s="1" t="s">
        <v>36</v>
      </c>
      <c r="O2006" s="1" t="s">
        <v>87</v>
      </c>
      <c r="P2006" s="1">
        <v>2.0E7</v>
      </c>
      <c r="Q2006" s="1">
        <v>2003.0</v>
      </c>
      <c r="R2006" s="1">
        <v>596.0</v>
      </c>
      <c r="S2006" s="1">
        <v>265.0</v>
      </c>
      <c r="T2006" s="1">
        <v>165.0</v>
      </c>
      <c r="U2006" s="1">
        <v>1293.0</v>
      </c>
      <c r="V2006" s="1">
        <v>99.0</v>
      </c>
      <c r="W2006" s="1">
        <v>0.0</v>
      </c>
      <c r="X2006" s="1">
        <v>0.0</v>
      </c>
      <c r="Y2006" s="1">
        <v>1.85</v>
      </c>
      <c r="Z2006" s="1">
        <v>7.1</v>
      </c>
    </row>
    <row r="2007" ht="14.25" customHeight="1">
      <c r="A2007" s="1" t="s">
        <v>26</v>
      </c>
      <c r="B2007" s="1" t="s">
        <v>5796</v>
      </c>
      <c r="C2007" s="1" t="s">
        <v>9854</v>
      </c>
      <c r="D2007" s="1">
        <v>6.2933793E7</v>
      </c>
      <c r="E2007" s="1" t="s">
        <v>9855</v>
      </c>
      <c r="F2007" s="1" t="s">
        <v>1562</v>
      </c>
      <c r="G2007" s="1" t="s">
        <v>9856</v>
      </c>
      <c r="H2007" s="1" t="s">
        <v>9857</v>
      </c>
      <c r="I2007" s="1">
        <v>62421.0</v>
      </c>
      <c r="J2007" s="1" t="s">
        <v>9858</v>
      </c>
      <c r="K2007" s="1" t="s">
        <v>9859</v>
      </c>
      <c r="L2007" s="1">
        <v>185.0</v>
      </c>
      <c r="M2007" s="1" t="s">
        <v>35</v>
      </c>
      <c r="N2007" s="1" t="s">
        <v>36</v>
      </c>
      <c r="O2007" s="1" t="s">
        <v>87</v>
      </c>
      <c r="P2007" s="1">
        <v>2.0E7</v>
      </c>
      <c r="Q2007" s="1">
        <v>2010.0</v>
      </c>
      <c r="R2007" s="1">
        <v>742.0</v>
      </c>
      <c r="S2007" s="1">
        <v>360.0</v>
      </c>
      <c r="T2007" s="1">
        <v>318.0</v>
      </c>
      <c r="U2007" s="1">
        <v>2341.0</v>
      </c>
      <c r="V2007" s="1">
        <v>30.0</v>
      </c>
      <c r="W2007" s="1">
        <v>10000.0</v>
      </c>
      <c r="X2007" s="1">
        <v>1.0</v>
      </c>
      <c r="Y2007" s="1">
        <v>2.35</v>
      </c>
      <c r="Z2007" s="1">
        <v>5.8</v>
      </c>
    </row>
    <row r="2008" ht="14.25" customHeight="1">
      <c r="A2008" s="1" t="s">
        <v>26</v>
      </c>
      <c r="B2008" s="1" t="s">
        <v>9860</v>
      </c>
      <c r="C2008" s="1" t="s">
        <v>9861</v>
      </c>
      <c r="D2008" s="1">
        <v>5.666787E7</v>
      </c>
      <c r="E2008" s="1" t="s">
        <v>5578</v>
      </c>
      <c r="F2008" s="1" t="s">
        <v>3544</v>
      </c>
      <c r="G2008" s="1" t="s">
        <v>4846</v>
      </c>
      <c r="H2008" s="1" t="s">
        <v>9862</v>
      </c>
      <c r="I2008" s="1">
        <v>439176.0</v>
      </c>
      <c r="J2008" s="1" t="s">
        <v>9863</v>
      </c>
      <c r="K2008" s="1" t="s">
        <v>9864</v>
      </c>
      <c r="L2008" s="1">
        <v>695.0</v>
      </c>
      <c r="M2008" s="1" t="s">
        <v>35</v>
      </c>
      <c r="N2008" s="1" t="s">
        <v>36</v>
      </c>
      <c r="O2008" s="1" t="s">
        <v>628</v>
      </c>
      <c r="P2008" s="1">
        <v>2.0E7</v>
      </c>
      <c r="Q2008" s="1">
        <v>2013.0</v>
      </c>
      <c r="R2008" s="1">
        <v>2000.0</v>
      </c>
      <c r="S2008" s="1">
        <v>660.0</v>
      </c>
      <c r="T2008" s="1">
        <v>500.0</v>
      </c>
      <c r="U2008" s="1">
        <v>4251.0</v>
      </c>
      <c r="V2008" s="1">
        <v>0.0</v>
      </c>
      <c r="W2008" s="1">
        <v>83000.0</v>
      </c>
      <c r="X2008" s="1">
        <v>0.0</v>
      </c>
      <c r="Y2008" s="1">
        <v>2.35</v>
      </c>
      <c r="Z2008" s="1">
        <v>8.1</v>
      </c>
    </row>
    <row r="2009" ht="14.25" customHeight="1">
      <c r="A2009" s="1" t="s">
        <v>26</v>
      </c>
      <c r="B2009" s="1" t="s">
        <v>7955</v>
      </c>
      <c r="C2009" s="1" t="s">
        <v>9865</v>
      </c>
      <c r="D2009" s="1">
        <v>5.6398162E7</v>
      </c>
      <c r="E2009" s="1" t="s">
        <v>5429</v>
      </c>
      <c r="F2009" s="1" t="s">
        <v>4213</v>
      </c>
      <c r="G2009" s="1" t="s">
        <v>6035</v>
      </c>
      <c r="H2009" s="1" t="s">
        <v>9866</v>
      </c>
      <c r="I2009" s="1">
        <v>28649.0</v>
      </c>
      <c r="J2009" s="1" t="s">
        <v>9867</v>
      </c>
      <c r="K2009" s="1" t="s">
        <v>9868</v>
      </c>
      <c r="L2009" s="1">
        <v>185.0</v>
      </c>
      <c r="M2009" s="1" t="s">
        <v>35</v>
      </c>
      <c r="N2009" s="1" t="s">
        <v>36</v>
      </c>
      <c r="O2009" s="1" t="s">
        <v>37</v>
      </c>
      <c r="P2009" s="1">
        <v>2.0E7</v>
      </c>
      <c r="Q2009" s="1">
        <v>2002.0</v>
      </c>
      <c r="R2009" s="1">
        <v>962.0</v>
      </c>
      <c r="S2009" s="1">
        <v>593.0</v>
      </c>
      <c r="T2009" s="1">
        <v>284.0</v>
      </c>
      <c r="U2009" s="1">
        <v>2390.0</v>
      </c>
      <c r="V2009" s="1">
        <v>30.0</v>
      </c>
      <c r="W2009" s="1">
        <v>2000.0</v>
      </c>
      <c r="X2009" s="1">
        <v>0.0</v>
      </c>
      <c r="Y2009" s="1">
        <v>2.35</v>
      </c>
      <c r="Z2009" s="1">
        <v>5.7</v>
      </c>
    </row>
    <row r="2010" ht="14.25" customHeight="1">
      <c r="A2010" s="1" t="s">
        <v>26</v>
      </c>
      <c r="B2010" s="1" t="s">
        <v>8809</v>
      </c>
      <c r="C2010" s="1" t="s">
        <v>9869</v>
      </c>
      <c r="D2010" s="1">
        <v>6.0072596E7</v>
      </c>
      <c r="E2010" s="1" t="s">
        <v>1359</v>
      </c>
      <c r="F2010" s="1" t="s">
        <v>6043</v>
      </c>
      <c r="G2010" s="1" t="s">
        <v>7052</v>
      </c>
      <c r="H2010" s="1" t="s">
        <v>3803</v>
      </c>
      <c r="I2010" s="1">
        <v>7664.0</v>
      </c>
      <c r="J2010" s="1" t="s">
        <v>9870</v>
      </c>
      <c r="K2010" s="1" t="s">
        <v>9871</v>
      </c>
      <c r="L2010" s="1">
        <v>68.0</v>
      </c>
      <c r="M2010" s="1" t="s">
        <v>35</v>
      </c>
      <c r="N2010" s="1" t="s">
        <v>36</v>
      </c>
      <c r="O2010" s="1" t="s">
        <v>37</v>
      </c>
      <c r="P2010" s="1">
        <v>2.0E7</v>
      </c>
      <c r="Q2010" s="1">
        <v>2010.0</v>
      </c>
      <c r="R2010" s="1">
        <v>2000.0</v>
      </c>
      <c r="S2010" s="1">
        <v>907.0</v>
      </c>
      <c r="T2010" s="1">
        <v>721.0</v>
      </c>
      <c r="U2010" s="1">
        <v>6657.0</v>
      </c>
      <c r="V2010" s="1">
        <v>0.0</v>
      </c>
      <c r="W2010" s="1">
        <v>0.0</v>
      </c>
      <c r="X2010" s="1">
        <v>8.0</v>
      </c>
      <c r="Y2010" s="1">
        <v>1.85</v>
      </c>
      <c r="Z2010" s="1">
        <v>4.4</v>
      </c>
    </row>
    <row r="2011" ht="14.25" customHeight="1">
      <c r="A2011" s="1" t="s">
        <v>26</v>
      </c>
      <c r="B2011" s="1" t="s">
        <v>247</v>
      </c>
      <c r="C2011" s="1" t="s">
        <v>9872</v>
      </c>
      <c r="D2011" s="1">
        <v>5.6362352E7</v>
      </c>
      <c r="E2011" s="1" t="s">
        <v>9873</v>
      </c>
      <c r="F2011" s="1" t="s">
        <v>41</v>
      </c>
      <c r="G2011" s="1" t="s">
        <v>3984</v>
      </c>
      <c r="H2011" s="1" t="s">
        <v>4764</v>
      </c>
      <c r="I2011" s="1">
        <v>357581.0</v>
      </c>
      <c r="J2011" s="1" t="s">
        <v>9874</v>
      </c>
      <c r="K2011" s="1" t="s">
        <v>9875</v>
      </c>
      <c r="L2011" s="1">
        <v>588.0</v>
      </c>
      <c r="M2011" s="1" t="s">
        <v>35</v>
      </c>
      <c r="N2011" s="1" t="s">
        <v>36</v>
      </c>
      <c r="O2011" s="1" t="s">
        <v>37</v>
      </c>
      <c r="P2011" s="1">
        <v>2.0E7</v>
      </c>
      <c r="Q2011" s="1">
        <v>1990.0</v>
      </c>
      <c r="R2011" s="1">
        <v>40000.0</v>
      </c>
      <c r="S2011" s="1">
        <v>967.0</v>
      </c>
      <c r="T2011" s="1">
        <v>658.0</v>
      </c>
      <c r="U2011" s="1">
        <v>42330.0</v>
      </c>
      <c r="V2011" s="1">
        <v>13000.0</v>
      </c>
      <c r="W2011" s="1">
        <v>16000.0</v>
      </c>
      <c r="X2011" s="1">
        <v>0.0</v>
      </c>
      <c r="Y2011" s="1">
        <v>1.85</v>
      </c>
      <c r="Z2011" s="1">
        <v>7.9</v>
      </c>
    </row>
    <row r="2012" ht="14.25" customHeight="1">
      <c r="A2012" s="1" t="s">
        <v>26</v>
      </c>
      <c r="B2012" s="1" t="s">
        <v>9876</v>
      </c>
      <c r="C2012" s="1" t="s">
        <v>9877</v>
      </c>
      <c r="D2012" s="1">
        <v>5.6154094E7</v>
      </c>
      <c r="E2012" s="1" t="s">
        <v>206</v>
      </c>
      <c r="F2012" s="1" t="s">
        <v>151</v>
      </c>
      <c r="G2012" s="1" t="s">
        <v>700</v>
      </c>
      <c r="H2012" s="1" t="s">
        <v>9878</v>
      </c>
      <c r="I2012" s="1">
        <v>44723.0</v>
      </c>
      <c r="J2012" s="1" t="s">
        <v>9879</v>
      </c>
      <c r="K2012" s="1" t="s">
        <v>9880</v>
      </c>
      <c r="L2012" s="1">
        <v>130.0</v>
      </c>
      <c r="M2012" s="1" t="s">
        <v>35</v>
      </c>
      <c r="N2012" s="1" t="s">
        <v>54</v>
      </c>
      <c r="O2012" s="1" t="s">
        <v>37</v>
      </c>
      <c r="P2012" s="1">
        <v>2.0E7</v>
      </c>
      <c r="Q2012" s="1">
        <v>2016.0</v>
      </c>
      <c r="R2012" s="1">
        <v>11000.0</v>
      </c>
      <c r="S2012" s="1">
        <v>10000.0</v>
      </c>
      <c r="T2012" s="1">
        <v>418.0</v>
      </c>
      <c r="U2012" s="1">
        <v>21852.0</v>
      </c>
      <c r="V2012" s="1">
        <v>17.0</v>
      </c>
      <c r="W2012" s="1">
        <v>51000.0</v>
      </c>
      <c r="X2012" s="1">
        <v>0.0</v>
      </c>
      <c r="Y2012" s="1">
        <v>2.35</v>
      </c>
      <c r="Z2012" s="1">
        <v>7.6</v>
      </c>
    </row>
    <row r="2013" ht="14.25" customHeight="1">
      <c r="A2013" s="1" t="s">
        <v>26</v>
      </c>
      <c r="B2013" s="1" t="s">
        <v>8809</v>
      </c>
      <c r="C2013" s="1" t="s">
        <v>9881</v>
      </c>
      <c r="D2013" s="1">
        <v>6.5623128E7</v>
      </c>
      <c r="E2013" s="1" t="s">
        <v>8521</v>
      </c>
      <c r="F2013" s="1" t="s">
        <v>3165</v>
      </c>
      <c r="G2013" s="1" t="s">
        <v>1653</v>
      </c>
      <c r="H2013" s="1" t="s">
        <v>9882</v>
      </c>
      <c r="I2013" s="1">
        <v>7354.0</v>
      </c>
      <c r="J2013" s="1" t="s">
        <v>9883</v>
      </c>
      <c r="K2013" s="1" t="s">
        <v>9884</v>
      </c>
      <c r="L2013" s="1">
        <v>50.0</v>
      </c>
      <c r="M2013" s="1" t="s">
        <v>35</v>
      </c>
      <c r="N2013" s="1" t="s">
        <v>36</v>
      </c>
      <c r="O2013" s="1" t="s">
        <v>37</v>
      </c>
      <c r="P2013" s="1">
        <v>2.0E7</v>
      </c>
      <c r="Q2013" s="1">
        <v>2012.0</v>
      </c>
      <c r="R2013" s="1">
        <v>982.0</v>
      </c>
      <c r="S2013" s="1">
        <v>618.0</v>
      </c>
      <c r="T2013" s="1">
        <v>582.0</v>
      </c>
      <c r="U2013" s="1">
        <v>2753.0</v>
      </c>
      <c r="V2013" s="1">
        <v>0.0</v>
      </c>
      <c r="W2013" s="1">
        <v>0.0</v>
      </c>
      <c r="X2013" s="1">
        <v>5.0</v>
      </c>
      <c r="Y2013" s="1">
        <v>1.85</v>
      </c>
      <c r="Z2013" s="1">
        <v>4.8</v>
      </c>
    </row>
    <row r="2014" ht="14.25" customHeight="1">
      <c r="A2014" s="1" t="s">
        <v>26</v>
      </c>
      <c r="B2014" s="1" t="s">
        <v>9885</v>
      </c>
      <c r="C2014" s="1" t="s">
        <v>9886</v>
      </c>
      <c r="D2014" s="1">
        <v>4.8546578E7</v>
      </c>
      <c r="E2014" s="1" t="s">
        <v>1598</v>
      </c>
      <c r="F2014" s="1" t="s">
        <v>4347</v>
      </c>
      <c r="G2014" s="1" t="s">
        <v>2505</v>
      </c>
      <c r="H2014" s="1" t="s">
        <v>403</v>
      </c>
      <c r="I2014" s="1">
        <v>50415.0</v>
      </c>
      <c r="J2014" s="1" t="s">
        <v>9887</v>
      </c>
      <c r="K2014" s="1" t="s">
        <v>9888</v>
      </c>
      <c r="L2014" s="1">
        <v>613.0</v>
      </c>
      <c r="M2014" s="1" t="s">
        <v>35</v>
      </c>
      <c r="N2014" s="1" t="s">
        <v>36</v>
      </c>
      <c r="O2014" s="1" t="s">
        <v>37</v>
      </c>
      <c r="P2014" s="1">
        <v>2.0E7</v>
      </c>
      <c r="Q2014" s="1">
        <v>2006.0</v>
      </c>
      <c r="R2014" s="1">
        <v>3000.0</v>
      </c>
      <c r="S2014" s="1">
        <v>869.0</v>
      </c>
      <c r="T2014" s="1">
        <v>729.0</v>
      </c>
      <c r="U2014" s="1">
        <v>6539.0</v>
      </c>
      <c r="V2014" s="1">
        <v>64.0</v>
      </c>
      <c r="W2014" s="1">
        <v>806.0</v>
      </c>
      <c r="X2014" s="1">
        <v>0.0</v>
      </c>
      <c r="Y2014" s="1">
        <v>1.85</v>
      </c>
      <c r="Z2014" s="1">
        <v>2.7</v>
      </c>
    </row>
    <row r="2015" ht="14.25" customHeight="1">
      <c r="A2015" s="1" t="s">
        <v>26</v>
      </c>
      <c r="B2015" s="1" t="s">
        <v>9889</v>
      </c>
      <c r="C2015" s="1" t="s">
        <v>9890</v>
      </c>
      <c r="D2015" s="1">
        <v>4.8423368E7</v>
      </c>
      <c r="E2015" s="1" t="s">
        <v>603</v>
      </c>
      <c r="F2015" s="1" t="s">
        <v>2559</v>
      </c>
      <c r="G2015" s="1" t="s">
        <v>4715</v>
      </c>
      <c r="H2015" s="1" t="s">
        <v>1563</v>
      </c>
      <c r="I2015" s="1">
        <v>13324.0</v>
      </c>
      <c r="J2015" s="1" t="s">
        <v>9891</v>
      </c>
      <c r="K2015" s="1" t="s">
        <v>9892</v>
      </c>
      <c r="L2015" s="1">
        <v>79.0</v>
      </c>
      <c r="M2015" s="1" t="s">
        <v>35</v>
      </c>
      <c r="N2015" s="1" t="s">
        <v>36</v>
      </c>
      <c r="O2015" s="1" t="s">
        <v>269</v>
      </c>
      <c r="P2015" s="1">
        <v>2.0E7</v>
      </c>
      <c r="Q2015" s="1">
        <v>2002.0</v>
      </c>
      <c r="R2015" s="1">
        <v>1000.0</v>
      </c>
      <c r="S2015" s="1">
        <v>677.0</v>
      </c>
      <c r="T2015" s="1">
        <v>434.0</v>
      </c>
      <c r="U2015" s="1">
        <v>3402.0</v>
      </c>
      <c r="V2015" s="1">
        <v>2.0</v>
      </c>
      <c r="W2015" s="1">
        <v>302.0</v>
      </c>
      <c r="X2015" s="1">
        <v>1.0</v>
      </c>
      <c r="Y2015" s="1">
        <v>1.66</v>
      </c>
      <c r="Z2015" s="1">
        <v>5.8</v>
      </c>
    </row>
    <row r="2016" ht="14.25" customHeight="1">
      <c r="A2016" s="1" t="s">
        <v>26</v>
      </c>
      <c r="B2016" s="1" t="s">
        <v>9893</v>
      </c>
      <c r="C2016" s="1" t="s">
        <v>9894</v>
      </c>
      <c r="D2016" s="1">
        <v>5.2066E7</v>
      </c>
      <c r="E2016" s="1" t="s">
        <v>5578</v>
      </c>
      <c r="F2016" s="1" t="s">
        <v>1958</v>
      </c>
      <c r="G2016" s="1" t="s">
        <v>130</v>
      </c>
      <c r="H2016" s="1" t="s">
        <v>866</v>
      </c>
      <c r="I2016" s="1">
        <v>61114.0</v>
      </c>
      <c r="J2016" s="1" t="s">
        <v>9895</v>
      </c>
      <c r="K2016" s="1" t="s">
        <v>9896</v>
      </c>
      <c r="L2016" s="1">
        <v>212.0</v>
      </c>
      <c r="M2016" s="1" t="s">
        <v>35</v>
      </c>
      <c r="N2016" s="1" t="s">
        <v>54</v>
      </c>
      <c r="O2016" s="1" t="s">
        <v>37</v>
      </c>
      <c r="P2016" s="1">
        <v>2.0E7</v>
      </c>
      <c r="Q2016" s="1">
        <v>2014.0</v>
      </c>
      <c r="R2016" s="1">
        <v>1000.0</v>
      </c>
      <c r="S2016" s="1">
        <v>1000.0</v>
      </c>
      <c r="T2016" s="1">
        <v>852.0</v>
      </c>
      <c r="U2016" s="1">
        <v>3869.0</v>
      </c>
      <c r="V2016" s="1">
        <v>151.0</v>
      </c>
      <c r="W2016" s="1">
        <v>22000.0</v>
      </c>
      <c r="X2016" s="1">
        <v>0.0</v>
      </c>
      <c r="Y2016" s="1">
        <v>2.35</v>
      </c>
      <c r="Z2016" s="1">
        <v>7.5</v>
      </c>
    </row>
    <row r="2017" ht="14.25" customHeight="1">
      <c r="A2017" s="1" t="s">
        <v>26</v>
      </c>
      <c r="B2017" s="1" t="s">
        <v>9897</v>
      </c>
      <c r="C2017" s="1" t="s">
        <v>9898</v>
      </c>
      <c r="D2017" s="1">
        <v>4.7887943E7</v>
      </c>
      <c r="E2017" s="1" t="s">
        <v>9899</v>
      </c>
      <c r="F2017" s="1" t="s">
        <v>2105</v>
      </c>
      <c r="G2017" s="1" t="s">
        <v>9900</v>
      </c>
      <c r="H2017" s="1" t="s">
        <v>9901</v>
      </c>
      <c r="I2017" s="1">
        <v>11634.0</v>
      </c>
      <c r="J2017" s="1" t="s">
        <v>9902</v>
      </c>
      <c r="K2017" s="1" t="s">
        <v>9903</v>
      </c>
      <c r="L2017" s="1">
        <v>58.0</v>
      </c>
      <c r="M2017" s="1" t="s">
        <v>35</v>
      </c>
      <c r="N2017" s="1" t="s">
        <v>36</v>
      </c>
      <c r="O2017" s="1" t="s">
        <v>269</v>
      </c>
      <c r="P2017" s="1">
        <v>2.0E7</v>
      </c>
      <c r="Q2017" s="1">
        <v>2003.0</v>
      </c>
      <c r="R2017" s="1">
        <v>3000.0</v>
      </c>
      <c r="S2017" s="1">
        <v>455.0</v>
      </c>
      <c r="T2017" s="1">
        <v>384.0</v>
      </c>
      <c r="U2017" s="1">
        <v>4480.0</v>
      </c>
      <c r="V2017" s="1">
        <v>0.0</v>
      </c>
      <c r="W2017" s="1">
        <v>227.0</v>
      </c>
      <c r="X2017" s="1">
        <v>0.0</v>
      </c>
      <c r="Y2017" s="1">
        <v>1.85</v>
      </c>
      <c r="Z2017" s="1">
        <v>5.4</v>
      </c>
    </row>
    <row r="2018" ht="14.25" customHeight="1">
      <c r="A2018" s="1" t="s">
        <v>26</v>
      </c>
      <c r="B2018" s="1" t="s">
        <v>6334</v>
      </c>
      <c r="C2018" s="1" t="s">
        <v>9904</v>
      </c>
      <c r="D2018" s="1">
        <v>4.6363118E7</v>
      </c>
      <c r="E2018" s="1" t="s">
        <v>5758</v>
      </c>
      <c r="F2018" s="1" t="s">
        <v>9905</v>
      </c>
      <c r="G2018" s="1" t="s">
        <v>9906</v>
      </c>
      <c r="H2018" s="1" t="s">
        <v>9907</v>
      </c>
      <c r="I2018" s="1">
        <v>25960.0</v>
      </c>
      <c r="J2018" s="1" t="s">
        <v>9908</v>
      </c>
      <c r="K2018" s="1" t="s">
        <v>9909</v>
      </c>
      <c r="L2018" s="1">
        <v>389.0</v>
      </c>
      <c r="M2018" s="1" t="s">
        <v>35</v>
      </c>
      <c r="N2018" s="1" t="s">
        <v>36</v>
      </c>
      <c r="O2018" s="1" t="s">
        <v>37</v>
      </c>
      <c r="P2018" s="1">
        <v>2.0E7</v>
      </c>
      <c r="Q2018" s="1">
        <v>2005.0</v>
      </c>
      <c r="R2018" s="1">
        <v>526.0</v>
      </c>
      <c r="S2018" s="1">
        <v>392.0</v>
      </c>
      <c r="T2018" s="1">
        <v>349.0</v>
      </c>
      <c r="U2018" s="1">
        <v>1383.0</v>
      </c>
      <c r="V2018" s="1">
        <v>19.0</v>
      </c>
      <c r="W2018" s="1">
        <v>1000.0</v>
      </c>
      <c r="X2018" s="1">
        <v>0.0</v>
      </c>
      <c r="Y2018" s="1">
        <v>1.85</v>
      </c>
      <c r="Z2018" s="1">
        <v>4.1</v>
      </c>
    </row>
    <row r="2019" ht="14.25" customHeight="1">
      <c r="A2019" s="1" t="s">
        <v>26</v>
      </c>
      <c r="B2019" s="1" t="s">
        <v>9910</v>
      </c>
      <c r="C2019" s="1" t="s">
        <v>9911</v>
      </c>
      <c r="D2019" s="1">
        <v>4.7852604E7</v>
      </c>
      <c r="E2019" s="1" t="s">
        <v>1842</v>
      </c>
      <c r="F2019" s="1" t="s">
        <v>5999</v>
      </c>
      <c r="G2019" s="1" t="s">
        <v>2014</v>
      </c>
      <c r="H2019" s="1" t="s">
        <v>9912</v>
      </c>
      <c r="I2019" s="1">
        <v>62364.0</v>
      </c>
      <c r="J2019" s="1" t="s">
        <v>9913</v>
      </c>
      <c r="K2019" s="1" t="s">
        <v>9914</v>
      </c>
      <c r="L2019" s="1">
        <v>337.0</v>
      </c>
      <c r="M2019" s="1" t="s">
        <v>35</v>
      </c>
      <c r="N2019" s="1" t="s">
        <v>36</v>
      </c>
      <c r="O2019" s="1" t="s">
        <v>37</v>
      </c>
      <c r="P2019" s="1">
        <v>2.0E7</v>
      </c>
      <c r="Q2019" s="1">
        <v>2007.0</v>
      </c>
      <c r="R2019" s="1">
        <v>826.0</v>
      </c>
      <c r="S2019" s="1">
        <v>626.0</v>
      </c>
      <c r="T2019" s="1">
        <v>107.0</v>
      </c>
      <c r="U2019" s="1">
        <v>1825.0</v>
      </c>
      <c r="V2019" s="1">
        <v>9.0</v>
      </c>
      <c r="W2019" s="1">
        <v>0.0</v>
      </c>
      <c r="X2019" s="1">
        <v>0.0</v>
      </c>
      <c r="Y2019" s="1">
        <v>2.35</v>
      </c>
      <c r="Z2019" s="1">
        <v>5.9</v>
      </c>
    </row>
    <row r="2020" ht="14.25" customHeight="1">
      <c r="A2020" s="1" t="s">
        <v>26</v>
      </c>
      <c r="B2020" s="1" t="s">
        <v>9915</v>
      </c>
      <c r="C2020" s="1" t="s">
        <v>9916</v>
      </c>
      <c r="D2020" s="1">
        <v>4.5542421E7</v>
      </c>
      <c r="E2020" s="1" t="s">
        <v>9917</v>
      </c>
      <c r="F2020" s="1" t="s">
        <v>9918</v>
      </c>
      <c r="G2020" s="1" t="s">
        <v>1697</v>
      </c>
      <c r="H2020" s="1" t="s">
        <v>9919</v>
      </c>
      <c r="I2020" s="1">
        <v>13319.0</v>
      </c>
      <c r="J2020" s="1" t="s">
        <v>9920</v>
      </c>
      <c r="K2020" s="1" t="s">
        <v>9921</v>
      </c>
      <c r="L2020" s="1">
        <v>53.0</v>
      </c>
      <c r="M2020" s="1" t="s">
        <v>35</v>
      </c>
      <c r="N2020" s="1" t="s">
        <v>36</v>
      </c>
      <c r="O2020" s="1" t="s">
        <v>269</v>
      </c>
      <c r="P2020" s="1">
        <v>3.0E7</v>
      </c>
      <c r="Q2020" s="1">
        <v>2000.0</v>
      </c>
      <c r="R2020" s="1">
        <v>304.0</v>
      </c>
      <c r="S2020" s="1">
        <v>253.0</v>
      </c>
      <c r="T2020" s="1">
        <v>16.0</v>
      </c>
      <c r="U2020" s="1">
        <v>575.0</v>
      </c>
      <c r="V2020" s="1">
        <v>25.0</v>
      </c>
      <c r="W2020" s="1">
        <v>347.0</v>
      </c>
      <c r="X2020" s="1">
        <v>0.0</v>
      </c>
      <c r="Y2020" s="1">
        <v>1.78</v>
      </c>
      <c r="Z2020" s="1">
        <v>6.3</v>
      </c>
    </row>
    <row r="2021" ht="14.25" customHeight="1">
      <c r="A2021" s="1" t="s">
        <v>26</v>
      </c>
      <c r="B2021" s="1" t="s">
        <v>7352</v>
      </c>
      <c r="C2021" s="1" t="s">
        <v>9922</v>
      </c>
      <c r="D2021" s="1">
        <v>4.2652003E7</v>
      </c>
      <c r="E2021" s="1" t="s">
        <v>8662</v>
      </c>
      <c r="F2021" s="1" t="s">
        <v>3524</v>
      </c>
      <c r="G2021" s="1" t="s">
        <v>9923</v>
      </c>
      <c r="H2021" s="1" t="s">
        <v>7802</v>
      </c>
      <c r="I2021" s="1">
        <v>18915.0</v>
      </c>
      <c r="J2021" s="1" t="s">
        <v>9924</v>
      </c>
      <c r="K2021" s="1" t="s">
        <v>9925</v>
      </c>
      <c r="L2021" s="1">
        <v>87.0</v>
      </c>
      <c r="M2021" s="1" t="s">
        <v>35</v>
      </c>
      <c r="N2021" s="1" t="s">
        <v>36</v>
      </c>
      <c r="O2021" s="1" t="s">
        <v>87</v>
      </c>
      <c r="P2021" s="1">
        <v>2.0E7</v>
      </c>
      <c r="Q2021" s="1">
        <v>2015.0</v>
      </c>
      <c r="R2021" s="1">
        <v>1000.0</v>
      </c>
      <c r="S2021" s="1">
        <v>465.0</v>
      </c>
      <c r="T2021" s="1">
        <v>455.0</v>
      </c>
      <c r="U2021" s="1">
        <v>2851.0</v>
      </c>
      <c r="V2021" s="1">
        <v>132.0</v>
      </c>
      <c r="W2021" s="1">
        <v>33000.0</v>
      </c>
      <c r="X2021" s="1">
        <v>0.0</v>
      </c>
      <c r="Y2021" s="1">
        <v>2.35</v>
      </c>
      <c r="Z2021" s="1">
        <v>6.8</v>
      </c>
    </row>
    <row r="2022" ht="14.25" customHeight="1">
      <c r="A2022" s="1" t="s">
        <v>26</v>
      </c>
      <c r="B2022" s="1" t="s">
        <v>7844</v>
      </c>
      <c r="C2022" s="1" t="s">
        <v>9926</v>
      </c>
      <c r="D2022" s="1">
        <v>3.9737645E7</v>
      </c>
      <c r="E2022" s="1" t="s">
        <v>4008</v>
      </c>
      <c r="F2022" s="1" t="s">
        <v>4395</v>
      </c>
      <c r="G2022" s="1" t="s">
        <v>2505</v>
      </c>
      <c r="H2022" s="1" t="s">
        <v>403</v>
      </c>
      <c r="I2022" s="1">
        <v>89687.0</v>
      </c>
      <c r="J2022" s="1" t="s">
        <v>9927</v>
      </c>
      <c r="K2022" s="1" t="s">
        <v>9928</v>
      </c>
      <c r="L2022" s="1">
        <v>666.0</v>
      </c>
      <c r="M2022" s="1" t="s">
        <v>35</v>
      </c>
      <c r="N2022" s="1" t="s">
        <v>36</v>
      </c>
      <c r="O2022" s="1" t="s">
        <v>37</v>
      </c>
      <c r="P2022" s="1">
        <v>2.0E7</v>
      </c>
      <c r="Q2022" s="1">
        <v>2007.0</v>
      </c>
      <c r="R2022" s="1">
        <v>926.0</v>
      </c>
      <c r="S2022" s="1">
        <v>869.0</v>
      </c>
      <c r="T2022" s="1">
        <v>729.0</v>
      </c>
      <c r="U2022" s="1">
        <v>4293.0</v>
      </c>
      <c r="V2022" s="1">
        <v>82.0</v>
      </c>
      <c r="W2022" s="1">
        <v>0.0</v>
      </c>
      <c r="X2022" s="1">
        <v>11.0</v>
      </c>
      <c r="Y2022" s="1">
        <v>1.85</v>
      </c>
      <c r="Z2022" s="1">
        <v>2.3</v>
      </c>
    </row>
    <row r="2023" ht="14.25" customHeight="1">
      <c r="A2023" s="1" t="s">
        <v>26</v>
      </c>
      <c r="B2023" s="1" t="s">
        <v>2192</v>
      </c>
      <c r="C2023" s="1" t="s">
        <v>2193</v>
      </c>
      <c r="D2023" s="1">
        <v>3.756744E7</v>
      </c>
      <c r="E2023" s="1" t="s">
        <v>165</v>
      </c>
      <c r="F2023" s="1" t="s">
        <v>2194</v>
      </c>
      <c r="G2023" s="1" t="s">
        <v>715</v>
      </c>
      <c r="H2023" s="1" t="s">
        <v>2195</v>
      </c>
      <c r="I2023" s="1">
        <v>113068.0</v>
      </c>
      <c r="J2023" s="1" t="s">
        <v>2196</v>
      </c>
      <c r="K2023" s="1" t="s">
        <v>2197</v>
      </c>
      <c r="L2023" s="1">
        <v>337.0</v>
      </c>
      <c r="M2023" s="1" t="s">
        <v>35</v>
      </c>
      <c r="N2023" s="1" t="s">
        <v>36</v>
      </c>
      <c r="O2023" s="1" t="s">
        <v>628</v>
      </c>
      <c r="P2023" s="1">
        <v>2.0E7</v>
      </c>
      <c r="Q2023" s="1">
        <v>1982.0</v>
      </c>
      <c r="R2023" s="1">
        <v>919.0</v>
      </c>
      <c r="S2023" s="1">
        <v>691.0</v>
      </c>
      <c r="T2023" s="1">
        <v>183.0</v>
      </c>
      <c r="U2023" s="1">
        <v>2024.0</v>
      </c>
      <c r="V2023" s="1">
        <v>468.0</v>
      </c>
      <c r="W2023" s="1">
        <v>0.0</v>
      </c>
      <c r="X2023" s="1">
        <v>0.0</v>
      </c>
      <c r="Y2023" s="1">
        <v>2.35</v>
      </c>
      <c r="Z2023" s="1">
        <v>6.9</v>
      </c>
    </row>
    <row r="2024" ht="14.25" customHeight="1">
      <c r="A2024" s="1" t="s">
        <v>26</v>
      </c>
      <c r="B2024" s="1" t="s">
        <v>417</v>
      </c>
      <c r="C2024" s="1" t="s">
        <v>9929</v>
      </c>
      <c r="D2024" s="1">
        <v>4.498818E7</v>
      </c>
      <c r="E2024" s="1" t="s">
        <v>9930</v>
      </c>
      <c r="F2024" s="1" t="s">
        <v>1017</v>
      </c>
      <c r="G2024" s="1" t="s">
        <v>9931</v>
      </c>
      <c r="H2024" s="1" t="s">
        <v>9932</v>
      </c>
      <c r="I2024" s="1">
        <v>195333.0</v>
      </c>
      <c r="J2024" s="1" t="s">
        <v>9933</v>
      </c>
      <c r="K2024" s="1" t="s">
        <v>9934</v>
      </c>
      <c r="L2024" s="1">
        <v>409.0</v>
      </c>
      <c r="M2024" s="1" t="s">
        <v>35</v>
      </c>
      <c r="N2024" s="1" t="s">
        <v>36</v>
      </c>
      <c r="O2024" s="1" t="s">
        <v>628</v>
      </c>
      <c r="P2024" s="1">
        <v>2.0E7</v>
      </c>
      <c r="Q2024" s="1">
        <v>2015.0</v>
      </c>
      <c r="R2024" s="1">
        <v>745.0</v>
      </c>
      <c r="S2024" s="1">
        <v>168.0</v>
      </c>
      <c r="T2024" s="1">
        <v>77.0</v>
      </c>
      <c r="U2024" s="1">
        <v>1058.0</v>
      </c>
      <c r="V2024" s="1">
        <v>310.0</v>
      </c>
      <c r="W2024" s="1">
        <v>80000.0</v>
      </c>
      <c r="X2024" s="1">
        <v>2.0</v>
      </c>
      <c r="Y2024" s="1">
        <v>1.85</v>
      </c>
      <c r="Z2024" s="1">
        <v>8.1</v>
      </c>
    </row>
    <row r="2025" ht="14.25" customHeight="1">
      <c r="A2025" s="1" t="s">
        <v>26</v>
      </c>
      <c r="B2025" s="1" t="s">
        <v>9311</v>
      </c>
      <c r="C2025" s="1" t="s">
        <v>9935</v>
      </c>
      <c r="D2025" s="1">
        <v>3.9263506E7</v>
      </c>
      <c r="E2025" s="1" t="s">
        <v>2045</v>
      </c>
      <c r="F2025" s="1" t="s">
        <v>3524</v>
      </c>
      <c r="G2025" s="1" t="s">
        <v>6266</v>
      </c>
      <c r="H2025" s="1" t="s">
        <v>8582</v>
      </c>
      <c r="I2025" s="1">
        <v>40469.0</v>
      </c>
      <c r="J2025" s="1" t="s">
        <v>9936</v>
      </c>
      <c r="K2025" s="1" t="s">
        <v>9937</v>
      </c>
      <c r="L2025" s="1">
        <v>135.0</v>
      </c>
      <c r="M2025" s="1" t="s">
        <v>35</v>
      </c>
      <c r="N2025" s="1" t="s">
        <v>36</v>
      </c>
      <c r="O2025" s="1" t="s">
        <v>37</v>
      </c>
      <c r="P2025" s="1">
        <v>2.2E7</v>
      </c>
      <c r="Q2025" s="1">
        <v>2008.0</v>
      </c>
      <c r="R2025" s="1">
        <v>1000.0</v>
      </c>
      <c r="S2025" s="1">
        <v>931.0</v>
      </c>
      <c r="T2025" s="1">
        <v>332.0</v>
      </c>
      <c r="U2025" s="1">
        <v>2382.0</v>
      </c>
      <c r="V2025" s="1">
        <v>119.0</v>
      </c>
      <c r="W2025" s="1">
        <v>0.0</v>
      </c>
      <c r="X2025" s="1">
        <v>1.0</v>
      </c>
      <c r="Y2025" s="1">
        <v>2.35</v>
      </c>
      <c r="Z2025" s="1">
        <v>6.1</v>
      </c>
    </row>
    <row r="2026" ht="14.25" customHeight="1">
      <c r="A2026" s="1" t="s">
        <v>26</v>
      </c>
      <c r="B2026" s="1" t="s">
        <v>9938</v>
      </c>
      <c r="C2026" s="1" t="s">
        <v>9939</v>
      </c>
      <c r="D2026" s="1">
        <v>3.9143839E7</v>
      </c>
      <c r="E2026" s="1" t="s">
        <v>6278</v>
      </c>
      <c r="F2026" s="1" t="s">
        <v>2378</v>
      </c>
      <c r="G2026" s="1" t="s">
        <v>6462</v>
      </c>
      <c r="H2026" s="1" t="s">
        <v>9940</v>
      </c>
      <c r="I2026" s="1">
        <v>38658.0</v>
      </c>
      <c r="J2026" s="1" t="s">
        <v>9941</v>
      </c>
      <c r="K2026" s="1" t="s">
        <v>9942</v>
      </c>
      <c r="L2026" s="1">
        <v>284.0</v>
      </c>
      <c r="M2026" s="1" t="s">
        <v>35</v>
      </c>
      <c r="N2026" s="1" t="s">
        <v>36</v>
      </c>
      <c r="O2026" s="1" t="s">
        <v>37</v>
      </c>
      <c r="P2026" s="1">
        <v>2.0E7</v>
      </c>
      <c r="Q2026" s="1">
        <v>2006.0</v>
      </c>
      <c r="R2026" s="1">
        <v>4000.0</v>
      </c>
      <c r="S2026" s="1">
        <v>884.0</v>
      </c>
      <c r="T2026" s="1">
        <v>464.0</v>
      </c>
      <c r="U2026" s="1">
        <v>5746.0</v>
      </c>
      <c r="V2026" s="1">
        <v>70.0</v>
      </c>
      <c r="W2026" s="1">
        <v>930.0</v>
      </c>
      <c r="X2026" s="1">
        <v>0.0</v>
      </c>
      <c r="Y2026" s="1">
        <v>1.85</v>
      </c>
      <c r="Z2026" s="1">
        <v>5.0</v>
      </c>
    </row>
    <row r="2027" ht="14.25" customHeight="1">
      <c r="A2027" s="1" t="s">
        <v>26</v>
      </c>
      <c r="B2027" s="1" t="s">
        <v>6853</v>
      </c>
      <c r="C2027" s="1" t="s">
        <v>9943</v>
      </c>
      <c r="D2027" s="1">
        <v>3.767235E7</v>
      </c>
      <c r="E2027" s="1" t="s">
        <v>1359</v>
      </c>
      <c r="F2027" s="1" t="s">
        <v>9944</v>
      </c>
      <c r="G2027" s="1" t="s">
        <v>3037</v>
      </c>
      <c r="H2027" s="1" t="s">
        <v>2900</v>
      </c>
      <c r="I2027" s="1">
        <v>5427.0</v>
      </c>
      <c r="J2027" s="1" t="s">
        <v>9945</v>
      </c>
      <c r="K2027" s="1" t="s">
        <v>9946</v>
      </c>
      <c r="L2027" s="1">
        <v>51.0</v>
      </c>
      <c r="M2027" s="1" t="s">
        <v>35</v>
      </c>
      <c r="N2027" s="1" t="s">
        <v>36</v>
      </c>
      <c r="O2027" s="1" t="s">
        <v>628</v>
      </c>
      <c r="P2027" s="1">
        <v>2.0E7</v>
      </c>
      <c r="Q2027" s="1">
        <v>1998.0</v>
      </c>
      <c r="R2027" s="1">
        <v>508.0</v>
      </c>
      <c r="S2027" s="1">
        <v>270.0</v>
      </c>
      <c r="T2027" s="1">
        <v>232.0</v>
      </c>
      <c r="U2027" s="1">
        <v>1660.0</v>
      </c>
      <c r="V2027" s="1">
        <v>8.0</v>
      </c>
      <c r="W2027" s="1">
        <v>0.0</v>
      </c>
      <c r="X2027" s="1">
        <v>1.0</v>
      </c>
      <c r="Y2027" s="1">
        <v>1.85</v>
      </c>
      <c r="Z2027" s="1">
        <v>5.5</v>
      </c>
    </row>
    <row r="2028" ht="14.25" customHeight="1">
      <c r="A2028" s="1" t="s">
        <v>26</v>
      </c>
      <c r="B2028" s="1" t="s">
        <v>4827</v>
      </c>
      <c r="C2028" s="1" t="s">
        <v>9947</v>
      </c>
      <c r="D2028" s="1">
        <v>3.8037513E7</v>
      </c>
      <c r="E2028" s="1" t="s">
        <v>9948</v>
      </c>
      <c r="F2028" s="1" t="s">
        <v>563</v>
      </c>
      <c r="G2028" s="1" t="s">
        <v>3135</v>
      </c>
      <c r="H2028" s="1" t="s">
        <v>9949</v>
      </c>
      <c r="I2028" s="1">
        <v>49680.0</v>
      </c>
      <c r="J2028" s="1" t="s">
        <v>9950</v>
      </c>
      <c r="K2028" s="1" t="s">
        <v>9951</v>
      </c>
      <c r="L2028" s="1">
        <v>117.0</v>
      </c>
      <c r="M2028" s="1" t="s">
        <v>35</v>
      </c>
      <c r="N2028" s="1" t="s">
        <v>36</v>
      </c>
      <c r="O2028" s="1" t="s">
        <v>87</v>
      </c>
      <c r="P2028" s="1">
        <v>2.0E7</v>
      </c>
      <c r="Q2028" s="1">
        <v>1991.0</v>
      </c>
      <c r="R2028" s="1">
        <v>18000.0</v>
      </c>
      <c r="S2028" s="1">
        <v>769.0</v>
      </c>
      <c r="T2028" s="1">
        <v>636.0</v>
      </c>
      <c r="U2028" s="1">
        <v>20188.0</v>
      </c>
      <c r="V2028" s="1">
        <v>12.0</v>
      </c>
      <c r="W2028" s="1">
        <v>0.0</v>
      </c>
      <c r="X2028" s="1">
        <v>2.0</v>
      </c>
      <c r="Y2028" s="1">
        <v>1.85</v>
      </c>
      <c r="Z2028" s="1">
        <v>6.2</v>
      </c>
    </row>
    <row r="2029" ht="14.25" customHeight="1">
      <c r="A2029" s="1" t="s">
        <v>26</v>
      </c>
      <c r="B2029" s="1" t="s">
        <v>2962</v>
      </c>
      <c r="C2029" s="1" t="s">
        <v>9952</v>
      </c>
      <c r="D2029" s="1">
        <v>3.744218E7</v>
      </c>
      <c r="E2029" s="1" t="s">
        <v>9029</v>
      </c>
      <c r="F2029" s="1" t="s">
        <v>774</v>
      </c>
      <c r="G2029" s="1" t="s">
        <v>4543</v>
      </c>
      <c r="H2029" s="1" t="s">
        <v>464</v>
      </c>
      <c r="I2029" s="1">
        <v>28005.0</v>
      </c>
      <c r="J2029" s="1" t="s">
        <v>9953</v>
      </c>
      <c r="K2029" s="1" t="s">
        <v>9954</v>
      </c>
      <c r="L2029" s="1">
        <v>236.0</v>
      </c>
      <c r="M2029" s="1" t="s">
        <v>35</v>
      </c>
      <c r="N2029" s="1" t="s">
        <v>36</v>
      </c>
      <c r="O2029" s="1" t="s">
        <v>37</v>
      </c>
      <c r="P2029" s="1">
        <v>2.0E7</v>
      </c>
      <c r="Q2029" s="1">
        <v>2006.0</v>
      </c>
      <c r="R2029" s="1">
        <v>49000.0</v>
      </c>
      <c r="S2029" s="1">
        <v>2000.0</v>
      </c>
      <c r="T2029" s="1">
        <v>1000.0</v>
      </c>
      <c r="U2029" s="1">
        <v>52571.0</v>
      </c>
      <c r="V2029" s="1">
        <v>272.0</v>
      </c>
      <c r="W2029" s="1">
        <v>0.0</v>
      </c>
      <c r="X2029" s="1">
        <v>1.0</v>
      </c>
      <c r="Y2029" s="1">
        <v>2.35</v>
      </c>
      <c r="Z2029" s="1">
        <v>6.2</v>
      </c>
    </row>
    <row r="2030" ht="14.25" customHeight="1">
      <c r="A2030" s="1" t="s">
        <v>26</v>
      </c>
      <c r="B2030" s="1" t="s">
        <v>9955</v>
      </c>
      <c r="C2030" s="1" t="s">
        <v>9956</v>
      </c>
      <c r="D2030" s="1">
        <v>3.5596227E7</v>
      </c>
      <c r="E2030" s="1" t="s">
        <v>2045</v>
      </c>
      <c r="F2030" s="1" t="s">
        <v>9957</v>
      </c>
      <c r="G2030" s="1" t="s">
        <v>9958</v>
      </c>
      <c r="H2030" s="1" t="s">
        <v>9959</v>
      </c>
      <c r="I2030" s="1">
        <v>79461.0</v>
      </c>
      <c r="J2030" s="1" t="s">
        <v>9960</v>
      </c>
      <c r="K2030" s="1" t="s">
        <v>9961</v>
      </c>
      <c r="L2030" s="1">
        <v>463.0</v>
      </c>
      <c r="M2030" s="1" t="s">
        <v>35</v>
      </c>
      <c r="N2030" s="1" t="s">
        <v>36</v>
      </c>
      <c r="O2030" s="1" t="s">
        <v>628</v>
      </c>
      <c r="P2030" s="1">
        <v>2.0E7</v>
      </c>
      <c r="Q2030" s="1">
        <v>2010.0</v>
      </c>
      <c r="R2030" s="1">
        <v>978.0</v>
      </c>
      <c r="S2030" s="1">
        <v>191.0</v>
      </c>
      <c r="T2030" s="1">
        <v>101.0</v>
      </c>
      <c r="U2030" s="1">
        <v>1454.0</v>
      </c>
      <c r="V2030" s="1">
        <v>210.0</v>
      </c>
      <c r="W2030" s="1">
        <v>10000.0</v>
      </c>
      <c r="X2030" s="1">
        <v>1.0</v>
      </c>
      <c r="Y2030" s="1">
        <v>2.35</v>
      </c>
      <c r="Z2030" s="1">
        <v>6.3</v>
      </c>
    </row>
    <row r="2031" ht="14.25" customHeight="1">
      <c r="A2031" s="1" t="s">
        <v>26</v>
      </c>
      <c r="B2031" s="1" t="s">
        <v>9962</v>
      </c>
      <c r="C2031" s="1" t="s">
        <v>9963</v>
      </c>
      <c r="D2031" s="1">
        <v>3.5422828E7</v>
      </c>
      <c r="E2031" s="1" t="s">
        <v>4075</v>
      </c>
      <c r="F2031" s="1" t="s">
        <v>4575</v>
      </c>
      <c r="G2031" s="1" t="s">
        <v>1149</v>
      </c>
      <c r="H2031" s="1" t="s">
        <v>5204</v>
      </c>
      <c r="I2031" s="1">
        <v>19126.0</v>
      </c>
      <c r="J2031" s="1" t="s">
        <v>9964</v>
      </c>
      <c r="K2031" s="1" t="s">
        <v>9965</v>
      </c>
      <c r="L2031" s="1">
        <v>155.0</v>
      </c>
      <c r="M2031" s="1" t="s">
        <v>35</v>
      </c>
      <c r="N2031" s="1" t="s">
        <v>36</v>
      </c>
      <c r="O2031" s="1" t="s">
        <v>87</v>
      </c>
      <c r="P2031" s="1">
        <v>2.0E7</v>
      </c>
      <c r="Q2031" s="1">
        <v>1997.0</v>
      </c>
      <c r="R2031" s="1">
        <v>565.0</v>
      </c>
      <c r="S2031" s="1">
        <v>441.0</v>
      </c>
      <c r="T2031" s="1">
        <v>399.0</v>
      </c>
      <c r="U2031" s="1">
        <v>1735.0</v>
      </c>
      <c r="V2031" s="1">
        <v>16.0</v>
      </c>
      <c r="W2031" s="1">
        <v>0.0</v>
      </c>
      <c r="X2031" s="1">
        <v>1.0</v>
      </c>
      <c r="Y2031" s="1">
        <v>2.35</v>
      </c>
      <c r="Z2031" s="1">
        <v>6.7</v>
      </c>
    </row>
    <row r="2032" ht="14.25" customHeight="1">
      <c r="A2032" s="1" t="s">
        <v>26</v>
      </c>
      <c r="B2032" s="1" t="s">
        <v>7844</v>
      </c>
      <c r="C2032" s="1" t="s">
        <v>9966</v>
      </c>
      <c r="D2032" s="1">
        <v>3.6658108E7</v>
      </c>
      <c r="E2032" s="1" t="s">
        <v>1885</v>
      </c>
      <c r="F2032" s="1" t="s">
        <v>827</v>
      </c>
      <c r="G2032" s="1" t="s">
        <v>9967</v>
      </c>
      <c r="H2032" s="1" t="s">
        <v>9968</v>
      </c>
      <c r="I2032" s="1">
        <v>39095.0</v>
      </c>
      <c r="J2032" s="1" t="s">
        <v>9969</v>
      </c>
      <c r="K2032" s="1" t="s">
        <v>9970</v>
      </c>
      <c r="L2032" s="1">
        <v>187.0</v>
      </c>
      <c r="M2032" s="1" t="s">
        <v>35</v>
      </c>
      <c r="N2032" s="1" t="s">
        <v>36</v>
      </c>
      <c r="O2032" s="1" t="s">
        <v>37</v>
      </c>
      <c r="P2032" s="1">
        <v>2.0E7</v>
      </c>
      <c r="Q2032" s="1">
        <v>2010.0</v>
      </c>
      <c r="R2032" s="1">
        <v>759.0</v>
      </c>
      <c r="S2032" s="1">
        <v>401.0</v>
      </c>
      <c r="T2032" s="1">
        <v>354.0</v>
      </c>
      <c r="U2032" s="1">
        <v>2898.0</v>
      </c>
      <c r="V2032" s="1">
        <v>82.0</v>
      </c>
      <c r="W2032" s="1">
        <v>16000.0</v>
      </c>
      <c r="X2032" s="1">
        <v>7.0</v>
      </c>
      <c r="Y2032" s="1">
        <v>1.85</v>
      </c>
      <c r="Z2032" s="1">
        <v>3.5</v>
      </c>
    </row>
    <row r="2033" ht="14.25" customHeight="1">
      <c r="A2033" s="1" t="s">
        <v>26</v>
      </c>
      <c r="B2033" s="1" t="s">
        <v>1088</v>
      </c>
      <c r="C2033" s="1" t="s">
        <v>9971</v>
      </c>
      <c r="D2033" s="1">
        <v>3.4300771E7</v>
      </c>
      <c r="E2033" s="1" t="s">
        <v>3238</v>
      </c>
      <c r="F2033" s="1" t="s">
        <v>335</v>
      </c>
      <c r="G2033" s="1" t="s">
        <v>9972</v>
      </c>
      <c r="H2033" s="1" t="s">
        <v>9973</v>
      </c>
      <c r="I2033" s="1">
        <v>243799.0</v>
      </c>
      <c r="J2033" s="1" t="s">
        <v>9974</v>
      </c>
      <c r="K2033" s="1" t="s">
        <v>9975</v>
      </c>
      <c r="L2033" s="1">
        <v>908.0</v>
      </c>
      <c r="M2033" s="1" t="s">
        <v>35</v>
      </c>
      <c r="N2033" s="1" t="s">
        <v>1832</v>
      </c>
      <c r="O2033" s="1" t="s">
        <v>628</v>
      </c>
      <c r="P2033" s="1">
        <v>2.5E7</v>
      </c>
      <c r="Q2033" s="1">
        <v>2006.0</v>
      </c>
      <c r="R2033" s="1">
        <v>11000.0</v>
      </c>
      <c r="S2033" s="1">
        <v>119.0</v>
      </c>
      <c r="T2033" s="1">
        <v>51.0</v>
      </c>
      <c r="U2033" s="1">
        <v>11248.0</v>
      </c>
      <c r="V2033" s="1">
        <v>0.0</v>
      </c>
      <c r="W2033" s="1">
        <v>0.0</v>
      </c>
      <c r="X2033" s="1">
        <v>3.0</v>
      </c>
      <c r="Y2033" s="1">
        <v>1.85</v>
      </c>
      <c r="Z2033" s="1">
        <v>7.5</v>
      </c>
    </row>
    <row r="2034" ht="14.25" customHeight="1">
      <c r="A2034" s="1" t="s">
        <v>26</v>
      </c>
      <c r="B2034" s="1" t="s">
        <v>772</v>
      </c>
      <c r="C2034" s="1" t="s">
        <v>9976</v>
      </c>
      <c r="D2034" s="1">
        <v>3.4290142E7</v>
      </c>
      <c r="E2034" s="1" t="s">
        <v>2422</v>
      </c>
      <c r="F2034" s="1" t="s">
        <v>4543</v>
      </c>
      <c r="G2034" s="1" t="s">
        <v>3554</v>
      </c>
      <c r="H2034" s="1" t="s">
        <v>5380</v>
      </c>
      <c r="I2034" s="1">
        <v>54242.0</v>
      </c>
      <c r="J2034" s="1" t="s">
        <v>9977</v>
      </c>
      <c r="K2034" s="1" t="s">
        <v>9978</v>
      </c>
      <c r="L2034" s="1">
        <v>145.0</v>
      </c>
      <c r="M2034" s="1" t="s">
        <v>35</v>
      </c>
      <c r="N2034" s="1" t="s">
        <v>36</v>
      </c>
      <c r="O2034" s="1" t="s">
        <v>628</v>
      </c>
      <c r="P2034" s="1">
        <v>1.98E7</v>
      </c>
      <c r="Q2034" s="1">
        <v>2014.0</v>
      </c>
      <c r="R2034" s="1">
        <v>2000.0</v>
      </c>
      <c r="S2034" s="1">
        <v>1000.0</v>
      </c>
      <c r="T2034" s="1">
        <v>949.0</v>
      </c>
      <c r="U2034" s="1">
        <v>4662.0</v>
      </c>
      <c r="V2034" s="1">
        <v>189.0</v>
      </c>
      <c r="W2034" s="1">
        <v>14000.0</v>
      </c>
      <c r="X2034" s="1">
        <v>8.0</v>
      </c>
      <c r="Y2034" s="1">
        <v>2.35</v>
      </c>
      <c r="Z2034" s="1">
        <v>6.6</v>
      </c>
    </row>
    <row r="2035" ht="14.25" customHeight="1">
      <c r="A2035" s="1" t="s">
        <v>26</v>
      </c>
      <c r="B2035" s="1" t="s">
        <v>9979</v>
      </c>
      <c r="C2035" s="1" t="s">
        <v>9980</v>
      </c>
      <c r="D2035" s="1">
        <v>3.3422556E7</v>
      </c>
      <c r="E2035" s="1" t="s">
        <v>7540</v>
      </c>
      <c r="F2035" s="1" t="s">
        <v>662</v>
      </c>
      <c r="G2035" s="1" t="s">
        <v>2286</v>
      </c>
      <c r="H2035" s="1" t="s">
        <v>4071</v>
      </c>
      <c r="I2035" s="1">
        <v>99236.0</v>
      </c>
      <c r="J2035" s="1" t="s">
        <v>9981</v>
      </c>
      <c r="K2035" s="1" t="s">
        <v>9982</v>
      </c>
      <c r="L2035" s="1">
        <v>321.0</v>
      </c>
      <c r="M2035" s="1" t="s">
        <v>35</v>
      </c>
      <c r="N2035" s="1" t="s">
        <v>36</v>
      </c>
      <c r="O2035" s="1" t="s">
        <v>37</v>
      </c>
      <c r="P2035" s="1">
        <v>2.0E7</v>
      </c>
      <c r="Q2035" s="1">
        <v>2008.0</v>
      </c>
      <c r="R2035" s="1">
        <v>22000.0</v>
      </c>
      <c r="S2035" s="1">
        <v>11000.0</v>
      </c>
      <c r="T2035" s="1">
        <v>652.0</v>
      </c>
      <c r="U2035" s="1">
        <v>33903.0</v>
      </c>
      <c r="V2035" s="1">
        <v>53.0</v>
      </c>
      <c r="W2035" s="1">
        <v>0.0</v>
      </c>
      <c r="X2035" s="1">
        <v>0.0</v>
      </c>
      <c r="Y2035" s="1">
        <v>1.85</v>
      </c>
      <c r="Z2035" s="1">
        <v>7.5</v>
      </c>
    </row>
    <row r="2036" ht="14.25" customHeight="1">
      <c r="A2036" s="1" t="s">
        <v>26</v>
      </c>
      <c r="B2036" s="1" t="s">
        <v>9702</v>
      </c>
      <c r="C2036" s="1" t="s">
        <v>9983</v>
      </c>
      <c r="D2036" s="1">
        <v>3.2774834E7</v>
      </c>
      <c r="E2036" s="1" t="s">
        <v>2056</v>
      </c>
      <c r="F2036" s="1" t="s">
        <v>9984</v>
      </c>
      <c r="G2036" s="1" t="s">
        <v>794</v>
      </c>
      <c r="H2036" s="1" t="s">
        <v>9702</v>
      </c>
      <c r="I2036" s="1">
        <v>136048.0</v>
      </c>
      <c r="J2036" s="1" t="s">
        <v>9985</v>
      </c>
      <c r="K2036" s="1" t="s">
        <v>9986</v>
      </c>
      <c r="L2036" s="1">
        <v>700.0</v>
      </c>
      <c r="M2036" s="1" t="s">
        <v>35</v>
      </c>
      <c r="N2036" s="1" t="s">
        <v>36</v>
      </c>
      <c r="O2036" s="1" t="s">
        <v>628</v>
      </c>
      <c r="P2036" s="1">
        <v>3.0E7</v>
      </c>
      <c r="Q2036" s="1">
        <v>2004.0</v>
      </c>
      <c r="R2036" s="1">
        <v>860.0</v>
      </c>
      <c r="S2036" s="1">
        <v>523.0</v>
      </c>
      <c r="T2036" s="1">
        <v>406.0</v>
      </c>
      <c r="U2036" s="1">
        <v>2609.0</v>
      </c>
      <c r="V2036" s="1">
        <v>406.0</v>
      </c>
      <c r="W2036" s="1">
        <v>0.0</v>
      </c>
      <c r="X2036" s="1">
        <v>5.0</v>
      </c>
      <c r="Y2036" s="1">
        <v>2.35</v>
      </c>
      <c r="Z2036" s="1">
        <v>7.2</v>
      </c>
    </row>
    <row r="2037" ht="14.25" customHeight="1">
      <c r="A2037" s="1" t="s">
        <v>26</v>
      </c>
      <c r="B2037" s="1" t="s">
        <v>7412</v>
      </c>
      <c r="C2037" s="1" t="s">
        <v>9987</v>
      </c>
      <c r="D2037" s="1">
        <v>3.4334256E7</v>
      </c>
      <c r="E2037" s="1" t="s">
        <v>6278</v>
      </c>
      <c r="F2037" s="1" t="s">
        <v>9988</v>
      </c>
      <c r="G2037" s="1" t="s">
        <v>9989</v>
      </c>
      <c r="H2037" s="1" t="s">
        <v>9990</v>
      </c>
      <c r="I2037" s="1">
        <v>35131.0</v>
      </c>
      <c r="J2037" s="1" t="s">
        <v>9991</v>
      </c>
      <c r="K2037" s="1" t="s">
        <v>9992</v>
      </c>
      <c r="L2037" s="1">
        <v>255.0</v>
      </c>
      <c r="M2037" s="1" t="s">
        <v>35</v>
      </c>
      <c r="N2037" s="1" t="s">
        <v>36</v>
      </c>
      <c r="O2037" s="1" t="s">
        <v>628</v>
      </c>
      <c r="P2037" s="1">
        <v>1.1E7</v>
      </c>
      <c r="Q2037" s="1">
        <v>2013.0</v>
      </c>
      <c r="R2037" s="1">
        <v>383.0</v>
      </c>
      <c r="S2037" s="1">
        <v>333.0</v>
      </c>
      <c r="T2037" s="1">
        <v>322.0</v>
      </c>
      <c r="U2037" s="1">
        <v>1945.0</v>
      </c>
      <c r="V2037" s="1">
        <v>34.0</v>
      </c>
      <c r="W2037" s="1">
        <v>16000.0</v>
      </c>
      <c r="X2037" s="1">
        <v>0.0</v>
      </c>
      <c r="Y2037" s="1">
        <v>2.35</v>
      </c>
      <c r="Z2037" s="1">
        <v>4.8</v>
      </c>
    </row>
    <row r="2038" ht="14.25" customHeight="1">
      <c r="A2038" s="1" t="s">
        <v>26</v>
      </c>
      <c r="B2038" s="1" t="s">
        <v>2362</v>
      </c>
      <c r="C2038" s="1" t="s">
        <v>9993</v>
      </c>
      <c r="D2038" s="1">
        <v>3.2051917E7</v>
      </c>
      <c r="E2038" s="1" t="s">
        <v>2061</v>
      </c>
      <c r="F2038" s="1" t="s">
        <v>9994</v>
      </c>
      <c r="G2038" s="1" t="s">
        <v>1980</v>
      </c>
      <c r="H2038" s="1" t="s">
        <v>5062</v>
      </c>
      <c r="I2038" s="1">
        <v>42315.0</v>
      </c>
      <c r="J2038" s="1" t="s">
        <v>9995</v>
      </c>
      <c r="K2038" s="1" t="s">
        <v>9996</v>
      </c>
      <c r="L2038" s="1">
        <v>140.0</v>
      </c>
      <c r="M2038" s="1" t="s">
        <v>35</v>
      </c>
      <c r="N2038" s="1" t="s">
        <v>36</v>
      </c>
      <c r="O2038" s="1" t="s">
        <v>628</v>
      </c>
      <c r="P2038" s="1">
        <v>2.0E7</v>
      </c>
      <c r="Q2038" s="1">
        <v>1995.0</v>
      </c>
      <c r="R2038" s="1">
        <v>10000.0</v>
      </c>
      <c r="S2038" s="1">
        <v>1000.0</v>
      </c>
      <c r="T2038" s="1">
        <v>631.0</v>
      </c>
      <c r="U2038" s="1">
        <v>12338.0</v>
      </c>
      <c r="V2038" s="1">
        <v>36.0</v>
      </c>
      <c r="W2038" s="1">
        <v>0.0</v>
      </c>
      <c r="X2038" s="1">
        <v>0.0</v>
      </c>
      <c r="Y2038" s="1">
        <v>2.35</v>
      </c>
      <c r="Z2038" s="1">
        <v>6.6</v>
      </c>
    </row>
    <row r="2039" ht="14.25" customHeight="1">
      <c r="A2039" s="1" t="s">
        <v>26</v>
      </c>
      <c r="B2039" s="1" t="s">
        <v>8417</v>
      </c>
      <c r="C2039" s="1" t="s">
        <v>9997</v>
      </c>
      <c r="D2039" s="1">
        <v>3.2014289E7</v>
      </c>
      <c r="E2039" s="1" t="s">
        <v>1885</v>
      </c>
      <c r="F2039" s="1" t="s">
        <v>9998</v>
      </c>
      <c r="G2039" s="1" t="s">
        <v>1096</v>
      </c>
      <c r="H2039" s="1" t="s">
        <v>1278</v>
      </c>
      <c r="I2039" s="1">
        <v>50337.0</v>
      </c>
      <c r="J2039" s="1" t="s">
        <v>9999</v>
      </c>
      <c r="K2039" s="1" t="s">
        <v>10000</v>
      </c>
      <c r="L2039" s="1">
        <v>177.0</v>
      </c>
      <c r="M2039" s="1" t="s">
        <v>35</v>
      </c>
      <c r="N2039" s="1" t="s">
        <v>36</v>
      </c>
      <c r="O2039" s="1" t="s">
        <v>37</v>
      </c>
      <c r="P2039" s="1">
        <v>2.0E7</v>
      </c>
      <c r="Q2039" s="1">
        <v>2013.0</v>
      </c>
      <c r="R2039" s="1">
        <v>31000.0</v>
      </c>
      <c r="S2039" s="1">
        <v>881.0</v>
      </c>
      <c r="T2039" s="1">
        <v>636.0</v>
      </c>
      <c r="U2039" s="1">
        <v>34319.0</v>
      </c>
      <c r="V2039" s="1">
        <v>92.0</v>
      </c>
      <c r="W2039" s="1">
        <v>13000.0</v>
      </c>
      <c r="X2039" s="1">
        <v>8.0</v>
      </c>
      <c r="Y2039" s="1">
        <v>1.85</v>
      </c>
      <c r="Z2039" s="1">
        <v>3.5</v>
      </c>
    </row>
    <row r="2040" ht="14.25" customHeight="1">
      <c r="A2040" s="1" t="s">
        <v>26</v>
      </c>
      <c r="B2040" s="1" t="s">
        <v>5676</v>
      </c>
      <c r="C2040" s="1" t="s">
        <v>10001</v>
      </c>
      <c r="D2040" s="1">
        <v>3.1838002E7</v>
      </c>
      <c r="E2040" s="1" t="s">
        <v>5578</v>
      </c>
      <c r="F2040" s="1" t="s">
        <v>75</v>
      </c>
      <c r="G2040" s="1" t="s">
        <v>4019</v>
      </c>
      <c r="H2040" s="1" t="s">
        <v>10002</v>
      </c>
      <c r="I2040" s="1">
        <v>136673.0</v>
      </c>
      <c r="J2040" s="1" t="s">
        <v>10003</v>
      </c>
      <c r="K2040" s="1" t="s">
        <v>10004</v>
      </c>
      <c r="L2040" s="1">
        <v>281.0</v>
      </c>
      <c r="M2040" s="1" t="s">
        <v>35</v>
      </c>
      <c r="N2040" s="1" t="s">
        <v>36</v>
      </c>
      <c r="O2040" s="1" t="s">
        <v>628</v>
      </c>
      <c r="P2040" s="1">
        <v>2.0E7</v>
      </c>
      <c r="Q2040" s="1">
        <v>2008.0</v>
      </c>
      <c r="R2040" s="1">
        <v>11000.0</v>
      </c>
      <c r="S2040" s="1">
        <v>896.0</v>
      </c>
      <c r="T2040" s="1">
        <v>755.0</v>
      </c>
      <c r="U2040" s="1">
        <v>13189.0</v>
      </c>
      <c r="V2040" s="1">
        <v>835.0</v>
      </c>
      <c r="W2040" s="1">
        <v>10000.0</v>
      </c>
      <c r="X2040" s="1">
        <v>1.0</v>
      </c>
      <c r="Y2040" s="1">
        <v>1.85</v>
      </c>
      <c r="Z2040" s="1">
        <v>7.6</v>
      </c>
    </row>
    <row r="2041" ht="14.25" customHeight="1">
      <c r="A2041" s="1" t="s">
        <v>26</v>
      </c>
      <c r="B2041" s="1" t="s">
        <v>513</v>
      </c>
      <c r="C2041" s="1" t="s">
        <v>10005</v>
      </c>
      <c r="D2041" s="1">
        <v>3.6874745E7</v>
      </c>
      <c r="E2041" s="1" t="s">
        <v>10006</v>
      </c>
      <c r="F2041" s="1" t="s">
        <v>10007</v>
      </c>
      <c r="G2041" s="1" t="s">
        <v>10008</v>
      </c>
      <c r="H2041" s="1" t="s">
        <v>10009</v>
      </c>
      <c r="I2041" s="1">
        <v>12276.0</v>
      </c>
      <c r="J2041" s="1" t="s">
        <v>10010</v>
      </c>
      <c r="K2041" s="1" t="s">
        <v>10011</v>
      </c>
      <c r="L2041" s="1">
        <v>117.0</v>
      </c>
      <c r="M2041" s="1" t="s">
        <v>35</v>
      </c>
      <c r="N2041" s="1" t="s">
        <v>36</v>
      </c>
      <c r="O2041" s="1" t="s">
        <v>37</v>
      </c>
      <c r="P2041" s="1">
        <v>2.0E7</v>
      </c>
      <c r="Q2041" s="1">
        <v>2016.0</v>
      </c>
      <c r="R2041" s="1">
        <v>141.0</v>
      </c>
      <c r="S2041" s="1">
        <v>76.0</v>
      </c>
      <c r="T2041" s="1">
        <v>47.0</v>
      </c>
      <c r="U2041" s="1">
        <v>389.0</v>
      </c>
      <c r="V2041" s="1">
        <v>58.0</v>
      </c>
      <c r="W2041" s="1">
        <v>21000.0</v>
      </c>
      <c r="X2041" s="1">
        <v>2.0</v>
      </c>
      <c r="Y2041" s="1">
        <v>2.35</v>
      </c>
      <c r="Z2041" s="1">
        <v>6.3</v>
      </c>
    </row>
    <row r="2042" ht="14.25" customHeight="1">
      <c r="A2042" s="1" t="s">
        <v>26</v>
      </c>
      <c r="B2042" s="1" t="s">
        <v>10012</v>
      </c>
      <c r="C2042" s="1" t="s">
        <v>10013</v>
      </c>
      <c r="D2042" s="1">
        <v>3.0079316E7</v>
      </c>
      <c r="E2042" s="1" t="s">
        <v>6019</v>
      </c>
      <c r="F2042" s="1" t="s">
        <v>10014</v>
      </c>
      <c r="G2042" s="1" t="s">
        <v>8355</v>
      </c>
      <c r="H2042" s="1" t="s">
        <v>10015</v>
      </c>
      <c r="I2042" s="1">
        <v>75920.0</v>
      </c>
      <c r="J2042" s="1" t="s">
        <v>10016</v>
      </c>
      <c r="K2042" s="1" t="s">
        <v>10017</v>
      </c>
      <c r="L2042" s="1">
        <v>474.0</v>
      </c>
      <c r="M2042" s="1" t="s">
        <v>35</v>
      </c>
      <c r="N2042" s="1" t="s">
        <v>36</v>
      </c>
      <c r="O2042" s="1" t="s">
        <v>628</v>
      </c>
      <c r="P2042" s="1">
        <v>3.5E7</v>
      </c>
      <c r="Q2042" s="1">
        <v>2002.0</v>
      </c>
      <c r="R2042" s="1">
        <v>534.0</v>
      </c>
      <c r="S2042" s="1">
        <v>385.0</v>
      </c>
      <c r="T2042" s="1">
        <v>78.0</v>
      </c>
      <c r="U2042" s="1">
        <v>1083.0</v>
      </c>
      <c r="V2042" s="1">
        <v>17.0</v>
      </c>
      <c r="W2042" s="1">
        <v>0.0</v>
      </c>
      <c r="X2042" s="1">
        <v>0.0</v>
      </c>
      <c r="Y2042" s="1">
        <v>1.85</v>
      </c>
      <c r="Z2042" s="1">
        <v>5.5</v>
      </c>
    </row>
    <row r="2043" ht="14.25" customHeight="1">
      <c r="A2043" s="1" t="s">
        <v>26</v>
      </c>
      <c r="B2043" s="1" t="s">
        <v>10018</v>
      </c>
      <c r="C2043" s="1" t="s">
        <v>10019</v>
      </c>
      <c r="D2043" s="1">
        <v>3.5033759E7</v>
      </c>
      <c r="E2043" s="1" t="s">
        <v>4008</v>
      </c>
      <c r="F2043" s="1" t="s">
        <v>6692</v>
      </c>
      <c r="G2043" s="1" t="s">
        <v>4768</v>
      </c>
      <c r="H2043" s="1" t="s">
        <v>8609</v>
      </c>
      <c r="I2043" s="1">
        <v>55008.0</v>
      </c>
      <c r="J2043" s="1" t="s">
        <v>10020</v>
      </c>
      <c r="K2043" s="1" t="s">
        <v>10021</v>
      </c>
      <c r="L2043" s="1">
        <v>93.0</v>
      </c>
      <c r="M2043" s="1" t="s">
        <v>35</v>
      </c>
      <c r="N2043" s="1" t="s">
        <v>36</v>
      </c>
      <c r="O2043" s="1" t="s">
        <v>628</v>
      </c>
      <c r="P2043" s="1">
        <v>1.9E7</v>
      </c>
      <c r="Q2043" s="1">
        <v>2011.0</v>
      </c>
      <c r="R2043" s="1">
        <v>786.0</v>
      </c>
      <c r="S2043" s="1">
        <v>651.0</v>
      </c>
      <c r="T2043" s="1">
        <v>587.0</v>
      </c>
      <c r="U2043" s="1">
        <v>2462.0</v>
      </c>
      <c r="V2043" s="1">
        <v>12.0</v>
      </c>
      <c r="W2043" s="1">
        <v>21000.0</v>
      </c>
      <c r="X2043" s="1">
        <v>4.0</v>
      </c>
      <c r="Y2043" s="1">
        <v>2.35</v>
      </c>
      <c r="Z2043" s="1">
        <v>6.3</v>
      </c>
    </row>
    <row r="2044" ht="14.25" customHeight="1">
      <c r="A2044" s="1" t="s">
        <v>26</v>
      </c>
      <c r="B2044" s="1" t="s">
        <v>10022</v>
      </c>
      <c r="C2044" s="1" t="s">
        <v>10023</v>
      </c>
      <c r="D2044" s="1">
        <v>2.9753944E7</v>
      </c>
      <c r="E2044" s="1" t="s">
        <v>2061</v>
      </c>
      <c r="F2044" s="1" t="s">
        <v>534</v>
      </c>
      <c r="G2044" s="1" t="s">
        <v>3652</v>
      </c>
      <c r="H2044" s="1" t="s">
        <v>10024</v>
      </c>
      <c r="I2044" s="1">
        <v>90677.0</v>
      </c>
      <c r="J2044" s="1" t="s">
        <v>10025</v>
      </c>
      <c r="K2044" s="1" t="s">
        <v>10026</v>
      </c>
      <c r="L2044" s="1">
        <v>389.0</v>
      </c>
      <c r="M2044" s="1" t="s">
        <v>35</v>
      </c>
      <c r="N2044" s="1" t="s">
        <v>36</v>
      </c>
      <c r="O2044" s="1" t="s">
        <v>628</v>
      </c>
      <c r="P2044" s="1">
        <v>2.0E7</v>
      </c>
      <c r="Q2044" s="1">
        <v>1998.0</v>
      </c>
      <c r="R2044" s="1">
        <v>13000.0</v>
      </c>
      <c r="S2044" s="1">
        <v>481.0</v>
      </c>
      <c r="T2044" s="1">
        <v>254.0</v>
      </c>
      <c r="U2044" s="1">
        <v>14275.0</v>
      </c>
      <c r="V2044" s="1">
        <v>39.0</v>
      </c>
      <c r="W2044" s="1">
        <v>0.0</v>
      </c>
      <c r="X2044" s="1">
        <v>3.0</v>
      </c>
      <c r="Y2044" s="1">
        <v>2.35</v>
      </c>
      <c r="Z2044" s="1">
        <v>6.5</v>
      </c>
    </row>
    <row r="2045" ht="14.25" customHeight="1">
      <c r="A2045" s="1" t="s">
        <v>26</v>
      </c>
      <c r="B2045" s="1" t="s">
        <v>4291</v>
      </c>
      <c r="C2045" s="1" t="s">
        <v>10027</v>
      </c>
      <c r="D2045" s="1">
        <v>3.114657E7</v>
      </c>
      <c r="E2045" s="1" t="s">
        <v>3868</v>
      </c>
      <c r="F2045" s="1" t="s">
        <v>130</v>
      </c>
      <c r="G2045" s="1" t="s">
        <v>10028</v>
      </c>
      <c r="H2045" s="1" t="s">
        <v>10029</v>
      </c>
      <c r="I2045" s="1">
        <v>55441.0</v>
      </c>
      <c r="J2045" s="1" t="s">
        <v>10030</v>
      </c>
      <c r="K2045" s="1" t="s">
        <v>10031</v>
      </c>
      <c r="L2045" s="1">
        <v>165.0</v>
      </c>
      <c r="M2045" s="1" t="s">
        <v>35</v>
      </c>
      <c r="N2045" s="1" t="s">
        <v>36</v>
      </c>
      <c r="O2045" s="1" t="s">
        <v>628</v>
      </c>
      <c r="P2045" s="1">
        <v>2.0E7</v>
      </c>
      <c r="Q2045" s="1">
        <v>2010.0</v>
      </c>
      <c r="R2045" s="1">
        <v>1000.0</v>
      </c>
      <c r="S2045" s="1">
        <v>100.0</v>
      </c>
      <c r="T2045" s="1">
        <v>22.0</v>
      </c>
      <c r="U2045" s="1">
        <v>1136.0</v>
      </c>
      <c r="V2045" s="1">
        <v>108.0</v>
      </c>
      <c r="W2045" s="1">
        <v>0.0</v>
      </c>
      <c r="X2045" s="1">
        <v>3.0</v>
      </c>
      <c r="Y2045" s="1">
        <v>2.35</v>
      </c>
      <c r="Z2045" s="1">
        <v>6.9</v>
      </c>
    </row>
    <row r="2046" ht="14.25" customHeight="1">
      <c r="A2046" s="1" t="s">
        <v>26</v>
      </c>
      <c r="B2046" s="1" t="s">
        <v>5299</v>
      </c>
      <c r="C2046" s="1" t="s">
        <v>10032</v>
      </c>
      <c r="D2046" s="1">
        <v>2.7277055E7</v>
      </c>
      <c r="E2046" s="1" t="s">
        <v>5429</v>
      </c>
      <c r="F2046" s="1" t="s">
        <v>7103</v>
      </c>
      <c r="G2046" s="1" t="s">
        <v>2547</v>
      </c>
      <c r="H2046" s="1" t="s">
        <v>2282</v>
      </c>
      <c r="I2046" s="1">
        <v>143137.0</v>
      </c>
      <c r="J2046" s="1" t="s">
        <v>10033</v>
      </c>
      <c r="K2046" s="1" t="s">
        <v>10034</v>
      </c>
      <c r="L2046" s="1">
        <v>602.0</v>
      </c>
      <c r="M2046" s="1" t="s">
        <v>35</v>
      </c>
      <c r="N2046" s="1" t="s">
        <v>54</v>
      </c>
      <c r="O2046" s="1" t="s">
        <v>628</v>
      </c>
      <c r="P2046" s="1">
        <v>2.0E7</v>
      </c>
      <c r="Q2046" s="1">
        <v>2000.0</v>
      </c>
      <c r="R2046" s="1">
        <v>1000.0</v>
      </c>
      <c r="S2046" s="1">
        <v>960.0</v>
      </c>
      <c r="T2046" s="1">
        <v>619.0</v>
      </c>
      <c r="U2046" s="1">
        <v>3141.0</v>
      </c>
      <c r="V2046" s="1">
        <v>350.0</v>
      </c>
      <c r="W2046" s="1">
        <v>10000.0</v>
      </c>
      <c r="X2046" s="1">
        <v>0.0</v>
      </c>
      <c r="Y2046" s="1">
        <v>1.85</v>
      </c>
      <c r="Z2046" s="1">
        <v>7.6</v>
      </c>
    </row>
    <row r="2047" ht="14.25" customHeight="1">
      <c r="A2047" s="1" t="s">
        <v>26</v>
      </c>
      <c r="B2047" s="1" t="s">
        <v>10035</v>
      </c>
      <c r="C2047" s="1" t="s">
        <v>10036</v>
      </c>
      <c r="D2047" s="1">
        <v>2.6876529E7</v>
      </c>
      <c r="E2047" s="1" t="s">
        <v>5924</v>
      </c>
      <c r="F2047" s="1" t="s">
        <v>6142</v>
      </c>
      <c r="G2047" s="1" t="s">
        <v>10037</v>
      </c>
      <c r="H2047" s="1" t="s">
        <v>10038</v>
      </c>
      <c r="I2047" s="1">
        <v>26624.0</v>
      </c>
      <c r="J2047" s="1" t="s">
        <v>10039</v>
      </c>
      <c r="K2047" s="1" t="s">
        <v>10040</v>
      </c>
      <c r="L2047" s="1">
        <v>189.0</v>
      </c>
      <c r="M2047" s="1" t="s">
        <v>35</v>
      </c>
      <c r="N2047" s="1" t="s">
        <v>2821</v>
      </c>
      <c r="O2047" s="1" t="s">
        <v>37</v>
      </c>
      <c r="P2047" s="1">
        <v>2.7E7</v>
      </c>
      <c r="Q2047" s="1">
        <v>2008.0</v>
      </c>
      <c r="R2047" s="1">
        <v>741.0</v>
      </c>
      <c r="S2047" s="1">
        <v>297.0</v>
      </c>
      <c r="T2047" s="1">
        <v>270.0</v>
      </c>
      <c r="U2047" s="1">
        <v>1834.0</v>
      </c>
      <c r="V2047" s="1">
        <v>2.0</v>
      </c>
      <c r="W2047" s="1">
        <v>0.0</v>
      </c>
      <c r="X2047" s="1">
        <v>1.0</v>
      </c>
      <c r="Y2047" s="1">
        <v>1.85</v>
      </c>
      <c r="Z2047" s="1">
        <v>3.9</v>
      </c>
    </row>
    <row r="2048" ht="14.25" customHeight="1">
      <c r="A2048" s="1" t="s">
        <v>26</v>
      </c>
      <c r="B2048" s="1" t="s">
        <v>9073</v>
      </c>
      <c r="C2048" s="1" t="s">
        <v>10041</v>
      </c>
      <c r="D2048" s="1">
        <v>5.3146E7</v>
      </c>
      <c r="E2048" s="1" t="s">
        <v>2045</v>
      </c>
      <c r="F2048" s="1" t="s">
        <v>301</v>
      </c>
      <c r="G2048" s="1" t="s">
        <v>7556</v>
      </c>
      <c r="H2048" s="1" t="s">
        <v>3360</v>
      </c>
      <c r="I2048" s="1">
        <v>9845.0</v>
      </c>
      <c r="J2048" s="1" t="s">
        <v>10042</v>
      </c>
      <c r="K2048" s="1" t="s">
        <v>10043</v>
      </c>
      <c r="L2048" s="1">
        <v>77.0</v>
      </c>
      <c r="M2048" s="1" t="s">
        <v>35</v>
      </c>
      <c r="N2048" s="1" t="s">
        <v>36</v>
      </c>
      <c r="O2048" s="1" t="s">
        <v>628</v>
      </c>
      <c r="P2048" s="1">
        <v>2.0E7</v>
      </c>
      <c r="Q2048" s="1">
        <v>1996.0</v>
      </c>
      <c r="R2048" s="1">
        <v>1000.0</v>
      </c>
      <c r="S2048" s="1">
        <v>816.0</v>
      </c>
      <c r="T2048" s="1">
        <v>497.0</v>
      </c>
      <c r="U2048" s="1">
        <v>3174.0</v>
      </c>
      <c r="V2048" s="1">
        <v>154.0</v>
      </c>
      <c r="W2048" s="1">
        <v>613.0</v>
      </c>
      <c r="X2048" s="1">
        <v>1.0</v>
      </c>
      <c r="Y2048" s="1">
        <v>1.85</v>
      </c>
      <c r="Z2048" s="1">
        <v>6.1</v>
      </c>
    </row>
    <row r="2049" ht="14.25" customHeight="1">
      <c r="A2049" s="1" t="s">
        <v>26</v>
      </c>
      <c r="B2049" s="1" t="s">
        <v>1424</v>
      </c>
      <c r="C2049" s="1" t="s">
        <v>10044</v>
      </c>
      <c r="D2049" s="1">
        <v>3.0028592E7</v>
      </c>
      <c r="E2049" s="1" t="s">
        <v>4987</v>
      </c>
      <c r="F2049" s="1" t="s">
        <v>327</v>
      </c>
      <c r="G2049" s="1" t="s">
        <v>3856</v>
      </c>
      <c r="H2049" s="1" t="s">
        <v>5673</v>
      </c>
      <c r="I2049" s="1">
        <v>152247.0</v>
      </c>
      <c r="J2049" s="1" t="s">
        <v>10045</v>
      </c>
      <c r="K2049" s="1" t="s">
        <v>10046</v>
      </c>
      <c r="L2049" s="1">
        <v>189.0</v>
      </c>
      <c r="M2049" s="1" t="s">
        <v>35</v>
      </c>
      <c r="N2049" s="1" t="s">
        <v>54</v>
      </c>
      <c r="O2049" s="1" t="s">
        <v>628</v>
      </c>
      <c r="P2049" s="1">
        <v>2.0E7</v>
      </c>
      <c r="Q2049" s="1">
        <v>2008.0</v>
      </c>
      <c r="R2049" s="1">
        <v>26000.0</v>
      </c>
      <c r="S2049" s="1">
        <v>811.0</v>
      </c>
      <c r="T2049" s="1">
        <v>287.0</v>
      </c>
      <c r="U2049" s="1">
        <v>27755.0</v>
      </c>
      <c r="V2049" s="1">
        <v>79.0</v>
      </c>
      <c r="W2049" s="1">
        <v>0.0</v>
      </c>
      <c r="X2049" s="1">
        <v>0.0</v>
      </c>
      <c r="Y2049" s="1">
        <v>2.35</v>
      </c>
      <c r="Z2049" s="1">
        <v>7.3</v>
      </c>
    </row>
    <row r="2050" ht="14.25" customHeight="1">
      <c r="A2050" s="1" t="s">
        <v>26</v>
      </c>
      <c r="B2050" s="1" t="s">
        <v>1485</v>
      </c>
      <c r="C2050" s="1" t="s">
        <v>10047</v>
      </c>
      <c r="D2050" s="1">
        <v>3.4126138E7</v>
      </c>
      <c r="E2050" s="1" t="s">
        <v>6503</v>
      </c>
      <c r="F2050" s="1" t="s">
        <v>208</v>
      </c>
      <c r="G2050" s="1" t="s">
        <v>76</v>
      </c>
      <c r="H2050" s="1" t="s">
        <v>130</v>
      </c>
      <c r="I2050" s="1">
        <v>666937.0</v>
      </c>
      <c r="J2050" s="1" t="s">
        <v>10048</v>
      </c>
      <c r="K2050" s="1" t="s">
        <v>10049</v>
      </c>
      <c r="L2050" s="1">
        <v>1514.0</v>
      </c>
      <c r="M2050" s="1" t="s">
        <v>35</v>
      </c>
      <c r="N2050" s="1" t="s">
        <v>36</v>
      </c>
      <c r="O2050" s="1" t="s">
        <v>628</v>
      </c>
      <c r="P2050" s="1">
        <v>2.0E7</v>
      </c>
      <c r="Q2050" s="1">
        <v>2004.0</v>
      </c>
      <c r="R2050" s="1">
        <v>14000.0</v>
      </c>
      <c r="S2050" s="1">
        <v>4000.0</v>
      </c>
      <c r="T2050" s="1">
        <v>1000.0</v>
      </c>
      <c r="U2050" s="1">
        <v>19364.0</v>
      </c>
      <c r="V2050" s="1">
        <v>1000.0</v>
      </c>
      <c r="W2050" s="1">
        <v>52000.0</v>
      </c>
      <c r="X2050" s="1">
        <v>1.0</v>
      </c>
      <c r="Y2050" s="1">
        <v>1.85</v>
      </c>
      <c r="Z2050" s="1">
        <v>8.3</v>
      </c>
    </row>
    <row r="2051" ht="14.25" customHeight="1">
      <c r="A2051" s="1" t="s">
        <v>26</v>
      </c>
      <c r="B2051" s="1" t="s">
        <v>4849</v>
      </c>
      <c r="C2051" s="1" t="s">
        <v>10050</v>
      </c>
      <c r="D2051" s="1">
        <v>2.5677801E7</v>
      </c>
      <c r="E2051" s="1" t="s">
        <v>2599</v>
      </c>
      <c r="F2051" s="1" t="s">
        <v>1651</v>
      </c>
      <c r="G2051" s="1" t="s">
        <v>10051</v>
      </c>
      <c r="H2051" s="1" t="s">
        <v>10052</v>
      </c>
      <c r="I2051" s="1">
        <v>41273.0</v>
      </c>
      <c r="J2051" s="1" t="s">
        <v>10053</v>
      </c>
      <c r="K2051" s="1" t="s">
        <v>10054</v>
      </c>
      <c r="L2051" s="1">
        <v>136.0</v>
      </c>
      <c r="M2051" s="1" t="s">
        <v>35</v>
      </c>
      <c r="N2051" s="1" t="s">
        <v>36</v>
      </c>
      <c r="O2051" s="1" t="s">
        <v>87</v>
      </c>
      <c r="P2051" s="1">
        <v>2.0E7</v>
      </c>
      <c r="Q2051" s="1">
        <v>2010.0</v>
      </c>
      <c r="R2051" s="1">
        <v>2000.0</v>
      </c>
      <c r="S2051" s="1">
        <v>938.0</v>
      </c>
      <c r="T2051" s="1">
        <v>518.0</v>
      </c>
      <c r="U2051" s="1">
        <v>4813.0</v>
      </c>
      <c r="V2051" s="1">
        <v>99.0</v>
      </c>
      <c r="W2051" s="1">
        <v>0.0</v>
      </c>
      <c r="X2051" s="1">
        <v>6.0</v>
      </c>
      <c r="Y2051" s="1">
        <v>2.35</v>
      </c>
      <c r="Z2051" s="1">
        <v>5.8</v>
      </c>
    </row>
    <row r="2052" ht="14.25" customHeight="1">
      <c r="A2052" s="1" t="s">
        <v>26</v>
      </c>
      <c r="B2052" s="1" t="s">
        <v>492</v>
      </c>
      <c r="C2052" s="1" t="s">
        <v>10055</v>
      </c>
      <c r="D2052" s="1">
        <v>2.6415649E7</v>
      </c>
      <c r="E2052" s="1" t="s">
        <v>449</v>
      </c>
      <c r="F2052" s="1" t="s">
        <v>563</v>
      </c>
      <c r="G2052" s="1" t="s">
        <v>214</v>
      </c>
      <c r="H2052" s="1" t="s">
        <v>5372</v>
      </c>
      <c r="I2052" s="1">
        <v>94892.0</v>
      </c>
      <c r="J2052" s="1" t="s">
        <v>10056</v>
      </c>
      <c r="K2052" s="1" t="s">
        <v>10057</v>
      </c>
      <c r="L2052" s="1">
        <v>189.0</v>
      </c>
      <c r="M2052" s="1" t="s">
        <v>35</v>
      </c>
      <c r="N2052" s="1" t="s">
        <v>36</v>
      </c>
      <c r="O2052" s="1" t="s">
        <v>628</v>
      </c>
      <c r="P2052" s="1">
        <v>2.0E7</v>
      </c>
      <c r="Q2052" s="1">
        <v>2008.0</v>
      </c>
      <c r="R2052" s="1">
        <v>18000.0</v>
      </c>
      <c r="S2052" s="1">
        <v>11000.0</v>
      </c>
      <c r="T2052" s="1">
        <v>2000.0</v>
      </c>
      <c r="U2052" s="1">
        <v>33878.0</v>
      </c>
      <c r="V2052" s="1">
        <v>453.0</v>
      </c>
      <c r="W2052" s="1">
        <v>0.0</v>
      </c>
      <c r="X2052" s="1">
        <v>4.0</v>
      </c>
      <c r="Y2052" s="1">
        <v>2.35</v>
      </c>
      <c r="Z2052" s="1">
        <v>6.8</v>
      </c>
    </row>
    <row r="2053" ht="14.25" customHeight="1">
      <c r="A2053" s="1" t="s">
        <v>26</v>
      </c>
      <c r="B2053" s="1" t="s">
        <v>2354</v>
      </c>
      <c r="C2053" s="1" t="s">
        <v>10058</v>
      </c>
      <c r="D2053" s="1">
        <v>2.6003149E7</v>
      </c>
      <c r="E2053" s="1" t="s">
        <v>1821</v>
      </c>
      <c r="F2053" s="1" t="s">
        <v>3645</v>
      </c>
      <c r="G2053" s="1" t="s">
        <v>10059</v>
      </c>
      <c r="H2053" s="1" t="s">
        <v>10060</v>
      </c>
      <c r="I2053" s="1">
        <v>185587.0</v>
      </c>
      <c r="J2053" s="1" t="s">
        <v>10061</v>
      </c>
      <c r="K2053" s="1" t="s">
        <v>10062</v>
      </c>
      <c r="L2053" s="1">
        <v>401.0</v>
      </c>
      <c r="M2053" s="1" t="s">
        <v>35</v>
      </c>
      <c r="N2053" s="1" t="s">
        <v>54</v>
      </c>
      <c r="O2053" s="1" t="s">
        <v>628</v>
      </c>
      <c r="P2053" s="1">
        <v>2.0E7</v>
      </c>
      <c r="Q2053" s="1">
        <v>2013.0</v>
      </c>
      <c r="R2053" s="1">
        <v>177.0</v>
      </c>
      <c r="S2053" s="1">
        <v>55.0</v>
      </c>
      <c r="T2053" s="1">
        <v>24.0</v>
      </c>
      <c r="U2053" s="1">
        <v>278.0</v>
      </c>
      <c r="V2053" s="1">
        <v>1000.0</v>
      </c>
      <c r="W2053" s="1">
        <v>49000.0</v>
      </c>
      <c r="X2053" s="1">
        <v>6.0</v>
      </c>
      <c r="Y2053" s="1">
        <v>2.35</v>
      </c>
      <c r="Z2053" s="1">
        <v>7.0</v>
      </c>
    </row>
    <row r="2054" ht="14.25" customHeight="1">
      <c r="A2054" s="1" t="s">
        <v>26</v>
      </c>
      <c r="B2054" s="1" t="s">
        <v>10063</v>
      </c>
      <c r="C2054" s="1" t="s">
        <v>10064</v>
      </c>
      <c r="D2054" s="1">
        <v>2.5584685E7</v>
      </c>
      <c r="E2054" s="1" t="s">
        <v>10065</v>
      </c>
      <c r="F2054" s="1" t="s">
        <v>10066</v>
      </c>
      <c r="G2054" s="1" t="s">
        <v>6715</v>
      </c>
      <c r="H2054" s="1" t="s">
        <v>3971</v>
      </c>
      <c r="I2054" s="1">
        <v>15877.0</v>
      </c>
      <c r="J2054" s="1" t="s">
        <v>10067</v>
      </c>
      <c r="K2054" s="1" t="s">
        <v>10068</v>
      </c>
      <c r="L2054" s="1">
        <v>102.0</v>
      </c>
      <c r="M2054" s="1" t="s">
        <v>35</v>
      </c>
      <c r="N2054" s="1" t="s">
        <v>36</v>
      </c>
      <c r="O2054" s="1" t="s">
        <v>87</v>
      </c>
      <c r="P2054" s="1">
        <v>2.0E7</v>
      </c>
      <c r="Q2054" s="1">
        <v>2007.0</v>
      </c>
      <c r="R2054" s="1">
        <v>720.0</v>
      </c>
      <c r="S2054" s="1">
        <v>669.0</v>
      </c>
      <c r="T2054" s="1">
        <v>650.0</v>
      </c>
      <c r="U2054" s="1">
        <v>3327.0</v>
      </c>
      <c r="V2054" s="1">
        <v>26.0</v>
      </c>
      <c r="W2054" s="1">
        <v>590.0</v>
      </c>
      <c r="X2054" s="1">
        <v>5.0</v>
      </c>
      <c r="Y2054" s="1">
        <v>2.35</v>
      </c>
      <c r="Z2054" s="1">
        <v>5.9</v>
      </c>
    </row>
    <row r="2055" ht="14.25" customHeight="1">
      <c r="A2055" s="1" t="s">
        <v>26</v>
      </c>
      <c r="B2055" s="1" t="s">
        <v>10069</v>
      </c>
      <c r="C2055" s="1" t="s">
        <v>10070</v>
      </c>
      <c r="D2055" s="1">
        <v>2.9975979E7</v>
      </c>
      <c r="E2055" s="1" t="s">
        <v>2123</v>
      </c>
      <c r="F2055" s="1" t="s">
        <v>10071</v>
      </c>
      <c r="G2055" s="1" t="s">
        <v>10072</v>
      </c>
      <c r="H2055" s="1" t="s">
        <v>10073</v>
      </c>
      <c r="I2055" s="1">
        <v>105797.0</v>
      </c>
      <c r="J2055" s="1" t="s">
        <v>10074</v>
      </c>
      <c r="K2055" s="1" t="s">
        <v>10075</v>
      </c>
      <c r="L2055" s="1">
        <v>281.0</v>
      </c>
      <c r="M2055" s="1" t="s">
        <v>35</v>
      </c>
      <c r="N2055" s="1" t="s">
        <v>362</v>
      </c>
      <c r="O2055" s="1" t="s">
        <v>628</v>
      </c>
      <c r="P2055" s="1">
        <v>2.0E7</v>
      </c>
      <c r="Q2055" s="1">
        <v>2009.0</v>
      </c>
      <c r="R2055" s="1">
        <v>125.0</v>
      </c>
      <c r="S2055" s="1">
        <v>37.0</v>
      </c>
      <c r="T2055" s="1">
        <v>16.0</v>
      </c>
      <c r="U2055" s="1">
        <v>189.0</v>
      </c>
      <c r="V2055" s="1">
        <v>35.0</v>
      </c>
      <c r="W2055" s="1">
        <v>0.0</v>
      </c>
      <c r="X2055" s="1">
        <v>0.0</v>
      </c>
      <c r="Y2055" s="1">
        <v>2.35</v>
      </c>
      <c r="Z2055" s="1">
        <v>6.5</v>
      </c>
    </row>
    <row r="2056" ht="14.25" customHeight="1">
      <c r="A2056" s="1" t="s">
        <v>26</v>
      </c>
      <c r="B2056" s="1" t="s">
        <v>10076</v>
      </c>
      <c r="C2056" s="1" t="s">
        <v>10077</v>
      </c>
      <c r="D2056" s="1">
        <v>3.1584722E7</v>
      </c>
      <c r="E2056" s="1" t="s">
        <v>1598</v>
      </c>
      <c r="F2056" s="1" t="s">
        <v>676</v>
      </c>
      <c r="G2056" s="1" t="s">
        <v>4248</v>
      </c>
      <c r="H2056" s="1" t="s">
        <v>10078</v>
      </c>
      <c r="I2056" s="1">
        <v>101730.0</v>
      </c>
      <c r="J2056" s="1" t="s">
        <v>10079</v>
      </c>
      <c r="K2056" s="1" t="s">
        <v>10080</v>
      </c>
      <c r="L2056" s="1">
        <v>131.0</v>
      </c>
      <c r="M2056" s="1" t="s">
        <v>35</v>
      </c>
      <c r="N2056" s="1" t="s">
        <v>36</v>
      </c>
      <c r="O2056" s="1" t="s">
        <v>628</v>
      </c>
      <c r="P2056" s="1">
        <v>2.0E7</v>
      </c>
      <c r="Q2056" s="1">
        <v>2010.0</v>
      </c>
      <c r="R2056" s="1">
        <v>2000.0</v>
      </c>
      <c r="S2056" s="1">
        <v>934.0</v>
      </c>
      <c r="T2056" s="1">
        <v>756.0</v>
      </c>
      <c r="U2056" s="1">
        <v>5707.0</v>
      </c>
      <c r="V2056" s="1">
        <v>14.0</v>
      </c>
      <c r="W2056" s="1">
        <v>0.0</v>
      </c>
      <c r="X2056" s="1">
        <v>1.0</v>
      </c>
      <c r="Y2056" s="1">
        <v>2.35</v>
      </c>
      <c r="Z2056" s="1">
        <v>6.4</v>
      </c>
    </row>
    <row r="2057" ht="14.25" customHeight="1">
      <c r="A2057" s="1" t="s">
        <v>26</v>
      </c>
      <c r="B2057" s="1" t="s">
        <v>10081</v>
      </c>
      <c r="C2057" s="1" t="s">
        <v>10082</v>
      </c>
      <c r="D2057" s="1">
        <v>2.3179303E7</v>
      </c>
      <c r="E2057" s="1" t="s">
        <v>9047</v>
      </c>
      <c r="F2057" s="1" t="s">
        <v>4272</v>
      </c>
      <c r="G2057" s="1" t="s">
        <v>8705</v>
      </c>
      <c r="H2057" s="1" t="s">
        <v>10083</v>
      </c>
      <c r="I2057" s="1">
        <v>32951.0</v>
      </c>
      <c r="J2057" s="1" t="s">
        <v>10084</v>
      </c>
      <c r="K2057" s="1" t="s">
        <v>10085</v>
      </c>
      <c r="L2057" s="1">
        <v>44.0</v>
      </c>
      <c r="M2057" s="1" t="s">
        <v>35</v>
      </c>
      <c r="N2057" s="1" t="s">
        <v>10086</v>
      </c>
      <c r="O2057" s="1" t="s">
        <v>87</v>
      </c>
      <c r="P2057" s="1">
        <v>2.0E7</v>
      </c>
      <c r="Q2057" s="1">
        <v>2011.0</v>
      </c>
      <c r="R2057" s="1">
        <v>3000.0</v>
      </c>
      <c r="S2057" s="1">
        <v>775.0</v>
      </c>
      <c r="T2057" s="1">
        <v>350.0</v>
      </c>
      <c r="U2057" s="1">
        <v>4257.0</v>
      </c>
      <c r="V2057" s="1">
        <v>15.0</v>
      </c>
      <c r="W2057" s="1">
        <v>6000.0</v>
      </c>
      <c r="X2057" s="1">
        <v>3.0</v>
      </c>
      <c r="Y2057" s="1">
        <v>1.85</v>
      </c>
      <c r="Z2057" s="1">
        <v>5.8</v>
      </c>
    </row>
    <row r="2058" ht="14.25" customHeight="1">
      <c r="A2058" s="1" t="s">
        <v>26</v>
      </c>
      <c r="B2058" s="1" t="s">
        <v>10087</v>
      </c>
      <c r="C2058" s="1" t="s">
        <v>10088</v>
      </c>
      <c r="D2058" s="1">
        <v>2.3078294E7</v>
      </c>
      <c r="E2058" s="1" t="s">
        <v>6278</v>
      </c>
      <c r="F2058" s="1" t="s">
        <v>2723</v>
      </c>
      <c r="G2058" s="1" t="s">
        <v>8625</v>
      </c>
      <c r="H2058" s="1" t="s">
        <v>8350</v>
      </c>
      <c r="I2058" s="1">
        <v>25870.0</v>
      </c>
      <c r="J2058" s="1" t="s">
        <v>10089</v>
      </c>
      <c r="K2058" s="1" t="s">
        <v>10090</v>
      </c>
      <c r="L2058" s="1">
        <v>281.0</v>
      </c>
      <c r="M2058" s="1" t="s">
        <v>35</v>
      </c>
      <c r="N2058" s="1" t="s">
        <v>36</v>
      </c>
      <c r="O2058" s="1" t="s">
        <v>37</v>
      </c>
      <c r="P2058" s="1">
        <v>9000000.0</v>
      </c>
      <c r="Q2058" s="1">
        <v>2006.0</v>
      </c>
      <c r="R2058" s="1">
        <v>1000.0</v>
      </c>
      <c r="S2058" s="1">
        <v>934.0</v>
      </c>
      <c r="T2058" s="1">
        <v>806.0</v>
      </c>
      <c r="U2058" s="1">
        <v>3590.0</v>
      </c>
      <c r="V2058" s="1">
        <v>19.0</v>
      </c>
      <c r="W2058" s="1">
        <v>0.0</v>
      </c>
      <c r="X2058" s="1">
        <v>0.0</v>
      </c>
      <c r="Y2058" s="1">
        <v>2.35</v>
      </c>
      <c r="Z2058" s="1">
        <v>5.1</v>
      </c>
    </row>
    <row r="2059" ht="14.25" customHeight="1">
      <c r="A2059" s="1" t="s">
        <v>26</v>
      </c>
      <c r="B2059" s="1" t="s">
        <v>5567</v>
      </c>
      <c r="C2059" s="1" t="s">
        <v>10091</v>
      </c>
      <c r="D2059" s="1">
        <v>2.1413105E7</v>
      </c>
      <c r="E2059" s="1" t="s">
        <v>10092</v>
      </c>
      <c r="F2059" s="1" t="s">
        <v>98</v>
      </c>
      <c r="G2059" s="1" t="s">
        <v>2945</v>
      </c>
      <c r="H2059" s="1" t="s">
        <v>988</v>
      </c>
      <c r="I2059" s="1">
        <v>15230.0</v>
      </c>
      <c r="J2059" s="1" t="s">
        <v>10093</v>
      </c>
      <c r="K2059" s="1" t="s">
        <v>10094</v>
      </c>
      <c r="L2059" s="1">
        <v>97.0</v>
      </c>
      <c r="M2059" s="1" t="s">
        <v>35</v>
      </c>
      <c r="N2059" s="1" t="s">
        <v>362</v>
      </c>
      <c r="O2059" s="1" t="s">
        <v>37</v>
      </c>
      <c r="P2059" s="1">
        <v>2.0E7</v>
      </c>
      <c r="Q2059" s="1">
        <v>1990.0</v>
      </c>
      <c r="R2059" s="1">
        <v>25000.0</v>
      </c>
      <c r="S2059" s="1">
        <v>19000.0</v>
      </c>
      <c r="T2059" s="1">
        <v>748.0</v>
      </c>
      <c r="U2059" s="1">
        <v>45841.0</v>
      </c>
      <c r="V2059" s="1">
        <v>23.0</v>
      </c>
      <c r="W2059" s="1">
        <v>0.0</v>
      </c>
      <c r="X2059" s="1">
        <v>1.0</v>
      </c>
      <c r="Y2059" s="1">
        <v>2.35</v>
      </c>
      <c r="Z2059" s="1">
        <v>6.8</v>
      </c>
    </row>
    <row r="2060" ht="14.25" customHeight="1">
      <c r="A2060" s="1" t="s">
        <v>26</v>
      </c>
      <c r="B2060" s="1" t="s">
        <v>10095</v>
      </c>
      <c r="C2060" s="1" t="s">
        <v>10096</v>
      </c>
      <c r="D2060" s="1">
        <v>2.5077977E7</v>
      </c>
      <c r="E2060" s="1" t="s">
        <v>1904</v>
      </c>
      <c r="F2060" s="1" t="s">
        <v>2106</v>
      </c>
      <c r="G2060" s="1" t="s">
        <v>2371</v>
      </c>
      <c r="H2060" s="1" t="s">
        <v>10052</v>
      </c>
      <c r="I2060" s="1">
        <v>10986.0</v>
      </c>
      <c r="J2060" s="1" t="s">
        <v>10097</v>
      </c>
      <c r="K2060" s="1" t="s">
        <v>10098</v>
      </c>
      <c r="L2060" s="1">
        <v>84.0</v>
      </c>
      <c r="M2060" s="1" t="s">
        <v>35</v>
      </c>
      <c r="N2060" s="1" t="s">
        <v>36</v>
      </c>
      <c r="O2060" s="1" t="s">
        <v>87</v>
      </c>
      <c r="P2060" s="1">
        <v>2.0E7</v>
      </c>
      <c r="Q2060" s="1">
        <v>2010.0</v>
      </c>
      <c r="R2060" s="1">
        <v>681.0</v>
      </c>
      <c r="S2060" s="1">
        <v>611.0</v>
      </c>
      <c r="T2060" s="1">
        <v>518.0</v>
      </c>
      <c r="U2060" s="1">
        <v>2486.0</v>
      </c>
      <c r="V2060" s="1">
        <v>0.0</v>
      </c>
      <c r="W2060" s="1">
        <v>0.0</v>
      </c>
      <c r="X2060" s="1">
        <v>0.0</v>
      </c>
      <c r="Y2060" s="1">
        <v>1.85</v>
      </c>
      <c r="Z2060" s="1">
        <v>5.3</v>
      </c>
    </row>
    <row r="2061" ht="14.25" customHeight="1">
      <c r="A2061" s="1" t="s">
        <v>26</v>
      </c>
      <c r="B2061" s="1" t="s">
        <v>1985</v>
      </c>
      <c r="C2061" s="1" t="s">
        <v>10099</v>
      </c>
      <c r="D2061" s="1">
        <v>2.3292105E7</v>
      </c>
      <c r="E2061" s="1" t="s">
        <v>8311</v>
      </c>
      <c r="F2061" s="1" t="s">
        <v>8917</v>
      </c>
      <c r="G2061" s="1" t="s">
        <v>7452</v>
      </c>
      <c r="H2061" s="1" t="s">
        <v>10100</v>
      </c>
      <c r="I2061" s="1">
        <v>39541.0</v>
      </c>
      <c r="J2061" s="1" t="s">
        <v>10101</v>
      </c>
      <c r="K2061" s="1" t="s">
        <v>10102</v>
      </c>
      <c r="L2061" s="1">
        <v>334.0</v>
      </c>
      <c r="M2061" s="1" t="s">
        <v>35</v>
      </c>
      <c r="N2061" s="1" t="s">
        <v>36</v>
      </c>
      <c r="O2061" s="1" t="s">
        <v>37</v>
      </c>
      <c r="P2061" s="1">
        <v>2.0E7</v>
      </c>
      <c r="Q2061" s="1">
        <v>2006.0</v>
      </c>
      <c r="R2061" s="1">
        <v>960.0</v>
      </c>
      <c r="S2061" s="1">
        <v>917.0</v>
      </c>
      <c r="T2061" s="1">
        <v>637.0</v>
      </c>
      <c r="U2061" s="1">
        <v>3261.0</v>
      </c>
      <c r="V2061" s="1">
        <v>212.0</v>
      </c>
      <c r="W2061" s="1">
        <v>3000.0</v>
      </c>
      <c r="X2061" s="1">
        <v>0.0</v>
      </c>
      <c r="Y2061" s="1">
        <v>2.35</v>
      </c>
      <c r="Z2061" s="1">
        <v>5.3</v>
      </c>
    </row>
    <row r="2062" ht="14.25" customHeight="1">
      <c r="A2062" s="1" t="s">
        <v>26</v>
      </c>
      <c r="B2062" s="1" t="s">
        <v>4632</v>
      </c>
      <c r="C2062" s="1" t="s">
        <v>10103</v>
      </c>
      <c r="D2062" s="1">
        <v>2.0916309E7</v>
      </c>
      <c r="E2062" s="1" t="s">
        <v>501</v>
      </c>
      <c r="F2062" s="1" t="s">
        <v>502</v>
      </c>
      <c r="G2062" s="1" t="s">
        <v>523</v>
      </c>
      <c r="H2062" s="1" t="s">
        <v>10104</v>
      </c>
      <c r="I2062" s="1">
        <v>5332.0</v>
      </c>
      <c r="J2062" s="1" t="s">
        <v>10105</v>
      </c>
      <c r="K2062" s="1" t="s">
        <v>10106</v>
      </c>
      <c r="L2062" s="1">
        <v>37.0</v>
      </c>
      <c r="M2062" s="1" t="s">
        <v>35</v>
      </c>
      <c r="N2062" s="1" t="s">
        <v>36</v>
      </c>
      <c r="O2062" s="1" t="s">
        <v>87</v>
      </c>
      <c r="P2062" s="1">
        <v>4.0E7</v>
      </c>
      <c r="Q2062" s="1">
        <v>2009.0</v>
      </c>
      <c r="R2062" s="1">
        <v>87000.0</v>
      </c>
      <c r="S2062" s="1">
        <v>570.0</v>
      </c>
      <c r="T2062" s="1">
        <v>470.0</v>
      </c>
      <c r="U2062" s="1">
        <v>88422.0</v>
      </c>
      <c r="V2062" s="1">
        <v>0.0</v>
      </c>
      <c r="W2062" s="1">
        <v>431.0</v>
      </c>
      <c r="X2062" s="1">
        <v>4.0</v>
      </c>
      <c r="Y2062" s="1">
        <v>1.85</v>
      </c>
      <c r="Z2062" s="1">
        <v>4.9</v>
      </c>
    </row>
    <row r="2063" ht="14.25" customHeight="1">
      <c r="A2063" s="1" t="s">
        <v>26</v>
      </c>
      <c r="B2063" s="1" t="s">
        <v>5676</v>
      </c>
      <c r="C2063" s="1" t="s">
        <v>10107</v>
      </c>
      <c r="D2063" s="1">
        <v>2.12E7</v>
      </c>
      <c r="E2063" s="1" t="s">
        <v>8521</v>
      </c>
      <c r="F2063" s="1" t="s">
        <v>4236</v>
      </c>
      <c r="G2063" s="1" t="s">
        <v>957</v>
      </c>
      <c r="H2063" s="1" t="s">
        <v>4342</v>
      </c>
      <c r="I2063" s="1">
        <v>34774.0</v>
      </c>
      <c r="J2063" s="1" t="s">
        <v>10108</v>
      </c>
      <c r="K2063" s="1" t="s">
        <v>10109</v>
      </c>
      <c r="L2063" s="1">
        <v>162.0</v>
      </c>
      <c r="M2063" s="1" t="s">
        <v>35</v>
      </c>
      <c r="N2063" s="1" t="s">
        <v>36</v>
      </c>
      <c r="O2063" s="1" t="s">
        <v>628</v>
      </c>
      <c r="P2063" s="1">
        <v>2.0E7</v>
      </c>
      <c r="Q2063" s="1">
        <v>1995.0</v>
      </c>
      <c r="R2063" s="1">
        <v>1000.0</v>
      </c>
      <c r="S2063" s="1">
        <v>967.0</v>
      </c>
      <c r="T2063" s="1">
        <v>458.0</v>
      </c>
      <c r="U2063" s="1">
        <v>3598.0</v>
      </c>
      <c r="V2063" s="1">
        <v>835.0</v>
      </c>
      <c r="W2063" s="1">
        <v>1000.0</v>
      </c>
      <c r="X2063" s="1">
        <v>0.0</v>
      </c>
      <c r="Y2063" s="1">
        <v>1.85</v>
      </c>
      <c r="Z2063" s="1">
        <v>6.8</v>
      </c>
    </row>
    <row r="2064" ht="14.25" customHeight="1">
      <c r="A2064" s="1" t="s">
        <v>26</v>
      </c>
      <c r="B2064" s="1" t="s">
        <v>5073</v>
      </c>
      <c r="C2064" s="1" t="s">
        <v>10110</v>
      </c>
      <c r="D2064" s="1">
        <v>2.0241395E7</v>
      </c>
      <c r="E2064" s="1" t="s">
        <v>4634</v>
      </c>
      <c r="F2064" s="1" t="s">
        <v>10111</v>
      </c>
      <c r="G2064" s="1" t="s">
        <v>564</v>
      </c>
      <c r="H2064" s="1" t="s">
        <v>10112</v>
      </c>
      <c r="I2064" s="1">
        <v>42664.0</v>
      </c>
      <c r="J2064" s="1" t="s">
        <v>10113</v>
      </c>
      <c r="K2064" s="1" t="s">
        <v>10114</v>
      </c>
      <c r="L2064" s="1">
        <v>403.0</v>
      </c>
      <c r="M2064" s="1" t="s">
        <v>35</v>
      </c>
      <c r="N2064" s="1" t="s">
        <v>36</v>
      </c>
      <c r="O2064" s="1" t="s">
        <v>628</v>
      </c>
      <c r="P2064" s="1">
        <v>2.0E7</v>
      </c>
      <c r="Q2064" s="1">
        <v>1998.0</v>
      </c>
      <c r="R2064" s="1">
        <v>2000.0</v>
      </c>
      <c r="S2064" s="1">
        <v>1000.0</v>
      </c>
      <c r="T2064" s="1">
        <v>877.0</v>
      </c>
      <c r="U2064" s="1">
        <v>5123.0</v>
      </c>
      <c r="V2064" s="1">
        <v>0.0</v>
      </c>
      <c r="W2064" s="1">
        <v>0.0</v>
      </c>
      <c r="X2064" s="1">
        <v>0.0</v>
      </c>
      <c r="Y2064" s="1">
        <v>2.35</v>
      </c>
      <c r="Z2064" s="1">
        <v>6.1</v>
      </c>
    </row>
    <row r="2065" ht="14.25" customHeight="1">
      <c r="A2065" s="1" t="s">
        <v>710</v>
      </c>
      <c r="B2065" s="1" t="s">
        <v>10115</v>
      </c>
      <c r="C2065" s="1" t="s">
        <v>10116</v>
      </c>
      <c r="D2065" s="1">
        <v>3.2E7</v>
      </c>
      <c r="E2065" s="1" t="s">
        <v>2882</v>
      </c>
      <c r="F2065" s="1" t="s">
        <v>10117</v>
      </c>
      <c r="G2065" s="1" t="s">
        <v>10118</v>
      </c>
      <c r="H2065" s="1" t="s">
        <v>10119</v>
      </c>
      <c r="I2065" s="1">
        <v>422432.0</v>
      </c>
      <c r="J2065" s="1" t="s">
        <v>10120</v>
      </c>
      <c r="K2065" s="1" t="s">
        <v>10121</v>
      </c>
      <c r="L2065" s="1">
        <v>1040.0</v>
      </c>
      <c r="M2065" s="1" t="s">
        <v>35</v>
      </c>
      <c r="N2065" s="1" t="s">
        <v>36</v>
      </c>
      <c r="O2065" s="1" t="s">
        <v>628</v>
      </c>
      <c r="P2065" s="1">
        <v>806947.0</v>
      </c>
      <c r="Q2065" s="1">
        <v>1960.0</v>
      </c>
      <c r="R2065" s="1">
        <v>606.0</v>
      </c>
      <c r="S2065" s="1">
        <v>332.0</v>
      </c>
      <c r="T2065" s="1">
        <v>285.0</v>
      </c>
      <c r="U2065" s="1">
        <v>1885.0</v>
      </c>
      <c r="V2065" s="1">
        <v>13000.0</v>
      </c>
      <c r="W2065" s="1">
        <v>18000.0</v>
      </c>
      <c r="X2065" s="1">
        <v>2.0</v>
      </c>
      <c r="Y2065" s="1">
        <v>1.85</v>
      </c>
      <c r="Z2065" s="1">
        <v>8.5</v>
      </c>
    </row>
    <row r="2066" ht="14.25" customHeight="1">
      <c r="A2066" s="1" t="s">
        <v>26</v>
      </c>
      <c r="B2066" s="1" t="s">
        <v>4937</v>
      </c>
      <c r="C2066" s="1" t="s">
        <v>10122</v>
      </c>
      <c r="D2066" s="1">
        <v>1.9151864E7</v>
      </c>
      <c r="E2066" s="1" t="s">
        <v>1598</v>
      </c>
      <c r="F2066" s="1" t="s">
        <v>6315</v>
      </c>
      <c r="G2066" s="1" t="s">
        <v>9862</v>
      </c>
      <c r="H2066" s="1" t="s">
        <v>10123</v>
      </c>
      <c r="I2066" s="1">
        <v>36983.0</v>
      </c>
      <c r="J2066" s="1" t="s">
        <v>10124</v>
      </c>
      <c r="K2066" s="1" t="s">
        <v>10125</v>
      </c>
      <c r="L2066" s="1">
        <v>100.0</v>
      </c>
      <c r="M2066" s="1" t="s">
        <v>35</v>
      </c>
      <c r="N2066" s="1" t="s">
        <v>36</v>
      </c>
      <c r="O2066" s="1" t="s">
        <v>628</v>
      </c>
      <c r="P2066" s="1">
        <v>4.0E7</v>
      </c>
      <c r="Q2066" s="1">
        <v>2008.0</v>
      </c>
      <c r="R2066" s="1">
        <v>1000.0</v>
      </c>
      <c r="S2066" s="1">
        <v>500.0</v>
      </c>
      <c r="T2066" s="1">
        <v>490.0</v>
      </c>
      <c r="U2066" s="1">
        <v>3301.0</v>
      </c>
      <c r="V2066" s="1">
        <v>41.0</v>
      </c>
      <c r="W2066" s="1">
        <v>0.0</v>
      </c>
      <c r="X2066" s="1">
        <v>3.0</v>
      </c>
      <c r="Y2066" s="1">
        <v>1.85</v>
      </c>
      <c r="Z2066" s="1">
        <v>5.9</v>
      </c>
    </row>
    <row r="2067" ht="14.25" customHeight="1">
      <c r="A2067" s="1" t="s">
        <v>26</v>
      </c>
      <c r="B2067" s="1" t="s">
        <v>10126</v>
      </c>
      <c r="C2067" s="1" t="s">
        <v>10127</v>
      </c>
      <c r="D2067" s="1">
        <v>2.3393765E7</v>
      </c>
      <c r="E2067" s="1" t="s">
        <v>206</v>
      </c>
      <c r="F2067" s="1" t="s">
        <v>4895</v>
      </c>
      <c r="G2067" s="1" t="s">
        <v>346</v>
      </c>
      <c r="H2067" s="1" t="s">
        <v>7943</v>
      </c>
      <c r="I2067" s="1">
        <v>31323.0</v>
      </c>
      <c r="J2067" s="1" t="s">
        <v>10128</v>
      </c>
      <c r="K2067" s="1" t="s">
        <v>10129</v>
      </c>
      <c r="L2067" s="1">
        <v>76.0</v>
      </c>
      <c r="M2067" s="1" t="s">
        <v>35</v>
      </c>
      <c r="N2067" s="1" t="s">
        <v>36</v>
      </c>
      <c r="O2067" s="1" t="s">
        <v>37</v>
      </c>
      <c r="P2067" s="1">
        <v>2.0E7</v>
      </c>
      <c r="Q2067" s="1">
        <v>2014.0</v>
      </c>
      <c r="R2067" s="1">
        <v>15000.0</v>
      </c>
      <c r="S2067" s="1">
        <v>989.0</v>
      </c>
      <c r="T2067" s="1">
        <v>942.0</v>
      </c>
      <c r="U2067" s="1">
        <v>18760.0</v>
      </c>
      <c r="V2067" s="1">
        <v>19.0</v>
      </c>
      <c r="W2067" s="1">
        <v>0.0</v>
      </c>
      <c r="X2067" s="1">
        <v>0.0</v>
      </c>
      <c r="Y2067" s="1">
        <v>2.35</v>
      </c>
      <c r="Z2067" s="1">
        <v>6.3</v>
      </c>
    </row>
    <row r="2068" ht="14.25" customHeight="1">
      <c r="A2068" s="1" t="s">
        <v>26</v>
      </c>
      <c r="B2068" s="1" t="s">
        <v>3138</v>
      </c>
      <c r="C2068" s="1" t="s">
        <v>10130</v>
      </c>
      <c r="D2068" s="1">
        <v>1.888288E7</v>
      </c>
      <c r="E2068" s="1" t="s">
        <v>2422</v>
      </c>
      <c r="F2068" s="1" t="s">
        <v>3140</v>
      </c>
      <c r="G2068" s="1" t="s">
        <v>9584</v>
      </c>
      <c r="H2068" s="1" t="s">
        <v>5380</v>
      </c>
      <c r="I2068" s="1">
        <v>20539.0</v>
      </c>
      <c r="J2068" s="1" t="s">
        <v>10131</v>
      </c>
      <c r="K2068" s="1" t="s">
        <v>10132</v>
      </c>
      <c r="L2068" s="1">
        <v>125.0</v>
      </c>
      <c r="M2068" s="1" t="s">
        <v>35</v>
      </c>
      <c r="N2068" s="1" t="s">
        <v>36</v>
      </c>
      <c r="O2068" s="1" t="s">
        <v>628</v>
      </c>
      <c r="P2068" s="1">
        <v>2.0E7</v>
      </c>
      <c r="Q2068" s="1">
        <v>2007.0</v>
      </c>
      <c r="R2068" s="1">
        <v>995.0</v>
      </c>
      <c r="S2068" s="1">
        <v>975.0</v>
      </c>
      <c r="T2068" s="1">
        <v>949.0</v>
      </c>
      <c r="U2068" s="1">
        <v>4039.0</v>
      </c>
      <c r="V2068" s="1">
        <v>0.0</v>
      </c>
      <c r="W2068" s="1">
        <v>681.0</v>
      </c>
      <c r="X2068" s="1">
        <v>3.0</v>
      </c>
      <c r="Y2068" s="1">
        <v>2.35</v>
      </c>
      <c r="Z2068" s="1">
        <v>5.9</v>
      </c>
    </row>
    <row r="2069" ht="14.25" customHeight="1">
      <c r="A2069" s="1" t="s">
        <v>26</v>
      </c>
      <c r="B2069" s="1" t="s">
        <v>10133</v>
      </c>
      <c r="C2069" s="1" t="s">
        <v>10134</v>
      </c>
      <c r="D2069" s="1">
        <v>8500000.0</v>
      </c>
      <c r="E2069" s="1" t="s">
        <v>1885</v>
      </c>
      <c r="F2069" s="1" t="s">
        <v>715</v>
      </c>
      <c r="G2069" s="1" t="s">
        <v>6186</v>
      </c>
      <c r="H2069" s="1" t="s">
        <v>10135</v>
      </c>
      <c r="I2069" s="1">
        <v>2061.0</v>
      </c>
      <c r="J2069" s="1" t="s">
        <v>10136</v>
      </c>
      <c r="K2069" s="1" t="s">
        <v>10137</v>
      </c>
      <c r="L2069" s="1">
        <v>34.0</v>
      </c>
      <c r="M2069" s="1" t="s">
        <v>35</v>
      </c>
      <c r="N2069" s="1" t="s">
        <v>36</v>
      </c>
      <c r="O2069" s="1" t="s">
        <v>87</v>
      </c>
      <c r="P2069" s="1">
        <v>2.0E7</v>
      </c>
      <c r="Q2069" s="1">
        <v>1981.0</v>
      </c>
      <c r="R2069" s="1">
        <v>691.0</v>
      </c>
      <c r="S2069" s="1">
        <v>374.0</v>
      </c>
      <c r="T2069" s="1">
        <v>281.0</v>
      </c>
      <c r="U2069" s="1">
        <v>1761.0</v>
      </c>
      <c r="V2069" s="1">
        <v>15.0</v>
      </c>
      <c r="W2069" s="1">
        <v>501.0</v>
      </c>
      <c r="X2069" s="1">
        <v>0.0</v>
      </c>
      <c r="Y2069" s="1">
        <v>1.78</v>
      </c>
      <c r="Z2069" s="1">
        <v>5.4</v>
      </c>
    </row>
    <row r="2070" ht="14.25" customHeight="1">
      <c r="A2070" s="1" t="s">
        <v>26</v>
      </c>
      <c r="B2070" s="1" t="s">
        <v>1306</v>
      </c>
      <c r="C2070" s="1" t="s">
        <v>10138</v>
      </c>
      <c r="D2070" s="1">
        <v>1.8252684E7</v>
      </c>
      <c r="E2070" s="1" t="s">
        <v>3731</v>
      </c>
      <c r="F2070" s="1" t="s">
        <v>415</v>
      </c>
      <c r="G2070" s="1" t="s">
        <v>10139</v>
      </c>
      <c r="H2070" s="1" t="s">
        <v>410</v>
      </c>
      <c r="I2070" s="1">
        <v>18366.0</v>
      </c>
      <c r="J2070" s="1" t="s">
        <v>10140</v>
      </c>
      <c r="K2070" s="1" t="s">
        <v>10141</v>
      </c>
      <c r="L2070" s="1">
        <v>219.0</v>
      </c>
      <c r="M2070" s="1" t="s">
        <v>35</v>
      </c>
      <c r="N2070" s="1" t="s">
        <v>36</v>
      </c>
      <c r="O2070" s="1" t="s">
        <v>87</v>
      </c>
      <c r="P2070" s="1">
        <v>3.0E7</v>
      </c>
      <c r="Q2070" s="1">
        <v>1998.0</v>
      </c>
      <c r="R2070" s="1">
        <v>1000.0</v>
      </c>
      <c r="S2070" s="1">
        <v>367.0</v>
      </c>
      <c r="T2070" s="1">
        <v>271.0</v>
      </c>
      <c r="U2070" s="1">
        <v>1816.0</v>
      </c>
      <c r="V2070" s="1">
        <v>160.0</v>
      </c>
      <c r="W2070" s="1">
        <v>0.0</v>
      </c>
      <c r="X2070" s="1">
        <v>2.0</v>
      </c>
      <c r="Y2070" s="1">
        <v>1.85</v>
      </c>
      <c r="Z2070" s="1">
        <v>6.9</v>
      </c>
    </row>
    <row r="2071" ht="14.25" customHeight="1">
      <c r="A2071" s="1" t="s">
        <v>26</v>
      </c>
      <c r="B2071" s="1" t="s">
        <v>10142</v>
      </c>
      <c r="C2071" s="1" t="s">
        <v>10143</v>
      </c>
      <c r="D2071" s="1">
        <v>1.9661987E7</v>
      </c>
      <c r="E2071" s="1" t="s">
        <v>3238</v>
      </c>
      <c r="F2071" s="1" t="s">
        <v>2095</v>
      </c>
      <c r="G2071" s="1" t="s">
        <v>244</v>
      </c>
      <c r="H2071" s="1" t="s">
        <v>5544</v>
      </c>
      <c r="I2071" s="1">
        <v>83786.0</v>
      </c>
      <c r="J2071" s="1" t="s">
        <v>10144</v>
      </c>
      <c r="K2071" s="1" t="s">
        <v>10145</v>
      </c>
      <c r="L2071" s="1">
        <v>231.0</v>
      </c>
      <c r="M2071" s="1" t="s">
        <v>35</v>
      </c>
      <c r="N2071" s="1" t="s">
        <v>36</v>
      </c>
      <c r="O2071" s="1" t="s">
        <v>628</v>
      </c>
      <c r="P2071" s="1">
        <v>2.0E7</v>
      </c>
      <c r="Q2071" s="1">
        <v>2007.0</v>
      </c>
      <c r="R2071" s="1">
        <v>11000.0</v>
      </c>
      <c r="S2071" s="1">
        <v>3000.0</v>
      </c>
      <c r="T2071" s="1">
        <v>905.0</v>
      </c>
      <c r="U2071" s="1">
        <v>17050.0</v>
      </c>
      <c r="V2071" s="1">
        <v>57.0</v>
      </c>
      <c r="W2071" s="1">
        <v>0.0</v>
      </c>
      <c r="X2071" s="1">
        <v>2.0</v>
      </c>
      <c r="Y2071" s="1">
        <v>2.35</v>
      </c>
      <c r="Z2071" s="1">
        <v>7.5</v>
      </c>
    </row>
    <row r="2072" ht="14.25" customHeight="1">
      <c r="A2072" s="1" t="s">
        <v>26</v>
      </c>
      <c r="B2072" s="1" t="s">
        <v>5555</v>
      </c>
      <c r="C2072" s="1" t="s">
        <v>10146</v>
      </c>
      <c r="D2072" s="1">
        <v>1.8352454E7</v>
      </c>
      <c r="E2072" s="1" t="s">
        <v>10147</v>
      </c>
      <c r="F2072" s="1" t="s">
        <v>544</v>
      </c>
      <c r="G2072" s="1" t="s">
        <v>183</v>
      </c>
      <c r="H2072" s="1" t="s">
        <v>3096</v>
      </c>
      <c r="I2072" s="1">
        <v>426359.0</v>
      </c>
      <c r="J2072" s="1" t="s">
        <v>10148</v>
      </c>
      <c r="K2072" s="1" t="s">
        <v>10149</v>
      </c>
      <c r="L2072" s="1">
        <v>760.0</v>
      </c>
      <c r="M2072" s="1" t="s">
        <v>35</v>
      </c>
      <c r="N2072" s="1" t="s">
        <v>36</v>
      </c>
      <c r="O2072" s="1" t="s">
        <v>628</v>
      </c>
      <c r="P2072" s="1">
        <v>1.5E7</v>
      </c>
      <c r="Q2072" s="1">
        <v>2007.0</v>
      </c>
      <c r="R2072" s="1">
        <v>17000.0</v>
      </c>
      <c r="S2072" s="1">
        <v>882.0</v>
      </c>
      <c r="T2072" s="1">
        <v>826.0</v>
      </c>
      <c r="U2072" s="1">
        <v>18752.0</v>
      </c>
      <c r="V2072" s="1">
        <v>0.0</v>
      </c>
      <c r="W2072" s="1">
        <v>76000.0</v>
      </c>
      <c r="X2072" s="1">
        <v>0.0</v>
      </c>
      <c r="Y2072" s="1">
        <v>2.35</v>
      </c>
      <c r="Z2072" s="1">
        <v>8.2</v>
      </c>
    </row>
    <row r="2073" ht="14.25" customHeight="1">
      <c r="A2073" s="1" t="s">
        <v>26</v>
      </c>
      <c r="B2073" s="1" t="s">
        <v>2436</v>
      </c>
      <c r="C2073" s="1" t="s">
        <v>10150</v>
      </c>
      <c r="D2073" s="1">
        <v>1.7803796E7</v>
      </c>
      <c r="E2073" s="1" t="s">
        <v>1885</v>
      </c>
      <c r="F2073" s="1" t="s">
        <v>1869</v>
      </c>
      <c r="G2073" s="1" t="s">
        <v>598</v>
      </c>
      <c r="H2073" s="1" t="s">
        <v>3849</v>
      </c>
      <c r="I2073" s="1">
        <v>26100.0</v>
      </c>
      <c r="J2073" s="1" t="s">
        <v>10151</v>
      </c>
      <c r="K2073" s="1" t="s">
        <v>10152</v>
      </c>
      <c r="L2073" s="1">
        <v>97.0</v>
      </c>
      <c r="M2073" s="1" t="s">
        <v>35</v>
      </c>
      <c r="N2073" s="1" t="s">
        <v>36</v>
      </c>
      <c r="O2073" s="1" t="s">
        <v>37</v>
      </c>
      <c r="P2073" s="1">
        <v>2.0E7</v>
      </c>
      <c r="Q2073" s="1">
        <v>2006.0</v>
      </c>
      <c r="R2073" s="1">
        <v>970.0</v>
      </c>
      <c r="S2073" s="1">
        <v>931.0</v>
      </c>
      <c r="T2073" s="1">
        <v>579.0</v>
      </c>
      <c r="U2073" s="1">
        <v>4374.0</v>
      </c>
      <c r="V2073" s="1">
        <v>480.0</v>
      </c>
      <c r="W2073" s="1">
        <v>484.0</v>
      </c>
      <c r="X2073" s="1">
        <v>1.0</v>
      </c>
      <c r="Y2073" s="1">
        <v>2.35</v>
      </c>
      <c r="Z2073" s="1">
        <v>5.9</v>
      </c>
    </row>
    <row r="2074" ht="14.25" customHeight="1">
      <c r="A2074" s="1" t="s">
        <v>26</v>
      </c>
      <c r="B2074" s="1" t="s">
        <v>10153</v>
      </c>
      <c r="C2074" s="1" t="s">
        <v>10154</v>
      </c>
      <c r="D2074" s="1">
        <v>1.7529157E7</v>
      </c>
      <c r="E2074" s="1" t="s">
        <v>10155</v>
      </c>
      <c r="F2074" s="1" t="s">
        <v>3201</v>
      </c>
      <c r="G2074" s="1" t="s">
        <v>4809</v>
      </c>
      <c r="H2074" s="1" t="s">
        <v>4032</v>
      </c>
      <c r="I2074" s="1">
        <v>49888.0</v>
      </c>
      <c r="J2074" s="1" t="s">
        <v>10156</v>
      </c>
      <c r="K2074" s="1" t="s">
        <v>10157</v>
      </c>
      <c r="L2074" s="1">
        <v>220.0</v>
      </c>
      <c r="M2074" s="1" t="s">
        <v>35</v>
      </c>
      <c r="N2074" s="1" t="s">
        <v>1832</v>
      </c>
      <c r="O2074" s="1" t="s">
        <v>628</v>
      </c>
      <c r="P2074" s="1">
        <v>2.0E7</v>
      </c>
      <c r="Q2074" s="1">
        <v>2012.0</v>
      </c>
      <c r="R2074" s="1">
        <v>991.0</v>
      </c>
      <c r="S2074" s="1">
        <v>494.0</v>
      </c>
      <c r="T2074" s="1">
        <v>206.0</v>
      </c>
      <c r="U2074" s="1">
        <v>2173.0</v>
      </c>
      <c r="V2074" s="1">
        <v>83.0</v>
      </c>
      <c r="W2074" s="1">
        <v>25000.0</v>
      </c>
      <c r="X2074" s="1">
        <v>0.0</v>
      </c>
      <c r="Y2074" s="1">
        <v>2.35</v>
      </c>
      <c r="Z2074" s="1">
        <v>5.0</v>
      </c>
    </row>
    <row r="2075" ht="14.25" customHeight="1">
      <c r="A2075" s="1" t="s">
        <v>26</v>
      </c>
      <c r="B2075" s="1" t="s">
        <v>4632</v>
      </c>
      <c r="C2075" s="1" t="s">
        <v>10158</v>
      </c>
      <c r="D2075" s="1">
        <v>2.575384E7</v>
      </c>
      <c r="E2075" s="1" t="s">
        <v>10159</v>
      </c>
      <c r="F2075" s="1" t="s">
        <v>1681</v>
      </c>
      <c r="G2075" s="1" t="s">
        <v>480</v>
      </c>
      <c r="H2075" s="1" t="s">
        <v>3134</v>
      </c>
      <c r="I2075" s="1">
        <v>219091.0</v>
      </c>
      <c r="J2075" s="1" t="s">
        <v>10160</v>
      </c>
      <c r="K2075" s="1" t="s">
        <v>10161</v>
      </c>
      <c r="L2075" s="1">
        <v>592.0</v>
      </c>
      <c r="M2075" s="1" t="s">
        <v>35</v>
      </c>
      <c r="N2075" s="1" t="s">
        <v>36</v>
      </c>
      <c r="O2075" s="1" t="s">
        <v>628</v>
      </c>
      <c r="P2075" s="1">
        <v>1.9E7</v>
      </c>
      <c r="Q2075" s="1">
        <v>1996.0</v>
      </c>
      <c r="R2075" s="1">
        <v>16000.0</v>
      </c>
      <c r="S2075" s="1">
        <v>4000.0</v>
      </c>
      <c r="T2075" s="1">
        <v>844.0</v>
      </c>
      <c r="U2075" s="1">
        <v>23296.0</v>
      </c>
      <c r="V2075" s="1">
        <v>0.0</v>
      </c>
      <c r="W2075" s="1">
        <v>12000.0</v>
      </c>
      <c r="X2075" s="1">
        <v>2.0</v>
      </c>
      <c r="Y2075" s="1">
        <v>1.85</v>
      </c>
      <c r="Z2075" s="1">
        <v>7.3</v>
      </c>
    </row>
    <row r="2076" ht="14.25" customHeight="1">
      <c r="A2076" s="1" t="s">
        <v>26</v>
      </c>
      <c r="B2076" s="1" t="s">
        <v>10162</v>
      </c>
      <c r="C2076" s="1" t="s">
        <v>10163</v>
      </c>
      <c r="D2076" s="1">
        <v>1.8081626E7</v>
      </c>
      <c r="E2076" s="1" t="s">
        <v>10164</v>
      </c>
      <c r="F2076" s="1" t="s">
        <v>9918</v>
      </c>
      <c r="G2076" s="1" t="s">
        <v>7784</v>
      </c>
      <c r="H2076" s="1" t="s">
        <v>1697</v>
      </c>
      <c r="I2076" s="1">
        <v>4180.0</v>
      </c>
      <c r="J2076" s="1" t="s">
        <v>10165</v>
      </c>
      <c r="K2076" s="1" t="s">
        <v>10166</v>
      </c>
      <c r="L2076" s="1">
        <v>32.0</v>
      </c>
      <c r="M2076" s="1" t="s">
        <v>35</v>
      </c>
      <c r="N2076" s="1" t="s">
        <v>36</v>
      </c>
      <c r="O2076" s="1" t="s">
        <v>269</v>
      </c>
      <c r="P2076" s="1">
        <v>2.0E7</v>
      </c>
      <c r="Q2076" s="1">
        <v>2005.0</v>
      </c>
      <c r="R2076" s="1">
        <v>304.0</v>
      </c>
      <c r="S2076" s="1">
        <v>286.0</v>
      </c>
      <c r="T2076" s="1">
        <v>253.0</v>
      </c>
      <c r="U2076" s="1">
        <v>861.0</v>
      </c>
      <c r="V2076" s="1">
        <v>0.0</v>
      </c>
      <c r="W2076" s="1">
        <v>264.0</v>
      </c>
      <c r="X2076" s="1">
        <v>0.0</v>
      </c>
      <c r="Y2076" s="1">
        <v>1.85</v>
      </c>
      <c r="Z2076" s="1">
        <v>6.4</v>
      </c>
    </row>
    <row r="2077" ht="14.25" customHeight="1">
      <c r="A2077" s="1" t="s">
        <v>26</v>
      </c>
      <c r="B2077" s="1" t="s">
        <v>8511</v>
      </c>
      <c r="C2077" s="1" t="s">
        <v>10167</v>
      </c>
      <c r="D2077" s="1">
        <v>1.751822E7</v>
      </c>
      <c r="E2077" s="1" t="s">
        <v>1359</v>
      </c>
      <c r="F2077" s="1" t="s">
        <v>91</v>
      </c>
      <c r="G2077" s="1" t="s">
        <v>1980</v>
      </c>
      <c r="H2077" s="1" t="s">
        <v>10168</v>
      </c>
      <c r="I2077" s="1">
        <v>9105.0</v>
      </c>
      <c r="J2077" s="1" t="s">
        <v>10169</v>
      </c>
      <c r="K2077" s="1" t="s">
        <v>10170</v>
      </c>
      <c r="L2077" s="1">
        <v>76.0</v>
      </c>
      <c r="M2077" s="1" t="s">
        <v>35</v>
      </c>
      <c r="N2077" s="1" t="s">
        <v>36</v>
      </c>
      <c r="O2077" s="1" t="s">
        <v>37</v>
      </c>
      <c r="P2077" s="1">
        <v>2.0E7</v>
      </c>
      <c r="Q2077" s="1">
        <v>1995.0</v>
      </c>
      <c r="R2077" s="1">
        <v>21000.0</v>
      </c>
      <c r="S2077" s="1">
        <v>1000.0</v>
      </c>
      <c r="T2077" s="1">
        <v>801.0</v>
      </c>
      <c r="U2077" s="1">
        <v>25263.0</v>
      </c>
      <c r="V2077" s="1">
        <v>0.0</v>
      </c>
      <c r="W2077" s="1">
        <v>0.0</v>
      </c>
      <c r="X2077" s="1">
        <v>1.0</v>
      </c>
      <c r="Y2077" s="1">
        <v>1.85</v>
      </c>
      <c r="Z2077" s="1">
        <v>6.6</v>
      </c>
    </row>
    <row r="2078" ht="14.25" customHeight="1">
      <c r="A2078" s="1" t="s">
        <v>26</v>
      </c>
      <c r="B2078" s="1" t="s">
        <v>10171</v>
      </c>
      <c r="C2078" s="1" t="s">
        <v>10172</v>
      </c>
      <c r="D2078" s="1">
        <v>1.7104669E7</v>
      </c>
      <c r="E2078" s="1" t="s">
        <v>10173</v>
      </c>
      <c r="F2078" s="1" t="s">
        <v>10174</v>
      </c>
      <c r="G2078" s="1" t="s">
        <v>10175</v>
      </c>
      <c r="H2078" s="1" t="s">
        <v>10176</v>
      </c>
      <c r="I2078" s="1">
        <v>99353.0</v>
      </c>
      <c r="J2078" s="1" t="s">
        <v>10177</v>
      </c>
      <c r="K2078" s="1" t="s">
        <v>10178</v>
      </c>
      <c r="L2078" s="1">
        <v>354.0</v>
      </c>
      <c r="M2078" s="1" t="s">
        <v>6797</v>
      </c>
      <c r="N2078" s="1" t="s">
        <v>3659</v>
      </c>
      <c r="O2078" s="1" t="s">
        <v>628</v>
      </c>
      <c r="P2078" s="1">
        <v>2.0E7</v>
      </c>
      <c r="Q2078" s="1">
        <v>2004.0</v>
      </c>
      <c r="R2078" s="1">
        <v>264.0</v>
      </c>
      <c r="S2078" s="1">
        <v>62.0</v>
      </c>
      <c r="T2078" s="1">
        <v>59.0</v>
      </c>
      <c r="U2078" s="1">
        <v>537.0</v>
      </c>
      <c r="V2078" s="1">
        <v>0.0</v>
      </c>
      <c r="W2078" s="1">
        <v>0.0</v>
      </c>
      <c r="X2078" s="1">
        <v>1.0</v>
      </c>
      <c r="Y2078" s="1">
        <v>2.35</v>
      </c>
      <c r="Z2078" s="1">
        <v>7.8</v>
      </c>
    </row>
    <row r="2079" ht="14.25" customHeight="1">
      <c r="A2079" s="1" t="s">
        <v>26</v>
      </c>
      <c r="B2079" s="1" t="s">
        <v>10179</v>
      </c>
      <c r="C2079" s="1" t="s">
        <v>10180</v>
      </c>
      <c r="D2079" s="1">
        <v>1.6988996E7</v>
      </c>
      <c r="E2079" s="1" t="s">
        <v>10181</v>
      </c>
      <c r="F2079" s="1" t="s">
        <v>2105</v>
      </c>
      <c r="G2079" s="1" t="s">
        <v>8253</v>
      </c>
      <c r="H2079" s="1" t="s">
        <v>1102</v>
      </c>
      <c r="I2079" s="1">
        <v>3875.0</v>
      </c>
      <c r="J2079" s="1" t="s">
        <v>10182</v>
      </c>
      <c r="K2079" s="1" t="s">
        <v>10183</v>
      </c>
      <c r="L2079" s="1">
        <v>75.0</v>
      </c>
      <c r="M2079" s="1" t="s">
        <v>35</v>
      </c>
      <c r="N2079" s="1" t="s">
        <v>36</v>
      </c>
      <c r="O2079" s="1" t="s">
        <v>269</v>
      </c>
      <c r="P2079" s="1">
        <v>3.5E7</v>
      </c>
      <c r="Q2079" s="1">
        <v>2002.0</v>
      </c>
      <c r="R2079" s="1">
        <v>3000.0</v>
      </c>
      <c r="S2079" s="1">
        <v>968.0</v>
      </c>
      <c r="T2079" s="1">
        <v>939.0</v>
      </c>
      <c r="U2079" s="1">
        <v>8189.0</v>
      </c>
      <c r="V2079" s="1">
        <v>0.0</v>
      </c>
      <c r="W2079" s="1">
        <v>422.0</v>
      </c>
      <c r="X2079" s="1">
        <v>1.0</v>
      </c>
      <c r="Y2079" s="1">
        <v>1.85</v>
      </c>
      <c r="Z2079" s="1">
        <v>4.0</v>
      </c>
    </row>
    <row r="2080" ht="14.25" customHeight="1">
      <c r="A2080" s="1" t="s">
        <v>26</v>
      </c>
      <c r="B2080" s="1" t="s">
        <v>117</v>
      </c>
      <c r="C2080" s="1" t="s">
        <v>10184</v>
      </c>
      <c r="D2080" s="1">
        <v>1.5797907E7</v>
      </c>
      <c r="E2080" s="1" t="s">
        <v>3238</v>
      </c>
      <c r="F2080" s="1" t="s">
        <v>10185</v>
      </c>
      <c r="G2080" s="1" t="s">
        <v>7007</v>
      </c>
      <c r="H2080" s="1" t="s">
        <v>10186</v>
      </c>
      <c r="I2080" s="1">
        <v>68119.0</v>
      </c>
      <c r="J2080" s="1" t="s">
        <v>10187</v>
      </c>
      <c r="K2080" s="1" t="s">
        <v>10188</v>
      </c>
      <c r="L2080" s="1">
        <v>230.0</v>
      </c>
      <c r="M2080" s="1" t="s">
        <v>10189</v>
      </c>
      <c r="N2080" s="1" t="s">
        <v>36</v>
      </c>
      <c r="O2080" s="1" t="s">
        <v>37</v>
      </c>
      <c r="P2080" s="1">
        <v>2.0E7</v>
      </c>
      <c r="Q2080" s="1">
        <v>2007.0</v>
      </c>
      <c r="R2080" s="1">
        <v>283.0</v>
      </c>
      <c r="S2080" s="1">
        <v>206.0</v>
      </c>
      <c r="T2080" s="1">
        <v>161.0</v>
      </c>
      <c r="U2080" s="1">
        <v>904.0</v>
      </c>
      <c r="V2080" s="1">
        <v>395.0</v>
      </c>
      <c r="W2080" s="1">
        <v>0.0</v>
      </c>
      <c r="X2080" s="1">
        <v>0.0</v>
      </c>
      <c r="Y2080" s="1">
        <v>2.35</v>
      </c>
      <c r="Z2080" s="1">
        <v>7.6</v>
      </c>
    </row>
    <row r="2081" ht="14.25" customHeight="1">
      <c r="A2081" s="1" t="s">
        <v>26</v>
      </c>
      <c r="B2081" s="1" t="s">
        <v>1088</v>
      </c>
      <c r="C2081" s="1" t="s">
        <v>10190</v>
      </c>
      <c r="D2081" s="1">
        <v>1.6248701E7</v>
      </c>
      <c r="E2081" s="1" t="s">
        <v>3238</v>
      </c>
      <c r="F2081" s="1" t="s">
        <v>200</v>
      </c>
      <c r="G2081" s="1" t="s">
        <v>351</v>
      </c>
      <c r="H2081" s="1" t="s">
        <v>2846</v>
      </c>
      <c r="I2081" s="1">
        <v>189683.0</v>
      </c>
      <c r="J2081" s="1" t="s">
        <v>10191</v>
      </c>
      <c r="K2081" s="1" t="s">
        <v>10192</v>
      </c>
      <c r="L2081" s="1">
        <v>559.0</v>
      </c>
      <c r="M2081" s="1" t="s">
        <v>35</v>
      </c>
      <c r="N2081" s="1" t="s">
        <v>36</v>
      </c>
      <c r="O2081" s="1" t="s">
        <v>628</v>
      </c>
      <c r="P2081" s="1">
        <v>2.0E7</v>
      </c>
      <c r="Q2081" s="1">
        <v>2003.0</v>
      </c>
      <c r="R2081" s="1">
        <v>6000.0</v>
      </c>
      <c r="S2081" s="1">
        <v>979.0</v>
      </c>
      <c r="T2081" s="1">
        <v>430.0</v>
      </c>
      <c r="U2081" s="1">
        <v>7567.0</v>
      </c>
      <c r="V2081" s="1">
        <v>0.0</v>
      </c>
      <c r="W2081" s="1">
        <v>0.0</v>
      </c>
      <c r="X2081" s="1">
        <v>0.0</v>
      </c>
      <c r="Y2081" s="1">
        <v>1.85</v>
      </c>
      <c r="Z2081" s="1">
        <v>7.7</v>
      </c>
    </row>
    <row r="2082" ht="14.25" customHeight="1">
      <c r="A2082" s="1" t="s">
        <v>26</v>
      </c>
      <c r="B2082" s="1" t="s">
        <v>10193</v>
      </c>
      <c r="C2082" s="1" t="s">
        <v>10194</v>
      </c>
      <c r="D2082" s="1">
        <v>1.5712072E7</v>
      </c>
      <c r="E2082" s="1" t="s">
        <v>449</v>
      </c>
      <c r="F2082" s="1" t="s">
        <v>1969</v>
      </c>
      <c r="G2082" s="1" t="s">
        <v>10195</v>
      </c>
      <c r="H2082" s="1" t="s">
        <v>10196</v>
      </c>
      <c r="I2082" s="1">
        <v>13210.0</v>
      </c>
      <c r="J2082" s="1" t="s">
        <v>10197</v>
      </c>
      <c r="K2082" s="1" t="s">
        <v>10198</v>
      </c>
      <c r="L2082" s="1">
        <v>138.0</v>
      </c>
      <c r="M2082" s="1" t="s">
        <v>35</v>
      </c>
      <c r="N2082" s="1" t="s">
        <v>36</v>
      </c>
      <c r="O2082" s="1" t="s">
        <v>37</v>
      </c>
      <c r="P2082" s="1">
        <v>2.0E7</v>
      </c>
      <c r="Q2082" s="1">
        <v>2004.0</v>
      </c>
      <c r="R2082" s="1">
        <v>787.0</v>
      </c>
      <c r="S2082" s="1">
        <v>555.0</v>
      </c>
      <c r="T2082" s="1">
        <v>472.0</v>
      </c>
      <c r="U2082" s="1">
        <v>2915.0</v>
      </c>
      <c r="V2082" s="1">
        <v>2.0</v>
      </c>
      <c r="W2082" s="1">
        <v>269.0</v>
      </c>
      <c r="X2082" s="1">
        <v>0.0</v>
      </c>
      <c r="Y2082" s="1">
        <v>2.35</v>
      </c>
      <c r="Z2082" s="1">
        <v>5.8</v>
      </c>
    </row>
    <row r="2083" ht="14.25" customHeight="1">
      <c r="A2083" s="1" t="s">
        <v>26</v>
      </c>
      <c r="B2083" s="1" t="s">
        <v>5773</v>
      </c>
      <c r="C2083" s="1" t="s">
        <v>6711</v>
      </c>
      <c r="D2083" s="1">
        <v>1.91449475E8</v>
      </c>
      <c r="E2083" s="1" t="s">
        <v>650</v>
      </c>
      <c r="F2083" s="1" t="s">
        <v>544</v>
      </c>
      <c r="G2083" s="1" t="s">
        <v>1070</v>
      </c>
      <c r="H2083" s="1" t="s">
        <v>2357</v>
      </c>
      <c r="I2083" s="1">
        <v>348010.0</v>
      </c>
      <c r="J2083" s="1" t="s">
        <v>6712</v>
      </c>
      <c r="K2083" s="1" t="s">
        <v>6713</v>
      </c>
      <c r="L2083" s="1">
        <v>1535.0</v>
      </c>
      <c r="M2083" s="1" t="s">
        <v>35</v>
      </c>
      <c r="N2083" s="1" t="s">
        <v>36</v>
      </c>
      <c r="O2083" s="1" t="s">
        <v>37</v>
      </c>
      <c r="P2083" s="1">
        <v>3.7E7</v>
      </c>
      <c r="Q2083" s="1">
        <v>2008.0</v>
      </c>
      <c r="R2083" s="1">
        <v>17000.0</v>
      </c>
      <c r="S2083" s="1">
        <v>12000.0</v>
      </c>
      <c r="T2083" s="1">
        <v>10000.0</v>
      </c>
      <c r="U2083" s="1">
        <v>44061.0</v>
      </c>
      <c r="V2083" s="1">
        <v>308.0</v>
      </c>
      <c r="W2083" s="1">
        <v>19000.0</v>
      </c>
      <c r="X2083" s="1">
        <v>1.0</v>
      </c>
      <c r="Y2083" s="1">
        <v>2.35</v>
      </c>
      <c r="Z2083" s="1">
        <v>5.2</v>
      </c>
    </row>
    <row r="2084" ht="14.25" customHeight="1">
      <c r="A2084" s="1" t="s">
        <v>26</v>
      </c>
      <c r="B2084" s="1" t="s">
        <v>10199</v>
      </c>
      <c r="C2084" s="1" t="s">
        <v>10200</v>
      </c>
      <c r="D2084" s="1">
        <v>1.5408822E7</v>
      </c>
      <c r="E2084" s="1" t="s">
        <v>1598</v>
      </c>
      <c r="F2084" s="1" t="s">
        <v>4768</v>
      </c>
      <c r="G2084" s="1" t="s">
        <v>10201</v>
      </c>
      <c r="H2084" s="1" t="s">
        <v>6472</v>
      </c>
      <c r="I2084" s="1">
        <v>14147.0</v>
      </c>
      <c r="J2084" s="1" t="s">
        <v>10202</v>
      </c>
      <c r="K2084" s="1" t="s">
        <v>10203</v>
      </c>
      <c r="L2084" s="1">
        <v>92.0</v>
      </c>
      <c r="M2084" s="1" t="s">
        <v>35</v>
      </c>
      <c r="N2084" s="1" t="s">
        <v>36</v>
      </c>
      <c r="O2084" s="1" t="s">
        <v>37</v>
      </c>
      <c r="P2084" s="1">
        <v>2.0E7</v>
      </c>
      <c r="Q2084" s="1">
        <v>2003.0</v>
      </c>
      <c r="R2084" s="1">
        <v>651.0</v>
      </c>
      <c r="S2084" s="1">
        <v>555.0</v>
      </c>
      <c r="T2084" s="1">
        <v>499.0</v>
      </c>
      <c r="U2084" s="1">
        <v>2698.0</v>
      </c>
      <c r="V2084" s="1">
        <v>13.0</v>
      </c>
      <c r="W2084" s="1">
        <v>401.0</v>
      </c>
      <c r="X2084" s="1">
        <v>3.0</v>
      </c>
      <c r="Y2084" s="1">
        <v>1.85</v>
      </c>
      <c r="Z2084" s="1">
        <v>5.6</v>
      </c>
    </row>
    <row r="2085" ht="14.25" customHeight="1">
      <c r="A2085" s="1" t="s">
        <v>26</v>
      </c>
      <c r="B2085" s="1" t="s">
        <v>10204</v>
      </c>
      <c r="C2085" s="1" t="s">
        <v>10205</v>
      </c>
      <c r="D2085" s="1">
        <v>1.5464026E7</v>
      </c>
      <c r="E2085" s="1" t="s">
        <v>1598</v>
      </c>
      <c r="F2085" s="1" t="s">
        <v>5276</v>
      </c>
      <c r="G2085" s="1" t="s">
        <v>10206</v>
      </c>
      <c r="H2085" s="1" t="s">
        <v>10207</v>
      </c>
      <c r="I2085" s="1">
        <v>23076.0</v>
      </c>
      <c r="J2085" s="1" t="s">
        <v>10208</v>
      </c>
      <c r="K2085" s="1" t="s">
        <v>10209</v>
      </c>
      <c r="L2085" s="1">
        <v>158.0</v>
      </c>
      <c r="M2085" s="1" t="s">
        <v>35</v>
      </c>
      <c r="N2085" s="1" t="s">
        <v>36</v>
      </c>
      <c r="O2085" s="1" t="s">
        <v>37</v>
      </c>
      <c r="P2085" s="1">
        <v>2.0E7</v>
      </c>
      <c r="Q2085" s="1">
        <v>2000.0</v>
      </c>
      <c r="R2085" s="1">
        <v>302.0</v>
      </c>
      <c r="S2085" s="1">
        <v>216.0</v>
      </c>
      <c r="T2085" s="1">
        <v>153.0</v>
      </c>
      <c r="U2085" s="1">
        <v>1189.0</v>
      </c>
      <c r="V2085" s="1">
        <v>143.0</v>
      </c>
      <c r="W2085" s="1">
        <v>1000.0</v>
      </c>
      <c r="X2085" s="1">
        <v>2.0</v>
      </c>
      <c r="Y2085" s="1">
        <v>1.85</v>
      </c>
      <c r="Z2085" s="1">
        <v>5.3</v>
      </c>
    </row>
    <row r="2086" ht="14.25" customHeight="1">
      <c r="A2086" s="1" t="s">
        <v>26</v>
      </c>
      <c r="B2086" s="1" t="s">
        <v>10210</v>
      </c>
      <c r="C2086" s="1" t="s">
        <v>10211</v>
      </c>
      <c r="D2086" s="1">
        <v>8000000.0</v>
      </c>
      <c r="E2086" s="1" t="s">
        <v>5578</v>
      </c>
      <c r="F2086" s="1" t="s">
        <v>3095</v>
      </c>
      <c r="G2086" s="1" t="s">
        <v>10212</v>
      </c>
      <c r="H2086" s="1" t="s">
        <v>5516</v>
      </c>
      <c r="I2086" s="1">
        <v>6484.0</v>
      </c>
      <c r="J2086" s="1" t="s">
        <v>10213</v>
      </c>
      <c r="K2086" s="1" t="s">
        <v>10214</v>
      </c>
      <c r="L2086" s="1">
        <v>100.0</v>
      </c>
      <c r="M2086" s="1" t="s">
        <v>35</v>
      </c>
      <c r="N2086" s="1" t="s">
        <v>36</v>
      </c>
      <c r="O2086" s="1" t="s">
        <v>269</v>
      </c>
      <c r="P2086" s="1">
        <v>2.0E7</v>
      </c>
      <c r="Q2086" s="1">
        <v>1965.0</v>
      </c>
      <c r="R2086" s="1">
        <v>940.0</v>
      </c>
      <c r="S2086" s="1">
        <v>208.0</v>
      </c>
      <c r="T2086" s="1">
        <v>202.0</v>
      </c>
      <c r="U2086" s="1">
        <v>1934.0</v>
      </c>
      <c r="V2086" s="1">
        <v>126.0</v>
      </c>
      <c r="W2086" s="1">
        <v>1000.0</v>
      </c>
      <c r="X2086" s="1">
        <v>6.0</v>
      </c>
      <c r="Y2086" s="1">
        <v>2.76</v>
      </c>
      <c r="Z2086" s="1">
        <v>6.6</v>
      </c>
    </row>
    <row r="2087" ht="14.25" customHeight="1">
      <c r="A2087" s="1" t="s">
        <v>26</v>
      </c>
      <c r="B2087" s="1" t="s">
        <v>7844</v>
      </c>
      <c r="C2087" s="1" t="s">
        <v>10215</v>
      </c>
      <c r="D2087" s="1">
        <v>1.4174654E7</v>
      </c>
      <c r="E2087" s="1" t="s">
        <v>1885</v>
      </c>
      <c r="F2087" s="1" t="s">
        <v>2505</v>
      </c>
      <c r="G2087" s="1" t="s">
        <v>4709</v>
      </c>
      <c r="H2087" s="1" t="s">
        <v>496</v>
      </c>
      <c r="I2087" s="1">
        <v>74945.0</v>
      </c>
      <c r="J2087" s="1" t="s">
        <v>10216</v>
      </c>
      <c r="K2087" s="1" t="s">
        <v>10217</v>
      </c>
      <c r="L2087" s="1">
        <v>359.0</v>
      </c>
      <c r="M2087" s="1" t="s">
        <v>35</v>
      </c>
      <c r="N2087" s="1" t="s">
        <v>36</v>
      </c>
      <c r="O2087" s="1" t="s">
        <v>37</v>
      </c>
      <c r="P2087" s="1">
        <v>2.5E7</v>
      </c>
      <c r="Q2087" s="1">
        <v>2008.0</v>
      </c>
      <c r="R2087" s="1">
        <v>869.0</v>
      </c>
      <c r="S2087" s="1">
        <v>624.0</v>
      </c>
      <c r="T2087" s="1">
        <v>329.0</v>
      </c>
      <c r="U2087" s="1">
        <v>2857.0</v>
      </c>
      <c r="V2087" s="1">
        <v>82.0</v>
      </c>
      <c r="W2087" s="1">
        <v>0.0</v>
      </c>
      <c r="X2087" s="1">
        <v>0.0</v>
      </c>
      <c r="Y2087" s="1">
        <v>1.85</v>
      </c>
      <c r="Z2087" s="1">
        <v>1.9</v>
      </c>
    </row>
    <row r="2088" ht="14.25" customHeight="1">
      <c r="A2088" s="1" t="s">
        <v>26</v>
      </c>
      <c r="B2088" s="1" t="s">
        <v>6082</v>
      </c>
      <c r="C2088" s="1" t="s">
        <v>10218</v>
      </c>
      <c r="D2088" s="1">
        <v>1.5988876E7</v>
      </c>
      <c r="E2088" s="1" t="s">
        <v>326</v>
      </c>
      <c r="F2088" s="1" t="s">
        <v>6021</v>
      </c>
      <c r="G2088" s="1" t="s">
        <v>3779</v>
      </c>
      <c r="H2088" s="1" t="s">
        <v>10219</v>
      </c>
      <c r="I2088" s="1">
        <v>26236.0</v>
      </c>
      <c r="J2088" s="1" t="s">
        <v>10220</v>
      </c>
      <c r="K2088" s="1" t="s">
        <v>10221</v>
      </c>
      <c r="L2088" s="1">
        <v>110.0</v>
      </c>
      <c r="M2088" s="1" t="s">
        <v>35</v>
      </c>
      <c r="N2088" s="1" t="s">
        <v>36</v>
      </c>
      <c r="O2088" s="1" t="s">
        <v>37</v>
      </c>
      <c r="P2088" s="1">
        <v>2.7E7</v>
      </c>
      <c r="Q2088" s="1">
        <v>2009.0</v>
      </c>
      <c r="R2088" s="1">
        <v>137000.0</v>
      </c>
      <c r="S2088" s="1">
        <v>459.0</v>
      </c>
      <c r="T2088" s="1">
        <v>163.0</v>
      </c>
      <c r="U2088" s="1">
        <v>137712.0</v>
      </c>
      <c r="V2088" s="1">
        <v>190.0</v>
      </c>
      <c r="W2088" s="1">
        <v>0.0</v>
      </c>
      <c r="X2088" s="1">
        <v>6.0</v>
      </c>
      <c r="Y2088" s="1">
        <v>2.35</v>
      </c>
      <c r="Z2088" s="1">
        <v>5.7</v>
      </c>
    </row>
    <row r="2089" ht="14.25" customHeight="1">
      <c r="A2089" s="1" t="s">
        <v>26</v>
      </c>
      <c r="B2089" s="1" t="s">
        <v>2362</v>
      </c>
      <c r="C2089" s="1" t="s">
        <v>10222</v>
      </c>
      <c r="D2089" s="1">
        <v>1.3801755E7</v>
      </c>
      <c r="E2089" s="1" t="s">
        <v>408</v>
      </c>
      <c r="F2089" s="1" t="s">
        <v>534</v>
      </c>
      <c r="G2089" s="1" t="s">
        <v>4554</v>
      </c>
      <c r="H2089" s="1" t="s">
        <v>10223</v>
      </c>
      <c r="I2089" s="1">
        <v>23928.0</v>
      </c>
      <c r="J2089" s="1" t="s">
        <v>10224</v>
      </c>
      <c r="K2089" s="1" t="s">
        <v>10225</v>
      </c>
      <c r="L2089" s="1">
        <v>100.0</v>
      </c>
      <c r="M2089" s="1" t="s">
        <v>35</v>
      </c>
      <c r="N2089" s="1" t="s">
        <v>36</v>
      </c>
      <c r="O2089" s="1" t="s">
        <v>87</v>
      </c>
      <c r="P2089" s="1">
        <v>2.0E7</v>
      </c>
      <c r="Q2089" s="1">
        <v>1997.0</v>
      </c>
      <c r="R2089" s="1">
        <v>13000.0</v>
      </c>
      <c r="S2089" s="1">
        <v>828.0</v>
      </c>
      <c r="T2089" s="1">
        <v>507.0</v>
      </c>
      <c r="U2089" s="1">
        <v>15183.0</v>
      </c>
      <c r="V2089" s="1">
        <v>36.0</v>
      </c>
      <c r="W2089" s="1">
        <v>0.0</v>
      </c>
      <c r="X2089" s="1">
        <v>1.0</v>
      </c>
      <c r="Y2089" s="1">
        <v>1.85</v>
      </c>
      <c r="Z2089" s="1">
        <v>6.6</v>
      </c>
    </row>
    <row r="2090" ht="14.25" customHeight="1">
      <c r="A2090" s="1" t="s">
        <v>26</v>
      </c>
      <c r="B2090" s="1" t="s">
        <v>10226</v>
      </c>
      <c r="C2090" s="1" t="s">
        <v>10227</v>
      </c>
      <c r="D2090" s="1">
        <v>1.3987482E7</v>
      </c>
      <c r="E2090" s="1" t="s">
        <v>1598</v>
      </c>
      <c r="F2090" s="1" t="s">
        <v>214</v>
      </c>
      <c r="G2090" s="1" t="s">
        <v>10228</v>
      </c>
      <c r="H2090" s="1" t="s">
        <v>935</v>
      </c>
      <c r="I2090" s="1">
        <v>58957.0</v>
      </c>
      <c r="J2090" s="1" t="s">
        <v>10229</v>
      </c>
      <c r="K2090" s="1" t="s">
        <v>10230</v>
      </c>
      <c r="L2090" s="1">
        <v>91.0</v>
      </c>
      <c r="M2090" s="1" t="s">
        <v>35</v>
      </c>
      <c r="N2090" s="1" t="s">
        <v>36</v>
      </c>
      <c r="O2090" s="1" t="s">
        <v>628</v>
      </c>
      <c r="P2090" s="1">
        <v>2.0E7</v>
      </c>
      <c r="Q2090" s="1">
        <v>2011.0</v>
      </c>
      <c r="R2090" s="1">
        <v>11000.0</v>
      </c>
      <c r="S2090" s="1">
        <v>904.0</v>
      </c>
      <c r="T2090" s="1">
        <v>783.0</v>
      </c>
      <c r="U2090" s="1">
        <v>15713.0</v>
      </c>
      <c r="V2090" s="1">
        <v>20.0</v>
      </c>
      <c r="W2090" s="1">
        <v>0.0</v>
      </c>
      <c r="X2090" s="1">
        <v>1.0</v>
      </c>
      <c r="Y2090" s="1">
        <v>1.85</v>
      </c>
      <c r="Z2090" s="1">
        <v>6.0</v>
      </c>
    </row>
    <row r="2091" ht="14.25" customHeight="1">
      <c r="A2091" s="1" t="s">
        <v>26</v>
      </c>
      <c r="B2091" s="1" t="s">
        <v>10231</v>
      </c>
      <c r="C2091" s="1" t="s">
        <v>10232</v>
      </c>
      <c r="D2091" s="1">
        <v>1.429157E7</v>
      </c>
      <c r="E2091" s="1" t="s">
        <v>219</v>
      </c>
      <c r="F2091" s="1" t="s">
        <v>2728</v>
      </c>
      <c r="G2091" s="1" t="s">
        <v>3723</v>
      </c>
      <c r="H2091" s="1" t="s">
        <v>10233</v>
      </c>
      <c r="I2091" s="1">
        <v>82082.0</v>
      </c>
      <c r="J2091" s="1" t="s">
        <v>10234</v>
      </c>
      <c r="K2091" s="1" t="s">
        <v>10235</v>
      </c>
      <c r="L2091" s="1">
        <v>236.0</v>
      </c>
      <c r="M2091" s="1" t="s">
        <v>35</v>
      </c>
      <c r="N2091" s="1" t="s">
        <v>1832</v>
      </c>
      <c r="O2091" s="1" t="s">
        <v>37</v>
      </c>
      <c r="P2091" s="1">
        <v>2.0E7</v>
      </c>
      <c r="Q2091" s="1">
        <v>2012.0</v>
      </c>
      <c r="R2091" s="1">
        <v>788.0</v>
      </c>
      <c r="S2091" s="1">
        <v>447.0</v>
      </c>
      <c r="T2091" s="1">
        <v>80.0</v>
      </c>
      <c r="U2091" s="1">
        <v>1414.0</v>
      </c>
      <c r="V2091" s="1">
        <v>4.0</v>
      </c>
      <c r="W2091" s="1">
        <v>10000.0</v>
      </c>
      <c r="X2091" s="1">
        <v>2.0</v>
      </c>
      <c r="Y2091" s="1">
        <v>2.35</v>
      </c>
      <c r="Z2091" s="1">
        <v>6.1</v>
      </c>
    </row>
    <row r="2092" ht="14.25" customHeight="1">
      <c r="A2092" s="1" t="s">
        <v>26</v>
      </c>
      <c r="B2092" s="1" t="s">
        <v>2962</v>
      </c>
      <c r="C2092" s="1" t="s">
        <v>10236</v>
      </c>
      <c r="D2092" s="1">
        <v>1.2181484E7</v>
      </c>
      <c r="E2092" s="1" t="s">
        <v>1885</v>
      </c>
      <c r="F2092" s="1" t="s">
        <v>464</v>
      </c>
      <c r="G2092" s="1" t="s">
        <v>4160</v>
      </c>
      <c r="H2092" s="1" t="s">
        <v>10237</v>
      </c>
      <c r="I2092" s="1">
        <v>26390.0</v>
      </c>
      <c r="J2092" s="1" t="s">
        <v>10238</v>
      </c>
      <c r="K2092" s="1" t="s">
        <v>10239</v>
      </c>
      <c r="L2092" s="1">
        <v>176.0</v>
      </c>
      <c r="M2092" s="1" t="s">
        <v>35</v>
      </c>
      <c r="N2092" s="1" t="s">
        <v>36</v>
      </c>
      <c r="O2092" s="1" t="s">
        <v>37</v>
      </c>
      <c r="P2092" s="1">
        <v>4.0E7</v>
      </c>
      <c r="Q2092" s="1">
        <v>2004.0</v>
      </c>
      <c r="R2092" s="1">
        <v>1000.0</v>
      </c>
      <c r="S2092" s="1">
        <v>87.0</v>
      </c>
      <c r="T2092" s="1">
        <v>62.0</v>
      </c>
      <c r="U2092" s="1">
        <v>1189.0</v>
      </c>
      <c r="V2092" s="1">
        <v>272.0</v>
      </c>
      <c r="W2092" s="1">
        <v>713.0</v>
      </c>
      <c r="X2092" s="1">
        <v>1.0</v>
      </c>
      <c r="Y2092" s="1">
        <v>1.85</v>
      </c>
      <c r="Z2092" s="1">
        <v>4.8</v>
      </c>
    </row>
    <row r="2093" ht="14.25" customHeight="1">
      <c r="A2093" s="1" t="s">
        <v>26</v>
      </c>
      <c r="B2093" s="1" t="s">
        <v>4285</v>
      </c>
      <c r="C2093" s="1" t="s">
        <v>10240</v>
      </c>
      <c r="D2093" s="1">
        <v>1.3630226E7</v>
      </c>
      <c r="E2093" s="1" t="s">
        <v>1345</v>
      </c>
      <c r="F2093" s="1" t="s">
        <v>327</v>
      </c>
      <c r="G2093" s="1" t="s">
        <v>373</v>
      </c>
      <c r="H2093" s="1" t="s">
        <v>4395</v>
      </c>
      <c r="I2093" s="1">
        <v>112516.0</v>
      </c>
      <c r="J2093" s="1" t="s">
        <v>10241</v>
      </c>
      <c r="K2093" s="1" t="s">
        <v>10242</v>
      </c>
      <c r="L2093" s="1">
        <v>223.0</v>
      </c>
      <c r="M2093" s="1" t="s">
        <v>35</v>
      </c>
      <c r="N2093" s="1" t="s">
        <v>36</v>
      </c>
      <c r="O2093" s="1" t="s">
        <v>628</v>
      </c>
      <c r="P2093" s="1">
        <v>2.0E7</v>
      </c>
      <c r="Q2093" s="1">
        <v>2009.0</v>
      </c>
      <c r="R2093" s="1">
        <v>26000.0</v>
      </c>
      <c r="S2093" s="1">
        <v>968.0</v>
      </c>
      <c r="T2093" s="1">
        <v>926.0</v>
      </c>
      <c r="U2093" s="1">
        <v>30541.0</v>
      </c>
      <c r="V2093" s="1">
        <v>83.0</v>
      </c>
      <c r="W2093" s="1">
        <v>0.0</v>
      </c>
      <c r="X2093" s="1">
        <v>0.0</v>
      </c>
      <c r="Y2093" s="1">
        <v>1.85</v>
      </c>
      <c r="Z2093" s="1">
        <v>6.2</v>
      </c>
    </row>
    <row r="2094" ht="14.25" customHeight="1">
      <c r="A2094" s="1" t="s">
        <v>26</v>
      </c>
      <c r="B2094" s="1" t="s">
        <v>3797</v>
      </c>
      <c r="C2094" s="1" t="s">
        <v>10243</v>
      </c>
      <c r="D2094" s="1">
        <v>1.3383737E7</v>
      </c>
      <c r="E2094" s="1" t="s">
        <v>972</v>
      </c>
      <c r="F2094" s="1" t="s">
        <v>385</v>
      </c>
      <c r="G2094" s="1" t="s">
        <v>1576</v>
      </c>
      <c r="H2094" s="1" t="s">
        <v>3984</v>
      </c>
      <c r="I2094" s="1">
        <v>29385.0</v>
      </c>
      <c r="J2094" s="1" t="s">
        <v>10244</v>
      </c>
      <c r="K2094" s="1" t="s">
        <v>10245</v>
      </c>
      <c r="L2094" s="1">
        <v>86.0</v>
      </c>
      <c r="M2094" s="1" t="s">
        <v>35</v>
      </c>
      <c r="N2094" s="1" t="s">
        <v>36</v>
      </c>
      <c r="O2094" s="1" t="s">
        <v>628</v>
      </c>
      <c r="P2094" s="1">
        <v>2.0E7</v>
      </c>
      <c r="Q2094" s="1">
        <v>1994.0</v>
      </c>
      <c r="R2094" s="1">
        <v>1000.0</v>
      </c>
      <c r="S2094" s="1">
        <v>979.0</v>
      </c>
      <c r="T2094" s="1">
        <v>967.0</v>
      </c>
      <c r="U2094" s="1">
        <v>4302.0</v>
      </c>
      <c r="V2094" s="1">
        <v>11000.0</v>
      </c>
      <c r="W2094" s="1">
        <v>979.0</v>
      </c>
      <c r="X2094" s="1">
        <v>4.0</v>
      </c>
      <c r="Y2094" s="1">
        <v>1.85</v>
      </c>
      <c r="Z2094" s="1">
        <v>7.5</v>
      </c>
    </row>
    <row r="2095" ht="14.25" customHeight="1">
      <c r="A2095" s="1" t="s">
        <v>26</v>
      </c>
      <c r="B2095" s="1" t="s">
        <v>10246</v>
      </c>
      <c r="C2095" s="1" t="s">
        <v>10247</v>
      </c>
      <c r="D2095" s="1">
        <v>1.3391174E7</v>
      </c>
      <c r="E2095" s="1" t="s">
        <v>5578</v>
      </c>
      <c r="F2095" s="1" t="s">
        <v>10248</v>
      </c>
      <c r="G2095" s="1" t="s">
        <v>10249</v>
      </c>
      <c r="H2095" s="1" t="s">
        <v>10250</v>
      </c>
      <c r="I2095" s="1">
        <v>5796.0</v>
      </c>
      <c r="J2095" s="1" t="s">
        <v>10251</v>
      </c>
      <c r="K2095" s="1" t="s">
        <v>10252</v>
      </c>
      <c r="L2095" s="1">
        <v>177.0</v>
      </c>
      <c r="M2095" s="1" t="s">
        <v>35</v>
      </c>
      <c r="N2095" s="1" t="s">
        <v>36</v>
      </c>
      <c r="O2095" s="1" t="s">
        <v>87</v>
      </c>
      <c r="P2095" s="1">
        <v>2.0E7</v>
      </c>
      <c r="Q2095" s="1">
        <v>2006.0</v>
      </c>
      <c r="R2095" s="1">
        <v>541.0</v>
      </c>
      <c r="S2095" s="1">
        <v>249.0</v>
      </c>
      <c r="T2095" s="1">
        <v>85.0</v>
      </c>
      <c r="U2095" s="1">
        <v>908.0</v>
      </c>
      <c r="V2095" s="1">
        <v>6.0</v>
      </c>
      <c r="W2095" s="1">
        <v>0.0</v>
      </c>
      <c r="X2095" s="1">
        <v>0.0</v>
      </c>
      <c r="Y2095" s="1">
        <v>2.35</v>
      </c>
      <c r="Z2095" s="1">
        <v>6.3</v>
      </c>
    </row>
    <row r="2096" ht="14.25" customHeight="1">
      <c r="A2096" s="1" t="s">
        <v>26</v>
      </c>
      <c r="B2096" s="1" t="s">
        <v>1153</v>
      </c>
      <c r="C2096" s="1" t="s">
        <v>10253</v>
      </c>
      <c r="D2096" s="1">
        <v>1.2987647E7</v>
      </c>
      <c r="E2096" s="1" t="s">
        <v>10254</v>
      </c>
      <c r="F2096" s="1" t="s">
        <v>488</v>
      </c>
      <c r="G2096" s="1" t="s">
        <v>409</v>
      </c>
      <c r="H2096" s="1" t="s">
        <v>7448</v>
      </c>
      <c r="I2096" s="1">
        <v>24019.0</v>
      </c>
      <c r="J2096" s="1" t="s">
        <v>10255</v>
      </c>
      <c r="K2096" s="1" t="s">
        <v>10256</v>
      </c>
      <c r="L2096" s="1">
        <v>199.0</v>
      </c>
      <c r="M2096" s="1" t="s">
        <v>35</v>
      </c>
      <c r="N2096" s="1" t="s">
        <v>54</v>
      </c>
      <c r="O2096" s="1" t="s">
        <v>628</v>
      </c>
      <c r="P2096" s="1">
        <v>3.0E7</v>
      </c>
      <c r="Q2096" s="1">
        <v>2002.0</v>
      </c>
      <c r="R2096" s="1">
        <v>3000.0</v>
      </c>
      <c r="S2096" s="1">
        <v>268.0</v>
      </c>
      <c r="T2096" s="1">
        <v>83.0</v>
      </c>
      <c r="U2096" s="1">
        <v>3431.0</v>
      </c>
      <c r="V2096" s="1">
        <v>176.0</v>
      </c>
      <c r="W2096" s="1">
        <v>983.0</v>
      </c>
      <c r="X2096" s="1">
        <v>2.0</v>
      </c>
      <c r="Y2096" s="1">
        <v>2.35</v>
      </c>
      <c r="Z2096" s="1">
        <v>7.1</v>
      </c>
    </row>
    <row r="2097" ht="14.25" customHeight="1">
      <c r="A2097" s="1" t="s">
        <v>26</v>
      </c>
      <c r="B2097" s="1" t="s">
        <v>38</v>
      </c>
      <c r="C2097" s="1" t="s">
        <v>10257</v>
      </c>
      <c r="D2097" s="1">
        <v>1.2469811E7</v>
      </c>
      <c r="E2097" s="1" t="s">
        <v>2422</v>
      </c>
      <c r="F2097" s="1" t="s">
        <v>668</v>
      </c>
      <c r="G2097" s="1" t="s">
        <v>7541</v>
      </c>
      <c r="H2097" s="1" t="s">
        <v>1658</v>
      </c>
      <c r="I2097" s="1">
        <v>69172.0</v>
      </c>
      <c r="J2097" s="1" t="s">
        <v>10258</v>
      </c>
      <c r="K2097" s="1" t="s">
        <v>10259</v>
      </c>
      <c r="L2097" s="1">
        <v>316.0</v>
      </c>
      <c r="M2097" s="1" t="s">
        <v>35</v>
      </c>
      <c r="N2097" s="1" t="s">
        <v>36</v>
      </c>
      <c r="O2097" s="1" t="s">
        <v>628</v>
      </c>
      <c r="P2097" s="1">
        <v>2.2E7</v>
      </c>
      <c r="Q2097" s="1">
        <v>2005.0</v>
      </c>
      <c r="R2097" s="1">
        <v>12000.0</v>
      </c>
      <c r="S2097" s="1">
        <v>442.0</v>
      </c>
      <c r="T2097" s="1">
        <v>385.0</v>
      </c>
      <c r="U2097" s="1">
        <v>13156.0</v>
      </c>
      <c r="V2097" s="1">
        <v>563.0</v>
      </c>
      <c r="W2097" s="1">
        <v>0.0</v>
      </c>
      <c r="X2097" s="1">
        <v>1.0</v>
      </c>
      <c r="Y2097" s="1">
        <v>1.85</v>
      </c>
      <c r="Z2097" s="1">
        <v>6.6</v>
      </c>
    </row>
    <row r="2098" ht="14.25" customHeight="1">
      <c r="A2098" s="1" t="s">
        <v>710</v>
      </c>
      <c r="B2098" s="1" t="s">
        <v>4130</v>
      </c>
      <c r="C2098" s="1" t="s">
        <v>10260</v>
      </c>
      <c r="D2098" s="1">
        <v>1.2398628E7</v>
      </c>
      <c r="E2098" s="1" t="s">
        <v>10261</v>
      </c>
      <c r="F2098" s="1" t="s">
        <v>5783</v>
      </c>
      <c r="G2098" s="1" t="s">
        <v>32</v>
      </c>
      <c r="H2098" s="1" t="s">
        <v>4575</v>
      </c>
      <c r="I2098" s="1">
        <v>21542.0</v>
      </c>
      <c r="J2098" s="1" t="s">
        <v>10262</v>
      </c>
      <c r="K2098" s="1" t="s">
        <v>10263</v>
      </c>
      <c r="L2098" s="1">
        <v>88.0</v>
      </c>
      <c r="M2098" s="1" t="s">
        <v>35</v>
      </c>
      <c r="N2098" s="1" t="s">
        <v>36</v>
      </c>
      <c r="O2098" s="1" t="s">
        <v>628</v>
      </c>
      <c r="P2098" s="1">
        <v>2.0E7</v>
      </c>
      <c r="Q2098" s="1">
        <v>2002.0</v>
      </c>
      <c r="R2098" s="1">
        <v>922.0</v>
      </c>
      <c r="S2098" s="1">
        <v>855.0</v>
      </c>
      <c r="T2098" s="1">
        <v>565.0</v>
      </c>
      <c r="U2098" s="1">
        <v>2880.0</v>
      </c>
      <c r="V2098" s="1">
        <v>394.0</v>
      </c>
      <c r="W2098" s="1">
        <v>977.0</v>
      </c>
      <c r="X2098" s="1">
        <v>2.0</v>
      </c>
      <c r="Y2098" s="1">
        <v>2.35</v>
      </c>
      <c r="Z2098" s="1">
        <v>6.1</v>
      </c>
    </row>
    <row r="2099" ht="14.25" customHeight="1">
      <c r="A2099" s="1" t="s">
        <v>26</v>
      </c>
      <c r="B2099" s="1" t="s">
        <v>4175</v>
      </c>
      <c r="C2099" s="1" t="s">
        <v>10264</v>
      </c>
      <c r="D2099" s="1">
        <v>1.321403E7</v>
      </c>
      <c r="E2099" s="1" t="s">
        <v>2391</v>
      </c>
      <c r="F2099" s="1" t="s">
        <v>879</v>
      </c>
      <c r="G2099" s="1" t="s">
        <v>10265</v>
      </c>
      <c r="H2099" s="1" t="s">
        <v>10266</v>
      </c>
      <c r="I2099" s="1">
        <v>60516.0</v>
      </c>
      <c r="J2099" s="1" t="s">
        <v>10267</v>
      </c>
      <c r="K2099" s="1" t="s">
        <v>10268</v>
      </c>
      <c r="L2099" s="1">
        <v>147.0</v>
      </c>
      <c r="M2099" s="1" t="s">
        <v>35</v>
      </c>
      <c r="N2099" s="1" t="s">
        <v>36</v>
      </c>
      <c r="O2099" s="1" t="s">
        <v>37</v>
      </c>
      <c r="P2099" s="1">
        <v>2.0E7</v>
      </c>
      <c r="Q2099" s="1">
        <v>2008.0</v>
      </c>
      <c r="R2099" s="1">
        <v>346.0</v>
      </c>
      <c r="S2099" s="1">
        <v>41.0</v>
      </c>
      <c r="T2099" s="1">
        <v>31.0</v>
      </c>
      <c r="U2099" s="1">
        <v>500.0</v>
      </c>
      <c r="V2099" s="1">
        <v>192.0</v>
      </c>
      <c r="W2099" s="1">
        <v>0.0</v>
      </c>
      <c r="X2099" s="1">
        <v>3.0</v>
      </c>
      <c r="Y2099" s="1">
        <v>1.85</v>
      </c>
      <c r="Z2099" s="1">
        <v>6.7</v>
      </c>
    </row>
    <row r="2100" ht="14.25" customHeight="1">
      <c r="A2100" s="1" t="s">
        <v>26</v>
      </c>
      <c r="B2100" s="1" t="s">
        <v>1985</v>
      </c>
      <c r="C2100" s="1" t="s">
        <v>10269</v>
      </c>
      <c r="D2100" s="1">
        <v>1.2232937E7</v>
      </c>
      <c r="E2100" s="1" t="s">
        <v>326</v>
      </c>
      <c r="F2100" s="1" t="s">
        <v>10270</v>
      </c>
      <c r="G2100" s="1" t="s">
        <v>4305</v>
      </c>
      <c r="H2100" s="1" t="s">
        <v>10271</v>
      </c>
      <c r="I2100" s="1">
        <v>22823.0</v>
      </c>
      <c r="J2100" s="1" t="s">
        <v>10272</v>
      </c>
      <c r="K2100" s="1" t="s">
        <v>10273</v>
      </c>
      <c r="L2100" s="1">
        <v>113.0</v>
      </c>
      <c r="M2100" s="1" t="s">
        <v>35</v>
      </c>
      <c r="N2100" s="1" t="s">
        <v>36</v>
      </c>
      <c r="O2100" s="1" t="s">
        <v>37</v>
      </c>
      <c r="P2100" s="1">
        <v>2.2E7</v>
      </c>
      <c r="Q2100" s="1">
        <v>2009.0</v>
      </c>
      <c r="R2100" s="1">
        <v>969.0</v>
      </c>
      <c r="S2100" s="1">
        <v>794.0</v>
      </c>
      <c r="T2100" s="1">
        <v>347.0</v>
      </c>
      <c r="U2100" s="1">
        <v>2799.0</v>
      </c>
      <c r="V2100" s="1">
        <v>212.0</v>
      </c>
      <c r="W2100" s="1">
        <v>0.0</v>
      </c>
      <c r="X2100" s="1">
        <v>1.0</v>
      </c>
      <c r="Y2100" s="1">
        <v>2.35</v>
      </c>
      <c r="Z2100" s="1">
        <v>5.6</v>
      </c>
    </row>
    <row r="2101" ht="14.25" customHeight="1">
      <c r="A2101" s="1" t="s">
        <v>26</v>
      </c>
      <c r="B2101" s="1" t="s">
        <v>555</v>
      </c>
      <c r="C2101" s="1" t="s">
        <v>10274</v>
      </c>
      <c r="D2101" s="1">
        <v>1.213442E7</v>
      </c>
      <c r="E2101" s="1" t="s">
        <v>10275</v>
      </c>
      <c r="F2101" s="1" t="s">
        <v>475</v>
      </c>
      <c r="G2101" s="1" t="s">
        <v>4220</v>
      </c>
      <c r="H2101" s="1" t="s">
        <v>558</v>
      </c>
      <c r="I2101" s="1">
        <v>92237.0</v>
      </c>
      <c r="J2101" s="1" t="s">
        <v>10276</v>
      </c>
      <c r="K2101" s="1" t="s">
        <v>10277</v>
      </c>
      <c r="L2101" s="1">
        <v>366.0</v>
      </c>
      <c r="M2101" s="1" t="s">
        <v>35</v>
      </c>
      <c r="N2101" s="1" t="s">
        <v>54</v>
      </c>
      <c r="O2101" s="1" t="s">
        <v>628</v>
      </c>
      <c r="P2101" s="1">
        <v>2.0E7</v>
      </c>
      <c r="Q2101" s="1">
        <v>2010.0</v>
      </c>
      <c r="R2101" s="1">
        <v>17000.0</v>
      </c>
      <c r="S2101" s="1">
        <v>1000.0</v>
      </c>
      <c r="T2101" s="1">
        <v>884.0</v>
      </c>
      <c r="U2101" s="1">
        <v>20258.0</v>
      </c>
      <c r="V2101" s="1">
        <v>198.0</v>
      </c>
      <c r="W2101" s="1">
        <v>25000.0</v>
      </c>
      <c r="X2101" s="1">
        <v>0.0</v>
      </c>
      <c r="Y2101" s="1">
        <v>2.35</v>
      </c>
      <c r="Z2101" s="1">
        <v>7.2</v>
      </c>
    </row>
    <row r="2102" ht="14.25" customHeight="1">
      <c r="A2102" s="1" t="s">
        <v>26</v>
      </c>
      <c r="B2102" s="1" t="s">
        <v>10278</v>
      </c>
      <c r="C2102" s="1" t="s">
        <v>10279</v>
      </c>
      <c r="D2102" s="1">
        <v>1.1784E7</v>
      </c>
      <c r="E2102" s="1" t="s">
        <v>8359</v>
      </c>
      <c r="F2102" s="1" t="s">
        <v>3260</v>
      </c>
      <c r="G2102" s="1" t="s">
        <v>10280</v>
      </c>
      <c r="H2102" s="1" t="s">
        <v>10281</v>
      </c>
      <c r="I2102" s="1">
        <v>6701.0</v>
      </c>
      <c r="J2102" s="1" t="s">
        <v>10282</v>
      </c>
      <c r="K2102" s="1" t="s">
        <v>10283</v>
      </c>
      <c r="L2102" s="1">
        <v>26.0</v>
      </c>
      <c r="M2102" s="1" t="s">
        <v>35</v>
      </c>
      <c r="N2102" s="1" t="s">
        <v>36</v>
      </c>
      <c r="O2102" s="1" t="s">
        <v>87</v>
      </c>
      <c r="P2102" s="1">
        <v>2.0E7</v>
      </c>
      <c r="Q2102" s="1">
        <v>1994.0</v>
      </c>
      <c r="R2102" s="1">
        <v>400.0</v>
      </c>
      <c r="S2102" s="1">
        <v>220.0</v>
      </c>
      <c r="T2102" s="1">
        <v>181.0</v>
      </c>
      <c r="U2102" s="1">
        <v>1151.0</v>
      </c>
      <c r="V2102" s="1">
        <v>18.0</v>
      </c>
      <c r="W2102" s="1">
        <v>444.0</v>
      </c>
      <c r="X2102" s="1">
        <v>0.0</v>
      </c>
      <c r="Y2102" s="1">
        <v>1.85</v>
      </c>
      <c r="Z2102" s="1">
        <v>4.3</v>
      </c>
    </row>
    <row r="2103" ht="14.25" customHeight="1">
      <c r="A2103" s="1" t="s">
        <v>26</v>
      </c>
      <c r="B2103" s="1" t="s">
        <v>1485</v>
      </c>
      <c r="C2103" s="1" t="s">
        <v>10284</v>
      </c>
      <c r="D2103" s="1">
        <v>1.1169531E7</v>
      </c>
      <c r="E2103" s="1" t="s">
        <v>1885</v>
      </c>
      <c r="F2103" s="1" t="s">
        <v>6815</v>
      </c>
      <c r="G2103" s="1" t="s">
        <v>2740</v>
      </c>
      <c r="H2103" s="1" t="s">
        <v>10285</v>
      </c>
      <c r="I2103" s="1">
        <v>79855.0</v>
      </c>
      <c r="J2103" s="1" t="s">
        <v>10286</v>
      </c>
      <c r="K2103" s="1" t="s">
        <v>10287</v>
      </c>
      <c r="L2103" s="1">
        <v>235.0</v>
      </c>
      <c r="M2103" s="1" t="s">
        <v>35</v>
      </c>
      <c r="N2103" s="1" t="s">
        <v>54</v>
      </c>
      <c r="O2103" s="1" t="s">
        <v>37</v>
      </c>
      <c r="P2103" s="1">
        <v>2.0E7</v>
      </c>
      <c r="Q2103" s="1">
        <v>2008.0</v>
      </c>
      <c r="R2103" s="1">
        <v>734.0</v>
      </c>
      <c r="S2103" s="1">
        <v>563.0</v>
      </c>
      <c r="T2103" s="1">
        <v>270.0</v>
      </c>
      <c r="U2103" s="1">
        <v>1778.0</v>
      </c>
      <c r="V2103" s="1">
        <v>1000.0</v>
      </c>
      <c r="W2103" s="1">
        <v>0.0</v>
      </c>
      <c r="X2103" s="1">
        <v>2.0</v>
      </c>
      <c r="Y2103" s="1">
        <v>2.35</v>
      </c>
      <c r="Z2103" s="1">
        <v>6.4</v>
      </c>
    </row>
    <row r="2104" ht="14.25" customHeight="1">
      <c r="A2104" s="1" t="s">
        <v>26</v>
      </c>
      <c r="B2104" s="1" t="s">
        <v>5299</v>
      </c>
      <c r="C2104" s="1" t="s">
        <v>10288</v>
      </c>
      <c r="D2104" s="1">
        <v>1.1034436E7</v>
      </c>
      <c r="E2104" s="1" t="s">
        <v>10289</v>
      </c>
      <c r="F2104" s="1" t="s">
        <v>2307</v>
      </c>
      <c r="G2104" s="1" t="s">
        <v>10290</v>
      </c>
      <c r="H2104" s="1" t="s">
        <v>10291</v>
      </c>
      <c r="I2104" s="1">
        <v>13505.0</v>
      </c>
      <c r="J2104" s="1" t="s">
        <v>10292</v>
      </c>
      <c r="K2104" s="1" t="s">
        <v>10293</v>
      </c>
      <c r="L2104" s="1">
        <v>180.0</v>
      </c>
      <c r="M2104" s="1" t="s">
        <v>35</v>
      </c>
      <c r="N2104" s="1" t="s">
        <v>54</v>
      </c>
      <c r="O2104" s="1" t="s">
        <v>628</v>
      </c>
      <c r="P2104" s="1">
        <v>2.0E7</v>
      </c>
      <c r="Q2104" s="1">
        <v>2005.0</v>
      </c>
      <c r="R2104" s="1">
        <v>5000.0</v>
      </c>
      <c r="S2104" s="1">
        <v>378.0</v>
      </c>
      <c r="T2104" s="1">
        <v>99.0</v>
      </c>
      <c r="U2104" s="1">
        <v>5637.0</v>
      </c>
      <c r="V2104" s="1">
        <v>350.0</v>
      </c>
      <c r="W2104" s="1">
        <v>0.0</v>
      </c>
      <c r="X2104" s="1">
        <v>1.0</v>
      </c>
      <c r="Y2104" s="1">
        <v>1.85</v>
      </c>
      <c r="Z2104" s="1">
        <v>7.1</v>
      </c>
    </row>
    <row r="2105" ht="14.25" customHeight="1">
      <c r="A2105" s="1" t="s">
        <v>26</v>
      </c>
      <c r="B2105" s="1" t="s">
        <v>9185</v>
      </c>
      <c r="C2105" s="1" t="s">
        <v>10294</v>
      </c>
      <c r="D2105" s="1">
        <v>1.2626905E7</v>
      </c>
      <c r="E2105" s="1" t="s">
        <v>449</v>
      </c>
      <c r="F2105" s="1" t="s">
        <v>208</v>
      </c>
      <c r="G2105" s="1" t="s">
        <v>4566</v>
      </c>
      <c r="H2105" s="1" t="s">
        <v>373</v>
      </c>
      <c r="I2105" s="1">
        <v>32567.0</v>
      </c>
      <c r="J2105" s="1" t="s">
        <v>10295</v>
      </c>
      <c r="K2105" s="1" t="s">
        <v>10296</v>
      </c>
      <c r="L2105" s="1">
        <v>106.0</v>
      </c>
      <c r="M2105" s="1" t="s">
        <v>35</v>
      </c>
      <c r="N2105" s="1" t="s">
        <v>36</v>
      </c>
      <c r="O2105" s="1" t="s">
        <v>628</v>
      </c>
      <c r="P2105" s="1">
        <v>2.0E7</v>
      </c>
      <c r="Q2105" s="1">
        <v>2016.0</v>
      </c>
      <c r="R2105" s="1">
        <v>14000.0</v>
      </c>
      <c r="S2105" s="1">
        <v>12000.0</v>
      </c>
      <c r="T2105" s="1">
        <v>968.0</v>
      </c>
      <c r="U2105" s="1">
        <v>27214.0</v>
      </c>
      <c r="V2105" s="1">
        <v>214.0</v>
      </c>
      <c r="W2105" s="1">
        <v>0.0</v>
      </c>
      <c r="X2105" s="1">
        <v>3.0</v>
      </c>
      <c r="Y2105" s="1">
        <v>2.35</v>
      </c>
      <c r="Z2105" s="1">
        <v>6.3</v>
      </c>
    </row>
    <row r="2106" ht="14.25" customHeight="1">
      <c r="A2106" s="1" t="s">
        <v>26</v>
      </c>
      <c r="B2106" s="1" t="s">
        <v>3797</v>
      </c>
      <c r="C2106" s="1" t="s">
        <v>10297</v>
      </c>
      <c r="D2106" s="1">
        <v>1.0569071E7</v>
      </c>
      <c r="E2106" s="1" t="s">
        <v>1885</v>
      </c>
      <c r="F2106" s="1" t="s">
        <v>3797</v>
      </c>
      <c r="G2106" s="1" t="s">
        <v>10298</v>
      </c>
      <c r="H2106" s="1" t="s">
        <v>7442</v>
      </c>
      <c r="I2106" s="1">
        <v>35586.0</v>
      </c>
      <c r="J2106" s="1" t="s">
        <v>10299</v>
      </c>
      <c r="K2106" s="1" t="s">
        <v>10300</v>
      </c>
      <c r="L2106" s="1">
        <v>131.0</v>
      </c>
      <c r="M2106" s="1" t="s">
        <v>35</v>
      </c>
      <c r="N2106" s="1" t="s">
        <v>36</v>
      </c>
      <c r="O2106" s="1" t="s">
        <v>628</v>
      </c>
      <c r="P2106" s="1">
        <v>2.0E7</v>
      </c>
      <c r="Q2106" s="1">
        <v>1997.0</v>
      </c>
      <c r="R2106" s="1">
        <v>11000.0</v>
      </c>
      <c r="S2106" s="1">
        <v>474.0</v>
      </c>
      <c r="T2106" s="1">
        <v>223.0</v>
      </c>
      <c r="U2106" s="1">
        <v>11867.0</v>
      </c>
      <c r="V2106" s="1">
        <v>11000.0</v>
      </c>
      <c r="W2106" s="1">
        <v>0.0</v>
      </c>
      <c r="X2106" s="1">
        <v>2.0</v>
      </c>
      <c r="Y2106" s="1">
        <v>1.85</v>
      </c>
      <c r="Z2106" s="1">
        <v>7.4</v>
      </c>
    </row>
    <row r="2107" ht="14.25" customHeight="1">
      <c r="A2107" s="1" t="s">
        <v>26</v>
      </c>
      <c r="B2107" s="1" t="s">
        <v>10301</v>
      </c>
      <c r="C2107" s="1" t="s">
        <v>10302</v>
      </c>
      <c r="D2107" s="1">
        <v>1.0544143E7</v>
      </c>
      <c r="E2107" s="1" t="s">
        <v>1598</v>
      </c>
      <c r="F2107" s="1" t="s">
        <v>6009</v>
      </c>
      <c r="G2107" s="1" t="s">
        <v>415</v>
      </c>
      <c r="H2107" s="1" t="s">
        <v>10303</v>
      </c>
      <c r="I2107" s="1">
        <v>16372.0</v>
      </c>
      <c r="J2107" s="1" t="s">
        <v>10304</v>
      </c>
      <c r="K2107" s="1" t="s">
        <v>10305</v>
      </c>
      <c r="L2107" s="1">
        <v>121.0</v>
      </c>
      <c r="M2107" s="1" t="s">
        <v>35</v>
      </c>
      <c r="N2107" s="1" t="s">
        <v>362</v>
      </c>
      <c r="O2107" s="1" t="s">
        <v>37</v>
      </c>
      <c r="P2107" s="1">
        <v>2.0E7</v>
      </c>
      <c r="Q2107" s="1">
        <v>1999.0</v>
      </c>
      <c r="R2107" s="1">
        <v>2000.0</v>
      </c>
      <c r="S2107" s="1">
        <v>1000.0</v>
      </c>
      <c r="T2107" s="1">
        <v>677.0</v>
      </c>
      <c r="U2107" s="1">
        <v>4843.0</v>
      </c>
      <c r="V2107" s="1">
        <v>4.0</v>
      </c>
      <c r="W2107" s="1">
        <v>311.0</v>
      </c>
      <c r="X2107" s="1">
        <v>2.0</v>
      </c>
      <c r="Y2107" s="1">
        <v>1.37</v>
      </c>
      <c r="Z2107" s="1">
        <v>6.1</v>
      </c>
    </row>
    <row r="2108" ht="14.25" customHeight="1">
      <c r="A2108" s="1" t="s">
        <v>26</v>
      </c>
      <c r="B2108" s="1" t="s">
        <v>8992</v>
      </c>
      <c r="C2108" s="1" t="s">
        <v>10306</v>
      </c>
      <c r="D2108" s="1">
        <v>1.3650738E7</v>
      </c>
      <c r="E2108" s="1" t="s">
        <v>2422</v>
      </c>
      <c r="F2108" s="1" t="s">
        <v>631</v>
      </c>
      <c r="G2108" s="1" t="s">
        <v>229</v>
      </c>
      <c r="H2108" s="1" t="s">
        <v>10307</v>
      </c>
      <c r="I2108" s="1">
        <v>61360.0</v>
      </c>
      <c r="J2108" s="1" t="s">
        <v>10308</v>
      </c>
      <c r="K2108" s="1" t="s">
        <v>10309</v>
      </c>
      <c r="L2108" s="1">
        <v>129.0</v>
      </c>
      <c r="M2108" s="1" t="s">
        <v>35</v>
      </c>
      <c r="N2108" s="1" t="s">
        <v>36</v>
      </c>
      <c r="O2108" s="1" t="s">
        <v>628</v>
      </c>
      <c r="P2108" s="1">
        <v>2.0E7</v>
      </c>
      <c r="Q2108" s="1">
        <v>2015.0</v>
      </c>
      <c r="R2108" s="1">
        <v>14000.0</v>
      </c>
      <c r="S2108" s="1">
        <v>1000.0</v>
      </c>
      <c r="T2108" s="1">
        <v>580.0</v>
      </c>
      <c r="U2108" s="1">
        <v>16926.0</v>
      </c>
      <c r="V2108" s="1">
        <v>53.0</v>
      </c>
      <c r="W2108" s="1">
        <v>25000.0</v>
      </c>
      <c r="X2108" s="1">
        <v>1.0</v>
      </c>
      <c r="Y2108" s="1">
        <v>2.35</v>
      </c>
      <c r="Z2108" s="1">
        <v>6.6</v>
      </c>
    </row>
    <row r="2109" ht="14.25" customHeight="1">
      <c r="A2109" s="1" t="s">
        <v>26</v>
      </c>
      <c r="B2109" s="1" t="s">
        <v>4775</v>
      </c>
      <c r="C2109" s="1" t="s">
        <v>10310</v>
      </c>
      <c r="D2109" s="1">
        <v>1.0555348E7</v>
      </c>
      <c r="E2109" s="1" t="s">
        <v>972</v>
      </c>
      <c r="F2109" s="1" t="s">
        <v>1663</v>
      </c>
      <c r="G2109" s="1" t="s">
        <v>1320</v>
      </c>
      <c r="H2109" s="1" t="s">
        <v>10311</v>
      </c>
      <c r="I2109" s="1">
        <v>17349.0</v>
      </c>
      <c r="J2109" s="1" t="s">
        <v>10312</v>
      </c>
      <c r="K2109" s="1" t="s">
        <v>10313</v>
      </c>
      <c r="L2109" s="1">
        <v>42.0</v>
      </c>
      <c r="M2109" s="1" t="s">
        <v>35</v>
      </c>
      <c r="N2109" s="1" t="s">
        <v>36</v>
      </c>
      <c r="O2109" s="1" t="s">
        <v>37</v>
      </c>
      <c r="P2109" s="1">
        <v>2.0E7</v>
      </c>
      <c r="Q2109" s="1">
        <v>1989.0</v>
      </c>
      <c r="R2109" s="1">
        <v>22000.0</v>
      </c>
      <c r="S2109" s="1">
        <v>2000.0</v>
      </c>
      <c r="T2109" s="1">
        <v>383.0</v>
      </c>
      <c r="U2109" s="1">
        <v>24887.0</v>
      </c>
      <c r="V2109" s="1">
        <v>277.0</v>
      </c>
      <c r="W2109" s="1">
        <v>855.0</v>
      </c>
      <c r="X2109" s="1">
        <v>0.0</v>
      </c>
      <c r="Y2109" s="1">
        <v>2.35</v>
      </c>
      <c r="Z2109" s="1">
        <v>6.0</v>
      </c>
    </row>
    <row r="2110" ht="14.25" customHeight="1">
      <c r="A2110" s="1" t="s">
        <v>26</v>
      </c>
      <c r="B2110" s="1" t="s">
        <v>3797</v>
      </c>
      <c r="C2110" s="1" t="s">
        <v>10314</v>
      </c>
      <c r="D2110" s="1">
        <v>9714482.0</v>
      </c>
      <c r="E2110" s="1" t="s">
        <v>10315</v>
      </c>
      <c r="F2110" s="1" t="s">
        <v>3561</v>
      </c>
      <c r="G2110" s="1" t="s">
        <v>2178</v>
      </c>
      <c r="H2110" s="1" t="s">
        <v>10316</v>
      </c>
      <c r="I2110" s="1">
        <v>30083.0</v>
      </c>
      <c r="J2110" s="1" t="s">
        <v>10317</v>
      </c>
      <c r="K2110" s="1" t="s">
        <v>10318</v>
      </c>
      <c r="L2110" s="1">
        <v>140.0</v>
      </c>
      <c r="M2110" s="1" t="s">
        <v>35</v>
      </c>
      <c r="N2110" s="1" t="s">
        <v>36</v>
      </c>
      <c r="O2110" s="1" t="s">
        <v>628</v>
      </c>
      <c r="P2110" s="1">
        <v>2.0E7</v>
      </c>
      <c r="Q2110" s="1">
        <v>1996.0</v>
      </c>
      <c r="R2110" s="1">
        <v>1000.0</v>
      </c>
      <c r="S2110" s="1">
        <v>612.0</v>
      </c>
      <c r="T2110" s="1">
        <v>2.0</v>
      </c>
      <c r="U2110" s="1">
        <v>1614.0</v>
      </c>
      <c r="V2110" s="1">
        <v>11000.0</v>
      </c>
      <c r="W2110" s="1">
        <v>0.0</v>
      </c>
      <c r="X2110" s="1">
        <v>0.0</v>
      </c>
      <c r="Y2110" s="1">
        <v>1.85</v>
      </c>
      <c r="Z2110" s="1">
        <v>6.8</v>
      </c>
    </row>
    <row r="2111" ht="14.25" customHeight="1">
      <c r="A2111" s="1" t="s">
        <v>26</v>
      </c>
      <c r="B2111" s="1" t="s">
        <v>1872</v>
      </c>
      <c r="C2111" s="1" t="s">
        <v>9707</v>
      </c>
      <c r="D2111" s="1">
        <v>8579684.0</v>
      </c>
      <c r="E2111" s="1" t="s">
        <v>1885</v>
      </c>
      <c r="F2111" s="1" t="s">
        <v>141</v>
      </c>
      <c r="G2111" s="1" t="s">
        <v>352</v>
      </c>
      <c r="H2111" s="1" t="s">
        <v>5436</v>
      </c>
      <c r="I2111" s="1">
        <v>89547.0</v>
      </c>
      <c r="J2111" s="1" t="s">
        <v>9708</v>
      </c>
      <c r="K2111" s="1" t="s">
        <v>9709</v>
      </c>
      <c r="L2111" s="1">
        <v>199.0</v>
      </c>
      <c r="M2111" s="1" t="s">
        <v>35</v>
      </c>
      <c r="N2111" s="1" t="s">
        <v>36</v>
      </c>
      <c r="O2111" s="1" t="s">
        <v>628</v>
      </c>
      <c r="P2111" s="1">
        <v>9000000.0</v>
      </c>
      <c r="Q2111" s="1">
        <v>2007.0</v>
      </c>
      <c r="R2111" s="1">
        <v>22000.0</v>
      </c>
      <c r="S2111" s="1">
        <v>557.0</v>
      </c>
      <c r="T2111" s="1">
        <v>548.0</v>
      </c>
      <c r="U2111" s="1">
        <v>24324.0</v>
      </c>
      <c r="V2111" s="1">
        <v>0.0</v>
      </c>
      <c r="W2111" s="1">
        <v>0.0</v>
      </c>
      <c r="X2111" s="1">
        <v>0.0</v>
      </c>
      <c r="Y2111" s="1">
        <v>1.85</v>
      </c>
      <c r="Z2111" s="1">
        <v>7.4</v>
      </c>
    </row>
    <row r="2112" ht="14.25" customHeight="1">
      <c r="A2112" s="1" t="s">
        <v>26</v>
      </c>
      <c r="B2112" s="1" t="s">
        <v>324</v>
      </c>
      <c r="C2112" s="1" t="s">
        <v>10319</v>
      </c>
      <c r="D2112" s="1">
        <v>9525276.0</v>
      </c>
      <c r="E2112" s="1" t="s">
        <v>326</v>
      </c>
      <c r="F2112" s="1" t="s">
        <v>3469</v>
      </c>
      <c r="G2112" s="1" t="s">
        <v>1562</v>
      </c>
      <c r="H2112" s="1" t="s">
        <v>10320</v>
      </c>
      <c r="I2112" s="1">
        <v>60156.0</v>
      </c>
      <c r="J2112" s="1" t="s">
        <v>10321</v>
      </c>
      <c r="K2112" s="1" t="s">
        <v>10322</v>
      </c>
      <c r="L2112" s="1">
        <v>299.0</v>
      </c>
      <c r="M2112" s="1" t="s">
        <v>35</v>
      </c>
      <c r="N2112" s="1" t="s">
        <v>36</v>
      </c>
      <c r="O2112" s="1" t="s">
        <v>628</v>
      </c>
      <c r="P2112" s="1">
        <v>2.0E7</v>
      </c>
      <c r="Q2112" s="1">
        <v>2007.0</v>
      </c>
      <c r="R2112" s="1">
        <v>856.0</v>
      </c>
      <c r="S2112" s="1">
        <v>742.0</v>
      </c>
      <c r="T2112" s="1">
        <v>725.0</v>
      </c>
      <c r="U2112" s="1">
        <v>3309.0</v>
      </c>
      <c r="V2112" s="1">
        <v>0.0</v>
      </c>
      <c r="W2112" s="1">
        <v>0.0</v>
      </c>
      <c r="X2112" s="1">
        <v>0.0</v>
      </c>
      <c r="Y2112" s="1">
        <v>2.35</v>
      </c>
      <c r="Z2112" s="1">
        <v>6.8</v>
      </c>
    </row>
    <row r="2113" ht="14.25" customHeight="1">
      <c r="A2113" s="1" t="s">
        <v>26</v>
      </c>
      <c r="B2113" s="1" t="s">
        <v>6672</v>
      </c>
      <c r="C2113" s="1" t="s">
        <v>10323</v>
      </c>
      <c r="D2113" s="1">
        <v>8855646.0</v>
      </c>
      <c r="E2113" s="1" t="s">
        <v>6613</v>
      </c>
      <c r="F2113" s="1" t="s">
        <v>1663</v>
      </c>
      <c r="G2113" s="1" t="s">
        <v>295</v>
      </c>
      <c r="H2113" s="1" t="s">
        <v>10324</v>
      </c>
      <c r="I2113" s="1">
        <v>49855.0</v>
      </c>
      <c r="J2113" s="1" t="s">
        <v>10325</v>
      </c>
      <c r="K2113" s="1" t="s">
        <v>10326</v>
      </c>
      <c r="L2113" s="1">
        <v>117.0</v>
      </c>
      <c r="M2113" s="1" t="s">
        <v>35</v>
      </c>
      <c r="N2113" s="1" t="s">
        <v>36</v>
      </c>
      <c r="O2113" s="1" t="s">
        <v>37</v>
      </c>
      <c r="P2113" s="1">
        <v>2.1E7</v>
      </c>
      <c r="Q2113" s="1">
        <v>2009.0</v>
      </c>
      <c r="R2113" s="1">
        <v>22000.0</v>
      </c>
      <c r="S2113" s="1">
        <v>1000.0</v>
      </c>
      <c r="T2113" s="1">
        <v>148.0</v>
      </c>
      <c r="U2113" s="1">
        <v>23409.0</v>
      </c>
      <c r="V2113" s="1">
        <v>52.0</v>
      </c>
      <c r="W2113" s="1">
        <v>10000.0</v>
      </c>
      <c r="X2113" s="1">
        <v>1.0</v>
      </c>
      <c r="Y2113" s="1">
        <v>2.35</v>
      </c>
      <c r="Z2113" s="1">
        <v>7.2</v>
      </c>
    </row>
    <row r="2114" ht="14.25" customHeight="1">
      <c r="A2114" s="1" t="s">
        <v>26</v>
      </c>
      <c r="B2114" s="1" t="s">
        <v>10327</v>
      </c>
      <c r="C2114" s="1" t="s">
        <v>10328</v>
      </c>
      <c r="D2114" s="1">
        <v>9109322.0</v>
      </c>
      <c r="E2114" s="1" t="s">
        <v>2540</v>
      </c>
      <c r="F2114" s="1" t="s">
        <v>10329</v>
      </c>
      <c r="G2114" s="1" t="s">
        <v>10330</v>
      </c>
      <c r="H2114" s="1" t="s">
        <v>10331</v>
      </c>
      <c r="I2114" s="1">
        <v>25371.0</v>
      </c>
      <c r="J2114" s="1" t="s">
        <v>10332</v>
      </c>
      <c r="K2114" s="1" t="s">
        <v>10333</v>
      </c>
      <c r="L2114" s="1">
        <v>129.0</v>
      </c>
      <c r="M2114" s="1" t="s">
        <v>35</v>
      </c>
      <c r="N2114" s="1" t="s">
        <v>730</v>
      </c>
      <c r="O2114" s="1" t="s">
        <v>87</v>
      </c>
      <c r="P2114" s="1">
        <v>2.0E7</v>
      </c>
      <c r="Q2114" s="1">
        <v>2004.0</v>
      </c>
      <c r="R2114" s="1">
        <v>650.0</v>
      </c>
      <c r="S2114" s="1">
        <v>384.0</v>
      </c>
      <c r="T2114" s="1">
        <v>177.0</v>
      </c>
      <c r="U2114" s="1">
        <v>1343.0</v>
      </c>
      <c r="V2114" s="1">
        <v>84.0</v>
      </c>
      <c r="W2114" s="1">
        <v>0.0</v>
      </c>
      <c r="X2114" s="1">
        <v>3.0</v>
      </c>
      <c r="Y2114" s="1">
        <v>2.35</v>
      </c>
      <c r="Z2114" s="1">
        <v>1.9</v>
      </c>
    </row>
    <row r="2115" ht="14.25" customHeight="1">
      <c r="A2115" s="1" t="s">
        <v>26</v>
      </c>
      <c r="B2115" s="1" t="s">
        <v>2538</v>
      </c>
      <c r="C2115" s="1" t="s">
        <v>10334</v>
      </c>
      <c r="D2115" s="1">
        <v>8326035.0</v>
      </c>
      <c r="E2115" s="1" t="s">
        <v>1670</v>
      </c>
      <c r="F2115" s="1" t="s">
        <v>1225</v>
      </c>
      <c r="G2115" s="1" t="s">
        <v>10335</v>
      </c>
      <c r="H2115" s="1" t="s">
        <v>10336</v>
      </c>
      <c r="I2115" s="1">
        <v>21933.0</v>
      </c>
      <c r="J2115" s="1" t="s">
        <v>10337</v>
      </c>
      <c r="K2115" s="1" t="s">
        <v>10338</v>
      </c>
      <c r="L2115" s="1">
        <v>76.0</v>
      </c>
      <c r="M2115" s="1" t="s">
        <v>35</v>
      </c>
      <c r="N2115" s="1" t="s">
        <v>730</v>
      </c>
      <c r="O2115" s="1" t="s">
        <v>37</v>
      </c>
      <c r="P2115" s="1">
        <v>3.3E7</v>
      </c>
      <c r="Q2115" s="1">
        <v>2005.0</v>
      </c>
      <c r="R2115" s="1">
        <v>688.0</v>
      </c>
      <c r="S2115" s="1">
        <v>99.0</v>
      </c>
      <c r="T2115" s="1">
        <v>69.0</v>
      </c>
      <c r="U2115" s="1">
        <v>1019.0</v>
      </c>
      <c r="V2115" s="1">
        <v>10.0</v>
      </c>
      <c r="W2115" s="1">
        <v>676.0</v>
      </c>
      <c r="X2115" s="1">
        <v>2.0</v>
      </c>
      <c r="Y2115" s="1">
        <v>1.85</v>
      </c>
      <c r="Z2115" s="1">
        <v>5.5</v>
      </c>
    </row>
    <row r="2116" ht="14.25" customHeight="1">
      <c r="A2116" s="1" t="s">
        <v>26</v>
      </c>
      <c r="B2116" s="1" t="s">
        <v>2538</v>
      </c>
      <c r="C2116" s="1" t="s">
        <v>10339</v>
      </c>
      <c r="D2116" s="1">
        <v>8104069.0</v>
      </c>
      <c r="E2116" s="1" t="s">
        <v>1670</v>
      </c>
      <c r="F2116" s="1" t="s">
        <v>694</v>
      </c>
      <c r="G2116" s="1" t="s">
        <v>942</v>
      </c>
      <c r="H2116" s="1" t="s">
        <v>769</v>
      </c>
      <c r="I2116" s="1">
        <v>9785.0</v>
      </c>
      <c r="J2116" s="1" t="s">
        <v>10340</v>
      </c>
      <c r="K2116" s="1" t="s">
        <v>10341</v>
      </c>
      <c r="L2116" s="1">
        <v>26.0</v>
      </c>
      <c r="M2116" s="1" t="s">
        <v>35</v>
      </c>
      <c r="N2116" s="1" t="s">
        <v>36</v>
      </c>
      <c r="O2116" s="1" t="s">
        <v>37</v>
      </c>
      <c r="P2116" s="1">
        <v>2.0E7</v>
      </c>
      <c r="Q2116" s="1">
        <v>2007.0</v>
      </c>
      <c r="R2116" s="1">
        <v>716.0</v>
      </c>
      <c r="S2116" s="1">
        <v>537.0</v>
      </c>
      <c r="T2116" s="1">
        <v>436.0</v>
      </c>
      <c r="U2116" s="1">
        <v>2700.0</v>
      </c>
      <c r="V2116" s="1">
        <v>10.0</v>
      </c>
      <c r="W2116" s="1">
        <v>233.0</v>
      </c>
      <c r="X2116" s="1">
        <v>3.0</v>
      </c>
      <c r="Y2116" s="1">
        <v>1.85</v>
      </c>
      <c r="Z2116" s="1">
        <v>4.5</v>
      </c>
    </row>
    <row r="2117" ht="14.25" customHeight="1">
      <c r="A2117" s="1" t="s">
        <v>26</v>
      </c>
      <c r="B2117" s="1" t="s">
        <v>3466</v>
      </c>
      <c r="C2117" s="1" t="s">
        <v>10342</v>
      </c>
      <c r="D2117" s="1">
        <v>8054280.0</v>
      </c>
      <c r="E2117" s="1" t="s">
        <v>2930</v>
      </c>
      <c r="F2117" s="1" t="s">
        <v>5798</v>
      </c>
      <c r="G2117" s="1" t="s">
        <v>10343</v>
      </c>
      <c r="H2117" s="1" t="s">
        <v>4678</v>
      </c>
      <c r="I2117" s="1">
        <v>6838.0</v>
      </c>
      <c r="J2117" s="1" t="s">
        <v>10344</v>
      </c>
      <c r="K2117" s="1" t="s">
        <v>10345</v>
      </c>
      <c r="L2117" s="1">
        <v>117.0</v>
      </c>
      <c r="M2117" s="1" t="s">
        <v>35</v>
      </c>
      <c r="N2117" s="1" t="s">
        <v>36</v>
      </c>
      <c r="O2117" s="1" t="s">
        <v>37</v>
      </c>
      <c r="P2117" s="1">
        <v>2.0E7</v>
      </c>
      <c r="Q2117" s="1">
        <v>2004.0</v>
      </c>
      <c r="R2117" s="1">
        <v>786.0</v>
      </c>
      <c r="S2117" s="1">
        <v>567.0</v>
      </c>
      <c r="T2117" s="1">
        <v>463.0</v>
      </c>
      <c r="U2117" s="1">
        <v>2730.0</v>
      </c>
      <c r="V2117" s="1">
        <v>54.0</v>
      </c>
      <c r="W2117" s="1">
        <v>924.0</v>
      </c>
      <c r="X2117" s="1">
        <v>3.0</v>
      </c>
      <c r="Y2117" s="1">
        <v>1.85</v>
      </c>
      <c r="Z2117" s="1">
        <v>6.3</v>
      </c>
    </row>
    <row r="2118" ht="14.25" customHeight="1">
      <c r="A2118" s="1" t="s">
        <v>26</v>
      </c>
      <c r="B2118" s="1" t="s">
        <v>6646</v>
      </c>
      <c r="C2118" s="1" t="s">
        <v>10346</v>
      </c>
      <c r="D2118" s="1">
        <v>8093318.0</v>
      </c>
      <c r="E2118" s="1" t="s">
        <v>10347</v>
      </c>
      <c r="F2118" s="1" t="s">
        <v>10348</v>
      </c>
      <c r="G2118" s="1" t="s">
        <v>10349</v>
      </c>
      <c r="H2118" s="1" t="s">
        <v>10350</v>
      </c>
      <c r="I2118" s="1">
        <v>61935.0</v>
      </c>
      <c r="J2118" s="1" t="s">
        <v>10351</v>
      </c>
      <c r="K2118" s="1" t="s">
        <v>10352</v>
      </c>
      <c r="L2118" s="1">
        <v>242.0</v>
      </c>
      <c r="M2118" s="1" t="s">
        <v>35</v>
      </c>
      <c r="N2118" s="1" t="s">
        <v>36</v>
      </c>
      <c r="O2118" s="1" t="s">
        <v>628</v>
      </c>
      <c r="P2118" s="1">
        <v>2.0E7</v>
      </c>
      <c r="Q2118" s="1">
        <v>2014.0</v>
      </c>
      <c r="R2118" s="1">
        <v>204.0</v>
      </c>
      <c r="S2118" s="1">
        <v>178.0</v>
      </c>
      <c r="T2118" s="1">
        <v>175.0</v>
      </c>
      <c r="U2118" s="1">
        <v>707.0</v>
      </c>
      <c r="V2118" s="1">
        <v>0.0</v>
      </c>
      <c r="W2118" s="1">
        <v>18000.0</v>
      </c>
      <c r="X2118" s="1">
        <v>0.0</v>
      </c>
      <c r="Y2118" s="1">
        <v>1.85</v>
      </c>
      <c r="Z2118" s="1">
        <v>6.7</v>
      </c>
    </row>
    <row r="2119" ht="14.25" customHeight="1">
      <c r="A2119" s="1" t="s">
        <v>26</v>
      </c>
      <c r="B2119" s="1" t="s">
        <v>10353</v>
      </c>
      <c r="C2119" s="1" t="s">
        <v>10354</v>
      </c>
      <c r="D2119" s="1">
        <v>7382993.0</v>
      </c>
      <c r="E2119" s="1" t="s">
        <v>263</v>
      </c>
      <c r="F2119" s="1" t="s">
        <v>6204</v>
      </c>
      <c r="G2119" s="1" t="s">
        <v>4615</v>
      </c>
      <c r="H2119" s="1" t="s">
        <v>4729</v>
      </c>
      <c r="I2119" s="1">
        <v>3851.0</v>
      </c>
      <c r="J2119" s="1" t="s">
        <v>10355</v>
      </c>
      <c r="K2119" s="1" t="s">
        <v>10356</v>
      </c>
      <c r="L2119" s="1">
        <v>114.0</v>
      </c>
      <c r="M2119" s="1" t="s">
        <v>35</v>
      </c>
      <c r="N2119" s="1" t="s">
        <v>36</v>
      </c>
      <c r="O2119" s="1" t="s">
        <v>269</v>
      </c>
      <c r="P2119" s="1">
        <v>2.0E7</v>
      </c>
      <c r="Q2119" s="1">
        <v>2006.0</v>
      </c>
      <c r="R2119" s="1">
        <v>787.0</v>
      </c>
      <c r="S2119" s="1">
        <v>690.0</v>
      </c>
      <c r="T2119" s="1">
        <v>593.0</v>
      </c>
      <c r="U2119" s="1">
        <v>2185.0</v>
      </c>
      <c r="V2119" s="1">
        <v>3.0</v>
      </c>
      <c r="W2119" s="1">
        <v>346.0</v>
      </c>
      <c r="X2119" s="1">
        <v>0.0</v>
      </c>
      <c r="Y2119" s="1">
        <v>1.85</v>
      </c>
      <c r="Z2119" s="1">
        <v>2.8</v>
      </c>
    </row>
    <row r="2120" ht="14.25" customHeight="1">
      <c r="A2120" s="1" t="s">
        <v>26</v>
      </c>
      <c r="B2120" s="1" t="s">
        <v>10357</v>
      </c>
      <c r="C2120" s="1" t="s">
        <v>10358</v>
      </c>
      <c r="D2120" s="1">
        <v>8888355.0</v>
      </c>
      <c r="E2120" s="1" t="s">
        <v>5819</v>
      </c>
      <c r="F2120" s="1" t="s">
        <v>10359</v>
      </c>
      <c r="G2120" s="1" t="s">
        <v>10360</v>
      </c>
      <c r="H2120" s="1" t="s">
        <v>5590</v>
      </c>
      <c r="I2120" s="1">
        <v>7894.0</v>
      </c>
      <c r="J2120" s="1" t="s">
        <v>10361</v>
      </c>
      <c r="K2120" s="1" t="s">
        <v>10362</v>
      </c>
      <c r="L2120" s="1">
        <v>25.0</v>
      </c>
      <c r="M2120" s="1" t="s">
        <v>35</v>
      </c>
      <c r="N2120" s="1" t="s">
        <v>36</v>
      </c>
      <c r="O2120" s="1" t="s">
        <v>37</v>
      </c>
      <c r="P2120" s="1">
        <v>2.0E7</v>
      </c>
      <c r="Q2120" s="1">
        <v>2013.0</v>
      </c>
      <c r="R2120" s="1">
        <v>997.0</v>
      </c>
      <c r="S2120" s="1">
        <v>941.0</v>
      </c>
      <c r="T2120" s="1">
        <v>826.0</v>
      </c>
      <c r="U2120" s="1">
        <v>3177.0</v>
      </c>
      <c r="V2120" s="1">
        <v>9.0</v>
      </c>
      <c r="W2120" s="1">
        <v>0.0</v>
      </c>
      <c r="X2120" s="1">
        <v>19.0</v>
      </c>
      <c r="Y2120" s="1">
        <v>1.85</v>
      </c>
      <c r="Z2120" s="1">
        <v>5.0</v>
      </c>
    </row>
    <row r="2121" ht="14.25" customHeight="1">
      <c r="A2121" s="1" t="s">
        <v>26</v>
      </c>
      <c r="B2121" s="1" t="s">
        <v>5342</v>
      </c>
      <c r="C2121" s="1" t="s">
        <v>10363</v>
      </c>
      <c r="D2121" s="1">
        <v>7001720.0</v>
      </c>
      <c r="E2121" s="1" t="s">
        <v>2657</v>
      </c>
      <c r="F2121" s="1" t="s">
        <v>10364</v>
      </c>
      <c r="G2121" s="1" t="s">
        <v>10365</v>
      </c>
      <c r="H2121" s="1" t="s">
        <v>10366</v>
      </c>
      <c r="I2121" s="1">
        <v>8560.0</v>
      </c>
      <c r="J2121" s="1" t="s">
        <v>10367</v>
      </c>
      <c r="K2121" s="1" t="s">
        <v>10368</v>
      </c>
      <c r="L2121" s="1">
        <v>205.0</v>
      </c>
      <c r="M2121" s="1" t="s">
        <v>35</v>
      </c>
      <c r="N2121" s="1" t="s">
        <v>36</v>
      </c>
      <c r="O2121" s="1" t="s">
        <v>37</v>
      </c>
      <c r="P2121" s="1">
        <v>1.2E7</v>
      </c>
      <c r="Q2121" s="1">
        <v>2008.0</v>
      </c>
      <c r="R2121" s="1">
        <v>885.0</v>
      </c>
      <c r="S2121" s="1">
        <v>816.0</v>
      </c>
      <c r="T2121" s="1">
        <v>633.0</v>
      </c>
      <c r="U2121" s="1">
        <v>2907.0</v>
      </c>
      <c r="V2121" s="1">
        <v>119.0</v>
      </c>
      <c r="W2121" s="1">
        <v>797.0</v>
      </c>
      <c r="X2121" s="1">
        <v>2.0</v>
      </c>
      <c r="Y2121" s="1">
        <v>2.35</v>
      </c>
      <c r="Z2121" s="1">
        <v>4.3</v>
      </c>
    </row>
    <row r="2122" ht="14.25" customHeight="1">
      <c r="A2122" s="1" t="s">
        <v>26</v>
      </c>
      <c r="B2122" s="1" t="s">
        <v>4632</v>
      </c>
      <c r="C2122" s="1" t="s">
        <v>10369</v>
      </c>
      <c r="D2122" s="1">
        <v>7268659.0</v>
      </c>
      <c r="E2122" s="1" t="s">
        <v>408</v>
      </c>
      <c r="F2122" s="1" t="s">
        <v>5540</v>
      </c>
      <c r="G2122" s="1" t="s">
        <v>5493</v>
      </c>
      <c r="H2122" s="1" t="s">
        <v>10370</v>
      </c>
      <c r="I2122" s="1">
        <v>59248.0</v>
      </c>
      <c r="J2122" s="1" t="s">
        <v>10371</v>
      </c>
      <c r="K2122" s="1" t="s">
        <v>10372</v>
      </c>
      <c r="L2122" s="1">
        <v>164.0</v>
      </c>
      <c r="M2122" s="1" t="s">
        <v>35</v>
      </c>
      <c r="N2122" s="1" t="s">
        <v>10373</v>
      </c>
      <c r="O2122" s="1" t="s">
        <v>628</v>
      </c>
      <c r="P2122" s="1">
        <v>2.0E7</v>
      </c>
      <c r="Q2122" s="1">
        <v>2013.0</v>
      </c>
      <c r="R2122" s="1">
        <v>2000.0</v>
      </c>
      <c r="S2122" s="1">
        <v>749.0</v>
      </c>
      <c r="T2122" s="1">
        <v>99.0</v>
      </c>
      <c r="U2122" s="1">
        <v>2848.0</v>
      </c>
      <c r="V2122" s="1">
        <v>0.0</v>
      </c>
      <c r="W2122" s="1">
        <v>48000.0</v>
      </c>
      <c r="X2122" s="1">
        <v>7.0</v>
      </c>
      <c r="Y2122" s="1">
        <v>1.85</v>
      </c>
      <c r="Z2122" s="1">
        <v>5.6</v>
      </c>
    </row>
    <row r="2123" ht="14.25" customHeight="1">
      <c r="A2123" s="1" t="s">
        <v>26</v>
      </c>
      <c r="B2123" s="1" t="s">
        <v>10374</v>
      </c>
      <c r="C2123" s="1" t="s">
        <v>10375</v>
      </c>
      <c r="D2123" s="1">
        <v>6852144.0</v>
      </c>
      <c r="E2123" s="1" t="s">
        <v>3448</v>
      </c>
      <c r="F2123" s="1" t="s">
        <v>6715</v>
      </c>
      <c r="G2123" s="1" t="s">
        <v>8468</v>
      </c>
      <c r="H2123" s="1" t="s">
        <v>10376</v>
      </c>
      <c r="I2123" s="1">
        <v>15169.0</v>
      </c>
      <c r="J2123" s="1" t="s">
        <v>10377</v>
      </c>
      <c r="K2123" s="1" t="s">
        <v>10378</v>
      </c>
      <c r="L2123" s="1">
        <v>213.0</v>
      </c>
      <c r="M2123" s="1" t="s">
        <v>35</v>
      </c>
      <c r="N2123" s="1" t="s">
        <v>260</v>
      </c>
      <c r="O2123" s="1" t="s">
        <v>37</v>
      </c>
      <c r="P2123" s="1">
        <v>2.2E7</v>
      </c>
      <c r="Q2123" s="1">
        <v>2003.0</v>
      </c>
      <c r="R2123" s="1">
        <v>669.0</v>
      </c>
      <c r="S2123" s="1">
        <v>429.0</v>
      </c>
      <c r="T2123" s="1">
        <v>86.0</v>
      </c>
      <c r="U2123" s="1">
        <v>1267.0</v>
      </c>
      <c r="V2123" s="1">
        <v>17.0</v>
      </c>
      <c r="W2123" s="1">
        <v>0.0</v>
      </c>
      <c r="X2123" s="1">
        <v>0.0</v>
      </c>
      <c r="Y2123" s="1">
        <v>2.35</v>
      </c>
      <c r="Z2123" s="1">
        <v>6.2</v>
      </c>
    </row>
    <row r="2124" ht="14.25" customHeight="1">
      <c r="A2124" s="1" t="s">
        <v>26</v>
      </c>
      <c r="B2124" s="1" t="s">
        <v>8881</v>
      </c>
      <c r="C2124" s="1" t="s">
        <v>10379</v>
      </c>
      <c r="D2124" s="1">
        <v>6563357.0</v>
      </c>
      <c r="E2124" s="1" t="s">
        <v>4008</v>
      </c>
      <c r="F2124" s="1" t="s">
        <v>10380</v>
      </c>
      <c r="G2124" s="1" t="s">
        <v>4305</v>
      </c>
      <c r="H2124" s="1" t="s">
        <v>404</v>
      </c>
      <c r="I2124" s="1">
        <v>18571.0</v>
      </c>
      <c r="J2124" s="1" t="s">
        <v>10381</v>
      </c>
      <c r="K2124" s="1" t="s">
        <v>10382</v>
      </c>
      <c r="L2124" s="1">
        <v>120.0</v>
      </c>
      <c r="M2124" s="1" t="s">
        <v>35</v>
      </c>
      <c r="N2124" s="1" t="s">
        <v>36</v>
      </c>
      <c r="O2124" s="1" t="s">
        <v>628</v>
      </c>
      <c r="P2124" s="1">
        <v>2.0E7</v>
      </c>
      <c r="Q2124" s="1">
        <v>2008.0</v>
      </c>
      <c r="R2124" s="1">
        <v>1000.0</v>
      </c>
      <c r="S2124" s="1">
        <v>794.0</v>
      </c>
      <c r="T2124" s="1">
        <v>522.0</v>
      </c>
      <c r="U2124" s="1">
        <v>4218.0</v>
      </c>
      <c r="V2124" s="1">
        <v>29.0</v>
      </c>
      <c r="W2124" s="1">
        <v>847.0</v>
      </c>
      <c r="X2124" s="1">
        <v>4.0</v>
      </c>
      <c r="Y2124" s="1">
        <v>2.35</v>
      </c>
      <c r="Z2124" s="1">
        <v>5.3</v>
      </c>
    </row>
    <row r="2125" ht="14.25" customHeight="1">
      <c r="A2125" s="1" t="s">
        <v>26</v>
      </c>
      <c r="B2125" s="1" t="s">
        <v>10383</v>
      </c>
      <c r="C2125" s="1" t="s">
        <v>10384</v>
      </c>
      <c r="D2125" s="1">
        <v>6201757.0</v>
      </c>
      <c r="E2125" s="1" t="s">
        <v>10385</v>
      </c>
      <c r="F2125" s="1" t="s">
        <v>385</v>
      </c>
      <c r="G2125" s="1" t="s">
        <v>3276</v>
      </c>
      <c r="H2125" s="1" t="s">
        <v>10386</v>
      </c>
      <c r="I2125" s="1">
        <v>10037.0</v>
      </c>
      <c r="J2125" s="1" t="s">
        <v>10387</v>
      </c>
      <c r="K2125" s="1" t="s">
        <v>10388</v>
      </c>
      <c r="L2125" s="1">
        <v>202.0</v>
      </c>
      <c r="M2125" s="1" t="s">
        <v>35</v>
      </c>
      <c r="N2125" s="1" t="s">
        <v>54</v>
      </c>
      <c r="O2125" s="1" t="s">
        <v>628</v>
      </c>
      <c r="P2125" s="1">
        <v>1.0E7</v>
      </c>
      <c r="Q2125" s="1">
        <v>1999.0</v>
      </c>
      <c r="R2125" s="1">
        <v>1000.0</v>
      </c>
      <c r="S2125" s="1">
        <v>452.0</v>
      </c>
      <c r="T2125" s="1">
        <v>149.0</v>
      </c>
      <c r="U2125" s="1">
        <v>1690.0</v>
      </c>
      <c r="V2125" s="1">
        <v>608.0</v>
      </c>
      <c r="W2125" s="1">
        <v>608.0</v>
      </c>
      <c r="X2125" s="1">
        <v>1.0</v>
      </c>
      <c r="Y2125" s="1">
        <v>1.66</v>
      </c>
      <c r="Z2125" s="1">
        <v>7.4</v>
      </c>
    </row>
    <row r="2126" ht="14.25" customHeight="1">
      <c r="A2126" s="1" t="s">
        <v>26</v>
      </c>
      <c r="B2126" s="1" t="s">
        <v>5104</v>
      </c>
      <c r="C2126" s="1" t="s">
        <v>10389</v>
      </c>
      <c r="D2126" s="1">
        <v>5702083.0</v>
      </c>
      <c r="E2126" s="1" t="s">
        <v>3404</v>
      </c>
      <c r="F2126" s="1" t="s">
        <v>444</v>
      </c>
      <c r="G2126" s="1" t="s">
        <v>2682</v>
      </c>
      <c r="H2126" s="1" t="s">
        <v>3245</v>
      </c>
      <c r="I2126" s="1">
        <v>80617.0</v>
      </c>
      <c r="J2126" s="1" t="s">
        <v>10390</v>
      </c>
      <c r="K2126" s="1" t="s">
        <v>10391</v>
      </c>
      <c r="L2126" s="1">
        <v>190.0</v>
      </c>
      <c r="M2126" s="1" t="s">
        <v>35</v>
      </c>
      <c r="N2126" s="1" t="s">
        <v>54</v>
      </c>
      <c r="O2126" s="1" t="s">
        <v>628</v>
      </c>
      <c r="P2126" s="1">
        <v>1.5E7</v>
      </c>
      <c r="Q2126" s="1">
        <v>2011.0</v>
      </c>
      <c r="R2126" s="1">
        <v>13000.0</v>
      </c>
      <c r="S2126" s="1">
        <v>10000.0</v>
      </c>
      <c r="T2126" s="1">
        <v>691.0</v>
      </c>
      <c r="U2126" s="1">
        <v>23755.0</v>
      </c>
      <c r="V2126" s="1">
        <v>0.0</v>
      </c>
      <c r="W2126" s="1">
        <v>36000.0</v>
      </c>
      <c r="X2126" s="1">
        <v>3.0</v>
      </c>
      <c r="Y2126" s="1">
        <v>1.85</v>
      </c>
      <c r="Z2126" s="1">
        <v>6.5</v>
      </c>
    </row>
    <row r="2127" ht="14.25" customHeight="1">
      <c r="A2127" s="1" t="s">
        <v>26</v>
      </c>
      <c r="B2127" s="1" t="s">
        <v>8489</v>
      </c>
      <c r="C2127" s="1" t="s">
        <v>10392</v>
      </c>
      <c r="D2127" s="1">
        <v>5480996.0</v>
      </c>
      <c r="E2127" s="1" t="s">
        <v>10393</v>
      </c>
      <c r="F2127" s="1" t="s">
        <v>91</v>
      </c>
      <c r="G2127" s="1" t="s">
        <v>563</v>
      </c>
      <c r="H2127" s="1" t="s">
        <v>3300</v>
      </c>
      <c r="I2127" s="1">
        <v>89383.0</v>
      </c>
      <c r="J2127" s="1" t="s">
        <v>10394</v>
      </c>
      <c r="K2127" s="1" t="s">
        <v>10395</v>
      </c>
      <c r="L2127" s="1">
        <v>293.0</v>
      </c>
      <c r="M2127" s="1" t="s">
        <v>35</v>
      </c>
      <c r="N2127" s="1" t="s">
        <v>36</v>
      </c>
      <c r="O2127" s="1" t="s">
        <v>628</v>
      </c>
      <c r="P2127" s="1">
        <v>8700000.0</v>
      </c>
      <c r="Q2127" s="1">
        <v>2006.0</v>
      </c>
      <c r="R2127" s="1">
        <v>21000.0</v>
      </c>
      <c r="S2127" s="1">
        <v>18000.0</v>
      </c>
      <c r="T2127" s="1">
        <v>407.0</v>
      </c>
      <c r="U2127" s="1">
        <v>39507.0</v>
      </c>
      <c r="V2127" s="1">
        <v>0.0</v>
      </c>
      <c r="W2127" s="1">
        <v>0.0</v>
      </c>
      <c r="X2127" s="1">
        <v>0.0</v>
      </c>
      <c r="Y2127" s="1">
        <v>1.85</v>
      </c>
      <c r="Z2127" s="1">
        <v>7.1</v>
      </c>
    </row>
    <row r="2128" ht="14.25" customHeight="1">
      <c r="A2128" s="1" t="s">
        <v>26</v>
      </c>
      <c r="B2128" s="1" t="s">
        <v>704</v>
      </c>
      <c r="C2128" s="1" t="s">
        <v>10396</v>
      </c>
      <c r="D2128" s="1">
        <v>6002756.0</v>
      </c>
      <c r="E2128" s="1" t="s">
        <v>1557</v>
      </c>
      <c r="F2128" s="1" t="s">
        <v>616</v>
      </c>
      <c r="G2128" s="1" t="s">
        <v>3554</v>
      </c>
      <c r="H2128" s="1" t="s">
        <v>2139</v>
      </c>
      <c r="I2128" s="1">
        <v>24997.0</v>
      </c>
      <c r="J2128" s="1" t="s">
        <v>10397</v>
      </c>
      <c r="K2128" s="1" t="s">
        <v>10398</v>
      </c>
      <c r="L2128" s="1">
        <v>75.0</v>
      </c>
      <c r="M2128" s="1" t="s">
        <v>35</v>
      </c>
      <c r="N2128" s="1" t="s">
        <v>36</v>
      </c>
      <c r="O2128" s="1" t="s">
        <v>87</v>
      </c>
      <c r="P2128" s="1">
        <v>2.0E7</v>
      </c>
      <c r="Q2128" s="1">
        <v>2012.0</v>
      </c>
      <c r="R2128" s="1">
        <v>18000.0</v>
      </c>
      <c r="S2128" s="1">
        <v>1000.0</v>
      </c>
      <c r="T2128" s="1">
        <v>956.0</v>
      </c>
      <c r="U2128" s="1">
        <v>21200.0</v>
      </c>
      <c r="V2128" s="1">
        <v>150.0</v>
      </c>
      <c r="W2128" s="1">
        <v>13000.0</v>
      </c>
      <c r="X2128" s="1">
        <v>2.0</v>
      </c>
      <c r="Y2128" s="1">
        <v>1.85</v>
      </c>
      <c r="Z2128" s="1">
        <v>7.2</v>
      </c>
    </row>
    <row r="2129" ht="14.25" customHeight="1">
      <c r="A2129" s="1" t="s">
        <v>26</v>
      </c>
      <c r="B2129" s="1" t="s">
        <v>4182</v>
      </c>
      <c r="C2129" s="1" t="s">
        <v>10399</v>
      </c>
      <c r="D2129" s="1">
        <v>5132655.0</v>
      </c>
      <c r="E2129" s="1" t="s">
        <v>9409</v>
      </c>
      <c r="F2129" s="1" t="s">
        <v>10400</v>
      </c>
      <c r="G2129" s="1" t="s">
        <v>10401</v>
      </c>
      <c r="H2129" s="1" t="s">
        <v>10402</v>
      </c>
      <c r="I2129" s="1">
        <v>37626.0</v>
      </c>
      <c r="J2129" s="1" t="s">
        <v>10403</v>
      </c>
      <c r="K2129" s="1" t="s">
        <v>10404</v>
      </c>
      <c r="L2129" s="1">
        <v>521.0</v>
      </c>
      <c r="M2129" s="1" t="s">
        <v>35</v>
      </c>
      <c r="N2129" s="1" t="s">
        <v>260</v>
      </c>
      <c r="O2129" s="1" t="s">
        <v>628</v>
      </c>
      <c r="P2129" s="1">
        <v>2.0E7</v>
      </c>
      <c r="Q2129" s="1">
        <v>2005.0</v>
      </c>
      <c r="R2129" s="1">
        <v>310.0</v>
      </c>
      <c r="S2129" s="1">
        <v>294.0</v>
      </c>
      <c r="T2129" s="1">
        <v>81.0</v>
      </c>
      <c r="U2129" s="1">
        <v>838.0</v>
      </c>
      <c r="V2129" s="1">
        <v>892.0</v>
      </c>
      <c r="W2129" s="1">
        <v>1000.0</v>
      </c>
      <c r="X2129" s="1">
        <v>0.0</v>
      </c>
      <c r="Y2129" s="1">
        <v>2.35</v>
      </c>
      <c r="Z2129" s="1">
        <v>2.3</v>
      </c>
    </row>
    <row r="2130" ht="14.25" customHeight="1">
      <c r="A2130" s="1" t="s">
        <v>26</v>
      </c>
      <c r="B2130" s="1" t="s">
        <v>3234</v>
      </c>
      <c r="C2130" s="1" t="s">
        <v>10405</v>
      </c>
      <c r="D2130" s="1">
        <v>5205343.0</v>
      </c>
      <c r="E2130" s="1" t="s">
        <v>7651</v>
      </c>
      <c r="F2130" s="1" t="s">
        <v>1352</v>
      </c>
      <c r="G2130" s="1" t="s">
        <v>10406</v>
      </c>
      <c r="H2130" s="1" t="s">
        <v>10407</v>
      </c>
      <c r="I2130" s="1">
        <v>11958.0</v>
      </c>
      <c r="J2130" s="1" t="s">
        <v>10408</v>
      </c>
      <c r="K2130" s="1" t="s">
        <v>10409</v>
      </c>
      <c r="L2130" s="1">
        <v>39.0</v>
      </c>
      <c r="M2130" s="1" t="s">
        <v>35</v>
      </c>
      <c r="N2130" s="1" t="s">
        <v>36</v>
      </c>
      <c r="O2130" s="1" t="s">
        <v>87</v>
      </c>
      <c r="P2130" s="1">
        <v>2.0E7</v>
      </c>
      <c r="Q2130" s="1">
        <v>2009.0</v>
      </c>
      <c r="R2130" s="1">
        <v>690.0</v>
      </c>
      <c r="S2130" s="1">
        <v>224.0</v>
      </c>
      <c r="T2130" s="1">
        <v>181.0</v>
      </c>
      <c r="U2130" s="1">
        <v>1573.0</v>
      </c>
      <c r="V2130" s="1">
        <v>650.0</v>
      </c>
      <c r="W2130" s="1">
        <v>1000.0</v>
      </c>
      <c r="X2130" s="1">
        <v>3.0</v>
      </c>
      <c r="Y2130" s="1">
        <v>2.35</v>
      </c>
      <c r="Z2130" s="1">
        <v>6.4</v>
      </c>
    </row>
    <row r="2131" ht="14.25" customHeight="1">
      <c r="A2131" s="1" t="s">
        <v>26</v>
      </c>
      <c r="B2131" s="1" t="s">
        <v>10410</v>
      </c>
      <c r="C2131" s="1" t="s">
        <v>10411</v>
      </c>
      <c r="D2131" s="1">
        <v>5005883.0</v>
      </c>
      <c r="E2131" s="1" t="s">
        <v>3113</v>
      </c>
      <c r="F2131" s="1" t="s">
        <v>7967</v>
      </c>
      <c r="G2131" s="1" t="s">
        <v>2177</v>
      </c>
      <c r="H2131" s="1" t="s">
        <v>2846</v>
      </c>
      <c r="I2131" s="1">
        <v>29649.0</v>
      </c>
      <c r="J2131" s="1" t="s">
        <v>10412</v>
      </c>
      <c r="K2131" s="1" t="s">
        <v>10413</v>
      </c>
      <c r="L2131" s="1">
        <v>361.0</v>
      </c>
      <c r="M2131" s="1" t="s">
        <v>35</v>
      </c>
      <c r="N2131" s="1" t="s">
        <v>36</v>
      </c>
      <c r="O2131" s="1" t="s">
        <v>628</v>
      </c>
      <c r="P2131" s="1">
        <v>2.0E7</v>
      </c>
      <c r="Q2131" s="1">
        <v>2004.0</v>
      </c>
      <c r="R2131" s="1">
        <v>829.0</v>
      </c>
      <c r="S2131" s="1">
        <v>681.0</v>
      </c>
      <c r="T2131" s="1">
        <v>430.0</v>
      </c>
      <c r="U2131" s="1">
        <v>2295.0</v>
      </c>
      <c r="V2131" s="1">
        <v>143.0</v>
      </c>
      <c r="W2131" s="1">
        <v>0.0</v>
      </c>
      <c r="X2131" s="1">
        <v>1.0</v>
      </c>
      <c r="Y2131" s="1">
        <v>1.85</v>
      </c>
      <c r="Z2131" s="1">
        <v>6.1</v>
      </c>
    </row>
    <row r="2132" ht="14.25" customHeight="1">
      <c r="A2132" s="1" t="s">
        <v>26</v>
      </c>
      <c r="B2132" s="1" t="s">
        <v>10414</v>
      </c>
      <c r="C2132" s="1" t="s">
        <v>10415</v>
      </c>
      <c r="D2132" s="1">
        <v>5749134.0</v>
      </c>
      <c r="E2132" s="1" t="s">
        <v>449</v>
      </c>
      <c r="F2132" s="1" t="s">
        <v>1958</v>
      </c>
      <c r="G2132" s="1" t="s">
        <v>6984</v>
      </c>
      <c r="H2132" s="1" t="s">
        <v>2818</v>
      </c>
      <c r="I2132" s="1">
        <v>45799.0</v>
      </c>
      <c r="J2132" s="1" t="s">
        <v>10416</v>
      </c>
      <c r="K2132" s="1" t="s">
        <v>10417</v>
      </c>
      <c r="L2132" s="1">
        <v>180.0</v>
      </c>
      <c r="M2132" s="1" t="s">
        <v>35</v>
      </c>
      <c r="N2132" s="1" t="s">
        <v>36</v>
      </c>
      <c r="O2132" s="1" t="s">
        <v>628</v>
      </c>
      <c r="P2132" s="1">
        <v>2.0E7</v>
      </c>
      <c r="Q2132" s="1">
        <v>2014.0</v>
      </c>
      <c r="R2132" s="1">
        <v>1000.0</v>
      </c>
      <c r="S2132" s="1">
        <v>969.0</v>
      </c>
      <c r="T2132" s="1">
        <v>745.0</v>
      </c>
      <c r="U2132" s="1">
        <v>3979.0</v>
      </c>
      <c r="V2132" s="1">
        <v>78.0</v>
      </c>
      <c r="W2132" s="1">
        <v>0.0</v>
      </c>
      <c r="X2132" s="1">
        <v>0.0</v>
      </c>
      <c r="Y2132" s="1">
        <v>2.35</v>
      </c>
      <c r="Z2132" s="1">
        <v>7.0</v>
      </c>
    </row>
    <row r="2133" ht="14.25" customHeight="1">
      <c r="A2133" s="1" t="s">
        <v>26</v>
      </c>
      <c r="B2133" s="1" t="s">
        <v>10418</v>
      </c>
      <c r="C2133" s="1" t="s">
        <v>10419</v>
      </c>
      <c r="D2133" s="1">
        <v>4234040.0</v>
      </c>
      <c r="E2133" s="1" t="s">
        <v>1474</v>
      </c>
      <c r="F2133" s="1" t="s">
        <v>10420</v>
      </c>
      <c r="G2133" s="1" t="s">
        <v>10421</v>
      </c>
      <c r="H2133" s="1" t="s">
        <v>10422</v>
      </c>
      <c r="I2133" s="1">
        <v>14301.0</v>
      </c>
      <c r="J2133" s="1" t="s">
        <v>10423</v>
      </c>
      <c r="K2133" s="1" t="s">
        <v>10424</v>
      </c>
      <c r="L2133" s="1">
        <v>45.0</v>
      </c>
      <c r="M2133" s="1" t="s">
        <v>35</v>
      </c>
      <c r="N2133" s="1" t="s">
        <v>36</v>
      </c>
      <c r="O2133" s="1" t="s">
        <v>37</v>
      </c>
      <c r="P2133" s="1">
        <v>2.0E7</v>
      </c>
      <c r="Q2133" s="1">
        <v>2008.0</v>
      </c>
      <c r="R2133" s="1">
        <v>20.0</v>
      </c>
      <c r="S2133" s="1">
        <v>18.0</v>
      </c>
      <c r="T2133" s="1">
        <v>9.0</v>
      </c>
      <c r="U2133" s="1">
        <v>64.0</v>
      </c>
      <c r="V2133" s="1">
        <v>18.0</v>
      </c>
      <c r="W2133" s="1">
        <v>0.0</v>
      </c>
      <c r="X2133" s="1">
        <v>0.0</v>
      </c>
      <c r="Y2133" s="1">
        <v>2.35</v>
      </c>
      <c r="Z2133" s="1">
        <v>7.0</v>
      </c>
    </row>
    <row r="2134" ht="14.25" customHeight="1">
      <c r="A2134" s="1" t="s">
        <v>710</v>
      </c>
      <c r="B2134" s="1" t="s">
        <v>10425</v>
      </c>
      <c r="C2134" s="1" t="s">
        <v>10426</v>
      </c>
      <c r="D2134" s="1">
        <v>4001121.0</v>
      </c>
      <c r="E2134" s="1" t="s">
        <v>4075</v>
      </c>
      <c r="F2134" s="1" t="s">
        <v>59</v>
      </c>
      <c r="G2134" s="1" t="s">
        <v>450</v>
      </c>
      <c r="H2134" s="1" t="s">
        <v>10427</v>
      </c>
      <c r="I2134" s="1">
        <v>48346.0</v>
      </c>
      <c r="J2134" s="1" t="s">
        <v>10428</v>
      </c>
      <c r="K2134" s="1" t="s">
        <v>10429</v>
      </c>
      <c r="L2134" s="1">
        <v>230.0</v>
      </c>
      <c r="M2134" s="1" t="s">
        <v>35</v>
      </c>
      <c r="N2134" s="1" t="s">
        <v>36</v>
      </c>
      <c r="O2134" s="1" t="s">
        <v>628</v>
      </c>
      <c r="P2134" s="1">
        <v>2.0E7</v>
      </c>
      <c r="Q2134" s="1">
        <v>2007.0</v>
      </c>
      <c r="R2134" s="1">
        <v>23000.0</v>
      </c>
      <c r="S2134" s="1">
        <v>13000.0</v>
      </c>
      <c r="T2134" s="1">
        <v>228.0</v>
      </c>
      <c r="U2134" s="1">
        <v>36398.0</v>
      </c>
      <c r="V2134" s="1">
        <v>162.0</v>
      </c>
      <c r="W2134" s="1">
        <v>0.0</v>
      </c>
      <c r="X2134" s="1">
        <v>0.0</v>
      </c>
      <c r="Y2134" s="1">
        <v>2.35</v>
      </c>
      <c r="Z2134" s="1">
        <v>7.0</v>
      </c>
    </row>
    <row r="2135" ht="14.25" customHeight="1">
      <c r="A2135" s="1" t="s">
        <v>26</v>
      </c>
      <c r="B2135" s="1" t="s">
        <v>10430</v>
      </c>
      <c r="C2135" s="1" t="s">
        <v>10431</v>
      </c>
      <c r="D2135" s="1">
        <v>3749061.0</v>
      </c>
      <c r="E2135" s="1" t="s">
        <v>57</v>
      </c>
      <c r="F2135" s="1" t="s">
        <v>105</v>
      </c>
      <c r="G2135" s="1" t="s">
        <v>941</v>
      </c>
      <c r="H2135" s="1" t="s">
        <v>9016</v>
      </c>
      <c r="I2135" s="1">
        <v>28629.0</v>
      </c>
      <c r="J2135" s="1" t="s">
        <v>10432</v>
      </c>
      <c r="K2135" s="1" t="s">
        <v>10433</v>
      </c>
      <c r="L2135" s="1">
        <v>113.0</v>
      </c>
      <c r="M2135" s="1" t="s">
        <v>35</v>
      </c>
      <c r="N2135" s="1" t="s">
        <v>36</v>
      </c>
      <c r="O2135" s="1" t="s">
        <v>37</v>
      </c>
      <c r="P2135" s="1">
        <v>2.0E7</v>
      </c>
      <c r="Q2135" s="1">
        <v>2012.0</v>
      </c>
      <c r="R2135" s="1">
        <v>15000.0</v>
      </c>
      <c r="S2135" s="1">
        <v>13000.0</v>
      </c>
      <c r="T2135" s="1">
        <v>619.0</v>
      </c>
      <c r="U2135" s="1">
        <v>30134.0</v>
      </c>
      <c r="V2135" s="1">
        <v>19.0</v>
      </c>
      <c r="W2135" s="1">
        <v>0.0</v>
      </c>
      <c r="X2135" s="1">
        <v>3.0</v>
      </c>
      <c r="Y2135" s="1">
        <v>2.35</v>
      </c>
      <c r="Z2135" s="1">
        <v>4.9</v>
      </c>
    </row>
    <row r="2136" ht="14.25" customHeight="1">
      <c r="A2136" s="1" t="s">
        <v>26</v>
      </c>
      <c r="B2136" s="1" t="s">
        <v>7685</v>
      </c>
      <c r="C2136" s="1" t="s">
        <v>10434</v>
      </c>
      <c r="D2136" s="1">
        <v>3519627.0</v>
      </c>
      <c r="E2136" s="1" t="s">
        <v>10435</v>
      </c>
      <c r="F2136" s="1" t="s">
        <v>9584</v>
      </c>
      <c r="G2136" s="1" t="s">
        <v>10112</v>
      </c>
      <c r="H2136" s="1" t="s">
        <v>10436</v>
      </c>
      <c r="I2136" s="1">
        <v>41737.0</v>
      </c>
      <c r="J2136" s="1" t="s">
        <v>10437</v>
      </c>
      <c r="K2136" s="1" t="s">
        <v>10438</v>
      </c>
      <c r="L2136" s="1">
        <v>105.0</v>
      </c>
      <c r="M2136" s="1" t="s">
        <v>35</v>
      </c>
      <c r="N2136" s="1" t="s">
        <v>36</v>
      </c>
      <c r="O2136" s="1" t="s">
        <v>37</v>
      </c>
      <c r="P2136" s="1">
        <v>2.0E7</v>
      </c>
      <c r="Q2136" s="1">
        <v>2008.0</v>
      </c>
      <c r="R2136" s="1">
        <v>975.0</v>
      </c>
      <c r="S2136" s="1">
        <v>877.0</v>
      </c>
      <c r="T2136" s="1">
        <v>446.0</v>
      </c>
      <c r="U2136" s="1">
        <v>3014.0</v>
      </c>
      <c r="V2136" s="1">
        <v>0.0</v>
      </c>
      <c r="W2136" s="1">
        <v>0.0</v>
      </c>
      <c r="X2136" s="1">
        <v>4.0</v>
      </c>
      <c r="Y2136" s="1">
        <v>2.35</v>
      </c>
      <c r="Z2136" s="1">
        <v>6.9</v>
      </c>
    </row>
    <row r="2137" ht="14.25" customHeight="1">
      <c r="A2137" s="1" t="s">
        <v>26</v>
      </c>
      <c r="B2137" s="1" t="s">
        <v>10439</v>
      </c>
      <c r="C2137" s="1" t="s">
        <v>10440</v>
      </c>
      <c r="D2137" s="1">
        <v>3081925.0</v>
      </c>
      <c r="E2137" s="1" t="s">
        <v>1359</v>
      </c>
      <c r="F2137" s="1" t="s">
        <v>662</v>
      </c>
      <c r="G2137" s="1" t="s">
        <v>2510</v>
      </c>
      <c r="H2137" s="1" t="s">
        <v>67</v>
      </c>
      <c r="I2137" s="1">
        <v>55842.0</v>
      </c>
      <c r="J2137" s="1" t="s">
        <v>10441</v>
      </c>
      <c r="K2137" s="1" t="s">
        <v>10442</v>
      </c>
      <c r="L2137" s="1">
        <v>274.0</v>
      </c>
      <c r="M2137" s="1" t="s">
        <v>35</v>
      </c>
      <c r="N2137" s="1" t="s">
        <v>36</v>
      </c>
      <c r="O2137" s="1" t="s">
        <v>628</v>
      </c>
      <c r="P2137" s="1">
        <v>2.1E7</v>
      </c>
      <c r="Q2137" s="1">
        <v>2008.0</v>
      </c>
      <c r="R2137" s="1">
        <v>22000.0</v>
      </c>
      <c r="S2137" s="1">
        <v>1000.0</v>
      </c>
      <c r="T2137" s="1">
        <v>631.0</v>
      </c>
      <c r="U2137" s="1">
        <v>24732.0</v>
      </c>
      <c r="V2137" s="1">
        <v>0.0</v>
      </c>
      <c r="W2137" s="1">
        <v>13000.0</v>
      </c>
      <c r="X2137" s="1">
        <v>0.0</v>
      </c>
      <c r="Y2137" s="1">
        <v>2.35</v>
      </c>
      <c r="Z2137" s="1">
        <v>7.5</v>
      </c>
    </row>
    <row r="2138" ht="14.25" customHeight="1">
      <c r="A2138" s="1" t="s">
        <v>26</v>
      </c>
      <c r="B2138" s="1" t="s">
        <v>7274</v>
      </c>
      <c r="C2138" s="1" t="s">
        <v>10443</v>
      </c>
      <c r="D2138" s="1">
        <v>2298191.0</v>
      </c>
      <c r="E2138" s="1" t="s">
        <v>10444</v>
      </c>
      <c r="F2138" s="1" t="s">
        <v>3319</v>
      </c>
      <c r="G2138" s="1" t="s">
        <v>768</v>
      </c>
      <c r="H2138" s="1" t="s">
        <v>1017</v>
      </c>
      <c r="I2138" s="1">
        <v>221552.0</v>
      </c>
      <c r="J2138" s="1" t="s">
        <v>10445</v>
      </c>
      <c r="K2138" s="1" t="s">
        <v>10446</v>
      </c>
      <c r="L2138" s="1">
        <v>570.0</v>
      </c>
      <c r="M2138" s="1" t="s">
        <v>7281</v>
      </c>
      <c r="N2138" s="1" t="s">
        <v>2821</v>
      </c>
      <c r="O2138" s="1" t="s">
        <v>37</v>
      </c>
      <c r="P2138" s="1">
        <v>2.4E9</v>
      </c>
      <c r="Q2138" s="1">
        <v>1997.0</v>
      </c>
      <c r="R2138" s="1">
        <v>893.0</v>
      </c>
      <c r="S2138" s="1">
        <v>851.0</v>
      </c>
      <c r="T2138" s="1">
        <v>745.0</v>
      </c>
      <c r="U2138" s="1">
        <v>2710.0</v>
      </c>
      <c r="V2138" s="1">
        <v>6000.0</v>
      </c>
      <c r="W2138" s="1">
        <v>11000.0</v>
      </c>
      <c r="X2138" s="1">
        <v>0.0</v>
      </c>
      <c r="Y2138" s="1">
        <v>1.85</v>
      </c>
      <c r="Z2138" s="1">
        <v>8.4</v>
      </c>
    </row>
    <row r="2139" ht="14.25" customHeight="1">
      <c r="A2139" s="1" t="s">
        <v>710</v>
      </c>
      <c r="B2139" s="1" t="s">
        <v>10447</v>
      </c>
      <c r="C2139" s="1" t="s">
        <v>10448</v>
      </c>
      <c r="D2139" s="1">
        <v>2353728.0</v>
      </c>
      <c r="E2139" s="1" t="s">
        <v>10449</v>
      </c>
      <c r="F2139" s="1" t="s">
        <v>6349</v>
      </c>
      <c r="G2139" s="1" t="s">
        <v>3036</v>
      </c>
      <c r="H2139" s="1" t="s">
        <v>5003</v>
      </c>
      <c r="I2139" s="1">
        <v>4293.0</v>
      </c>
      <c r="J2139" s="1" t="s">
        <v>10450</v>
      </c>
      <c r="K2139" s="1" t="s">
        <v>10451</v>
      </c>
      <c r="L2139" s="1">
        <v>53.0</v>
      </c>
      <c r="M2139" s="1" t="s">
        <v>2752</v>
      </c>
      <c r="N2139" s="1" t="s">
        <v>1832</v>
      </c>
      <c r="O2139" s="1" t="s">
        <v>37</v>
      </c>
      <c r="P2139" s="1">
        <v>2.0E7</v>
      </c>
      <c r="Q2139" s="1">
        <v>2003.0</v>
      </c>
      <c r="R2139" s="1">
        <v>572.0</v>
      </c>
      <c r="S2139" s="1">
        <v>548.0</v>
      </c>
      <c r="T2139" s="1">
        <v>413.0</v>
      </c>
      <c r="U2139" s="1">
        <v>1776.0</v>
      </c>
      <c r="V2139" s="1">
        <v>22.0</v>
      </c>
      <c r="W2139" s="1">
        <v>235.0</v>
      </c>
      <c r="X2139" s="1">
        <v>5.0</v>
      </c>
      <c r="Y2139" s="1">
        <v>2.35</v>
      </c>
      <c r="Z2139" s="1">
        <v>6.9</v>
      </c>
    </row>
    <row r="2140" ht="14.25" customHeight="1">
      <c r="A2140" s="1" t="s">
        <v>26</v>
      </c>
      <c r="B2140" s="1" t="s">
        <v>10452</v>
      </c>
      <c r="C2140" s="1" t="s">
        <v>10453</v>
      </c>
      <c r="D2140" s="1">
        <v>2000000.0</v>
      </c>
      <c r="E2140" s="1" t="s">
        <v>10454</v>
      </c>
      <c r="F2140" s="1" t="s">
        <v>10168</v>
      </c>
      <c r="G2140" s="1" t="s">
        <v>10455</v>
      </c>
      <c r="H2140" s="1" t="s">
        <v>10456</v>
      </c>
      <c r="I2140" s="1">
        <v>2998.0</v>
      </c>
      <c r="J2140" s="1" t="s">
        <v>10457</v>
      </c>
      <c r="K2140" s="1" t="s">
        <v>10458</v>
      </c>
      <c r="L2140" s="1">
        <v>74.0</v>
      </c>
      <c r="M2140" s="1" t="s">
        <v>35</v>
      </c>
      <c r="N2140" s="1" t="s">
        <v>36</v>
      </c>
      <c r="O2140" s="1" t="s">
        <v>87</v>
      </c>
      <c r="P2140" s="1">
        <v>2.0E7</v>
      </c>
      <c r="Q2140" s="1">
        <v>1980.0</v>
      </c>
      <c r="R2140" s="1">
        <v>801.0</v>
      </c>
      <c r="S2140" s="1">
        <v>174.0</v>
      </c>
      <c r="T2140" s="1">
        <v>161.0</v>
      </c>
      <c r="U2140" s="1">
        <v>1462.0</v>
      </c>
      <c r="V2140" s="1">
        <v>42.0</v>
      </c>
      <c r="W2140" s="1">
        <v>1000.0</v>
      </c>
      <c r="X2140" s="1">
        <v>0.0</v>
      </c>
      <c r="Y2140" s="1">
        <v>2.35</v>
      </c>
      <c r="Z2140" s="1">
        <v>4.5</v>
      </c>
    </row>
    <row r="2141" ht="14.25" customHeight="1">
      <c r="A2141" s="1" t="s">
        <v>26</v>
      </c>
      <c r="B2141" s="1" t="s">
        <v>9185</v>
      </c>
      <c r="C2141" s="1" t="s">
        <v>10459</v>
      </c>
      <c r="D2141" s="1">
        <v>1900725.0</v>
      </c>
      <c r="E2141" s="1" t="s">
        <v>10460</v>
      </c>
      <c r="F2141" s="1" t="s">
        <v>384</v>
      </c>
      <c r="G2141" s="1" t="s">
        <v>510</v>
      </c>
      <c r="H2141" s="1" t="s">
        <v>2846</v>
      </c>
      <c r="I2141" s="1">
        <v>43205.0</v>
      </c>
      <c r="J2141" s="1" t="s">
        <v>10461</v>
      </c>
      <c r="K2141" s="1" t="s">
        <v>10462</v>
      </c>
      <c r="L2141" s="1">
        <v>232.0</v>
      </c>
      <c r="M2141" s="1" t="s">
        <v>35</v>
      </c>
      <c r="N2141" s="1" t="s">
        <v>362</v>
      </c>
      <c r="O2141" s="1" t="s">
        <v>628</v>
      </c>
      <c r="P2141" s="1">
        <v>2000000.0</v>
      </c>
      <c r="Q2141" s="1">
        <v>2005.0</v>
      </c>
      <c r="R2141" s="1">
        <v>1000.0</v>
      </c>
      <c r="S2141" s="1">
        <v>509.0</v>
      </c>
      <c r="T2141" s="1">
        <v>430.0</v>
      </c>
      <c r="U2141" s="1">
        <v>2129.0</v>
      </c>
      <c r="V2141" s="1">
        <v>214.0</v>
      </c>
      <c r="W2141" s="1">
        <v>0.0</v>
      </c>
      <c r="X2141" s="1">
        <v>1.0</v>
      </c>
      <c r="Y2141" s="1">
        <v>2.35</v>
      </c>
      <c r="Z2141" s="1">
        <v>7.4</v>
      </c>
    </row>
    <row r="2142" ht="14.25" customHeight="1">
      <c r="A2142" s="1" t="s">
        <v>26</v>
      </c>
      <c r="B2142" s="1" t="s">
        <v>10463</v>
      </c>
      <c r="C2142" s="1" t="s">
        <v>10464</v>
      </c>
      <c r="D2142" s="1">
        <v>2246000.0</v>
      </c>
      <c r="E2142" s="1" t="s">
        <v>1557</v>
      </c>
      <c r="F2142" s="1" t="s">
        <v>10465</v>
      </c>
      <c r="G2142" s="1" t="s">
        <v>3498</v>
      </c>
      <c r="H2142" s="1" t="s">
        <v>10466</v>
      </c>
      <c r="I2142" s="1">
        <v>2302.0</v>
      </c>
      <c r="J2142" s="1" t="s">
        <v>10467</v>
      </c>
      <c r="K2142" s="1" t="s">
        <v>10468</v>
      </c>
      <c r="L2142" s="1">
        <v>20.0</v>
      </c>
      <c r="M2142" s="1" t="s">
        <v>35</v>
      </c>
      <c r="N2142" s="1" t="s">
        <v>36</v>
      </c>
      <c r="O2142" s="1" t="s">
        <v>87</v>
      </c>
      <c r="P2142" s="1">
        <v>2.0E7</v>
      </c>
      <c r="Q2142" s="1">
        <v>2015.0</v>
      </c>
      <c r="R2142" s="1">
        <v>2000.0</v>
      </c>
      <c r="S2142" s="1">
        <v>769.0</v>
      </c>
      <c r="T2142" s="1">
        <v>400.0</v>
      </c>
      <c r="U2142" s="1">
        <v>3384.0</v>
      </c>
      <c r="V2142" s="1">
        <v>14.0</v>
      </c>
      <c r="W2142" s="1">
        <v>0.0</v>
      </c>
      <c r="X2142" s="1">
        <v>4.0</v>
      </c>
      <c r="Y2142" s="1">
        <v>2.35</v>
      </c>
      <c r="Z2142" s="1">
        <v>7.0</v>
      </c>
    </row>
    <row r="2143" ht="14.25" customHeight="1">
      <c r="A2143" s="1" t="s">
        <v>26</v>
      </c>
      <c r="B2143" s="1" t="s">
        <v>9165</v>
      </c>
      <c r="C2143" s="1" t="s">
        <v>10469</v>
      </c>
      <c r="D2143" s="1">
        <v>1646664.0</v>
      </c>
      <c r="E2143" s="1" t="s">
        <v>7157</v>
      </c>
      <c r="F2143" s="1" t="s">
        <v>10470</v>
      </c>
      <c r="G2143" s="1" t="s">
        <v>2298</v>
      </c>
      <c r="H2143" s="1" t="s">
        <v>8609</v>
      </c>
      <c r="I2143" s="1">
        <v>4518.0</v>
      </c>
      <c r="J2143" s="1" t="s">
        <v>10471</v>
      </c>
      <c r="K2143" s="1" t="s">
        <v>10472</v>
      </c>
      <c r="L2143" s="1">
        <v>66.0</v>
      </c>
      <c r="M2143" s="1" t="s">
        <v>35</v>
      </c>
      <c r="N2143" s="1" t="s">
        <v>36</v>
      </c>
      <c r="O2143" s="1" t="s">
        <v>628</v>
      </c>
      <c r="P2143" s="1">
        <v>2.0E7</v>
      </c>
      <c r="Q2143" s="1">
        <v>2003.0</v>
      </c>
      <c r="R2143" s="1">
        <v>836.0</v>
      </c>
      <c r="S2143" s="1">
        <v>624.0</v>
      </c>
      <c r="T2143" s="1">
        <v>587.0</v>
      </c>
      <c r="U2143" s="1">
        <v>2467.0</v>
      </c>
      <c r="V2143" s="1">
        <v>121.0</v>
      </c>
      <c r="W2143" s="1">
        <v>241.0</v>
      </c>
      <c r="X2143" s="1">
        <v>2.0</v>
      </c>
      <c r="Y2143" s="1">
        <v>1.85</v>
      </c>
      <c r="Z2143" s="1">
        <v>2.8</v>
      </c>
    </row>
    <row r="2144" ht="14.25" customHeight="1">
      <c r="A2144" s="1" t="s">
        <v>26</v>
      </c>
      <c r="B2144" s="1" t="s">
        <v>7965</v>
      </c>
      <c r="C2144" s="1" t="s">
        <v>10473</v>
      </c>
      <c r="D2144" s="1">
        <v>1190018.0</v>
      </c>
      <c r="E2144" s="1" t="s">
        <v>1335</v>
      </c>
      <c r="F2144" s="1" t="s">
        <v>59</v>
      </c>
      <c r="G2144" s="1" t="s">
        <v>2783</v>
      </c>
      <c r="H2144" s="1" t="s">
        <v>3006</v>
      </c>
      <c r="I2144" s="1">
        <v>261317.0</v>
      </c>
      <c r="J2144" s="1" t="s">
        <v>10474</v>
      </c>
      <c r="K2144" s="1" t="s">
        <v>10475</v>
      </c>
      <c r="L2144" s="1">
        <v>1137.0</v>
      </c>
      <c r="M2144" s="1" t="s">
        <v>35</v>
      </c>
      <c r="N2144" s="1" t="s">
        <v>36</v>
      </c>
      <c r="O2144" s="1" t="s">
        <v>628</v>
      </c>
      <c r="P2144" s="1">
        <v>2.0E7</v>
      </c>
      <c r="Q2144" s="1">
        <v>2002.0</v>
      </c>
      <c r="R2144" s="1">
        <v>23000.0</v>
      </c>
      <c r="S2144" s="1">
        <v>876.0</v>
      </c>
      <c r="T2144" s="1">
        <v>722.0</v>
      </c>
      <c r="U2144" s="1">
        <v>25088.0</v>
      </c>
      <c r="V2144" s="1">
        <v>110.0</v>
      </c>
      <c r="W2144" s="1">
        <v>20000.0</v>
      </c>
      <c r="X2144" s="1">
        <v>2.0</v>
      </c>
      <c r="Y2144" s="1">
        <v>2.35</v>
      </c>
      <c r="Z2144" s="1">
        <v>7.5</v>
      </c>
    </row>
    <row r="2145" ht="14.25" customHeight="1">
      <c r="A2145" s="1" t="s">
        <v>26</v>
      </c>
      <c r="B2145" s="1" t="s">
        <v>1446</v>
      </c>
      <c r="C2145" s="1" t="s">
        <v>10476</v>
      </c>
      <c r="D2145" s="1">
        <v>1027749.0</v>
      </c>
      <c r="E2145" s="1" t="s">
        <v>3225</v>
      </c>
      <c r="F2145" s="1" t="s">
        <v>3201</v>
      </c>
      <c r="G2145" s="1" t="s">
        <v>10477</v>
      </c>
      <c r="H2145" s="1" t="s">
        <v>10478</v>
      </c>
      <c r="I2145" s="1">
        <v>8087.0</v>
      </c>
      <c r="J2145" s="1" t="s">
        <v>10479</v>
      </c>
      <c r="K2145" s="1" t="s">
        <v>10480</v>
      </c>
      <c r="L2145" s="1">
        <v>33.0</v>
      </c>
      <c r="M2145" s="1" t="s">
        <v>35</v>
      </c>
      <c r="N2145" s="1" t="s">
        <v>362</v>
      </c>
      <c r="O2145" s="1" t="s">
        <v>628</v>
      </c>
      <c r="P2145" s="1">
        <v>4.0E7</v>
      </c>
      <c r="Q2145" s="1">
        <v>2008.0</v>
      </c>
      <c r="R2145" s="1">
        <v>991.0</v>
      </c>
      <c r="S2145" s="1">
        <v>10.0</v>
      </c>
      <c r="T2145" s="1">
        <v>2.0</v>
      </c>
      <c r="U2145" s="1">
        <v>1003.0</v>
      </c>
      <c r="V2145" s="1">
        <v>55.0</v>
      </c>
      <c r="W2145" s="1">
        <v>1000.0</v>
      </c>
      <c r="X2145" s="1">
        <v>4.0</v>
      </c>
      <c r="Y2145" s="1">
        <v>2.35</v>
      </c>
      <c r="Z2145" s="1">
        <v>7.1</v>
      </c>
    </row>
    <row r="2146" ht="14.25" customHeight="1">
      <c r="A2146" s="1" t="s">
        <v>26</v>
      </c>
      <c r="B2146" s="1" t="s">
        <v>8337</v>
      </c>
      <c r="C2146" s="1" t="s">
        <v>10481</v>
      </c>
      <c r="D2146" s="1">
        <v>882710.0</v>
      </c>
      <c r="E2146" s="1" t="s">
        <v>4987</v>
      </c>
      <c r="F2146" s="1" t="s">
        <v>741</v>
      </c>
      <c r="G2146" s="1" t="s">
        <v>7260</v>
      </c>
      <c r="H2146" s="1" t="s">
        <v>5286</v>
      </c>
      <c r="I2146" s="1">
        <v>16215.0</v>
      </c>
      <c r="J2146" s="1" t="s">
        <v>10482</v>
      </c>
      <c r="K2146" s="1" t="s">
        <v>10483</v>
      </c>
      <c r="L2146" s="1">
        <v>138.0</v>
      </c>
      <c r="M2146" s="1" t="s">
        <v>35</v>
      </c>
      <c r="N2146" s="1" t="s">
        <v>36</v>
      </c>
      <c r="O2146" s="1" t="s">
        <v>628</v>
      </c>
      <c r="P2146" s="1">
        <v>2.4E7</v>
      </c>
      <c r="Q2146" s="1">
        <v>2000.0</v>
      </c>
      <c r="R2146" s="1">
        <v>9000.0</v>
      </c>
      <c r="S2146" s="1">
        <v>1000.0</v>
      </c>
      <c r="T2146" s="1">
        <v>977.0</v>
      </c>
      <c r="U2146" s="1">
        <v>11433.0</v>
      </c>
      <c r="V2146" s="1">
        <v>115.0</v>
      </c>
      <c r="W2146" s="1">
        <v>401.0</v>
      </c>
      <c r="X2146" s="1">
        <v>2.0</v>
      </c>
      <c r="Y2146" s="1">
        <v>2.35</v>
      </c>
      <c r="Z2146" s="1">
        <v>6.4</v>
      </c>
    </row>
    <row r="2147" ht="14.25" customHeight="1">
      <c r="A2147" s="1" t="s">
        <v>26</v>
      </c>
      <c r="B2147" s="1" t="s">
        <v>550</v>
      </c>
      <c r="C2147" s="1" t="s">
        <v>10484</v>
      </c>
      <c r="D2147" s="1">
        <v>531009.0</v>
      </c>
      <c r="E2147" s="1" t="s">
        <v>206</v>
      </c>
      <c r="F2147" s="1" t="s">
        <v>335</v>
      </c>
      <c r="G2147" s="1" t="s">
        <v>550</v>
      </c>
      <c r="H2147" s="1" t="s">
        <v>10485</v>
      </c>
      <c r="I2147" s="1">
        <v>7976.0</v>
      </c>
      <c r="J2147" s="1" t="s">
        <v>10486</v>
      </c>
      <c r="K2147" s="1" t="s">
        <v>10487</v>
      </c>
      <c r="L2147" s="1">
        <v>61.0</v>
      </c>
      <c r="M2147" s="1" t="s">
        <v>35</v>
      </c>
      <c r="N2147" s="1" t="s">
        <v>36</v>
      </c>
      <c r="O2147" s="1" t="s">
        <v>628</v>
      </c>
      <c r="P2147" s="1">
        <v>1.0E7</v>
      </c>
      <c r="Q2147" s="1">
        <v>2015.0</v>
      </c>
      <c r="R2147" s="1">
        <v>11000.0</v>
      </c>
      <c r="S2147" s="1">
        <v>11000.0</v>
      </c>
      <c r="T2147" s="1">
        <v>188.0</v>
      </c>
      <c r="U2147" s="1">
        <v>22319.0</v>
      </c>
      <c r="V2147" s="1">
        <v>11000.0</v>
      </c>
      <c r="W2147" s="1">
        <v>0.0</v>
      </c>
      <c r="X2147" s="1">
        <v>0.0</v>
      </c>
      <c r="Y2147" s="1">
        <v>2.35</v>
      </c>
      <c r="Z2147" s="1">
        <v>5.3</v>
      </c>
    </row>
    <row r="2148" ht="14.25" customHeight="1">
      <c r="A2148" s="1" t="s">
        <v>26</v>
      </c>
      <c r="B2148" s="1" t="s">
        <v>10488</v>
      </c>
      <c r="C2148" s="1" t="s">
        <v>10489</v>
      </c>
      <c r="D2148" s="1">
        <v>410388.0</v>
      </c>
      <c r="E2148" s="1" t="s">
        <v>10490</v>
      </c>
      <c r="F2148" s="1" t="s">
        <v>6802</v>
      </c>
      <c r="G2148" s="1" t="s">
        <v>495</v>
      </c>
      <c r="H2148" s="1" t="s">
        <v>10491</v>
      </c>
      <c r="I2148" s="1">
        <v>13727.0</v>
      </c>
      <c r="J2148" s="1" t="s">
        <v>10492</v>
      </c>
      <c r="K2148" s="1" t="s">
        <v>10493</v>
      </c>
      <c r="L2148" s="1">
        <v>79.0</v>
      </c>
      <c r="M2148" s="1" t="s">
        <v>7281</v>
      </c>
      <c r="N2148" s="1" t="s">
        <v>2821</v>
      </c>
      <c r="O2148" s="1" t="s">
        <v>37</v>
      </c>
      <c r="P2148" s="1">
        <v>2.127519898E9</v>
      </c>
      <c r="Q2148" s="1">
        <v>2004.0</v>
      </c>
      <c r="R2148" s="1">
        <v>488.0</v>
      </c>
      <c r="S2148" s="1">
        <v>336.0</v>
      </c>
      <c r="T2148" s="1">
        <v>101.0</v>
      </c>
      <c r="U2148" s="1">
        <v>991.0</v>
      </c>
      <c r="V2148" s="1">
        <v>78.0</v>
      </c>
      <c r="W2148" s="1">
        <v>973.0</v>
      </c>
      <c r="X2148" s="1">
        <v>1.0</v>
      </c>
      <c r="Y2148" s="1">
        <v>1.85</v>
      </c>
      <c r="Z2148" s="1">
        <v>6.9</v>
      </c>
    </row>
    <row r="2149" ht="14.25" customHeight="1">
      <c r="A2149" s="1" t="s">
        <v>26</v>
      </c>
      <c r="B2149" s="1" t="s">
        <v>10494</v>
      </c>
      <c r="C2149" s="1" t="s">
        <v>10495</v>
      </c>
      <c r="D2149" s="1">
        <v>375474.0</v>
      </c>
      <c r="E2149" s="1" t="s">
        <v>2213</v>
      </c>
      <c r="F2149" s="1" t="s">
        <v>616</v>
      </c>
      <c r="G2149" s="1" t="s">
        <v>5557</v>
      </c>
      <c r="H2149" s="1" t="s">
        <v>10496</v>
      </c>
      <c r="I2149" s="1">
        <v>2613.0</v>
      </c>
      <c r="J2149" s="1" t="s">
        <v>10497</v>
      </c>
      <c r="K2149" s="1" t="s">
        <v>10498</v>
      </c>
      <c r="L2149" s="1">
        <v>46.0</v>
      </c>
      <c r="M2149" s="1" t="s">
        <v>35</v>
      </c>
      <c r="N2149" s="1" t="s">
        <v>36</v>
      </c>
      <c r="O2149" s="1" t="s">
        <v>87</v>
      </c>
      <c r="P2149" s="1">
        <v>2.0E7</v>
      </c>
      <c r="Q2149" s="1">
        <v>2005.0</v>
      </c>
      <c r="R2149" s="1">
        <v>18000.0</v>
      </c>
      <c r="S2149" s="1">
        <v>723.0</v>
      </c>
      <c r="T2149" s="1">
        <v>407.0</v>
      </c>
      <c r="U2149" s="1">
        <v>20354.0</v>
      </c>
      <c r="V2149" s="1">
        <v>25.0</v>
      </c>
      <c r="W2149" s="1">
        <v>445.0</v>
      </c>
      <c r="X2149" s="1">
        <v>0.0</v>
      </c>
      <c r="Y2149" s="1">
        <v>2.35</v>
      </c>
      <c r="Z2149" s="1">
        <v>6.2</v>
      </c>
    </row>
    <row r="2150" ht="14.25" customHeight="1">
      <c r="A2150" s="1" t="s">
        <v>26</v>
      </c>
      <c r="B2150" s="1" t="s">
        <v>513</v>
      </c>
      <c r="C2150" s="1" t="s">
        <v>10499</v>
      </c>
      <c r="D2150" s="1">
        <v>305070.0</v>
      </c>
      <c r="E2150" s="1" t="s">
        <v>2758</v>
      </c>
      <c r="F2150" s="1" t="s">
        <v>10500</v>
      </c>
      <c r="G2150" s="1" t="s">
        <v>2451</v>
      </c>
      <c r="H2150" s="1" t="s">
        <v>3288</v>
      </c>
      <c r="I2150" s="1">
        <v>3843.0</v>
      </c>
      <c r="J2150" s="1" t="s">
        <v>10501</v>
      </c>
      <c r="K2150" s="1" t="s">
        <v>10502</v>
      </c>
      <c r="L2150" s="1">
        <v>25.0</v>
      </c>
      <c r="M2150" s="1" t="s">
        <v>35</v>
      </c>
      <c r="N2150" s="1" t="s">
        <v>36</v>
      </c>
      <c r="O2150" s="1" t="s">
        <v>628</v>
      </c>
      <c r="P2150" s="1">
        <v>2.0E7</v>
      </c>
      <c r="Q2150" s="1">
        <v>1994.0</v>
      </c>
      <c r="R2150" s="1">
        <v>699.0</v>
      </c>
      <c r="S2150" s="1">
        <v>533.0</v>
      </c>
      <c r="T2150" s="1">
        <v>324.0</v>
      </c>
      <c r="U2150" s="1">
        <v>1592.0</v>
      </c>
      <c r="V2150" s="1">
        <v>58.0</v>
      </c>
      <c r="W2150" s="1">
        <v>399.0</v>
      </c>
      <c r="X2150" s="1">
        <v>1.0</v>
      </c>
      <c r="Y2150" s="1">
        <v>2.35</v>
      </c>
      <c r="Z2150" s="1">
        <v>6.4</v>
      </c>
    </row>
    <row r="2151" ht="14.25" customHeight="1">
      <c r="A2151" s="1" t="s">
        <v>26</v>
      </c>
      <c r="B2151" s="1" t="s">
        <v>6900</v>
      </c>
      <c r="C2151" s="1" t="s">
        <v>10503</v>
      </c>
      <c r="D2151" s="1">
        <v>1183354.0</v>
      </c>
      <c r="E2151" s="1" t="s">
        <v>10504</v>
      </c>
      <c r="F2151" s="1" t="s">
        <v>7344</v>
      </c>
      <c r="G2151" s="1" t="s">
        <v>10505</v>
      </c>
      <c r="H2151" s="1" t="s">
        <v>5358</v>
      </c>
      <c r="I2151" s="1">
        <v>13026.0</v>
      </c>
      <c r="J2151" s="1" t="s">
        <v>10506</v>
      </c>
      <c r="K2151" s="1" t="s">
        <v>10507</v>
      </c>
      <c r="L2151" s="1">
        <v>75.0</v>
      </c>
      <c r="M2151" s="1" t="s">
        <v>35</v>
      </c>
      <c r="N2151" s="1" t="s">
        <v>36</v>
      </c>
      <c r="O2151" s="1" t="s">
        <v>37</v>
      </c>
      <c r="P2151" s="1">
        <v>2.0E7</v>
      </c>
      <c r="Q2151" s="1">
        <v>2010.0</v>
      </c>
      <c r="R2151" s="1">
        <v>403.0</v>
      </c>
      <c r="S2151" s="1">
        <v>368.0</v>
      </c>
      <c r="T2151" s="1">
        <v>311.0</v>
      </c>
      <c r="U2151" s="1">
        <v>1577.0</v>
      </c>
      <c r="V2151" s="1">
        <v>14.0</v>
      </c>
      <c r="W2151" s="1">
        <v>0.0</v>
      </c>
      <c r="X2151" s="1">
        <v>1.0</v>
      </c>
      <c r="Y2151" s="1">
        <v>2.35</v>
      </c>
      <c r="Z2151" s="1">
        <v>5.1</v>
      </c>
    </row>
    <row r="2152" ht="14.25" customHeight="1">
      <c r="A2152" s="1" t="s">
        <v>26</v>
      </c>
      <c r="B2152" s="1" t="s">
        <v>10508</v>
      </c>
      <c r="C2152" s="1" t="s">
        <v>10509</v>
      </c>
      <c r="D2152" s="1">
        <v>121972.0</v>
      </c>
      <c r="E2152" s="1" t="s">
        <v>10510</v>
      </c>
      <c r="F2152" s="1" t="s">
        <v>2292</v>
      </c>
      <c r="G2152" s="1" t="s">
        <v>2838</v>
      </c>
      <c r="H2152" s="1" t="s">
        <v>10511</v>
      </c>
      <c r="I2152" s="1">
        <v>9868.0</v>
      </c>
      <c r="J2152" s="1" t="s">
        <v>10512</v>
      </c>
      <c r="K2152" s="1" t="s">
        <v>10513</v>
      </c>
      <c r="L2152" s="1">
        <v>81.0</v>
      </c>
      <c r="M2152" s="1" t="s">
        <v>35</v>
      </c>
      <c r="N2152" s="1" t="s">
        <v>36</v>
      </c>
      <c r="O2152" s="1" t="s">
        <v>628</v>
      </c>
      <c r="P2152" s="1">
        <v>2.2E7</v>
      </c>
      <c r="Q2152" s="1">
        <v>2002.0</v>
      </c>
      <c r="R2152" s="1">
        <v>14000.0</v>
      </c>
      <c r="S2152" s="1">
        <v>506.0</v>
      </c>
      <c r="T2152" s="1">
        <v>442.0</v>
      </c>
      <c r="U2152" s="1">
        <v>15612.0</v>
      </c>
      <c r="V2152" s="1">
        <v>3.0</v>
      </c>
      <c r="W2152" s="1">
        <v>217.0</v>
      </c>
      <c r="X2152" s="1">
        <v>3.0</v>
      </c>
      <c r="Y2152" s="1">
        <v>1.85</v>
      </c>
      <c r="Z2152" s="1">
        <v>5.5</v>
      </c>
    </row>
    <row r="2153" ht="14.25" customHeight="1">
      <c r="A2153" s="1" t="s">
        <v>26</v>
      </c>
      <c r="B2153" s="1" t="s">
        <v>5519</v>
      </c>
      <c r="C2153" s="1" t="s">
        <v>10514</v>
      </c>
      <c r="D2153" s="1">
        <v>263365.0</v>
      </c>
      <c r="E2153" s="1" t="s">
        <v>2391</v>
      </c>
      <c r="F2153" s="1" t="s">
        <v>632</v>
      </c>
      <c r="G2153" s="1" t="s">
        <v>6762</v>
      </c>
      <c r="H2153" s="1" t="s">
        <v>10515</v>
      </c>
      <c r="I2153" s="1">
        <v>6147.0</v>
      </c>
      <c r="J2153" s="1" t="s">
        <v>10516</v>
      </c>
      <c r="K2153" s="1" t="s">
        <v>10517</v>
      </c>
      <c r="L2153" s="1">
        <v>36.0</v>
      </c>
      <c r="M2153" s="1" t="s">
        <v>35</v>
      </c>
      <c r="N2153" s="1" t="s">
        <v>36</v>
      </c>
      <c r="O2153" s="1" t="s">
        <v>37</v>
      </c>
      <c r="P2153" s="1">
        <v>2.0E7</v>
      </c>
      <c r="Q2153" s="1">
        <v>2010.0</v>
      </c>
      <c r="R2153" s="1">
        <v>3000.0</v>
      </c>
      <c r="S2153" s="1">
        <v>602.0</v>
      </c>
      <c r="T2153" s="1">
        <v>181.0</v>
      </c>
      <c r="U2153" s="1">
        <v>3785.0</v>
      </c>
      <c r="V2153" s="1">
        <v>278.0</v>
      </c>
      <c r="W2153" s="1">
        <v>0.0</v>
      </c>
      <c r="X2153" s="1">
        <v>2.0</v>
      </c>
      <c r="Y2153" s="1">
        <v>2.35</v>
      </c>
      <c r="Z2153" s="1">
        <v>5.4</v>
      </c>
    </row>
    <row r="2154" ht="14.25" customHeight="1">
      <c r="A2154" s="1" t="s">
        <v>26</v>
      </c>
      <c r="B2154" s="1" t="s">
        <v>9667</v>
      </c>
      <c r="C2154" s="1" t="s">
        <v>10518</v>
      </c>
      <c r="D2154" s="1">
        <v>8047690.0</v>
      </c>
      <c r="E2154" s="1" t="s">
        <v>206</v>
      </c>
      <c r="F2154" s="1" t="s">
        <v>1167</v>
      </c>
      <c r="G2154" s="1" t="s">
        <v>4467</v>
      </c>
      <c r="H2154" s="1" t="s">
        <v>10519</v>
      </c>
      <c r="I2154" s="1">
        <v>77656.0</v>
      </c>
      <c r="J2154" s="1" t="s">
        <v>10520</v>
      </c>
      <c r="K2154" s="1" t="s">
        <v>10521</v>
      </c>
      <c r="L2154" s="1">
        <v>220.0</v>
      </c>
      <c r="M2154" s="1" t="s">
        <v>1864</v>
      </c>
      <c r="N2154" s="1" t="s">
        <v>855</v>
      </c>
      <c r="O2154" s="1" t="s">
        <v>37</v>
      </c>
      <c r="P2154" s="1">
        <v>1.94E7</v>
      </c>
      <c r="Q2154" s="1">
        <v>2006.0</v>
      </c>
      <c r="R2154" s="1">
        <v>2000.0</v>
      </c>
      <c r="S2154" s="1">
        <v>594.0</v>
      </c>
      <c r="T2154" s="1">
        <v>7.0</v>
      </c>
      <c r="U2154" s="1">
        <v>2608.0</v>
      </c>
      <c r="V2154" s="1">
        <v>43.0</v>
      </c>
      <c r="W2154" s="1">
        <v>0.0</v>
      </c>
      <c r="X2154" s="1">
        <v>0.0</v>
      </c>
      <c r="Y2154" s="1">
        <v>2.35</v>
      </c>
      <c r="Z2154" s="1">
        <v>7.5</v>
      </c>
    </row>
    <row r="2155" ht="14.25" customHeight="1">
      <c r="A2155" s="1" t="s">
        <v>26</v>
      </c>
      <c r="B2155" s="1" t="s">
        <v>9612</v>
      </c>
      <c r="C2155" s="1" t="s">
        <v>10522</v>
      </c>
      <c r="D2155" s="1">
        <v>476270.0</v>
      </c>
      <c r="E2155" s="1" t="s">
        <v>8147</v>
      </c>
      <c r="F2155" s="1" t="s">
        <v>2935</v>
      </c>
      <c r="G2155" s="1" t="s">
        <v>6688</v>
      </c>
      <c r="H2155" s="1" t="s">
        <v>10523</v>
      </c>
      <c r="I2155" s="1">
        <v>29602.0</v>
      </c>
      <c r="J2155" s="1" t="s">
        <v>10524</v>
      </c>
      <c r="K2155" s="1" t="s">
        <v>10525</v>
      </c>
      <c r="L2155" s="1">
        <v>110.0</v>
      </c>
      <c r="M2155" s="1" t="s">
        <v>10526</v>
      </c>
      <c r="N2155" s="1" t="s">
        <v>730</v>
      </c>
      <c r="O2155" s="1" t="s">
        <v>628</v>
      </c>
      <c r="P2155" s="1">
        <v>2.0E7</v>
      </c>
      <c r="Q2155" s="1">
        <v>2008.0</v>
      </c>
      <c r="R2155" s="1">
        <v>486.0</v>
      </c>
      <c r="S2155" s="1">
        <v>471.0</v>
      </c>
      <c r="T2155" s="1">
        <v>155.0</v>
      </c>
      <c r="U2155" s="1">
        <v>1601.0</v>
      </c>
      <c r="V2155" s="1">
        <v>34.0</v>
      </c>
      <c r="W2155" s="1">
        <v>0.0</v>
      </c>
      <c r="X2155" s="1">
        <v>2.0</v>
      </c>
      <c r="Y2155" s="1">
        <v>1.85</v>
      </c>
      <c r="Z2155" s="1">
        <v>7.4</v>
      </c>
    </row>
    <row r="2156" ht="14.25" customHeight="1">
      <c r="A2156" s="1" t="s">
        <v>26</v>
      </c>
      <c r="B2156" s="1" t="s">
        <v>2716</v>
      </c>
      <c r="C2156" s="1" t="s">
        <v>10527</v>
      </c>
      <c r="D2156" s="1">
        <v>1.84208848E8</v>
      </c>
      <c r="E2156" s="1" t="s">
        <v>5664</v>
      </c>
      <c r="F2156" s="1" t="s">
        <v>2833</v>
      </c>
      <c r="G2156" s="1" t="s">
        <v>10528</v>
      </c>
      <c r="H2156" s="1" t="s">
        <v>3417</v>
      </c>
      <c r="I2156" s="1">
        <v>186485.0</v>
      </c>
      <c r="J2156" s="1" t="s">
        <v>10529</v>
      </c>
      <c r="K2156" s="1" t="s">
        <v>10530</v>
      </c>
      <c r="L2156" s="1">
        <v>382.0</v>
      </c>
      <c r="M2156" s="1" t="s">
        <v>35</v>
      </c>
      <c r="N2156" s="1" t="s">
        <v>36</v>
      </c>
      <c r="O2156" s="1" t="s">
        <v>37</v>
      </c>
      <c r="P2156" s="1">
        <v>2.2E7</v>
      </c>
      <c r="Q2156" s="1">
        <v>1990.0</v>
      </c>
      <c r="R2156" s="1">
        <v>933.0</v>
      </c>
      <c r="S2156" s="1">
        <v>839.0</v>
      </c>
      <c r="T2156" s="1">
        <v>232.0</v>
      </c>
      <c r="U2156" s="1">
        <v>2398.0</v>
      </c>
      <c r="V2156" s="1">
        <v>0.0</v>
      </c>
      <c r="W2156" s="1">
        <v>0.0</v>
      </c>
      <c r="X2156" s="1">
        <v>1.0</v>
      </c>
      <c r="Y2156" s="1">
        <v>2.35</v>
      </c>
      <c r="Z2156" s="1">
        <v>8.0</v>
      </c>
    </row>
    <row r="2157" ht="14.25" customHeight="1">
      <c r="A2157" s="1" t="s">
        <v>26</v>
      </c>
      <c r="B2157" s="1" t="s">
        <v>6179</v>
      </c>
      <c r="C2157" s="1" t="s">
        <v>10531</v>
      </c>
      <c r="D2157" s="1">
        <v>1.00292856E8</v>
      </c>
      <c r="E2157" s="1" t="s">
        <v>1885</v>
      </c>
      <c r="F2157" s="1" t="s">
        <v>686</v>
      </c>
      <c r="G2157" s="1" t="s">
        <v>973</v>
      </c>
      <c r="H2157" s="1" t="s">
        <v>529</v>
      </c>
      <c r="I2157" s="1">
        <v>160418.0</v>
      </c>
      <c r="J2157" s="1" t="s">
        <v>10532</v>
      </c>
      <c r="K2157" s="1" t="s">
        <v>10533</v>
      </c>
      <c r="L2157" s="1">
        <v>296.0</v>
      </c>
      <c r="M2157" s="1" t="s">
        <v>35</v>
      </c>
      <c r="N2157" s="1" t="s">
        <v>36</v>
      </c>
      <c r="O2157" s="1" t="s">
        <v>628</v>
      </c>
      <c r="P2157" s="1">
        <v>2.0E7</v>
      </c>
      <c r="Q2157" s="1">
        <v>2011.0</v>
      </c>
      <c r="R2157" s="1">
        <v>3000.0</v>
      </c>
      <c r="S2157" s="1">
        <v>957.0</v>
      </c>
      <c r="T2157" s="1">
        <v>384.0</v>
      </c>
      <c r="U2157" s="1">
        <v>5547.0</v>
      </c>
      <c r="V2157" s="1">
        <v>52.0</v>
      </c>
      <c r="W2157" s="1">
        <v>16000.0</v>
      </c>
      <c r="X2157" s="1">
        <v>0.0</v>
      </c>
      <c r="Y2157" s="1">
        <v>1.85</v>
      </c>
      <c r="Z2157" s="1">
        <v>5.7</v>
      </c>
    </row>
    <row r="2158" ht="14.25" customHeight="1">
      <c r="A2158" s="1" t="s">
        <v>26</v>
      </c>
      <c r="B2158" s="1" t="s">
        <v>4069</v>
      </c>
      <c r="C2158" s="1" t="s">
        <v>10534</v>
      </c>
      <c r="D2158" s="1">
        <v>5.8571513E7</v>
      </c>
      <c r="E2158" s="1" t="s">
        <v>2061</v>
      </c>
      <c r="F2158" s="1" t="s">
        <v>2292</v>
      </c>
      <c r="G2158" s="1" t="s">
        <v>720</v>
      </c>
      <c r="H2158" s="1" t="s">
        <v>4507</v>
      </c>
      <c r="I2158" s="1">
        <v>30213.0</v>
      </c>
      <c r="J2158" s="1" t="s">
        <v>10535</v>
      </c>
      <c r="K2158" s="1" t="s">
        <v>10536</v>
      </c>
      <c r="L2158" s="1">
        <v>112.0</v>
      </c>
      <c r="M2158" s="1" t="s">
        <v>35</v>
      </c>
      <c r="N2158" s="1" t="s">
        <v>36</v>
      </c>
      <c r="O2158" s="1" t="s">
        <v>628</v>
      </c>
      <c r="P2158" s="1">
        <v>1.9E7</v>
      </c>
      <c r="Q2158" s="1">
        <v>1989.0</v>
      </c>
      <c r="R2158" s="1">
        <v>14000.0</v>
      </c>
      <c r="S2158" s="1">
        <v>599.0</v>
      </c>
      <c r="T2158" s="1">
        <v>551.0</v>
      </c>
      <c r="U2158" s="1">
        <v>15914.0</v>
      </c>
      <c r="V2158" s="1">
        <v>17.0</v>
      </c>
      <c r="W2158" s="1">
        <v>0.0</v>
      </c>
      <c r="X2158" s="1">
        <v>1.0</v>
      </c>
      <c r="Y2158" s="1">
        <v>1.85</v>
      </c>
      <c r="Z2158" s="1">
        <v>6.8</v>
      </c>
    </row>
    <row r="2159" ht="14.25" customHeight="1">
      <c r="A2159" s="1" t="s">
        <v>26</v>
      </c>
      <c r="B2159" s="1" t="s">
        <v>10537</v>
      </c>
      <c r="C2159" s="1" t="s">
        <v>10538</v>
      </c>
      <c r="D2159" s="1">
        <v>5.143116E7</v>
      </c>
      <c r="E2159" s="1" t="s">
        <v>2599</v>
      </c>
      <c r="F2159" s="1" t="s">
        <v>10539</v>
      </c>
      <c r="G2159" s="1" t="s">
        <v>6882</v>
      </c>
      <c r="H2159" s="1" t="s">
        <v>8541</v>
      </c>
      <c r="I2159" s="1">
        <v>62861.0</v>
      </c>
      <c r="J2159" s="1" t="s">
        <v>10540</v>
      </c>
      <c r="K2159" s="1" t="s">
        <v>10541</v>
      </c>
      <c r="L2159" s="1">
        <v>232.0</v>
      </c>
      <c r="M2159" s="1" t="s">
        <v>35</v>
      </c>
      <c r="N2159" s="1" t="s">
        <v>36</v>
      </c>
      <c r="O2159" s="1" t="s">
        <v>87</v>
      </c>
      <c r="P2159" s="1">
        <v>2.0E7</v>
      </c>
      <c r="Q2159" s="1">
        <v>2004.0</v>
      </c>
      <c r="R2159" s="1">
        <v>1000.0</v>
      </c>
      <c r="S2159" s="1">
        <v>852.0</v>
      </c>
      <c r="T2159" s="1">
        <v>528.0</v>
      </c>
      <c r="U2159" s="1">
        <v>3092.0</v>
      </c>
      <c r="V2159" s="1">
        <v>15.0</v>
      </c>
      <c r="W2159" s="1">
        <v>0.0</v>
      </c>
      <c r="X2159" s="1">
        <v>2.0</v>
      </c>
      <c r="Y2159" s="1">
        <v>1.85</v>
      </c>
      <c r="Z2159" s="1">
        <v>5.9</v>
      </c>
    </row>
    <row r="2160" ht="14.25" customHeight="1">
      <c r="A2160" s="1" t="s">
        <v>26</v>
      </c>
      <c r="B2160" s="1" t="s">
        <v>5922</v>
      </c>
      <c r="C2160" s="1" t="s">
        <v>10542</v>
      </c>
      <c r="D2160" s="1">
        <v>1.03001286E8</v>
      </c>
      <c r="E2160" s="1" t="s">
        <v>5924</v>
      </c>
      <c r="F2160" s="1" t="s">
        <v>9332</v>
      </c>
      <c r="G2160" s="1" t="s">
        <v>10543</v>
      </c>
      <c r="H2160" s="1" t="s">
        <v>5926</v>
      </c>
      <c r="I2160" s="1">
        <v>222018.0</v>
      </c>
      <c r="J2160" s="1" t="s">
        <v>10544</v>
      </c>
      <c r="K2160" s="1" t="s">
        <v>10545</v>
      </c>
      <c r="L2160" s="1">
        <v>869.0</v>
      </c>
      <c r="M2160" s="1" t="s">
        <v>35</v>
      </c>
      <c r="N2160" s="1" t="s">
        <v>36</v>
      </c>
      <c r="O2160" s="1" t="s">
        <v>628</v>
      </c>
      <c r="P2160" s="1">
        <v>1.5E7</v>
      </c>
      <c r="Q2160" s="1">
        <v>1996.0</v>
      </c>
      <c r="R2160" s="1">
        <v>611.0</v>
      </c>
      <c r="S2160" s="1">
        <v>422.0</v>
      </c>
      <c r="T2160" s="1">
        <v>157.0</v>
      </c>
      <c r="U2160" s="1">
        <v>1212.0</v>
      </c>
      <c r="V2160" s="1">
        <v>0.0</v>
      </c>
      <c r="W2160" s="1">
        <v>11000.0</v>
      </c>
      <c r="X2160" s="1">
        <v>0.0</v>
      </c>
      <c r="Y2160" s="1">
        <v>2.35</v>
      </c>
      <c r="Z2160" s="1">
        <v>7.2</v>
      </c>
    </row>
    <row r="2161" ht="14.25" customHeight="1">
      <c r="A2161" s="1" t="s">
        <v>26</v>
      </c>
      <c r="B2161" s="1" t="s">
        <v>10012</v>
      </c>
      <c r="C2161" s="1" t="s">
        <v>10546</v>
      </c>
      <c r="D2161" s="1">
        <v>4.186796E7</v>
      </c>
      <c r="E2161" s="1" t="s">
        <v>6019</v>
      </c>
      <c r="F2161" s="1" t="s">
        <v>7115</v>
      </c>
      <c r="G2161" s="1" t="s">
        <v>8714</v>
      </c>
      <c r="H2161" s="1" t="s">
        <v>2317</v>
      </c>
      <c r="I2161" s="1">
        <v>65512.0</v>
      </c>
      <c r="J2161" s="1" t="s">
        <v>10547</v>
      </c>
      <c r="K2161" s="1" t="s">
        <v>10548</v>
      </c>
      <c r="L2161" s="1">
        <v>478.0</v>
      </c>
      <c r="M2161" s="1" t="s">
        <v>35</v>
      </c>
      <c r="N2161" s="1" t="s">
        <v>36</v>
      </c>
      <c r="O2161" s="1" t="s">
        <v>628</v>
      </c>
      <c r="P2161" s="1">
        <v>2.0E7</v>
      </c>
      <c r="Q2161" s="1">
        <v>2001.0</v>
      </c>
      <c r="R2161" s="1">
        <v>1000.0</v>
      </c>
      <c r="S2161" s="1">
        <v>795.0</v>
      </c>
      <c r="T2161" s="1">
        <v>670.0</v>
      </c>
      <c r="U2161" s="1">
        <v>3023.0</v>
      </c>
      <c r="V2161" s="1">
        <v>17.0</v>
      </c>
      <c r="W2161" s="1">
        <v>0.0</v>
      </c>
      <c r="X2161" s="1">
        <v>0.0</v>
      </c>
      <c r="Y2161" s="1">
        <v>1.33</v>
      </c>
      <c r="Z2161" s="1">
        <v>5.5</v>
      </c>
    </row>
    <row r="2162" ht="14.25" customHeight="1">
      <c r="A2162" s="1" t="s">
        <v>26</v>
      </c>
      <c r="B2162" s="1" t="s">
        <v>420</v>
      </c>
      <c r="C2162" s="1" t="s">
        <v>10549</v>
      </c>
      <c r="D2162" s="1">
        <v>2.10609762E8</v>
      </c>
      <c r="E2162" s="1" t="s">
        <v>1792</v>
      </c>
      <c r="F2162" s="1" t="s">
        <v>5868</v>
      </c>
      <c r="G2162" s="1" t="s">
        <v>5870</v>
      </c>
      <c r="H2162" s="1" t="s">
        <v>10550</v>
      </c>
      <c r="I2162" s="1">
        <v>732212.0</v>
      </c>
      <c r="J2162" s="1" t="s">
        <v>10551</v>
      </c>
      <c r="K2162" s="1" t="s">
        <v>10552</v>
      </c>
      <c r="L2162" s="1">
        <v>809.0</v>
      </c>
      <c r="M2162" s="1" t="s">
        <v>35</v>
      </c>
      <c r="N2162" s="1" t="s">
        <v>36</v>
      </c>
      <c r="O2162" s="1" t="s">
        <v>87</v>
      </c>
      <c r="P2162" s="1">
        <v>1.9E7</v>
      </c>
      <c r="Q2162" s="1">
        <v>1985.0</v>
      </c>
      <c r="R2162" s="1">
        <v>1000.0</v>
      </c>
      <c r="S2162" s="1">
        <v>690.0</v>
      </c>
      <c r="T2162" s="1">
        <v>459.0</v>
      </c>
      <c r="U2162" s="1">
        <v>3230.0</v>
      </c>
      <c r="V2162" s="1">
        <v>0.0</v>
      </c>
      <c r="W2162" s="1">
        <v>39000.0</v>
      </c>
      <c r="X2162" s="1">
        <v>0.0</v>
      </c>
      <c r="Y2162" s="1">
        <v>1.18</v>
      </c>
      <c r="Z2162" s="1">
        <v>8.5</v>
      </c>
    </row>
    <row r="2163" ht="14.25" customHeight="1">
      <c r="A2163" s="1" t="s">
        <v>26</v>
      </c>
      <c r="B2163" s="1" t="s">
        <v>6393</v>
      </c>
      <c r="C2163" s="1" t="s">
        <v>10553</v>
      </c>
      <c r="D2163" s="1">
        <v>4.0846082E7</v>
      </c>
      <c r="E2163" s="1" t="s">
        <v>2882</v>
      </c>
      <c r="F2163" s="1" t="s">
        <v>6396</v>
      </c>
      <c r="G2163" s="1" t="s">
        <v>4554</v>
      </c>
      <c r="H2163" s="1" t="s">
        <v>6425</v>
      </c>
      <c r="I2163" s="1">
        <v>45317.0</v>
      </c>
      <c r="J2163" s="1" t="s">
        <v>10554</v>
      </c>
      <c r="K2163" s="1" t="s">
        <v>10555</v>
      </c>
      <c r="L2163" s="1">
        <v>536.0</v>
      </c>
      <c r="M2163" s="1" t="s">
        <v>35</v>
      </c>
      <c r="N2163" s="1" t="s">
        <v>36</v>
      </c>
      <c r="O2163" s="1" t="s">
        <v>628</v>
      </c>
      <c r="P2163" s="1">
        <v>1.9E7</v>
      </c>
      <c r="Q2163" s="1">
        <v>1999.0</v>
      </c>
      <c r="R2163" s="1">
        <v>885.0</v>
      </c>
      <c r="S2163" s="1">
        <v>828.0</v>
      </c>
      <c r="T2163" s="1">
        <v>545.0</v>
      </c>
      <c r="U2163" s="1">
        <v>2872.0</v>
      </c>
      <c r="V2163" s="1">
        <v>37.0</v>
      </c>
      <c r="W2163" s="1">
        <v>0.0</v>
      </c>
      <c r="X2163" s="1">
        <v>0.0</v>
      </c>
      <c r="Y2163" s="1">
        <v>1.37</v>
      </c>
      <c r="Z2163" s="1">
        <v>5.6</v>
      </c>
    </row>
    <row r="2164" ht="14.25" customHeight="1">
      <c r="A2164" s="1" t="s">
        <v>26</v>
      </c>
      <c r="B2164" s="1" t="s">
        <v>8809</v>
      </c>
      <c r="C2164" s="1" t="s">
        <v>10556</v>
      </c>
      <c r="D2164" s="1">
        <v>5.1697449E7</v>
      </c>
      <c r="E2164" s="1" t="s">
        <v>2422</v>
      </c>
      <c r="F2164" s="1" t="s">
        <v>10557</v>
      </c>
      <c r="G2164" s="1" t="s">
        <v>10558</v>
      </c>
      <c r="H2164" s="1" t="s">
        <v>10559</v>
      </c>
      <c r="I2164" s="1">
        <v>8346.0</v>
      </c>
      <c r="J2164" s="1" t="s">
        <v>10560</v>
      </c>
      <c r="K2164" s="1" t="s">
        <v>10561</v>
      </c>
      <c r="L2164" s="1">
        <v>59.0</v>
      </c>
      <c r="M2164" s="1" t="s">
        <v>35</v>
      </c>
      <c r="N2164" s="1" t="s">
        <v>36</v>
      </c>
      <c r="O2164" s="1" t="s">
        <v>37</v>
      </c>
      <c r="P2164" s="1">
        <v>1.3E7</v>
      </c>
      <c r="Q2164" s="1">
        <v>2009.0</v>
      </c>
      <c r="R2164" s="1">
        <v>607.0</v>
      </c>
      <c r="S2164" s="1">
        <v>269.0</v>
      </c>
      <c r="T2164" s="1">
        <v>256.0</v>
      </c>
      <c r="U2164" s="1">
        <v>1465.0</v>
      </c>
      <c r="V2164" s="1">
        <v>0.0</v>
      </c>
      <c r="W2164" s="1">
        <v>1000.0</v>
      </c>
      <c r="X2164" s="1">
        <v>6.0</v>
      </c>
      <c r="Y2164" s="1">
        <v>1.85</v>
      </c>
      <c r="Z2164" s="1">
        <v>4.1</v>
      </c>
    </row>
    <row r="2165" ht="14.25" customHeight="1">
      <c r="A2165" s="1" t="s">
        <v>26</v>
      </c>
      <c r="B2165" s="1" t="s">
        <v>3712</v>
      </c>
      <c r="C2165" s="1" t="s">
        <v>10562</v>
      </c>
      <c r="D2165" s="1">
        <v>2.7758465E7</v>
      </c>
      <c r="E2165" s="1" t="s">
        <v>1359</v>
      </c>
      <c r="F2165" s="1" t="s">
        <v>10563</v>
      </c>
      <c r="G2165" s="1" t="s">
        <v>5892</v>
      </c>
      <c r="H2165" s="1" t="s">
        <v>10564</v>
      </c>
      <c r="I2165" s="1">
        <v>77987.0</v>
      </c>
      <c r="J2165" s="1" t="s">
        <v>10565</v>
      </c>
      <c r="K2165" s="1" t="s">
        <v>10566</v>
      </c>
      <c r="L2165" s="1">
        <v>120.0</v>
      </c>
      <c r="M2165" s="1" t="s">
        <v>35</v>
      </c>
      <c r="N2165" s="1" t="s">
        <v>36</v>
      </c>
      <c r="O2165" s="1" t="s">
        <v>37</v>
      </c>
      <c r="P2165" s="1">
        <v>1.9E7</v>
      </c>
      <c r="Q2165" s="1">
        <v>2010.0</v>
      </c>
      <c r="R2165" s="1">
        <v>544.0</v>
      </c>
      <c r="S2165" s="1">
        <v>449.0</v>
      </c>
      <c r="T2165" s="1">
        <v>110.0</v>
      </c>
      <c r="U2165" s="1">
        <v>1292.0</v>
      </c>
      <c r="V2165" s="1">
        <v>8.0</v>
      </c>
      <c r="W2165" s="1">
        <v>0.0</v>
      </c>
      <c r="X2165" s="1">
        <v>2.0</v>
      </c>
      <c r="Y2165" s="1">
        <v>2.35</v>
      </c>
      <c r="Z2165" s="1">
        <v>6.1</v>
      </c>
    </row>
    <row r="2166" ht="14.25" customHeight="1">
      <c r="A2166" s="1" t="s">
        <v>26</v>
      </c>
      <c r="B2166" s="1" t="s">
        <v>772</v>
      </c>
      <c r="C2166" s="1" t="s">
        <v>10567</v>
      </c>
      <c r="D2166" s="1">
        <v>5.6127162E7</v>
      </c>
      <c r="E2166" s="1" t="s">
        <v>1598</v>
      </c>
      <c r="F2166" s="1" t="s">
        <v>9862</v>
      </c>
      <c r="G2166" s="1" t="s">
        <v>10568</v>
      </c>
      <c r="H2166" s="1" t="s">
        <v>10569</v>
      </c>
      <c r="I2166" s="1">
        <v>57479.0</v>
      </c>
      <c r="J2166" s="1" t="s">
        <v>10570</v>
      </c>
      <c r="K2166" s="1" t="s">
        <v>10571</v>
      </c>
      <c r="L2166" s="1">
        <v>205.0</v>
      </c>
      <c r="M2166" s="1" t="s">
        <v>35</v>
      </c>
      <c r="N2166" s="1" t="s">
        <v>36</v>
      </c>
      <c r="O2166" s="1" t="s">
        <v>37</v>
      </c>
      <c r="P2166" s="1">
        <v>1.8E7</v>
      </c>
      <c r="Q2166" s="1">
        <v>2003.0</v>
      </c>
      <c r="R2166" s="1">
        <v>500.0</v>
      </c>
      <c r="S2166" s="1">
        <v>308.0</v>
      </c>
      <c r="T2166" s="1">
        <v>306.0</v>
      </c>
      <c r="U2166" s="1">
        <v>2020.0</v>
      </c>
      <c r="V2166" s="1">
        <v>189.0</v>
      </c>
      <c r="W2166" s="1">
        <v>0.0</v>
      </c>
      <c r="X2166" s="1">
        <v>2.0</v>
      </c>
      <c r="Y2166" s="1">
        <v>1.85</v>
      </c>
      <c r="Z2166" s="1">
        <v>5.4</v>
      </c>
    </row>
    <row r="2167" ht="14.25" customHeight="1">
      <c r="A2167" s="1" t="s">
        <v>26</v>
      </c>
      <c r="B2167" s="1" t="s">
        <v>925</v>
      </c>
      <c r="C2167" s="1" t="s">
        <v>10572</v>
      </c>
      <c r="D2167" s="1">
        <v>1357042.0</v>
      </c>
      <c r="E2167" s="1" t="s">
        <v>3404</v>
      </c>
      <c r="F2167" s="1" t="s">
        <v>10573</v>
      </c>
      <c r="G2167" s="1" t="s">
        <v>693</v>
      </c>
      <c r="H2167" s="1" t="s">
        <v>9675</v>
      </c>
      <c r="I2167" s="1">
        <v>53977.0</v>
      </c>
      <c r="J2167" s="1" t="s">
        <v>10574</v>
      </c>
      <c r="K2167" s="1" t="s">
        <v>10575</v>
      </c>
      <c r="L2167" s="1">
        <v>125.0</v>
      </c>
      <c r="M2167" s="1" t="s">
        <v>35</v>
      </c>
      <c r="N2167" s="1" t="s">
        <v>10576</v>
      </c>
      <c r="O2167" s="1" t="s">
        <v>628</v>
      </c>
      <c r="P2167" s="1">
        <v>1.5E7</v>
      </c>
      <c r="Q2167" s="1">
        <v>2011.0</v>
      </c>
      <c r="R2167" s="1">
        <v>31000.0</v>
      </c>
      <c r="S2167" s="1">
        <v>3000.0</v>
      </c>
      <c r="T2167" s="1">
        <v>521.0</v>
      </c>
      <c r="U2167" s="1">
        <v>35561.0</v>
      </c>
      <c r="V2167" s="1">
        <v>93.0</v>
      </c>
      <c r="W2167" s="1">
        <v>14000.0</v>
      </c>
      <c r="X2167" s="1">
        <v>1.0</v>
      </c>
      <c r="Y2167" s="1">
        <v>2.35</v>
      </c>
      <c r="Z2167" s="1">
        <v>7.1</v>
      </c>
    </row>
    <row r="2168" ht="14.25" customHeight="1">
      <c r="A2168" s="1" t="s">
        <v>26</v>
      </c>
      <c r="B2168" s="1" t="s">
        <v>10577</v>
      </c>
      <c r="C2168" s="1" t="s">
        <v>10578</v>
      </c>
      <c r="D2168" s="1">
        <v>1.5911333E7</v>
      </c>
      <c r="E2168" s="1" t="s">
        <v>2351</v>
      </c>
      <c r="F2168" s="1" t="s">
        <v>8365</v>
      </c>
      <c r="G2168" s="1" t="s">
        <v>3950</v>
      </c>
      <c r="H2168" s="1" t="s">
        <v>1310</v>
      </c>
      <c r="I2168" s="1">
        <v>2855.0</v>
      </c>
      <c r="J2168" s="1" t="s">
        <v>10579</v>
      </c>
      <c r="K2168" s="1" t="s">
        <v>10580</v>
      </c>
      <c r="L2168" s="1">
        <v>119.0</v>
      </c>
      <c r="M2168" s="1" t="s">
        <v>35</v>
      </c>
      <c r="N2168" s="1" t="s">
        <v>54</v>
      </c>
      <c r="O2168" s="1" t="s">
        <v>269</v>
      </c>
      <c r="P2168" s="1">
        <v>1.9E7</v>
      </c>
      <c r="Q2168" s="1">
        <v>2000.0</v>
      </c>
      <c r="R2168" s="1">
        <v>1000.0</v>
      </c>
      <c r="S2168" s="1">
        <v>539.0</v>
      </c>
      <c r="T2168" s="1">
        <v>402.0</v>
      </c>
      <c r="U2168" s="1">
        <v>2429.0</v>
      </c>
      <c r="V2168" s="1">
        <v>2.0</v>
      </c>
      <c r="W2168" s="1">
        <v>663.0</v>
      </c>
      <c r="X2168" s="1">
        <v>1.0</v>
      </c>
      <c r="Y2168" s="1">
        <v>1.85</v>
      </c>
      <c r="Z2168" s="1">
        <v>3.6</v>
      </c>
    </row>
    <row r="2169" ht="14.25" customHeight="1">
      <c r="A2169" s="1" t="s">
        <v>26</v>
      </c>
      <c r="B2169" s="1" t="s">
        <v>1039</v>
      </c>
      <c r="C2169" s="1" t="s">
        <v>10581</v>
      </c>
      <c r="D2169" s="1">
        <v>3.9103378E7</v>
      </c>
      <c r="E2169" s="1" t="s">
        <v>6278</v>
      </c>
      <c r="F2169" s="1" t="s">
        <v>3201</v>
      </c>
      <c r="G2169" s="1" t="s">
        <v>272</v>
      </c>
      <c r="H2169" s="1" t="s">
        <v>6432</v>
      </c>
      <c r="I2169" s="1">
        <v>93272.0</v>
      </c>
      <c r="J2169" s="1" t="s">
        <v>10582</v>
      </c>
      <c r="K2169" s="1" t="s">
        <v>10583</v>
      </c>
      <c r="L2169" s="1">
        <v>251.0</v>
      </c>
      <c r="M2169" s="1" t="s">
        <v>35</v>
      </c>
      <c r="N2169" s="1" t="s">
        <v>36</v>
      </c>
      <c r="O2169" s="1" t="s">
        <v>628</v>
      </c>
      <c r="P2169" s="1">
        <v>2.0E7</v>
      </c>
      <c r="Q2169" s="1">
        <v>2010.0</v>
      </c>
      <c r="R2169" s="1">
        <v>991.0</v>
      </c>
      <c r="S2169" s="1">
        <v>894.0</v>
      </c>
      <c r="T2169" s="1">
        <v>219.0</v>
      </c>
      <c r="U2169" s="1">
        <v>2609.0</v>
      </c>
      <c r="V2169" s="1">
        <v>42.0</v>
      </c>
      <c r="W2169" s="1">
        <v>0.0</v>
      </c>
      <c r="X2169" s="1">
        <v>0.0</v>
      </c>
      <c r="Y2169" s="1">
        <v>2.35</v>
      </c>
      <c r="Z2169" s="1">
        <v>6.5</v>
      </c>
    </row>
    <row r="2170" ht="14.25" customHeight="1">
      <c r="A2170" s="1" t="s">
        <v>26</v>
      </c>
      <c r="B2170" s="1" t="s">
        <v>7274</v>
      </c>
      <c r="C2170" s="1" t="s">
        <v>10584</v>
      </c>
      <c r="D2170" s="1">
        <v>1.0049886E7</v>
      </c>
      <c r="E2170" s="1" t="s">
        <v>603</v>
      </c>
      <c r="F2170" s="1" t="s">
        <v>10585</v>
      </c>
      <c r="G2170" s="1" t="s">
        <v>10586</v>
      </c>
      <c r="H2170" s="1" t="s">
        <v>10587</v>
      </c>
      <c r="I2170" s="1">
        <v>417971.0</v>
      </c>
      <c r="J2170" s="1" t="s">
        <v>10588</v>
      </c>
      <c r="K2170" s="1" t="s">
        <v>10589</v>
      </c>
      <c r="L2170" s="1">
        <v>902.0</v>
      </c>
      <c r="M2170" s="1" t="s">
        <v>7281</v>
      </c>
      <c r="N2170" s="1" t="s">
        <v>2821</v>
      </c>
      <c r="O2170" s="1" t="s">
        <v>87</v>
      </c>
      <c r="P2170" s="1">
        <v>1.9E7</v>
      </c>
      <c r="Q2170" s="1">
        <v>2001.0</v>
      </c>
      <c r="R2170" s="1">
        <v>17.0</v>
      </c>
      <c r="S2170" s="1">
        <v>10.0</v>
      </c>
      <c r="T2170" s="1">
        <v>7.0</v>
      </c>
      <c r="U2170" s="1">
        <v>44.0</v>
      </c>
      <c r="V2170" s="1">
        <v>6000.0</v>
      </c>
      <c r="W2170" s="1">
        <v>28000.0</v>
      </c>
      <c r="X2170" s="1">
        <v>0.0</v>
      </c>
      <c r="Y2170" s="1">
        <v>1.85</v>
      </c>
      <c r="Z2170" s="1">
        <v>8.6</v>
      </c>
    </row>
    <row r="2171" ht="14.25" customHeight="1">
      <c r="A2171" s="1" t="s">
        <v>26</v>
      </c>
      <c r="B2171" s="1" t="s">
        <v>1424</v>
      </c>
      <c r="C2171" s="1" t="s">
        <v>10590</v>
      </c>
      <c r="D2171" s="1">
        <v>8600000.0</v>
      </c>
      <c r="E2171" s="1" t="s">
        <v>2758</v>
      </c>
      <c r="F2171" s="1" t="s">
        <v>220</v>
      </c>
      <c r="G2171" s="1" t="s">
        <v>726</v>
      </c>
      <c r="H2171" s="1" t="s">
        <v>3335</v>
      </c>
      <c r="I2171" s="1">
        <v>17982.0</v>
      </c>
      <c r="J2171" s="1" t="s">
        <v>10591</v>
      </c>
      <c r="K2171" s="1" t="s">
        <v>10592</v>
      </c>
      <c r="L2171" s="1">
        <v>95.0</v>
      </c>
      <c r="M2171" s="1" t="s">
        <v>35</v>
      </c>
      <c r="N2171" s="1" t="s">
        <v>54</v>
      </c>
      <c r="O2171" s="1" t="s">
        <v>87</v>
      </c>
      <c r="P2171" s="1">
        <v>2.5E7</v>
      </c>
      <c r="Q2171" s="1">
        <v>1984.0</v>
      </c>
      <c r="R2171" s="1">
        <v>14000.0</v>
      </c>
      <c r="S2171" s="1">
        <v>12000.0</v>
      </c>
      <c r="T2171" s="1">
        <v>1000.0</v>
      </c>
      <c r="U2171" s="1">
        <v>28094.0</v>
      </c>
      <c r="V2171" s="1">
        <v>79.0</v>
      </c>
      <c r="W2171" s="1">
        <v>1000.0</v>
      </c>
      <c r="X2171" s="1">
        <v>2.0</v>
      </c>
      <c r="Y2171" s="1">
        <v>2.35</v>
      </c>
      <c r="Z2171" s="1">
        <v>7.0</v>
      </c>
    </row>
    <row r="2172" ht="14.25" customHeight="1">
      <c r="A2172" s="1" t="s">
        <v>26</v>
      </c>
      <c r="B2172" s="1" t="s">
        <v>10593</v>
      </c>
      <c r="C2172" s="1" t="s">
        <v>10594</v>
      </c>
      <c r="D2172" s="1">
        <v>2.1483154E7</v>
      </c>
      <c r="E2172" s="1" t="s">
        <v>3225</v>
      </c>
      <c r="F2172" s="1" t="s">
        <v>2783</v>
      </c>
      <c r="G2172" s="1" t="s">
        <v>10595</v>
      </c>
      <c r="H2172" s="1" t="s">
        <v>10596</v>
      </c>
      <c r="I2172" s="1">
        <v>98741.0</v>
      </c>
      <c r="J2172" s="1" t="s">
        <v>10597</v>
      </c>
      <c r="K2172" s="1" t="s">
        <v>10598</v>
      </c>
      <c r="L2172" s="1">
        <v>236.0</v>
      </c>
      <c r="M2172" s="1" t="s">
        <v>35</v>
      </c>
      <c r="N2172" s="1" t="s">
        <v>36</v>
      </c>
      <c r="O2172" s="1" t="s">
        <v>37</v>
      </c>
      <c r="P2172" s="1">
        <v>1.9E7</v>
      </c>
      <c r="Q2172" s="1">
        <v>2013.0</v>
      </c>
      <c r="R2172" s="1">
        <v>876.0</v>
      </c>
      <c r="S2172" s="1">
        <v>526.0</v>
      </c>
      <c r="T2172" s="1">
        <v>326.0</v>
      </c>
      <c r="U2172" s="1">
        <v>1985.0</v>
      </c>
      <c r="V2172" s="1">
        <v>33.0</v>
      </c>
      <c r="W2172" s="1">
        <v>53000.0</v>
      </c>
      <c r="X2172" s="1">
        <v>1.0</v>
      </c>
      <c r="Y2172" s="1">
        <v>2.35</v>
      </c>
      <c r="Z2172" s="1">
        <v>7.6</v>
      </c>
    </row>
    <row r="2173" ht="14.25" customHeight="1">
      <c r="A2173" s="1" t="s">
        <v>26</v>
      </c>
      <c r="B2173" s="1" t="s">
        <v>4270</v>
      </c>
      <c r="C2173" s="1" t="s">
        <v>10599</v>
      </c>
      <c r="D2173" s="1">
        <v>8396942.0</v>
      </c>
      <c r="E2173" s="1" t="s">
        <v>10600</v>
      </c>
      <c r="F2173" s="1" t="s">
        <v>10601</v>
      </c>
      <c r="G2173" s="1" t="s">
        <v>4948</v>
      </c>
      <c r="H2173" s="1" t="s">
        <v>4671</v>
      </c>
      <c r="I2173" s="1">
        <v>72715.0</v>
      </c>
      <c r="J2173" s="1" t="s">
        <v>10602</v>
      </c>
      <c r="K2173" s="1" t="s">
        <v>10603</v>
      </c>
      <c r="L2173" s="1">
        <v>103.0</v>
      </c>
      <c r="M2173" s="1" t="s">
        <v>35</v>
      </c>
      <c r="N2173" s="1" t="s">
        <v>36</v>
      </c>
      <c r="O2173" s="1" t="s">
        <v>628</v>
      </c>
      <c r="P2173" s="1">
        <v>1.9E7</v>
      </c>
      <c r="Q2173" s="1">
        <v>2008.0</v>
      </c>
      <c r="R2173" s="1">
        <v>948.0</v>
      </c>
      <c r="S2173" s="1">
        <v>822.0</v>
      </c>
      <c r="T2173" s="1">
        <v>630.0</v>
      </c>
      <c r="U2173" s="1">
        <v>4324.0</v>
      </c>
      <c r="V2173" s="1">
        <v>51.0</v>
      </c>
      <c r="W2173" s="1">
        <v>0.0</v>
      </c>
      <c r="X2173" s="1">
        <v>1.0</v>
      </c>
      <c r="Y2173" s="1">
        <v>1.85</v>
      </c>
      <c r="Z2173" s="1">
        <v>6.5</v>
      </c>
    </row>
    <row r="2174" ht="14.25" customHeight="1">
      <c r="A2174" s="1" t="s">
        <v>26</v>
      </c>
      <c r="B2174" s="1" t="s">
        <v>10604</v>
      </c>
      <c r="C2174" s="1" t="s">
        <v>10605</v>
      </c>
      <c r="D2174" s="1">
        <v>12561.0</v>
      </c>
      <c r="E2174" s="1" t="s">
        <v>1598</v>
      </c>
      <c r="F2174" s="1" t="s">
        <v>1475</v>
      </c>
      <c r="G2174" s="1" t="s">
        <v>10606</v>
      </c>
      <c r="H2174" s="1" t="s">
        <v>10607</v>
      </c>
      <c r="I2174" s="1">
        <v>71276.0</v>
      </c>
      <c r="J2174" s="1" t="s">
        <v>10608</v>
      </c>
      <c r="K2174" s="1" t="s">
        <v>10609</v>
      </c>
      <c r="L2174" s="1">
        <v>181.0</v>
      </c>
      <c r="M2174" s="1" t="s">
        <v>35</v>
      </c>
      <c r="N2174" s="1" t="s">
        <v>36</v>
      </c>
      <c r="O2174" s="1" t="s">
        <v>87</v>
      </c>
      <c r="P2174" s="1">
        <v>1.9E7</v>
      </c>
      <c r="Q2174" s="1">
        <v>2010.0</v>
      </c>
      <c r="R2174" s="1">
        <v>3000.0</v>
      </c>
      <c r="S2174" s="1">
        <v>547.0</v>
      </c>
      <c r="T2174" s="1">
        <v>356.0</v>
      </c>
      <c r="U2174" s="1">
        <v>4094.0</v>
      </c>
      <c r="V2174" s="1">
        <v>14.0</v>
      </c>
      <c r="W2174" s="1">
        <v>13000.0</v>
      </c>
      <c r="X2174" s="1">
        <v>2.0</v>
      </c>
      <c r="Y2174" s="1">
        <v>2.35</v>
      </c>
      <c r="Z2174" s="1">
        <v>6.4</v>
      </c>
    </row>
    <row r="2175" ht="14.25" customHeight="1">
      <c r="A2175" s="1" t="s">
        <v>26</v>
      </c>
      <c r="B2175" s="1" t="s">
        <v>10610</v>
      </c>
      <c r="C2175" s="1" t="s">
        <v>10611</v>
      </c>
      <c r="D2175" s="1">
        <v>6923891.0</v>
      </c>
      <c r="E2175" s="1" t="s">
        <v>1359</v>
      </c>
      <c r="F2175" s="1" t="s">
        <v>6084</v>
      </c>
      <c r="G2175" s="1" t="s">
        <v>2860</v>
      </c>
      <c r="H2175" s="1" t="s">
        <v>894</v>
      </c>
      <c r="I2175" s="1">
        <v>43867.0</v>
      </c>
      <c r="J2175" s="1" t="s">
        <v>10612</v>
      </c>
      <c r="K2175" s="1" t="s">
        <v>10613</v>
      </c>
      <c r="L2175" s="1">
        <v>83.0</v>
      </c>
      <c r="M2175" s="1" t="s">
        <v>35</v>
      </c>
      <c r="N2175" s="1" t="s">
        <v>36</v>
      </c>
      <c r="O2175" s="1" t="s">
        <v>628</v>
      </c>
      <c r="P2175" s="1">
        <v>2.3E7</v>
      </c>
      <c r="Q2175" s="1">
        <v>2011.0</v>
      </c>
      <c r="R2175" s="1">
        <v>2000.0</v>
      </c>
      <c r="S2175" s="1">
        <v>2000.0</v>
      </c>
      <c r="T2175" s="1">
        <v>562.0</v>
      </c>
      <c r="U2175" s="1">
        <v>5519.0</v>
      </c>
      <c r="V2175" s="1">
        <v>31.0</v>
      </c>
      <c r="W2175" s="1">
        <v>0.0</v>
      </c>
      <c r="X2175" s="1">
        <v>4.0</v>
      </c>
      <c r="Y2175" s="1">
        <v>2.35</v>
      </c>
      <c r="Z2175" s="1">
        <v>6.3</v>
      </c>
    </row>
    <row r="2176" ht="14.25" customHeight="1">
      <c r="A2176" s="1" t="s">
        <v>26</v>
      </c>
      <c r="B2176" s="1" t="s">
        <v>10614</v>
      </c>
      <c r="C2176" s="1" t="s">
        <v>10615</v>
      </c>
      <c r="D2176" s="1">
        <v>2119994.0</v>
      </c>
      <c r="E2176" s="1" t="s">
        <v>10616</v>
      </c>
      <c r="F2176" s="1" t="s">
        <v>10617</v>
      </c>
      <c r="G2176" s="1" t="s">
        <v>10618</v>
      </c>
      <c r="H2176" s="1" t="s">
        <v>10619</v>
      </c>
      <c r="I2176" s="1">
        <v>1153.0</v>
      </c>
      <c r="J2176" s="1" t="s">
        <v>10620</v>
      </c>
      <c r="K2176" s="1" t="s">
        <v>10621</v>
      </c>
      <c r="L2176" s="1">
        <v>15.0</v>
      </c>
      <c r="M2176" s="1" t="s">
        <v>35</v>
      </c>
      <c r="N2176" s="1" t="s">
        <v>36</v>
      </c>
      <c r="O2176" s="1" t="s">
        <v>269</v>
      </c>
      <c r="P2176" s="1">
        <v>1.9E7</v>
      </c>
      <c r="Q2176" s="1">
        <v>1993.0</v>
      </c>
      <c r="R2176" s="1">
        <v>2.0</v>
      </c>
      <c r="S2176" s="1">
        <v>0.0</v>
      </c>
      <c r="T2176" s="1">
        <v>0.0</v>
      </c>
      <c r="U2176" s="1">
        <v>2.0</v>
      </c>
      <c r="V2176" s="1">
        <v>22.0</v>
      </c>
      <c r="W2176" s="1">
        <v>238.0</v>
      </c>
      <c r="X2176" s="1">
        <v>0.0</v>
      </c>
      <c r="Y2176" s="1">
        <v>1.85</v>
      </c>
      <c r="Z2176" s="1">
        <v>5.7</v>
      </c>
    </row>
    <row r="2177" ht="14.25" customHeight="1">
      <c r="A2177" s="1" t="s">
        <v>26</v>
      </c>
      <c r="B2177" s="1" t="s">
        <v>10622</v>
      </c>
      <c r="C2177" s="1" t="s">
        <v>10623</v>
      </c>
      <c r="D2177" s="1">
        <v>1292527.0</v>
      </c>
      <c r="E2177" s="1" t="s">
        <v>10624</v>
      </c>
      <c r="F2177" s="1" t="s">
        <v>264</v>
      </c>
      <c r="G2177" s="1" t="s">
        <v>2510</v>
      </c>
      <c r="H2177" s="1" t="s">
        <v>4512</v>
      </c>
      <c r="I2177" s="1">
        <v>3536.0</v>
      </c>
      <c r="J2177" s="1" t="s">
        <v>10625</v>
      </c>
      <c r="K2177" s="1" t="s">
        <v>10626</v>
      </c>
      <c r="L2177" s="1">
        <v>44.0</v>
      </c>
      <c r="M2177" s="1" t="s">
        <v>35</v>
      </c>
      <c r="N2177" s="1" t="s">
        <v>1832</v>
      </c>
      <c r="O2177" s="1" t="s">
        <v>628</v>
      </c>
      <c r="P2177" s="1">
        <v>1.9E7</v>
      </c>
      <c r="Q2177" s="1">
        <v>1996.0</v>
      </c>
      <c r="R2177" s="1">
        <v>12000.0</v>
      </c>
      <c r="S2177" s="1">
        <v>1000.0</v>
      </c>
      <c r="T2177" s="1">
        <v>530.0</v>
      </c>
      <c r="U2177" s="1">
        <v>14579.0</v>
      </c>
      <c r="V2177" s="1">
        <v>500.0</v>
      </c>
      <c r="W2177" s="1">
        <v>228.0</v>
      </c>
      <c r="X2177" s="1">
        <v>2.0</v>
      </c>
      <c r="Y2177" s="1">
        <v>1.85</v>
      </c>
      <c r="Z2177" s="1">
        <v>6.3</v>
      </c>
    </row>
    <row r="2178" ht="14.25" customHeight="1">
      <c r="A2178" s="1" t="s">
        <v>26</v>
      </c>
      <c r="B2178" s="1" t="s">
        <v>10627</v>
      </c>
      <c r="C2178" s="1" t="s">
        <v>10628</v>
      </c>
      <c r="D2178" s="1">
        <v>6.4255243E7</v>
      </c>
      <c r="E2178" s="1" t="s">
        <v>5758</v>
      </c>
      <c r="F2178" s="1" t="s">
        <v>502</v>
      </c>
      <c r="G2178" s="1" t="s">
        <v>475</v>
      </c>
      <c r="H2178" s="1" t="s">
        <v>307</v>
      </c>
      <c r="I2178" s="1">
        <v>80903.0</v>
      </c>
      <c r="J2178" s="1" t="s">
        <v>10629</v>
      </c>
      <c r="K2178" s="1" t="s">
        <v>10630</v>
      </c>
      <c r="L2178" s="1">
        <v>518.0</v>
      </c>
      <c r="M2178" s="1" t="s">
        <v>35</v>
      </c>
      <c r="N2178" s="1" t="s">
        <v>36</v>
      </c>
      <c r="O2178" s="1" t="s">
        <v>628</v>
      </c>
      <c r="P2178" s="1">
        <v>1.9E7</v>
      </c>
      <c r="Q2178" s="1">
        <v>2005.0</v>
      </c>
      <c r="R2178" s="1">
        <v>87000.0</v>
      </c>
      <c r="S2178" s="1">
        <v>17000.0</v>
      </c>
      <c r="T2178" s="1">
        <v>16000.0</v>
      </c>
      <c r="U2178" s="1">
        <v>120797.0</v>
      </c>
      <c r="V2178" s="1">
        <v>15.0</v>
      </c>
      <c r="W2178" s="1">
        <v>0.0</v>
      </c>
      <c r="X2178" s="1">
        <v>0.0</v>
      </c>
      <c r="Y2178" s="1">
        <v>2.35</v>
      </c>
      <c r="Z2178" s="1">
        <v>6.0</v>
      </c>
    </row>
    <row r="2179" ht="14.25" customHeight="1">
      <c r="A2179" s="1" t="s">
        <v>26</v>
      </c>
      <c r="B2179" s="1" t="s">
        <v>1717</v>
      </c>
      <c r="C2179" s="1" t="s">
        <v>10631</v>
      </c>
      <c r="D2179" s="1">
        <v>2.2245861E7</v>
      </c>
      <c r="E2179" s="1" t="s">
        <v>2422</v>
      </c>
      <c r="F2179" s="1" t="s">
        <v>668</v>
      </c>
      <c r="G2179" s="1" t="s">
        <v>2286</v>
      </c>
      <c r="H2179" s="1" t="s">
        <v>1403</v>
      </c>
      <c r="I2179" s="1">
        <v>143251.0</v>
      </c>
      <c r="J2179" s="1" t="s">
        <v>10632</v>
      </c>
      <c r="K2179" s="1" t="s">
        <v>10633</v>
      </c>
      <c r="L2179" s="1">
        <v>710.0</v>
      </c>
      <c r="M2179" s="1" t="s">
        <v>35</v>
      </c>
      <c r="N2179" s="1" t="s">
        <v>36</v>
      </c>
      <c r="O2179" s="1" t="s">
        <v>628</v>
      </c>
      <c r="P2179" s="1">
        <v>1.9E7</v>
      </c>
      <c r="Q2179" s="1">
        <v>2002.0</v>
      </c>
      <c r="R2179" s="1">
        <v>12000.0</v>
      </c>
      <c r="S2179" s="1">
        <v>11000.0</v>
      </c>
      <c r="T2179" s="1">
        <v>836.0</v>
      </c>
      <c r="U2179" s="1">
        <v>25489.0</v>
      </c>
      <c r="V2179" s="1">
        <v>0.0</v>
      </c>
      <c r="W2179" s="1">
        <v>0.0</v>
      </c>
      <c r="X2179" s="1">
        <v>0.0</v>
      </c>
      <c r="Y2179" s="1">
        <v>1.85</v>
      </c>
      <c r="Z2179" s="1">
        <v>7.7</v>
      </c>
    </row>
    <row r="2180" ht="14.25" customHeight="1">
      <c r="A2180" s="1" t="s">
        <v>710</v>
      </c>
      <c r="B2180" s="1" t="s">
        <v>10634</v>
      </c>
      <c r="C2180" s="1" t="s">
        <v>10635</v>
      </c>
      <c r="D2180" s="1">
        <v>2.043394E7</v>
      </c>
      <c r="E2180" s="1" t="s">
        <v>6019</v>
      </c>
      <c r="F2180" s="1" t="s">
        <v>7707</v>
      </c>
      <c r="G2180" s="1" t="s">
        <v>4258</v>
      </c>
      <c r="H2180" s="1" t="s">
        <v>10636</v>
      </c>
      <c r="I2180" s="1">
        <v>78883.0</v>
      </c>
      <c r="J2180" s="1" t="s">
        <v>10637</v>
      </c>
      <c r="K2180" s="1" t="s">
        <v>10638</v>
      </c>
      <c r="L2180" s="1">
        <v>662.0</v>
      </c>
      <c r="M2180" s="1" t="s">
        <v>35</v>
      </c>
      <c r="N2180" s="1" t="s">
        <v>260</v>
      </c>
      <c r="O2180" s="1" t="s">
        <v>628</v>
      </c>
      <c r="P2180" s="1">
        <v>1.5E7</v>
      </c>
      <c r="Q2180" s="1">
        <v>2005.0</v>
      </c>
      <c r="R2180" s="1">
        <v>654.0</v>
      </c>
      <c r="S2180" s="1">
        <v>529.0</v>
      </c>
      <c r="T2180" s="1">
        <v>233.0</v>
      </c>
      <c r="U2180" s="1">
        <v>1876.0</v>
      </c>
      <c r="V2180" s="1">
        <v>0.0</v>
      </c>
      <c r="W2180" s="1">
        <v>0.0</v>
      </c>
      <c r="X2180" s="1">
        <v>8.0</v>
      </c>
      <c r="Y2180" s="1">
        <v>2.35</v>
      </c>
      <c r="Z2180" s="1">
        <v>6.2</v>
      </c>
    </row>
    <row r="2181" ht="14.25" customHeight="1">
      <c r="A2181" s="1" t="s">
        <v>26</v>
      </c>
      <c r="B2181" s="1" t="s">
        <v>2661</v>
      </c>
      <c r="C2181" s="1" t="s">
        <v>10639</v>
      </c>
      <c r="D2181" s="1">
        <v>1.0562387E7</v>
      </c>
      <c r="E2181" s="1" t="s">
        <v>5085</v>
      </c>
      <c r="F2181" s="1" t="s">
        <v>41</v>
      </c>
      <c r="G2181" s="1" t="s">
        <v>1951</v>
      </c>
      <c r="H2181" s="1" t="s">
        <v>4507</v>
      </c>
      <c r="I2181" s="1">
        <v>213226.0</v>
      </c>
      <c r="J2181" s="1" t="s">
        <v>10640</v>
      </c>
      <c r="K2181" s="1" t="s">
        <v>10641</v>
      </c>
      <c r="L2181" s="1">
        <v>648.0</v>
      </c>
      <c r="M2181" s="1" t="s">
        <v>35</v>
      </c>
      <c r="N2181" s="1" t="s">
        <v>36</v>
      </c>
      <c r="O2181" s="1" t="s">
        <v>628</v>
      </c>
      <c r="P2181" s="1">
        <v>1.85E7</v>
      </c>
      <c r="Q2181" s="1">
        <v>1998.0</v>
      </c>
      <c r="R2181" s="1">
        <v>40000.0</v>
      </c>
      <c r="S2181" s="1">
        <v>693.0</v>
      </c>
      <c r="T2181" s="1">
        <v>551.0</v>
      </c>
      <c r="U2181" s="1">
        <v>43105.0</v>
      </c>
      <c r="V2181" s="1">
        <v>0.0</v>
      </c>
      <c r="W2181" s="1">
        <v>15000.0</v>
      </c>
      <c r="X2181" s="1">
        <v>0.0</v>
      </c>
      <c r="Y2181" s="1">
        <v>2.35</v>
      </c>
      <c r="Z2181" s="1">
        <v>7.7</v>
      </c>
    </row>
    <row r="2182" ht="14.25" customHeight="1">
      <c r="A2182" s="1" t="s">
        <v>26</v>
      </c>
      <c r="B2182" s="1" t="s">
        <v>10642</v>
      </c>
      <c r="C2182" s="1" t="s">
        <v>10643</v>
      </c>
      <c r="D2182" s="1">
        <v>1.8439082E7</v>
      </c>
      <c r="E2182" s="1" t="s">
        <v>3439</v>
      </c>
      <c r="F2182" s="1" t="s">
        <v>713</v>
      </c>
      <c r="G2182" s="1" t="s">
        <v>4543</v>
      </c>
      <c r="H2182" s="1" t="s">
        <v>8409</v>
      </c>
      <c r="I2182" s="1">
        <v>94292.0</v>
      </c>
      <c r="J2182" s="1" t="s">
        <v>10644</v>
      </c>
      <c r="K2182" s="1" t="s">
        <v>10645</v>
      </c>
      <c r="L2182" s="1">
        <v>287.0</v>
      </c>
      <c r="M2182" s="1" t="s">
        <v>35</v>
      </c>
      <c r="N2182" s="1" t="s">
        <v>36</v>
      </c>
      <c r="O2182" s="1" t="s">
        <v>37</v>
      </c>
      <c r="P2182" s="1">
        <v>1.85E7</v>
      </c>
      <c r="Q2182" s="1">
        <v>2009.0</v>
      </c>
      <c r="R2182" s="1">
        <v>3000.0</v>
      </c>
      <c r="S2182" s="1">
        <v>2000.0</v>
      </c>
      <c r="T2182" s="1">
        <v>985.0</v>
      </c>
      <c r="U2182" s="1">
        <v>7252.0</v>
      </c>
      <c r="V2182" s="1">
        <v>0.0</v>
      </c>
      <c r="W2182" s="1">
        <v>13000.0</v>
      </c>
      <c r="X2182" s="1">
        <v>3.0</v>
      </c>
      <c r="Y2182" s="1">
        <v>1.85</v>
      </c>
      <c r="Z2182" s="1">
        <v>6.4</v>
      </c>
    </row>
    <row r="2183" ht="14.25" customHeight="1">
      <c r="A2183" s="1" t="s">
        <v>26</v>
      </c>
      <c r="B2183" s="1" t="s">
        <v>6911</v>
      </c>
      <c r="C2183" s="1" t="s">
        <v>10646</v>
      </c>
      <c r="D2183" s="1">
        <v>1.50056505E8</v>
      </c>
      <c r="E2183" s="1" t="s">
        <v>1885</v>
      </c>
      <c r="F2183" s="1" t="s">
        <v>4772</v>
      </c>
      <c r="G2183" s="1" t="s">
        <v>10647</v>
      </c>
      <c r="H2183" s="1" t="s">
        <v>496</v>
      </c>
      <c r="I2183" s="1">
        <v>216581.0</v>
      </c>
      <c r="J2183" s="1" t="s">
        <v>10648</v>
      </c>
      <c r="K2183" s="1" t="s">
        <v>10649</v>
      </c>
      <c r="L2183" s="1">
        <v>397.0</v>
      </c>
      <c r="M2183" s="1" t="s">
        <v>35</v>
      </c>
      <c r="N2183" s="1" t="s">
        <v>36</v>
      </c>
      <c r="O2183" s="1" t="s">
        <v>628</v>
      </c>
      <c r="P2183" s="1">
        <v>1.8E7</v>
      </c>
      <c r="Q2183" s="1">
        <v>2014.0</v>
      </c>
      <c r="R2183" s="1">
        <v>920.0</v>
      </c>
      <c r="S2183" s="1">
        <v>798.0</v>
      </c>
      <c r="T2183" s="1">
        <v>329.0</v>
      </c>
      <c r="U2183" s="1">
        <v>2771.0</v>
      </c>
      <c r="V2183" s="1">
        <v>89.0</v>
      </c>
      <c r="W2183" s="1">
        <v>21000.0</v>
      </c>
      <c r="X2183" s="1">
        <v>3.0</v>
      </c>
      <c r="Y2183" s="1">
        <v>2.35</v>
      </c>
      <c r="Z2183" s="1">
        <v>6.4</v>
      </c>
    </row>
    <row r="2184" ht="14.25" customHeight="1">
      <c r="A2184" s="1" t="s">
        <v>26</v>
      </c>
      <c r="B2184" s="1" t="s">
        <v>1674</v>
      </c>
      <c r="C2184" s="1" t="s">
        <v>10650</v>
      </c>
      <c r="D2184" s="1">
        <v>1.1993873E8</v>
      </c>
      <c r="E2184" s="1" t="s">
        <v>10173</v>
      </c>
      <c r="F2184" s="1" t="s">
        <v>3944</v>
      </c>
      <c r="G2184" s="1" t="s">
        <v>10651</v>
      </c>
      <c r="H2184" s="1" t="s">
        <v>1433</v>
      </c>
      <c r="I2184" s="1">
        <v>265818.0</v>
      </c>
      <c r="J2184" s="1" t="s">
        <v>10652</v>
      </c>
      <c r="K2184" s="1" t="s">
        <v>10653</v>
      </c>
      <c r="L2184" s="1">
        <v>213.0</v>
      </c>
      <c r="M2184" s="1" t="s">
        <v>35</v>
      </c>
      <c r="N2184" s="1" t="s">
        <v>36</v>
      </c>
      <c r="O2184" s="1" t="s">
        <v>37</v>
      </c>
      <c r="P2184" s="1">
        <v>1.8E7</v>
      </c>
      <c r="Q2184" s="1">
        <v>1994.0</v>
      </c>
      <c r="R2184" s="1">
        <v>789.0</v>
      </c>
      <c r="S2184" s="1">
        <v>424.0</v>
      </c>
      <c r="T2184" s="1">
        <v>360.0</v>
      </c>
      <c r="U2184" s="1">
        <v>2085.0</v>
      </c>
      <c r="V2184" s="1">
        <v>55.0</v>
      </c>
      <c r="W2184" s="1">
        <v>0.0</v>
      </c>
      <c r="X2184" s="1">
        <v>0.0</v>
      </c>
      <c r="Y2184" s="1">
        <v>1.85</v>
      </c>
      <c r="Z2184" s="1">
        <v>6.9</v>
      </c>
    </row>
    <row r="2185" ht="14.25" customHeight="1">
      <c r="A2185" s="1" t="s">
        <v>26</v>
      </c>
      <c r="B2185" s="1" t="s">
        <v>5289</v>
      </c>
      <c r="C2185" s="1" t="s">
        <v>10654</v>
      </c>
      <c r="D2185" s="1">
        <v>1.14968774E8</v>
      </c>
      <c r="E2185" s="1" t="s">
        <v>6008</v>
      </c>
      <c r="F2185" s="1" t="s">
        <v>314</v>
      </c>
      <c r="G2185" s="1" t="s">
        <v>1875</v>
      </c>
      <c r="H2185" s="1" t="s">
        <v>3032</v>
      </c>
      <c r="I2185" s="1">
        <v>153468.0</v>
      </c>
      <c r="J2185" s="1" t="s">
        <v>10655</v>
      </c>
      <c r="K2185" s="1" t="s">
        <v>10656</v>
      </c>
      <c r="L2185" s="1">
        <v>204.0</v>
      </c>
      <c r="M2185" s="1" t="s">
        <v>35</v>
      </c>
      <c r="N2185" s="1" t="s">
        <v>36</v>
      </c>
      <c r="O2185" s="1" t="s">
        <v>87</v>
      </c>
      <c r="P2185" s="1">
        <v>1.8E7</v>
      </c>
      <c r="Q2185" s="1">
        <v>1988.0</v>
      </c>
      <c r="R2185" s="1">
        <v>15000.0</v>
      </c>
      <c r="S2185" s="1">
        <v>11000.0</v>
      </c>
      <c r="T2185" s="1">
        <v>697.0</v>
      </c>
      <c r="U2185" s="1">
        <v>28018.0</v>
      </c>
      <c r="V2185" s="1">
        <v>545.0</v>
      </c>
      <c r="W2185" s="1">
        <v>0.0</v>
      </c>
      <c r="X2185" s="1">
        <v>1.0</v>
      </c>
      <c r="Y2185" s="1">
        <v>1.85</v>
      </c>
      <c r="Z2185" s="1">
        <v>7.3</v>
      </c>
    </row>
    <row r="2186" ht="14.25" customHeight="1">
      <c r="A2186" s="1" t="s">
        <v>26</v>
      </c>
      <c r="B2186" s="1" t="s">
        <v>3531</v>
      </c>
      <c r="C2186" s="1" t="s">
        <v>10657</v>
      </c>
      <c r="D2186" s="1">
        <v>1.28505958E8</v>
      </c>
      <c r="E2186" s="1" t="s">
        <v>1885</v>
      </c>
      <c r="F2186" s="1" t="s">
        <v>10658</v>
      </c>
      <c r="G2186" s="1" t="s">
        <v>10659</v>
      </c>
      <c r="H2186" s="1" t="s">
        <v>10660</v>
      </c>
      <c r="I2186" s="1">
        <v>297014.0</v>
      </c>
      <c r="J2186" s="1" t="s">
        <v>10661</v>
      </c>
      <c r="K2186" s="1" t="s">
        <v>10662</v>
      </c>
      <c r="L2186" s="1">
        <v>1198.0</v>
      </c>
      <c r="M2186" s="1" t="s">
        <v>35</v>
      </c>
      <c r="N2186" s="1" t="s">
        <v>36</v>
      </c>
      <c r="O2186" s="1" t="s">
        <v>628</v>
      </c>
      <c r="P2186" s="1">
        <v>1.8E7</v>
      </c>
      <c r="Q2186" s="1">
        <v>2006.0</v>
      </c>
      <c r="R2186" s="1">
        <v>332.0</v>
      </c>
      <c r="S2186" s="1">
        <v>165.0</v>
      </c>
      <c r="T2186" s="1">
        <v>6.0</v>
      </c>
      <c r="U2186" s="1">
        <v>505.0</v>
      </c>
      <c r="V2186" s="1">
        <v>119.0</v>
      </c>
      <c r="W2186" s="1">
        <v>0.0</v>
      </c>
      <c r="X2186" s="1">
        <v>1.0</v>
      </c>
      <c r="Y2186" s="1">
        <v>1.85</v>
      </c>
      <c r="Z2186" s="1">
        <v>7.3</v>
      </c>
    </row>
    <row r="2187" ht="14.25" customHeight="1">
      <c r="A2187" s="1" t="s">
        <v>26</v>
      </c>
      <c r="B2187" s="1" t="s">
        <v>2942</v>
      </c>
      <c r="C2187" s="1" t="s">
        <v>10663</v>
      </c>
      <c r="D2187" s="1">
        <v>9.5001351E7</v>
      </c>
      <c r="E2187" s="1" t="s">
        <v>1598</v>
      </c>
      <c r="F2187" s="1" t="s">
        <v>2379</v>
      </c>
      <c r="G2187" s="1" t="s">
        <v>10664</v>
      </c>
      <c r="H2187" s="1" t="s">
        <v>10665</v>
      </c>
      <c r="I2187" s="1">
        <v>131801.0</v>
      </c>
      <c r="J2187" s="1" t="s">
        <v>10666</v>
      </c>
      <c r="K2187" s="1" t="s">
        <v>10667</v>
      </c>
      <c r="L2187" s="1">
        <v>548.0</v>
      </c>
      <c r="M2187" s="1" t="s">
        <v>35</v>
      </c>
      <c r="N2187" s="1" t="s">
        <v>36</v>
      </c>
      <c r="O2187" s="1" t="s">
        <v>37</v>
      </c>
      <c r="P2187" s="1">
        <v>1.8E7</v>
      </c>
      <c r="Q2187" s="1">
        <v>2001.0</v>
      </c>
      <c r="R2187" s="1">
        <v>2000.0</v>
      </c>
      <c r="S2187" s="1">
        <v>788.0</v>
      </c>
      <c r="T2187" s="1">
        <v>584.0</v>
      </c>
      <c r="U2187" s="1">
        <v>4380.0</v>
      </c>
      <c r="V2187" s="1">
        <v>126.0</v>
      </c>
      <c r="W2187" s="1">
        <v>0.0</v>
      </c>
      <c r="X2187" s="1">
        <v>1.0</v>
      </c>
      <c r="Y2187" s="1">
        <v>2.35</v>
      </c>
      <c r="Z2187" s="1">
        <v>6.2</v>
      </c>
    </row>
    <row r="2188" ht="14.25" customHeight="1">
      <c r="A2188" s="1" t="s">
        <v>26</v>
      </c>
      <c r="B2188" s="1" t="s">
        <v>992</v>
      </c>
      <c r="C2188" s="1" t="s">
        <v>10668</v>
      </c>
      <c r="D2188" s="1">
        <v>7.64E7</v>
      </c>
      <c r="E2188" s="1" t="s">
        <v>65</v>
      </c>
      <c r="F2188" s="1" t="s">
        <v>992</v>
      </c>
      <c r="G2188" s="1" t="s">
        <v>6835</v>
      </c>
      <c r="H2188" s="1" t="s">
        <v>6836</v>
      </c>
      <c r="I2188" s="1">
        <v>58743.0</v>
      </c>
      <c r="J2188" s="1" t="s">
        <v>10669</v>
      </c>
      <c r="K2188" s="1" t="s">
        <v>10670</v>
      </c>
      <c r="L2188" s="1">
        <v>192.0</v>
      </c>
      <c r="M2188" s="1" t="s">
        <v>35</v>
      </c>
      <c r="N2188" s="1" t="s">
        <v>36</v>
      </c>
      <c r="O2188" s="1" t="s">
        <v>87</v>
      </c>
      <c r="P2188" s="1">
        <v>1.7E7</v>
      </c>
      <c r="Q2188" s="1">
        <v>1984.0</v>
      </c>
      <c r="R2188" s="1">
        <v>12000.0</v>
      </c>
      <c r="S2188" s="1">
        <v>664.0</v>
      </c>
      <c r="T2188" s="1">
        <v>643.0</v>
      </c>
      <c r="U2188" s="1">
        <v>14762.0</v>
      </c>
      <c r="V2188" s="1">
        <v>12000.0</v>
      </c>
      <c r="W2188" s="1">
        <v>0.0</v>
      </c>
      <c r="X2188" s="1">
        <v>1.0</v>
      </c>
      <c r="Y2188" s="1">
        <v>2.35</v>
      </c>
      <c r="Z2188" s="1">
        <v>6.6</v>
      </c>
    </row>
    <row r="2189" ht="14.25" customHeight="1">
      <c r="A2189" s="1" t="s">
        <v>26</v>
      </c>
      <c r="B2189" s="1" t="s">
        <v>2564</v>
      </c>
      <c r="C2189" s="1" t="s">
        <v>10671</v>
      </c>
      <c r="D2189" s="1">
        <v>7.5072454E7</v>
      </c>
      <c r="E2189" s="1" t="s">
        <v>4158</v>
      </c>
      <c r="F2189" s="1" t="s">
        <v>130</v>
      </c>
      <c r="G2189" s="1" t="s">
        <v>3950</v>
      </c>
      <c r="H2189" s="1" t="s">
        <v>10672</v>
      </c>
      <c r="I2189" s="1">
        <v>96569.0</v>
      </c>
      <c r="J2189" s="1" t="s">
        <v>10673</v>
      </c>
      <c r="K2189" s="1" t="s">
        <v>10674</v>
      </c>
      <c r="L2189" s="1">
        <v>522.0</v>
      </c>
      <c r="M2189" s="1" t="s">
        <v>35</v>
      </c>
      <c r="N2189" s="1" t="s">
        <v>36</v>
      </c>
      <c r="O2189" s="1" t="s">
        <v>37</v>
      </c>
      <c r="P2189" s="1">
        <v>2.0E7</v>
      </c>
      <c r="Q2189" s="1">
        <v>2005.0</v>
      </c>
      <c r="R2189" s="1">
        <v>1000.0</v>
      </c>
      <c r="S2189" s="1">
        <v>539.0</v>
      </c>
      <c r="T2189" s="1">
        <v>457.0</v>
      </c>
      <c r="U2189" s="1">
        <v>2759.0</v>
      </c>
      <c r="V2189" s="1">
        <v>301.0</v>
      </c>
      <c r="W2189" s="1">
        <v>0.0</v>
      </c>
      <c r="X2189" s="1">
        <v>0.0</v>
      </c>
      <c r="Y2189" s="1">
        <v>2.35</v>
      </c>
      <c r="Z2189" s="1">
        <v>6.7</v>
      </c>
    </row>
    <row r="2190" ht="14.25" customHeight="1">
      <c r="A2190" s="1" t="s">
        <v>26</v>
      </c>
      <c r="B2190" s="1" t="s">
        <v>572</v>
      </c>
      <c r="C2190" s="1" t="s">
        <v>10675</v>
      </c>
      <c r="D2190" s="1">
        <v>6.5535067E7</v>
      </c>
      <c r="E2190" s="1" t="s">
        <v>1598</v>
      </c>
      <c r="F2190" s="1" t="s">
        <v>464</v>
      </c>
      <c r="G2190" s="1" t="s">
        <v>8871</v>
      </c>
      <c r="H2190" s="1" t="s">
        <v>10676</v>
      </c>
      <c r="I2190" s="1">
        <v>59380.0</v>
      </c>
      <c r="J2190" s="1" t="s">
        <v>10677</v>
      </c>
      <c r="K2190" s="1" t="s">
        <v>10678</v>
      </c>
      <c r="L2190" s="1">
        <v>202.0</v>
      </c>
      <c r="M2190" s="1" t="s">
        <v>35</v>
      </c>
      <c r="N2190" s="1" t="s">
        <v>36</v>
      </c>
      <c r="O2190" s="1" t="s">
        <v>628</v>
      </c>
      <c r="P2190" s="1">
        <v>1.7E7</v>
      </c>
      <c r="Q2190" s="1">
        <v>1999.0</v>
      </c>
      <c r="R2190" s="1">
        <v>1000.0</v>
      </c>
      <c r="S2190" s="1">
        <v>489.0</v>
      </c>
      <c r="T2190" s="1">
        <v>489.0</v>
      </c>
      <c r="U2190" s="1">
        <v>2604.0</v>
      </c>
      <c r="V2190" s="1">
        <v>31.0</v>
      </c>
      <c r="W2190" s="1">
        <v>0.0</v>
      </c>
      <c r="X2190" s="1">
        <v>1.0</v>
      </c>
      <c r="Y2190" s="1">
        <v>1.85</v>
      </c>
      <c r="Z2190" s="1">
        <v>5.7</v>
      </c>
    </row>
    <row r="2191" ht="14.25" customHeight="1">
      <c r="A2191" s="1" t="s">
        <v>26</v>
      </c>
      <c r="B2191" s="1" t="s">
        <v>10679</v>
      </c>
      <c r="C2191" s="1" t="s">
        <v>10680</v>
      </c>
      <c r="D2191" s="1">
        <v>1.3998282E7</v>
      </c>
      <c r="E2191" s="1" t="s">
        <v>10681</v>
      </c>
      <c r="F2191" s="1" t="s">
        <v>668</v>
      </c>
      <c r="G2191" s="1" t="s">
        <v>5868</v>
      </c>
      <c r="H2191" s="1" t="s">
        <v>6815</v>
      </c>
      <c r="I2191" s="1">
        <v>24854.0</v>
      </c>
      <c r="J2191" s="1" t="s">
        <v>10682</v>
      </c>
      <c r="K2191" s="1" t="s">
        <v>10683</v>
      </c>
      <c r="L2191" s="1">
        <v>374.0</v>
      </c>
      <c r="M2191" s="1" t="s">
        <v>35</v>
      </c>
      <c r="N2191" s="1" t="s">
        <v>36</v>
      </c>
      <c r="O2191" s="1" t="s">
        <v>37</v>
      </c>
      <c r="P2191" s="1">
        <v>1.6E7</v>
      </c>
      <c r="Q2191" s="1">
        <v>2014.0</v>
      </c>
      <c r="R2191" s="1">
        <v>12000.0</v>
      </c>
      <c r="S2191" s="1">
        <v>1000.0</v>
      </c>
      <c r="T2191" s="1">
        <v>734.0</v>
      </c>
      <c r="U2191" s="1">
        <v>15044.0</v>
      </c>
      <c r="V2191" s="1">
        <v>179.0</v>
      </c>
      <c r="W2191" s="1">
        <v>31000.0</v>
      </c>
      <c r="X2191" s="1">
        <v>1.0</v>
      </c>
      <c r="Y2191" s="1">
        <v>2.35</v>
      </c>
      <c r="Z2191" s="1">
        <v>3.1</v>
      </c>
    </row>
    <row r="2192" ht="14.25" customHeight="1">
      <c r="A2192" s="1" t="s">
        <v>26</v>
      </c>
      <c r="B2192" s="1" t="s">
        <v>10081</v>
      </c>
      <c r="C2192" s="1" t="s">
        <v>10684</v>
      </c>
      <c r="D2192" s="1">
        <v>6061759.0</v>
      </c>
      <c r="E2192" s="1" t="s">
        <v>1359</v>
      </c>
      <c r="F2192" s="1" t="s">
        <v>1981</v>
      </c>
      <c r="G2192" s="1" t="s">
        <v>10685</v>
      </c>
      <c r="H2192" s="1" t="s">
        <v>8998</v>
      </c>
      <c r="I2192" s="1">
        <v>49077.0</v>
      </c>
      <c r="J2192" s="1" t="s">
        <v>10686</v>
      </c>
      <c r="K2192" s="1" t="s">
        <v>10687</v>
      </c>
      <c r="L2192" s="1">
        <v>475.0</v>
      </c>
      <c r="M2192" s="1" t="s">
        <v>35</v>
      </c>
      <c r="N2192" s="1" t="s">
        <v>36</v>
      </c>
      <c r="O2192" s="1" t="s">
        <v>37</v>
      </c>
      <c r="P2192" s="1">
        <v>1.7E7</v>
      </c>
      <c r="Q2192" s="1">
        <v>2005.0</v>
      </c>
      <c r="R2192" s="1">
        <v>723.0</v>
      </c>
      <c r="S2192" s="1">
        <v>552.0</v>
      </c>
      <c r="T2192" s="1">
        <v>172.0</v>
      </c>
      <c r="U2192" s="1">
        <v>1615.0</v>
      </c>
      <c r="V2192" s="1">
        <v>15.0</v>
      </c>
      <c r="W2192" s="1">
        <v>0.0</v>
      </c>
      <c r="X2192" s="1">
        <v>0.0</v>
      </c>
      <c r="Y2192" s="1">
        <v>1.85</v>
      </c>
      <c r="Z2192" s="1">
        <v>6.3</v>
      </c>
    </row>
    <row r="2193" ht="14.25" customHeight="1">
      <c r="A2193" s="1" t="s">
        <v>710</v>
      </c>
      <c r="B2193" s="1" t="s">
        <v>6853</v>
      </c>
      <c r="C2193" s="1" t="s">
        <v>10688</v>
      </c>
      <c r="D2193" s="1">
        <v>6.4955956E7</v>
      </c>
      <c r="E2193" s="1" t="s">
        <v>2422</v>
      </c>
      <c r="F2193" s="1" t="s">
        <v>135</v>
      </c>
      <c r="G2193" s="1" t="s">
        <v>10689</v>
      </c>
      <c r="H2193" s="1" t="s">
        <v>6779</v>
      </c>
      <c r="I2193" s="1">
        <v>10104.0</v>
      </c>
      <c r="J2193" s="1" t="s">
        <v>10690</v>
      </c>
      <c r="K2193" s="1" t="s">
        <v>10691</v>
      </c>
      <c r="L2193" s="1">
        <v>69.0</v>
      </c>
      <c r="M2193" s="1" t="s">
        <v>35</v>
      </c>
      <c r="N2193" s="1" t="s">
        <v>36</v>
      </c>
      <c r="O2193" s="1" t="s">
        <v>37</v>
      </c>
      <c r="P2193" s="1">
        <v>1.8E7</v>
      </c>
      <c r="Q2193" s="1">
        <v>2004.0</v>
      </c>
      <c r="R2193" s="1">
        <v>748.0</v>
      </c>
      <c r="S2193" s="1">
        <v>656.0</v>
      </c>
      <c r="T2193" s="1">
        <v>521.0</v>
      </c>
      <c r="U2193" s="1">
        <v>3956.0</v>
      </c>
      <c r="V2193" s="1">
        <v>8.0</v>
      </c>
      <c r="W2193" s="1">
        <v>265.0</v>
      </c>
      <c r="X2193" s="1">
        <v>4.0</v>
      </c>
      <c r="Y2193" s="1">
        <v>1.85</v>
      </c>
      <c r="Z2193" s="1">
        <v>5.7</v>
      </c>
    </row>
    <row r="2194" ht="14.25" customHeight="1">
      <c r="A2194" s="1" t="s">
        <v>26</v>
      </c>
      <c r="B2194" s="1" t="s">
        <v>10692</v>
      </c>
      <c r="C2194" s="1" t="s">
        <v>10693</v>
      </c>
      <c r="D2194" s="1">
        <v>6.0057639E7</v>
      </c>
      <c r="E2194" s="1" t="s">
        <v>8521</v>
      </c>
      <c r="F2194" s="1" t="s">
        <v>767</v>
      </c>
      <c r="G2194" s="1" t="s">
        <v>4709</v>
      </c>
      <c r="H2194" s="1" t="s">
        <v>1779</v>
      </c>
      <c r="I2194" s="1">
        <v>107815.0</v>
      </c>
      <c r="J2194" s="1" t="s">
        <v>10694</v>
      </c>
      <c r="K2194" s="1" t="s">
        <v>10695</v>
      </c>
      <c r="L2194" s="1">
        <v>485.0</v>
      </c>
      <c r="M2194" s="1" t="s">
        <v>35</v>
      </c>
      <c r="N2194" s="1" t="s">
        <v>36</v>
      </c>
      <c r="O2194" s="1" t="s">
        <v>628</v>
      </c>
      <c r="P2194" s="1">
        <v>1.8E7</v>
      </c>
      <c r="Q2194" s="1">
        <v>2003.0</v>
      </c>
      <c r="R2194" s="1">
        <v>1000.0</v>
      </c>
      <c r="S2194" s="1">
        <v>624.0</v>
      </c>
      <c r="T2194" s="1">
        <v>566.0</v>
      </c>
      <c r="U2194" s="1">
        <v>3151.0</v>
      </c>
      <c r="V2194" s="1">
        <v>72.0</v>
      </c>
      <c r="W2194" s="1">
        <v>10000.0</v>
      </c>
      <c r="X2194" s="1">
        <v>2.0</v>
      </c>
      <c r="Y2194" s="1">
        <v>1.85</v>
      </c>
      <c r="Z2194" s="1">
        <v>7.1</v>
      </c>
    </row>
    <row r="2195" ht="14.25" customHeight="1">
      <c r="A2195" s="1" t="s">
        <v>26</v>
      </c>
      <c r="B2195" s="1" t="s">
        <v>1883</v>
      </c>
      <c r="C2195" s="1" t="s">
        <v>10696</v>
      </c>
      <c r="D2195" s="1">
        <v>5.386803E7</v>
      </c>
      <c r="E2195" s="1" t="s">
        <v>972</v>
      </c>
      <c r="F2195" s="1" t="s">
        <v>1197</v>
      </c>
      <c r="G2195" s="1" t="s">
        <v>2594</v>
      </c>
      <c r="H2195" s="1" t="s">
        <v>3652</v>
      </c>
      <c r="I2195" s="1">
        <v>183425.0</v>
      </c>
      <c r="J2195" s="1" t="s">
        <v>10697</v>
      </c>
      <c r="K2195" s="1" t="s">
        <v>10698</v>
      </c>
      <c r="L2195" s="1">
        <v>425.0</v>
      </c>
      <c r="M2195" s="1" t="s">
        <v>35</v>
      </c>
      <c r="N2195" s="1" t="s">
        <v>36</v>
      </c>
      <c r="O2195" s="1" t="s">
        <v>37</v>
      </c>
      <c r="P2195" s="1">
        <v>1.7E7</v>
      </c>
      <c r="Q2195" s="1">
        <v>1997.0</v>
      </c>
      <c r="R2195" s="1">
        <v>8000.0</v>
      </c>
      <c r="S2195" s="1">
        <v>503.0</v>
      </c>
      <c r="T2195" s="1">
        <v>481.0</v>
      </c>
      <c r="U2195" s="1">
        <v>10557.0</v>
      </c>
      <c r="V2195" s="1">
        <v>116.0</v>
      </c>
      <c r="W2195" s="1">
        <v>0.0</v>
      </c>
      <c r="X2195" s="1">
        <v>2.0</v>
      </c>
      <c r="Y2195" s="1">
        <v>2.35</v>
      </c>
      <c r="Z2195" s="1">
        <v>7.0</v>
      </c>
    </row>
    <row r="2196" ht="14.25" customHeight="1">
      <c r="A2196" s="1" t="s">
        <v>26</v>
      </c>
      <c r="B2196" s="1" t="s">
        <v>6672</v>
      </c>
      <c r="C2196" s="1" t="s">
        <v>10699</v>
      </c>
      <c r="D2196" s="1">
        <v>5.9573085E7</v>
      </c>
      <c r="E2196" s="1" t="s">
        <v>2599</v>
      </c>
      <c r="F2196" s="1" t="s">
        <v>10343</v>
      </c>
      <c r="G2196" s="1" t="s">
        <v>10700</v>
      </c>
      <c r="H2196" s="1" t="s">
        <v>10701</v>
      </c>
      <c r="I2196" s="1">
        <v>13562.0</v>
      </c>
      <c r="J2196" s="1" t="s">
        <v>10702</v>
      </c>
      <c r="K2196" s="1" t="s">
        <v>10703</v>
      </c>
      <c r="L2196" s="1">
        <v>103.0</v>
      </c>
      <c r="M2196" s="1" t="s">
        <v>35</v>
      </c>
      <c r="N2196" s="1" t="s">
        <v>36</v>
      </c>
      <c r="O2196" s="1" t="s">
        <v>37</v>
      </c>
      <c r="P2196" s="1">
        <v>1.8E7</v>
      </c>
      <c r="Q2196" s="1">
        <v>2016.0</v>
      </c>
      <c r="R2196" s="1">
        <v>567.0</v>
      </c>
      <c r="S2196" s="1">
        <v>312.0</v>
      </c>
      <c r="T2196" s="1">
        <v>261.0</v>
      </c>
      <c r="U2196" s="1">
        <v>2259.0</v>
      </c>
      <c r="V2196" s="1">
        <v>52.0</v>
      </c>
      <c r="W2196" s="1">
        <v>19000.0</v>
      </c>
      <c r="X2196" s="1">
        <v>10.0</v>
      </c>
      <c r="Y2196" s="1">
        <v>2.35</v>
      </c>
      <c r="Z2196" s="1">
        <v>6.1</v>
      </c>
    </row>
    <row r="2197" ht="14.25" customHeight="1">
      <c r="A2197" s="1" t="s">
        <v>26</v>
      </c>
      <c r="B2197" s="1" t="s">
        <v>898</v>
      </c>
      <c r="C2197" s="1" t="s">
        <v>10704</v>
      </c>
      <c r="D2197" s="1">
        <v>5.2691009E7</v>
      </c>
      <c r="E2197" s="1" t="s">
        <v>2904</v>
      </c>
      <c r="F2197" s="1" t="s">
        <v>9584</v>
      </c>
      <c r="G2197" s="1" t="s">
        <v>2112</v>
      </c>
      <c r="H2197" s="1" t="s">
        <v>10705</v>
      </c>
      <c r="I2197" s="1">
        <v>18727.0</v>
      </c>
      <c r="J2197" s="1" t="s">
        <v>10706</v>
      </c>
      <c r="K2197" s="1" t="s">
        <v>10707</v>
      </c>
      <c r="L2197" s="1">
        <v>45.0</v>
      </c>
      <c r="M2197" s="1" t="s">
        <v>35</v>
      </c>
      <c r="N2197" s="1" t="s">
        <v>36</v>
      </c>
      <c r="O2197" s="1" t="s">
        <v>87</v>
      </c>
      <c r="P2197" s="1">
        <v>2.1E7</v>
      </c>
      <c r="Q2197" s="1">
        <v>2011.0</v>
      </c>
      <c r="R2197" s="1">
        <v>975.0</v>
      </c>
      <c r="S2197" s="1">
        <v>569.0</v>
      </c>
      <c r="T2197" s="1">
        <v>557.0</v>
      </c>
      <c r="U2197" s="1">
        <v>3567.0</v>
      </c>
      <c r="V2197" s="1">
        <v>42.0</v>
      </c>
      <c r="W2197" s="1">
        <v>0.0</v>
      </c>
      <c r="X2197" s="1">
        <v>2.0</v>
      </c>
      <c r="Y2197" s="1">
        <v>2.35</v>
      </c>
      <c r="Z2197" s="1">
        <v>6.6</v>
      </c>
    </row>
    <row r="2198" ht="14.25" customHeight="1">
      <c r="A2198" s="1" t="s">
        <v>26</v>
      </c>
      <c r="B2198" s="1" t="s">
        <v>1255</v>
      </c>
      <c r="C2198" s="1" t="s">
        <v>10708</v>
      </c>
      <c r="D2198" s="1">
        <v>5.9735548E7</v>
      </c>
      <c r="E2198" s="1" t="s">
        <v>3966</v>
      </c>
      <c r="F2198" s="1" t="s">
        <v>241</v>
      </c>
      <c r="G2198" s="1" t="s">
        <v>4808</v>
      </c>
      <c r="H2198" s="1" t="s">
        <v>10709</v>
      </c>
      <c r="I2198" s="1">
        <v>290949.0</v>
      </c>
      <c r="J2198" s="1" t="s">
        <v>10710</v>
      </c>
      <c r="K2198" s="1" t="s">
        <v>10711</v>
      </c>
      <c r="L2198" s="1">
        <v>629.0</v>
      </c>
      <c r="M2198" s="1" t="s">
        <v>35</v>
      </c>
      <c r="N2198" s="1" t="s">
        <v>36</v>
      </c>
      <c r="O2198" s="1" t="s">
        <v>628</v>
      </c>
      <c r="P2198" s="1">
        <v>1.5E7</v>
      </c>
      <c r="Q2198" s="1">
        <v>1987.0</v>
      </c>
      <c r="R2198" s="1">
        <v>1000.0</v>
      </c>
      <c r="S2198" s="1">
        <v>1000.0</v>
      </c>
      <c r="T2198" s="1">
        <v>794.0</v>
      </c>
      <c r="U2198" s="1">
        <v>4223.0</v>
      </c>
      <c r="V2198" s="1">
        <v>323.0</v>
      </c>
      <c r="W2198" s="1">
        <v>13000.0</v>
      </c>
      <c r="X2198" s="1">
        <v>1.0</v>
      </c>
      <c r="Y2198" s="1">
        <v>1.85</v>
      </c>
      <c r="Z2198" s="1">
        <v>7.8</v>
      </c>
    </row>
    <row r="2199" ht="14.25" customHeight="1">
      <c r="A2199" s="1" t="s">
        <v>26</v>
      </c>
      <c r="B2199" s="1" t="s">
        <v>4686</v>
      </c>
      <c r="C2199" s="1" t="s">
        <v>10712</v>
      </c>
      <c r="D2199" s="1">
        <v>5.16E7</v>
      </c>
      <c r="E2199" s="1" t="s">
        <v>10713</v>
      </c>
      <c r="F2199" s="1" t="s">
        <v>1577</v>
      </c>
      <c r="G2199" s="1" t="s">
        <v>2317</v>
      </c>
      <c r="H2199" s="1" t="s">
        <v>2402</v>
      </c>
      <c r="I2199" s="1">
        <v>270790.0</v>
      </c>
      <c r="J2199" s="1" t="s">
        <v>10714</v>
      </c>
      <c r="K2199" s="1" t="s">
        <v>10715</v>
      </c>
      <c r="L2199" s="1">
        <v>549.0</v>
      </c>
      <c r="M2199" s="1" t="s">
        <v>35</v>
      </c>
      <c r="N2199" s="1" t="s">
        <v>36</v>
      </c>
      <c r="O2199" s="1" t="s">
        <v>628</v>
      </c>
      <c r="P2199" s="1">
        <v>1.8E7</v>
      </c>
      <c r="Q2199" s="1">
        <v>1984.0</v>
      </c>
      <c r="R2199" s="1">
        <v>692.0</v>
      </c>
      <c r="S2199" s="1">
        <v>670.0</v>
      </c>
      <c r="T2199" s="1">
        <v>521.0</v>
      </c>
      <c r="U2199" s="1">
        <v>3076.0</v>
      </c>
      <c r="V2199" s="1">
        <v>869.0</v>
      </c>
      <c r="W2199" s="1">
        <v>16000.0</v>
      </c>
      <c r="X2199" s="1">
        <v>0.0</v>
      </c>
      <c r="Y2199" s="1">
        <v>2.35</v>
      </c>
      <c r="Z2199" s="1">
        <v>8.3</v>
      </c>
    </row>
    <row r="2200" ht="14.25" customHeight="1">
      <c r="A2200" s="1" t="s">
        <v>26</v>
      </c>
      <c r="B2200" s="1" t="s">
        <v>10716</v>
      </c>
      <c r="C2200" s="1" t="s">
        <v>10717</v>
      </c>
      <c r="D2200" s="1">
        <v>4.3818159E7</v>
      </c>
      <c r="E2200" s="1" t="s">
        <v>5924</v>
      </c>
      <c r="F2200" s="1" t="s">
        <v>1047</v>
      </c>
      <c r="G2200" s="1" t="s">
        <v>1352</v>
      </c>
      <c r="H2200" s="1" t="s">
        <v>10718</v>
      </c>
      <c r="I2200" s="1">
        <v>27664.0</v>
      </c>
      <c r="J2200" s="1" t="s">
        <v>10719</v>
      </c>
      <c r="K2200" s="1" t="s">
        <v>10720</v>
      </c>
      <c r="L2200" s="1">
        <v>260.0</v>
      </c>
      <c r="M2200" s="1" t="s">
        <v>35</v>
      </c>
      <c r="N2200" s="1" t="s">
        <v>36</v>
      </c>
      <c r="O2200" s="1" t="s">
        <v>37</v>
      </c>
      <c r="P2200" s="1">
        <v>2.0E7</v>
      </c>
      <c r="Q2200" s="1">
        <v>2008.0</v>
      </c>
      <c r="R2200" s="1">
        <v>2000.0</v>
      </c>
      <c r="S2200" s="1">
        <v>690.0</v>
      </c>
      <c r="T2200" s="1">
        <v>458.0</v>
      </c>
      <c r="U2200" s="1">
        <v>4867.0</v>
      </c>
      <c r="V2200" s="1">
        <v>29.0</v>
      </c>
      <c r="W2200" s="1">
        <v>1000.0</v>
      </c>
      <c r="X2200" s="1">
        <v>0.0</v>
      </c>
      <c r="Y2200" s="1">
        <v>2.35</v>
      </c>
      <c r="Z2200" s="1">
        <v>3.9</v>
      </c>
    </row>
    <row r="2201" ht="14.25" customHeight="1">
      <c r="A2201" s="1" t="s">
        <v>26</v>
      </c>
      <c r="B2201" s="1" t="s">
        <v>1961</v>
      </c>
      <c r="C2201" s="1" t="s">
        <v>10721</v>
      </c>
      <c r="D2201" s="1">
        <v>8.6049418E7</v>
      </c>
      <c r="E2201" s="1" t="s">
        <v>1885</v>
      </c>
      <c r="F2201" s="1" t="s">
        <v>4543</v>
      </c>
      <c r="G2201" s="1" t="s">
        <v>464</v>
      </c>
      <c r="H2201" s="1" t="s">
        <v>6693</v>
      </c>
      <c r="I2201" s="1">
        <v>245989.0</v>
      </c>
      <c r="J2201" s="1" t="s">
        <v>10722</v>
      </c>
      <c r="K2201" s="1" t="s">
        <v>10723</v>
      </c>
      <c r="L2201" s="1">
        <v>554.0</v>
      </c>
      <c r="M2201" s="1" t="s">
        <v>35</v>
      </c>
      <c r="N2201" s="1" t="s">
        <v>36</v>
      </c>
      <c r="O2201" s="1" t="s">
        <v>37</v>
      </c>
      <c r="P2201" s="1">
        <v>1.7E7</v>
      </c>
      <c r="Q2201" s="1">
        <v>2004.0</v>
      </c>
      <c r="R2201" s="1">
        <v>2000.0</v>
      </c>
      <c r="S2201" s="1">
        <v>1000.0</v>
      </c>
      <c r="T2201" s="1">
        <v>625.0</v>
      </c>
      <c r="U2201" s="1">
        <v>5032.0</v>
      </c>
      <c r="V2201" s="1">
        <v>70.0</v>
      </c>
      <c r="W2201" s="1">
        <v>0.0</v>
      </c>
      <c r="X2201" s="1">
        <v>4.0</v>
      </c>
      <c r="Y2201" s="1">
        <v>1.85</v>
      </c>
      <c r="Z2201" s="1">
        <v>7.0</v>
      </c>
    </row>
    <row r="2202" ht="14.25" customHeight="1">
      <c r="A2202" s="1" t="s">
        <v>26</v>
      </c>
      <c r="B2202" s="1" t="s">
        <v>10724</v>
      </c>
      <c r="C2202" s="1" t="s">
        <v>10725</v>
      </c>
      <c r="D2202" s="1">
        <v>4.3601508E7</v>
      </c>
      <c r="E2202" s="1" t="s">
        <v>1359</v>
      </c>
      <c r="F2202" s="1" t="s">
        <v>3187</v>
      </c>
      <c r="G2202" s="1" t="s">
        <v>10726</v>
      </c>
      <c r="H2202" s="1" t="s">
        <v>10727</v>
      </c>
      <c r="I2202" s="1">
        <v>35718.0</v>
      </c>
      <c r="J2202" s="1" t="s">
        <v>10728</v>
      </c>
      <c r="K2202" s="1" t="s">
        <v>10729</v>
      </c>
      <c r="L2202" s="1">
        <v>317.0</v>
      </c>
      <c r="M2202" s="1" t="s">
        <v>35</v>
      </c>
      <c r="N2202" s="1" t="s">
        <v>36</v>
      </c>
      <c r="O2202" s="1" t="s">
        <v>37</v>
      </c>
      <c r="P2202" s="1">
        <v>1.8E7</v>
      </c>
      <c r="Q2202" s="1">
        <v>2003.0</v>
      </c>
      <c r="R2202" s="1">
        <v>727.0</v>
      </c>
      <c r="S2202" s="1">
        <v>171.0</v>
      </c>
      <c r="T2202" s="1">
        <v>148.0</v>
      </c>
      <c r="U2202" s="1">
        <v>1310.0</v>
      </c>
      <c r="V2202" s="1">
        <v>22.0</v>
      </c>
      <c r="W2202" s="1">
        <v>0.0</v>
      </c>
      <c r="X2202" s="1">
        <v>1.0</v>
      </c>
      <c r="Y2202" s="1">
        <v>1.85</v>
      </c>
      <c r="Z2202" s="1">
        <v>6.7</v>
      </c>
    </row>
    <row r="2203" ht="14.25" customHeight="1">
      <c r="A2203" s="1" t="s">
        <v>26</v>
      </c>
      <c r="B2203" s="1" t="s">
        <v>10622</v>
      </c>
      <c r="C2203" s="1" t="s">
        <v>10730</v>
      </c>
      <c r="D2203" s="1">
        <v>4.1300105E7</v>
      </c>
      <c r="E2203" s="1" t="s">
        <v>7540</v>
      </c>
      <c r="F2203" s="1" t="s">
        <v>195</v>
      </c>
      <c r="G2203" s="1" t="s">
        <v>3183</v>
      </c>
      <c r="H2203" s="1" t="s">
        <v>10195</v>
      </c>
      <c r="I2203" s="1">
        <v>65201.0</v>
      </c>
      <c r="J2203" s="1" t="s">
        <v>10731</v>
      </c>
      <c r="K2203" s="1" t="s">
        <v>10732</v>
      </c>
      <c r="L2203" s="1">
        <v>651.0</v>
      </c>
      <c r="M2203" s="1" t="s">
        <v>35</v>
      </c>
      <c r="N2203" s="1" t="s">
        <v>54</v>
      </c>
      <c r="O2203" s="1" t="s">
        <v>628</v>
      </c>
      <c r="P2203" s="1">
        <v>1.98E7</v>
      </c>
      <c r="Q2203" s="1">
        <v>2001.0</v>
      </c>
      <c r="R2203" s="1">
        <v>1000.0</v>
      </c>
      <c r="S2203" s="1">
        <v>559.0</v>
      </c>
      <c r="T2203" s="1">
        <v>555.0</v>
      </c>
      <c r="U2203" s="1">
        <v>3261.0</v>
      </c>
      <c r="V2203" s="1">
        <v>500.0</v>
      </c>
      <c r="W2203" s="1">
        <v>0.0</v>
      </c>
      <c r="X2203" s="1">
        <v>0.0</v>
      </c>
      <c r="Y2203" s="1">
        <v>2.35</v>
      </c>
      <c r="Z2203" s="1">
        <v>7.3</v>
      </c>
    </row>
    <row r="2204" ht="14.25" customHeight="1">
      <c r="A2204" s="1" t="s">
        <v>26</v>
      </c>
      <c r="B2204" s="1" t="s">
        <v>4578</v>
      </c>
      <c r="C2204" s="1" t="s">
        <v>10733</v>
      </c>
      <c r="D2204" s="1">
        <v>4.1382841E7</v>
      </c>
      <c r="E2204" s="1" t="s">
        <v>2391</v>
      </c>
      <c r="F2204" s="1" t="s">
        <v>668</v>
      </c>
      <c r="G2204" s="1" t="s">
        <v>3733</v>
      </c>
      <c r="H2204" s="1" t="s">
        <v>2234</v>
      </c>
      <c r="I2204" s="1">
        <v>27149.0</v>
      </c>
      <c r="J2204" s="1" t="s">
        <v>10734</v>
      </c>
      <c r="K2204" s="1" t="s">
        <v>10735</v>
      </c>
      <c r="L2204" s="1">
        <v>96.0</v>
      </c>
      <c r="M2204" s="1" t="s">
        <v>35</v>
      </c>
      <c r="N2204" s="1" t="s">
        <v>36</v>
      </c>
      <c r="O2204" s="1" t="s">
        <v>37</v>
      </c>
      <c r="P2204" s="1">
        <v>1.8E7</v>
      </c>
      <c r="Q2204" s="1">
        <v>1986.0</v>
      </c>
      <c r="R2204" s="1">
        <v>12000.0</v>
      </c>
      <c r="S2204" s="1">
        <v>899.0</v>
      </c>
      <c r="T2204" s="1">
        <v>805.0</v>
      </c>
      <c r="U2204" s="1">
        <v>14672.0</v>
      </c>
      <c r="V2204" s="1">
        <v>0.0</v>
      </c>
      <c r="W2204" s="1">
        <v>0.0</v>
      </c>
      <c r="X2204" s="1">
        <v>0.0</v>
      </c>
      <c r="Y2204" s="1">
        <v>1.85</v>
      </c>
      <c r="Z2204" s="1">
        <v>6.3</v>
      </c>
    </row>
    <row r="2205" ht="14.25" customHeight="1">
      <c r="A2205" s="1" t="s">
        <v>26</v>
      </c>
      <c r="B2205" s="1" t="s">
        <v>1088</v>
      </c>
      <c r="C2205" s="1" t="s">
        <v>10736</v>
      </c>
      <c r="D2205" s="1">
        <v>4.2335698E7</v>
      </c>
      <c r="E2205" s="1" t="s">
        <v>1359</v>
      </c>
      <c r="F2205" s="1" t="s">
        <v>174</v>
      </c>
      <c r="G2205" s="1" t="s">
        <v>200</v>
      </c>
      <c r="H2205" s="1" t="s">
        <v>3123</v>
      </c>
      <c r="I2205" s="1">
        <v>395087.0</v>
      </c>
      <c r="J2205" s="1" t="s">
        <v>10737</v>
      </c>
      <c r="K2205" s="1" t="s">
        <v>10738</v>
      </c>
      <c r="L2205" s="1">
        <v>1101.0</v>
      </c>
      <c r="M2205" s="1" t="s">
        <v>35</v>
      </c>
      <c r="N2205" s="1" t="s">
        <v>36</v>
      </c>
      <c r="O2205" s="1" t="s">
        <v>628</v>
      </c>
      <c r="P2205" s="1">
        <v>1.8E7</v>
      </c>
      <c r="Q2205" s="1">
        <v>2014.0</v>
      </c>
      <c r="R2205" s="1">
        <v>15000.0</v>
      </c>
      <c r="S2205" s="1">
        <v>6000.0</v>
      </c>
      <c r="T2205" s="1">
        <v>529.0</v>
      </c>
      <c r="U2205" s="1">
        <v>21668.0</v>
      </c>
      <c r="V2205" s="1">
        <v>0.0</v>
      </c>
      <c r="W2205" s="1">
        <v>114000.0</v>
      </c>
      <c r="X2205" s="1">
        <v>8.0</v>
      </c>
      <c r="Y2205" s="1">
        <v>1.85</v>
      </c>
      <c r="Z2205" s="1">
        <v>7.8</v>
      </c>
    </row>
    <row r="2206" ht="14.25" customHeight="1">
      <c r="A2206" s="1" t="s">
        <v>26</v>
      </c>
      <c r="B2206" s="1" t="s">
        <v>3797</v>
      </c>
      <c r="C2206" s="1" t="s">
        <v>10739</v>
      </c>
      <c r="D2206" s="1">
        <v>3.3404871E7</v>
      </c>
      <c r="E2206" s="1" t="s">
        <v>3238</v>
      </c>
      <c r="F2206" s="1" t="s">
        <v>4467</v>
      </c>
      <c r="G2206" s="1" t="s">
        <v>5702</v>
      </c>
      <c r="H2206" s="1" t="s">
        <v>10740</v>
      </c>
      <c r="I2206" s="1">
        <v>150082.0</v>
      </c>
      <c r="J2206" s="1" t="s">
        <v>10741</v>
      </c>
      <c r="K2206" s="1" t="s">
        <v>10742</v>
      </c>
      <c r="L2206" s="1">
        <v>384.0</v>
      </c>
      <c r="M2206" s="1" t="s">
        <v>35</v>
      </c>
      <c r="N2206" s="1" t="s">
        <v>36</v>
      </c>
      <c r="O2206" s="1" t="s">
        <v>37</v>
      </c>
      <c r="P2206" s="1">
        <v>1.8E7</v>
      </c>
      <c r="Q2206" s="1">
        <v>2013.0</v>
      </c>
      <c r="R2206" s="1">
        <v>594.0</v>
      </c>
      <c r="S2206" s="1">
        <v>268.0</v>
      </c>
      <c r="T2206" s="1">
        <v>218.0</v>
      </c>
      <c r="U2206" s="1">
        <v>1353.0</v>
      </c>
      <c r="V2206" s="1">
        <v>11000.0</v>
      </c>
      <c r="W2206" s="1">
        <v>36000.0</v>
      </c>
      <c r="X2206" s="1">
        <v>1.0</v>
      </c>
      <c r="Y2206" s="1">
        <v>2.35</v>
      </c>
      <c r="Z2206" s="1">
        <v>7.3</v>
      </c>
    </row>
    <row r="2207" ht="14.25" customHeight="1">
      <c r="A2207" s="1" t="s">
        <v>26</v>
      </c>
      <c r="B2207" s="1" t="s">
        <v>1110</v>
      </c>
      <c r="C2207" s="1" t="s">
        <v>10743</v>
      </c>
      <c r="D2207" s="1">
        <v>3.147143E7</v>
      </c>
      <c r="E2207" s="1" t="s">
        <v>2676</v>
      </c>
      <c r="F2207" s="1" t="s">
        <v>10744</v>
      </c>
      <c r="G2207" s="1" t="s">
        <v>10745</v>
      </c>
      <c r="H2207" s="1" t="s">
        <v>10746</v>
      </c>
      <c r="I2207" s="1">
        <v>83374.0</v>
      </c>
      <c r="J2207" s="1" t="s">
        <v>10747</v>
      </c>
      <c r="K2207" s="1" t="s">
        <v>10748</v>
      </c>
      <c r="L2207" s="1">
        <v>828.0</v>
      </c>
      <c r="M2207" s="1" t="s">
        <v>35</v>
      </c>
      <c r="N2207" s="1" t="s">
        <v>36</v>
      </c>
      <c r="O2207" s="1" t="s">
        <v>628</v>
      </c>
      <c r="P2207" s="1">
        <v>1.5E7</v>
      </c>
      <c r="Q2207" s="1">
        <v>2006.0</v>
      </c>
      <c r="R2207" s="1">
        <v>97.0</v>
      </c>
      <c r="S2207" s="1">
        <v>68.0</v>
      </c>
      <c r="T2207" s="1">
        <v>64.0</v>
      </c>
      <c r="U2207" s="1">
        <v>313.0</v>
      </c>
      <c r="V2207" s="1">
        <v>521.0</v>
      </c>
      <c r="W2207" s="1">
        <v>0.0</v>
      </c>
      <c r="X2207" s="1">
        <v>0.0</v>
      </c>
      <c r="Y2207" s="1">
        <v>2.35</v>
      </c>
      <c r="Z2207" s="1">
        <v>7.6</v>
      </c>
    </row>
    <row r="2208" ht="14.25" customHeight="1">
      <c r="A2208" s="1" t="s">
        <v>26</v>
      </c>
      <c r="B2208" s="1" t="s">
        <v>10749</v>
      </c>
      <c r="C2208" s="1" t="s">
        <v>10750</v>
      </c>
      <c r="D2208" s="1">
        <v>3.022264E7</v>
      </c>
      <c r="E2208" s="1" t="s">
        <v>7326</v>
      </c>
      <c r="F2208" s="1" t="s">
        <v>10751</v>
      </c>
      <c r="G2208" s="1" t="s">
        <v>1470</v>
      </c>
      <c r="H2208" s="1" t="s">
        <v>9882</v>
      </c>
      <c r="I2208" s="1">
        <v>36666.0</v>
      </c>
      <c r="J2208" s="1" t="s">
        <v>10752</v>
      </c>
      <c r="K2208" s="1" t="s">
        <v>10753</v>
      </c>
      <c r="L2208" s="1">
        <v>144.0</v>
      </c>
      <c r="M2208" s="1" t="s">
        <v>35</v>
      </c>
      <c r="N2208" s="1" t="s">
        <v>36</v>
      </c>
      <c r="O2208" s="1" t="s">
        <v>37</v>
      </c>
      <c r="P2208" s="1">
        <v>2.5E7</v>
      </c>
      <c r="Q2208" s="1">
        <v>2003.0</v>
      </c>
      <c r="R2208" s="1">
        <v>2000.0</v>
      </c>
      <c r="S2208" s="1">
        <v>1000.0</v>
      </c>
      <c r="T2208" s="1">
        <v>582.0</v>
      </c>
      <c r="U2208" s="1">
        <v>4868.0</v>
      </c>
      <c r="V2208" s="1">
        <v>23.0</v>
      </c>
      <c r="W2208" s="1">
        <v>0.0</v>
      </c>
      <c r="X2208" s="1">
        <v>2.0</v>
      </c>
      <c r="Y2208" s="1">
        <v>1.85</v>
      </c>
      <c r="Z2208" s="1">
        <v>5.3</v>
      </c>
    </row>
    <row r="2209" ht="14.25" customHeight="1">
      <c r="A2209" s="1" t="s">
        <v>26</v>
      </c>
      <c r="B2209" s="1" t="s">
        <v>978</v>
      </c>
      <c r="C2209" s="1" t="s">
        <v>8098</v>
      </c>
      <c r="D2209" s="1">
        <v>2.683E7</v>
      </c>
      <c r="E2209" s="1" t="s">
        <v>1880</v>
      </c>
      <c r="F2209" s="1" t="s">
        <v>1644</v>
      </c>
      <c r="G2209" s="1" t="s">
        <v>451</v>
      </c>
      <c r="H2209" s="1" t="s">
        <v>865</v>
      </c>
      <c r="I2209" s="1">
        <v>101889.0</v>
      </c>
      <c r="J2209" s="1" t="s">
        <v>8099</v>
      </c>
      <c r="K2209" s="1" t="s">
        <v>8100</v>
      </c>
      <c r="L2209" s="1">
        <v>365.0</v>
      </c>
      <c r="M2209" s="1" t="s">
        <v>35</v>
      </c>
      <c r="N2209" s="1" t="s">
        <v>36</v>
      </c>
      <c r="O2209" s="1" t="s">
        <v>628</v>
      </c>
      <c r="P2209" s="1">
        <v>1.8E7</v>
      </c>
      <c r="Q2209" s="1">
        <v>1989.0</v>
      </c>
      <c r="R2209" s="1">
        <v>18000.0</v>
      </c>
      <c r="S2209" s="1">
        <v>11000.0</v>
      </c>
      <c r="T2209" s="1">
        <v>2000.0</v>
      </c>
      <c r="U2209" s="1">
        <v>32930.0</v>
      </c>
      <c r="V2209" s="1">
        <v>380.0</v>
      </c>
      <c r="W2209" s="1">
        <v>0.0</v>
      </c>
      <c r="X2209" s="1">
        <v>3.0</v>
      </c>
      <c r="Y2209" s="1">
        <v>1.85</v>
      </c>
      <c r="Z2209" s="1">
        <v>7.9</v>
      </c>
    </row>
    <row r="2210" ht="14.25" customHeight="1">
      <c r="A2210" s="1" t="s">
        <v>26</v>
      </c>
      <c r="B2210" s="1" t="s">
        <v>10754</v>
      </c>
      <c r="C2210" s="1" t="s">
        <v>10755</v>
      </c>
      <c r="D2210" s="1">
        <v>2.6906039E7</v>
      </c>
      <c r="E2210" s="1" t="s">
        <v>2056</v>
      </c>
      <c r="F2210" s="1" t="s">
        <v>10756</v>
      </c>
      <c r="G2210" s="1" t="s">
        <v>10757</v>
      </c>
      <c r="H2210" s="1" t="s">
        <v>10758</v>
      </c>
      <c r="I2210" s="1">
        <v>29621.0</v>
      </c>
      <c r="J2210" s="1" t="s">
        <v>10759</v>
      </c>
      <c r="K2210" s="1" t="s">
        <v>10760</v>
      </c>
      <c r="L2210" s="1">
        <v>76.0</v>
      </c>
      <c r="M2210" s="1" t="s">
        <v>35</v>
      </c>
      <c r="N2210" s="1" t="s">
        <v>36</v>
      </c>
      <c r="O2210" s="1" t="s">
        <v>37</v>
      </c>
      <c r="P2210" s="1">
        <v>1.8E7</v>
      </c>
      <c r="Q2210" s="1">
        <v>1996.0</v>
      </c>
      <c r="R2210" s="1">
        <v>844.0</v>
      </c>
      <c r="S2210" s="1">
        <v>456.0</v>
      </c>
      <c r="T2210" s="1">
        <v>341.0</v>
      </c>
      <c r="U2210" s="1">
        <v>2653.0</v>
      </c>
      <c r="V2210" s="1">
        <v>8.0</v>
      </c>
      <c r="W2210" s="1">
        <v>588.0</v>
      </c>
      <c r="X2210" s="1">
        <v>2.0</v>
      </c>
      <c r="Y2210" s="1">
        <v>1.85</v>
      </c>
      <c r="Z2210" s="1">
        <v>5.3</v>
      </c>
    </row>
    <row r="2211" ht="14.25" customHeight="1">
      <c r="A2211" s="1" t="s">
        <v>26</v>
      </c>
      <c r="B2211" s="1" t="s">
        <v>5073</v>
      </c>
      <c r="C2211" s="1" t="s">
        <v>10761</v>
      </c>
      <c r="D2211" s="1">
        <v>2.1378E7</v>
      </c>
      <c r="E2211" s="1" t="s">
        <v>6959</v>
      </c>
      <c r="F2211" s="1" t="s">
        <v>1651</v>
      </c>
      <c r="G2211" s="1" t="s">
        <v>3096</v>
      </c>
      <c r="H2211" s="1" t="s">
        <v>10117</v>
      </c>
      <c r="I2211" s="1">
        <v>46492.0</v>
      </c>
      <c r="J2211" s="1" t="s">
        <v>10762</v>
      </c>
      <c r="K2211" s="1" t="s">
        <v>10763</v>
      </c>
      <c r="L2211" s="1">
        <v>335.0</v>
      </c>
      <c r="M2211" s="1" t="s">
        <v>35</v>
      </c>
      <c r="N2211" s="1" t="s">
        <v>36</v>
      </c>
      <c r="O2211" s="1" t="s">
        <v>628</v>
      </c>
      <c r="P2211" s="1">
        <v>1000000.0</v>
      </c>
      <c r="Q2211" s="1">
        <v>1980.0</v>
      </c>
      <c r="R2211" s="1">
        <v>2000.0</v>
      </c>
      <c r="S2211" s="1">
        <v>826.0</v>
      </c>
      <c r="T2211" s="1">
        <v>606.0</v>
      </c>
      <c r="U2211" s="1">
        <v>4877.0</v>
      </c>
      <c r="V2211" s="1">
        <v>0.0</v>
      </c>
      <c r="W2211" s="1">
        <v>7000.0</v>
      </c>
      <c r="X2211" s="1">
        <v>0.0</v>
      </c>
      <c r="Y2211" s="1">
        <v>2.35</v>
      </c>
      <c r="Z2211" s="1">
        <v>6.8</v>
      </c>
    </row>
    <row r="2212" ht="14.25" customHeight="1">
      <c r="A2212" s="1" t="s">
        <v>26</v>
      </c>
      <c r="B2212" s="1" t="s">
        <v>10764</v>
      </c>
      <c r="C2212" s="1" t="s">
        <v>10765</v>
      </c>
      <c r="D2212" s="1">
        <v>4.3853424E7</v>
      </c>
      <c r="E2212" s="1" t="s">
        <v>10766</v>
      </c>
      <c r="F2212" s="1" t="s">
        <v>522</v>
      </c>
      <c r="G2212" s="1" t="s">
        <v>10767</v>
      </c>
      <c r="H2212" s="1" t="s">
        <v>1981</v>
      </c>
      <c r="I2212" s="1">
        <v>35514.0</v>
      </c>
      <c r="J2212" s="1" t="s">
        <v>10768</v>
      </c>
      <c r="K2212" s="1" t="s">
        <v>10769</v>
      </c>
      <c r="L2212" s="1">
        <v>114.0</v>
      </c>
      <c r="M2212" s="1" t="s">
        <v>35</v>
      </c>
      <c r="N2212" s="1" t="s">
        <v>36</v>
      </c>
      <c r="O2212" s="1" t="s">
        <v>87</v>
      </c>
      <c r="P2212" s="1">
        <v>1.8E7</v>
      </c>
      <c r="Q2212" s="1">
        <v>2011.0</v>
      </c>
      <c r="R2212" s="1">
        <v>2000.0</v>
      </c>
      <c r="S2212" s="1">
        <v>795.0</v>
      </c>
      <c r="T2212" s="1">
        <v>723.0</v>
      </c>
      <c r="U2212" s="1">
        <v>5024.0</v>
      </c>
      <c r="V2212" s="1">
        <v>80.0</v>
      </c>
      <c r="W2212" s="1">
        <v>15000.0</v>
      </c>
      <c r="X2212" s="1">
        <v>1.0</v>
      </c>
      <c r="Y2212" s="1">
        <v>2.35</v>
      </c>
      <c r="Z2212" s="1">
        <v>7.1</v>
      </c>
    </row>
    <row r="2213" ht="14.25" customHeight="1">
      <c r="A2213" s="1" t="s">
        <v>26</v>
      </c>
      <c r="B2213" s="1" t="s">
        <v>10770</v>
      </c>
      <c r="C2213" s="1" t="s">
        <v>10771</v>
      </c>
      <c r="D2213" s="1">
        <v>2.3993605E7</v>
      </c>
      <c r="E2213" s="1" t="s">
        <v>8521</v>
      </c>
      <c r="F2213" s="1" t="s">
        <v>6740</v>
      </c>
      <c r="G2213" s="1" t="s">
        <v>1031</v>
      </c>
      <c r="H2213" s="1" t="s">
        <v>10772</v>
      </c>
      <c r="I2213" s="1">
        <v>52467.0</v>
      </c>
      <c r="J2213" s="1" t="s">
        <v>10773</v>
      </c>
      <c r="K2213" s="1" t="s">
        <v>10774</v>
      </c>
      <c r="L2213" s="1">
        <v>248.0</v>
      </c>
      <c r="M2213" s="1" t="s">
        <v>35</v>
      </c>
      <c r="N2213" s="1" t="s">
        <v>36</v>
      </c>
      <c r="O2213" s="1" t="s">
        <v>628</v>
      </c>
      <c r="P2213" s="1">
        <v>1.8E7</v>
      </c>
      <c r="Q2213" s="1">
        <v>2009.0</v>
      </c>
      <c r="R2213" s="1">
        <v>390.0</v>
      </c>
      <c r="S2213" s="1">
        <v>258.0</v>
      </c>
      <c r="T2213" s="1">
        <v>59.0</v>
      </c>
      <c r="U2213" s="1">
        <v>727.0</v>
      </c>
      <c r="V2213" s="1">
        <v>62.0</v>
      </c>
      <c r="W2213" s="1">
        <v>0.0</v>
      </c>
      <c r="X2213" s="1">
        <v>1.0</v>
      </c>
      <c r="Y2213" s="1">
        <v>2.35</v>
      </c>
      <c r="Z2213" s="1">
        <v>5.8</v>
      </c>
    </row>
    <row r="2214" ht="14.25" customHeight="1">
      <c r="A2214" s="1" t="s">
        <v>26</v>
      </c>
      <c r="B2214" s="1" t="s">
        <v>8955</v>
      </c>
      <c r="C2214" s="1" t="s">
        <v>10775</v>
      </c>
      <c r="D2214" s="1">
        <v>2.64E7</v>
      </c>
      <c r="E2214" s="1" t="s">
        <v>40</v>
      </c>
      <c r="F2214" s="1" t="s">
        <v>715</v>
      </c>
      <c r="G2214" s="1" t="s">
        <v>10776</v>
      </c>
      <c r="H2214" s="1" t="s">
        <v>10777</v>
      </c>
      <c r="I2214" s="1">
        <v>62009.0</v>
      </c>
      <c r="J2214" s="1" t="s">
        <v>10778</v>
      </c>
      <c r="K2214" s="1" t="s">
        <v>10779</v>
      </c>
      <c r="L2214" s="1">
        <v>109.0</v>
      </c>
      <c r="M2214" s="1" t="s">
        <v>35</v>
      </c>
      <c r="N2214" s="1" t="s">
        <v>36</v>
      </c>
      <c r="O2214" s="1" t="s">
        <v>87</v>
      </c>
      <c r="P2214" s="1">
        <v>1.8E7</v>
      </c>
      <c r="Q2214" s="1">
        <v>1984.0</v>
      </c>
      <c r="R2214" s="1">
        <v>691.0</v>
      </c>
      <c r="S2214" s="1">
        <v>476.0</v>
      </c>
      <c r="T2214" s="1">
        <v>406.0</v>
      </c>
      <c r="U2214" s="1">
        <v>2481.0</v>
      </c>
      <c r="V2214" s="1">
        <v>130.0</v>
      </c>
      <c r="W2214" s="1">
        <v>2000.0</v>
      </c>
      <c r="X2214" s="1">
        <v>1.0</v>
      </c>
      <c r="Y2214" s="1">
        <v>2.35</v>
      </c>
      <c r="Z2214" s="1">
        <v>5.8</v>
      </c>
    </row>
    <row r="2215" ht="14.25" customHeight="1">
      <c r="A2215" s="1" t="s">
        <v>710</v>
      </c>
      <c r="B2215" s="1" t="s">
        <v>472</v>
      </c>
      <c r="C2215" s="1" t="s">
        <v>10780</v>
      </c>
      <c r="D2215" s="1">
        <v>45250.0</v>
      </c>
      <c r="E2215" s="1" t="s">
        <v>1557</v>
      </c>
      <c r="F2215" s="1" t="s">
        <v>1663</v>
      </c>
      <c r="G2215" s="1" t="s">
        <v>4062</v>
      </c>
      <c r="H2215" s="1" t="s">
        <v>10781</v>
      </c>
      <c r="I2215" s="1">
        <v>235133.0</v>
      </c>
      <c r="J2215" s="1" t="s">
        <v>10782</v>
      </c>
      <c r="K2215" s="1" t="s">
        <v>10783</v>
      </c>
      <c r="L2215" s="1">
        <v>494.0</v>
      </c>
      <c r="M2215" s="1" t="s">
        <v>35</v>
      </c>
      <c r="N2215" s="1" t="s">
        <v>36</v>
      </c>
      <c r="O2215" s="1" t="s">
        <v>628</v>
      </c>
      <c r="P2215" s="1">
        <v>1.8E7</v>
      </c>
      <c r="Q2215" s="1">
        <v>1980.0</v>
      </c>
      <c r="R2215" s="1">
        <v>22000.0</v>
      </c>
      <c r="S2215" s="1">
        <v>394.0</v>
      </c>
      <c r="T2215" s="1">
        <v>356.0</v>
      </c>
      <c r="U2215" s="1">
        <v>23008.0</v>
      </c>
      <c r="V2215" s="1">
        <v>17000.0</v>
      </c>
      <c r="W2215" s="1">
        <v>0.0</v>
      </c>
      <c r="X2215" s="1">
        <v>1.0</v>
      </c>
      <c r="Y2215" s="1">
        <v>1.85</v>
      </c>
      <c r="Z2215" s="1">
        <v>8.3</v>
      </c>
    </row>
    <row r="2216" ht="14.25" customHeight="1">
      <c r="A2216" s="1" t="s">
        <v>26</v>
      </c>
      <c r="B2216" s="1" t="s">
        <v>10784</v>
      </c>
      <c r="C2216" s="1" t="s">
        <v>10785</v>
      </c>
      <c r="D2216" s="1">
        <v>2.292739E7</v>
      </c>
      <c r="E2216" s="1" t="s">
        <v>206</v>
      </c>
      <c r="F2216" s="1" t="s">
        <v>228</v>
      </c>
      <c r="G2216" s="1" t="s">
        <v>10786</v>
      </c>
      <c r="H2216" s="1" t="s">
        <v>1476</v>
      </c>
      <c r="I2216" s="1">
        <v>25344.0</v>
      </c>
      <c r="J2216" s="1" t="s">
        <v>10787</v>
      </c>
      <c r="K2216" s="1" t="s">
        <v>10788</v>
      </c>
      <c r="L2216" s="1">
        <v>77.0</v>
      </c>
      <c r="M2216" s="1" t="s">
        <v>35</v>
      </c>
      <c r="N2216" s="1" t="s">
        <v>36</v>
      </c>
      <c r="O2216" s="1" t="s">
        <v>37</v>
      </c>
      <c r="P2216" s="1">
        <v>1.8E7</v>
      </c>
      <c r="Q2216" s="1">
        <v>2009.0</v>
      </c>
      <c r="R2216" s="1">
        <v>2000.0</v>
      </c>
      <c r="S2216" s="1">
        <v>980.0</v>
      </c>
      <c r="T2216" s="1">
        <v>827.0</v>
      </c>
      <c r="U2216" s="1">
        <v>4947.0</v>
      </c>
      <c r="V2216" s="1">
        <v>7.0</v>
      </c>
      <c r="W2216" s="1">
        <v>0.0</v>
      </c>
      <c r="X2216" s="1">
        <v>0.0</v>
      </c>
      <c r="Y2216" s="1">
        <v>1.85</v>
      </c>
      <c r="Z2216" s="1">
        <v>5.6</v>
      </c>
    </row>
    <row r="2217" ht="14.25" customHeight="1">
      <c r="A2217" s="1" t="s">
        <v>26</v>
      </c>
      <c r="B2217" s="1" t="s">
        <v>2962</v>
      </c>
      <c r="C2217" s="1" t="s">
        <v>10789</v>
      </c>
      <c r="D2217" s="1">
        <v>4250320.0</v>
      </c>
      <c r="E2217" s="1" t="s">
        <v>10790</v>
      </c>
      <c r="F2217" s="1" t="s">
        <v>10791</v>
      </c>
      <c r="G2217" s="1" t="s">
        <v>10792</v>
      </c>
      <c r="H2217" s="1" t="s">
        <v>10793</v>
      </c>
      <c r="I2217" s="1">
        <v>14870.0</v>
      </c>
      <c r="J2217" s="1" t="s">
        <v>10794</v>
      </c>
      <c r="K2217" s="1" t="s">
        <v>10795</v>
      </c>
      <c r="L2217" s="1">
        <v>86.0</v>
      </c>
      <c r="M2217" s="1" t="s">
        <v>35</v>
      </c>
      <c r="N2217" s="1" t="s">
        <v>36</v>
      </c>
      <c r="O2217" s="1" t="s">
        <v>37</v>
      </c>
      <c r="P2217" s="1">
        <v>1.8E7</v>
      </c>
      <c r="Q2217" s="1">
        <v>1985.0</v>
      </c>
      <c r="R2217" s="1">
        <v>155.0</v>
      </c>
      <c r="S2217" s="1">
        <v>144.0</v>
      </c>
      <c r="T2217" s="1">
        <v>124.0</v>
      </c>
      <c r="U2217" s="1">
        <v>605.0</v>
      </c>
      <c r="V2217" s="1">
        <v>272.0</v>
      </c>
      <c r="W2217" s="1">
        <v>0.0</v>
      </c>
      <c r="X2217" s="1">
        <v>1.0</v>
      </c>
      <c r="Y2217" s="1">
        <v>1.85</v>
      </c>
      <c r="Z2217" s="1">
        <v>6.8</v>
      </c>
    </row>
    <row r="2218" ht="14.25" customHeight="1">
      <c r="A2218" s="1" t="s">
        <v>26</v>
      </c>
      <c r="B2218" s="1" t="s">
        <v>10796</v>
      </c>
      <c r="C2218" s="1" t="s">
        <v>10797</v>
      </c>
      <c r="D2218" s="1">
        <v>2.2452209E7</v>
      </c>
      <c r="E2218" s="1" t="s">
        <v>3292</v>
      </c>
      <c r="F2218" s="1" t="s">
        <v>256</v>
      </c>
      <c r="G2218" s="1" t="s">
        <v>10066</v>
      </c>
      <c r="H2218" s="1" t="s">
        <v>3013</v>
      </c>
      <c r="I2218" s="1">
        <v>14062.0</v>
      </c>
      <c r="J2218" s="1" t="s">
        <v>10798</v>
      </c>
      <c r="K2218" s="1" t="s">
        <v>10799</v>
      </c>
      <c r="L2218" s="1">
        <v>82.0</v>
      </c>
      <c r="M2218" s="1" t="s">
        <v>35</v>
      </c>
      <c r="N2218" s="1" t="s">
        <v>36</v>
      </c>
      <c r="O2218" s="1" t="s">
        <v>87</v>
      </c>
      <c r="P2218" s="1">
        <v>1.8E7</v>
      </c>
      <c r="Q2218" s="1">
        <v>2009.0</v>
      </c>
      <c r="R2218" s="1">
        <v>808.0</v>
      </c>
      <c r="S2218" s="1">
        <v>720.0</v>
      </c>
      <c r="T2218" s="1">
        <v>637.0</v>
      </c>
      <c r="U2218" s="1">
        <v>5734.0</v>
      </c>
      <c r="V2218" s="1">
        <v>64.0</v>
      </c>
      <c r="W2218" s="1">
        <v>0.0</v>
      </c>
      <c r="X2218" s="1">
        <v>0.0</v>
      </c>
      <c r="Y2218" s="1">
        <v>2.35</v>
      </c>
      <c r="Z2218" s="1">
        <v>5.0</v>
      </c>
    </row>
    <row r="2219" ht="14.25" customHeight="1">
      <c r="A2219" s="1" t="s">
        <v>26</v>
      </c>
      <c r="B2219" s="1" t="s">
        <v>5001</v>
      </c>
      <c r="C2219" s="1" t="s">
        <v>10800</v>
      </c>
      <c r="D2219" s="1">
        <v>1.8329466E7</v>
      </c>
      <c r="E2219" s="1" t="s">
        <v>7208</v>
      </c>
      <c r="F2219" s="1" t="s">
        <v>75</v>
      </c>
      <c r="G2219" s="1" t="s">
        <v>3994</v>
      </c>
      <c r="H2219" s="1" t="s">
        <v>9129</v>
      </c>
      <c r="I2219" s="1">
        <v>279179.0</v>
      </c>
      <c r="J2219" s="1" t="s">
        <v>10801</v>
      </c>
      <c r="K2219" s="1" t="s">
        <v>10802</v>
      </c>
      <c r="L2219" s="1">
        <v>440.0</v>
      </c>
      <c r="M2219" s="1" t="s">
        <v>35</v>
      </c>
      <c r="N2219" s="1" t="s">
        <v>36</v>
      </c>
      <c r="O2219" s="1" t="s">
        <v>628</v>
      </c>
      <c r="P2219" s="1">
        <v>1.8E7</v>
      </c>
      <c r="Q2219" s="1">
        <v>2010.0</v>
      </c>
      <c r="R2219" s="1">
        <v>11000.0</v>
      </c>
      <c r="S2219" s="1">
        <v>642.0</v>
      </c>
      <c r="T2219" s="1">
        <v>223.0</v>
      </c>
      <c r="U2219" s="1">
        <v>11984.0</v>
      </c>
      <c r="V2219" s="1">
        <v>0.0</v>
      </c>
      <c r="W2219" s="1">
        <v>63000.0</v>
      </c>
      <c r="X2219" s="1">
        <v>0.0</v>
      </c>
      <c r="Y2219" s="1">
        <v>1.85</v>
      </c>
      <c r="Z2219" s="1">
        <v>7.6</v>
      </c>
    </row>
    <row r="2220" ht="14.25" customHeight="1">
      <c r="A2220" s="1" t="s">
        <v>26</v>
      </c>
      <c r="B2220" s="1" t="s">
        <v>3797</v>
      </c>
      <c r="C2220" s="1" t="s">
        <v>10803</v>
      </c>
      <c r="D2220" s="1">
        <v>1.707123E7</v>
      </c>
      <c r="E2220" s="1" t="s">
        <v>972</v>
      </c>
      <c r="F2220" s="1" t="s">
        <v>3797</v>
      </c>
      <c r="G2220" s="1" t="s">
        <v>1875</v>
      </c>
      <c r="H2220" s="1" t="s">
        <v>2418</v>
      </c>
      <c r="I2220" s="1">
        <v>31169.0</v>
      </c>
      <c r="J2220" s="1" t="s">
        <v>10804</v>
      </c>
      <c r="K2220" s="1" t="s">
        <v>10805</v>
      </c>
      <c r="L2220" s="1">
        <v>192.0</v>
      </c>
      <c r="M2220" s="1" t="s">
        <v>35</v>
      </c>
      <c r="N2220" s="1" t="s">
        <v>36</v>
      </c>
      <c r="O2220" s="1" t="s">
        <v>87</v>
      </c>
      <c r="P2220" s="1">
        <v>1.8E7</v>
      </c>
      <c r="Q2220" s="1">
        <v>2000.0</v>
      </c>
      <c r="R2220" s="1">
        <v>11000.0</v>
      </c>
      <c r="S2220" s="1">
        <v>11000.0</v>
      </c>
      <c r="T2220" s="1">
        <v>975.0</v>
      </c>
      <c r="U2220" s="1">
        <v>23283.0</v>
      </c>
      <c r="V2220" s="1">
        <v>11000.0</v>
      </c>
      <c r="W2220" s="1">
        <v>812.0</v>
      </c>
      <c r="X2220" s="1">
        <v>0.0</v>
      </c>
      <c r="Y2220" s="1">
        <v>1.85</v>
      </c>
      <c r="Z2220" s="1">
        <v>6.7</v>
      </c>
    </row>
    <row r="2221" ht="14.25" customHeight="1">
      <c r="A2221" s="1" t="s">
        <v>26</v>
      </c>
      <c r="B2221" s="1" t="s">
        <v>10806</v>
      </c>
      <c r="C2221" s="1" t="s">
        <v>10807</v>
      </c>
      <c r="D2221" s="1">
        <v>1.717487E7</v>
      </c>
      <c r="E2221" s="1" t="s">
        <v>7326</v>
      </c>
      <c r="F2221" s="1" t="s">
        <v>10808</v>
      </c>
      <c r="G2221" s="1" t="s">
        <v>10809</v>
      </c>
      <c r="H2221" s="1" t="s">
        <v>10810</v>
      </c>
      <c r="I2221" s="1">
        <v>15817.0</v>
      </c>
      <c r="J2221" s="1" t="s">
        <v>10811</v>
      </c>
      <c r="K2221" s="1" t="s">
        <v>10812</v>
      </c>
      <c r="L2221" s="1">
        <v>210.0</v>
      </c>
      <c r="M2221" s="1" t="s">
        <v>35</v>
      </c>
      <c r="N2221" s="1" t="s">
        <v>36</v>
      </c>
      <c r="O2221" s="1" t="s">
        <v>37</v>
      </c>
      <c r="P2221" s="1">
        <v>1.8E7</v>
      </c>
      <c r="Q2221" s="1">
        <v>2000.0</v>
      </c>
      <c r="R2221" s="1">
        <v>757.0</v>
      </c>
      <c r="S2221" s="1">
        <v>220.0</v>
      </c>
      <c r="T2221" s="1">
        <v>111.0</v>
      </c>
      <c r="U2221" s="1">
        <v>1201.0</v>
      </c>
      <c r="V2221" s="1">
        <v>13.0</v>
      </c>
      <c r="W2221" s="1">
        <v>0.0</v>
      </c>
      <c r="X2221" s="1">
        <v>2.0</v>
      </c>
      <c r="Y2221" s="1">
        <v>2.35</v>
      </c>
      <c r="Z2221" s="1">
        <v>6.7</v>
      </c>
    </row>
    <row r="2222" ht="14.25" customHeight="1">
      <c r="A2222" s="1" t="s">
        <v>26</v>
      </c>
      <c r="B2222" s="1" t="s">
        <v>9543</v>
      </c>
      <c r="C2222" s="1" t="s">
        <v>10813</v>
      </c>
      <c r="D2222" s="1">
        <v>2.6284475E7</v>
      </c>
      <c r="E2222" s="1" t="s">
        <v>1885</v>
      </c>
      <c r="F2222" s="1" t="s">
        <v>294</v>
      </c>
      <c r="G2222" s="1" t="s">
        <v>1779</v>
      </c>
      <c r="H2222" s="1" t="s">
        <v>10814</v>
      </c>
      <c r="I2222" s="1">
        <v>9051.0</v>
      </c>
      <c r="J2222" s="1" t="s">
        <v>10815</v>
      </c>
      <c r="K2222" s="1" t="s">
        <v>10816</v>
      </c>
      <c r="L2222" s="1">
        <v>68.0</v>
      </c>
      <c r="M2222" s="1" t="s">
        <v>35</v>
      </c>
      <c r="N2222" s="1" t="s">
        <v>36</v>
      </c>
      <c r="O2222" s="1" t="s">
        <v>37</v>
      </c>
      <c r="P2222" s="1">
        <v>1.7E7</v>
      </c>
      <c r="Q2222" s="1">
        <v>2015.0</v>
      </c>
      <c r="R2222" s="1">
        <v>10000.0</v>
      </c>
      <c r="S2222" s="1">
        <v>566.0</v>
      </c>
      <c r="T2222" s="1">
        <v>85.0</v>
      </c>
      <c r="U2222" s="1">
        <v>10691.0</v>
      </c>
      <c r="V2222" s="1">
        <v>24.0</v>
      </c>
      <c r="W2222" s="1">
        <v>0.0</v>
      </c>
      <c r="X2222" s="1">
        <v>13.0</v>
      </c>
      <c r="Y2222" s="1">
        <v>2.35</v>
      </c>
      <c r="Z2222" s="1">
        <v>5.7</v>
      </c>
    </row>
    <row r="2223" ht="14.25" customHeight="1">
      <c r="A2223" s="1" t="s">
        <v>26</v>
      </c>
      <c r="B2223" s="1" t="s">
        <v>10817</v>
      </c>
      <c r="C2223" s="1" t="s">
        <v>10818</v>
      </c>
      <c r="D2223" s="1">
        <v>1.6702864E7</v>
      </c>
      <c r="E2223" s="1" t="s">
        <v>972</v>
      </c>
      <c r="F2223" s="1" t="s">
        <v>544</v>
      </c>
      <c r="G2223" s="1" t="s">
        <v>10819</v>
      </c>
      <c r="H2223" s="1" t="s">
        <v>10820</v>
      </c>
      <c r="I2223" s="1">
        <v>8023.0</v>
      </c>
      <c r="J2223" s="1" t="s">
        <v>10821</v>
      </c>
      <c r="K2223" s="1" t="s">
        <v>10822</v>
      </c>
      <c r="L2223" s="1">
        <v>49.0</v>
      </c>
      <c r="M2223" s="1" t="s">
        <v>35</v>
      </c>
      <c r="N2223" s="1" t="s">
        <v>36</v>
      </c>
      <c r="O2223" s="1" t="s">
        <v>87</v>
      </c>
      <c r="P2223" s="1">
        <v>1.8E7</v>
      </c>
      <c r="Q2223" s="1">
        <v>2004.0</v>
      </c>
      <c r="R2223" s="1">
        <v>17000.0</v>
      </c>
      <c r="S2223" s="1">
        <v>632.0</v>
      </c>
      <c r="T2223" s="1">
        <v>362.0</v>
      </c>
      <c r="U2223" s="1">
        <v>18711.0</v>
      </c>
      <c r="V2223" s="1">
        <v>38.0</v>
      </c>
      <c r="W2223" s="1">
        <v>591.0</v>
      </c>
      <c r="X2223" s="1">
        <v>0.0</v>
      </c>
      <c r="Y2223" s="1">
        <v>1.85</v>
      </c>
      <c r="Z2223" s="1">
        <v>5.2</v>
      </c>
    </row>
    <row r="2224" ht="14.25" customHeight="1">
      <c r="A2224" s="1" t="s">
        <v>26</v>
      </c>
      <c r="B2224" s="1" t="s">
        <v>6307</v>
      </c>
      <c r="C2224" s="1" t="s">
        <v>10823</v>
      </c>
      <c r="D2224" s="1">
        <v>1.5561627E7</v>
      </c>
      <c r="E2224" s="1" t="s">
        <v>3238</v>
      </c>
      <c r="F2224" s="1" t="s">
        <v>9784</v>
      </c>
      <c r="G2224" s="1" t="s">
        <v>1378</v>
      </c>
      <c r="H2224" s="1" t="s">
        <v>195</v>
      </c>
      <c r="I2224" s="1">
        <v>39105.0</v>
      </c>
      <c r="J2224" s="1" t="s">
        <v>10824</v>
      </c>
      <c r="K2224" s="1" t="s">
        <v>10825</v>
      </c>
      <c r="L2224" s="1">
        <v>359.0</v>
      </c>
      <c r="M2224" s="1" t="s">
        <v>35</v>
      </c>
      <c r="N2224" s="1" t="s">
        <v>36</v>
      </c>
      <c r="O2224" s="1" t="s">
        <v>628</v>
      </c>
      <c r="P2224" s="1">
        <v>1.8E7</v>
      </c>
      <c r="Q2224" s="1">
        <v>2001.0</v>
      </c>
      <c r="R2224" s="1">
        <v>16000.0</v>
      </c>
      <c r="S2224" s="1">
        <v>4000.0</v>
      </c>
      <c r="T2224" s="1">
        <v>1000.0</v>
      </c>
      <c r="U2224" s="1">
        <v>21622.0</v>
      </c>
      <c r="V2224" s="1">
        <v>34.0</v>
      </c>
      <c r="W2224" s="1">
        <v>0.0</v>
      </c>
      <c r="X2224" s="1">
        <v>0.0</v>
      </c>
      <c r="Y2224" s="1">
        <v>2.35</v>
      </c>
      <c r="Z2224" s="1">
        <v>7.5</v>
      </c>
    </row>
    <row r="2225" ht="14.25" customHeight="1">
      <c r="A2225" s="1" t="s">
        <v>26</v>
      </c>
      <c r="B2225" s="1" t="s">
        <v>5001</v>
      </c>
      <c r="C2225" s="1" t="s">
        <v>10826</v>
      </c>
      <c r="D2225" s="1">
        <v>1.7750583E7</v>
      </c>
      <c r="E2225" s="1" t="s">
        <v>1474</v>
      </c>
      <c r="F2225" s="1" t="s">
        <v>208</v>
      </c>
      <c r="G2225" s="1" t="s">
        <v>444</v>
      </c>
      <c r="H2225" s="1" t="s">
        <v>159</v>
      </c>
      <c r="I2225" s="1">
        <v>93548.0</v>
      </c>
      <c r="J2225" s="1" t="s">
        <v>10827</v>
      </c>
      <c r="K2225" s="1" t="s">
        <v>10828</v>
      </c>
      <c r="L2225" s="1">
        <v>307.0</v>
      </c>
      <c r="M2225" s="1" t="s">
        <v>35</v>
      </c>
      <c r="N2225" s="1" t="s">
        <v>54</v>
      </c>
      <c r="O2225" s="1" t="s">
        <v>628</v>
      </c>
      <c r="P2225" s="1">
        <v>3.0E7</v>
      </c>
      <c r="Q2225" s="1">
        <v>2015.0</v>
      </c>
      <c r="R2225" s="1">
        <v>14000.0</v>
      </c>
      <c r="S2225" s="1">
        <v>13000.0</v>
      </c>
      <c r="T2225" s="1">
        <v>816.0</v>
      </c>
      <c r="U2225" s="1">
        <v>28933.0</v>
      </c>
      <c r="V2225" s="1">
        <v>0.0</v>
      </c>
      <c r="W2225" s="1">
        <v>23000.0</v>
      </c>
      <c r="X2225" s="1">
        <v>0.0</v>
      </c>
      <c r="Y2225" s="1">
        <v>2.35</v>
      </c>
      <c r="Z2225" s="1">
        <v>7.2</v>
      </c>
    </row>
    <row r="2226" ht="14.25" customHeight="1">
      <c r="A2226" s="1" t="s">
        <v>26</v>
      </c>
      <c r="B2226" s="1" t="s">
        <v>1200</v>
      </c>
      <c r="C2226" s="1" t="s">
        <v>10829</v>
      </c>
      <c r="D2226" s="1">
        <v>1.4793904E7</v>
      </c>
      <c r="E2226" s="1" t="s">
        <v>1598</v>
      </c>
      <c r="F2226" s="1" t="s">
        <v>2218</v>
      </c>
      <c r="G2226" s="1" t="s">
        <v>10830</v>
      </c>
      <c r="H2226" s="1" t="s">
        <v>4258</v>
      </c>
      <c r="I2226" s="1">
        <v>28209.0</v>
      </c>
      <c r="J2226" s="1" t="s">
        <v>10831</v>
      </c>
      <c r="K2226" s="1" t="s">
        <v>10832</v>
      </c>
      <c r="L2226" s="1">
        <v>80.0</v>
      </c>
      <c r="M2226" s="1" t="s">
        <v>35</v>
      </c>
      <c r="N2226" s="1" t="s">
        <v>260</v>
      </c>
      <c r="O2226" s="1" t="s">
        <v>37</v>
      </c>
      <c r="P2226" s="1">
        <v>1.8E7</v>
      </c>
      <c r="Q2226" s="1">
        <v>2009.0</v>
      </c>
      <c r="R2226" s="1">
        <v>946.0</v>
      </c>
      <c r="S2226" s="1">
        <v>800.0</v>
      </c>
      <c r="T2226" s="1">
        <v>529.0</v>
      </c>
      <c r="U2226" s="1">
        <v>4072.0</v>
      </c>
      <c r="V2226" s="1">
        <v>0.0</v>
      </c>
      <c r="W2226" s="1">
        <v>0.0</v>
      </c>
      <c r="X2226" s="1">
        <v>1.0</v>
      </c>
      <c r="Y2226" s="1">
        <v>1.85</v>
      </c>
      <c r="Z2226" s="1">
        <v>5.3</v>
      </c>
    </row>
    <row r="2227" ht="14.25" customHeight="1">
      <c r="A2227" s="1" t="s">
        <v>26</v>
      </c>
      <c r="B2227" s="1" t="s">
        <v>8315</v>
      </c>
      <c r="C2227" s="1" t="s">
        <v>10833</v>
      </c>
      <c r="D2227" s="1">
        <v>1.5281286E7</v>
      </c>
      <c r="E2227" s="1" t="s">
        <v>1359</v>
      </c>
      <c r="F2227" s="1" t="s">
        <v>264</v>
      </c>
      <c r="G2227" s="1" t="s">
        <v>10228</v>
      </c>
      <c r="H2227" s="1" t="s">
        <v>403</v>
      </c>
      <c r="I2227" s="1">
        <v>64646.0</v>
      </c>
      <c r="J2227" s="1" t="s">
        <v>10834</v>
      </c>
      <c r="K2227" s="1" t="s">
        <v>10835</v>
      </c>
      <c r="L2227" s="1">
        <v>105.0</v>
      </c>
      <c r="M2227" s="1" t="s">
        <v>35</v>
      </c>
      <c r="N2227" s="1" t="s">
        <v>36</v>
      </c>
      <c r="O2227" s="1" t="s">
        <v>628</v>
      </c>
      <c r="P2227" s="1">
        <v>1.8E7</v>
      </c>
      <c r="Q2227" s="1">
        <v>2009.0</v>
      </c>
      <c r="R2227" s="1">
        <v>12000.0</v>
      </c>
      <c r="S2227" s="1">
        <v>904.0</v>
      </c>
      <c r="T2227" s="1">
        <v>729.0</v>
      </c>
      <c r="U2227" s="1">
        <v>16004.0</v>
      </c>
      <c r="V2227" s="1">
        <v>44.0</v>
      </c>
      <c r="W2227" s="1">
        <v>0.0</v>
      </c>
      <c r="X2227" s="1">
        <v>2.0</v>
      </c>
      <c r="Y2227" s="1">
        <v>1.85</v>
      </c>
      <c r="Z2227" s="1">
        <v>6.5</v>
      </c>
    </row>
    <row r="2228" ht="14.25" customHeight="1">
      <c r="A2228" s="1" t="s">
        <v>26</v>
      </c>
      <c r="B2228" s="1" t="s">
        <v>10836</v>
      </c>
      <c r="C2228" s="1" t="s">
        <v>10837</v>
      </c>
      <c r="D2228" s="1">
        <v>8000000.0</v>
      </c>
      <c r="E2228" s="1" t="s">
        <v>128</v>
      </c>
      <c r="F2228" s="1" t="s">
        <v>6407</v>
      </c>
      <c r="G2228" s="1" t="s">
        <v>10838</v>
      </c>
      <c r="H2228" s="1" t="s">
        <v>10839</v>
      </c>
      <c r="I2228" s="1">
        <v>1400.0</v>
      </c>
      <c r="J2228" s="1" t="s">
        <v>10840</v>
      </c>
      <c r="K2228" s="1" t="s">
        <v>10841</v>
      </c>
      <c r="L2228" s="1">
        <v>41.0</v>
      </c>
      <c r="M2228" s="1" t="s">
        <v>35</v>
      </c>
      <c r="N2228" s="1" t="s">
        <v>36</v>
      </c>
      <c r="O2228" s="1" t="s">
        <v>87</v>
      </c>
      <c r="P2228" s="1">
        <v>1.8E7</v>
      </c>
      <c r="Q2228" s="1">
        <v>1981.0</v>
      </c>
      <c r="R2228" s="1">
        <v>372.0</v>
      </c>
      <c r="S2228" s="1">
        <v>262.0</v>
      </c>
      <c r="T2228" s="1">
        <v>102.0</v>
      </c>
      <c r="U2228" s="1">
        <v>927.0</v>
      </c>
      <c r="V2228" s="1">
        <v>28.0</v>
      </c>
      <c r="W2228" s="1">
        <v>346.0</v>
      </c>
      <c r="X2228" s="1">
        <v>0.0</v>
      </c>
      <c r="Y2228" s="1">
        <v>2.35</v>
      </c>
      <c r="Z2228" s="1">
        <v>5.0</v>
      </c>
    </row>
    <row r="2229" ht="14.25" customHeight="1">
      <c r="A2229" s="1" t="s">
        <v>26</v>
      </c>
      <c r="B2229" s="1" t="s">
        <v>10842</v>
      </c>
      <c r="C2229" s="1" t="s">
        <v>10843</v>
      </c>
      <c r="D2229" s="1">
        <v>1.3491653E7</v>
      </c>
      <c r="E2229" s="1" t="s">
        <v>3868</v>
      </c>
      <c r="F2229" s="1" t="s">
        <v>99</v>
      </c>
      <c r="G2229" s="1" t="s">
        <v>1651</v>
      </c>
      <c r="H2229" s="1" t="s">
        <v>1739</v>
      </c>
      <c r="I2229" s="1">
        <v>23728.0</v>
      </c>
      <c r="J2229" s="1" t="s">
        <v>10844</v>
      </c>
      <c r="K2229" s="1" t="s">
        <v>10845</v>
      </c>
      <c r="L2229" s="1">
        <v>213.0</v>
      </c>
      <c r="M2229" s="1" t="s">
        <v>35</v>
      </c>
      <c r="N2229" s="1" t="s">
        <v>36</v>
      </c>
      <c r="O2229" s="1" t="s">
        <v>628</v>
      </c>
      <c r="P2229" s="1">
        <v>1.8E7</v>
      </c>
      <c r="Q2229" s="1">
        <v>2001.0</v>
      </c>
      <c r="R2229" s="1">
        <v>11000.0</v>
      </c>
      <c r="S2229" s="1">
        <v>2000.0</v>
      </c>
      <c r="T2229" s="1">
        <v>1000.0</v>
      </c>
      <c r="U2229" s="1">
        <v>14995.0</v>
      </c>
      <c r="V2229" s="1">
        <v>128.0</v>
      </c>
      <c r="W2229" s="1">
        <v>813.0</v>
      </c>
      <c r="X2229" s="1">
        <v>0.0</v>
      </c>
      <c r="Y2229" s="1">
        <v>2.35</v>
      </c>
      <c r="Z2229" s="1">
        <v>6.1</v>
      </c>
    </row>
    <row r="2230" ht="14.25" customHeight="1">
      <c r="A2230" s="1" t="s">
        <v>26</v>
      </c>
      <c r="B2230" s="1" t="s">
        <v>10846</v>
      </c>
      <c r="C2230" s="1" t="s">
        <v>10847</v>
      </c>
      <c r="D2230" s="1">
        <v>1.0494494E7</v>
      </c>
      <c r="E2230" s="1" t="s">
        <v>326</v>
      </c>
      <c r="F2230" s="1" t="s">
        <v>10848</v>
      </c>
      <c r="G2230" s="1" t="s">
        <v>10849</v>
      </c>
      <c r="H2230" s="1" t="s">
        <v>10850</v>
      </c>
      <c r="I2230" s="1">
        <v>19586.0</v>
      </c>
      <c r="J2230" s="1" t="s">
        <v>10851</v>
      </c>
      <c r="K2230" s="1" t="s">
        <v>10852</v>
      </c>
      <c r="L2230" s="1">
        <v>109.0</v>
      </c>
      <c r="M2230" s="1" t="s">
        <v>35</v>
      </c>
      <c r="N2230" s="1" t="s">
        <v>36</v>
      </c>
      <c r="O2230" s="1" t="s">
        <v>37</v>
      </c>
      <c r="P2230" s="1">
        <v>1.8E7</v>
      </c>
      <c r="Q2230" s="1">
        <v>2013.0</v>
      </c>
      <c r="R2230" s="1">
        <v>210.0</v>
      </c>
      <c r="S2230" s="1">
        <v>193.0</v>
      </c>
      <c r="T2230" s="1">
        <v>179.0</v>
      </c>
      <c r="U2230" s="1">
        <v>676.0</v>
      </c>
      <c r="V2230" s="1">
        <v>31.0</v>
      </c>
      <c r="W2230" s="1">
        <v>4000.0</v>
      </c>
      <c r="X2230" s="1">
        <v>1.0</v>
      </c>
      <c r="Y2230" s="1">
        <v>2.35</v>
      </c>
      <c r="Z2230" s="1">
        <v>4.4</v>
      </c>
    </row>
    <row r="2231" ht="14.25" customHeight="1">
      <c r="A2231" s="1" t="s">
        <v>26</v>
      </c>
      <c r="B2231" s="1" t="s">
        <v>1027</v>
      </c>
      <c r="C2231" s="1" t="s">
        <v>10853</v>
      </c>
      <c r="D2231" s="1">
        <v>7837632.0</v>
      </c>
      <c r="E2231" s="1" t="s">
        <v>3238</v>
      </c>
      <c r="F2231" s="1" t="s">
        <v>2234</v>
      </c>
      <c r="G2231" s="1" t="s">
        <v>9129</v>
      </c>
      <c r="H2231" s="1" t="s">
        <v>2560</v>
      </c>
      <c r="I2231" s="1">
        <v>46396.0</v>
      </c>
      <c r="J2231" s="1" t="s">
        <v>10854</v>
      </c>
      <c r="K2231" s="1" t="s">
        <v>10855</v>
      </c>
      <c r="L2231" s="1">
        <v>287.0</v>
      </c>
      <c r="M2231" s="1" t="s">
        <v>35</v>
      </c>
      <c r="N2231" s="1" t="s">
        <v>36</v>
      </c>
      <c r="O2231" s="1" t="s">
        <v>628</v>
      </c>
      <c r="P2231" s="1">
        <v>1.8E7</v>
      </c>
      <c r="Q2231" s="1">
        <v>1997.0</v>
      </c>
      <c r="R2231" s="1">
        <v>805.0</v>
      </c>
      <c r="S2231" s="1">
        <v>223.0</v>
      </c>
      <c r="T2231" s="1">
        <v>177.0</v>
      </c>
      <c r="U2231" s="1">
        <v>1466.0</v>
      </c>
      <c r="V2231" s="1">
        <v>0.0</v>
      </c>
      <c r="W2231" s="1">
        <v>0.0</v>
      </c>
      <c r="X2231" s="1">
        <v>0.0</v>
      </c>
      <c r="Y2231" s="1">
        <v>1.85</v>
      </c>
      <c r="Z2231" s="1">
        <v>7.5</v>
      </c>
    </row>
    <row r="2232" ht="14.25" customHeight="1">
      <c r="A2232" s="1" t="s">
        <v>26</v>
      </c>
      <c r="B2232" s="1" t="s">
        <v>3691</v>
      </c>
      <c r="C2232" s="1" t="s">
        <v>10856</v>
      </c>
      <c r="D2232" s="1">
        <v>1.5155772E7</v>
      </c>
      <c r="E2232" s="1" t="s">
        <v>1359</v>
      </c>
      <c r="F2232" s="1" t="s">
        <v>7882</v>
      </c>
      <c r="G2232" s="1" t="s">
        <v>1708</v>
      </c>
      <c r="H2232" s="1" t="s">
        <v>10857</v>
      </c>
      <c r="I2232" s="1">
        <v>8895.0</v>
      </c>
      <c r="J2232" s="1" t="s">
        <v>10858</v>
      </c>
      <c r="K2232" s="1" t="s">
        <v>10859</v>
      </c>
      <c r="L2232" s="1">
        <v>48.0</v>
      </c>
      <c r="M2232" s="1" t="s">
        <v>35</v>
      </c>
      <c r="N2232" s="1" t="s">
        <v>36</v>
      </c>
      <c r="O2232" s="1" t="s">
        <v>37</v>
      </c>
      <c r="P2232" s="1">
        <v>1.8E7</v>
      </c>
      <c r="Q2232" s="1">
        <v>2014.0</v>
      </c>
      <c r="R2232" s="1">
        <v>712.0</v>
      </c>
      <c r="S2232" s="1">
        <v>341.0</v>
      </c>
      <c r="T2232" s="1">
        <v>197.0</v>
      </c>
      <c r="U2232" s="1">
        <v>1673.0</v>
      </c>
      <c r="V2232" s="1">
        <v>0.0</v>
      </c>
      <c r="W2232" s="1">
        <v>3000.0</v>
      </c>
      <c r="X2232" s="1">
        <v>2.0</v>
      </c>
      <c r="Y2232" s="1">
        <v>2.35</v>
      </c>
      <c r="Z2232" s="1">
        <v>5.7</v>
      </c>
    </row>
    <row r="2233" ht="14.25" customHeight="1">
      <c r="A2233" s="1" t="s">
        <v>26</v>
      </c>
      <c r="B2233" s="1" t="s">
        <v>10860</v>
      </c>
      <c r="C2233" s="1" t="s">
        <v>10861</v>
      </c>
      <c r="D2233" s="1">
        <v>8508843.0</v>
      </c>
      <c r="E2233" s="1" t="s">
        <v>4008</v>
      </c>
      <c r="F2233" s="1" t="s">
        <v>1981</v>
      </c>
      <c r="G2233" s="1" t="s">
        <v>10862</v>
      </c>
      <c r="H2233" s="1" t="s">
        <v>10863</v>
      </c>
      <c r="I2233" s="1">
        <v>7470.0</v>
      </c>
      <c r="J2233" s="1" t="s">
        <v>10864</v>
      </c>
      <c r="K2233" s="1" t="s">
        <v>10865</v>
      </c>
      <c r="L2233" s="1">
        <v>35.0</v>
      </c>
      <c r="M2233" s="1" t="s">
        <v>35</v>
      </c>
      <c r="N2233" s="1" t="s">
        <v>36</v>
      </c>
      <c r="O2233" s="1" t="s">
        <v>87</v>
      </c>
      <c r="P2233" s="1">
        <v>1.8E7</v>
      </c>
      <c r="Q2233" s="1">
        <v>1989.0</v>
      </c>
      <c r="R2233" s="1">
        <v>723.0</v>
      </c>
      <c r="S2233" s="1">
        <v>422.0</v>
      </c>
      <c r="T2233" s="1">
        <v>371.0</v>
      </c>
      <c r="U2233" s="1">
        <v>2368.0</v>
      </c>
      <c r="V2233" s="1">
        <v>6.0</v>
      </c>
      <c r="W2233" s="1">
        <v>0.0</v>
      </c>
      <c r="X2233" s="1">
        <v>1.0</v>
      </c>
      <c r="Y2233" s="1">
        <v>1.37</v>
      </c>
      <c r="Z2233" s="1">
        <v>5.5</v>
      </c>
    </row>
    <row r="2234" ht="14.25" customHeight="1">
      <c r="A2234" s="1" t="s">
        <v>26</v>
      </c>
      <c r="B2234" s="1" t="s">
        <v>10866</v>
      </c>
      <c r="C2234" s="1" t="s">
        <v>10867</v>
      </c>
      <c r="D2234" s="1">
        <v>7739049.0</v>
      </c>
      <c r="E2234" s="1" t="s">
        <v>1359</v>
      </c>
      <c r="F2234" s="1" t="s">
        <v>3784</v>
      </c>
      <c r="G2234" s="1" t="s">
        <v>10868</v>
      </c>
      <c r="H2234" s="1" t="s">
        <v>10869</v>
      </c>
      <c r="I2234" s="1">
        <v>10680.0</v>
      </c>
      <c r="J2234" s="1" t="s">
        <v>10870</v>
      </c>
      <c r="K2234" s="1" t="s">
        <v>10871</v>
      </c>
      <c r="L2234" s="1">
        <v>112.0</v>
      </c>
      <c r="M2234" s="1" t="s">
        <v>35</v>
      </c>
      <c r="N2234" s="1" t="s">
        <v>260</v>
      </c>
      <c r="O2234" s="1" t="s">
        <v>628</v>
      </c>
      <c r="P2234" s="1">
        <v>1.8E7</v>
      </c>
      <c r="Q2234" s="1">
        <v>2004.0</v>
      </c>
      <c r="R2234" s="1">
        <v>405.0</v>
      </c>
      <c r="S2234" s="1">
        <v>204.0</v>
      </c>
      <c r="T2234" s="1">
        <v>202.0</v>
      </c>
      <c r="U2234" s="1">
        <v>847.0</v>
      </c>
      <c r="V2234" s="1">
        <v>109.0</v>
      </c>
      <c r="W2234" s="1">
        <v>562.0</v>
      </c>
      <c r="X2234" s="1">
        <v>2.0</v>
      </c>
      <c r="Y2234" s="1">
        <v>1.85</v>
      </c>
      <c r="Z2234" s="1">
        <v>7.1</v>
      </c>
    </row>
    <row r="2235" ht="14.25" customHeight="1">
      <c r="A2235" s="1" t="s">
        <v>26</v>
      </c>
      <c r="B2235" s="1" t="s">
        <v>4887</v>
      </c>
      <c r="C2235" s="1">
        <v>9.0</v>
      </c>
      <c r="D2235" s="1">
        <v>6734844.0</v>
      </c>
      <c r="E2235" s="1" t="s">
        <v>206</v>
      </c>
      <c r="F2235" s="1" t="s">
        <v>10872</v>
      </c>
      <c r="G2235" s="1" t="s">
        <v>10873</v>
      </c>
      <c r="H2235" s="1" t="s">
        <v>10874</v>
      </c>
      <c r="I2235" s="1">
        <v>29591.0</v>
      </c>
      <c r="J2235" s="1" t="s">
        <v>10875</v>
      </c>
      <c r="K2235" s="1" t="s">
        <v>10876</v>
      </c>
      <c r="L2235" s="1">
        <v>118.0</v>
      </c>
      <c r="M2235" s="1" t="s">
        <v>35</v>
      </c>
      <c r="N2235" s="1" t="s">
        <v>36</v>
      </c>
      <c r="O2235" s="1" t="s">
        <v>628</v>
      </c>
      <c r="P2235" s="1">
        <v>1.7E7</v>
      </c>
      <c r="Q2235" s="1">
        <v>1986.0</v>
      </c>
      <c r="R2235" s="1">
        <v>567.0</v>
      </c>
      <c r="S2235" s="1">
        <v>67.0</v>
      </c>
      <c r="T2235" s="1">
        <v>45.0</v>
      </c>
      <c r="U2235" s="1">
        <v>711.0</v>
      </c>
      <c r="V2235" s="1">
        <v>213.0</v>
      </c>
      <c r="W2235" s="1">
        <v>0.0</v>
      </c>
      <c r="X2235" s="1">
        <v>0.0</v>
      </c>
      <c r="Y2235" s="1">
        <v>1.85</v>
      </c>
      <c r="Z2235" s="1">
        <v>5.9</v>
      </c>
    </row>
    <row r="2236" ht="14.25" customHeight="1">
      <c r="A2236" s="1" t="s">
        <v>26</v>
      </c>
      <c r="B2236" s="1" t="s">
        <v>10877</v>
      </c>
      <c r="C2236" s="1" t="s">
        <v>10878</v>
      </c>
      <c r="D2236" s="1">
        <v>6000000.0</v>
      </c>
      <c r="E2236" s="1" t="s">
        <v>40</v>
      </c>
      <c r="F2236" s="1" t="s">
        <v>1394</v>
      </c>
      <c r="G2236" s="1" t="s">
        <v>10879</v>
      </c>
      <c r="H2236" s="1" t="s">
        <v>10880</v>
      </c>
      <c r="I2236" s="1">
        <v>10832.0</v>
      </c>
      <c r="J2236" s="1" t="s">
        <v>10881</v>
      </c>
      <c r="K2236" s="1" t="s">
        <v>10882</v>
      </c>
      <c r="L2236" s="1">
        <v>102.0</v>
      </c>
      <c r="M2236" s="1" t="s">
        <v>35</v>
      </c>
      <c r="N2236" s="1" t="s">
        <v>36</v>
      </c>
      <c r="O2236" s="1" t="s">
        <v>87</v>
      </c>
      <c r="P2236" s="1">
        <v>1.8E7</v>
      </c>
      <c r="Q2236" s="1">
        <v>1981.0</v>
      </c>
      <c r="R2236" s="1">
        <v>1000.0</v>
      </c>
      <c r="S2236" s="1">
        <v>115.0</v>
      </c>
      <c r="T2236" s="1">
        <v>94.0</v>
      </c>
      <c r="U2236" s="1">
        <v>1263.0</v>
      </c>
      <c r="V2236" s="1">
        <v>25.0</v>
      </c>
      <c r="W2236" s="1">
        <v>0.0</v>
      </c>
      <c r="X2236" s="1">
        <v>0.0</v>
      </c>
      <c r="Y2236" s="1">
        <v>2.35</v>
      </c>
      <c r="Z2236" s="1">
        <v>6.7</v>
      </c>
    </row>
    <row r="2237" ht="14.25" customHeight="1">
      <c r="A2237" s="1" t="s">
        <v>26</v>
      </c>
      <c r="B2237" s="1" t="s">
        <v>8703</v>
      </c>
      <c r="C2237" s="1" t="s">
        <v>10883</v>
      </c>
      <c r="D2237" s="1">
        <v>6615578.0</v>
      </c>
      <c r="E2237" s="1" t="s">
        <v>5942</v>
      </c>
      <c r="F2237" s="1" t="s">
        <v>10884</v>
      </c>
      <c r="G2237" s="1" t="s">
        <v>10885</v>
      </c>
      <c r="H2237" s="1" t="s">
        <v>9664</v>
      </c>
      <c r="I2237" s="1">
        <v>15352.0</v>
      </c>
      <c r="J2237" s="1" t="s">
        <v>10886</v>
      </c>
      <c r="K2237" s="1" t="s">
        <v>10887</v>
      </c>
      <c r="L2237" s="1">
        <v>82.0</v>
      </c>
      <c r="M2237" s="1" t="s">
        <v>35</v>
      </c>
      <c r="N2237" s="1" t="s">
        <v>730</v>
      </c>
      <c r="O2237" s="1" t="s">
        <v>628</v>
      </c>
      <c r="P2237" s="1">
        <v>1.3E7</v>
      </c>
      <c r="Q2237" s="1">
        <v>2009.0</v>
      </c>
      <c r="R2237" s="1">
        <v>577.0</v>
      </c>
      <c r="S2237" s="1">
        <v>416.0</v>
      </c>
      <c r="T2237" s="1">
        <v>231.0</v>
      </c>
      <c r="U2237" s="1">
        <v>1341.0</v>
      </c>
      <c r="V2237" s="1">
        <v>97.0</v>
      </c>
      <c r="W2237" s="1">
        <v>0.0</v>
      </c>
      <c r="X2237" s="1">
        <v>2.0</v>
      </c>
      <c r="Y2237" s="1">
        <v>2.35</v>
      </c>
      <c r="Z2237" s="1">
        <v>7.0</v>
      </c>
    </row>
    <row r="2238" ht="14.25" customHeight="1">
      <c r="A2238" s="1" t="s">
        <v>710</v>
      </c>
      <c r="B2238" s="1" t="s">
        <v>247</v>
      </c>
      <c r="C2238" s="1" t="s">
        <v>10888</v>
      </c>
      <c r="D2238" s="1">
        <v>5887457.0</v>
      </c>
      <c r="E2238" s="1" t="s">
        <v>3956</v>
      </c>
      <c r="F2238" s="1" t="s">
        <v>41</v>
      </c>
      <c r="G2238" s="1" t="s">
        <v>534</v>
      </c>
      <c r="H2238" s="1" t="s">
        <v>3095</v>
      </c>
      <c r="I2238" s="1">
        <v>142416.0</v>
      </c>
      <c r="J2238" s="1" t="s">
        <v>10889</v>
      </c>
      <c r="K2238" s="1" t="s">
        <v>10890</v>
      </c>
      <c r="L2238" s="1">
        <v>420.0</v>
      </c>
      <c r="M2238" s="1" t="s">
        <v>35</v>
      </c>
      <c r="N2238" s="1" t="s">
        <v>36</v>
      </c>
      <c r="O2238" s="1" t="s">
        <v>628</v>
      </c>
      <c r="P2238" s="1">
        <v>1.8E7</v>
      </c>
      <c r="Q2238" s="1">
        <v>1994.0</v>
      </c>
      <c r="R2238" s="1">
        <v>40000.0</v>
      </c>
      <c r="S2238" s="1">
        <v>13000.0</v>
      </c>
      <c r="T2238" s="1">
        <v>940.0</v>
      </c>
      <c r="U2238" s="1">
        <v>56585.0</v>
      </c>
      <c r="V2238" s="1">
        <v>13000.0</v>
      </c>
      <c r="W2238" s="1">
        <v>0.0</v>
      </c>
      <c r="X2238" s="1">
        <v>1.0</v>
      </c>
      <c r="Y2238" s="1">
        <v>1.85</v>
      </c>
      <c r="Z2238" s="1">
        <v>7.9</v>
      </c>
    </row>
    <row r="2239" ht="14.25" customHeight="1">
      <c r="A2239" s="1" t="s">
        <v>26</v>
      </c>
      <c r="B2239" s="1" t="s">
        <v>7666</v>
      </c>
      <c r="C2239" s="1" t="s">
        <v>10891</v>
      </c>
      <c r="D2239" s="1">
        <v>1.3362308E7</v>
      </c>
      <c r="E2239" s="1" t="s">
        <v>3238</v>
      </c>
      <c r="F2239" s="1" t="s">
        <v>74</v>
      </c>
      <c r="G2239" s="1" t="s">
        <v>208</v>
      </c>
      <c r="H2239" s="1" t="s">
        <v>3268</v>
      </c>
      <c r="I2239" s="1">
        <v>31898.0</v>
      </c>
      <c r="J2239" s="1" t="s">
        <v>10892</v>
      </c>
      <c r="K2239" s="1" t="s">
        <v>10893</v>
      </c>
      <c r="L2239" s="1">
        <v>111.0</v>
      </c>
      <c r="M2239" s="1" t="s">
        <v>35</v>
      </c>
      <c r="N2239" s="1" t="s">
        <v>36</v>
      </c>
      <c r="O2239" s="1" t="s">
        <v>37</v>
      </c>
      <c r="P2239" s="1">
        <v>1.8E7</v>
      </c>
      <c r="Q2239" s="1">
        <v>2013.0</v>
      </c>
      <c r="R2239" s="1">
        <v>24000.0</v>
      </c>
      <c r="S2239" s="1">
        <v>14000.0</v>
      </c>
      <c r="T2239" s="1">
        <v>405.0</v>
      </c>
      <c r="U2239" s="1">
        <v>39307.0</v>
      </c>
      <c r="V2239" s="1">
        <v>655.0</v>
      </c>
      <c r="W2239" s="1">
        <v>0.0</v>
      </c>
      <c r="X2239" s="1">
        <v>1.0</v>
      </c>
      <c r="Y2239" s="1">
        <v>2.35</v>
      </c>
      <c r="Z2239" s="1">
        <v>6.9</v>
      </c>
    </row>
    <row r="2240" ht="14.25" customHeight="1">
      <c r="A2240" s="1" t="s">
        <v>26</v>
      </c>
      <c r="B2240" s="1" t="s">
        <v>1936</v>
      </c>
      <c r="C2240" s="1" t="s">
        <v>10894</v>
      </c>
      <c r="D2240" s="1">
        <v>5701643.0</v>
      </c>
      <c r="E2240" s="1" t="s">
        <v>3259</v>
      </c>
      <c r="F2240" s="1" t="s">
        <v>222</v>
      </c>
      <c r="G2240" s="1" t="s">
        <v>10895</v>
      </c>
      <c r="H2240" s="1" t="s">
        <v>10896</v>
      </c>
      <c r="I2240" s="1">
        <v>37635.0</v>
      </c>
      <c r="J2240" s="1" t="s">
        <v>10897</v>
      </c>
      <c r="K2240" s="1" t="s">
        <v>10898</v>
      </c>
      <c r="L2240" s="1">
        <v>165.0</v>
      </c>
      <c r="M2240" s="1" t="s">
        <v>10899</v>
      </c>
      <c r="N2240" s="1" t="s">
        <v>10373</v>
      </c>
      <c r="O2240" s="1" t="s">
        <v>628</v>
      </c>
      <c r="P2240" s="1">
        <v>2.0E7</v>
      </c>
      <c r="Q2240" s="1">
        <v>2007.0</v>
      </c>
      <c r="R2240" s="1">
        <v>627.0</v>
      </c>
      <c r="S2240" s="1">
        <v>12.0</v>
      </c>
      <c r="T2240" s="1">
        <v>9.0</v>
      </c>
      <c r="U2240" s="1">
        <v>653.0</v>
      </c>
      <c r="V2240" s="1">
        <v>44.0</v>
      </c>
      <c r="W2240" s="1">
        <v>0.0</v>
      </c>
      <c r="X2240" s="1">
        <v>0.0</v>
      </c>
      <c r="Y2240" s="1">
        <v>2.35</v>
      </c>
      <c r="Z2240" s="1">
        <v>7.3</v>
      </c>
    </row>
    <row r="2241" ht="14.25" customHeight="1">
      <c r="A2241" s="1" t="s">
        <v>26</v>
      </c>
      <c r="B2241" s="1" t="s">
        <v>1238</v>
      </c>
      <c r="C2241" s="1" t="s">
        <v>10900</v>
      </c>
      <c r="D2241" s="1">
        <v>5694401.0</v>
      </c>
      <c r="E2241" s="1" t="s">
        <v>326</v>
      </c>
      <c r="F2241" s="1" t="s">
        <v>58</v>
      </c>
      <c r="G2241" s="1" t="s">
        <v>616</v>
      </c>
      <c r="H2241" s="1" t="s">
        <v>130</v>
      </c>
      <c r="I2241" s="1">
        <v>194489.0</v>
      </c>
      <c r="J2241" s="1" t="s">
        <v>10901</v>
      </c>
      <c r="K2241" s="1" t="s">
        <v>10902</v>
      </c>
      <c r="L2241" s="1">
        <v>192.0</v>
      </c>
      <c r="M2241" s="1" t="s">
        <v>35</v>
      </c>
      <c r="N2241" s="1" t="s">
        <v>54</v>
      </c>
      <c r="O2241" s="1" t="s">
        <v>628</v>
      </c>
      <c r="P2241" s="1">
        <v>1.8E7</v>
      </c>
      <c r="Q2241" s="1">
        <v>2008.0</v>
      </c>
      <c r="R2241" s="1">
        <v>27000.0</v>
      </c>
      <c r="S2241" s="1">
        <v>18000.0</v>
      </c>
      <c r="T2241" s="1">
        <v>1000.0</v>
      </c>
      <c r="U2241" s="1">
        <v>46944.0</v>
      </c>
      <c r="V2241" s="1">
        <v>0.0</v>
      </c>
      <c r="W2241" s="1">
        <v>12000.0</v>
      </c>
      <c r="X2241" s="1">
        <v>4.0</v>
      </c>
      <c r="Y2241" s="1">
        <v>2.35</v>
      </c>
      <c r="Z2241" s="1">
        <v>7.3</v>
      </c>
    </row>
    <row r="2242" ht="14.25" customHeight="1">
      <c r="A2242" s="1" t="s">
        <v>26</v>
      </c>
      <c r="B2242" s="1" t="s">
        <v>10903</v>
      </c>
      <c r="C2242" s="1" t="s">
        <v>10904</v>
      </c>
      <c r="D2242" s="1">
        <v>5333658.0</v>
      </c>
      <c r="E2242" s="1" t="s">
        <v>623</v>
      </c>
      <c r="F2242" s="1" t="s">
        <v>10757</v>
      </c>
      <c r="G2242" s="1" t="s">
        <v>10905</v>
      </c>
      <c r="H2242" s="1" t="s">
        <v>10906</v>
      </c>
      <c r="I2242" s="1">
        <v>2541.0</v>
      </c>
      <c r="J2242" s="1" t="s">
        <v>10907</v>
      </c>
      <c r="K2242" s="1" t="s">
        <v>10908</v>
      </c>
      <c r="L2242" s="1">
        <v>54.0</v>
      </c>
      <c r="M2242" s="1" t="s">
        <v>35</v>
      </c>
      <c r="N2242" s="1" t="s">
        <v>36</v>
      </c>
      <c r="O2242" s="1" t="s">
        <v>87</v>
      </c>
      <c r="P2242" s="1">
        <v>2.0E7</v>
      </c>
      <c r="Q2242" s="1">
        <v>1982.0</v>
      </c>
      <c r="R2242" s="1">
        <v>456.0</v>
      </c>
      <c r="S2242" s="1">
        <v>278.0</v>
      </c>
      <c r="T2242" s="1">
        <v>251.0</v>
      </c>
      <c r="U2242" s="1">
        <v>1356.0</v>
      </c>
      <c r="V2242" s="1">
        <v>379.0</v>
      </c>
      <c r="W2242" s="1">
        <v>0.0</v>
      </c>
      <c r="X2242" s="1">
        <v>2.0</v>
      </c>
      <c r="Y2242" s="1">
        <v>1.85</v>
      </c>
      <c r="Z2242" s="1">
        <v>3.5</v>
      </c>
    </row>
    <row r="2243" ht="14.25" customHeight="1">
      <c r="A2243" s="1" t="s">
        <v>26</v>
      </c>
      <c r="B2243" s="1" t="s">
        <v>820</v>
      </c>
      <c r="C2243" s="1" t="s">
        <v>10909</v>
      </c>
      <c r="D2243" s="1">
        <v>4414535.0</v>
      </c>
      <c r="E2243" s="1" t="s">
        <v>3238</v>
      </c>
      <c r="F2243" s="1" t="s">
        <v>10910</v>
      </c>
      <c r="G2243" s="1" t="s">
        <v>727</v>
      </c>
      <c r="H2243" s="1" t="s">
        <v>8965</v>
      </c>
      <c r="I2243" s="1">
        <v>30618.0</v>
      </c>
      <c r="J2243" s="1" t="s">
        <v>10911</v>
      </c>
      <c r="K2243" s="1" t="s">
        <v>10912</v>
      </c>
      <c r="L2243" s="1">
        <v>224.0</v>
      </c>
      <c r="M2243" s="1" t="s">
        <v>35</v>
      </c>
      <c r="N2243" s="1" t="s">
        <v>54</v>
      </c>
      <c r="O2243" s="1" t="s">
        <v>37</v>
      </c>
      <c r="P2243" s="1">
        <v>1.8E7</v>
      </c>
      <c r="Q2243" s="1">
        <v>1996.0</v>
      </c>
      <c r="R2243" s="1">
        <v>597.0</v>
      </c>
      <c r="S2243" s="1">
        <v>591.0</v>
      </c>
      <c r="T2243" s="1">
        <v>401.0</v>
      </c>
      <c r="U2243" s="1">
        <v>1645.0</v>
      </c>
      <c r="V2243" s="1">
        <v>0.0</v>
      </c>
      <c r="W2243" s="1">
        <v>0.0</v>
      </c>
      <c r="X2243" s="1">
        <v>0.0</v>
      </c>
      <c r="Y2243" s="1">
        <v>2.2</v>
      </c>
      <c r="Z2243" s="1">
        <v>7.8</v>
      </c>
    </row>
    <row r="2244" ht="14.25" customHeight="1">
      <c r="A2244" s="1" t="s">
        <v>26</v>
      </c>
      <c r="B2244" s="1" t="s">
        <v>10913</v>
      </c>
      <c r="C2244" s="1" t="s">
        <v>10914</v>
      </c>
      <c r="D2244" s="1">
        <v>3707794.0</v>
      </c>
      <c r="E2244" s="1" t="s">
        <v>1418</v>
      </c>
      <c r="F2244" s="1" t="s">
        <v>76</v>
      </c>
      <c r="G2244" s="1" t="s">
        <v>1009</v>
      </c>
      <c r="H2244" s="1" t="s">
        <v>10915</v>
      </c>
      <c r="I2244" s="1">
        <v>31359.0</v>
      </c>
      <c r="J2244" s="1" t="s">
        <v>10916</v>
      </c>
      <c r="K2244" s="1" t="s">
        <v>10917</v>
      </c>
      <c r="L2244" s="1">
        <v>156.0</v>
      </c>
      <c r="M2244" s="1" t="s">
        <v>35</v>
      </c>
      <c r="N2244" s="1" t="s">
        <v>10918</v>
      </c>
      <c r="O2244" s="1" t="s">
        <v>37</v>
      </c>
      <c r="P2244" s="1">
        <v>1.8E7</v>
      </c>
      <c r="Q2244" s="1">
        <v>2016.0</v>
      </c>
      <c r="R2244" s="1">
        <v>4000.0</v>
      </c>
      <c r="S2244" s="1">
        <v>820.0</v>
      </c>
      <c r="T2244" s="1">
        <v>201.0</v>
      </c>
      <c r="U2244" s="1">
        <v>5671.0</v>
      </c>
      <c r="V2244" s="1">
        <v>337.0</v>
      </c>
      <c r="W2244" s="1">
        <v>0.0</v>
      </c>
      <c r="X2244" s="1">
        <v>0.0</v>
      </c>
      <c r="Y2244" s="1">
        <v>2.35</v>
      </c>
      <c r="Z2244" s="1">
        <v>6.7</v>
      </c>
    </row>
    <row r="2245" ht="14.25" customHeight="1">
      <c r="A2245" s="1" t="s">
        <v>26</v>
      </c>
      <c r="B2245" s="1" t="s">
        <v>3797</v>
      </c>
      <c r="C2245" s="1" t="s">
        <v>10919</v>
      </c>
      <c r="D2245" s="1">
        <v>3203044.0</v>
      </c>
      <c r="E2245" s="1" t="s">
        <v>1598</v>
      </c>
      <c r="F2245" s="1" t="s">
        <v>3797</v>
      </c>
      <c r="G2245" s="1" t="s">
        <v>3930</v>
      </c>
      <c r="H2245" s="1" t="s">
        <v>5783</v>
      </c>
      <c r="I2245" s="1">
        <v>25165.0</v>
      </c>
      <c r="J2245" s="1" t="s">
        <v>10920</v>
      </c>
      <c r="K2245" s="1" t="s">
        <v>10921</v>
      </c>
      <c r="L2245" s="1">
        <v>155.0</v>
      </c>
      <c r="M2245" s="1" t="s">
        <v>35</v>
      </c>
      <c r="N2245" s="1" t="s">
        <v>36</v>
      </c>
      <c r="O2245" s="1" t="s">
        <v>628</v>
      </c>
      <c r="P2245" s="1">
        <v>1.8E7</v>
      </c>
      <c r="Q2245" s="1">
        <v>2003.0</v>
      </c>
      <c r="R2245" s="1">
        <v>11000.0</v>
      </c>
      <c r="S2245" s="1">
        <v>944.0</v>
      </c>
      <c r="T2245" s="1">
        <v>922.0</v>
      </c>
      <c r="U2245" s="1">
        <v>14843.0</v>
      </c>
      <c r="V2245" s="1">
        <v>11000.0</v>
      </c>
      <c r="W2245" s="1">
        <v>827.0</v>
      </c>
      <c r="X2245" s="1">
        <v>2.0</v>
      </c>
      <c r="Y2245" s="1">
        <v>2.35</v>
      </c>
      <c r="Z2245" s="1">
        <v>6.4</v>
      </c>
    </row>
    <row r="2246" ht="14.25" customHeight="1">
      <c r="A2246" s="1" t="s">
        <v>26</v>
      </c>
      <c r="B2246" s="1" t="s">
        <v>10922</v>
      </c>
      <c r="C2246" s="1" t="s">
        <v>10923</v>
      </c>
      <c r="D2246" s="1">
        <v>4435083.0</v>
      </c>
      <c r="E2246" s="1" t="s">
        <v>10924</v>
      </c>
      <c r="F2246" s="1" t="s">
        <v>3226</v>
      </c>
      <c r="G2246" s="1" t="s">
        <v>424</v>
      </c>
      <c r="H2246" s="1" t="s">
        <v>10925</v>
      </c>
      <c r="I2246" s="1">
        <v>27882.0</v>
      </c>
      <c r="J2246" s="1" t="s">
        <v>10926</v>
      </c>
      <c r="K2246" s="1" t="s">
        <v>10927</v>
      </c>
      <c r="L2246" s="1">
        <v>119.0</v>
      </c>
      <c r="M2246" s="1" t="s">
        <v>35</v>
      </c>
      <c r="N2246" s="1" t="s">
        <v>362</v>
      </c>
      <c r="O2246" s="1" t="s">
        <v>628</v>
      </c>
      <c r="P2246" s="1">
        <v>1.8E7</v>
      </c>
      <c r="Q2246" s="1">
        <v>2013.0</v>
      </c>
      <c r="R2246" s="1">
        <v>25000.0</v>
      </c>
      <c r="S2246" s="1">
        <v>14000.0</v>
      </c>
      <c r="T2246" s="1">
        <v>212.0</v>
      </c>
      <c r="U2246" s="1">
        <v>39463.0</v>
      </c>
      <c r="V2246" s="1">
        <v>6.0</v>
      </c>
      <c r="W2246" s="1">
        <v>18000.0</v>
      </c>
      <c r="X2246" s="1">
        <v>2.0</v>
      </c>
      <c r="Y2246" s="1">
        <v>2.35</v>
      </c>
      <c r="Z2246" s="1">
        <v>7.1</v>
      </c>
    </row>
    <row r="2247" ht="14.25" customHeight="1">
      <c r="A2247" s="1" t="s">
        <v>710</v>
      </c>
      <c r="B2247" s="1" t="s">
        <v>10928</v>
      </c>
      <c r="C2247" s="1" t="s">
        <v>10929</v>
      </c>
      <c r="D2247" s="1">
        <v>2222647.0</v>
      </c>
      <c r="E2247" s="1" t="s">
        <v>7540</v>
      </c>
      <c r="F2247" s="1" t="s">
        <v>10930</v>
      </c>
      <c r="G2247" s="1" t="s">
        <v>10931</v>
      </c>
      <c r="H2247" s="1" t="s">
        <v>10932</v>
      </c>
      <c r="I2247" s="1">
        <v>52958.0</v>
      </c>
      <c r="J2247" s="1" t="s">
        <v>10933</v>
      </c>
      <c r="K2247" s="1" t="s">
        <v>10934</v>
      </c>
      <c r="L2247" s="1">
        <v>193.0</v>
      </c>
      <c r="M2247" s="1" t="s">
        <v>10526</v>
      </c>
      <c r="N2247" s="1" t="s">
        <v>730</v>
      </c>
      <c r="O2247" s="1" t="s">
        <v>628</v>
      </c>
      <c r="P2247" s="1">
        <v>1.2E7</v>
      </c>
      <c r="Q2247" s="1">
        <v>2009.0</v>
      </c>
      <c r="R2247" s="1">
        <v>63.0</v>
      </c>
      <c r="S2247" s="1">
        <v>43.0</v>
      </c>
      <c r="T2247" s="1">
        <v>16.0</v>
      </c>
      <c r="U2247" s="1">
        <v>167.0</v>
      </c>
      <c r="V2247" s="1">
        <v>0.0</v>
      </c>
      <c r="W2247" s="1">
        <v>0.0</v>
      </c>
      <c r="X2247" s="1">
        <v>0.0</v>
      </c>
      <c r="Y2247" s="1">
        <v>1.85</v>
      </c>
      <c r="Z2247" s="1">
        <v>7.8</v>
      </c>
    </row>
    <row r="2248" ht="14.25" customHeight="1">
      <c r="A2248" s="1" t="s">
        <v>26</v>
      </c>
      <c r="B2248" s="1" t="s">
        <v>10935</v>
      </c>
      <c r="C2248" s="1" t="s">
        <v>10936</v>
      </c>
      <c r="D2248" s="1">
        <v>3500000.0</v>
      </c>
      <c r="E2248" s="1" t="s">
        <v>10937</v>
      </c>
      <c r="F2248" s="1" t="s">
        <v>1276</v>
      </c>
      <c r="G2248" s="1" t="s">
        <v>1822</v>
      </c>
      <c r="H2248" s="1" t="s">
        <v>6012</v>
      </c>
      <c r="I2248" s="1">
        <v>10082.0</v>
      </c>
      <c r="J2248" s="1" t="s">
        <v>10938</v>
      </c>
      <c r="K2248" s="1" t="s">
        <v>10939</v>
      </c>
      <c r="L2248" s="1">
        <v>100.0</v>
      </c>
      <c r="M2248" s="1" t="s">
        <v>35</v>
      </c>
      <c r="N2248" s="1" t="s">
        <v>36</v>
      </c>
      <c r="O2248" s="1" t="s">
        <v>628</v>
      </c>
      <c r="P2248" s="1">
        <v>2700000.0</v>
      </c>
      <c r="Q2248" s="1">
        <v>1986.0</v>
      </c>
      <c r="R2248" s="1">
        <v>1000.0</v>
      </c>
      <c r="S2248" s="1">
        <v>695.0</v>
      </c>
      <c r="T2248" s="1">
        <v>415.0</v>
      </c>
      <c r="U2248" s="1">
        <v>2319.0</v>
      </c>
      <c r="V2248" s="1">
        <v>28.0</v>
      </c>
      <c r="W2248" s="1">
        <v>0.0</v>
      </c>
      <c r="X2248" s="1">
        <v>2.0</v>
      </c>
      <c r="Y2248" s="1">
        <v>1.85</v>
      </c>
      <c r="Z2248" s="1">
        <v>5.9</v>
      </c>
    </row>
    <row r="2249" ht="14.25" customHeight="1">
      <c r="A2249" s="1" t="s">
        <v>26</v>
      </c>
      <c r="B2249" s="1" t="s">
        <v>2523</v>
      </c>
      <c r="C2249" s="1" t="s">
        <v>10940</v>
      </c>
      <c r="D2249" s="1">
        <v>676698.0</v>
      </c>
      <c r="E2249" s="1" t="s">
        <v>2061</v>
      </c>
      <c r="F2249" s="1" t="s">
        <v>2723</v>
      </c>
      <c r="G2249" s="1" t="s">
        <v>3593</v>
      </c>
      <c r="H2249" s="1" t="s">
        <v>1772</v>
      </c>
      <c r="I2249" s="1">
        <v>26730.0</v>
      </c>
      <c r="J2249" s="1" t="s">
        <v>10941</v>
      </c>
      <c r="K2249" s="1" t="s">
        <v>10942</v>
      </c>
      <c r="L2249" s="1">
        <v>180.0</v>
      </c>
      <c r="M2249" s="1" t="s">
        <v>35</v>
      </c>
      <c r="N2249" s="1" t="s">
        <v>36</v>
      </c>
      <c r="O2249" s="1" t="s">
        <v>628</v>
      </c>
      <c r="P2249" s="1">
        <v>1.8E7</v>
      </c>
      <c r="Q2249" s="1">
        <v>2002.0</v>
      </c>
      <c r="R2249" s="1">
        <v>1000.0</v>
      </c>
      <c r="S2249" s="1">
        <v>783.0</v>
      </c>
      <c r="T2249" s="1">
        <v>576.0</v>
      </c>
      <c r="U2249" s="1">
        <v>4094.0</v>
      </c>
      <c r="V2249" s="1">
        <v>154.0</v>
      </c>
      <c r="W2249" s="1">
        <v>2000.0</v>
      </c>
      <c r="X2249" s="1">
        <v>0.0</v>
      </c>
      <c r="Y2249" s="1">
        <v>1.85</v>
      </c>
      <c r="Z2249" s="1">
        <v>7.2</v>
      </c>
    </row>
    <row r="2250" ht="14.25" customHeight="1">
      <c r="A2250" s="1" t="s">
        <v>26</v>
      </c>
      <c r="B2250" s="1" t="s">
        <v>10943</v>
      </c>
      <c r="C2250" s="1" t="s">
        <v>10944</v>
      </c>
      <c r="D2250" s="1">
        <v>229311.0</v>
      </c>
      <c r="E2250" s="1" t="s">
        <v>10945</v>
      </c>
      <c r="F2250" s="1" t="s">
        <v>5388</v>
      </c>
      <c r="G2250" s="1" t="s">
        <v>6030</v>
      </c>
      <c r="H2250" s="1" t="s">
        <v>10946</v>
      </c>
      <c r="I2250" s="1">
        <v>899.0</v>
      </c>
      <c r="J2250" s="1" t="s">
        <v>10947</v>
      </c>
      <c r="K2250" s="1" t="s">
        <v>10948</v>
      </c>
      <c r="L2250" s="1">
        <v>42.0</v>
      </c>
      <c r="M2250" s="1" t="s">
        <v>35</v>
      </c>
      <c r="N2250" s="1" t="s">
        <v>3393</v>
      </c>
      <c r="O2250" s="1" t="s">
        <v>628</v>
      </c>
      <c r="P2250" s="1">
        <v>1.135E7</v>
      </c>
      <c r="Q2250" s="1">
        <v>1999.0</v>
      </c>
      <c r="R2250" s="1">
        <v>854.0</v>
      </c>
      <c r="S2250" s="1">
        <v>578.0</v>
      </c>
      <c r="T2250" s="1">
        <v>353.0</v>
      </c>
      <c r="U2250" s="1">
        <v>2705.0</v>
      </c>
      <c r="V2250" s="1">
        <v>0.0</v>
      </c>
      <c r="W2250" s="1">
        <v>271.0</v>
      </c>
      <c r="X2250" s="1">
        <v>2.0</v>
      </c>
      <c r="Y2250" s="1">
        <v>2.35</v>
      </c>
      <c r="Z2250" s="1">
        <v>6.2</v>
      </c>
    </row>
    <row r="2251" ht="14.25" customHeight="1">
      <c r="A2251" s="1" t="s">
        <v>26</v>
      </c>
      <c r="B2251" s="1" t="s">
        <v>10949</v>
      </c>
      <c r="C2251" s="1" t="s">
        <v>10950</v>
      </c>
      <c r="D2251" s="1">
        <v>63260.0</v>
      </c>
      <c r="E2251" s="1" t="s">
        <v>10951</v>
      </c>
      <c r="F2251" s="1" t="s">
        <v>9484</v>
      </c>
      <c r="G2251" s="1" t="s">
        <v>2158</v>
      </c>
      <c r="H2251" s="1" t="s">
        <v>10952</v>
      </c>
      <c r="I2251" s="1">
        <v>14325.0</v>
      </c>
      <c r="J2251" s="1" t="s">
        <v>10953</v>
      </c>
      <c r="K2251" s="1" t="s">
        <v>10954</v>
      </c>
      <c r="L2251" s="1">
        <v>90.0</v>
      </c>
      <c r="M2251" s="1" t="s">
        <v>35</v>
      </c>
      <c r="N2251" s="1" t="s">
        <v>1832</v>
      </c>
      <c r="O2251" s="1" t="s">
        <v>628</v>
      </c>
      <c r="P2251" s="1">
        <v>1.4E7</v>
      </c>
      <c r="Q2251" s="1">
        <v>2006.0</v>
      </c>
      <c r="R2251" s="1">
        <v>805.0</v>
      </c>
      <c r="S2251" s="1">
        <v>306.0</v>
      </c>
      <c r="T2251" s="1">
        <v>69.0</v>
      </c>
      <c r="U2251" s="1">
        <v>1185.0</v>
      </c>
      <c r="V2251" s="1">
        <v>2.0</v>
      </c>
      <c r="W2251" s="1">
        <v>0.0</v>
      </c>
      <c r="X2251" s="1">
        <v>0.0</v>
      </c>
      <c r="Y2251" s="1">
        <v>2.35</v>
      </c>
      <c r="Z2251" s="1">
        <v>6.7</v>
      </c>
    </row>
    <row r="2252" ht="14.25" customHeight="1">
      <c r="A2252" s="1" t="s">
        <v>26</v>
      </c>
      <c r="B2252" s="1" t="s">
        <v>6155</v>
      </c>
      <c r="C2252" s="1" t="s">
        <v>10955</v>
      </c>
      <c r="D2252" s="1">
        <v>1.21463226E8</v>
      </c>
      <c r="E2252" s="1" t="s">
        <v>1885</v>
      </c>
      <c r="F2252" s="1" t="s">
        <v>174</v>
      </c>
      <c r="G2252" s="1" t="s">
        <v>599</v>
      </c>
      <c r="H2252" s="1" t="s">
        <v>4141</v>
      </c>
      <c r="I2252" s="1">
        <v>422606.0</v>
      </c>
      <c r="J2252" s="1" t="s">
        <v>10956</v>
      </c>
      <c r="K2252" s="1" t="s">
        <v>10957</v>
      </c>
      <c r="L2252" s="1">
        <v>555.0</v>
      </c>
      <c r="M2252" s="1" t="s">
        <v>35</v>
      </c>
      <c r="N2252" s="1" t="s">
        <v>36</v>
      </c>
      <c r="O2252" s="1" t="s">
        <v>628</v>
      </c>
      <c r="P2252" s="1">
        <v>2.0E7</v>
      </c>
      <c r="Q2252" s="1">
        <v>2007.0</v>
      </c>
      <c r="R2252" s="1">
        <v>15000.0</v>
      </c>
      <c r="S2252" s="1">
        <v>833.0</v>
      </c>
      <c r="T2252" s="1">
        <v>778.0</v>
      </c>
      <c r="U2252" s="1">
        <v>17584.0</v>
      </c>
      <c r="V2252" s="1">
        <v>99.0</v>
      </c>
      <c r="W2252" s="1">
        <v>0.0</v>
      </c>
      <c r="X2252" s="1">
        <v>2.0</v>
      </c>
      <c r="Y2252" s="1">
        <v>1.85</v>
      </c>
      <c r="Z2252" s="1">
        <v>7.6</v>
      </c>
    </row>
    <row r="2253" ht="14.25" customHeight="1">
      <c r="A2253" s="1" t="s">
        <v>26</v>
      </c>
      <c r="B2253" s="1" t="s">
        <v>1034</v>
      </c>
      <c r="C2253" s="1" t="s">
        <v>10958</v>
      </c>
      <c r="D2253" s="1">
        <v>5.8006147E7</v>
      </c>
      <c r="E2253" s="1" t="s">
        <v>4553</v>
      </c>
      <c r="F2253" s="1" t="s">
        <v>10959</v>
      </c>
      <c r="G2253" s="1" t="s">
        <v>10960</v>
      </c>
      <c r="H2253" s="1" t="s">
        <v>10961</v>
      </c>
      <c r="I2253" s="1">
        <v>67653.0</v>
      </c>
      <c r="J2253" s="1" t="s">
        <v>10962</v>
      </c>
      <c r="K2253" s="1" t="s">
        <v>10963</v>
      </c>
      <c r="L2253" s="1">
        <v>108.0</v>
      </c>
      <c r="M2253" s="1" t="s">
        <v>35</v>
      </c>
      <c r="N2253" s="1" t="s">
        <v>36</v>
      </c>
      <c r="O2253" s="1" t="s">
        <v>37</v>
      </c>
      <c r="P2253" s="1">
        <v>2.3E7</v>
      </c>
      <c r="Q2253" s="1">
        <v>2008.0</v>
      </c>
      <c r="R2253" s="1">
        <v>158.0</v>
      </c>
      <c r="S2253" s="1">
        <v>152.0</v>
      </c>
      <c r="T2253" s="1">
        <v>129.0</v>
      </c>
      <c r="U2253" s="1">
        <v>816.0</v>
      </c>
      <c r="V2253" s="1">
        <v>209.0</v>
      </c>
      <c r="W2253" s="1">
        <v>0.0</v>
      </c>
      <c r="X2253" s="1">
        <v>2.0</v>
      </c>
      <c r="Y2253" s="1">
        <v>1.85</v>
      </c>
      <c r="Z2253" s="1">
        <v>6.2</v>
      </c>
    </row>
    <row r="2254" ht="14.25" customHeight="1">
      <c r="A2254" s="1" t="s">
        <v>26</v>
      </c>
      <c r="B2254" s="1" t="s">
        <v>10964</v>
      </c>
      <c r="C2254" s="1" t="s">
        <v>10965</v>
      </c>
      <c r="D2254" s="1">
        <v>5.1053787E7</v>
      </c>
      <c r="E2254" s="1" t="s">
        <v>10966</v>
      </c>
      <c r="F2254" s="1" t="s">
        <v>249</v>
      </c>
      <c r="G2254" s="1" t="s">
        <v>1576</v>
      </c>
      <c r="H2254" s="1" t="s">
        <v>3902</v>
      </c>
      <c r="I2254" s="1">
        <v>45900.0</v>
      </c>
      <c r="J2254" s="1" t="s">
        <v>10967</v>
      </c>
      <c r="K2254" s="1" t="s">
        <v>10968</v>
      </c>
      <c r="L2254" s="1">
        <v>247.0</v>
      </c>
      <c r="M2254" s="1" t="s">
        <v>35</v>
      </c>
      <c r="N2254" s="1" t="s">
        <v>36</v>
      </c>
      <c r="O2254" s="1" t="s">
        <v>87</v>
      </c>
      <c r="P2254" s="1">
        <v>1.75E7</v>
      </c>
      <c r="Q2254" s="1">
        <v>2005.0</v>
      </c>
      <c r="R2254" s="1">
        <v>11000.0</v>
      </c>
      <c r="S2254" s="1">
        <v>979.0</v>
      </c>
      <c r="T2254" s="1">
        <v>854.0</v>
      </c>
      <c r="U2254" s="1">
        <v>14385.0</v>
      </c>
      <c r="V2254" s="1">
        <v>19.0</v>
      </c>
      <c r="W2254" s="1">
        <v>0.0</v>
      </c>
      <c r="X2254" s="1">
        <v>1.0</v>
      </c>
      <c r="Y2254" s="1">
        <v>1.85</v>
      </c>
      <c r="Z2254" s="1">
        <v>6.5</v>
      </c>
    </row>
    <row r="2255" ht="14.25" customHeight="1">
      <c r="A2255" s="1" t="s">
        <v>26</v>
      </c>
      <c r="B2255" s="1" t="s">
        <v>10969</v>
      </c>
      <c r="C2255" s="1" t="s">
        <v>10970</v>
      </c>
      <c r="D2255" s="1">
        <v>2.34729E7</v>
      </c>
      <c r="E2255" s="1" t="s">
        <v>1880</v>
      </c>
      <c r="F2255" s="1" t="s">
        <v>244</v>
      </c>
      <c r="G2255" s="1" t="s">
        <v>3922</v>
      </c>
      <c r="H2255" s="1" t="s">
        <v>10971</v>
      </c>
      <c r="I2255" s="1">
        <v>264533.0</v>
      </c>
      <c r="J2255" s="1" t="s">
        <v>10972</v>
      </c>
      <c r="K2255" s="1" t="s">
        <v>10973</v>
      </c>
      <c r="L2255" s="1">
        <v>609.0</v>
      </c>
      <c r="M2255" s="1" t="s">
        <v>35</v>
      </c>
      <c r="N2255" s="1" t="s">
        <v>54</v>
      </c>
      <c r="O2255" s="1" t="s">
        <v>37</v>
      </c>
      <c r="P2255" s="1">
        <v>1.75E7</v>
      </c>
      <c r="Q2255" s="1">
        <v>2004.0</v>
      </c>
      <c r="R2255" s="1">
        <v>3000.0</v>
      </c>
      <c r="S2255" s="1">
        <v>460.0</v>
      </c>
      <c r="T2255" s="1">
        <v>242.0</v>
      </c>
      <c r="U2255" s="1">
        <v>4142.0</v>
      </c>
      <c r="V2255" s="1">
        <v>83.0</v>
      </c>
      <c r="W2255" s="1">
        <v>12000.0</v>
      </c>
      <c r="X2255" s="1">
        <v>1.0</v>
      </c>
      <c r="Y2255" s="1">
        <v>2.35</v>
      </c>
      <c r="Z2255" s="1">
        <v>8.1</v>
      </c>
    </row>
    <row r="2256" ht="14.25" customHeight="1">
      <c r="A2256" s="1" t="s">
        <v>26</v>
      </c>
      <c r="B2256" s="1" t="s">
        <v>10974</v>
      </c>
      <c r="C2256" s="1" t="s">
        <v>10975</v>
      </c>
      <c r="D2256" s="1">
        <v>3.9687528E7</v>
      </c>
      <c r="E2256" s="1" t="s">
        <v>449</v>
      </c>
      <c r="F2256" s="1" t="s">
        <v>10976</v>
      </c>
      <c r="G2256" s="1" t="s">
        <v>1286</v>
      </c>
      <c r="H2256" s="1" t="s">
        <v>4179</v>
      </c>
      <c r="I2256" s="1">
        <v>140780.0</v>
      </c>
      <c r="J2256" s="1" t="s">
        <v>10977</v>
      </c>
      <c r="K2256" s="1" t="s">
        <v>10978</v>
      </c>
      <c r="L2256" s="1">
        <v>376.0</v>
      </c>
      <c r="M2256" s="1" t="s">
        <v>35</v>
      </c>
      <c r="N2256" s="1" t="s">
        <v>1832</v>
      </c>
      <c r="O2256" s="1" t="s">
        <v>628</v>
      </c>
      <c r="P2256" s="1">
        <v>2.4E7</v>
      </c>
      <c r="Q2256" s="1">
        <v>2007.0</v>
      </c>
      <c r="R2256" s="1">
        <v>866.0</v>
      </c>
      <c r="S2256" s="1">
        <v>794.0</v>
      </c>
      <c r="T2256" s="1">
        <v>280.0</v>
      </c>
      <c r="U2256" s="1">
        <v>2124.0</v>
      </c>
      <c r="V2256" s="1">
        <v>87.0</v>
      </c>
      <c r="W2256" s="1">
        <v>0.0</v>
      </c>
      <c r="X2256" s="1">
        <v>1.0</v>
      </c>
      <c r="Y2256" s="1">
        <v>2.35</v>
      </c>
      <c r="Z2256" s="1">
        <v>6.3</v>
      </c>
    </row>
    <row r="2257" ht="14.25" customHeight="1">
      <c r="A2257" s="1" t="s">
        <v>26</v>
      </c>
      <c r="B2257" s="1" t="s">
        <v>10979</v>
      </c>
      <c r="C2257" s="1" t="s">
        <v>10980</v>
      </c>
      <c r="D2257" s="1">
        <v>7017178.0</v>
      </c>
      <c r="E2257" s="1" t="s">
        <v>10981</v>
      </c>
      <c r="F2257" s="1" t="s">
        <v>2925</v>
      </c>
      <c r="G2257" s="1" t="s">
        <v>10558</v>
      </c>
      <c r="H2257" s="1" t="s">
        <v>10982</v>
      </c>
      <c r="I2257" s="1">
        <v>1633.0</v>
      </c>
      <c r="J2257" s="1" t="s">
        <v>10983</v>
      </c>
      <c r="K2257" s="1" t="s">
        <v>10984</v>
      </c>
      <c r="L2257" s="1">
        <v>17.0</v>
      </c>
      <c r="M2257" s="1" t="s">
        <v>35</v>
      </c>
      <c r="N2257" s="1" t="s">
        <v>36</v>
      </c>
      <c r="O2257" s="1" t="s">
        <v>87</v>
      </c>
      <c r="P2257" s="1">
        <v>1.75E7</v>
      </c>
      <c r="Q2257" s="1">
        <v>2013.0</v>
      </c>
      <c r="R2257" s="1">
        <v>549.0</v>
      </c>
      <c r="S2257" s="1">
        <v>269.0</v>
      </c>
      <c r="T2257" s="1">
        <v>170.0</v>
      </c>
      <c r="U2257" s="1">
        <v>1373.0</v>
      </c>
      <c r="V2257" s="1">
        <v>148.0</v>
      </c>
      <c r="W2257" s="1">
        <v>0.0</v>
      </c>
      <c r="X2257" s="1">
        <v>5.0</v>
      </c>
      <c r="Y2257" s="1">
        <v>2.35</v>
      </c>
      <c r="Z2257" s="1">
        <v>4.4</v>
      </c>
    </row>
    <row r="2258" ht="14.25" customHeight="1">
      <c r="A2258" s="1" t="s">
        <v>26</v>
      </c>
      <c r="B2258" s="1" t="s">
        <v>10985</v>
      </c>
      <c r="C2258" s="1" t="s">
        <v>10986</v>
      </c>
      <c r="D2258" s="1">
        <v>325491.0</v>
      </c>
      <c r="E2258" s="1" t="s">
        <v>2045</v>
      </c>
      <c r="F2258" s="1" t="s">
        <v>10987</v>
      </c>
      <c r="G2258" s="1" t="s">
        <v>10988</v>
      </c>
      <c r="H2258" s="1" t="s">
        <v>10989</v>
      </c>
      <c r="I2258" s="1">
        <v>4387.0</v>
      </c>
      <c r="J2258" s="1" t="s">
        <v>10990</v>
      </c>
      <c r="K2258" s="1" t="s">
        <v>10991</v>
      </c>
      <c r="L2258" s="1">
        <v>67.0</v>
      </c>
      <c r="M2258" s="1" t="s">
        <v>35</v>
      </c>
      <c r="N2258" s="1" t="s">
        <v>36</v>
      </c>
      <c r="O2258" s="1" t="s">
        <v>628</v>
      </c>
      <c r="P2258" s="1">
        <v>1.75E7</v>
      </c>
      <c r="Q2258" s="1">
        <v>2002.0</v>
      </c>
      <c r="R2258" s="1">
        <v>109.0</v>
      </c>
      <c r="S2258" s="1">
        <v>67.0</v>
      </c>
      <c r="T2258" s="1">
        <v>50.0</v>
      </c>
      <c r="U2258" s="1">
        <v>245.0</v>
      </c>
      <c r="V2258" s="1">
        <v>0.0</v>
      </c>
      <c r="W2258" s="1">
        <v>204.0</v>
      </c>
      <c r="X2258" s="1">
        <v>0.0</v>
      </c>
      <c r="Y2258" s="1">
        <v>1.85</v>
      </c>
      <c r="Z2258" s="1">
        <v>6.0</v>
      </c>
    </row>
    <row r="2259" ht="14.25" customHeight="1">
      <c r="A2259" s="1" t="s">
        <v>26</v>
      </c>
      <c r="B2259" s="1" t="s">
        <v>3385</v>
      </c>
      <c r="C2259" s="1" t="s">
        <v>10992</v>
      </c>
      <c r="D2259" s="1">
        <v>9.6471845E7</v>
      </c>
      <c r="E2259" s="1" t="s">
        <v>9021</v>
      </c>
      <c r="F2259" s="1" t="s">
        <v>7708</v>
      </c>
      <c r="G2259" s="1" t="s">
        <v>10993</v>
      </c>
      <c r="H2259" s="1" t="s">
        <v>10994</v>
      </c>
      <c r="I2259" s="1">
        <v>268581.0</v>
      </c>
      <c r="J2259" s="1" t="s">
        <v>10995</v>
      </c>
      <c r="K2259" s="1" t="s">
        <v>10996</v>
      </c>
      <c r="L2259" s="1">
        <v>1109.0</v>
      </c>
      <c r="M2259" s="1" t="s">
        <v>35</v>
      </c>
      <c r="N2259" s="1" t="s">
        <v>36</v>
      </c>
      <c r="O2259" s="1" t="s">
        <v>37</v>
      </c>
      <c r="P2259" s="1">
        <v>1.7E7</v>
      </c>
      <c r="Q2259" s="1">
        <v>2001.0</v>
      </c>
      <c r="R2259" s="1">
        <v>482.0</v>
      </c>
      <c r="S2259" s="1">
        <v>203.0</v>
      </c>
      <c r="T2259" s="1">
        <v>83.0</v>
      </c>
      <c r="U2259" s="1">
        <v>956.0</v>
      </c>
      <c r="V2259" s="1">
        <v>448.0</v>
      </c>
      <c r="W2259" s="1">
        <v>20000.0</v>
      </c>
      <c r="X2259" s="1">
        <v>0.0</v>
      </c>
      <c r="Y2259" s="1">
        <v>1.85</v>
      </c>
      <c r="Z2259" s="1">
        <v>7.6</v>
      </c>
    </row>
    <row r="2260" ht="14.25" customHeight="1">
      <c r="A2260" s="1" t="s">
        <v>26</v>
      </c>
      <c r="B2260" s="1" t="s">
        <v>27</v>
      </c>
      <c r="C2260" s="1" t="s">
        <v>10997</v>
      </c>
      <c r="D2260" s="1">
        <v>8.52E7</v>
      </c>
      <c r="E2260" s="1" t="s">
        <v>65</v>
      </c>
      <c r="F2260" s="1" t="s">
        <v>2860</v>
      </c>
      <c r="G2260" s="1" t="s">
        <v>10998</v>
      </c>
      <c r="H2260" s="1" t="s">
        <v>1634</v>
      </c>
      <c r="I2260" s="1">
        <v>488537.0</v>
      </c>
      <c r="J2260" s="1" t="s">
        <v>10999</v>
      </c>
      <c r="K2260" s="1" t="s">
        <v>11000</v>
      </c>
      <c r="L2260" s="1">
        <v>1076.0</v>
      </c>
      <c r="M2260" s="1" t="s">
        <v>35</v>
      </c>
      <c r="N2260" s="1" t="s">
        <v>36</v>
      </c>
      <c r="O2260" s="1" t="s">
        <v>628</v>
      </c>
      <c r="P2260" s="1">
        <v>1.85E7</v>
      </c>
      <c r="Q2260" s="1">
        <v>1986.0</v>
      </c>
      <c r="R2260" s="1">
        <v>2000.0</v>
      </c>
      <c r="S2260" s="1">
        <v>626.0</v>
      </c>
      <c r="T2260" s="1">
        <v>604.0</v>
      </c>
      <c r="U2260" s="1">
        <v>4228.0</v>
      </c>
      <c r="V2260" s="1">
        <v>0.0</v>
      </c>
      <c r="W2260" s="1">
        <v>18000.0</v>
      </c>
      <c r="X2260" s="1">
        <v>1.0</v>
      </c>
      <c r="Y2260" s="1">
        <v>1.85</v>
      </c>
      <c r="Z2260" s="1">
        <v>8.4</v>
      </c>
    </row>
    <row r="2261" ht="14.25" customHeight="1">
      <c r="A2261" s="1" t="s">
        <v>26</v>
      </c>
      <c r="B2261" s="1" t="s">
        <v>11001</v>
      </c>
      <c r="C2261" s="1" t="s">
        <v>11002</v>
      </c>
      <c r="D2261" s="1">
        <v>7.2E7</v>
      </c>
      <c r="E2261" s="1" t="s">
        <v>11003</v>
      </c>
      <c r="F2261" s="1" t="s">
        <v>11004</v>
      </c>
      <c r="G2261" s="1" t="s">
        <v>11005</v>
      </c>
      <c r="H2261" s="1" t="s">
        <v>11006</v>
      </c>
      <c r="I2261" s="1">
        <v>66959.0</v>
      </c>
      <c r="J2261" s="1" t="s">
        <v>11007</v>
      </c>
      <c r="K2261" s="1" t="s">
        <v>11008</v>
      </c>
      <c r="L2261" s="1">
        <v>258.0</v>
      </c>
      <c r="M2261" s="1" t="s">
        <v>35</v>
      </c>
      <c r="N2261" s="1" t="s">
        <v>36</v>
      </c>
      <c r="O2261" s="1" t="s">
        <v>5661</v>
      </c>
      <c r="P2261" s="1">
        <v>1.7E7</v>
      </c>
      <c r="Q2261" s="1">
        <v>1964.0</v>
      </c>
      <c r="R2261" s="1">
        <v>453.0</v>
      </c>
      <c r="S2261" s="1">
        <v>272.0</v>
      </c>
      <c r="T2261" s="1">
        <v>244.0</v>
      </c>
      <c r="U2261" s="1">
        <v>1164.0</v>
      </c>
      <c r="V2261" s="1">
        <v>165.0</v>
      </c>
      <c r="W2261" s="1">
        <v>0.0</v>
      </c>
      <c r="X2261" s="1">
        <v>1.0</v>
      </c>
      <c r="Y2261" s="1">
        <v>2.2</v>
      </c>
      <c r="Z2261" s="1">
        <v>7.9</v>
      </c>
    </row>
    <row r="2262" ht="14.25" customHeight="1">
      <c r="A2262" s="1" t="s">
        <v>26</v>
      </c>
      <c r="B2262" s="1" t="s">
        <v>11009</v>
      </c>
      <c r="C2262" s="1" t="s">
        <v>11010</v>
      </c>
      <c r="D2262" s="1">
        <v>7.2219395E7</v>
      </c>
      <c r="E2262" s="1" t="s">
        <v>2882</v>
      </c>
      <c r="F2262" s="1" t="s">
        <v>5040</v>
      </c>
      <c r="G2262" s="1" t="s">
        <v>2378</v>
      </c>
      <c r="H2262" s="1" t="s">
        <v>2177</v>
      </c>
      <c r="I2262" s="1">
        <v>105585.0</v>
      </c>
      <c r="J2262" s="1" t="s">
        <v>11011</v>
      </c>
      <c r="K2262" s="1" t="s">
        <v>11012</v>
      </c>
      <c r="L2262" s="1">
        <v>419.0</v>
      </c>
      <c r="M2262" s="1" t="s">
        <v>35</v>
      </c>
      <c r="N2262" s="1" t="s">
        <v>36</v>
      </c>
      <c r="O2262" s="1" t="s">
        <v>628</v>
      </c>
      <c r="P2262" s="1">
        <v>1.7E7</v>
      </c>
      <c r="Q2262" s="1">
        <v>1997.0</v>
      </c>
      <c r="R2262" s="1">
        <v>45000.0</v>
      </c>
      <c r="S2262" s="1">
        <v>4000.0</v>
      </c>
      <c r="T2262" s="1">
        <v>681.0</v>
      </c>
      <c r="U2262" s="1">
        <v>50284.0</v>
      </c>
      <c r="V2262" s="1">
        <v>13.0</v>
      </c>
      <c r="W2262" s="1">
        <v>0.0</v>
      </c>
      <c r="X2262" s="1">
        <v>1.0</v>
      </c>
      <c r="Y2262" s="1">
        <v>2.35</v>
      </c>
      <c r="Z2262" s="1">
        <v>5.6</v>
      </c>
    </row>
    <row r="2263" ht="14.25" customHeight="1">
      <c r="A2263" s="1" t="s">
        <v>26</v>
      </c>
      <c r="B2263" s="1" t="s">
        <v>6982</v>
      </c>
      <c r="C2263" s="1" t="s">
        <v>11013</v>
      </c>
      <c r="D2263" s="1">
        <v>8.238956E7</v>
      </c>
      <c r="E2263" s="1" t="s">
        <v>1885</v>
      </c>
      <c r="F2263" s="1" t="s">
        <v>4254</v>
      </c>
      <c r="G2263" s="1" t="s">
        <v>589</v>
      </c>
      <c r="H2263" s="1" t="s">
        <v>1062</v>
      </c>
      <c r="I2263" s="1">
        <v>106820.0</v>
      </c>
      <c r="J2263" s="1" t="s">
        <v>11014</v>
      </c>
      <c r="K2263" s="1" t="s">
        <v>11015</v>
      </c>
      <c r="L2263" s="1">
        <v>147.0</v>
      </c>
      <c r="M2263" s="1" t="s">
        <v>35</v>
      </c>
      <c r="N2263" s="1" t="s">
        <v>36</v>
      </c>
      <c r="O2263" s="1" t="s">
        <v>628</v>
      </c>
      <c r="P2263" s="1">
        <v>1.7E7</v>
      </c>
      <c r="Q2263" s="1">
        <v>2014.0</v>
      </c>
      <c r="R2263" s="1">
        <v>839.0</v>
      </c>
      <c r="S2263" s="1">
        <v>756.0</v>
      </c>
      <c r="T2263" s="1">
        <v>613.0</v>
      </c>
      <c r="U2263" s="1">
        <v>3627.0</v>
      </c>
      <c r="V2263" s="1">
        <v>42.0</v>
      </c>
      <c r="W2263" s="1">
        <v>14000.0</v>
      </c>
      <c r="X2263" s="1">
        <v>1.0</v>
      </c>
      <c r="Y2263" s="1">
        <v>1.85</v>
      </c>
      <c r="Z2263" s="1">
        <v>6.5</v>
      </c>
    </row>
    <row r="2264" ht="14.25" customHeight="1">
      <c r="A2264" s="1" t="s">
        <v>26</v>
      </c>
      <c r="B2264" s="1" t="s">
        <v>7671</v>
      </c>
      <c r="C2264" s="1" t="s">
        <v>11016</v>
      </c>
      <c r="D2264" s="1">
        <v>7.1502303E7</v>
      </c>
      <c r="E2264" s="1" t="s">
        <v>10435</v>
      </c>
      <c r="F2264" s="1" t="s">
        <v>2548</v>
      </c>
      <c r="G2264" s="1" t="s">
        <v>11017</v>
      </c>
      <c r="H2264" s="1" t="s">
        <v>84</v>
      </c>
      <c r="I2264" s="1">
        <v>149966.0</v>
      </c>
      <c r="J2264" s="1" t="s">
        <v>11018</v>
      </c>
      <c r="K2264" s="1" t="s">
        <v>11019</v>
      </c>
      <c r="L2264" s="1">
        <v>835.0</v>
      </c>
      <c r="M2264" s="1" t="s">
        <v>35</v>
      </c>
      <c r="N2264" s="1" t="s">
        <v>36</v>
      </c>
      <c r="O2264" s="1" t="s">
        <v>628</v>
      </c>
      <c r="P2264" s="1">
        <v>1.2E7</v>
      </c>
      <c r="Q2264" s="1">
        <v>2004.0</v>
      </c>
      <c r="R2264" s="1">
        <v>912.0</v>
      </c>
      <c r="S2264" s="1">
        <v>306.0</v>
      </c>
      <c r="T2264" s="1">
        <v>284.0</v>
      </c>
      <c r="U2264" s="1">
        <v>2170.0</v>
      </c>
      <c r="V2264" s="1">
        <v>729.0</v>
      </c>
      <c r="W2264" s="1">
        <v>0.0</v>
      </c>
      <c r="X2264" s="1">
        <v>0.0</v>
      </c>
      <c r="Y2264" s="1">
        <v>1.85</v>
      </c>
      <c r="Z2264" s="1">
        <v>7.5</v>
      </c>
    </row>
    <row r="2265" ht="14.25" customHeight="1">
      <c r="A2265" s="1" t="s">
        <v>26</v>
      </c>
      <c r="B2265" s="1" t="s">
        <v>4669</v>
      </c>
      <c r="C2265" s="1" t="s">
        <v>11020</v>
      </c>
      <c r="D2265" s="1">
        <v>1.9179969E7</v>
      </c>
      <c r="E2265" s="1" t="s">
        <v>1885</v>
      </c>
      <c r="F2265" s="1" t="s">
        <v>11021</v>
      </c>
      <c r="G2265" s="1" t="s">
        <v>11022</v>
      </c>
      <c r="H2265" s="1" t="s">
        <v>4669</v>
      </c>
      <c r="I2265" s="1">
        <v>54710.0</v>
      </c>
      <c r="J2265" s="1" t="s">
        <v>11023</v>
      </c>
      <c r="K2265" s="1" t="s">
        <v>11024</v>
      </c>
      <c r="L2265" s="1">
        <v>177.0</v>
      </c>
      <c r="M2265" s="1" t="s">
        <v>35</v>
      </c>
      <c r="N2265" s="1" t="s">
        <v>36</v>
      </c>
      <c r="O2265" s="1" t="s">
        <v>628</v>
      </c>
      <c r="P2265" s="1">
        <v>1.75E7</v>
      </c>
      <c r="Q2265" s="1">
        <v>2006.0</v>
      </c>
      <c r="R2265" s="1">
        <v>33000.0</v>
      </c>
      <c r="S2265" s="1">
        <v>459.0</v>
      </c>
      <c r="T2265" s="1">
        <v>422.0</v>
      </c>
      <c r="U2265" s="1">
        <v>35345.0</v>
      </c>
      <c r="V2265" s="1">
        <v>422.0</v>
      </c>
      <c r="W2265" s="1">
        <v>0.0</v>
      </c>
      <c r="X2265" s="1">
        <v>2.0</v>
      </c>
      <c r="Y2265" s="1">
        <v>2.35</v>
      </c>
      <c r="Z2265" s="1">
        <v>6.3</v>
      </c>
    </row>
    <row r="2266" ht="14.25" customHeight="1">
      <c r="A2266" s="1" t="s">
        <v>26</v>
      </c>
      <c r="B2266" s="1" t="s">
        <v>5073</v>
      </c>
      <c r="C2266" s="1" t="s">
        <v>11025</v>
      </c>
      <c r="D2266" s="1">
        <v>4.7E7</v>
      </c>
      <c r="E2266" s="1" t="s">
        <v>6278</v>
      </c>
      <c r="F2266" s="1" t="s">
        <v>1651</v>
      </c>
      <c r="G2266" s="1" t="s">
        <v>9365</v>
      </c>
      <c r="H2266" s="1" t="s">
        <v>11026</v>
      </c>
      <c r="I2266" s="1">
        <v>157857.0</v>
      </c>
      <c r="J2266" s="1" t="s">
        <v>11027</v>
      </c>
      <c r="K2266" s="1" t="s">
        <v>11028</v>
      </c>
      <c r="L2266" s="1">
        <v>1191.0</v>
      </c>
      <c r="M2266" s="1" t="s">
        <v>35</v>
      </c>
      <c r="N2266" s="1" t="s">
        <v>36</v>
      </c>
      <c r="O2266" s="1" t="s">
        <v>628</v>
      </c>
      <c r="P2266" s="1">
        <v>300000.0</v>
      </c>
      <c r="Q2266" s="1">
        <v>1978.0</v>
      </c>
      <c r="R2266" s="1">
        <v>2000.0</v>
      </c>
      <c r="S2266" s="1">
        <v>742.0</v>
      </c>
      <c r="T2266" s="1">
        <v>598.0</v>
      </c>
      <c r="U2266" s="1">
        <v>4400.0</v>
      </c>
      <c r="V2266" s="1">
        <v>0.0</v>
      </c>
      <c r="W2266" s="1">
        <v>12000.0</v>
      </c>
      <c r="X2266" s="1">
        <v>0.0</v>
      </c>
      <c r="Y2266" s="1">
        <v>2.35</v>
      </c>
      <c r="Z2266" s="1">
        <v>7.9</v>
      </c>
    </row>
    <row r="2267" ht="14.25" customHeight="1">
      <c r="A2267" s="1" t="s">
        <v>710</v>
      </c>
      <c r="B2267" s="1" t="s">
        <v>1857</v>
      </c>
      <c r="C2267" s="1" t="s">
        <v>5791</v>
      </c>
      <c r="D2267" s="1">
        <v>84961.0</v>
      </c>
      <c r="E2267" s="1" t="s">
        <v>1257</v>
      </c>
      <c r="F2267" s="1" t="s">
        <v>487</v>
      </c>
      <c r="G2267" s="1" t="s">
        <v>5792</v>
      </c>
      <c r="H2267" s="1" t="s">
        <v>5793</v>
      </c>
      <c r="I2267" s="1">
        <v>149414.0</v>
      </c>
      <c r="J2267" s="1" t="s">
        <v>5794</v>
      </c>
      <c r="K2267" s="1" t="s">
        <v>5795</v>
      </c>
      <c r="L2267" s="1">
        <v>841.0</v>
      </c>
      <c r="M2267" s="1" t="s">
        <v>1864</v>
      </c>
      <c r="N2267" s="1" t="s">
        <v>855</v>
      </c>
      <c r="O2267" s="1" t="s">
        <v>37</v>
      </c>
      <c r="P2267" s="1">
        <v>3.1E7</v>
      </c>
      <c r="Q2267" s="1">
        <v>2002.0</v>
      </c>
      <c r="R2267" s="1">
        <v>5000.0</v>
      </c>
      <c r="S2267" s="1">
        <v>643.0</v>
      </c>
      <c r="T2267" s="1">
        <v>576.0</v>
      </c>
      <c r="U2267" s="1">
        <v>6229.0</v>
      </c>
      <c r="V2267" s="1">
        <v>611.0</v>
      </c>
      <c r="W2267" s="1">
        <v>0.0</v>
      </c>
      <c r="X2267" s="1">
        <v>4.0</v>
      </c>
      <c r="Y2267" s="1">
        <v>2.35</v>
      </c>
      <c r="Z2267" s="1">
        <v>7.9</v>
      </c>
    </row>
    <row r="2268" ht="14.25" customHeight="1">
      <c r="A2268" s="1" t="s">
        <v>26</v>
      </c>
      <c r="B2268" s="1" t="s">
        <v>11029</v>
      </c>
      <c r="C2268" s="1" t="s">
        <v>11030</v>
      </c>
      <c r="D2268" s="1">
        <v>3.756623E7</v>
      </c>
      <c r="E2268" s="1" t="s">
        <v>11031</v>
      </c>
      <c r="F2268" s="1" t="s">
        <v>2511</v>
      </c>
      <c r="G2268" s="1" t="s">
        <v>1278</v>
      </c>
      <c r="H2268" s="1" t="s">
        <v>2097</v>
      </c>
      <c r="I2268" s="1">
        <v>3407.0</v>
      </c>
      <c r="J2268" s="1" t="s">
        <v>11032</v>
      </c>
      <c r="K2268" s="1" t="s">
        <v>11033</v>
      </c>
      <c r="L2268" s="1">
        <v>48.0</v>
      </c>
      <c r="M2268" s="1" t="s">
        <v>35</v>
      </c>
      <c r="N2268" s="1" t="s">
        <v>36</v>
      </c>
      <c r="O2268" s="1" t="s">
        <v>87</v>
      </c>
      <c r="P2268" s="1">
        <v>1.7E7</v>
      </c>
      <c r="Q2268" s="1">
        <v>2003.0</v>
      </c>
      <c r="R2268" s="1">
        <v>818.0</v>
      </c>
      <c r="S2268" s="1">
        <v>636.0</v>
      </c>
      <c r="T2268" s="1">
        <v>503.0</v>
      </c>
      <c r="U2268" s="1">
        <v>2164.0</v>
      </c>
      <c r="V2268" s="1">
        <v>9.0</v>
      </c>
      <c r="W2268" s="1">
        <v>309.0</v>
      </c>
      <c r="X2268" s="1">
        <v>1.0</v>
      </c>
      <c r="Y2268" s="1">
        <v>1.85</v>
      </c>
      <c r="Z2268" s="1">
        <v>5.1</v>
      </c>
    </row>
    <row r="2269" ht="14.25" customHeight="1">
      <c r="A2269" s="1" t="s">
        <v>26</v>
      </c>
      <c r="B2269" s="1" t="s">
        <v>8417</v>
      </c>
      <c r="C2269" s="1" t="s">
        <v>11034</v>
      </c>
      <c r="D2269" s="1">
        <v>7.0492685E7</v>
      </c>
      <c r="E2269" s="1" t="s">
        <v>2422</v>
      </c>
      <c r="F2269" s="1" t="s">
        <v>4653</v>
      </c>
      <c r="G2269" s="1" t="s">
        <v>2147</v>
      </c>
      <c r="H2269" s="1" t="s">
        <v>8023</v>
      </c>
      <c r="I2269" s="1">
        <v>11600.0</v>
      </c>
      <c r="J2269" s="1" t="s">
        <v>11035</v>
      </c>
      <c r="K2269" s="1" t="s">
        <v>11036</v>
      </c>
      <c r="L2269" s="1">
        <v>64.0</v>
      </c>
      <c r="M2269" s="1" t="s">
        <v>35</v>
      </c>
      <c r="N2269" s="1" t="s">
        <v>36</v>
      </c>
      <c r="O2269" s="1" t="s">
        <v>628</v>
      </c>
      <c r="P2269" s="1">
        <v>1.7E7</v>
      </c>
      <c r="Q2269" s="1">
        <v>2013.0</v>
      </c>
      <c r="R2269" s="1">
        <v>1000.0</v>
      </c>
      <c r="S2269" s="1">
        <v>886.0</v>
      </c>
      <c r="T2269" s="1">
        <v>849.0</v>
      </c>
      <c r="U2269" s="1">
        <v>5306.0</v>
      </c>
      <c r="V2269" s="1">
        <v>92.0</v>
      </c>
      <c r="W2269" s="1">
        <v>7000.0</v>
      </c>
      <c r="X2269" s="1">
        <v>5.0</v>
      </c>
      <c r="Y2269" s="1">
        <v>2.35</v>
      </c>
      <c r="Z2269" s="1">
        <v>6.7</v>
      </c>
    </row>
    <row r="2270" ht="14.25" customHeight="1">
      <c r="A2270" s="1" t="s">
        <v>26</v>
      </c>
      <c r="B2270" s="1" t="s">
        <v>8814</v>
      </c>
      <c r="C2270" s="1" t="s">
        <v>11037</v>
      </c>
      <c r="D2270" s="1">
        <v>3.5635046E7</v>
      </c>
      <c r="E2270" s="1" t="s">
        <v>449</v>
      </c>
      <c r="F2270" s="1" t="s">
        <v>307</v>
      </c>
      <c r="G2270" s="1" t="s">
        <v>321</v>
      </c>
      <c r="H2270" s="1" t="s">
        <v>8253</v>
      </c>
      <c r="I2270" s="1">
        <v>121058.0</v>
      </c>
      <c r="J2270" s="1" t="s">
        <v>11038</v>
      </c>
      <c r="K2270" s="1" t="s">
        <v>11039</v>
      </c>
      <c r="L2270" s="1">
        <v>482.0</v>
      </c>
      <c r="M2270" s="1" t="s">
        <v>35</v>
      </c>
      <c r="N2270" s="1" t="s">
        <v>54</v>
      </c>
      <c r="O2270" s="1" t="s">
        <v>628</v>
      </c>
      <c r="P2270" s="1">
        <v>1.7E7</v>
      </c>
      <c r="Q2270" s="1">
        <v>2006.0</v>
      </c>
      <c r="R2270" s="1">
        <v>16000.0</v>
      </c>
      <c r="S2270" s="1">
        <v>988.0</v>
      </c>
      <c r="T2270" s="1">
        <v>968.0</v>
      </c>
      <c r="U2270" s="1">
        <v>19410.0</v>
      </c>
      <c r="V2270" s="1">
        <v>248.0</v>
      </c>
      <c r="W2270" s="1">
        <v>3000.0</v>
      </c>
      <c r="X2270" s="1">
        <v>0.0</v>
      </c>
      <c r="Y2270" s="1">
        <v>2.35</v>
      </c>
      <c r="Z2270" s="1">
        <v>6.7</v>
      </c>
    </row>
    <row r="2271" ht="14.25" customHeight="1">
      <c r="A2271" s="1" t="s">
        <v>26</v>
      </c>
      <c r="B2271" s="1" t="s">
        <v>11040</v>
      </c>
      <c r="C2271" s="1" t="s">
        <v>11041</v>
      </c>
      <c r="D2271" s="1">
        <v>4.5670855E7</v>
      </c>
      <c r="E2271" s="1" t="s">
        <v>5924</v>
      </c>
      <c r="F2271" s="1" t="s">
        <v>5557</v>
      </c>
      <c r="G2271" s="1" t="s">
        <v>8793</v>
      </c>
      <c r="H2271" s="1" t="s">
        <v>11042</v>
      </c>
      <c r="I2271" s="1">
        <v>67978.0</v>
      </c>
      <c r="J2271" s="1" t="s">
        <v>11043</v>
      </c>
      <c r="K2271" s="1" t="s">
        <v>11044</v>
      </c>
      <c r="L2271" s="1">
        <v>279.0</v>
      </c>
      <c r="M2271" s="1" t="s">
        <v>35</v>
      </c>
      <c r="N2271" s="1" t="s">
        <v>260</v>
      </c>
      <c r="O2271" s="1" t="s">
        <v>628</v>
      </c>
      <c r="P2271" s="1">
        <v>2.0E7</v>
      </c>
      <c r="Q2271" s="1">
        <v>2010.0</v>
      </c>
      <c r="R2271" s="1">
        <v>723.0</v>
      </c>
      <c r="S2271" s="1">
        <v>346.0</v>
      </c>
      <c r="T2271" s="1">
        <v>298.0</v>
      </c>
      <c r="U2271" s="1">
        <v>1978.0</v>
      </c>
      <c r="V2271" s="1">
        <v>52.0</v>
      </c>
      <c r="W2271" s="1">
        <v>12000.0</v>
      </c>
      <c r="X2271" s="1">
        <v>0.0</v>
      </c>
      <c r="Y2271" s="1">
        <v>1.85</v>
      </c>
      <c r="Z2271" s="1">
        <v>5.6</v>
      </c>
    </row>
    <row r="2272" ht="14.25" customHeight="1">
      <c r="A2272" s="1" t="s">
        <v>26</v>
      </c>
      <c r="B2272" s="1" t="s">
        <v>3602</v>
      </c>
      <c r="C2272" s="1" t="s">
        <v>11045</v>
      </c>
      <c r="D2272" s="1">
        <v>3.7939782E7</v>
      </c>
      <c r="E2272" s="1" t="s">
        <v>1598</v>
      </c>
      <c r="F2272" s="1" t="s">
        <v>7819</v>
      </c>
      <c r="G2272" s="1" t="s">
        <v>3538</v>
      </c>
      <c r="H2272" s="1" t="s">
        <v>9605</v>
      </c>
      <c r="I2272" s="1">
        <v>62272.0</v>
      </c>
      <c r="J2272" s="1" t="s">
        <v>11046</v>
      </c>
      <c r="K2272" s="1" t="s">
        <v>11047</v>
      </c>
      <c r="L2272" s="1">
        <v>207.0</v>
      </c>
      <c r="M2272" s="1" t="s">
        <v>35</v>
      </c>
      <c r="N2272" s="1" t="s">
        <v>36</v>
      </c>
      <c r="O2272" s="1" t="s">
        <v>628</v>
      </c>
      <c r="P2272" s="1">
        <v>1.7E7</v>
      </c>
      <c r="Q2272" s="1">
        <v>2002.0</v>
      </c>
      <c r="R2272" s="1">
        <v>1000.0</v>
      </c>
      <c r="S2272" s="1">
        <v>580.0</v>
      </c>
      <c r="T2272" s="1">
        <v>486.0</v>
      </c>
      <c r="U2272" s="1">
        <v>3294.0</v>
      </c>
      <c r="V2272" s="1">
        <v>36.0</v>
      </c>
      <c r="W2272" s="1">
        <v>2000.0</v>
      </c>
      <c r="X2272" s="1">
        <v>0.0</v>
      </c>
      <c r="Y2272" s="1">
        <v>1.85</v>
      </c>
      <c r="Z2272" s="1">
        <v>5.6</v>
      </c>
    </row>
    <row r="2273" ht="14.25" customHeight="1">
      <c r="A2273" s="1" t="s">
        <v>26</v>
      </c>
      <c r="B2273" s="1" t="s">
        <v>291</v>
      </c>
      <c r="C2273" s="1" t="s">
        <v>292</v>
      </c>
      <c r="D2273" s="1">
        <v>1.72051787E8</v>
      </c>
      <c r="E2273" s="1" t="s">
        <v>65</v>
      </c>
      <c r="F2273" s="1" t="s">
        <v>293</v>
      </c>
      <c r="G2273" s="1" t="s">
        <v>294</v>
      </c>
      <c r="H2273" s="1" t="s">
        <v>295</v>
      </c>
      <c r="I2273" s="1">
        <v>264186.0</v>
      </c>
      <c r="J2273" s="1" t="s">
        <v>296</v>
      </c>
      <c r="K2273" s="1" t="s">
        <v>297</v>
      </c>
      <c r="L2273" s="1">
        <v>665.0</v>
      </c>
      <c r="M2273" s="1" t="s">
        <v>35</v>
      </c>
      <c r="N2273" s="1" t="s">
        <v>36</v>
      </c>
      <c r="O2273" s="1" t="s">
        <v>87</v>
      </c>
      <c r="P2273" s="1">
        <v>1.7E8</v>
      </c>
      <c r="Q2273" s="1">
        <v>2010.0</v>
      </c>
      <c r="R2273" s="1">
        <v>12000.0</v>
      </c>
      <c r="S2273" s="1">
        <v>10000.0</v>
      </c>
      <c r="T2273" s="1">
        <v>1000.0</v>
      </c>
      <c r="U2273" s="1">
        <v>25549.0</v>
      </c>
      <c r="V2273" s="1">
        <v>364.0</v>
      </c>
      <c r="W2273" s="1">
        <v>30000.0</v>
      </c>
      <c r="X2273" s="1">
        <v>0.0</v>
      </c>
      <c r="Y2273" s="1">
        <v>2.35</v>
      </c>
      <c r="Z2273" s="1">
        <v>6.8</v>
      </c>
    </row>
    <row r="2274" ht="14.25" customHeight="1">
      <c r="A2274" s="1" t="s">
        <v>26</v>
      </c>
      <c r="B2274" s="1" t="s">
        <v>11048</v>
      </c>
      <c r="C2274" s="1" t="s">
        <v>11049</v>
      </c>
      <c r="D2274" s="1">
        <v>3.0324946E7</v>
      </c>
      <c r="E2274" s="1" t="s">
        <v>11050</v>
      </c>
      <c r="F2274" s="1" t="s">
        <v>1197</v>
      </c>
      <c r="G2274" s="1" t="s">
        <v>11051</v>
      </c>
      <c r="H2274" s="1" t="s">
        <v>9438</v>
      </c>
      <c r="I2274" s="1">
        <v>48458.0</v>
      </c>
      <c r="J2274" s="1" t="s">
        <v>11052</v>
      </c>
      <c r="K2274" s="1" t="s">
        <v>11053</v>
      </c>
      <c r="L2274" s="1">
        <v>239.0</v>
      </c>
      <c r="M2274" s="1" t="s">
        <v>35</v>
      </c>
      <c r="N2274" s="1" t="s">
        <v>36</v>
      </c>
      <c r="O2274" s="1" t="s">
        <v>37</v>
      </c>
      <c r="P2274" s="1">
        <v>1.7E7</v>
      </c>
      <c r="Q2274" s="1">
        <v>1998.0</v>
      </c>
      <c r="R2274" s="1">
        <v>8000.0</v>
      </c>
      <c r="S2274" s="1">
        <v>357.0</v>
      </c>
      <c r="T2274" s="1">
        <v>281.0</v>
      </c>
      <c r="U2274" s="1">
        <v>9271.0</v>
      </c>
      <c r="V2274" s="1">
        <v>12.0</v>
      </c>
      <c r="W2274" s="1">
        <v>0.0</v>
      </c>
      <c r="X2274" s="1">
        <v>2.0</v>
      </c>
      <c r="Y2274" s="1">
        <v>1.85</v>
      </c>
      <c r="Z2274" s="1">
        <v>6.2</v>
      </c>
    </row>
    <row r="2275" ht="14.25" customHeight="1">
      <c r="A2275" s="1" t="s">
        <v>26</v>
      </c>
      <c r="B2275" s="1" t="s">
        <v>11054</v>
      </c>
      <c r="C2275" s="1" t="s">
        <v>11055</v>
      </c>
      <c r="D2275" s="1">
        <v>2.7854896E7</v>
      </c>
      <c r="E2275" s="1" t="s">
        <v>650</v>
      </c>
      <c r="F2275" s="1" t="s">
        <v>4895</v>
      </c>
      <c r="G2275" s="1" t="s">
        <v>6374</v>
      </c>
      <c r="H2275" s="1" t="s">
        <v>11056</v>
      </c>
      <c r="I2275" s="1">
        <v>64190.0</v>
      </c>
      <c r="J2275" s="1" t="s">
        <v>11057</v>
      </c>
      <c r="K2275" s="1" t="s">
        <v>11058</v>
      </c>
      <c r="L2275" s="1">
        <v>129.0</v>
      </c>
      <c r="M2275" s="1" t="s">
        <v>35</v>
      </c>
      <c r="N2275" s="1" t="s">
        <v>36</v>
      </c>
      <c r="O2275" s="1" t="s">
        <v>37</v>
      </c>
      <c r="P2275" s="1">
        <v>1.7E7</v>
      </c>
      <c r="Q2275" s="1">
        <v>2011.0</v>
      </c>
      <c r="R2275" s="1">
        <v>15000.0</v>
      </c>
      <c r="S2275" s="1">
        <v>976.0</v>
      </c>
      <c r="T2275" s="1">
        <v>583.0</v>
      </c>
      <c r="U2275" s="1">
        <v>17396.0</v>
      </c>
      <c r="V2275" s="1">
        <v>33.0</v>
      </c>
      <c r="W2275" s="1">
        <v>16000.0</v>
      </c>
      <c r="X2275" s="1">
        <v>1.0</v>
      </c>
      <c r="Y2275" s="1">
        <v>2.35</v>
      </c>
      <c r="Z2275" s="1">
        <v>5.6</v>
      </c>
    </row>
    <row r="2276" ht="14.25" customHeight="1">
      <c r="A2276" s="1" t="s">
        <v>26</v>
      </c>
      <c r="B2276" s="1" t="s">
        <v>7023</v>
      </c>
      <c r="C2276" s="1" t="s">
        <v>11059</v>
      </c>
      <c r="D2276" s="1">
        <v>4.1777564E7</v>
      </c>
      <c r="E2276" s="1" t="s">
        <v>6019</v>
      </c>
      <c r="F2276" s="1" t="s">
        <v>10539</v>
      </c>
      <c r="G2276" s="1" t="s">
        <v>11060</v>
      </c>
      <c r="H2276" s="1" t="s">
        <v>3538</v>
      </c>
      <c r="I2276" s="1">
        <v>129719.0</v>
      </c>
      <c r="J2276" s="1" t="s">
        <v>11061</v>
      </c>
      <c r="K2276" s="1" t="s">
        <v>11062</v>
      </c>
      <c r="L2276" s="1">
        <v>855.0</v>
      </c>
      <c r="M2276" s="1" t="s">
        <v>35</v>
      </c>
      <c r="N2276" s="1" t="s">
        <v>36</v>
      </c>
      <c r="O2276" s="1" t="s">
        <v>628</v>
      </c>
      <c r="P2276" s="1">
        <v>1.5E7</v>
      </c>
      <c r="Q2276" s="1">
        <v>2006.0</v>
      </c>
      <c r="R2276" s="1">
        <v>1000.0</v>
      </c>
      <c r="S2276" s="1">
        <v>1000.0</v>
      </c>
      <c r="T2276" s="1">
        <v>580.0</v>
      </c>
      <c r="U2276" s="1">
        <v>4500.0</v>
      </c>
      <c r="V2276" s="1">
        <v>192.0</v>
      </c>
      <c r="W2276" s="1">
        <v>0.0</v>
      </c>
      <c r="X2276" s="1">
        <v>0.0</v>
      </c>
      <c r="Y2276" s="1">
        <v>2.35</v>
      </c>
      <c r="Z2276" s="1">
        <v>6.4</v>
      </c>
    </row>
    <row r="2277" ht="14.25" customHeight="1">
      <c r="A2277" s="1" t="s">
        <v>26</v>
      </c>
      <c r="B2277" s="1" t="s">
        <v>4339</v>
      </c>
      <c r="C2277" s="1" t="s">
        <v>11063</v>
      </c>
      <c r="D2277" s="1">
        <v>2.2734486E7</v>
      </c>
      <c r="E2277" s="1" t="s">
        <v>1885</v>
      </c>
      <c r="F2277" s="1" t="s">
        <v>3614</v>
      </c>
      <c r="G2277" s="1" t="s">
        <v>4477</v>
      </c>
      <c r="H2277" s="1" t="s">
        <v>8354</v>
      </c>
      <c r="I2277" s="1">
        <v>11815.0</v>
      </c>
      <c r="J2277" s="1" t="s">
        <v>11064</v>
      </c>
      <c r="K2277" s="1" t="s">
        <v>11065</v>
      </c>
      <c r="L2277" s="1">
        <v>117.0</v>
      </c>
      <c r="M2277" s="1" t="s">
        <v>35</v>
      </c>
      <c r="N2277" s="1" t="s">
        <v>36</v>
      </c>
      <c r="O2277" s="1" t="s">
        <v>37</v>
      </c>
      <c r="P2277" s="1">
        <v>1.7E7</v>
      </c>
      <c r="Q2277" s="1">
        <v>2003.0</v>
      </c>
      <c r="R2277" s="1">
        <v>593.0</v>
      </c>
      <c r="S2277" s="1">
        <v>517.0</v>
      </c>
      <c r="T2277" s="1">
        <v>428.0</v>
      </c>
      <c r="U2277" s="1">
        <v>2713.0</v>
      </c>
      <c r="V2277" s="1">
        <v>39.0</v>
      </c>
      <c r="W2277" s="1">
        <v>320.0</v>
      </c>
      <c r="X2277" s="1">
        <v>1.0</v>
      </c>
      <c r="Y2277" s="1">
        <v>2.35</v>
      </c>
      <c r="Z2277" s="1">
        <v>5.6</v>
      </c>
    </row>
    <row r="2278" ht="14.25" customHeight="1">
      <c r="A2278" s="1" t="s">
        <v>26</v>
      </c>
      <c r="B2278" s="1" t="s">
        <v>7997</v>
      </c>
      <c r="C2278" s="1" t="s">
        <v>11066</v>
      </c>
      <c r="D2278" s="1">
        <v>4.4469602E7</v>
      </c>
      <c r="E2278" s="1" t="s">
        <v>1557</v>
      </c>
      <c r="F2278" s="1" t="s">
        <v>11067</v>
      </c>
      <c r="G2278" s="1" t="s">
        <v>11068</v>
      </c>
      <c r="H2278" s="1" t="s">
        <v>11069</v>
      </c>
      <c r="I2278" s="1">
        <v>23480.0</v>
      </c>
      <c r="J2278" s="1" t="s">
        <v>11070</v>
      </c>
      <c r="K2278" s="1" t="s">
        <v>11071</v>
      </c>
      <c r="L2278" s="1">
        <v>83.0</v>
      </c>
      <c r="M2278" s="1" t="s">
        <v>35</v>
      </c>
      <c r="N2278" s="1" t="s">
        <v>36</v>
      </c>
      <c r="O2278" s="1" t="s">
        <v>87</v>
      </c>
      <c r="P2278" s="1">
        <v>1.7E7</v>
      </c>
      <c r="Q2278" s="1">
        <v>2015.0</v>
      </c>
      <c r="R2278" s="1">
        <v>427.0</v>
      </c>
      <c r="S2278" s="1">
        <v>234.0</v>
      </c>
      <c r="T2278" s="1">
        <v>89.0</v>
      </c>
      <c r="U2278" s="1">
        <v>952.0</v>
      </c>
      <c r="V2278" s="1">
        <v>51.0</v>
      </c>
      <c r="W2278" s="1">
        <v>21000.0</v>
      </c>
      <c r="X2278" s="1">
        <v>0.0</v>
      </c>
      <c r="Y2278" s="1">
        <v>2.35</v>
      </c>
      <c r="Z2278" s="1">
        <v>7.4</v>
      </c>
    </row>
    <row r="2279" ht="14.25" customHeight="1">
      <c r="A2279" s="1" t="s">
        <v>26</v>
      </c>
      <c r="B2279" s="1" t="s">
        <v>11072</v>
      </c>
      <c r="C2279" s="1" t="s">
        <v>11073</v>
      </c>
      <c r="D2279" s="1">
        <v>6.4998368E7</v>
      </c>
      <c r="E2279" s="1" t="s">
        <v>11050</v>
      </c>
      <c r="F2279" s="1" t="s">
        <v>2357</v>
      </c>
      <c r="G2279" s="1" t="s">
        <v>8154</v>
      </c>
      <c r="H2279" s="1" t="s">
        <v>11074</v>
      </c>
      <c r="I2279" s="1">
        <v>213898.0</v>
      </c>
      <c r="J2279" s="1" t="s">
        <v>11075</v>
      </c>
      <c r="K2279" s="1" t="s">
        <v>11076</v>
      </c>
      <c r="L2279" s="1">
        <v>250.0</v>
      </c>
      <c r="M2279" s="1" t="s">
        <v>35</v>
      </c>
      <c r="N2279" s="1" t="s">
        <v>36</v>
      </c>
      <c r="O2279" s="1" t="s">
        <v>37</v>
      </c>
      <c r="P2279" s="1">
        <v>1.7E7</v>
      </c>
      <c r="Q2279" s="1">
        <v>2012.0</v>
      </c>
      <c r="R2279" s="1">
        <v>10000.0</v>
      </c>
      <c r="S2279" s="1">
        <v>751.0</v>
      </c>
      <c r="T2279" s="1">
        <v>746.0</v>
      </c>
      <c r="U2279" s="1">
        <v>12676.0</v>
      </c>
      <c r="V2279" s="1">
        <v>36.0</v>
      </c>
      <c r="W2279" s="1">
        <v>36000.0</v>
      </c>
      <c r="X2279" s="1">
        <v>4.0</v>
      </c>
      <c r="Y2279" s="1">
        <v>1.85</v>
      </c>
      <c r="Z2279" s="1">
        <v>7.2</v>
      </c>
    </row>
    <row r="2280" ht="14.25" customHeight="1">
      <c r="A2280" s="1" t="s">
        <v>26</v>
      </c>
      <c r="B2280" s="1" t="s">
        <v>6904</v>
      </c>
      <c r="C2280" s="1" t="s">
        <v>11077</v>
      </c>
      <c r="D2280" s="1">
        <v>1.9693891E7</v>
      </c>
      <c r="E2280" s="1" t="s">
        <v>4241</v>
      </c>
      <c r="F2280" s="1" t="s">
        <v>1368</v>
      </c>
      <c r="G2280" s="1" t="s">
        <v>758</v>
      </c>
      <c r="H2280" s="1" t="s">
        <v>1231</v>
      </c>
      <c r="I2280" s="1">
        <v>12993.0</v>
      </c>
      <c r="J2280" s="1" t="s">
        <v>11078</v>
      </c>
      <c r="K2280" s="1" t="s">
        <v>11079</v>
      </c>
      <c r="L2280" s="1">
        <v>107.0</v>
      </c>
      <c r="M2280" s="1" t="s">
        <v>35</v>
      </c>
      <c r="N2280" s="1" t="s">
        <v>36</v>
      </c>
      <c r="O2280" s="1" t="s">
        <v>37</v>
      </c>
      <c r="P2280" s="1">
        <v>3.4E7</v>
      </c>
      <c r="Q2280" s="1">
        <v>2001.0</v>
      </c>
      <c r="R2280" s="1">
        <v>973.0</v>
      </c>
      <c r="S2280" s="1">
        <v>954.0</v>
      </c>
      <c r="T2280" s="1">
        <v>505.0</v>
      </c>
      <c r="U2280" s="1">
        <v>3344.0</v>
      </c>
      <c r="V2280" s="1">
        <v>19.0</v>
      </c>
      <c r="W2280" s="1">
        <v>476.0</v>
      </c>
      <c r="X2280" s="1">
        <v>2.0</v>
      </c>
      <c r="Y2280" s="1">
        <v>1.85</v>
      </c>
      <c r="Z2280" s="1">
        <v>4.9</v>
      </c>
    </row>
    <row r="2281" ht="14.25" customHeight="1">
      <c r="A2281" s="1" t="s">
        <v>26</v>
      </c>
      <c r="B2281" s="1" t="s">
        <v>71</v>
      </c>
      <c r="C2281" s="1" t="s">
        <v>11080</v>
      </c>
      <c r="D2281" s="1">
        <v>1.6311763E7</v>
      </c>
      <c r="E2281" s="1" t="s">
        <v>2045</v>
      </c>
      <c r="F2281" s="1" t="s">
        <v>3064</v>
      </c>
      <c r="G2281" s="1" t="s">
        <v>3012</v>
      </c>
      <c r="H2281" s="1" t="s">
        <v>3264</v>
      </c>
      <c r="I2281" s="1">
        <v>50656.0</v>
      </c>
      <c r="J2281" s="1" t="s">
        <v>11081</v>
      </c>
      <c r="K2281" s="1" t="s">
        <v>11082</v>
      </c>
      <c r="L2281" s="1">
        <v>416.0</v>
      </c>
      <c r="M2281" s="1" t="s">
        <v>35</v>
      </c>
      <c r="N2281" s="1" t="s">
        <v>54</v>
      </c>
      <c r="O2281" s="1" t="s">
        <v>628</v>
      </c>
      <c r="P2281" s="1">
        <v>1.7E7</v>
      </c>
      <c r="Q2281" s="1">
        <v>1998.0</v>
      </c>
      <c r="R2281" s="1">
        <v>989.0</v>
      </c>
      <c r="S2281" s="1">
        <v>888.0</v>
      </c>
      <c r="T2281" s="1">
        <v>244.0</v>
      </c>
      <c r="U2281" s="1">
        <v>2365.0</v>
      </c>
      <c r="V2281" s="1">
        <v>0.0</v>
      </c>
      <c r="W2281" s="1">
        <v>0.0</v>
      </c>
      <c r="X2281" s="1">
        <v>1.0</v>
      </c>
      <c r="Y2281" s="1">
        <v>1.85</v>
      </c>
      <c r="Z2281" s="1">
        <v>7.5</v>
      </c>
    </row>
    <row r="2282" ht="14.25" customHeight="1">
      <c r="A2282" s="1" t="s">
        <v>26</v>
      </c>
      <c r="B2282" s="1" t="s">
        <v>11083</v>
      </c>
      <c r="C2282" s="1" t="s">
        <v>11084</v>
      </c>
      <c r="D2282" s="1">
        <v>1.2693621E7</v>
      </c>
      <c r="E2282" s="1" t="s">
        <v>2882</v>
      </c>
      <c r="F2282" s="1" t="s">
        <v>1926</v>
      </c>
      <c r="G2282" s="1" t="s">
        <v>2525</v>
      </c>
      <c r="H2282" s="1" t="s">
        <v>1368</v>
      </c>
      <c r="I2282" s="1">
        <v>10885.0</v>
      </c>
      <c r="J2282" s="1" t="s">
        <v>11085</v>
      </c>
      <c r="K2282" s="1" t="s">
        <v>11086</v>
      </c>
      <c r="L2282" s="1">
        <v>271.0</v>
      </c>
      <c r="M2282" s="1" t="s">
        <v>35</v>
      </c>
      <c r="N2282" s="1" t="s">
        <v>36</v>
      </c>
      <c r="O2282" s="1" t="s">
        <v>37</v>
      </c>
      <c r="P2282" s="1">
        <v>1.7E7</v>
      </c>
      <c r="Q2282" s="1">
        <v>2002.0</v>
      </c>
      <c r="R2282" s="1">
        <v>1000.0</v>
      </c>
      <c r="S2282" s="1">
        <v>982.0</v>
      </c>
      <c r="T2282" s="1">
        <v>973.0</v>
      </c>
      <c r="U2282" s="1">
        <v>4060.0</v>
      </c>
      <c r="V2282" s="1">
        <v>11.0</v>
      </c>
      <c r="W2282" s="1">
        <v>814.0</v>
      </c>
      <c r="X2282" s="1">
        <v>0.0</v>
      </c>
      <c r="Y2282" s="1">
        <v>2.35</v>
      </c>
      <c r="Z2282" s="1">
        <v>4.8</v>
      </c>
    </row>
    <row r="2283" ht="14.25" customHeight="1">
      <c r="A2283" s="1" t="s">
        <v>26</v>
      </c>
      <c r="B2283" s="1" t="s">
        <v>11087</v>
      </c>
      <c r="C2283" s="1" t="s">
        <v>11088</v>
      </c>
      <c r="D2283" s="1">
        <v>1.5655665E7</v>
      </c>
      <c r="E2283" s="1" t="s">
        <v>1598</v>
      </c>
      <c r="F2283" s="1" t="s">
        <v>5870</v>
      </c>
      <c r="G2283" s="1" t="s">
        <v>8811</v>
      </c>
      <c r="H2283" s="1" t="s">
        <v>11089</v>
      </c>
      <c r="I2283" s="1">
        <v>9104.0</v>
      </c>
      <c r="J2283" s="1" t="s">
        <v>11090</v>
      </c>
      <c r="K2283" s="1" t="s">
        <v>11091</v>
      </c>
      <c r="L2283" s="1">
        <v>112.0</v>
      </c>
      <c r="M2283" s="1" t="s">
        <v>35</v>
      </c>
      <c r="N2283" s="1" t="s">
        <v>36</v>
      </c>
      <c r="O2283" s="1" t="s">
        <v>37</v>
      </c>
      <c r="P2283" s="1">
        <v>4000000.0</v>
      </c>
      <c r="Q2283" s="1">
        <v>2006.0</v>
      </c>
      <c r="R2283" s="1">
        <v>690.0</v>
      </c>
      <c r="S2283" s="1">
        <v>400.0</v>
      </c>
      <c r="T2283" s="1">
        <v>323.0</v>
      </c>
      <c r="U2283" s="1">
        <v>2135.0</v>
      </c>
      <c r="V2283" s="1">
        <v>0.0</v>
      </c>
      <c r="W2283" s="1">
        <v>110.0</v>
      </c>
      <c r="X2283" s="1">
        <v>2.0</v>
      </c>
      <c r="Y2283" s="1">
        <v>1.33</v>
      </c>
      <c r="Z2283" s="1">
        <v>3.1</v>
      </c>
    </row>
    <row r="2284" ht="14.25" customHeight="1">
      <c r="A2284" s="1" t="s">
        <v>26</v>
      </c>
      <c r="B2284" s="1" t="s">
        <v>11092</v>
      </c>
      <c r="C2284" s="1" t="s">
        <v>11093</v>
      </c>
      <c r="D2284" s="1">
        <v>1.1634458E7</v>
      </c>
      <c r="E2284" s="1" t="s">
        <v>11094</v>
      </c>
      <c r="F2284" s="1" t="s">
        <v>1677</v>
      </c>
      <c r="G2284" s="1" t="s">
        <v>11095</v>
      </c>
      <c r="H2284" s="1" t="s">
        <v>11096</v>
      </c>
      <c r="I2284" s="1">
        <v>2045.0</v>
      </c>
      <c r="J2284" s="1" t="s">
        <v>11097</v>
      </c>
      <c r="K2284" s="1" t="s">
        <v>11098</v>
      </c>
      <c r="L2284" s="1">
        <v>37.0</v>
      </c>
      <c r="M2284" s="1" t="s">
        <v>35</v>
      </c>
      <c r="N2284" s="1" t="s">
        <v>36</v>
      </c>
      <c r="O2284" s="1" t="s">
        <v>269</v>
      </c>
      <c r="P2284" s="1">
        <v>1.7E7</v>
      </c>
      <c r="Q2284" s="1">
        <v>1999.0</v>
      </c>
      <c r="R2284" s="1">
        <v>1000.0</v>
      </c>
      <c r="S2284" s="1">
        <v>436.0</v>
      </c>
      <c r="T2284" s="1">
        <v>142.0</v>
      </c>
      <c r="U2284" s="1">
        <v>2020.0</v>
      </c>
      <c r="V2284" s="1">
        <v>11.0</v>
      </c>
      <c r="W2284" s="1">
        <v>339.0</v>
      </c>
      <c r="X2284" s="1">
        <v>0.0</v>
      </c>
      <c r="Y2284" s="1">
        <v>1.85</v>
      </c>
      <c r="Z2284" s="1">
        <v>5.8</v>
      </c>
    </row>
    <row r="2285" ht="14.25" customHeight="1">
      <c r="A2285" s="1" t="s">
        <v>26</v>
      </c>
      <c r="B2285" s="1" t="s">
        <v>2938</v>
      </c>
      <c r="C2285" s="1" t="s">
        <v>11099</v>
      </c>
      <c r="D2285" s="1">
        <v>2.7154426E7</v>
      </c>
      <c r="E2285" s="1" t="s">
        <v>2045</v>
      </c>
      <c r="F2285" s="1" t="s">
        <v>244</v>
      </c>
      <c r="G2285" s="1" t="s">
        <v>2547</v>
      </c>
      <c r="H2285" s="1" t="s">
        <v>1707</v>
      </c>
      <c r="I2285" s="1">
        <v>52852.0</v>
      </c>
      <c r="J2285" s="1" t="s">
        <v>11100</v>
      </c>
      <c r="K2285" s="1" t="s">
        <v>11101</v>
      </c>
      <c r="L2285" s="1">
        <v>138.0</v>
      </c>
      <c r="M2285" s="1" t="s">
        <v>35</v>
      </c>
      <c r="N2285" s="1" t="s">
        <v>36</v>
      </c>
      <c r="O2285" s="1" t="s">
        <v>628</v>
      </c>
      <c r="P2285" s="1">
        <v>1.7E7</v>
      </c>
      <c r="Q2285" s="1">
        <v>2009.0</v>
      </c>
      <c r="R2285" s="1">
        <v>3000.0</v>
      </c>
      <c r="S2285" s="1">
        <v>960.0</v>
      </c>
      <c r="T2285" s="1">
        <v>625.0</v>
      </c>
      <c r="U2285" s="1">
        <v>6317.0</v>
      </c>
      <c r="V2285" s="1">
        <v>847.0</v>
      </c>
      <c r="W2285" s="1">
        <v>4000.0</v>
      </c>
      <c r="X2285" s="1">
        <v>1.0</v>
      </c>
      <c r="Y2285" s="1">
        <v>2.35</v>
      </c>
      <c r="Z2285" s="1">
        <v>6.7</v>
      </c>
    </row>
    <row r="2286" ht="14.25" customHeight="1">
      <c r="A2286" s="1" t="s">
        <v>26</v>
      </c>
      <c r="B2286" s="1" t="s">
        <v>11102</v>
      </c>
      <c r="C2286" s="1" t="s">
        <v>11103</v>
      </c>
      <c r="D2286" s="1">
        <v>5.4239856E7</v>
      </c>
      <c r="E2286" s="1" t="s">
        <v>6019</v>
      </c>
      <c r="F2286" s="1" t="s">
        <v>11104</v>
      </c>
      <c r="G2286" s="1" t="s">
        <v>11105</v>
      </c>
      <c r="H2286" s="1" t="s">
        <v>11106</v>
      </c>
      <c r="I2286" s="1">
        <v>125016.0</v>
      </c>
      <c r="J2286" s="1" t="s">
        <v>11107</v>
      </c>
      <c r="K2286" s="1" t="s">
        <v>11108</v>
      </c>
      <c r="L2286" s="1">
        <v>789.0</v>
      </c>
      <c r="M2286" s="1" t="s">
        <v>35</v>
      </c>
      <c r="N2286" s="1" t="s">
        <v>36</v>
      </c>
      <c r="O2286" s="1" t="s">
        <v>628</v>
      </c>
      <c r="P2286" s="1">
        <v>1.7E7</v>
      </c>
      <c r="Q2286" s="1">
        <v>2013.0</v>
      </c>
      <c r="R2286" s="1">
        <v>394.0</v>
      </c>
      <c r="S2286" s="1">
        <v>150.0</v>
      </c>
      <c r="T2286" s="1">
        <v>58.0</v>
      </c>
      <c r="U2286" s="1">
        <v>673.0</v>
      </c>
      <c r="V2286" s="1">
        <v>201.0</v>
      </c>
      <c r="W2286" s="1">
        <v>70000.0</v>
      </c>
      <c r="X2286" s="1">
        <v>0.0</v>
      </c>
      <c r="Y2286" s="1">
        <v>2.35</v>
      </c>
      <c r="Z2286" s="1">
        <v>6.5</v>
      </c>
    </row>
    <row r="2287" ht="14.25" customHeight="1">
      <c r="A2287" s="1" t="s">
        <v>26</v>
      </c>
      <c r="B2287" s="1" t="s">
        <v>4022</v>
      </c>
      <c r="C2287" s="1" t="s">
        <v>11109</v>
      </c>
      <c r="D2287" s="1">
        <v>8662318.0</v>
      </c>
      <c r="E2287" s="1" t="s">
        <v>1598</v>
      </c>
      <c r="F2287" s="1" t="s">
        <v>10343</v>
      </c>
      <c r="G2287" s="1" t="s">
        <v>11110</v>
      </c>
      <c r="H2287" s="1" t="s">
        <v>11111</v>
      </c>
      <c r="I2287" s="1">
        <v>15033.0</v>
      </c>
      <c r="J2287" s="1" t="s">
        <v>11112</v>
      </c>
      <c r="K2287" s="1" t="s">
        <v>11113</v>
      </c>
      <c r="L2287" s="1">
        <v>75.0</v>
      </c>
      <c r="M2287" s="1" t="s">
        <v>35</v>
      </c>
      <c r="N2287" s="1" t="s">
        <v>36</v>
      </c>
      <c r="O2287" s="1" t="s">
        <v>37</v>
      </c>
      <c r="P2287" s="1">
        <v>1.7E7</v>
      </c>
      <c r="Q2287" s="1">
        <v>2009.0</v>
      </c>
      <c r="R2287" s="1">
        <v>567.0</v>
      </c>
      <c r="S2287" s="1">
        <v>503.0</v>
      </c>
      <c r="T2287" s="1">
        <v>399.0</v>
      </c>
      <c r="U2287" s="1">
        <v>2016.0</v>
      </c>
      <c r="V2287" s="1">
        <v>80.0</v>
      </c>
      <c r="W2287" s="1">
        <v>0.0</v>
      </c>
      <c r="X2287" s="1">
        <v>1.0</v>
      </c>
      <c r="Y2287" s="1">
        <v>1.85</v>
      </c>
      <c r="Z2287" s="1">
        <v>5.9</v>
      </c>
    </row>
    <row r="2288" ht="14.25" customHeight="1">
      <c r="A2288" s="1" t="s">
        <v>26</v>
      </c>
      <c r="B2288" s="1" t="s">
        <v>1661</v>
      </c>
      <c r="C2288" s="1" t="s">
        <v>11114</v>
      </c>
      <c r="D2288" s="1">
        <v>7156725.0</v>
      </c>
      <c r="E2288" s="1" t="s">
        <v>7157</v>
      </c>
      <c r="F2288" s="1" t="s">
        <v>228</v>
      </c>
      <c r="G2288" s="1" t="s">
        <v>522</v>
      </c>
      <c r="H2288" s="1" t="s">
        <v>3197</v>
      </c>
      <c r="I2288" s="1">
        <v>22639.0</v>
      </c>
      <c r="J2288" s="1" t="s">
        <v>11115</v>
      </c>
      <c r="K2288" s="1" t="s">
        <v>11116</v>
      </c>
      <c r="L2288" s="1">
        <v>217.0</v>
      </c>
      <c r="M2288" s="1" t="s">
        <v>35</v>
      </c>
      <c r="N2288" s="1" t="s">
        <v>36</v>
      </c>
      <c r="O2288" s="1" t="s">
        <v>37</v>
      </c>
      <c r="P2288" s="1">
        <v>1.9E7</v>
      </c>
      <c r="Q2288" s="1">
        <v>2006.0</v>
      </c>
      <c r="R2288" s="1">
        <v>2000.0</v>
      </c>
      <c r="S2288" s="1">
        <v>2000.0</v>
      </c>
      <c r="T2288" s="1">
        <v>841.0</v>
      </c>
      <c r="U2288" s="1">
        <v>5992.0</v>
      </c>
      <c r="V2288" s="1">
        <v>80.0</v>
      </c>
      <c r="W2288" s="1">
        <v>300.0</v>
      </c>
      <c r="X2288" s="1">
        <v>6.0</v>
      </c>
      <c r="Y2288" s="1">
        <v>1.85</v>
      </c>
      <c r="Z2288" s="1">
        <v>5.5</v>
      </c>
    </row>
    <row r="2289" ht="14.25" customHeight="1">
      <c r="A2289" s="1" t="s">
        <v>26</v>
      </c>
      <c r="B2289" s="1" t="s">
        <v>11117</v>
      </c>
      <c r="C2289" s="1" t="s">
        <v>11118</v>
      </c>
      <c r="D2289" s="1">
        <v>1.568102E7</v>
      </c>
      <c r="E2289" s="1" t="s">
        <v>7204</v>
      </c>
      <c r="F2289" s="1" t="s">
        <v>385</v>
      </c>
      <c r="G2289" s="1" t="s">
        <v>4330</v>
      </c>
      <c r="H2289" s="1" t="s">
        <v>6802</v>
      </c>
      <c r="I2289" s="1">
        <v>33570.0</v>
      </c>
      <c r="J2289" s="1" t="s">
        <v>11119</v>
      </c>
      <c r="K2289" s="1" t="s">
        <v>11120</v>
      </c>
      <c r="L2289" s="1">
        <v>259.0</v>
      </c>
      <c r="M2289" s="1" t="s">
        <v>35</v>
      </c>
      <c r="N2289" s="1" t="s">
        <v>54</v>
      </c>
      <c r="O2289" s="1" t="s">
        <v>87</v>
      </c>
      <c r="P2289" s="1">
        <v>1.7E7</v>
      </c>
      <c r="Q2289" s="1">
        <v>1987.0</v>
      </c>
      <c r="R2289" s="1">
        <v>1000.0</v>
      </c>
      <c r="S2289" s="1">
        <v>593.0</v>
      </c>
      <c r="T2289" s="1">
        <v>488.0</v>
      </c>
      <c r="U2289" s="1">
        <v>3007.0</v>
      </c>
      <c r="V2289" s="1">
        <v>22.0</v>
      </c>
      <c r="W2289" s="1">
        <v>1000.0</v>
      </c>
      <c r="X2289" s="1">
        <v>6.0</v>
      </c>
      <c r="Y2289" s="1">
        <v>2.35</v>
      </c>
      <c r="Z2289" s="1">
        <v>3.6</v>
      </c>
    </row>
    <row r="2290" ht="14.25" customHeight="1">
      <c r="A2290" s="1" t="s">
        <v>26</v>
      </c>
      <c r="B2290" s="1" t="s">
        <v>11121</v>
      </c>
      <c r="C2290" s="1" t="s">
        <v>11122</v>
      </c>
      <c r="D2290" s="1">
        <v>6855137.0</v>
      </c>
      <c r="E2290" s="1" t="s">
        <v>449</v>
      </c>
      <c r="F2290" s="1" t="s">
        <v>328</v>
      </c>
      <c r="G2290" s="1" t="s">
        <v>1576</v>
      </c>
      <c r="H2290" s="1" t="s">
        <v>1625</v>
      </c>
      <c r="I2290" s="1">
        <v>88590.0</v>
      </c>
      <c r="J2290" s="1" t="s">
        <v>11123</v>
      </c>
      <c r="K2290" s="1" t="s">
        <v>11124</v>
      </c>
      <c r="L2290" s="1">
        <v>419.0</v>
      </c>
      <c r="M2290" s="1" t="s">
        <v>35</v>
      </c>
      <c r="N2290" s="1" t="s">
        <v>730</v>
      </c>
      <c r="O2290" s="1" t="s">
        <v>628</v>
      </c>
      <c r="P2290" s="1">
        <v>1.7E7</v>
      </c>
      <c r="Q2290" s="1">
        <v>2006.0</v>
      </c>
      <c r="R2290" s="1">
        <v>23000.0</v>
      </c>
      <c r="S2290" s="1">
        <v>979.0</v>
      </c>
      <c r="T2290" s="1">
        <v>834.0</v>
      </c>
      <c r="U2290" s="1">
        <v>27381.0</v>
      </c>
      <c r="V2290" s="1">
        <v>47.0</v>
      </c>
      <c r="W2290" s="1">
        <v>0.0</v>
      </c>
      <c r="X2290" s="1">
        <v>2.0</v>
      </c>
      <c r="Y2290" s="1">
        <v>2.35</v>
      </c>
      <c r="Z2290" s="1">
        <v>7.4</v>
      </c>
    </row>
    <row r="2291" ht="14.25" customHeight="1">
      <c r="A2291" s="1" t="s">
        <v>26</v>
      </c>
      <c r="B2291" s="1" t="s">
        <v>11125</v>
      </c>
      <c r="C2291" s="1" t="s">
        <v>11126</v>
      </c>
      <c r="D2291" s="1">
        <v>2315683.0</v>
      </c>
      <c r="E2291" s="1" t="s">
        <v>11127</v>
      </c>
      <c r="F2291" s="1" t="s">
        <v>3260</v>
      </c>
      <c r="G2291" s="1" t="s">
        <v>10849</v>
      </c>
      <c r="H2291" s="1" t="s">
        <v>11128</v>
      </c>
      <c r="I2291" s="1">
        <v>4081.0</v>
      </c>
      <c r="J2291" s="1" t="s">
        <v>11129</v>
      </c>
      <c r="K2291" s="1" t="s">
        <v>11130</v>
      </c>
      <c r="L2291" s="1">
        <v>28.0</v>
      </c>
      <c r="M2291" s="1" t="s">
        <v>35</v>
      </c>
      <c r="N2291" s="1" t="s">
        <v>54</v>
      </c>
      <c r="O2291" s="1" t="s">
        <v>37</v>
      </c>
      <c r="P2291" s="1">
        <v>1.7E7</v>
      </c>
      <c r="Q2291" s="1">
        <v>1986.0</v>
      </c>
      <c r="R2291" s="1">
        <v>400.0</v>
      </c>
      <c r="S2291" s="1">
        <v>193.0</v>
      </c>
      <c r="T2291" s="1">
        <v>161.0</v>
      </c>
      <c r="U2291" s="1">
        <v>805.0</v>
      </c>
      <c r="V2291" s="1">
        <v>3.0</v>
      </c>
      <c r="W2291" s="1">
        <v>154.0</v>
      </c>
      <c r="X2291" s="1">
        <v>0.0</v>
      </c>
      <c r="Y2291" s="1">
        <v>1.85</v>
      </c>
      <c r="Z2291" s="1">
        <v>3.0</v>
      </c>
    </row>
    <row r="2292" ht="14.25" customHeight="1">
      <c r="A2292" s="1" t="s">
        <v>26</v>
      </c>
      <c r="B2292" s="1" t="s">
        <v>2301</v>
      </c>
      <c r="C2292" s="1" t="s">
        <v>11131</v>
      </c>
      <c r="D2292" s="1">
        <v>3.9825798E7</v>
      </c>
      <c r="E2292" s="1" t="s">
        <v>3113</v>
      </c>
      <c r="F2292" s="1" t="s">
        <v>1733</v>
      </c>
      <c r="G2292" s="1" t="s">
        <v>351</v>
      </c>
      <c r="H2292" s="1" t="s">
        <v>11132</v>
      </c>
      <c r="I2292" s="1">
        <v>295375.0</v>
      </c>
      <c r="J2292" s="1" t="s">
        <v>11133</v>
      </c>
      <c r="K2292" s="1" t="s">
        <v>11134</v>
      </c>
      <c r="L2292" s="1">
        <v>645.0</v>
      </c>
      <c r="M2292" s="1" t="s">
        <v>35</v>
      </c>
      <c r="N2292" s="1" t="s">
        <v>36</v>
      </c>
      <c r="O2292" s="1" t="s">
        <v>37</v>
      </c>
      <c r="P2292" s="1">
        <v>1.6E7</v>
      </c>
      <c r="Q2292" s="1">
        <v>2006.0</v>
      </c>
      <c r="R2292" s="1">
        <v>3000.0</v>
      </c>
      <c r="S2292" s="1">
        <v>979.0</v>
      </c>
      <c r="T2292" s="1">
        <v>96.0</v>
      </c>
      <c r="U2292" s="1">
        <v>4210.0</v>
      </c>
      <c r="V2292" s="1">
        <v>168.0</v>
      </c>
      <c r="W2292" s="1">
        <v>15000.0</v>
      </c>
      <c r="X2292" s="1">
        <v>3.0</v>
      </c>
      <c r="Y2292" s="1">
        <v>1.85</v>
      </c>
      <c r="Z2292" s="1">
        <v>7.6</v>
      </c>
    </row>
    <row r="2293" ht="14.25" customHeight="1">
      <c r="A2293" s="1" t="s">
        <v>26</v>
      </c>
      <c r="B2293" s="1" t="s">
        <v>11135</v>
      </c>
      <c r="C2293" s="1" t="s">
        <v>11136</v>
      </c>
      <c r="D2293" s="1">
        <v>2000000.0</v>
      </c>
      <c r="E2293" s="1" t="s">
        <v>8022</v>
      </c>
      <c r="F2293" s="1" t="s">
        <v>11137</v>
      </c>
      <c r="G2293" s="1" t="s">
        <v>1330</v>
      </c>
      <c r="H2293" s="1" t="s">
        <v>517</v>
      </c>
      <c r="I2293" s="1">
        <v>1275.0</v>
      </c>
      <c r="J2293" s="1" t="s">
        <v>11138</v>
      </c>
      <c r="K2293" s="1" t="s">
        <v>11139</v>
      </c>
      <c r="L2293" s="1">
        <v>27.0</v>
      </c>
      <c r="M2293" s="1" t="s">
        <v>35</v>
      </c>
      <c r="N2293" s="1" t="s">
        <v>36</v>
      </c>
      <c r="O2293" s="1" t="s">
        <v>87</v>
      </c>
      <c r="P2293" s="1">
        <v>1.7E7</v>
      </c>
      <c r="Q2293" s="1">
        <v>1981.0</v>
      </c>
      <c r="R2293" s="1">
        <v>634.0</v>
      </c>
      <c r="S2293" s="1">
        <v>537.0</v>
      </c>
      <c r="T2293" s="1">
        <v>60.0</v>
      </c>
      <c r="U2293" s="1">
        <v>1262.0</v>
      </c>
      <c r="V2293" s="1">
        <v>4.0</v>
      </c>
      <c r="W2293" s="1">
        <v>0.0</v>
      </c>
      <c r="X2293" s="1">
        <v>0.0</v>
      </c>
      <c r="Y2293" s="1">
        <v>2.35</v>
      </c>
      <c r="Z2293" s="1">
        <v>6.4</v>
      </c>
    </row>
    <row r="2294" ht="14.25" customHeight="1">
      <c r="A2294" s="1" t="s">
        <v>26</v>
      </c>
      <c r="B2294" s="1" t="s">
        <v>1268</v>
      </c>
      <c r="C2294" s="1" t="s">
        <v>11140</v>
      </c>
      <c r="D2294" s="1">
        <v>1569918.0</v>
      </c>
      <c r="E2294" s="1" t="s">
        <v>11141</v>
      </c>
      <c r="F2294" s="1" t="s">
        <v>11142</v>
      </c>
      <c r="G2294" s="1" t="s">
        <v>11143</v>
      </c>
      <c r="H2294" s="1" t="s">
        <v>11144</v>
      </c>
      <c r="I2294" s="1">
        <v>16234.0</v>
      </c>
      <c r="J2294" s="1" t="s">
        <v>11145</v>
      </c>
      <c r="K2294" s="1" t="s">
        <v>11146</v>
      </c>
      <c r="L2294" s="1">
        <v>113.0</v>
      </c>
      <c r="M2294" s="1" t="s">
        <v>35</v>
      </c>
      <c r="N2294" s="1" t="s">
        <v>7469</v>
      </c>
      <c r="O2294" s="1" t="s">
        <v>628</v>
      </c>
      <c r="P2294" s="1">
        <v>1.7E7</v>
      </c>
      <c r="Q2294" s="1">
        <v>2003.0</v>
      </c>
      <c r="R2294" s="1">
        <v>214.0</v>
      </c>
      <c r="S2294" s="1">
        <v>96.0</v>
      </c>
      <c r="T2294" s="1">
        <v>71.0</v>
      </c>
      <c r="U2294" s="1">
        <v>409.0</v>
      </c>
      <c r="V2294" s="1">
        <v>541.0</v>
      </c>
      <c r="W2294" s="1">
        <v>0.0</v>
      </c>
      <c r="X2294" s="1">
        <v>1.0</v>
      </c>
      <c r="Y2294" s="1">
        <v>2.35</v>
      </c>
      <c r="Z2294" s="1">
        <v>6.9</v>
      </c>
    </row>
    <row r="2295" ht="14.25" customHeight="1">
      <c r="A2295" s="1" t="s">
        <v>26</v>
      </c>
      <c r="B2295" s="1" t="s">
        <v>9062</v>
      </c>
      <c r="C2295" s="1" t="s">
        <v>11147</v>
      </c>
      <c r="D2295" s="1">
        <v>273420.0</v>
      </c>
      <c r="E2295" s="1" t="s">
        <v>11148</v>
      </c>
      <c r="F2295" s="1" t="s">
        <v>757</v>
      </c>
      <c r="G2295" s="1" t="s">
        <v>5972</v>
      </c>
      <c r="H2295" s="1" t="s">
        <v>11149</v>
      </c>
      <c r="I2295" s="1">
        <v>32671.0</v>
      </c>
      <c r="J2295" s="1" t="s">
        <v>11150</v>
      </c>
      <c r="K2295" s="1" t="s">
        <v>11151</v>
      </c>
      <c r="L2295" s="1">
        <v>238.0</v>
      </c>
      <c r="M2295" s="1" t="s">
        <v>35</v>
      </c>
      <c r="N2295" s="1" t="s">
        <v>1832</v>
      </c>
      <c r="O2295" s="1" t="s">
        <v>628</v>
      </c>
      <c r="P2295" s="1">
        <v>1.7E7</v>
      </c>
      <c r="Q2295" s="1">
        <v>2006.0</v>
      </c>
      <c r="R2295" s="1">
        <v>1000.0</v>
      </c>
      <c r="S2295" s="1">
        <v>876.0</v>
      </c>
      <c r="T2295" s="1">
        <v>215.0</v>
      </c>
      <c r="U2295" s="1">
        <v>2340.0</v>
      </c>
      <c r="V2295" s="1">
        <v>219.0</v>
      </c>
      <c r="W2295" s="1">
        <v>0.0</v>
      </c>
      <c r="X2295" s="1">
        <v>6.0</v>
      </c>
      <c r="Y2295" s="1">
        <v>2.35</v>
      </c>
      <c r="Z2295" s="1">
        <v>5.5</v>
      </c>
    </row>
    <row r="2296" ht="14.25" customHeight="1">
      <c r="A2296" s="1" t="s">
        <v>26</v>
      </c>
      <c r="B2296" s="1" t="s">
        <v>11152</v>
      </c>
      <c r="C2296" s="1" t="s">
        <v>11153</v>
      </c>
      <c r="D2296" s="1">
        <v>4930798.0</v>
      </c>
      <c r="E2296" s="1" t="s">
        <v>6278</v>
      </c>
      <c r="F2296" s="1" t="s">
        <v>11154</v>
      </c>
      <c r="G2296" s="1" t="s">
        <v>11155</v>
      </c>
      <c r="H2296" s="1" t="s">
        <v>11156</v>
      </c>
      <c r="I2296" s="1">
        <v>16268.0</v>
      </c>
      <c r="J2296" s="1" t="s">
        <v>11157</v>
      </c>
      <c r="K2296" s="1" t="s">
        <v>11158</v>
      </c>
      <c r="L2296" s="1">
        <v>108.0</v>
      </c>
      <c r="M2296" s="1" t="s">
        <v>35</v>
      </c>
      <c r="N2296" s="1" t="s">
        <v>36</v>
      </c>
      <c r="O2296" s="1" t="s">
        <v>37</v>
      </c>
      <c r="P2296" s="1">
        <v>1.7E7</v>
      </c>
      <c r="Q2296" s="1">
        <v>2012.0</v>
      </c>
      <c r="R2296" s="1">
        <v>465.0</v>
      </c>
      <c r="S2296" s="1">
        <v>152.0</v>
      </c>
      <c r="T2296" s="1">
        <v>62.0</v>
      </c>
      <c r="U2296" s="1">
        <v>730.0</v>
      </c>
      <c r="V2296" s="1">
        <v>57.0</v>
      </c>
      <c r="W2296" s="1">
        <v>0.0</v>
      </c>
      <c r="X2296" s="1">
        <v>1.0</v>
      </c>
      <c r="Y2296" s="1">
        <v>2.35</v>
      </c>
      <c r="Z2296" s="1">
        <v>4.1</v>
      </c>
    </row>
    <row r="2297" ht="14.25" customHeight="1">
      <c r="A2297" s="1" t="s">
        <v>26</v>
      </c>
      <c r="B2297" s="1" t="s">
        <v>11159</v>
      </c>
      <c r="C2297" s="1" t="s">
        <v>11160</v>
      </c>
      <c r="D2297" s="1">
        <v>5.9847242E7</v>
      </c>
      <c r="E2297" s="1" t="s">
        <v>8685</v>
      </c>
      <c r="F2297" s="1" t="s">
        <v>6147</v>
      </c>
      <c r="G2297" s="1" t="s">
        <v>1651</v>
      </c>
      <c r="H2297" s="1" t="s">
        <v>3982</v>
      </c>
      <c r="I2297" s="1">
        <v>55895.0</v>
      </c>
      <c r="J2297" s="1" t="s">
        <v>11161</v>
      </c>
      <c r="K2297" s="1" t="s">
        <v>11162</v>
      </c>
      <c r="L2297" s="1">
        <v>115.0</v>
      </c>
      <c r="M2297" s="1" t="s">
        <v>35</v>
      </c>
      <c r="N2297" s="1" t="s">
        <v>36</v>
      </c>
      <c r="O2297" s="1" t="s">
        <v>37</v>
      </c>
      <c r="P2297" s="1">
        <v>1.65E7</v>
      </c>
      <c r="Q2297" s="1">
        <v>1991.0</v>
      </c>
      <c r="R2297" s="1">
        <v>3000.0</v>
      </c>
      <c r="S2297" s="1">
        <v>2000.0</v>
      </c>
      <c r="T2297" s="1">
        <v>165.0</v>
      </c>
      <c r="U2297" s="1">
        <v>5433.0</v>
      </c>
      <c r="V2297" s="1">
        <v>6.0</v>
      </c>
      <c r="W2297" s="1">
        <v>0.0</v>
      </c>
      <c r="X2297" s="1">
        <v>1.0</v>
      </c>
      <c r="Y2297" s="1">
        <v>1.85</v>
      </c>
      <c r="Z2297" s="1">
        <v>6.8</v>
      </c>
    </row>
    <row r="2298" ht="14.25" customHeight="1">
      <c r="A2298" s="1" t="s">
        <v>26</v>
      </c>
      <c r="B2298" s="1" t="s">
        <v>11163</v>
      </c>
      <c r="C2298" s="1" t="s">
        <v>11164</v>
      </c>
      <c r="D2298" s="1">
        <v>220914.0</v>
      </c>
      <c r="E2298" s="1" t="s">
        <v>5942</v>
      </c>
      <c r="F2298" s="1" t="s">
        <v>91</v>
      </c>
      <c r="G2298" s="1" t="s">
        <v>911</v>
      </c>
      <c r="H2298" s="1" t="s">
        <v>11165</v>
      </c>
      <c r="I2298" s="1">
        <v>13239.0</v>
      </c>
      <c r="J2298" s="1" t="s">
        <v>11166</v>
      </c>
      <c r="K2298" s="1" t="s">
        <v>11167</v>
      </c>
      <c r="L2298" s="1">
        <v>97.0</v>
      </c>
      <c r="M2298" s="1" t="s">
        <v>35</v>
      </c>
      <c r="N2298" s="1" t="s">
        <v>36</v>
      </c>
      <c r="O2298" s="1" t="s">
        <v>628</v>
      </c>
      <c r="P2298" s="1">
        <v>1.68E7</v>
      </c>
      <c r="Q2298" s="1">
        <v>2006.0</v>
      </c>
      <c r="R2298" s="1">
        <v>21000.0</v>
      </c>
      <c r="S2298" s="1">
        <v>3000.0</v>
      </c>
      <c r="T2298" s="1">
        <v>260.0</v>
      </c>
      <c r="U2298" s="1">
        <v>25173.0</v>
      </c>
      <c r="V2298" s="1">
        <v>30.0</v>
      </c>
      <c r="W2298" s="1">
        <v>0.0</v>
      </c>
      <c r="X2298" s="1">
        <v>2.0</v>
      </c>
      <c r="Y2298" s="1">
        <v>1.85</v>
      </c>
      <c r="Z2298" s="1">
        <v>6.5</v>
      </c>
    </row>
    <row r="2299" ht="14.25" customHeight="1">
      <c r="A2299" s="1" t="s">
        <v>26</v>
      </c>
      <c r="B2299" s="1" t="s">
        <v>2301</v>
      </c>
      <c r="C2299" s="1" t="s">
        <v>11131</v>
      </c>
      <c r="D2299" s="1">
        <v>3.9825798E7</v>
      </c>
      <c r="E2299" s="1" t="s">
        <v>3113</v>
      </c>
      <c r="F2299" s="1" t="s">
        <v>1733</v>
      </c>
      <c r="G2299" s="1" t="s">
        <v>351</v>
      </c>
      <c r="H2299" s="1" t="s">
        <v>11132</v>
      </c>
      <c r="I2299" s="1">
        <v>295375.0</v>
      </c>
      <c r="J2299" s="1" t="s">
        <v>11133</v>
      </c>
      <c r="K2299" s="1" t="s">
        <v>11134</v>
      </c>
      <c r="L2299" s="1">
        <v>645.0</v>
      </c>
      <c r="M2299" s="1" t="s">
        <v>35</v>
      </c>
      <c r="N2299" s="1" t="s">
        <v>36</v>
      </c>
      <c r="O2299" s="1" t="s">
        <v>37</v>
      </c>
      <c r="P2299" s="1">
        <v>1.6E7</v>
      </c>
      <c r="Q2299" s="1">
        <v>2006.0</v>
      </c>
      <c r="R2299" s="1">
        <v>3000.0</v>
      </c>
      <c r="S2299" s="1">
        <v>979.0</v>
      </c>
      <c r="T2299" s="1">
        <v>96.0</v>
      </c>
      <c r="U2299" s="1">
        <v>4210.0</v>
      </c>
      <c r="V2299" s="1">
        <v>168.0</v>
      </c>
      <c r="W2299" s="1">
        <v>15000.0</v>
      </c>
      <c r="X2299" s="1">
        <v>3.0</v>
      </c>
      <c r="Y2299" s="1">
        <v>1.85</v>
      </c>
      <c r="Z2299" s="1">
        <v>7.6</v>
      </c>
    </row>
    <row r="2300" ht="14.25" customHeight="1">
      <c r="A2300" s="1" t="s">
        <v>26</v>
      </c>
      <c r="B2300" s="1" t="s">
        <v>723</v>
      </c>
      <c r="C2300" s="1" t="s">
        <v>11168</v>
      </c>
      <c r="D2300" s="1">
        <v>4.38481E7</v>
      </c>
      <c r="E2300" s="1" t="s">
        <v>1854</v>
      </c>
      <c r="F2300" s="1" t="s">
        <v>3096</v>
      </c>
      <c r="G2300" s="1" t="s">
        <v>11169</v>
      </c>
      <c r="H2300" s="1" t="s">
        <v>4379</v>
      </c>
      <c r="I2300" s="1">
        <v>119150.0</v>
      </c>
      <c r="J2300" s="1" t="s">
        <v>11170</v>
      </c>
      <c r="K2300" s="1" t="s">
        <v>11171</v>
      </c>
      <c r="L2300" s="1">
        <v>219.0</v>
      </c>
      <c r="M2300" s="1" t="s">
        <v>35</v>
      </c>
      <c r="N2300" s="1" t="s">
        <v>36</v>
      </c>
      <c r="O2300" s="1" t="s">
        <v>628</v>
      </c>
      <c r="P2300" s="1">
        <v>1.5E7</v>
      </c>
      <c r="Q2300" s="1">
        <v>1987.0</v>
      </c>
      <c r="R2300" s="1">
        <v>826.0</v>
      </c>
      <c r="S2300" s="1">
        <v>508.0</v>
      </c>
      <c r="T2300" s="1">
        <v>168.0</v>
      </c>
      <c r="U2300" s="1">
        <v>1607.0</v>
      </c>
      <c r="V2300" s="1">
        <v>0.0</v>
      </c>
      <c r="W2300" s="1">
        <v>0.0</v>
      </c>
      <c r="X2300" s="1">
        <v>2.0</v>
      </c>
      <c r="Y2300" s="1">
        <v>1.85</v>
      </c>
      <c r="Z2300" s="1">
        <v>7.4</v>
      </c>
    </row>
    <row r="2301" ht="14.25" customHeight="1">
      <c r="A2301" s="1" t="s">
        <v>26</v>
      </c>
      <c r="B2301" s="1" t="s">
        <v>1027</v>
      </c>
      <c r="C2301" s="1" t="s">
        <v>11172</v>
      </c>
      <c r="D2301" s="1">
        <v>4.27E7</v>
      </c>
      <c r="E2301" s="1" t="s">
        <v>206</v>
      </c>
      <c r="F2301" s="1" t="s">
        <v>98</v>
      </c>
      <c r="G2301" s="1" t="s">
        <v>208</v>
      </c>
      <c r="H2301" s="1" t="s">
        <v>130</v>
      </c>
      <c r="I2301" s="1">
        <v>78392.0</v>
      </c>
      <c r="J2301" s="1" t="s">
        <v>11173</v>
      </c>
      <c r="K2301" s="1" t="s">
        <v>11174</v>
      </c>
      <c r="L2301" s="1">
        <v>196.0</v>
      </c>
      <c r="M2301" s="1" t="s">
        <v>35</v>
      </c>
      <c r="N2301" s="1" t="s">
        <v>36</v>
      </c>
      <c r="O2301" s="1" t="s">
        <v>87</v>
      </c>
      <c r="P2301" s="1">
        <v>1.65E7</v>
      </c>
      <c r="Q2301" s="1">
        <v>1995.0</v>
      </c>
      <c r="R2301" s="1">
        <v>25000.0</v>
      </c>
      <c r="S2301" s="1">
        <v>14000.0</v>
      </c>
      <c r="T2301" s="1">
        <v>1000.0</v>
      </c>
      <c r="U2301" s="1">
        <v>41059.0</v>
      </c>
      <c r="V2301" s="1">
        <v>0.0</v>
      </c>
      <c r="W2301" s="1">
        <v>0.0</v>
      </c>
      <c r="X2301" s="1">
        <v>2.0</v>
      </c>
      <c r="Y2301" s="1">
        <v>1.85</v>
      </c>
      <c r="Z2301" s="1">
        <v>7.7</v>
      </c>
    </row>
    <row r="2302" ht="14.25" customHeight="1">
      <c r="A2302" s="1" t="s">
        <v>26</v>
      </c>
      <c r="B2302" s="1" t="s">
        <v>11175</v>
      </c>
      <c r="C2302" s="1" t="s">
        <v>11176</v>
      </c>
      <c r="D2302" s="1">
        <v>1.8663911E7</v>
      </c>
      <c r="E2302" s="1" t="s">
        <v>5942</v>
      </c>
      <c r="F2302" s="1" t="s">
        <v>249</v>
      </c>
      <c r="G2302" s="1" t="s">
        <v>391</v>
      </c>
      <c r="H2302" s="1" t="s">
        <v>11177</v>
      </c>
      <c r="I2302" s="1">
        <v>46204.0</v>
      </c>
      <c r="J2302" s="1" t="s">
        <v>11178</v>
      </c>
      <c r="K2302" s="1" t="s">
        <v>11179</v>
      </c>
      <c r="L2302" s="1">
        <v>151.0</v>
      </c>
      <c r="M2302" s="1" t="s">
        <v>35</v>
      </c>
      <c r="N2302" s="1" t="s">
        <v>54</v>
      </c>
      <c r="O2302" s="1" t="s">
        <v>87</v>
      </c>
      <c r="P2302" s="1">
        <v>1.65E7</v>
      </c>
      <c r="Q2302" s="1">
        <v>2007.0</v>
      </c>
      <c r="R2302" s="1">
        <v>11000.0</v>
      </c>
      <c r="S2302" s="1">
        <v>838.0</v>
      </c>
      <c r="T2302" s="1">
        <v>281.0</v>
      </c>
      <c r="U2302" s="1">
        <v>12554.0</v>
      </c>
      <c r="V2302" s="1">
        <v>11.0</v>
      </c>
      <c r="W2302" s="1">
        <v>0.0</v>
      </c>
      <c r="X2302" s="1">
        <v>1.0</v>
      </c>
      <c r="Y2302" s="1">
        <v>2.35</v>
      </c>
      <c r="Z2302" s="1">
        <v>7.1</v>
      </c>
    </row>
    <row r="2303" ht="14.25" customHeight="1">
      <c r="A2303" s="1" t="s">
        <v>26</v>
      </c>
      <c r="B2303" s="1" t="s">
        <v>11180</v>
      </c>
      <c r="C2303" s="1" t="s">
        <v>11181</v>
      </c>
      <c r="D2303" s="1">
        <v>1.170209E7</v>
      </c>
      <c r="E2303" s="1" t="s">
        <v>1598</v>
      </c>
      <c r="F2303" s="1" t="s">
        <v>11182</v>
      </c>
      <c r="G2303" s="1" t="s">
        <v>1309</v>
      </c>
      <c r="H2303" s="1" t="s">
        <v>11183</v>
      </c>
      <c r="I2303" s="1">
        <v>37700.0</v>
      </c>
      <c r="J2303" s="1" t="s">
        <v>11184</v>
      </c>
      <c r="K2303" s="1" t="s">
        <v>11185</v>
      </c>
      <c r="L2303" s="1">
        <v>50.0</v>
      </c>
      <c r="M2303" s="1" t="s">
        <v>35</v>
      </c>
      <c r="N2303" s="1" t="s">
        <v>36</v>
      </c>
      <c r="O2303" s="1" t="s">
        <v>37</v>
      </c>
      <c r="P2303" s="1">
        <v>1.65E7</v>
      </c>
      <c r="Q2303" s="1">
        <v>2007.0</v>
      </c>
      <c r="R2303" s="1">
        <v>714.0</v>
      </c>
      <c r="S2303" s="1">
        <v>701.0</v>
      </c>
      <c r="T2303" s="1">
        <v>433.0</v>
      </c>
      <c r="U2303" s="1">
        <v>2785.0</v>
      </c>
      <c r="V2303" s="1">
        <v>18.0</v>
      </c>
      <c r="W2303" s="1">
        <v>0.0</v>
      </c>
      <c r="X2303" s="1">
        <v>2.0</v>
      </c>
      <c r="Y2303" s="1">
        <v>2.35</v>
      </c>
      <c r="Z2303" s="1">
        <v>6.3</v>
      </c>
    </row>
    <row r="2304" ht="14.25" customHeight="1">
      <c r="A2304" s="1" t="s">
        <v>26</v>
      </c>
      <c r="B2304" s="1" t="s">
        <v>11186</v>
      </c>
      <c r="C2304" s="1" t="s">
        <v>11187</v>
      </c>
      <c r="D2304" s="1">
        <v>1.3005485E7</v>
      </c>
      <c r="E2304" s="1" t="s">
        <v>3238</v>
      </c>
      <c r="F2304" s="1" t="s">
        <v>3058</v>
      </c>
      <c r="G2304" s="1" t="s">
        <v>2125</v>
      </c>
      <c r="H2304" s="1" t="s">
        <v>8355</v>
      </c>
      <c r="I2304" s="1">
        <v>56665.0</v>
      </c>
      <c r="J2304" s="1" t="s">
        <v>11188</v>
      </c>
      <c r="K2304" s="1" t="s">
        <v>11189</v>
      </c>
      <c r="L2304" s="1">
        <v>469.0</v>
      </c>
      <c r="M2304" s="1" t="s">
        <v>35</v>
      </c>
      <c r="N2304" s="1" t="s">
        <v>36</v>
      </c>
      <c r="O2304" s="1" t="s">
        <v>628</v>
      </c>
      <c r="P2304" s="1">
        <v>1.5E7</v>
      </c>
      <c r="Q2304" s="1">
        <v>2003.0</v>
      </c>
      <c r="R2304" s="1">
        <v>638.0</v>
      </c>
      <c r="S2304" s="1">
        <v>624.0</v>
      </c>
      <c r="T2304" s="1">
        <v>385.0</v>
      </c>
      <c r="U2304" s="1">
        <v>2282.0</v>
      </c>
      <c r="V2304" s="1">
        <v>26.0</v>
      </c>
      <c r="W2304" s="1">
        <v>0.0</v>
      </c>
      <c r="X2304" s="1">
        <v>0.0</v>
      </c>
      <c r="Y2304" s="1">
        <v>1.85</v>
      </c>
      <c r="Z2304" s="1">
        <v>7.6</v>
      </c>
    </row>
    <row r="2305" ht="14.25" customHeight="1">
      <c r="A2305" s="1" t="s">
        <v>26</v>
      </c>
      <c r="B2305" s="1" t="s">
        <v>1059</v>
      </c>
      <c r="C2305" s="1" t="s">
        <v>11190</v>
      </c>
      <c r="D2305" s="1">
        <v>9.5860116E7</v>
      </c>
      <c r="E2305" s="1" t="s">
        <v>2422</v>
      </c>
      <c r="F2305" s="1" t="s">
        <v>774</v>
      </c>
      <c r="G2305" s="1" t="s">
        <v>3172</v>
      </c>
      <c r="H2305" s="1" t="s">
        <v>4236</v>
      </c>
      <c r="I2305" s="1">
        <v>277451.0</v>
      </c>
      <c r="J2305" s="1" t="s">
        <v>11191</v>
      </c>
      <c r="K2305" s="1" t="s">
        <v>11192</v>
      </c>
      <c r="L2305" s="1">
        <v>491.0</v>
      </c>
      <c r="M2305" s="1" t="s">
        <v>35</v>
      </c>
      <c r="N2305" s="1" t="s">
        <v>36</v>
      </c>
      <c r="O2305" s="1" t="s">
        <v>87</v>
      </c>
      <c r="P2305" s="1">
        <v>1.64E7</v>
      </c>
      <c r="Q2305" s="1">
        <v>1989.0</v>
      </c>
      <c r="R2305" s="1">
        <v>49000.0</v>
      </c>
      <c r="S2305" s="1">
        <v>1000.0</v>
      </c>
      <c r="T2305" s="1">
        <v>1000.0</v>
      </c>
      <c r="U2305" s="1">
        <v>51609.0</v>
      </c>
      <c r="V2305" s="1">
        <v>608.0</v>
      </c>
      <c r="W2305" s="1">
        <v>23000.0</v>
      </c>
      <c r="X2305" s="1">
        <v>0.0</v>
      </c>
      <c r="Y2305" s="1">
        <v>1.85</v>
      </c>
      <c r="Z2305" s="1">
        <v>8.0</v>
      </c>
    </row>
    <row r="2306" ht="14.25" customHeight="1">
      <c r="A2306" s="1" t="s">
        <v>26</v>
      </c>
      <c r="B2306" s="1" t="s">
        <v>11193</v>
      </c>
      <c r="C2306" s="1" t="s">
        <v>11194</v>
      </c>
      <c r="D2306" s="1">
        <v>1.27175354E8</v>
      </c>
      <c r="E2306" s="1" t="s">
        <v>1885</v>
      </c>
      <c r="F2306" s="1" t="s">
        <v>4533</v>
      </c>
      <c r="G2306" s="1" t="s">
        <v>3031</v>
      </c>
      <c r="H2306" s="1" t="s">
        <v>9779</v>
      </c>
      <c r="I2306" s="1">
        <v>288451.0</v>
      </c>
      <c r="J2306" s="1" t="s">
        <v>11195</v>
      </c>
      <c r="K2306" s="1" t="s">
        <v>11196</v>
      </c>
      <c r="L2306" s="1">
        <v>438.0</v>
      </c>
      <c r="M2306" s="1" t="s">
        <v>35</v>
      </c>
      <c r="N2306" s="1" t="s">
        <v>36</v>
      </c>
      <c r="O2306" s="1" t="s">
        <v>37</v>
      </c>
      <c r="P2306" s="1">
        <v>1.6E7</v>
      </c>
      <c r="Q2306" s="1">
        <v>1994.0</v>
      </c>
      <c r="R2306" s="1">
        <v>879.0</v>
      </c>
      <c r="S2306" s="1">
        <v>854.0</v>
      </c>
      <c r="T2306" s="1">
        <v>481.0</v>
      </c>
      <c r="U2306" s="1">
        <v>2985.0</v>
      </c>
      <c r="V2306" s="1">
        <v>137.0</v>
      </c>
      <c r="W2306" s="1">
        <v>0.0</v>
      </c>
      <c r="X2306" s="1">
        <v>2.0</v>
      </c>
      <c r="Y2306" s="1">
        <v>1.85</v>
      </c>
      <c r="Z2306" s="1">
        <v>7.3</v>
      </c>
    </row>
    <row r="2307" ht="14.25" customHeight="1">
      <c r="A2307" s="1" t="s">
        <v>26</v>
      </c>
      <c r="B2307" s="1" t="s">
        <v>3691</v>
      </c>
      <c r="C2307" s="1" t="s">
        <v>11197</v>
      </c>
      <c r="D2307" s="1">
        <v>9.28236E7</v>
      </c>
      <c r="E2307" s="1" t="s">
        <v>1359</v>
      </c>
      <c r="F2307" s="1" t="s">
        <v>11198</v>
      </c>
      <c r="G2307" s="1" t="s">
        <v>11199</v>
      </c>
      <c r="H2307" s="1" t="s">
        <v>11200</v>
      </c>
      <c r="I2307" s="1">
        <v>149108.0</v>
      </c>
      <c r="J2307" s="1" t="s">
        <v>11201</v>
      </c>
      <c r="K2307" s="1" t="s">
        <v>11202</v>
      </c>
      <c r="L2307" s="1">
        <v>273.0</v>
      </c>
      <c r="M2307" s="1" t="s">
        <v>35</v>
      </c>
      <c r="N2307" s="1" t="s">
        <v>36</v>
      </c>
      <c r="O2307" s="1" t="s">
        <v>628</v>
      </c>
      <c r="P2307" s="1">
        <v>1.6E7</v>
      </c>
      <c r="Q2307" s="1">
        <v>1989.0</v>
      </c>
      <c r="R2307" s="1">
        <v>227.0</v>
      </c>
      <c r="S2307" s="1">
        <v>73.0</v>
      </c>
      <c r="T2307" s="1">
        <v>62.0</v>
      </c>
      <c r="U2307" s="1">
        <v>485.0</v>
      </c>
      <c r="V2307" s="1">
        <v>0.0</v>
      </c>
      <c r="W2307" s="1">
        <v>0.0</v>
      </c>
      <c r="X2307" s="1">
        <v>0.0</v>
      </c>
      <c r="Y2307" s="1">
        <v>1.85</v>
      </c>
      <c r="Z2307" s="1">
        <v>7.6</v>
      </c>
    </row>
    <row r="2308" ht="14.25" customHeight="1">
      <c r="A2308" s="1" t="s">
        <v>26</v>
      </c>
      <c r="B2308" s="1" t="s">
        <v>9335</v>
      </c>
      <c r="C2308" s="1" t="s">
        <v>11203</v>
      </c>
      <c r="D2308" s="1">
        <v>5.4E7</v>
      </c>
      <c r="E2308" s="1" t="s">
        <v>3238</v>
      </c>
      <c r="F2308" s="1" t="s">
        <v>3340</v>
      </c>
      <c r="G2308" s="1" t="s">
        <v>11204</v>
      </c>
      <c r="H2308" s="1" t="s">
        <v>11205</v>
      </c>
      <c r="I2308" s="1">
        <v>26310.0</v>
      </c>
      <c r="J2308" s="1" t="s">
        <v>11206</v>
      </c>
      <c r="K2308" s="1" t="s">
        <v>11207</v>
      </c>
      <c r="L2308" s="1">
        <v>154.0</v>
      </c>
      <c r="M2308" s="1" t="s">
        <v>35</v>
      </c>
      <c r="N2308" s="1" t="s">
        <v>36</v>
      </c>
      <c r="O2308" s="1" t="s">
        <v>628</v>
      </c>
      <c r="P2308" s="1">
        <v>1.6E7</v>
      </c>
      <c r="Q2308" s="1">
        <v>1982.0</v>
      </c>
      <c r="R2308" s="1">
        <v>844.0</v>
      </c>
      <c r="S2308" s="1">
        <v>617.0</v>
      </c>
      <c r="T2308" s="1">
        <v>359.0</v>
      </c>
      <c r="U2308" s="1">
        <v>2330.0</v>
      </c>
      <c r="V2308" s="1">
        <v>0.0</v>
      </c>
      <c r="W2308" s="1">
        <v>0.0</v>
      </c>
      <c r="X2308" s="1">
        <v>0.0</v>
      </c>
      <c r="Y2308" s="1">
        <v>1.85</v>
      </c>
      <c r="Z2308" s="1">
        <v>7.8</v>
      </c>
    </row>
    <row r="2309" ht="14.25" customHeight="1">
      <c r="A2309" s="1" t="s">
        <v>26</v>
      </c>
      <c r="B2309" s="1" t="s">
        <v>2436</v>
      </c>
      <c r="C2309" s="1" t="s">
        <v>11208</v>
      </c>
      <c r="D2309" s="1">
        <v>6.8525609E7</v>
      </c>
      <c r="E2309" s="1" t="s">
        <v>1885</v>
      </c>
      <c r="F2309" s="1" t="s">
        <v>2003</v>
      </c>
      <c r="G2309" s="1" t="s">
        <v>7333</v>
      </c>
      <c r="H2309" s="1" t="s">
        <v>9605</v>
      </c>
      <c r="I2309" s="1">
        <v>132963.0</v>
      </c>
      <c r="J2309" s="1" t="s">
        <v>11209</v>
      </c>
      <c r="K2309" s="1" t="s">
        <v>11210</v>
      </c>
      <c r="L2309" s="1">
        <v>302.0</v>
      </c>
      <c r="M2309" s="1" t="s">
        <v>35</v>
      </c>
      <c r="N2309" s="1" t="s">
        <v>36</v>
      </c>
      <c r="O2309" s="1" t="s">
        <v>628</v>
      </c>
      <c r="P2309" s="1">
        <v>1.56E7</v>
      </c>
      <c r="Q2309" s="1">
        <v>2000.0</v>
      </c>
      <c r="R2309" s="1">
        <v>1000.0</v>
      </c>
      <c r="S2309" s="1">
        <v>490.0</v>
      </c>
      <c r="T2309" s="1">
        <v>486.0</v>
      </c>
      <c r="U2309" s="1">
        <v>3889.0</v>
      </c>
      <c r="V2309" s="1">
        <v>480.0</v>
      </c>
      <c r="W2309" s="1">
        <v>0.0</v>
      </c>
      <c r="X2309" s="1">
        <v>5.0</v>
      </c>
      <c r="Y2309" s="1">
        <v>1.85</v>
      </c>
      <c r="Z2309" s="1">
        <v>6.5</v>
      </c>
    </row>
    <row r="2310" ht="14.25" customHeight="1">
      <c r="A2310" s="1" t="s">
        <v>26</v>
      </c>
      <c r="B2310" s="1" t="s">
        <v>3892</v>
      </c>
      <c r="C2310" s="1" t="s">
        <v>11211</v>
      </c>
      <c r="D2310" s="1">
        <v>5.2885587E7</v>
      </c>
      <c r="E2310" s="1" t="s">
        <v>4241</v>
      </c>
      <c r="F2310" s="1" t="s">
        <v>328</v>
      </c>
      <c r="G2310" s="1" t="s">
        <v>11212</v>
      </c>
      <c r="H2310" s="1" t="s">
        <v>11213</v>
      </c>
      <c r="I2310" s="1">
        <v>35312.0</v>
      </c>
      <c r="J2310" s="1" t="s">
        <v>11214</v>
      </c>
      <c r="K2310" s="1" t="s">
        <v>11215</v>
      </c>
      <c r="L2310" s="1">
        <v>267.0</v>
      </c>
      <c r="M2310" s="1" t="s">
        <v>35</v>
      </c>
      <c r="N2310" s="1" t="s">
        <v>36</v>
      </c>
      <c r="O2310" s="1" t="s">
        <v>628</v>
      </c>
      <c r="P2310" s="1">
        <v>1.6E7</v>
      </c>
      <c r="Q2310" s="1">
        <v>1999.0</v>
      </c>
      <c r="R2310" s="1">
        <v>23000.0</v>
      </c>
      <c r="S2310" s="1">
        <v>255.0</v>
      </c>
      <c r="T2310" s="1">
        <v>35.0</v>
      </c>
      <c r="U2310" s="1">
        <v>23369.0</v>
      </c>
      <c r="V2310" s="1">
        <v>48.0</v>
      </c>
      <c r="W2310" s="1">
        <v>0.0</v>
      </c>
      <c r="X2310" s="1">
        <v>0.0</v>
      </c>
      <c r="Y2310" s="1">
        <v>1.85</v>
      </c>
      <c r="Z2310" s="1">
        <v>6.4</v>
      </c>
    </row>
    <row r="2311" ht="14.25" customHeight="1">
      <c r="A2311" s="1" t="s">
        <v>710</v>
      </c>
      <c r="B2311" s="1" t="s">
        <v>11216</v>
      </c>
      <c r="C2311" s="1" t="s">
        <v>11217</v>
      </c>
      <c r="D2311" s="1">
        <v>4.4667095E7</v>
      </c>
      <c r="E2311" s="1" t="s">
        <v>1359</v>
      </c>
      <c r="F2311" s="1" t="s">
        <v>5824</v>
      </c>
      <c r="G2311" s="1" t="s">
        <v>7436</v>
      </c>
      <c r="H2311" s="1" t="s">
        <v>6602</v>
      </c>
      <c r="I2311" s="1">
        <v>190030.0</v>
      </c>
      <c r="J2311" s="1" t="s">
        <v>11218</v>
      </c>
      <c r="K2311" s="1" t="s">
        <v>11219</v>
      </c>
      <c r="L2311" s="1">
        <v>583.0</v>
      </c>
      <c r="M2311" s="1" t="s">
        <v>35</v>
      </c>
      <c r="N2311" s="1" t="s">
        <v>1832</v>
      </c>
      <c r="O2311" s="1" t="s">
        <v>37</v>
      </c>
      <c r="P2311" s="1">
        <v>1.5E7</v>
      </c>
      <c r="Q2311" s="1">
        <v>2011.0</v>
      </c>
      <c r="R2311" s="1">
        <v>996.0</v>
      </c>
      <c r="S2311" s="1">
        <v>897.0</v>
      </c>
      <c r="T2311" s="1">
        <v>628.0</v>
      </c>
      <c r="U2311" s="1">
        <v>4606.0</v>
      </c>
      <c r="V2311" s="1">
        <v>405.0</v>
      </c>
      <c r="W2311" s="1">
        <v>30000.0</v>
      </c>
      <c r="X2311" s="1">
        <v>0.0</v>
      </c>
      <c r="Y2311" s="1">
        <v>1.33</v>
      </c>
      <c r="Z2311" s="1">
        <v>8.0</v>
      </c>
    </row>
    <row r="2312" ht="14.25" customHeight="1">
      <c r="A2312" s="1" t="s">
        <v>26</v>
      </c>
      <c r="B2312" s="1" t="s">
        <v>3558</v>
      </c>
      <c r="C2312" s="1" t="s">
        <v>11220</v>
      </c>
      <c r="D2312" s="1">
        <v>4.2638165E7</v>
      </c>
      <c r="E2312" s="1" t="s">
        <v>2013</v>
      </c>
      <c r="F2312" s="1" t="s">
        <v>425</v>
      </c>
      <c r="G2312" s="1" t="s">
        <v>6511</v>
      </c>
      <c r="H2312" s="1" t="s">
        <v>11221</v>
      </c>
      <c r="I2312" s="1">
        <v>42182.0</v>
      </c>
      <c r="J2312" s="1" t="s">
        <v>11222</v>
      </c>
      <c r="K2312" s="1" t="s">
        <v>11223</v>
      </c>
      <c r="L2312" s="1">
        <v>230.0</v>
      </c>
      <c r="M2312" s="1" t="s">
        <v>35</v>
      </c>
      <c r="N2312" s="1" t="s">
        <v>36</v>
      </c>
      <c r="O2312" s="1" t="s">
        <v>37</v>
      </c>
      <c r="P2312" s="1">
        <v>1.6E7</v>
      </c>
      <c r="Q2312" s="1">
        <v>2009.0</v>
      </c>
      <c r="R2312" s="1">
        <v>10000.0</v>
      </c>
      <c r="S2312" s="1">
        <v>787.0</v>
      </c>
      <c r="T2312" s="1">
        <v>389.0</v>
      </c>
      <c r="U2312" s="1">
        <v>12183.0</v>
      </c>
      <c r="V2312" s="1">
        <v>687.0</v>
      </c>
      <c r="W2312" s="1">
        <v>0.0</v>
      </c>
      <c r="X2312" s="1">
        <v>1.0</v>
      </c>
      <c r="Y2312" s="1">
        <v>2.35</v>
      </c>
      <c r="Z2312" s="1">
        <v>4.8</v>
      </c>
    </row>
    <row r="2313" ht="14.25" customHeight="1">
      <c r="A2313" s="1" t="s">
        <v>26</v>
      </c>
      <c r="B2313" s="1" t="s">
        <v>5083</v>
      </c>
      <c r="C2313" s="1" t="s">
        <v>11224</v>
      </c>
      <c r="D2313" s="1">
        <v>4.5507053E7</v>
      </c>
      <c r="E2313" s="1" t="s">
        <v>10435</v>
      </c>
      <c r="F2313" s="1" t="s">
        <v>941</v>
      </c>
      <c r="G2313" s="1" t="s">
        <v>534</v>
      </c>
      <c r="H2313" s="1" t="s">
        <v>3183</v>
      </c>
      <c r="I2313" s="1">
        <v>237848.0</v>
      </c>
      <c r="J2313" s="1" t="s">
        <v>11225</v>
      </c>
      <c r="K2313" s="1" t="s">
        <v>11226</v>
      </c>
      <c r="L2313" s="1">
        <v>377.0</v>
      </c>
      <c r="M2313" s="1" t="s">
        <v>35</v>
      </c>
      <c r="N2313" s="1" t="s">
        <v>36</v>
      </c>
      <c r="O2313" s="1" t="s">
        <v>37</v>
      </c>
      <c r="P2313" s="1">
        <v>1.6E7</v>
      </c>
      <c r="Q2313" s="1">
        <v>2012.0</v>
      </c>
      <c r="R2313" s="1">
        <v>13000.0</v>
      </c>
      <c r="S2313" s="1">
        <v>13000.0</v>
      </c>
      <c r="T2313" s="1">
        <v>559.0</v>
      </c>
      <c r="U2313" s="1">
        <v>27911.0</v>
      </c>
      <c r="V2313" s="1">
        <v>0.0</v>
      </c>
      <c r="W2313" s="1">
        <v>71000.0</v>
      </c>
      <c r="X2313" s="1">
        <v>2.0</v>
      </c>
      <c r="Y2313" s="1">
        <v>1.85</v>
      </c>
      <c r="Z2313" s="1">
        <v>7.8</v>
      </c>
    </row>
    <row r="2314" ht="14.25" customHeight="1">
      <c r="A2314" s="1" t="s">
        <v>26</v>
      </c>
      <c r="B2314" s="1" t="s">
        <v>839</v>
      </c>
      <c r="C2314" s="1" t="s">
        <v>11227</v>
      </c>
      <c r="D2314" s="1">
        <v>3.9511038E7</v>
      </c>
      <c r="E2314" s="1" t="s">
        <v>6019</v>
      </c>
      <c r="F2314" s="1" t="s">
        <v>4140</v>
      </c>
      <c r="G2314" s="1" t="s">
        <v>645</v>
      </c>
      <c r="H2314" s="1" t="s">
        <v>8492</v>
      </c>
      <c r="I2314" s="1">
        <v>56269.0</v>
      </c>
      <c r="J2314" s="1" t="s">
        <v>11228</v>
      </c>
      <c r="K2314" s="1" t="s">
        <v>11229</v>
      </c>
      <c r="L2314" s="1">
        <v>366.0</v>
      </c>
      <c r="M2314" s="1" t="s">
        <v>35</v>
      </c>
      <c r="N2314" s="1" t="s">
        <v>36</v>
      </c>
      <c r="O2314" s="1" t="s">
        <v>628</v>
      </c>
      <c r="P2314" s="1">
        <v>1.6E7</v>
      </c>
      <c r="Q2314" s="1">
        <v>2006.0</v>
      </c>
      <c r="R2314" s="1">
        <v>20000.0</v>
      </c>
      <c r="S2314" s="1">
        <v>4000.0</v>
      </c>
      <c r="T2314" s="1">
        <v>597.0</v>
      </c>
      <c r="U2314" s="1">
        <v>26402.0</v>
      </c>
      <c r="V2314" s="1">
        <v>473.0</v>
      </c>
      <c r="W2314" s="1">
        <v>0.0</v>
      </c>
      <c r="X2314" s="1">
        <v>0.0</v>
      </c>
      <c r="Y2314" s="1">
        <v>1.85</v>
      </c>
      <c r="Z2314" s="1">
        <v>5.9</v>
      </c>
    </row>
    <row r="2315" ht="14.25" customHeight="1">
      <c r="A2315" s="1" t="s">
        <v>26</v>
      </c>
      <c r="B2315" s="1" t="s">
        <v>11230</v>
      </c>
      <c r="C2315" s="1" t="s">
        <v>11231</v>
      </c>
      <c r="D2315" s="1">
        <v>6462576.0</v>
      </c>
      <c r="E2315" s="1" t="s">
        <v>3238</v>
      </c>
      <c r="F2315" s="1" t="s">
        <v>1259</v>
      </c>
      <c r="G2315" s="1" t="s">
        <v>11232</v>
      </c>
      <c r="H2315" s="1" t="s">
        <v>11233</v>
      </c>
      <c r="I2315" s="1">
        <v>1449.0</v>
      </c>
      <c r="J2315" s="1" t="s">
        <v>11234</v>
      </c>
      <c r="K2315" s="1" t="s">
        <v>11235</v>
      </c>
      <c r="L2315" s="1">
        <v>30.0</v>
      </c>
      <c r="M2315" s="1" t="s">
        <v>35</v>
      </c>
      <c r="N2315" s="1" t="s">
        <v>36</v>
      </c>
      <c r="O2315" s="1" t="s">
        <v>37</v>
      </c>
      <c r="P2315" s="1">
        <v>1.85E7</v>
      </c>
      <c r="Q2315" s="1">
        <v>2016.0</v>
      </c>
      <c r="R2315" s="1">
        <v>241.0</v>
      </c>
      <c r="S2315" s="1">
        <v>118.0</v>
      </c>
      <c r="T2315" s="1">
        <v>107.0</v>
      </c>
      <c r="U2315" s="1">
        <v>824.0</v>
      </c>
      <c r="V2315" s="1">
        <v>19.0</v>
      </c>
      <c r="W2315" s="1">
        <v>0.0</v>
      </c>
      <c r="X2315" s="1">
        <v>0.0</v>
      </c>
      <c r="Y2315" s="1">
        <v>2.35</v>
      </c>
      <c r="Z2315" s="1">
        <v>5.4</v>
      </c>
    </row>
    <row r="2316" ht="14.25" customHeight="1">
      <c r="A2316" s="1" t="s">
        <v>26</v>
      </c>
      <c r="B2316" s="1" t="s">
        <v>11236</v>
      </c>
      <c r="C2316" s="1" t="s">
        <v>11237</v>
      </c>
      <c r="D2316" s="1">
        <v>4.036353E7</v>
      </c>
      <c r="E2316" s="1" t="s">
        <v>2904</v>
      </c>
      <c r="F2316" s="1" t="s">
        <v>4878</v>
      </c>
      <c r="G2316" s="1" t="s">
        <v>6779</v>
      </c>
      <c r="H2316" s="1" t="s">
        <v>6472</v>
      </c>
      <c r="I2316" s="1">
        <v>18254.0</v>
      </c>
      <c r="J2316" s="1" t="s">
        <v>11238</v>
      </c>
      <c r="K2316" s="1" t="s">
        <v>11239</v>
      </c>
      <c r="L2316" s="1">
        <v>307.0</v>
      </c>
      <c r="M2316" s="1" t="s">
        <v>35</v>
      </c>
      <c r="N2316" s="1" t="s">
        <v>36</v>
      </c>
      <c r="O2316" s="1" t="s">
        <v>87</v>
      </c>
      <c r="P2316" s="1">
        <v>1.6E7</v>
      </c>
      <c r="Q2316" s="1">
        <v>2002.0</v>
      </c>
      <c r="R2316" s="1">
        <v>911.0</v>
      </c>
      <c r="S2316" s="1">
        <v>521.0</v>
      </c>
      <c r="T2316" s="1">
        <v>499.0</v>
      </c>
      <c r="U2316" s="1">
        <v>3058.0</v>
      </c>
      <c r="V2316" s="1">
        <v>11.0</v>
      </c>
      <c r="W2316" s="1">
        <v>1000.0</v>
      </c>
      <c r="X2316" s="1">
        <v>2.0</v>
      </c>
      <c r="Y2316" s="1">
        <v>1.85</v>
      </c>
      <c r="Z2316" s="1">
        <v>3.3</v>
      </c>
    </row>
    <row r="2317" ht="14.25" customHeight="1">
      <c r="A2317" s="1" t="s">
        <v>26</v>
      </c>
      <c r="B2317" s="1" t="s">
        <v>370</v>
      </c>
      <c r="C2317" s="1" t="s">
        <v>11240</v>
      </c>
      <c r="D2317" s="1">
        <v>3.7623143E7</v>
      </c>
      <c r="E2317" s="1" t="s">
        <v>11241</v>
      </c>
      <c r="F2317" s="1" t="s">
        <v>11242</v>
      </c>
      <c r="G2317" s="1" t="s">
        <v>11243</v>
      </c>
      <c r="H2317" s="1" t="s">
        <v>11244</v>
      </c>
      <c r="I2317" s="1">
        <v>467234.0</v>
      </c>
      <c r="J2317" s="1" t="s">
        <v>11245</v>
      </c>
      <c r="K2317" s="1" t="s">
        <v>11246</v>
      </c>
      <c r="L2317" s="1">
        <v>1083.0</v>
      </c>
      <c r="M2317" s="1" t="s">
        <v>2648</v>
      </c>
      <c r="N2317" s="1" t="s">
        <v>3393</v>
      </c>
      <c r="O2317" s="1" t="s">
        <v>628</v>
      </c>
      <c r="P2317" s="1">
        <v>1.35E7</v>
      </c>
      <c r="Q2317" s="1">
        <v>2006.0</v>
      </c>
      <c r="R2317" s="1">
        <v>634.0</v>
      </c>
      <c r="S2317" s="1">
        <v>269.0</v>
      </c>
      <c r="T2317" s="1">
        <v>250.0</v>
      </c>
      <c r="U2317" s="1">
        <v>1322.0</v>
      </c>
      <c r="V2317" s="1">
        <v>0.0</v>
      </c>
      <c r="W2317" s="1">
        <v>27000.0</v>
      </c>
      <c r="X2317" s="1">
        <v>0.0</v>
      </c>
      <c r="Y2317" s="1">
        <v>1.85</v>
      </c>
      <c r="Z2317" s="1">
        <v>8.2</v>
      </c>
    </row>
    <row r="2318" ht="14.25" customHeight="1">
      <c r="A2318" s="1" t="s">
        <v>26</v>
      </c>
      <c r="B2318" s="1" t="s">
        <v>5997</v>
      </c>
      <c r="C2318" s="1" t="s">
        <v>11247</v>
      </c>
      <c r="D2318" s="1">
        <v>3.3357476E7</v>
      </c>
      <c r="E2318" s="1" t="s">
        <v>11248</v>
      </c>
      <c r="F2318" s="1" t="s">
        <v>2600</v>
      </c>
      <c r="G2318" s="1" t="s">
        <v>9518</v>
      </c>
      <c r="H2318" s="1" t="s">
        <v>7184</v>
      </c>
      <c r="I2318" s="1">
        <v>7392.0</v>
      </c>
      <c r="J2318" s="1" t="s">
        <v>11249</v>
      </c>
      <c r="K2318" s="1" t="s">
        <v>11250</v>
      </c>
      <c r="L2318" s="1">
        <v>53.0</v>
      </c>
      <c r="M2318" s="1" t="s">
        <v>35</v>
      </c>
      <c r="N2318" s="1" t="s">
        <v>36</v>
      </c>
      <c r="O2318" s="1" t="s">
        <v>87</v>
      </c>
      <c r="P2318" s="1">
        <v>3.5E7</v>
      </c>
      <c r="Q2318" s="1">
        <v>2001.0</v>
      </c>
      <c r="R2318" s="1">
        <v>1000.0</v>
      </c>
      <c r="S2318" s="1">
        <v>1000.0</v>
      </c>
      <c r="T2318" s="1">
        <v>635.0</v>
      </c>
      <c r="U2318" s="1">
        <v>4194.0</v>
      </c>
      <c r="V2318" s="1">
        <v>14.0</v>
      </c>
      <c r="W2318" s="1">
        <v>393.0</v>
      </c>
      <c r="X2318" s="1">
        <v>0.0</v>
      </c>
      <c r="Y2318" s="1">
        <v>1.85</v>
      </c>
      <c r="Z2318" s="1">
        <v>5.4</v>
      </c>
    </row>
    <row r="2319" ht="14.25" customHeight="1">
      <c r="A2319" s="1" t="s">
        <v>710</v>
      </c>
      <c r="B2319" s="1" t="s">
        <v>2793</v>
      </c>
      <c r="C2319" s="1" t="s">
        <v>11251</v>
      </c>
      <c r="D2319" s="1">
        <v>2.8734552E7</v>
      </c>
      <c r="E2319" s="1" t="s">
        <v>4987</v>
      </c>
      <c r="F2319" s="1" t="s">
        <v>5151</v>
      </c>
      <c r="G2319" s="1" t="s">
        <v>1096</v>
      </c>
      <c r="H2319" s="1" t="s">
        <v>11252</v>
      </c>
      <c r="I2319" s="1">
        <v>9566.0</v>
      </c>
      <c r="J2319" s="1" t="s">
        <v>11253</v>
      </c>
      <c r="K2319" s="1" t="s">
        <v>11254</v>
      </c>
      <c r="L2319" s="1">
        <v>81.0</v>
      </c>
      <c r="M2319" s="1" t="s">
        <v>35</v>
      </c>
      <c r="N2319" s="1" t="s">
        <v>36</v>
      </c>
      <c r="O2319" s="1" t="s">
        <v>628</v>
      </c>
      <c r="P2319" s="1">
        <v>1.6E7</v>
      </c>
      <c r="Q2319" s="1">
        <v>2001.0</v>
      </c>
      <c r="R2319" s="1">
        <v>939.0</v>
      </c>
      <c r="S2319" s="1">
        <v>881.0</v>
      </c>
      <c r="T2319" s="1">
        <v>522.0</v>
      </c>
      <c r="U2319" s="1">
        <v>3107.0</v>
      </c>
      <c r="V2319" s="1">
        <v>309.0</v>
      </c>
      <c r="W2319" s="1">
        <v>1000.0</v>
      </c>
      <c r="X2319" s="1">
        <v>2.0</v>
      </c>
      <c r="Y2319" s="1">
        <v>1.85</v>
      </c>
      <c r="Z2319" s="1">
        <v>6.4</v>
      </c>
    </row>
    <row r="2320" ht="14.25" customHeight="1">
      <c r="A2320" s="1" t="s">
        <v>26</v>
      </c>
      <c r="B2320" s="1" t="s">
        <v>11255</v>
      </c>
      <c r="C2320" s="1" t="s">
        <v>11256</v>
      </c>
      <c r="D2320" s="1">
        <v>3.7300107E7</v>
      </c>
      <c r="E2320" s="1" t="s">
        <v>4158</v>
      </c>
      <c r="F2320" s="1" t="s">
        <v>4272</v>
      </c>
      <c r="G2320" s="1" t="s">
        <v>6977</v>
      </c>
      <c r="H2320" s="1" t="s">
        <v>3058</v>
      </c>
      <c r="I2320" s="1">
        <v>29147.0</v>
      </c>
      <c r="J2320" s="1" t="s">
        <v>11257</v>
      </c>
      <c r="K2320" s="1" t="s">
        <v>11258</v>
      </c>
      <c r="L2320" s="1">
        <v>115.0</v>
      </c>
      <c r="M2320" s="1" t="s">
        <v>35</v>
      </c>
      <c r="N2320" s="1" t="s">
        <v>36</v>
      </c>
      <c r="O2320" s="1" t="s">
        <v>37</v>
      </c>
      <c r="P2320" s="1">
        <v>1.6E7</v>
      </c>
      <c r="Q2320" s="1">
        <v>2011.0</v>
      </c>
      <c r="R2320" s="1">
        <v>3000.0</v>
      </c>
      <c r="S2320" s="1">
        <v>1000.0</v>
      </c>
      <c r="T2320" s="1">
        <v>638.0</v>
      </c>
      <c r="U2320" s="1">
        <v>5349.0</v>
      </c>
      <c r="V2320" s="1">
        <v>26.0</v>
      </c>
      <c r="W2320" s="1">
        <v>0.0</v>
      </c>
      <c r="X2320" s="1">
        <v>1.0</v>
      </c>
      <c r="Y2320" s="1">
        <v>2.35</v>
      </c>
      <c r="Z2320" s="1">
        <v>4.8</v>
      </c>
    </row>
    <row r="2321" ht="14.25" customHeight="1">
      <c r="A2321" s="1" t="s">
        <v>26</v>
      </c>
      <c r="B2321" s="1" t="s">
        <v>6371</v>
      </c>
      <c r="C2321" s="1" t="s">
        <v>11259</v>
      </c>
      <c r="D2321" s="1">
        <v>2.7087695E7</v>
      </c>
      <c r="E2321" s="1" t="s">
        <v>5085</v>
      </c>
      <c r="F2321" s="1" t="s">
        <v>3682</v>
      </c>
      <c r="G2321" s="1" t="s">
        <v>4890</v>
      </c>
      <c r="H2321" s="1" t="s">
        <v>3779</v>
      </c>
      <c r="I2321" s="1">
        <v>41664.0</v>
      </c>
      <c r="J2321" s="1" t="s">
        <v>11260</v>
      </c>
      <c r="K2321" s="1" t="s">
        <v>11261</v>
      </c>
      <c r="L2321" s="1">
        <v>205.0</v>
      </c>
      <c r="M2321" s="1" t="s">
        <v>35</v>
      </c>
      <c r="N2321" s="1" t="s">
        <v>36</v>
      </c>
      <c r="O2321" s="1" t="s">
        <v>37</v>
      </c>
      <c r="P2321" s="1">
        <v>1.77E7</v>
      </c>
      <c r="Q2321" s="1">
        <v>2001.0</v>
      </c>
      <c r="R2321" s="1">
        <v>861.0</v>
      </c>
      <c r="S2321" s="1">
        <v>593.0</v>
      </c>
      <c r="T2321" s="1">
        <v>459.0</v>
      </c>
      <c r="U2321" s="1">
        <v>2543.0</v>
      </c>
      <c r="V2321" s="1">
        <v>29.0</v>
      </c>
      <c r="W2321" s="1">
        <v>0.0</v>
      </c>
      <c r="X2321" s="1">
        <v>0.0</v>
      </c>
      <c r="Y2321" s="1">
        <v>1.85</v>
      </c>
      <c r="Z2321" s="1">
        <v>5.9</v>
      </c>
    </row>
    <row r="2322" ht="14.25" customHeight="1">
      <c r="A2322" s="1" t="s">
        <v>26</v>
      </c>
      <c r="B2322" s="1" t="s">
        <v>11262</v>
      </c>
      <c r="C2322" s="1" t="s">
        <v>11263</v>
      </c>
      <c r="D2322" s="1">
        <v>3.0102717E7</v>
      </c>
      <c r="E2322" s="1" t="s">
        <v>4304</v>
      </c>
      <c r="F2322" s="1" t="s">
        <v>11264</v>
      </c>
      <c r="G2322" s="1" t="s">
        <v>11265</v>
      </c>
      <c r="H2322" s="1" t="s">
        <v>11266</v>
      </c>
      <c r="I2322" s="1">
        <v>28736.0</v>
      </c>
      <c r="J2322" s="1" t="s">
        <v>11267</v>
      </c>
      <c r="K2322" s="1" t="s">
        <v>11268</v>
      </c>
      <c r="L2322" s="1">
        <v>72.0</v>
      </c>
      <c r="M2322" s="1" t="s">
        <v>35</v>
      </c>
      <c r="N2322" s="1" t="s">
        <v>36</v>
      </c>
      <c r="O2322" s="1" t="s">
        <v>628</v>
      </c>
      <c r="P2322" s="1">
        <v>1.5E7</v>
      </c>
      <c r="Q2322" s="1">
        <v>1991.0</v>
      </c>
      <c r="R2322" s="1">
        <v>633.0</v>
      </c>
      <c r="S2322" s="1">
        <v>67.0</v>
      </c>
      <c r="T2322" s="1">
        <v>51.0</v>
      </c>
      <c r="U2322" s="1">
        <v>874.0</v>
      </c>
      <c r="V2322" s="1">
        <v>23.0</v>
      </c>
      <c r="W2322" s="1">
        <v>0.0</v>
      </c>
      <c r="X2322" s="1">
        <v>2.0</v>
      </c>
      <c r="Y2322" s="1">
        <v>1.85</v>
      </c>
      <c r="Z2322" s="1">
        <v>5.5</v>
      </c>
    </row>
    <row r="2323" ht="14.25" customHeight="1">
      <c r="A2323" s="1" t="s">
        <v>26</v>
      </c>
      <c r="B2323" s="1" t="s">
        <v>2354</v>
      </c>
      <c r="C2323" s="1" t="s">
        <v>11269</v>
      </c>
      <c r="D2323" s="1">
        <v>2.3618786E7</v>
      </c>
      <c r="E2323" s="1" t="s">
        <v>11270</v>
      </c>
      <c r="F2323" s="1" t="s">
        <v>7062</v>
      </c>
      <c r="G2323" s="1" t="s">
        <v>11271</v>
      </c>
      <c r="H2323" s="1" t="s">
        <v>11272</v>
      </c>
      <c r="I2323" s="1">
        <v>352695.0</v>
      </c>
      <c r="J2323" s="1" t="s">
        <v>11273</v>
      </c>
      <c r="K2323" s="1" t="s">
        <v>11274</v>
      </c>
      <c r="L2323" s="1">
        <v>687.0</v>
      </c>
      <c r="M2323" s="1" t="s">
        <v>35</v>
      </c>
      <c r="N2323" s="1" t="s">
        <v>54</v>
      </c>
      <c r="O2323" s="1" t="s">
        <v>628</v>
      </c>
      <c r="P2323" s="1">
        <v>8000000.0</v>
      </c>
      <c r="Q2323" s="1">
        <v>2007.0</v>
      </c>
      <c r="R2323" s="1">
        <v>175.0</v>
      </c>
      <c r="S2323" s="1">
        <v>115.0</v>
      </c>
      <c r="T2323" s="1">
        <v>108.0</v>
      </c>
      <c r="U2323" s="1">
        <v>485.0</v>
      </c>
      <c r="V2323" s="1">
        <v>1000.0</v>
      </c>
      <c r="W2323" s="1">
        <v>17000.0</v>
      </c>
      <c r="X2323" s="1">
        <v>1.0</v>
      </c>
      <c r="Y2323" s="1">
        <v>2.35</v>
      </c>
      <c r="Z2323" s="1">
        <v>7.9</v>
      </c>
    </row>
    <row r="2324" ht="14.25" customHeight="1">
      <c r="A2324" s="1" t="s">
        <v>26</v>
      </c>
      <c r="B2324" s="1" t="s">
        <v>11275</v>
      </c>
      <c r="C2324" s="1" t="s">
        <v>11276</v>
      </c>
      <c r="D2324" s="1">
        <v>2.6896744E7</v>
      </c>
      <c r="E2324" s="1" t="s">
        <v>2422</v>
      </c>
      <c r="F2324" s="1" t="s">
        <v>768</v>
      </c>
      <c r="G2324" s="1" t="s">
        <v>1754</v>
      </c>
      <c r="H2324" s="1" t="s">
        <v>2297</v>
      </c>
      <c r="I2324" s="1">
        <v>16582.0</v>
      </c>
      <c r="J2324" s="1" t="s">
        <v>11277</v>
      </c>
      <c r="K2324" s="1" t="s">
        <v>11278</v>
      </c>
      <c r="L2324" s="1">
        <v>125.0</v>
      </c>
      <c r="M2324" s="1" t="s">
        <v>35</v>
      </c>
      <c r="N2324" s="1" t="s">
        <v>36</v>
      </c>
      <c r="O2324" s="1" t="s">
        <v>37</v>
      </c>
      <c r="P2324" s="1">
        <v>1.65E7</v>
      </c>
      <c r="Q2324" s="1">
        <v>2008.0</v>
      </c>
      <c r="R2324" s="1">
        <v>851.0</v>
      </c>
      <c r="S2324" s="1">
        <v>680.0</v>
      </c>
      <c r="T2324" s="1">
        <v>650.0</v>
      </c>
      <c r="U2324" s="1">
        <v>3485.0</v>
      </c>
      <c r="V2324" s="1">
        <v>15.0</v>
      </c>
      <c r="W2324" s="1">
        <v>0.0</v>
      </c>
      <c r="X2324" s="1">
        <v>4.0</v>
      </c>
      <c r="Y2324" s="1">
        <v>1.85</v>
      </c>
      <c r="Z2324" s="1">
        <v>4.9</v>
      </c>
    </row>
    <row r="2325" ht="14.25" customHeight="1">
      <c r="A2325" s="1" t="s">
        <v>26</v>
      </c>
      <c r="B2325" s="1" t="s">
        <v>3797</v>
      </c>
      <c r="C2325" s="1" t="s">
        <v>11279</v>
      </c>
      <c r="D2325" s="1">
        <v>2.3213577E7</v>
      </c>
      <c r="E2325" s="1" t="s">
        <v>206</v>
      </c>
      <c r="F2325" s="1" t="s">
        <v>92</v>
      </c>
      <c r="G2325" s="1" t="s">
        <v>273</v>
      </c>
      <c r="H2325" s="1" t="s">
        <v>9175</v>
      </c>
      <c r="I2325" s="1">
        <v>198111.0</v>
      </c>
      <c r="J2325" s="1" t="s">
        <v>11280</v>
      </c>
      <c r="K2325" s="1" t="s">
        <v>11281</v>
      </c>
      <c r="L2325" s="1">
        <v>365.0</v>
      </c>
      <c r="M2325" s="1" t="s">
        <v>35</v>
      </c>
      <c r="N2325" s="1" t="s">
        <v>3393</v>
      </c>
      <c r="O2325" s="1" t="s">
        <v>37</v>
      </c>
      <c r="P2325" s="1">
        <v>1.55E7</v>
      </c>
      <c r="Q2325" s="1">
        <v>2008.0</v>
      </c>
      <c r="R2325" s="1">
        <v>19000.0</v>
      </c>
      <c r="S2325" s="1">
        <v>581.0</v>
      </c>
      <c r="T2325" s="1">
        <v>252.0</v>
      </c>
      <c r="U2325" s="1">
        <v>19894.0</v>
      </c>
      <c r="V2325" s="1">
        <v>11000.0</v>
      </c>
      <c r="W2325" s="1">
        <v>14000.0</v>
      </c>
      <c r="X2325" s="1">
        <v>0.0</v>
      </c>
      <c r="Y2325" s="1">
        <v>1.85</v>
      </c>
      <c r="Z2325" s="1">
        <v>7.2</v>
      </c>
    </row>
    <row r="2326" ht="14.25" customHeight="1">
      <c r="A2326" s="1" t="s">
        <v>26</v>
      </c>
      <c r="B2326" s="1" t="s">
        <v>11282</v>
      </c>
      <c r="C2326" s="1" t="s">
        <v>11283</v>
      </c>
      <c r="D2326" s="1">
        <v>2.0627372E7</v>
      </c>
      <c r="E2326" s="1" t="s">
        <v>1359</v>
      </c>
      <c r="F2326" s="1" t="s">
        <v>4347</v>
      </c>
      <c r="G2326" s="1" t="s">
        <v>4588</v>
      </c>
      <c r="H2326" s="1" t="s">
        <v>11284</v>
      </c>
      <c r="I2326" s="1">
        <v>13661.0</v>
      </c>
      <c r="J2326" s="1" t="s">
        <v>11285</v>
      </c>
      <c r="K2326" s="1" t="s">
        <v>11286</v>
      </c>
      <c r="L2326" s="1">
        <v>134.0</v>
      </c>
      <c r="M2326" s="1" t="s">
        <v>35</v>
      </c>
      <c r="N2326" s="1" t="s">
        <v>36</v>
      </c>
      <c r="O2326" s="1" t="s">
        <v>37</v>
      </c>
      <c r="P2326" s="1">
        <v>1.6E7</v>
      </c>
      <c r="Q2326" s="1">
        <v>2000.0</v>
      </c>
      <c r="R2326" s="1">
        <v>3000.0</v>
      </c>
      <c r="S2326" s="1">
        <v>240.0</v>
      </c>
      <c r="T2326" s="1">
        <v>95.0</v>
      </c>
      <c r="U2326" s="1">
        <v>3451.0</v>
      </c>
      <c r="V2326" s="1">
        <v>7.0</v>
      </c>
      <c r="W2326" s="1">
        <v>487.0</v>
      </c>
      <c r="X2326" s="1">
        <v>3.0</v>
      </c>
      <c r="Y2326" s="1">
        <v>1.85</v>
      </c>
      <c r="Z2326" s="1">
        <v>5.3</v>
      </c>
    </row>
    <row r="2327" ht="14.25" customHeight="1">
      <c r="A2327" s="1" t="s">
        <v>26</v>
      </c>
      <c r="B2327" s="1" t="s">
        <v>11287</v>
      </c>
      <c r="C2327" s="1" t="s">
        <v>11288</v>
      </c>
      <c r="D2327" s="1">
        <v>1.6346122E7</v>
      </c>
      <c r="E2327" s="1" t="s">
        <v>3238</v>
      </c>
      <c r="F2327" s="1" t="s">
        <v>3745</v>
      </c>
      <c r="G2327" s="1" t="s">
        <v>1969</v>
      </c>
      <c r="H2327" s="1" t="s">
        <v>11289</v>
      </c>
      <c r="I2327" s="1">
        <v>25549.0</v>
      </c>
      <c r="J2327" s="1" t="s">
        <v>11290</v>
      </c>
      <c r="K2327" s="1" t="s">
        <v>11291</v>
      </c>
      <c r="L2327" s="1">
        <v>171.0</v>
      </c>
      <c r="M2327" s="1" t="s">
        <v>35</v>
      </c>
      <c r="N2327" s="1" t="s">
        <v>36</v>
      </c>
      <c r="O2327" s="1" t="s">
        <v>37</v>
      </c>
      <c r="P2327" s="1">
        <v>1.6E7</v>
      </c>
      <c r="Q2327" s="1">
        <v>2002.0</v>
      </c>
      <c r="R2327" s="1">
        <v>835.0</v>
      </c>
      <c r="S2327" s="1">
        <v>787.0</v>
      </c>
      <c r="T2327" s="1">
        <v>450.0</v>
      </c>
      <c r="U2327" s="1">
        <v>2572.0</v>
      </c>
      <c r="V2327" s="1">
        <v>7.0</v>
      </c>
      <c r="W2327" s="1">
        <v>0.0</v>
      </c>
      <c r="X2327" s="1">
        <v>0.0</v>
      </c>
      <c r="Y2327" s="1">
        <v>1.85</v>
      </c>
      <c r="Z2327" s="1">
        <v>7.2</v>
      </c>
    </row>
    <row r="2328" ht="14.25" customHeight="1">
      <c r="A2328" s="1" t="s">
        <v>26</v>
      </c>
      <c r="B2328" s="1" t="s">
        <v>4519</v>
      </c>
      <c r="C2328" s="1" t="s">
        <v>11292</v>
      </c>
      <c r="D2328" s="1">
        <v>1.6204793E7</v>
      </c>
      <c r="E2328" s="1" t="s">
        <v>846</v>
      </c>
      <c r="F2328" s="1" t="s">
        <v>74</v>
      </c>
      <c r="G2328" s="1" t="s">
        <v>1150</v>
      </c>
      <c r="H2328" s="1" t="s">
        <v>11293</v>
      </c>
      <c r="I2328" s="1">
        <v>92712.0</v>
      </c>
      <c r="J2328" s="1" t="s">
        <v>11294</v>
      </c>
      <c r="K2328" s="1" t="s">
        <v>11295</v>
      </c>
      <c r="L2328" s="1">
        <v>294.0</v>
      </c>
      <c r="M2328" s="1" t="s">
        <v>35</v>
      </c>
      <c r="N2328" s="1" t="s">
        <v>36</v>
      </c>
      <c r="O2328" s="1" t="s">
        <v>628</v>
      </c>
      <c r="P2328" s="1">
        <v>1.6E7</v>
      </c>
      <c r="Q2328" s="1">
        <v>2009.0</v>
      </c>
      <c r="R2328" s="1">
        <v>24000.0</v>
      </c>
      <c r="S2328" s="1">
        <v>396.0</v>
      </c>
      <c r="T2328" s="1">
        <v>271.0</v>
      </c>
      <c r="U2328" s="1">
        <v>24805.0</v>
      </c>
      <c r="V2328" s="1">
        <v>45.0</v>
      </c>
      <c r="W2328" s="1">
        <v>6000.0</v>
      </c>
      <c r="X2328" s="1">
        <v>1.0</v>
      </c>
      <c r="Y2328" s="1">
        <v>1.85</v>
      </c>
      <c r="Z2328" s="1">
        <v>5.1</v>
      </c>
    </row>
    <row r="2329" ht="14.25" customHeight="1">
      <c r="A2329" s="1" t="s">
        <v>26</v>
      </c>
      <c r="B2329" s="1" t="s">
        <v>10271</v>
      </c>
      <c r="C2329" s="1" t="s">
        <v>11296</v>
      </c>
      <c r="D2329" s="1">
        <v>1.5427192E7</v>
      </c>
      <c r="E2329" s="1" t="s">
        <v>11297</v>
      </c>
      <c r="F2329" s="1" t="s">
        <v>1197</v>
      </c>
      <c r="G2329" s="1" t="s">
        <v>1651</v>
      </c>
      <c r="H2329" s="1" t="s">
        <v>11298</v>
      </c>
      <c r="I2329" s="1">
        <v>11768.0</v>
      </c>
      <c r="J2329" s="1" t="s">
        <v>11299</v>
      </c>
      <c r="K2329" s="1" t="s">
        <v>11300</v>
      </c>
      <c r="L2329" s="1">
        <v>148.0</v>
      </c>
      <c r="M2329" s="1" t="s">
        <v>35</v>
      </c>
      <c r="N2329" s="1" t="s">
        <v>36</v>
      </c>
      <c r="O2329" s="1" t="s">
        <v>37</v>
      </c>
      <c r="P2329" s="1">
        <v>1.6E7</v>
      </c>
      <c r="Q2329" s="1">
        <v>2000.0</v>
      </c>
      <c r="R2329" s="1">
        <v>8000.0</v>
      </c>
      <c r="S2329" s="1">
        <v>2000.0</v>
      </c>
      <c r="T2329" s="1">
        <v>324.0</v>
      </c>
      <c r="U2329" s="1">
        <v>11078.0</v>
      </c>
      <c r="V2329" s="1">
        <v>22.0</v>
      </c>
      <c r="W2329" s="1">
        <v>492.0</v>
      </c>
      <c r="X2329" s="1">
        <v>0.0</v>
      </c>
      <c r="Y2329" s="1">
        <v>1.85</v>
      </c>
      <c r="Z2329" s="1">
        <v>5.6</v>
      </c>
    </row>
    <row r="2330" ht="14.25" customHeight="1">
      <c r="A2330" s="1" t="s">
        <v>26</v>
      </c>
      <c r="B2330" s="1" t="s">
        <v>3797</v>
      </c>
      <c r="C2330" s="1" t="s">
        <v>11301</v>
      </c>
      <c r="D2330" s="1">
        <v>1.4792779E7</v>
      </c>
      <c r="E2330" s="1" t="s">
        <v>1885</v>
      </c>
      <c r="F2330" s="1" t="s">
        <v>3031</v>
      </c>
      <c r="G2330" s="1" t="s">
        <v>11302</v>
      </c>
      <c r="H2330" s="1" t="s">
        <v>2393</v>
      </c>
      <c r="I2330" s="1">
        <v>24256.0</v>
      </c>
      <c r="J2330" s="1" t="s">
        <v>11303</v>
      </c>
      <c r="K2330" s="1" t="s">
        <v>11304</v>
      </c>
      <c r="L2330" s="1">
        <v>91.0</v>
      </c>
      <c r="M2330" s="1" t="s">
        <v>35</v>
      </c>
      <c r="N2330" s="1" t="s">
        <v>36</v>
      </c>
      <c r="O2330" s="1" t="s">
        <v>87</v>
      </c>
      <c r="P2330" s="1">
        <v>1.6E7</v>
      </c>
      <c r="Q2330" s="1">
        <v>1987.0</v>
      </c>
      <c r="R2330" s="1">
        <v>854.0</v>
      </c>
      <c r="S2330" s="1">
        <v>410.0</v>
      </c>
      <c r="T2330" s="1">
        <v>233.0</v>
      </c>
      <c r="U2330" s="1">
        <v>1653.0</v>
      </c>
      <c r="V2330" s="1">
        <v>11000.0</v>
      </c>
      <c r="W2330" s="1">
        <v>0.0</v>
      </c>
      <c r="X2330" s="1">
        <v>0.0</v>
      </c>
      <c r="Y2330" s="1">
        <v>1.85</v>
      </c>
      <c r="Z2330" s="1">
        <v>7.6</v>
      </c>
    </row>
    <row r="2331" ht="14.25" customHeight="1">
      <c r="A2331" s="1" t="s">
        <v>26</v>
      </c>
      <c r="B2331" s="1" t="s">
        <v>10679</v>
      </c>
      <c r="C2331" s="1" t="s">
        <v>10680</v>
      </c>
      <c r="D2331" s="1">
        <v>1.3998282E7</v>
      </c>
      <c r="E2331" s="1" t="s">
        <v>10681</v>
      </c>
      <c r="F2331" s="1" t="s">
        <v>668</v>
      </c>
      <c r="G2331" s="1" t="s">
        <v>5868</v>
      </c>
      <c r="H2331" s="1" t="s">
        <v>6815</v>
      </c>
      <c r="I2331" s="1">
        <v>24854.0</v>
      </c>
      <c r="J2331" s="1" t="s">
        <v>10682</v>
      </c>
      <c r="K2331" s="1" t="s">
        <v>10683</v>
      </c>
      <c r="L2331" s="1">
        <v>374.0</v>
      </c>
      <c r="M2331" s="1" t="s">
        <v>35</v>
      </c>
      <c r="N2331" s="1" t="s">
        <v>36</v>
      </c>
      <c r="O2331" s="1" t="s">
        <v>37</v>
      </c>
      <c r="P2331" s="1">
        <v>1.6E7</v>
      </c>
      <c r="Q2331" s="1">
        <v>2014.0</v>
      </c>
      <c r="R2331" s="1">
        <v>12000.0</v>
      </c>
      <c r="S2331" s="1">
        <v>1000.0</v>
      </c>
      <c r="T2331" s="1">
        <v>734.0</v>
      </c>
      <c r="U2331" s="1">
        <v>15044.0</v>
      </c>
      <c r="V2331" s="1">
        <v>179.0</v>
      </c>
      <c r="W2331" s="1">
        <v>31000.0</v>
      </c>
      <c r="X2331" s="1">
        <v>1.0</v>
      </c>
      <c r="Y2331" s="1">
        <v>2.35</v>
      </c>
      <c r="Z2331" s="1">
        <v>3.1</v>
      </c>
    </row>
    <row r="2332" ht="14.25" customHeight="1">
      <c r="A2332" s="1" t="s">
        <v>26</v>
      </c>
      <c r="B2332" s="1" t="s">
        <v>11305</v>
      </c>
      <c r="C2332" s="1" t="s">
        <v>11306</v>
      </c>
      <c r="D2332" s="1">
        <v>1.9057024E7</v>
      </c>
      <c r="E2332" s="1" t="s">
        <v>206</v>
      </c>
      <c r="F2332" s="1" t="s">
        <v>732</v>
      </c>
      <c r="G2332" s="1" t="s">
        <v>3001</v>
      </c>
      <c r="H2332" s="1" t="s">
        <v>11307</v>
      </c>
      <c r="I2332" s="1">
        <v>113963.0</v>
      </c>
      <c r="J2332" s="1" t="s">
        <v>11308</v>
      </c>
      <c r="K2332" s="1" t="s">
        <v>11309</v>
      </c>
      <c r="L2332" s="1">
        <v>361.0</v>
      </c>
      <c r="M2332" s="1" t="s">
        <v>35</v>
      </c>
      <c r="N2332" s="1" t="s">
        <v>36</v>
      </c>
      <c r="O2332" s="1" t="s">
        <v>37</v>
      </c>
      <c r="P2332" s="1">
        <v>1.6E7</v>
      </c>
      <c r="Q2332" s="1">
        <v>2010.0</v>
      </c>
      <c r="R2332" s="1">
        <v>21000.0</v>
      </c>
      <c r="S2332" s="1">
        <v>541.0</v>
      </c>
      <c r="T2332" s="1">
        <v>238.0</v>
      </c>
      <c r="U2332" s="1">
        <v>22088.0</v>
      </c>
      <c r="V2332" s="1">
        <v>47.0</v>
      </c>
      <c r="W2332" s="1">
        <v>24000.0</v>
      </c>
      <c r="X2332" s="1">
        <v>0.0</v>
      </c>
      <c r="Y2332" s="1">
        <v>1.85</v>
      </c>
      <c r="Z2332" s="1">
        <v>7.2</v>
      </c>
    </row>
    <row r="2333" ht="14.25" customHeight="1">
      <c r="A2333" s="1" t="s">
        <v>26</v>
      </c>
      <c r="B2333" s="1" t="s">
        <v>11310</v>
      </c>
      <c r="C2333" s="1" t="s">
        <v>11311</v>
      </c>
      <c r="D2333" s="1">
        <v>1.4108518E7</v>
      </c>
      <c r="E2333" s="1" t="s">
        <v>1359</v>
      </c>
      <c r="F2333" s="1" t="s">
        <v>4388</v>
      </c>
      <c r="G2333" s="1" t="s">
        <v>11312</v>
      </c>
      <c r="H2333" s="1" t="s">
        <v>11313</v>
      </c>
      <c r="I2333" s="1">
        <v>8215.0</v>
      </c>
      <c r="J2333" s="1" t="s">
        <v>11314</v>
      </c>
      <c r="K2333" s="1" t="s">
        <v>11315</v>
      </c>
      <c r="L2333" s="1">
        <v>95.0</v>
      </c>
      <c r="M2333" s="1" t="s">
        <v>35</v>
      </c>
      <c r="N2333" s="1" t="s">
        <v>36</v>
      </c>
      <c r="O2333" s="1" t="s">
        <v>37</v>
      </c>
      <c r="P2333" s="1">
        <v>1.6E7</v>
      </c>
      <c r="Q2333" s="1">
        <v>2003.0</v>
      </c>
      <c r="R2333" s="1">
        <v>812.0</v>
      </c>
      <c r="S2333" s="1">
        <v>326.0</v>
      </c>
      <c r="T2333" s="1">
        <v>258.0</v>
      </c>
      <c r="U2333" s="1">
        <v>1882.0</v>
      </c>
      <c r="V2333" s="1">
        <v>6.0</v>
      </c>
      <c r="W2333" s="1">
        <v>371.0</v>
      </c>
      <c r="X2333" s="1">
        <v>1.0</v>
      </c>
      <c r="Y2333" s="1">
        <v>1.85</v>
      </c>
      <c r="Z2333" s="1">
        <v>5.7</v>
      </c>
    </row>
    <row r="2334" ht="14.25" customHeight="1">
      <c r="A2334" s="1" t="s">
        <v>26</v>
      </c>
      <c r="B2334" s="1" t="s">
        <v>9165</v>
      </c>
      <c r="C2334" s="1" t="s">
        <v>11316</v>
      </c>
      <c r="D2334" s="1">
        <v>1.3854E7</v>
      </c>
      <c r="E2334" s="1" t="s">
        <v>2370</v>
      </c>
      <c r="F2334" s="1" t="s">
        <v>1875</v>
      </c>
      <c r="G2334" s="1" t="s">
        <v>4347</v>
      </c>
      <c r="H2334" s="1" t="s">
        <v>9901</v>
      </c>
      <c r="I2334" s="1">
        <v>21079.0</v>
      </c>
      <c r="J2334" s="1" t="s">
        <v>11317</v>
      </c>
      <c r="K2334" s="1" t="s">
        <v>11318</v>
      </c>
      <c r="L2334" s="1">
        <v>55.0</v>
      </c>
      <c r="M2334" s="1" t="s">
        <v>35</v>
      </c>
      <c r="N2334" s="1" t="s">
        <v>36</v>
      </c>
      <c r="O2334" s="1" t="s">
        <v>37</v>
      </c>
      <c r="P2334" s="1">
        <v>2.0E7</v>
      </c>
      <c r="Q2334" s="1">
        <v>1988.0</v>
      </c>
      <c r="R2334" s="1">
        <v>11000.0</v>
      </c>
      <c r="S2334" s="1">
        <v>3000.0</v>
      </c>
      <c r="T2334" s="1">
        <v>384.0</v>
      </c>
      <c r="U2334" s="1">
        <v>14677.0</v>
      </c>
      <c r="V2334" s="1">
        <v>121.0</v>
      </c>
      <c r="W2334" s="1">
        <v>818.0</v>
      </c>
      <c r="X2334" s="1">
        <v>0.0</v>
      </c>
      <c r="Y2334" s="1">
        <v>1.85</v>
      </c>
      <c r="Z2334" s="1">
        <v>5.2</v>
      </c>
    </row>
    <row r="2335" ht="14.25" customHeight="1">
      <c r="A2335" s="1" t="s">
        <v>26</v>
      </c>
      <c r="B2335" s="1" t="s">
        <v>2610</v>
      </c>
      <c r="C2335" s="1" t="s">
        <v>11319</v>
      </c>
      <c r="D2335" s="1">
        <v>7.7324422E7</v>
      </c>
      <c r="E2335" s="1" t="s">
        <v>3238</v>
      </c>
      <c r="F2335" s="1" t="s">
        <v>1644</v>
      </c>
      <c r="G2335" s="1" t="s">
        <v>314</v>
      </c>
      <c r="H2335" s="1" t="s">
        <v>6407</v>
      </c>
      <c r="I2335" s="1">
        <v>178731.0</v>
      </c>
      <c r="J2335" s="1" t="s">
        <v>11320</v>
      </c>
      <c r="K2335" s="1" t="s">
        <v>11321</v>
      </c>
      <c r="L2335" s="1">
        <v>261.0</v>
      </c>
      <c r="M2335" s="1" t="s">
        <v>35</v>
      </c>
      <c r="N2335" s="1" t="s">
        <v>36</v>
      </c>
      <c r="O2335" s="1" t="s">
        <v>37</v>
      </c>
      <c r="P2335" s="1">
        <v>2.6E7</v>
      </c>
      <c r="Q2335" s="1">
        <v>1993.0</v>
      </c>
      <c r="R2335" s="1">
        <v>18000.0</v>
      </c>
      <c r="S2335" s="1">
        <v>15000.0</v>
      </c>
      <c r="T2335" s="1">
        <v>372.0</v>
      </c>
      <c r="U2335" s="1">
        <v>33865.0</v>
      </c>
      <c r="V2335" s="1">
        <v>438.0</v>
      </c>
      <c r="W2335" s="1">
        <v>0.0</v>
      </c>
      <c r="X2335" s="1">
        <v>2.0</v>
      </c>
      <c r="Y2335" s="1">
        <v>1.85</v>
      </c>
      <c r="Z2335" s="1">
        <v>7.7</v>
      </c>
    </row>
    <row r="2336" ht="14.25" customHeight="1">
      <c r="A2336" s="1" t="s">
        <v>26</v>
      </c>
      <c r="B2336" s="1" t="s">
        <v>11322</v>
      </c>
      <c r="C2336" s="1" t="s">
        <v>11323</v>
      </c>
      <c r="D2336" s="1">
        <v>1.55E7</v>
      </c>
      <c r="E2336" s="1" t="s">
        <v>4758</v>
      </c>
      <c r="F2336" s="1" t="s">
        <v>5262</v>
      </c>
      <c r="G2336" s="1" t="s">
        <v>3578</v>
      </c>
      <c r="H2336" s="1" t="s">
        <v>11324</v>
      </c>
      <c r="I2336" s="1">
        <v>51996.0</v>
      </c>
      <c r="J2336" s="1" t="s">
        <v>11325</v>
      </c>
      <c r="K2336" s="1" t="s">
        <v>11326</v>
      </c>
      <c r="L2336" s="1">
        <v>302.0</v>
      </c>
      <c r="M2336" s="1" t="s">
        <v>35</v>
      </c>
      <c r="N2336" s="1" t="s">
        <v>730</v>
      </c>
      <c r="O2336" s="1" t="s">
        <v>628</v>
      </c>
      <c r="P2336" s="1">
        <v>1.6E7</v>
      </c>
      <c r="Q2336" s="1">
        <v>1999.0</v>
      </c>
      <c r="R2336" s="1">
        <v>599.0</v>
      </c>
      <c r="S2336" s="1">
        <v>380.0</v>
      </c>
      <c r="T2336" s="1">
        <v>363.0</v>
      </c>
      <c r="U2336" s="1">
        <v>2389.0</v>
      </c>
      <c r="V2336" s="1">
        <v>9.0</v>
      </c>
      <c r="W2336" s="1">
        <v>0.0</v>
      </c>
      <c r="X2336" s="1">
        <v>0.0</v>
      </c>
      <c r="Y2336" s="1">
        <v>2.35</v>
      </c>
      <c r="Z2336" s="1">
        <v>7.0</v>
      </c>
    </row>
    <row r="2337" ht="14.25" customHeight="1">
      <c r="A2337" s="1" t="s">
        <v>26</v>
      </c>
      <c r="B2337" s="1" t="s">
        <v>11327</v>
      </c>
      <c r="C2337" s="1" t="s">
        <v>11328</v>
      </c>
      <c r="D2337" s="1">
        <v>4734235.0</v>
      </c>
      <c r="E2337" s="1" t="s">
        <v>8240</v>
      </c>
      <c r="F2337" s="1" t="s">
        <v>10201</v>
      </c>
      <c r="G2337" s="1" t="s">
        <v>3528</v>
      </c>
      <c r="H2337" s="1" t="s">
        <v>3038</v>
      </c>
      <c r="I2337" s="1">
        <v>8217.0</v>
      </c>
      <c r="J2337" s="1" t="s">
        <v>11329</v>
      </c>
      <c r="K2337" s="1" t="s">
        <v>11330</v>
      </c>
      <c r="L2337" s="1">
        <v>123.0</v>
      </c>
      <c r="M2337" s="1" t="s">
        <v>35</v>
      </c>
      <c r="N2337" s="1" t="s">
        <v>36</v>
      </c>
      <c r="O2337" s="1" t="s">
        <v>628</v>
      </c>
      <c r="P2337" s="1">
        <v>1.5E7</v>
      </c>
      <c r="Q2337" s="1">
        <v>2000.0</v>
      </c>
      <c r="R2337" s="1">
        <v>555.0</v>
      </c>
      <c r="S2337" s="1">
        <v>403.0</v>
      </c>
      <c r="T2337" s="1">
        <v>215.0</v>
      </c>
      <c r="U2337" s="1">
        <v>1227.0</v>
      </c>
      <c r="V2337" s="1">
        <v>28.0</v>
      </c>
      <c r="W2337" s="1">
        <v>573.0</v>
      </c>
      <c r="X2337" s="1">
        <v>0.0</v>
      </c>
      <c r="Y2337" s="1">
        <v>1.85</v>
      </c>
      <c r="Z2337" s="1">
        <v>6.0</v>
      </c>
    </row>
    <row r="2338" ht="14.25" customHeight="1">
      <c r="A2338" s="1" t="s">
        <v>26</v>
      </c>
      <c r="B2338" s="1" t="s">
        <v>3797</v>
      </c>
      <c r="C2338" s="1" t="s">
        <v>11331</v>
      </c>
      <c r="D2338" s="1">
        <v>4839383.0</v>
      </c>
      <c r="E2338" s="1" t="s">
        <v>1598</v>
      </c>
      <c r="F2338" s="1" t="s">
        <v>3797</v>
      </c>
      <c r="G2338" s="1" t="s">
        <v>2297</v>
      </c>
      <c r="H2338" s="1" t="s">
        <v>3994</v>
      </c>
      <c r="I2338" s="1">
        <v>21613.0</v>
      </c>
      <c r="J2338" s="1" t="s">
        <v>11332</v>
      </c>
      <c r="K2338" s="1" t="s">
        <v>11333</v>
      </c>
      <c r="L2338" s="1">
        <v>148.0</v>
      </c>
      <c r="M2338" s="1" t="s">
        <v>35</v>
      </c>
      <c r="N2338" s="1" t="s">
        <v>36</v>
      </c>
      <c r="O2338" s="1" t="s">
        <v>37</v>
      </c>
      <c r="P2338" s="1">
        <v>1.6E7</v>
      </c>
      <c r="Q2338" s="1">
        <v>2002.0</v>
      </c>
      <c r="R2338" s="1">
        <v>11000.0</v>
      </c>
      <c r="S2338" s="1">
        <v>650.0</v>
      </c>
      <c r="T2338" s="1">
        <v>642.0</v>
      </c>
      <c r="U2338" s="1">
        <v>12766.0</v>
      </c>
      <c r="V2338" s="1">
        <v>11000.0</v>
      </c>
      <c r="W2338" s="1">
        <v>762.0</v>
      </c>
      <c r="X2338" s="1">
        <v>0.0</v>
      </c>
      <c r="Y2338" s="1">
        <v>1.85</v>
      </c>
      <c r="Z2338" s="1">
        <v>6.6</v>
      </c>
    </row>
    <row r="2339" ht="14.25" customHeight="1">
      <c r="A2339" s="1" t="s">
        <v>26</v>
      </c>
      <c r="B2339" s="1" t="s">
        <v>11334</v>
      </c>
      <c r="C2339" s="1" t="s">
        <v>11335</v>
      </c>
      <c r="D2339" s="1">
        <v>4193025.0</v>
      </c>
      <c r="E2339" s="1" t="s">
        <v>7157</v>
      </c>
      <c r="F2339" s="1" t="s">
        <v>3561</v>
      </c>
      <c r="G2339" s="1" t="s">
        <v>6882</v>
      </c>
      <c r="H2339" s="1" t="s">
        <v>11336</v>
      </c>
      <c r="I2339" s="1">
        <v>30682.0</v>
      </c>
      <c r="J2339" s="1" t="s">
        <v>11337</v>
      </c>
      <c r="K2339" s="1" t="s">
        <v>11338</v>
      </c>
      <c r="L2339" s="1">
        <v>194.0</v>
      </c>
      <c r="M2339" s="1" t="s">
        <v>35</v>
      </c>
      <c r="N2339" s="1" t="s">
        <v>36</v>
      </c>
      <c r="O2339" s="1" t="s">
        <v>628</v>
      </c>
      <c r="P2339" s="1">
        <v>1.5E7</v>
      </c>
      <c r="Q2339" s="1">
        <v>1999.0</v>
      </c>
      <c r="R2339" s="1">
        <v>1000.0</v>
      </c>
      <c r="S2339" s="1">
        <v>852.0</v>
      </c>
      <c r="T2339" s="1">
        <v>322.0</v>
      </c>
      <c r="U2339" s="1">
        <v>2518.0</v>
      </c>
      <c r="V2339" s="1">
        <v>89.0</v>
      </c>
      <c r="W2339" s="1">
        <v>0.0</v>
      </c>
      <c r="X2339" s="1">
        <v>0.0</v>
      </c>
      <c r="Y2339" s="1">
        <v>2.35</v>
      </c>
      <c r="Z2339" s="1">
        <v>6.8</v>
      </c>
    </row>
    <row r="2340" ht="14.25" customHeight="1">
      <c r="A2340" s="1" t="s">
        <v>26</v>
      </c>
      <c r="B2340" s="1" t="s">
        <v>5471</v>
      </c>
      <c r="C2340" s="1" t="s">
        <v>11339</v>
      </c>
      <c r="D2340" s="1">
        <v>5900000.0</v>
      </c>
      <c r="E2340" s="1" t="s">
        <v>40</v>
      </c>
      <c r="F2340" s="1" t="s">
        <v>4288</v>
      </c>
      <c r="G2340" s="1" t="s">
        <v>11340</v>
      </c>
      <c r="H2340" s="1" t="s">
        <v>4982</v>
      </c>
      <c r="I2340" s="1">
        <v>98629.0</v>
      </c>
      <c r="J2340" s="1" t="s">
        <v>11341</v>
      </c>
      <c r="K2340" s="1" t="s">
        <v>11342</v>
      </c>
      <c r="L2340" s="1">
        <v>316.0</v>
      </c>
      <c r="M2340" s="1" t="s">
        <v>35</v>
      </c>
      <c r="N2340" s="1" t="s">
        <v>54</v>
      </c>
      <c r="O2340" s="1" t="s">
        <v>628</v>
      </c>
      <c r="P2340" s="1">
        <v>1.6E7</v>
      </c>
      <c r="Q2340" s="1">
        <v>1986.0</v>
      </c>
      <c r="R2340" s="1">
        <v>1000.0</v>
      </c>
      <c r="S2340" s="1">
        <v>309.0</v>
      </c>
      <c r="T2340" s="1">
        <v>186.0</v>
      </c>
      <c r="U2340" s="1">
        <v>1852.0</v>
      </c>
      <c r="V2340" s="1">
        <v>85.0</v>
      </c>
      <c r="W2340" s="1">
        <v>0.0</v>
      </c>
      <c r="X2340" s="1">
        <v>1.0</v>
      </c>
      <c r="Y2340" s="1">
        <v>1.85</v>
      </c>
      <c r="Z2340" s="1">
        <v>7.2</v>
      </c>
    </row>
    <row r="2341" ht="14.25" customHeight="1">
      <c r="A2341" s="1" t="s">
        <v>26</v>
      </c>
      <c r="B2341" s="1" t="s">
        <v>11343</v>
      </c>
      <c r="C2341" s="1" t="s">
        <v>11344</v>
      </c>
      <c r="D2341" s="1">
        <v>2849142.0</v>
      </c>
      <c r="E2341" s="1" t="s">
        <v>3238</v>
      </c>
      <c r="F2341" s="1" t="s">
        <v>3214</v>
      </c>
      <c r="G2341" s="1" t="s">
        <v>669</v>
      </c>
      <c r="H2341" s="1" t="s">
        <v>11345</v>
      </c>
      <c r="I2341" s="1">
        <v>24104.0</v>
      </c>
      <c r="J2341" s="1" t="s">
        <v>11346</v>
      </c>
      <c r="K2341" s="1" t="s">
        <v>11347</v>
      </c>
      <c r="L2341" s="1">
        <v>88.0</v>
      </c>
      <c r="M2341" s="1" t="s">
        <v>35</v>
      </c>
      <c r="N2341" s="1" t="s">
        <v>36</v>
      </c>
      <c r="O2341" s="1" t="s">
        <v>628</v>
      </c>
      <c r="P2341" s="1">
        <v>1.6E7</v>
      </c>
      <c r="Q2341" s="1">
        <v>2007.0</v>
      </c>
      <c r="R2341" s="1">
        <v>1000.0</v>
      </c>
      <c r="S2341" s="1">
        <v>418.0</v>
      </c>
      <c r="T2341" s="1">
        <v>295.0</v>
      </c>
      <c r="U2341" s="1">
        <v>1889.0</v>
      </c>
      <c r="V2341" s="1">
        <v>369.0</v>
      </c>
      <c r="W2341" s="1">
        <v>0.0</v>
      </c>
      <c r="X2341" s="1">
        <v>1.0</v>
      </c>
      <c r="Y2341" s="1">
        <v>2.35</v>
      </c>
      <c r="Z2341" s="1">
        <v>7.2</v>
      </c>
    </row>
    <row r="2342" ht="14.25" customHeight="1">
      <c r="A2342" s="1" t="s">
        <v>26</v>
      </c>
      <c r="B2342" s="1" t="s">
        <v>11348</v>
      </c>
      <c r="C2342" s="1" t="s">
        <v>11349</v>
      </c>
      <c r="D2342" s="1">
        <v>1686429.0</v>
      </c>
      <c r="E2342" s="1" t="s">
        <v>11350</v>
      </c>
      <c r="F2342" s="1" t="s">
        <v>2594</v>
      </c>
      <c r="G2342" s="1" t="s">
        <v>5863</v>
      </c>
      <c r="H2342" s="1" t="s">
        <v>4640</v>
      </c>
      <c r="I2342" s="1">
        <v>8687.0</v>
      </c>
      <c r="J2342" s="1" t="s">
        <v>11351</v>
      </c>
      <c r="K2342" s="1" t="s">
        <v>11352</v>
      </c>
      <c r="L2342" s="1">
        <v>62.0</v>
      </c>
      <c r="M2342" s="1" t="s">
        <v>35</v>
      </c>
      <c r="N2342" s="1" t="s">
        <v>36</v>
      </c>
      <c r="O2342" s="1" t="s">
        <v>37</v>
      </c>
      <c r="P2342" s="1">
        <v>1.6E7</v>
      </c>
      <c r="Q2342" s="1">
        <v>1997.0</v>
      </c>
      <c r="R2342" s="1">
        <v>503.0</v>
      </c>
      <c r="S2342" s="1">
        <v>489.0</v>
      </c>
      <c r="T2342" s="1">
        <v>465.0</v>
      </c>
      <c r="U2342" s="1">
        <v>3100.0</v>
      </c>
      <c r="V2342" s="1">
        <v>34.0</v>
      </c>
      <c r="W2342" s="1">
        <v>0.0</v>
      </c>
      <c r="X2342" s="1">
        <v>1.0</v>
      </c>
      <c r="Y2342" s="1">
        <v>1.85</v>
      </c>
      <c r="Z2342" s="1">
        <v>2.8</v>
      </c>
    </row>
    <row r="2343" ht="14.25" customHeight="1">
      <c r="A2343" s="1" t="s">
        <v>26</v>
      </c>
      <c r="B2343" s="1" t="s">
        <v>8337</v>
      </c>
      <c r="C2343" s="1" t="s">
        <v>11353</v>
      </c>
      <c r="D2343" s="1">
        <v>1984743.0</v>
      </c>
      <c r="E2343" s="1" t="s">
        <v>206</v>
      </c>
      <c r="F2343" s="1" t="s">
        <v>851</v>
      </c>
      <c r="G2343" s="1" t="s">
        <v>6603</v>
      </c>
      <c r="H2343" s="1" t="s">
        <v>11354</v>
      </c>
      <c r="I2343" s="1">
        <v>20616.0</v>
      </c>
      <c r="J2343" s="1" t="s">
        <v>11355</v>
      </c>
      <c r="K2343" s="1" t="s">
        <v>11356</v>
      </c>
      <c r="L2343" s="1">
        <v>70.0</v>
      </c>
      <c r="M2343" s="1" t="s">
        <v>35</v>
      </c>
      <c r="N2343" s="1" t="s">
        <v>36</v>
      </c>
      <c r="O2343" s="1" t="s">
        <v>628</v>
      </c>
      <c r="P2343" s="1">
        <v>1.6E7</v>
      </c>
      <c r="Q2343" s="1">
        <v>2013.0</v>
      </c>
      <c r="R2343" s="1">
        <v>10000.0</v>
      </c>
      <c r="S2343" s="1">
        <v>316.0</v>
      </c>
      <c r="T2343" s="1">
        <v>310.0</v>
      </c>
      <c r="U2343" s="1">
        <v>11019.0</v>
      </c>
      <c r="V2343" s="1">
        <v>115.0</v>
      </c>
      <c r="W2343" s="1">
        <v>0.0</v>
      </c>
      <c r="X2343" s="1">
        <v>3.0</v>
      </c>
      <c r="Y2343" s="1">
        <v>2.35</v>
      </c>
      <c r="Z2343" s="1">
        <v>6.6</v>
      </c>
    </row>
    <row r="2344" ht="14.25" customHeight="1">
      <c r="A2344" s="1" t="s">
        <v>26</v>
      </c>
      <c r="B2344" s="1" t="s">
        <v>11357</v>
      </c>
      <c r="C2344" s="1" t="s">
        <v>11358</v>
      </c>
      <c r="D2344" s="1">
        <v>1666262.0</v>
      </c>
      <c r="E2344" s="1" t="s">
        <v>1859</v>
      </c>
      <c r="F2344" s="1" t="s">
        <v>2429</v>
      </c>
      <c r="G2344" s="1" t="s">
        <v>4369</v>
      </c>
      <c r="H2344" s="1" t="s">
        <v>11359</v>
      </c>
      <c r="I2344" s="1">
        <v>5321.0</v>
      </c>
      <c r="J2344" s="1" t="s">
        <v>11360</v>
      </c>
      <c r="K2344" s="1" t="s">
        <v>11361</v>
      </c>
      <c r="L2344" s="1">
        <v>78.0</v>
      </c>
      <c r="M2344" s="1" t="s">
        <v>35</v>
      </c>
      <c r="N2344" s="1" t="s">
        <v>54</v>
      </c>
      <c r="O2344" s="1" t="s">
        <v>37</v>
      </c>
      <c r="P2344" s="1">
        <v>1.6E7</v>
      </c>
      <c r="Q2344" s="1">
        <v>2005.0</v>
      </c>
      <c r="R2344" s="1">
        <v>898.0</v>
      </c>
      <c r="S2344" s="1">
        <v>708.0</v>
      </c>
      <c r="T2344" s="1">
        <v>258.0</v>
      </c>
      <c r="U2344" s="1">
        <v>2096.0</v>
      </c>
      <c r="V2344" s="1">
        <v>133.0</v>
      </c>
      <c r="W2344" s="1">
        <v>356.0</v>
      </c>
      <c r="X2344" s="1">
        <v>0.0</v>
      </c>
      <c r="Y2344" s="1">
        <v>1.66</v>
      </c>
      <c r="Z2344" s="1">
        <v>6.7</v>
      </c>
    </row>
    <row r="2345" ht="14.25" customHeight="1">
      <c r="A2345" s="1" t="s">
        <v>26</v>
      </c>
      <c r="B2345" s="1" t="s">
        <v>5001</v>
      </c>
      <c r="C2345" s="1" t="s">
        <v>11362</v>
      </c>
      <c r="D2345" s="1">
        <v>2319187.0</v>
      </c>
      <c r="E2345" s="1" t="s">
        <v>2061</v>
      </c>
      <c r="F2345" s="1" t="s">
        <v>947</v>
      </c>
      <c r="G2345" s="1" t="s">
        <v>4287</v>
      </c>
      <c r="H2345" s="1" t="s">
        <v>11363</v>
      </c>
      <c r="I2345" s="1">
        <v>92640.0</v>
      </c>
      <c r="J2345" s="1" t="s">
        <v>11364</v>
      </c>
      <c r="K2345" s="1" t="s">
        <v>11365</v>
      </c>
      <c r="L2345" s="1">
        <v>212.0</v>
      </c>
      <c r="M2345" s="1" t="s">
        <v>35</v>
      </c>
      <c r="N2345" s="1" t="s">
        <v>54</v>
      </c>
      <c r="O2345" s="1" t="s">
        <v>628</v>
      </c>
      <c r="P2345" s="1">
        <v>2.0E7</v>
      </c>
      <c r="Q2345" s="1">
        <v>2013.0</v>
      </c>
      <c r="R2345" s="1">
        <v>3000.0</v>
      </c>
      <c r="S2345" s="1">
        <v>1000.0</v>
      </c>
      <c r="T2345" s="1">
        <v>888.0</v>
      </c>
      <c r="U2345" s="1">
        <v>5056.0</v>
      </c>
      <c r="V2345" s="1">
        <v>0.0</v>
      </c>
      <c r="W2345" s="1">
        <v>23000.0</v>
      </c>
      <c r="X2345" s="1">
        <v>0.0</v>
      </c>
      <c r="Y2345" s="1">
        <v>2.35</v>
      </c>
      <c r="Z2345" s="1">
        <v>7.0</v>
      </c>
    </row>
    <row r="2346" ht="14.25" customHeight="1">
      <c r="A2346" s="1" t="s">
        <v>26</v>
      </c>
      <c r="B2346" s="1" t="s">
        <v>11366</v>
      </c>
      <c r="C2346" s="1" t="s">
        <v>11367</v>
      </c>
      <c r="D2346" s="1">
        <v>1.3922211E7</v>
      </c>
      <c r="E2346" s="1" t="s">
        <v>1885</v>
      </c>
      <c r="F2346" s="1" t="s">
        <v>5151</v>
      </c>
      <c r="G2346" s="1" t="s">
        <v>1096</v>
      </c>
      <c r="H2346" s="1" t="s">
        <v>1653</v>
      </c>
      <c r="I2346" s="1">
        <v>18271.0</v>
      </c>
      <c r="J2346" s="1" t="s">
        <v>11368</v>
      </c>
      <c r="K2346" s="1" t="s">
        <v>11369</v>
      </c>
      <c r="L2346" s="1">
        <v>150.0</v>
      </c>
      <c r="M2346" s="1" t="s">
        <v>35</v>
      </c>
      <c r="N2346" s="1" t="s">
        <v>36</v>
      </c>
      <c r="O2346" s="1" t="s">
        <v>628</v>
      </c>
      <c r="P2346" s="1">
        <v>1.6E7</v>
      </c>
      <c r="Q2346" s="1">
        <v>2004.0</v>
      </c>
      <c r="R2346" s="1">
        <v>939.0</v>
      </c>
      <c r="S2346" s="1">
        <v>881.0</v>
      </c>
      <c r="T2346" s="1">
        <v>618.0</v>
      </c>
      <c r="U2346" s="1">
        <v>3935.0</v>
      </c>
      <c r="V2346" s="1">
        <v>29.0</v>
      </c>
      <c r="W2346" s="1">
        <v>0.0</v>
      </c>
      <c r="X2346" s="1">
        <v>9.0</v>
      </c>
      <c r="Y2346" s="1">
        <v>1.85</v>
      </c>
      <c r="Z2346" s="1">
        <v>4.4</v>
      </c>
    </row>
    <row r="2347" ht="14.25" customHeight="1">
      <c r="A2347" s="1" t="s">
        <v>26</v>
      </c>
      <c r="B2347" s="1" t="s">
        <v>11370</v>
      </c>
      <c r="C2347" s="1" t="s">
        <v>11371</v>
      </c>
      <c r="D2347" s="1">
        <v>23091.0</v>
      </c>
      <c r="E2347" s="1" t="s">
        <v>6860</v>
      </c>
      <c r="F2347" s="1" t="s">
        <v>2682</v>
      </c>
      <c r="G2347" s="1" t="s">
        <v>11372</v>
      </c>
      <c r="H2347" s="1" t="s">
        <v>6935</v>
      </c>
      <c r="I2347" s="1">
        <v>5664.0</v>
      </c>
      <c r="J2347" s="1" t="s">
        <v>11373</v>
      </c>
      <c r="K2347" s="1" t="s">
        <v>11374</v>
      </c>
      <c r="L2347" s="1">
        <v>42.0</v>
      </c>
      <c r="M2347" s="1" t="s">
        <v>35</v>
      </c>
      <c r="N2347" s="1" t="s">
        <v>54</v>
      </c>
      <c r="O2347" s="1" t="s">
        <v>628</v>
      </c>
      <c r="P2347" s="1">
        <v>1.5E7</v>
      </c>
      <c r="Q2347" s="1">
        <v>2008.0</v>
      </c>
      <c r="R2347" s="1">
        <v>10000.0</v>
      </c>
      <c r="S2347" s="1">
        <v>304.0</v>
      </c>
      <c r="T2347" s="1">
        <v>227.0</v>
      </c>
      <c r="U2347" s="1">
        <v>11091.0</v>
      </c>
      <c r="V2347" s="1">
        <v>6.0</v>
      </c>
      <c r="W2347" s="1">
        <v>921.0</v>
      </c>
      <c r="X2347" s="1">
        <v>1.0</v>
      </c>
      <c r="Y2347" s="1">
        <v>2.35</v>
      </c>
      <c r="Z2347" s="1">
        <v>6.2</v>
      </c>
    </row>
    <row r="2348" ht="14.25" customHeight="1">
      <c r="A2348" s="1" t="s">
        <v>26</v>
      </c>
      <c r="B2348" s="1" t="s">
        <v>11375</v>
      </c>
      <c r="C2348" s="1" t="s">
        <v>11376</v>
      </c>
      <c r="D2348" s="1">
        <v>336467.0</v>
      </c>
      <c r="E2348" s="1" t="s">
        <v>5030</v>
      </c>
      <c r="F2348" s="1" t="s">
        <v>11377</v>
      </c>
      <c r="G2348" s="1" t="s">
        <v>11378</v>
      </c>
      <c r="H2348" s="1" t="s">
        <v>1482</v>
      </c>
      <c r="I2348" s="1">
        <v>45449.0</v>
      </c>
      <c r="J2348" s="1" t="s">
        <v>11379</v>
      </c>
      <c r="K2348" s="1" t="s">
        <v>11380</v>
      </c>
      <c r="L2348" s="1">
        <v>192.0</v>
      </c>
      <c r="M2348" s="1" t="s">
        <v>35</v>
      </c>
      <c r="N2348" s="1" t="s">
        <v>1832</v>
      </c>
      <c r="O2348" s="1" t="s">
        <v>9252</v>
      </c>
      <c r="P2348" s="1">
        <v>1.3E7</v>
      </c>
      <c r="Q2348" s="1">
        <v>2009.0</v>
      </c>
      <c r="R2348" s="1">
        <v>488.0</v>
      </c>
      <c r="S2348" s="1">
        <v>289.0</v>
      </c>
      <c r="T2348" s="1">
        <v>116.0</v>
      </c>
      <c r="U2348" s="1">
        <v>943.0</v>
      </c>
      <c r="V2348" s="1">
        <v>929.0</v>
      </c>
      <c r="W2348" s="1">
        <v>23000.0</v>
      </c>
      <c r="X2348" s="1">
        <v>0.0</v>
      </c>
      <c r="Y2348" s="1">
        <v>2.35</v>
      </c>
      <c r="Z2348" s="1">
        <v>7.3</v>
      </c>
    </row>
    <row r="2349" ht="14.25" customHeight="1">
      <c r="A2349" s="1" t="s">
        <v>26</v>
      </c>
      <c r="B2349" s="1" t="s">
        <v>10204</v>
      </c>
      <c r="C2349" s="1" t="s">
        <v>11381</v>
      </c>
      <c r="D2349" s="1">
        <v>2964.0</v>
      </c>
      <c r="E2349" s="1" t="s">
        <v>7679</v>
      </c>
      <c r="F2349" s="1" t="s">
        <v>4230</v>
      </c>
      <c r="G2349" s="1" t="s">
        <v>11382</v>
      </c>
      <c r="H2349" s="1" t="s">
        <v>11383</v>
      </c>
      <c r="I2349" s="1">
        <v>7444.0</v>
      </c>
      <c r="J2349" s="1" t="s">
        <v>11384</v>
      </c>
      <c r="K2349" s="1" t="s">
        <v>11385</v>
      </c>
      <c r="L2349" s="1">
        <v>42.0</v>
      </c>
      <c r="M2349" s="1" t="s">
        <v>35</v>
      </c>
      <c r="N2349" s="1" t="s">
        <v>36</v>
      </c>
      <c r="O2349" s="1" t="s">
        <v>37</v>
      </c>
      <c r="P2349" s="1">
        <v>1.6E7</v>
      </c>
      <c r="Q2349" s="1">
        <v>2012.0</v>
      </c>
      <c r="R2349" s="1">
        <v>1000.0</v>
      </c>
      <c r="S2349" s="1">
        <v>945.0</v>
      </c>
      <c r="T2349" s="1">
        <v>613.0</v>
      </c>
      <c r="U2349" s="1">
        <v>3086.0</v>
      </c>
      <c r="V2349" s="1">
        <v>143.0</v>
      </c>
      <c r="W2349" s="1">
        <v>0.0</v>
      </c>
      <c r="X2349" s="1">
        <v>2.0</v>
      </c>
      <c r="Y2349" s="1">
        <v>1.78</v>
      </c>
      <c r="Z2349" s="1">
        <v>5.1</v>
      </c>
    </row>
    <row r="2350" ht="14.25" customHeight="1">
      <c r="A2350" s="1" t="s">
        <v>26</v>
      </c>
      <c r="B2350" s="1" t="s">
        <v>11386</v>
      </c>
      <c r="C2350" s="1" t="s">
        <v>11387</v>
      </c>
      <c r="D2350" s="1">
        <v>2428883.0</v>
      </c>
      <c r="E2350" s="1" t="s">
        <v>1683</v>
      </c>
      <c r="F2350" s="1" t="s">
        <v>8754</v>
      </c>
      <c r="G2350" s="1" t="s">
        <v>1432</v>
      </c>
      <c r="H2350" s="1" t="s">
        <v>2015</v>
      </c>
      <c r="I2350" s="1">
        <v>21370.0</v>
      </c>
      <c r="J2350" s="1" t="s">
        <v>11388</v>
      </c>
      <c r="K2350" s="1" t="s">
        <v>11389</v>
      </c>
      <c r="L2350" s="1">
        <v>132.0</v>
      </c>
      <c r="M2350" s="1" t="s">
        <v>35</v>
      </c>
      <c r="N2350" s="1" t="s">
        <v>36</v>
      </c>
      <c r="O2350" s="1" t="s">
        <v>628</v>
      </c>
      <c r="P2350" s="1">
        <v>1.6E7</v>
      </c>
      <c r="Q2350" s="1">
        <v>2014.0</v>
      </c>
      <c r="R2350" s="1">
        <v>883.0</v>
      </c>
      <c r="S2350" s="1">
        <v>596.0</v>
      </c>
      <c r="T2350" s="1">
        <v>567.0</v>
      </c>
      <c r="U2350" s="1">
        <v>2896.0</v>
      </c>
      <c r="V2350" s="1">
        <v>0.0</v>
      </c>
      <c r="W2350" s="1">
        <v>0.0</v>
      </c>
      <c r="X2350" s="1">
        <v>1.0</v>
      </c>
      <c r="Y2350" s="1">
        <v>2.35</v>
      </c>
      <c r="Z2350" s="1">
        <v>6.6</v>
      </c>
    </row>
    <row r="2351" ht="14.25" customHeight="1">
      <c r="A2351" s="1" t="s">
        <v>26</v>
      </c>
      <c r="B2351" s="1" t="s">
        <v>11390</v>
      </c>
      <c r="C2351" s="1" t="s">
        <v>11391</v>
      </c>
      <c r="D2351" s="1">
        <v>1.3571817E7</v>
      </c>
      <c r="E2351" s="1" t="s">
        <v>4241</v>
      </c>
      <c r="F2351" s="1" t="s">
        <v>609</v>
      </c>
      <c r="G2351" s="1" t="s">
        <v>1583</v>
      </c>
      <c r="H2351" s="1" t="s">
        <v>3070</v>
      </c>
      <c r="I2351" s="1">
        <v>5312.0</v>
      </c>
      <c r="J2351" s="1" t="s">
        <v>11392</v>
      </c>
      <c r="K2351" s="1" t="s">
        <v>11393</v>
      </c>
      <c r="L2351" s="1">
        <v>40.0</v>
      </c>
      <c r="M2351" s="1" t="s">
        <v>35</v>
      </c>
      <c r="N2351" s="1" t="s">
        <v>36</v>
      </c>
      <c r="O2351" s="1" t="s">
        <v>37</v>
      </c>
      <c r="P2351" s="1">
        <v>1.56E7</v>
      </c>
      <c r="Q2351" s="1">
        <v>2002.0</v>
      </c>
      <c r="R2351" s="1">
        <v>890.0</v>
      </c>
      <c r="S2351" s="1">
        <v>578.0</v>
      </c>
      <c r="T2351" s="1">
        <v>574.0</v>
      </c>
      <c r="U2351" s="1">
        <v>3104.0</v>
      </c>
      <c r="V2351" s="1">
        <v>10.0</v>
      </c>
      <c r="W2351" s="1">
        <v>939.0</v>
      </c>
      <c r="X2351" s="1">
        <v>3.0</v>
      </c>
      <c r="Y2351" s="1">
        <v>1.85</v>
      </c>
      <c r="Z2351" s="1">
        <v>4.5</v>
      </c>
    </row>
    <row r="2352" ht="14.25" customHeight="1">
      <c r="A2352" s="1" t="s">
        <v>26</v>
      </c>
      <c r="B2352" s="1" t="s">
        <v>11394</v>
      </c>
      <c r="C2352" s="1" t="s">
        <v>11395</v>
      </c>
      <c r="D2352" s="1">
        <v>1181197.0</v>
      </c>
      <c r="E2352" s="1" t="s">
        <v>1842</v>
      </c>
      <c r="F2352" s="1" t="s">
        <v>1470</v>
      </c>
      <c r="G2352" s="1" t="s">
        <v>2040</v>
      </c>
      <c r="H2352" s="1" t="s">
        <v>5783</v>
      </c>
      <c r="I2352" s="1">
        <v>3299.0</v>
      </c>
      <c r="J2352" s="1" t="s">
        <v>11396</v>
      </c>
      <c r="K2352" s="1" t="s">
        <v>11397</v>
      </c>
      <c r="L2352" s="1">
        <v>24.0</v>
      </c>
      <c r="M2352" s="1" t="s">
        <v>35</v>
      </c>
      <c r="N2352" s="1" t="s">
        <v>36</v>
      </c>
      <c r="O2352" s="1" t="s">
        <v>628</v>
      </c>
      <c r="P2352" s="1">
        <v>1.55E7</v>
      </c>
      <c r="Q2352" s="1">
        <v>2005.0</v>
      </c>
      <c r="R2352" s="1">
        <v>1000.0</v>
      </c>
      <c r="S2352" s="1">
        <v>1000.0</v>
      </c>
      <c r="T2352" s="1">
        <v>922.0</v>
      </c>
      <c r="U2352" s="1">
        <v>4329.0</v>
      </c>
      <c r="V2352" s="1">
        <v>7.0</v>
      </c>
      <c r="W2352" s="1">
        <v>191.0</v>
      </c>
      <c r="X2352" s="1">
        <v>0.0</v>
      </c>
      <c r="Y2352" s="1">
        <v>1.85</v>
      </c>
      <c r="Z2352" s="1">
        <v>5.9</v>
      </c>
    </row>
    <row r="2353" ht="14.25" customHeight="1">
      <c r="A2353" s="1" t="s">
        <v>26</v>
      </c>
      <c r="B2353" s="1" t="s">
        <v>11398</v>
      </c>
      <c r="C2353" s="1" t="s">
        <v>11399</v>
      </c>
      <c r="D2353" s="1">
        <v>81525.0</v>
      </c>
      <c r="E2353" s="1" t="s">
        <v>3376</v>
      </c>
      <c r="F2353" s="1" t="s">
        <v>11400</v>
      </c>
      <c r="G2353" s="1" t="s">
        <v>11401</v>
      </c>
      <c r="H2353" s="1" t="s">
        <v>11402</v>
      </c>
      <c r="I2353" s="1">
        <v>29392.0</v>
      </c>
      <c r="J2353" s="1" t="s">
        <v>11403</v>
      </c>
      <c r="K2353" s="1" t="s">
        <v>11404</v>
      </c>
      <c r="L2353" s="1">
        <v>91.0</v>
      </c>
      <c r="M2353" s="1" t="s">
        <v>2752</v>
      </c>
      <c r="N2353" s="1" t="s">
        <v>1832</v>
      </c>
      <c r="O2353" s="1" t="s">
        <v>628</v>
      </c>
      <c r="P2353" s="1">
        <v>1.53E7</v>
      </c>
      <c r="Q2353" s="1">
        <v>2001.0</v>
      </c>
      <c r="R2353" s="1">
        <v>235.0</v>
      </c>
      <c r="S2353" s="1">
        <v>46.0</v>
      </c>
      <c r="T2353" s="1">
        <v>17.0</v>
      </c>
      <c r="U2353" s="1">
        <v>303.0</v>
      </c>
      <c r="V2353" s="1">
        <v>7.0</v>
      </c>
      <c r="W2353" s="1">
        <v>0.0</v>
      </c>
      <c r="X2353" s="1">
        <v>1.0</v>
      </c>
      <c r="Y2353" s="1">
        <v>2.35</v>
      </c>
      <c r="Z2353" s="1">
        <v>6.6</v>
      </c>
    </row>
    <row r="2354" ht="14.25" customHeight="1">
      <c r="A2354" s="1" t="s">
        <v>26</v>
      </c>
      <c r="B2354" s="1" t="s">
        <v>629</v>
      </c>
      <c r="C2354" s="1" t="s">
        <v>11405</v>
      </c>
      <c r="D2354" s="1">
        <v>7774730.0</v>
      </c>
      <c r="E2354" s="1" t="s">
        <v>11406</v>
      </c>
      <c r="F2354" s="1" t="s">
        <v>11407</v>
      </c>
      <c r="G2354" s="1" t="s">
        <v>3314</v>
      </c>
      <c r="H2354" s="1" t="s">
        <v>4185</v>
      </c>
      <c r="I2354" s="1">
        <v>61912.0</v>
      </c>
      <c r="J2354" s="1" t="s">
        <v>11408</v>
      </c>
      <c r="K2354" s="1" t="s">
        <v>11409</v>
      </c>
      <c r="L2354" s="1">
        <v>352.0</v>
      </c>
      <c r="M2354" s="1" t="s">
        <v>35</v>
      </c>
      <c r="N2354" s="1" t="s">
        <v>260</v>
      </c>
      <c r="O2354" s="1" t="s">
        <v>628</v>
      </c>
      <c r="P2354" s="1">
        <v>1.55E7</v>
      </c>
      <c r="Q2354" s="1">
        <v>2006.0</v>
      </c>
      <c r="R2354" s="1">
        <v>499.0</v>
      </c>
      <c r="S2354" s="1">
        <v>298.0</v>
      </c>
      <c r="T2354" s="1">
        <v>102.0</v>
      </c>
      <c r="U2354" s="1">
        <v>1120.0</v>
      </c>
      <c r="V2354" s="1">
        <v>571.0</v>
      </c>
      <c r="W2354" s="1">
        <v>0.0</v>
      </c>
      <c r="X2354" s="1">
        <v>0.0</v>
      </c>
      <c r="Y2354" s="1">
        <v>1.85</v>
      </c>
      <c r="Z2354" s="1">
        <v>6.5</v>
      </c>
    </row>
    <row r="2355" ht="14.25" customHeight="1">
      <c r="A2355" s="1" t="s">
        <v>26</v>
      </c>
      <c r="B2355" s="1" t="s">
        <v>2338</v>
      </c>
      <c r="C2355" s="1" t="s">
        <v>11410</v>
      </c>
      <c r="D2355" s="1">
        <v>2.347605E8</v>
      </c>
      <c r="E2355" s="1" t="s">
        <v>1670</v>
      </c>
      <c r="F2355" s="1" t="s">
        <v>3468</v>
      </c>
      <c r="G2355" s="1" t="s">
        <v>1250</v>
      </c>
      <c r="H2355" s="1" t="s">
        <v>10311</v>
      </c>
      <c r="I2355" s="1">
        <v>126464.0</v>
      </c>
      <c r="J2355" s="1" t="s">
        <v>11411</v>
      </c>
      <c r="K2355" s="1" t="s">
        <v>11412</v>
      </c>
      <c r="L2355" s="1">
        <v>175.0</v>
      </c>
      <c r="M2355" s="1" t="s">
        <v>35</v>
      </c>
      <c r="N2355" s="1" t="s">
        <v>36</v>
      </c>
      <c r="O2355" s="1" t="s">
        <v>628</v>
      </c>
      <c r="P2355" s="1">
        <v>1.4E7</v>
      </c>
      <c r="Q2355" s="1">
        <v>1984.0</v>
      </c>
      <c r="R2355" s="1">
        <v>901.0</v>
      </c>
      <c r="S2355" s="1">
        <v>605.0</v>
      </c>
      <c r="T2355" s="1">
        <v>383.0</v>
      </c>
      <c r="U2355" s="1">
        <v>3464.0</v>
      </c>
      <c r="V2355" s="1">
        <v>102.0</v>
      </c>
      <c r="W2355" s="1">
        <v>0.0</v>
      </c>
      <c r="X2355" s="1">
        <v>1.0</v>
      </c>
      <c r="Y2355" s="1">
        <v>1.85</v>
      </c>
      <c r="Z2355" s="1">
        <v>7.3</v>
      </c>
    </row>
    <row r="2356" ht="14.25" customHeight="1">
      <c r="A2356" s="1" t="s">
        <v>26</v>
      </c>
      <c r="B2356" s="1" t="s">
        <v>1200</v>
      </c>
      <c r="C2356" s="1" t="s">
        <v>11413</v>
      </c>
      <c r="D2356" s="1">
        <v>2.85761243E8</v>
      </c>
      <c r="E2356" s="1" t="s">
        <v>2904</v>
      </c>
      <c r="F2356" s="1" t="s">
        <v>6147</v>
      </c>
      <c r="G2356" s="1" t="s">
        <v>2671</v>
      </c>
      <c r="H2356" s="1" t="s">
        <v>1719</v>
      </c>
      <c r="I2356" s="1">
        <v>311075.0</v>
      </c>
      <c r="J2356" s="1" t="s">
        <v>11414</v>
      </c>
      <c r="K2356" s="1" t="s">
        <v>11415</v>
      </c>
      <c r="L2356" s="1">
        <v>305.0</v>
      </c>
      <c r="M2356" s="1" t="s">
        <v>35</v>
      </c>
      <c r="N2356" s="1" t="s">
        <v>36</v>
      </c>
      <c r="O2356" s="1" t="s">
        <v>87</v>
      </c>
      <c r="P2356" s="1">
        <v>1.8E7</v>
      </c>
      <c r="Q2356" s="1">
        <v>1990.0</v>
      </c>
      <c r="R2356" s="1">
        <v>3000.0</v>
      </c>
      <c r="S2356" s="1">
        <v>1000.0</v>
      </c>
      <c r="T2356" s="1">
        <v>925.0</v>
      </c>
      <c r="U2356" s="1">
        <v>7521.0</v>
      </c>
      <c r="V2356" s="1">
        <v>0.0</v>
      </c>
      <c r="W2356" s="1">
        <v>20000.0</v>
      </c>
      <c r="X2356" s="1">
        <v>5.0</v>
      </c>
      <c r="Y2356" s="1">
        <v>1.85</v>
      </c>
      <c r="Z2356" s="1">
        <v>7.5</v>
      </c>
    </row>
    <row r="2357" ht="14.25" customHeight="1">
      <c r="A2357" s="1" t="s">
        <v>26</v>
      </c>
      <c r="B2357" s="1" t="s">
        <v>992</v>
      </c>
      <c r="C2357" s="1" t="s">
        <v>11416</v>
      </c>
      <c r="D2357" s="1">
        <v>1.6778096E8</v>
      </c>
      <c r="E2357" s="1" t="s">
        <v>3731</v>
      </c>
      <c r="F2357" s="1" t="s">
        <v>2945</v>
      </c>
      <c r="G2357" s="1" t="s">
        <v>6384</v>
      </c>
      <c r="H2357" s="1" t="s">
        <v>10168</v>
      </c>
      <c r="I2357" s="1">
        <v>36918.0</v>
      </c>
      <c r="J2357" s="1" t="s">
        <v>11417</v>
      </c>
      <c r="K2357" s="1" t="s">
        <v>11418</v>
      </c>
      <c r="L2357" s="1">
        <v>42.0</v>
      </c>
      <c r="M2357" s="1" t="s">
        <v>35</v>
      </c>
      <c r="N2357" s="1" t="s">
        <v>36</v>
      </c>
      <c r="O2357" s="1" t="s">
        <v>87</v>
      </c>
      <c r="P2357" s="1">
        <v>1.1E7</v>
      </c>
      <c r="Q2357" s="1">
        <v>1987.0</v>
      </c>
      <c r="R2357" s="1">
        <v>19000.0</v>
      </c>
      <c r="S2357" s="1">
        <v>875.0</v>
      </c>
      <c r="T2357" s="1">
        <v>801.0</v>
      </c>
      <c r="U2357" s="1">
        <v>21499.0</v>
      </c>
      <c r="V2357" s="1">
        <v>12000.0</v>
      </c>
      <c r="W2357" s="1">
        <v>3000.0</v>
      </c>
      <c r="X2357" s="1">
        <v>4.0</v>
      </c>
      <c r="Y2357" s="1">
        <v>1.85</v>
      </c>
      <c r="Z2357" s="1">
        <v>5.9</v>
      </c>
    </row>
    <row r="2358" ht="14.25" customHeight="1">
      <c r="A2358" s="1" t="s">
        <v>26</v>
      </c>
      <c r="B2358" s="1" t="s">
        <v>2128</v>
      </c>
      <c r="C2358" s="1" t="s">
        <v>11419</v>
      </c>
      <c r="D2358" s="1">
        <v>1.772E8</v>
      </c>
      <c r="E2358" s="1" t="s">
        <v>1359</v>
      </c>
      <c r="F2358" s="1" t="s">
        <v>534</v>
      </c>
      <c r="G2358" s="1" t="s">
        <v>2128</v>
      </c>
      <c r="H2358" s="1" t="s">
        <v>9779</v>
      </c>
      <c r="I2358" s="1">
        <v>77366.0</v>
      </c>
      <c r="J2358" s="1" t="s">
        <v>11420</v>
      </c>
      <c r="K2358" s="1" t="s">
        <v>11421</v>
      </c>
      <c r="L2358" s="1">
        <v>194.0</v>
      </c>
      <c r="M2358" s="1" t="s">
        <v>35</v>
      </c>
      <c r="N2358" s="1" t="s">
        <v>36</v>
      </c>
      <c r="O2358" s="1" t="s">
        <v>87</v>
      </c>
      <c r="P2358" s="1">
        <v>2.2E7</v>
      </c>
      <c r="Q2358" s="1">
        <v>1982.0</v>
      </c>
      <c r="R2358" s="1">
        <v>13000.0</v>
      </c>
      <c r="S2358" s="1">
        <v>521.0</v>
      </c>
      <c r="T2358" s="1">
        <v>481.0</v>
      </c>
      <c r="U2358" s="1">
        <v>14701.0</v>
      </c>
      <c r="V2358" s="1">
        <v>521.0</v>
      </c>
      <c r="W2358" s="1">
        <v>0.0</v>
      </c>
      <c r="X2358" s="1">
        <v>1.0</v>
      </c>
      <c r="Y2358" s="1">
        <v>2.35</v>
      </c>
      <c r="Z2358" s="1">
        <v>7.4</v>
      </c>
    </row>
    <row r="2359" ht="14.25" customHeight="1">
      <c r="A2359" s="1" t="s">
        <v>26</v>
      </c>
      <c r="B2359" s="1" t="s">
        <v>1656</v>
      </c>
      <c r="C2359" s="1" t="s">
        <v>11422</v>
      </c>
      <c r="D2359" s="1">
        <v>1.76781728E8</v>
      </c>
      <c r="E2359" s="1" t="s">
        <v>1610</v>
      </c>
      <c r="F2359" s="1" t="s">
        <v>508</v>
      </c>
      <c r="G2359" s="1" t="s">
        <v>2118</v>
      </c>
      <c r="H2359" s="1" t="s">
        <v>11423</v>
      </c>
      <c r="I2359" s="1">
        <v>219171.0</v>
      </c>
      <c r="J2359" s="1" t="s">
        <v>11424</v>
      </c>
      <c r="K2359" s="1" t="s">
        <v>11425</v>
      </c>
      <c r="L2359" s="1">
        <v>388.0</v>
      </c>
      <c r="M2359" s="1" t="s">
        <v>35</v>
      </c>
      <c r="N2359" s="1" t="s">
        <v>36</v>
      </c>
      <c r="O2359" s="1" t="s">
        <v>87</v>
      </c>
      <c r="P2359" s="1">
        <v>1.5E7</v>
      </c>
      <c r="Q2359" s="1">
        <v>1986.0</v>
      </c>
      <c r="R2359" s="1">
        <v>10000.0</v>
      </c>
      <c r="S2359" s="1">
        <v>1000.0</v>
      </c>
      <c r="T2359" s="1">
        <v>555.0</v>
      </c>
      <c r="U2359" s="1">
        <v>13069.0</v>
      </c>
      <c r="V2359" s="1">
        <v>12000.0</v>
      </c>
      <c r="W2359" s="1">
        <v>19000.0</v>
      </c>
      <c r="X2359" s="1">
        <v>2.0</v>
      </c>
      <c r="Y2359" s="1">
        <v>1.33</v>
      </c>
      <c r="Z2359" s="1">
        <v>6.9</v>
      </c>
    </row>
    <row r="2360" ht="14.25" customHeight="1">
      <c r="A2360" s="1" t="s">
        <v>26</v>
      </c>
      <c r="B2360" s="1" t="s">
        <v>1027</v>
      </c>
      <c r="C2360" s="1" t="s">
        <v>11426</v>
      </c>
      <c r="D2360" s="1">
        <v>1.28067808E8</v>
      </c>
      <c r="E2360" s="1" t="s">
        <v>1610</v>
      </c>
      <c r="F2360" s="1" t="s">
        <v>11427</v>
      </c>
      <c r="G2360" s="1" t="s">
        <v>11428</v>
      </c>
      <c r="H2360" s="1" t="s">
        <v>11429</v>
      </c>
      <c r="I2360" s="1">
        <v>217740.0</v>
      </c>
      <c r="J2360" s="1" t="s">
        <v>11430</v>
      </c>
      <c r="K2360" s="1" t="s">
        <v>11431</v>
      </c>
      <c r="L2360" s="1">
        <v>1641.0</v>
      </c>
      <c r="M2360" s="1" t="s">
        <v>1864</v>
      </c>
      <c r="N2360" s="1" t="s">
        <v>11432</v>
      </c>
      <c r="O2360" s="1" t="s">
        <v>37</v>
      </c>
      <c r="P2360" s="1">
        <v>1.5E7</v>
      </c>
      <c r="Q2360" s="1">
        <v>2000.0</v>
      </c>
      <c r="R2360" s="1">
        <v>103.0</v>
      </c>
      <c r="S2360" s="1">
        <v>21.0</v>
      </c>
      <c r="T2360" s="1">
        <v>5.0</v>
      </c>
      <c r="U2360" s="1">
        <v>129.0</v>
      </c>
      <c r="V2360" s="1">
        <v>0.0</v>
      </c>
      <c r="W2360" s="1">
        <v>0.0</v>
      </c>
      <c r="X2360" s="1">
        <v>3.0</v>
      </c>
      <c r="Y2360" s="1">
        <v>2.35</v>
      </c>
      <c r="Z2360" s="1">
        <v>7.9</v>
      </c>
    </row>
    <row r="2361" ht="14.25" customHeight="1">
      <c r="A2361" s="1" t="s">
        <v>26</v>
      </c>
      <c r="B2361" s="1" t="s">
        <v>46</v>
      </c>
      <c r="C2361" s="1" t="s">
        <v>11433</v>
      </c>
      <c r="D2361" s="1">
        <v>1.30058047E8</v>
      </c>
      <c r="E2361" s="1" t="s">
        <v>3238</v>
      </c>
      <c r="F2361" s="1" t="s">
        <v>112</v>
      </c>
      <c r="G2361" s="1" t="s">
        <v>4554</v>
      </c>
      <c r="H2361" s="1" t="s">
        <v>11434</v>
      </c>
      <c r="I2361" s="1">
        <v>822500.0</v>
      </c>
      <c r="J2361" s="1" t="s">
        <v>11435</v>
      </c>
      <c r="K2361" s="1" t="s">
        <v>11436</v>
      </c>
      <c r="L2361" s="1">
        <v>2715.0</v>
      </c>
      <c r="M2361" s="1" t="s">
        <v>35</v>
      </c>
      <c r="N2361" s="1" t="s">
        <v>36</v>
      </c>
      <c r="O2361" s="1" t="s">
        <v>628</v>
      </c>
      <c r="P2361" s="1">
        <v>1.5E7</v>
      </c>
      <c r="Q2361" s="1">
        <v>1999.0</v>
      </c>
      <c r="R2361" s="1">
        <v>18000.0</v>
      </c>
      <c r="S2361" s="1">
        <v>828.0</v>
      </c>
      <c r="T2361" s="1">
        <v>158.0</v>
      </c>
      <c r="U2361" s="1">
        <v>19078.0</v>
      </c>
      <c r="V2361" s="1">
        <v>0.0</v>
      </c>
      <c r="W2361" s="1">
        <v>22000.0</v>
      </c>
      <c r="X2361" s="1">
        <v>0.0</v>
      </c>
      <c r="Y2361" s="1">
        <v>2.35</v>
      </c>
      <c r="Z2361" s="1">
        <v>8.4</v>
      </c>
    </row>
    <row r="2362" ht="14.25" customHeight="1">
      <c r="A2362" s="1" t="s">
        <v>26</v>
      </c>
      <c r="B2362" s="1" t="s">
        <v>3473</v>
      </c>
      <c r="C2362" s="1" t="s">
        <v>11437</v>
      </c>
      <c r="D2362" s="1">
        <v>1.38795342E8</v>
      </c>
      <c r="E2362" s="1" t="s">
        <v>5738</v>
      </c>
      <c r="F2362" s="1" t="s">
        <v>424</v>
      </c>
      <c r="G2362" s="1" t="s">
        <v>1347</v>
      </c>
      <c r="H2362" s="1" t="s">
        <v>1916</v>
      </c>
      <c r="I2362" s="1">
        <v>503631.0</v>
      </c>
      <c r="J2362" s="1" t="s">
        <v>11438</v>
      </c>
      <c r="K2362" s="1" t="s">
        <v>11439</v>
      </c>
      <c r="L2362" s="1">
        <v>636.0</v>
      </c>
      <c r="M2362" s="1" t="s">
        <v>35</v>
      </c>
      <c r="N2362" s="1" t="s">
        <v>54</v>
      </c>
      <c r="O2362" s="1" t="s">
        <v>628</v>
      </c>
      <c r="P2362" s="1">
        <v>1.5E7</v>
      </c>
      <c r="Q2362" s="1">
        <v>2010.0</v>
      </c>
      <c r="R2362" s="1">
        <v>14000.0</v>
      </c>
      <c r="S2362" s="1">
        <v>1000.0</v>
      </c>
      <c r="T2362" s="1">
        <v>520.0</v>
      </c>
      <c r="U2362" s="1">
        <v>15732.0</v>
      </c>
      <c r="V2362" s="1">
        <v>0.0</v>
      </c>
      <c r="W2362" s="1">
        <v>64000.0</v>
      </c>
      <c r="X2362" s="1">
        <v>0.0</v>
      </c>
      <c r="Y2362" s="1">
        <v>1.85</v>
      </c>
      <c r="Z2362" s="1">
        <v>8.0</v>
      </c>
    </row>
    <row r="2363" ht="14.25" customHeight="1">
      <c r="A2363" s="1" t="s">
        <v>26</v>
      </c>
      <c r="B2363" s="1" t="s">
        <v>2580</v>
      </c>
      <c r="C2363" s="1" t="s">
        <v>11440</v>
      </c>
      <c r="D2363" s="1">
        <v>1.119364E8</v>
      </c>
      <c r="E2363" s="1" t="s">
        <v>972</v>
      </c>
      <c r="F2363" s="1" t="s">
        <v>1562</v>
      </c>
      <c r="G2363" s="1" t="s">
        <v>9901</v>
      </c>
      <c r="H2363" s="1" t="s">
        <v>11441</v>
      </c>
      <c r="I2363" s="1">
        <v>87538.0</v>
      </c>
      <c r="J2363" s="1" t="s">
        <v>11442</v>
      </c>
      <c r="K2363" s="1" t="s">
        <v>11443</v>
      </c>
      <c r="L2363" s="1">
        <v>79.0</v>
      </c>
      <c r="M2363" s="1" t="s">
        <v>35</v>
      </c>
      <c r="N2363" s="1" t="s">
        <v>36</v>
      </c>
      <c r="O2363" s="1" t="s">
        <v>87</v>
      </c>
      <c r="P2363" s="1">
        <v>1.5E7</v>
      </c>
      <c r="Q2363" s="1">
        <v>1988.0</v>
      </c>
      <c r="R2363" s="1">
        <v>742.0</v>
      </c>
      <c r="S2363" s="1">
        <v>384.0</v>
      </c>
      <c r="T2363" s="1">
        <v>247.0</v>
      </c>
      <c r="U2363" s="1">
        <v>2151.0</v>
      </c>
      <c r="V2363" s="1">
        <v>425.0</v>
      </c>
      <c r="W2363" s="1">
        <v>0.0</v>
      </c>
      <c r="X2363" s="1">
        <v>1.0</v>
      </c>
      <c r="Y2363" s="1">
        <v>1.85</v>
      </c>
      <c r="Z2363" s="1">
        <v>6.0</v>
      </c>
    </row>
    <row r="2364" ht="14.25" customHeight="1">
      <c r="A2364" s="1" t="s">
        <v>26</v>
      </c>
      <c r="B2364" s="1" t="s">
        <v>11444</v>
      </c>
      <c r="C2364" s="1" t="s">
        <v>11445</v>
      </c>
      <c r="D2364" s="1">
        <v>317040.0</v>
      </c>
      <c r="E2364" s="1" t="s">
        <v>206</v>
      </c>
      <c r="F2364" s="1" t="s">
        <v>544</v>
      </c>
      <c r="G2364" s="1" t="s">
        <v>431</v>
      </c>
      <c r="H2364" s="1" t="s">
        <v>183</v>
      </c>
      <c r="I2364" s="1">
        <v>6723.0</v>
      </c>
      <c r="J2364" s="1" t="s">
        <v>11446</v>
      </c>
      <c r="K2364" s="1" t="s">
        <v>11447</v>
      </c>
      <c r="L2364" s="1">
        <v>36.0</v>
      </c>
      <c r="M2364" s="1" t="s">
        <v>35</v>
      </c>
      <c r="N2364" s="1" t="s">
        <v>36</v>
      </c>
      <c r="O2364" s="1" t="s">
        <v>37</v>
      </c>
      <c r="P2364" s="1">
        <v>1.55E7</v>
      </c>
      <c r="Q2364" s="1">
        <v>2008.0</v>
      </c>
      <c r="R2364" s="1">
        <v>17000.0</v>
      </c>
      <c r="S2364" s="1">
        <v>13000.0</v>
      </c>
      <c r="T2364" s="1">
        <v>882.0</v>
      </c>
      <c r="U2364" s="1">
        <v>30978.0</v>
      </c>
      <c r="V2364" s="1">
        <v>4.0</v>
      </c>
      <c r="W2364" s="1">
        <v>1000.0</v>
      </c>
      <c r="X2364" s="1">
        <v>1.0</v>
      </c>
      <c r="Y2364" s="1">
        <v>2.35</v>
      </c>
      <c r="Z2364" s="1">
        <v>6.8</v>
      </c>
    </row>
    <row r="2365" ht="14.25" customHeight="1">
      <c r="A2365" s="1" t="s">
        <v>26</v>
      </c>
      <c r="B2365" s="1" t="s">
        <v>381</v>
      </c>
      <c r="C2365" s="1" t="s">
        <v>11448</v>
      </c>
      <c r="D2365" s="1">
        <v>9.4175854E7</v>
      </c>
      <c r="E2365" s="1" t="s">
        <v>3238</v>
      </c>
      <c r="F2365" s="1" t="s">
        <v>866</v>
      </c>
      <c r="G2365" s="1" t="s">
        <v>11449</v>
      </c>
      <c r="H2365" s="1" t="s">
        <v>410</v>
      </c>
      <c r="I2365" s="1">
        <v>60988.0</v>
      </c>
      <c r="J2365" s="1" t="s">
        <v>11450</v>
      </c>
      <c r="K2365" s="1" t="s">
        <v>11451</v>
      </c>
      <c r="L2365" s="1">
        <v>199.0</v>
      </c>
      <c r="M2365" s="1" t="s">
        <v>35</v>
      </c>
      <c r="N2365" s="1" t="s">
        <v>36</v>
      </c>
      <c r="O2365" s="1" t="s">
        <v>37</v>
      </c>
      <c r="P2365" s="1">
        <v>1.5E7</v>
      </c>
      <c r="Q2365" s="1">
        <v>1985.0</v>
      </c>
      <c r="R2365" s="1">
        <v>852.0</v>
      </c>
      <c r="S2365" s="1">
        <v>581.0</v>
      </c>
      <c r="T2365" s="1">
        <v>271.0</v>
      </c>
      <c r="U2365" s="1">
        <v>2592.0</v>
      </c>
      <c r="V2365" s="1">
        <v>14000.0</v>
      </c>
      <c r="W2365" s="1">
        <v>6000.0</v>
      </c>
      <c r="X2365" s="1">
        <v>0.0</v>
      </c>
      <c r="Y2365" s="1">
        <v>1.85</v>
      </c>
      <c r="Z2365" s="1">
        <v>7.8</v>
      </c>
    </row>
    <row r="2366" ht="14.25" customHeight="1">
      <c r="A2366" s="1" t="s">
        <v>26</v>
      </c>
      <c r="B2366" s="1" t="s">
        <v>11452</v>
      </c>
      <c r="C2366" s="1" t="s">
        <v>11453</v>
      </c>
      <c r="D2366" s="1">
        <v>9.1121452E7</v>
      </c>
      <c r="E2366" s="1" t="s">
        <v>9137</v>
      </c>
      <c r="F2366" s="1" t="s">
        <v>345</v>
      </c>
      <c r="G2366" s="1" t="s">
        <v>50</v>
      </c>
      <c r="H2366" s="1" t="s">
        <v>11454</v>
      </c>
      <c r="I2366" s="1">
        <v>467613.0</v>
      </c>
      <c r="J2366" s="1" t="s">
        <v>11455</v>
      </c>
      <c r="K2366" s="1" t="s">
        <v>11456</v>
      </c>
      <c r="L2366" s="1">
        <v>608.0</v>
      </c>
      <c r="M2366" s="1" t="s">
        <v>35</v>
      </c>
      <c r="N2366" s="1" t="s">
        <v>54</v>
      </c>
      <c r="O2366" s="1" t="s">
        <v>37</v>
      </c>
      <c r="P2366" s="1">
        <v>1.4E7</v>
      </c>
      <c r="Q2366" s="1">
        <v>2014.0</v>
      </c>
      <c r="R2366" s="1">
        <v>19000.0</v>
      </c>
      <c r="S2366" s="1">
        <v>393.0</v>
      </c>
      <c r="T2366" s="1">
        <v>305.0</v>
      </c>
      <c r="U2366" s="1">
        <v>20295.0</v>
      </c>
      <c r="V2366" s="1">
        <v>77.0</v>
      </c>
      <c r="W2366" s="1">
        <v>165000.0</v>
      </c>
      <c r="X2366" s="1">
        <v>1.0</v>
      </c>
      <c r="Y2366" s="1">
        <v>2.35</v>
      </c>
      <c r="Z2366" s="1">
        <v>8.1</v>
      </c>
    </row>
    <row r="2367" ht="14.25" customHeight="1">
      <c r="A2367" s="1" t="s">
        <v>26</v>
      </c>
      <c r="B2367" s="1" t="s">
        <v>11159</v>
      </c>
      <c r="C2367" s="1" t="s">
        <v>11457</v>
      </c>
      <c r="D2367" s="1">
        <v>6.98E7</v>
      </c>
      <c r="E2367" s="1" t="s">
        <v>9317</v>
      </c>
      <c r="F2367" s="1" t="s">
        <v>3993</v>
      </c>
      <c r="G2367" s="1" t="s">
        <v>2818</v>
      </c>
      <c r="H2367" s="1" t="s">
        <v>7897</v>
      </c>
      <c r="I2367" s="1">
        <v>18140.0</v>
      </c>
      <c r="J2367" s="1" t="s">
        <v>11458</v>
      </c>
      <c r="K2367" s="1" t="s">
        <v>11459</v>
      </c>
      <c r="L2367" s="1">
        <v>60.0</v>
      </c>
      <c r="M2367" s="1" t="s">
        <v>35</v>
      </c>
      <c r="N2367" s="1" t="s">
        <v>36</v>
      </c>
      <c r="O2367" s="1" t="s">
        <v>628</v>
      </c>
      <c r="P2367" s="1">
        <v>1.0E7</v>
      </c>
      <c r="Q2367" s="1">
        <v>1980.0</v>
      </c>
      <c r="R2367" s="1">
        <v>1000.0</v>
      </c>
      <c r="S2367" s="1">
        <v>745.0</v>
      </c>
      <c r="T2367" s="1">
        <v>271.0</v>
      </c>
      <c r="U2367" s="1">
        <v>2419.0</v>
      </c>
      <c r="V2367" s="1">
        <v>6.0</v>
      </c>
      <c r="W2367" s="1">
        <v>855.0</v>
      </c>
      <c r="X2367" s="1">
        <v>1.0</v>
      </c>
      <c r="Y2367" s="1">
        <v>1.85</v>
      </c>
      <c r="Z2367" s="1">
        <v>6.1</v>
      </c>
    </row>
    <row r="2368" ht="14.25" customHeight="1">
      <c r="A2368" s="1" t="s">
        <v>26</v>
      </c>
      <c r="B2368" s="1" t="s">
        <v>2137</v>
      </c>
      <c r="C2368" s="1" t="s">
        <v>11460</v>
      </c>
      <c r="D2368" s="1">
        <v>6.4001297E7</v>
      </c>
      <c r="E2368" s="1" t="s">
        <v>2904</v>
      </c>
      <c r="F2368" s="1" t="s">
        <v>475</v>
      </c>
      <c r="G2368" s="1" t="s">
        <v>9584</v>
      </c>
      <c r="H2368" s="1" t="s">
        <v>2112</v>
      </c>
      <c r="I2368" s="1">
        <v>32002.0</v>
      </c>
      <c r="J2368" s="1" t="s">
        <v>11461</v>
      </c>
      <c r="K2368" s="1" t="s">
        <v>11462</v>
      </c>
      <c r="L2368" s="1">
        <v>103.0</v>
      </c>
      <c r="M2368" s="1" t="s">
        <v>35</v>
      </c>
      <c r="N2368" s="1" t="s">
        <v>36</v>
      </c>
      <c r="O2368" s="1" t="s">
        <v>87</v>
      </c>
      <c r="P2368" s="1">
        <v>1.5E7</v>
      </c>
      <c r="Q2368" s="1">
        <v>2010.0</v>
      </c>
      <c r="R2368" s="1">
        <v>17000.0</v>
      </c>
      <c r="S2368" s="1">
        <v>975.0</v>
      </c>
      <c r="T2368" s="1">
        <v>569.0</v>
      </c>
      <c r="U2368" s="1">
        <v>20154.0</v>
      </c>
      <c r="V2368" s="1">
        <v>87.0</v>
      </c>
      <c r="W2368" s="1">
        <v>0.0</v>
      </c>
      <c r="X2368" s="1">
        <v>1.0</v>
      </c>
      <c r="Y2368" s="1">
        <v>1.85</v>
      </c>
      <c r="Z2368" s="1">
        <v>6.2</v>
      </c>
    </row>
    <row r="2369" ht="14.25" customHeight="1">
      <c r="A2369" s="1" t="s">
        <v>26</v>
      </c>
      <c r="B2369" s="1" t="s">
        <v>11463</v>
      </c>
      <c r="C2369" s="1" t="s">
        <v>11464</v>
      </c>
      <c r="D2369" s="1">
        <v>7.158822E7</v>
      </c>
      <c r="E2369" s="1" t="s">
        <v>6959</v>
      </c>
      <c r="F2369" s="1" t="s">
        <v>5903</v>
      </c>
      <c r="G2369" s="1" t="s">
        <v>11465</v>
      </c>
      <c r="H2369" s="1" t="s">
        <v>11466</v>
      </c>
      <c r="I2369" s="1">
        <v>134869.0</v>
      </c>
      <c r="J2369" s="1" t="s">
        <v>11467</v>
      </c>
      <c r="K2369" s="1" t="s">
        <v>11468</v>
      </c>
      <c r="L2369" s="1">
        <v>304.0</v>
      </c>
      <c r="M2369" s="1" t="s">
        <v>35</v>
      </c>
      <c r="N2369" s="1" t="s">
        <v>260</v>
      </c>
      <c r="O2369" s="1" t="s">
        <v>37</v>
      </c>
      <c r="P2369" s="1">
        <v>2.0E7</v>
      </c>
      <c r="Q2369" s="1">
        <v>2013.0</v>
      </c>
      <c r="R2369" s="1">
        <v>1000.0</v>
      </c>
      <c r="S2369" s="1">
        <v>340.0</v>
      </c>
      <c r="T2369" s="1">
        <v>250.0</v>
      </c>
      <c r="U2369" s="1">
        <v>1949.0</v>
      </c>
      <c r="V2369" s="1">
        <v>127.0</v>
      </c>
      <c r="W2369" s="1">
        <v>57000.0</v>
      </c>
      <c r="X2369" s="1">
        <v>1.0</v>
      </c>
      <c r="Y2369" s="1">
        <v>1.85</v>
      </c>
      <c r="Z2369" s="1">
        <v>6.2</v>
      </c>
    </row>
    <row r="2370" ht="14.25" customHeight="1">
      <c r="A2370" s="1" t="s">
        <v>26</v>
      </c>
      <c r="B2370" s="1" t="s">
        <v>5073</v>
      </c>
      <c r="C2370" s="1" t="s">
        <v>11025</v>
      </c>
      <c r="D2370" s="1">
        <v>4.7E7</v>
      </c>
      <c r="E2370" s="1" t="s">
        <v>6278</v>
      </c>
      <c r="F2370" s="1" t="s">
        <v>1651</v>
      </c>
      <c r="G2370" s="1" t="s">
        <v>9365</v>
      </c>
      <c r="H2370" s="1" t="s">
        <v>11026</v>
      </c>
      <c r="I2370" s="1">
        <v>157857.0</v>
      </c>
      <c r="J2370" s="1" t="s">
        <v>11027</v>
      </c>
      <c r="K2370" s="1" t="s">
        <v>11028</v>
      </c>
      <c r="L2370" s="1">
        <v>1191.0</v>
      </c>
      <c r="M2370" s="1" t="s">
        <v>35</v>
      </c>
      <c r="N2370" s="1" t="s">
        <v>36</v>
      </c>
      <c r="O2370" s="1" t="s">
        <v>628</v>
      </c>
      <c r="P2370" s="1">
        <v>300000.0</v>
      </c>
      <c r="Q2370" s="1">
        <v>1978.0</v>
      </c>
      <c r="R2370" s="1">
        <v>2000.0</v>
      </c>
      <c r="S2370" s="1">
        <v>742.0</v>
      </c>
      <c r="T2370" s="1">
        <v>598.0</v>
      </c>
      <c r="U2370" s="1">
        <v>4400.0</v>
      </c>
      <c r="V2370" s="1">
        <v>0.0</v>
      </c>
      <c r="W2370" s="1">
        <v>12000.0</v>
      </c>
      <c r="X2370" s="1">
        <v>0.0</v>
      </c>
      <c r="Y2370" s="1">
        <v>2.35</v>
      </c>
      <c r="Z2370" s="1">
        <v>7.9</v>
      </c>
    </row>
    <row r="2371" ht="14.25" customHeight="1">
      <c r="A2371" s="1" t="s">
        <v>26</v>
      </c>
      <c r="B2371" s="1" t="s">
        <v>4006</v>
      </c>
      <c r="C2371" s="1" t="s">
        <v>11469</v>
      </c>
      <c r="D2371" s="1">
        <v>6.14E7</v>
      </c>
      <c r="E2371" s="1" t="s">
        <v>4008</v>
      </c>
      <c r="F2371" s="1" t="s">
        <v>7556</v>
      </c>
      <c r="G2371" s="1" t="s">
        <v>1822</v>
      </c>
      <c r="H2371" s="1" t="s">
        <v>2298</v>
      </c>
      <c r="I2371" s="1">
        <v>71183.0</v>
      </c>
      <c r="J2371" s="1" t="s">
        <v>11470</v>
      </c>
      <c r="K2371" s="1" t="s">
        <v>11471</v>
      </c>
      <c r="L2371" s="1">
        <v>183.0</v>
      </c>
      <c r="M2371" s="1" t="s">
        <v>35</v>
      </c>
      <c r="N2371" s="1" t="s">
        <v>36</v>
      </c>
      <c r="O2371" s="1" t="s">
        <v>628</v>
      </c>
      <c r="P2371" s="1">
        <v>1.5E7</v>
      </c>
      <c r="Q2371" s="1">
        <v>1983.0</v>
      </c>
      <c r="R2371" s="1">
        <v>816.0</v>
      </c>
      <c r="S2371" s="1">
        <v>695.0</v>
      </c>
      <c r="T2371" s="1">
        <v>624.0</v>
      </c>
      <c r="U2371" s="1">
        <v>3617.0</v>
      </c>
      <c r="V2371" s="1">
        <v>11000.0</v>
      </c>
      <c r="W2371" s="1">
        <v>0.0</v>
      </c>
      <c r="X2371" s="1">
        <v>1.0</v>
      </c>
      <c r="Y2371" s="1">
        <v>1.85</v>
      </c>
      <c r="Z2371" s="1">
        <v>7.4</v>
      </c>
    </row>
    <row r="2372" ht="14.25" customHeight="1">
      <c r="A2372" s="1" t="s">
        <v>26</v>
      </c>
      <c r="B2372" s="1" t="s">
        <v>9802</v>
      </c>
      <c r="C2372" s="1" t="s">
        <v>11472</v>
      </c>
      <c r="D2372" s="1">
        <v>1.0197884E8</v>
      </c>
      <c r="E2372" s="1" t="s">
        <v>1885</v>
      </c>
      <c r="F2372" s="1" t="s">
        <v>11473</v>
      </c>
      <c r="G2372" s="1" t="s">
        <v>11474</v>
      </c>
      <c r="H2372" s="1" t="s">
        <v>11475</v>
      </c>
      <c r="I2372" s="1">
        <v>77724.0</v>
      </c>
      <c r="J2372" s="1" t="s">
        <v>11476</v>
      </c>
      <c r="K2372" s="1" t="s">
        <v>11477</v>
      </c>
      <c r="L2372" s="1">
        <v>162.0</v>
      </c>
      <c r="M2372" s="1" t="s">
        <v>35</v>
      </c>
      <c r="N2372" s="1" t="s">
        <v>36</v>
      </c>
      <c r="O2372" s="1" t="s">
        <v>628</v>
      </c>
      <c r="P2372" s="1">
        <v>1.5E7</v>
      </c>
      <c r="Q2372" s="1">
        <v>2013.0</v>
      </c>
      <c r="R2372" s="1">
        <v>925.0</v>
      </c>
      <c r="S2372" s="1">
        <v>38.0</v>
      </c>
      <c r="T2372" s="1">
        <v>27.0</v>
      </c>
      <c r="U2372" s="1">
        <v>1018.0</v>
      </c>
      <c r="V2372" s="1">
        <v>79.0</v>
      </c>
      <c r="W2372" s="1">
        <v>26000.0</v>
      </c>
      <c r="X2372" s="1">
        <v>0.0</v>
      </c>
      <c r="Y2372" s="1">
        <v>1.85</v>
      </c>
      <c r="Z2372" s="1">
        <v>6.6</v>
      </c>
    </row>
    <row r="2373" ht="14.25" customHeight="1">
      <c r="A2373" s="1" t="s">
        <v>26</v>
      </c>
      <c r="B2373" s="1" t="s">
        <v>5299</v>
      </c>
      <c r="C2373" s="1" t="s">
        <v>11478</v>
      </c>
      <c r="D2373" s="1">
        <v>5.6437947E7</v>
      </c>
      <c r="E2373" s="1" t="s">
        <v>1474</v>
      </c>
      <c r="F2373" s="1" t="s">
        <v>10596</v>
      </c>
      <c r="G2373" s="1" t="s">
        <v>11479</v>
      </c>
      <c r="H2373" s="1" t="s">
        <v>7130</v>
      </c>
      <c r="I2373" s="1">
        <v>85333.0</v>
      </c>
      <c r="J2373" s="1" t="s">
        <v>11480</v>
      </c>
      <c r="K2373" s="1" t="s">
        <v>11481</v>
      </c>
      <c r="L2373" s="1">
        <v>421.0</v>
      </c>
      <c r="M2373" s="1" t="s">
        <v>35</v>
      </c>
      <c r="N2373" s="1" t="s">
        <v>54</v>
      </c>
      <c r="O2373" s="1" t="s">
        <v>37</v>
      </c>
      <c r="P2373" s="1">
        <v>9800000.0</v>
      </c>
      <c r="Q2373" s="1">
        <v>2006.0</v>
      </c>
      <c r="R2373" s="1">
        <v>326.0</v>
      </c>
      <c r="S2373" s="1">
        <v>48.0</v>
      </c>
      <c r="T2373" s="1">
        <v>39.0</v>
      </c>
      <c r="U2373" s="1">
        <v>486.0</v>
      </c>
      <c r="V2373" s="1">
        <v>350.0</v>
      </c>
      <c r="W2373" s="1">
        <v>0.0</v>
      </c>
      <c r="X2373" s="1">
        <v>0.0</v>
      </c>
      <c r="Y2373" s="1">
        <v>1.85</v>
      </c>
      <c r="Z2373" s="1">
        <v>7.3</v>
      </c>
    </row>
    <row r="2374" ht="14.25" customHeight="1">
      <c r="A2374" s="1" t="s">
        <v>26</v>
      </c>
      <c r="B2374" s="1" t="s">
        <v>247</v>
      </c>
      <c r="C2374" s="1" t="s">
        <v>11482</v>
      </c>
      <c r="D2374" s="1">
        <v>7.3326666E7</v>
      </c>
      <c r="E2374" s="1" t="s">
        <v>2657</v>
      </c>
      <c r="F2374" s="1" t="s">
        <v>1719</v>
      </c>
      <c r="G2374" s="1" t="s">
        <v>1577</v>
      </c>
      <c r="H2374" s="1" t="s">
        <v>11483</v>
      </c>
      <c r="I2374" s="1">
        <v>189413.0</v>
      </c>
      <c r="J2374" s="1" t="s">
        <v>11484</v>
      </c>
      <c r="K2374" s="1" t="s">
        <v>11485</v>
      </c>
      <c r="L2374" s="1">
        <v>306.0</v>
      </c>
      <c r="M2374" s="1" t="s">
        <v>35</v>
      </c>
      <c r="N2374" s="1" t="s">
        <v>36</v>
      </c>
      <c r="O2374" s="1" t="s">
        <v>87</v>
      </c>
      <c r="P2374" s="1">
        <v>1.5E7</v>
      </c>
      <c r="Q2374" s="1">
        <v>1988.0</v>
      </c>
      <c r="R2374" s="1">
        <v>925.0</v>
      </c>
      <c r="S2374" s="1">
        <v>692.0</v>
      </c>
      <c r="T2374" s="1">
        <v>217.0</v>
      </c>
      <c r="U2374" s="1">
        <v>1953.0</v>
      </c>
      <c r="V2374" s="1">
        <v>13000.0</v>
      </c>
      <c r="W2374" s="1">
        <v>15000.0</v>
      </c>
      <c r="X2374" s="1">
        <v>3.0</v>
      </c>
      <c r="Y2374" s="1">
        <v>1.85</v>
      </c>
      <c r="Z2374" s="1">
        <v>7.5</v>
      </c>
    </row>
    <row r="2375" ht="14.25" customHeight="1">
      <c r="A2375" s="1" t="s">
        <v>26</v>
      </c>
      <c r="B2375" s="1" t="s">
        <v>8809</v>
      </c>
      <c r="C2375" s="1" t="s">
        <v>11486</v>
      </c>
      <c r="D2375" s="1">
        <v>5.5184721E7</v>
      </c>
      <c r="E2375" s="1" t="s">
        <v>2422</v>
      </c>
      <c r="F2375" s="1" t="s">
        <v>6043</v>
      </c>
      <c r="G2375" s="1" t="s">
        <v>3803</v>
      </c>
      <c r="H2375" s="1" t="s">
        <v>11487</v>
      </c>
      <c r="I2375" s="1">
        <v>9811.0</v>
      </c>
      <c r="J2375" s="1" t="s">
        <v>11488</v>
      </c>
      <c r="K2375" s="1" t="s">
        <v>11489</v>
      </c>
      <c r="L2375" s="1">
        <v>100.0</v>
      </c>
      <c r="M2375" s="1" t="s">
        <v>35</v>
      </c>
      <c r="N2375" s="1" t="s">
        <v>36</v>
      </c>
      <c r="O2375" s="1" t="s">
        <v>37</v>
      </c>
      <c r="P2375" s="1">
        <v>1.5E7</v>
      </c>
      <c r="Q2375" s="1">
        <v>2007.0</v>
      </c>
      <c r="R2375" s="1">
        <v>2000.0</v>
      </c>
      <c r="S2375" s="1">
        <v>721.0</v>
      </c>
      <c r="T2375" s="1">
        <v>607.0</v>
      </c>
      <c r="U2375" s="1">
        <v>6510.0</v>
      </c>
      <c r="V2375" s="1">
        <v>0.0</v>
      </c>
      <c r="W2375" s="1">
        <v>1000.0</v>
      </c>
      <c r="X2375" s="1">
        <v>8.0</v>
      </c>
      <c r="Y2375" s="1">
        <v>1.85</v>
      </c>
      <c r="Z2375" s="1">
        <v>5.6</v>
      </c>
    </row>
    <row r="2376" ht="14.25" customHeight="1">
      <c r="A2376" s="1" t="s">
        <v>26</v>
      </c>
      <c r="B2376" s="1" t="s">
        <v>11490</v>
      </c>
      <c r="C2376" s="1" t="s">
        <v>11491</v>
      </c>
      <c r="D2376" s="1">
        <v>5.00033E7</v>
      </c>
      <c r="E2376" s="1" t="s">
        <v>11492</v>
      </c>
      <c r="F2376" s="1" t="s">
        <v>59</v>
      </c>
      <c r="G2376" s="1" t="s">
        <v>76</v>
      </c>
      <c r="H2376" s="1" t="s">
        <v>5424</v>
      </c>
      <c r="I2376" s="1">
        <v>36624.0</v>
      </c>
      <c r="J2376" s="1" t="s">
        <v>11493</v>
      </c>
      <c r="K2376" s="1" t="s">
        <v>11494</v>
      </c>
      <c r="L2376" s="1">
        <v>132.0</v>
      </c>
      <c r="M2376" s="1" t="s">
        <v>35</v>
      </c>
      <c r="N2376" s="1" t="s">
        <v>36</v>
      </c>
      <c r="O2376" s="1" t="s">
        <v>87</v>
      </c>
      <c r="P2376" s="1">
        <v>1.5E7</v>
      </c>
      <c r="Q2376" s="1">
        <v>1994.0</v>
      </c>
      <c r="R2376" s="1">
        <v>23000.0</v>
      </c>
      <c r="S2376" s="1">
        <v>4000.0</v>
      </c>
      <c r="T2376" s="1">
        <v>902.0</v>
      </c>
      <c r="U2376" s="1">
        <v>29370.0</v>
      </c>
      <c r="V2376" s="1">
        <v>44.0</v>
      </c>
      <c r="W2376" s="1">
        <v>0.0</v>
      </c>
      <c r="X2376" s="1">
        <v>4.0</v>
      </c>
      <c r="Y2376" s="1">
        <v>1.85</v>
      </c>
      <c r="Z2376" s="1">
        <v>7.3</v>
      </c>
    </row>
    <row r="2377" ht="14.25" customHeight="1">
      <c r="A2377" s="1" t="s">
        <v>26</v>
      </c>
      <c r="B2377" s="1" t="s">
        <v>11495</v>
      </c>
      <c r="C2377" s="1" t="s">
        <v>11496</v>
      </c>
      <c r="D2377" s="1">
        <v>5.4322273E7</v>
      </c>
      <c r="E2377" s="1" t="s">
        <v>858</v>
      </c>
      <c r="F2377" s="1" t="s">
        <v>99</v>
      </c>
      <c r="G2377" s="1" t="s">
        <v>10596</v>
      </c>
      <c r="H2377" s="1" t="s">
        <v>11497</v>
      </c>
      <c r="I2377" s="1">
        <v>139749.0</v>
      </c>
      <c r="J2377" s="1" t="s">
        <v>11498</v>
      </c>
      <c r="K2377" s="1" t="s">
        <v>11499</v>
      </c>
      <c r="L2377" s="1">
        <v>509.0</v>
      </c>
      <c r="M2377" s="1" t="s">
        <v>35</v>
      </c>
      <c r="N2377" s="1" t="s">
        <v>54</v>
      </c>
      <c r="O2377" s="1" t="s">
        <v>37</v>
      </c>
      <c r="P2377" s="1">
        <v>1.7E7</v>
      </c>
      <c r="Q2377" s="1">
        <v>2012.0</v>
      </c>
      <c r="R2377" s="1">
        <v>11000.0</v>
      </c>
      <c r="S2377" s="1">
        <v>326.0</v>
      </c>
      <c r="T2377" s="1">
        <v>259.0</v>
      </c>
      <c r="U2377" s="1">
        <v>11946.0</v>
      </c>
      <c r="V2377" s="1">
        <v>43.0</v>
      </c>
      <c r="W2377" s="1">
        <v>29000.0</v>
      </c>
      <c r="X2377" s="1">
        <v>0.0</v>
      </c>
      <c r="Y2377" s="1">
        <v>2.35</v>
      </c>
      <c r="Z2377" s="1">
        <v>6.4</v>
      </c>
    </row>
    <row r="2378" ht="14.25" customHeight="1">
      <c r="A2378" s="1" t="s">
        <v>26</v>
      </c>
      <c r="B2378" s="1" t="s">
        <v>1700</v>
      </c>
      <c r="C2378" s="1" t="s">
        <v>11500</v>
      </c>
      <c r="D2378" s="1">
        <v>4.7860214E7</v>
      </c>
      <c r="E2378" s="1" t="s">
        <v>6278</v>
      </c>
      <c r="F2378" s="1" t="s">
        <v>4427</v>
      </c>
      <c r="G2378" s="1" t="s">
        <v>11501</v>
      </c>
      <c r="H2378" s="1" t="s">
        <v>3082</v>
      </c>
      <c r="I2378" s="1">
        <v>34711.0</v>
      </c>
      <c r="J2378" s="1" t="s">
        <v>11502</v>
      </c>
      <c r="K2378" s="1" t="s">
        <v>11503</v>
      </c>
      <c r="L2378" s="1">
        <v>468.0</v>
      </c>
      <c r="M2378" s="1" t="s">
        <v>35</v>
      </c>
      <c r="N2378" s="1" t="s">
        <v>36</v>
      </c>
      <c r="O2378" s="1" t="s">
        <v>37</v>
      </c>
      <c r="P2378" s="1">
        <v>1.5E7</v>
      </c>
      <c r="Q2378" s="1">
        <v>2006.0</v>
      </c>
      <c r="R2378" s="1">
        <v>1000.0</v>
      </c>
      <c r="S2378" s="1">
        <v>431.0</v>
      </c>
      <c r="T2378" s="1">
        <v>383.0</v>
      </c>
      <c r="U2378" s="1">
        <v>2452.0</v>
      </c>
      <c r="V2378" s="1">
        <v>165.0</v>
      </c>
      <c r="W2378" s="1">
        <v>0.0</v>
      </c>
      <c r="X2378" s="1">
        <v>0.0</v>
      </c>
      <c r="Y2378" s="1">
        <v>2.35</v>
      </c>
      <c r="Z2378" s="1">
        <v>5.0</v>
      </c>
    </row>
    <row r="2379" ht="14.25" customHeight="1">
      <c r="A2379" s="1" t="s">
        <v>26</v>
      </c>
      <c r="B2379" s="1" t="s">
        <v>772</v>
      </c>
      <c r="C2379" s="1" t="s">
        <v>11504</v>
      </c>
      <c r="D2379" s="1">
        <v>4.7811275E7</v>
      </c>
      <c r="E2379" s="1" t="s">
        <v>2267</v>
      </c>
      <c r="F2379" s="1" t="s">
        <v>8625</v>
      </c>
      <c r="G2379" s="1" t="s">
        <v>8395</v>
      </c>
      <c r="H2379" s="1" t="s">
        <v>11505</v>
      </c>
      <c r="I2379" s="1">
        <v>29008.0</v>
      </c>
      <c r="J2379" s="1" t="s">
        <v>11506</v>
      </c>
      <c r="K2379" s="1" t="s">
        <v>11507</v>
      </c>
      <c r="L2379" s="1">
        <v>99.0</v>
      </c>
      <c r="M2379" s="1" t="s">
        <v>35</v>
      </c>
      <c r="N2379" s="1" t="s">
        <v>36</v>
      </c>
      <c r="O2379" s="1" t="s">
        <v>87</v>
      </c>
      <c r="P2379" s="1">
        <v>1.5E7</v>
      </c>
      <c r="Q2379" s="1">
        <v>2002.0</v>
      </c>
      <c r="R2379" s="1">
        <v>934.0</v>
      </c>
      <c r="S2379" s="1">
        <v>927.0</v>
      </c>
      <c r="T2379" s="1">
        <v>799.0</v>
      </c>
      <c r="U2379" s="1">
        <v>3707.0</v>
      </c>
      <c r="V2379" s="1">
        <v>189.0</v>
      </c>
      <c r="W2379" s="1">
        <v>896.0</v>
      </c>
      <c r="X2379" s="1">
        <v>1.0</v>
      </c>
      <c r="Y2379" s="1">
        <v>1.85</v>
      </c>
      <c r="Z2379" s="1">
        <v>5.4</v>
      </c>
    </row>
    <row r="2380" ht="14.25" customHeight="1">
      <c r="A2380" s="1" t="s">
        <v>26</v>
      </c>
      <c r="B2380" s="1" t="s">
        <v>2962</v>
      </c>
      <c r="C2380" s="1" t="s">
        <v>11508</v>
      </c>
      <c r="D2380" s="1">
        <v>4.3022524E7</v>
      </c>
      <c r="E2380" s="1" t="s">
        <v>2422</v>
      </c>
      <c r="F2380" s="1" t="s">
        <v>1663</v>
      </c>
      <c r="G2380" s="1" t="s">
        <v>76</v>
      </c>
      <c r="H2380" s="1" t="s">
        <v>973</v>
      </c>
      <c r="I2380" s="1">
        <v>67604.0</v>
      </c>
      <c r="J2380" s="1" t="s">
        <v>11509</v>
      </c>
      <c r="K2380" s="1" t="s">
        <v>11510</v>
      </c>
      <c r="L2380" s="1">
        <v>218.0</v>
      </c>
      <c r="M2380" s="1" t="s">
        <v>35</v>
      </c>
      <c r="N2380" s="1" t="s">
        <v>36</v>
      </c>
      <c r="O2380" s="1" t="s">
        <v>628</v>
      </c>
      <c r="P2380" s="1">
        <v>1.5E7</v>
      </c>
      <c r="Q2380" s="1">
        <v>1997.0</v>
      </c>
      <c r="R2380" s="1">
        <v>22000.0</v>
      </c>
      <c r="S2380" s="1">
        <v>4000.0</v>
      </c>
      <c r="T2380" s="1">
        <v>957.0</v>
      </c>
      <c r="U2380" s="1">
        <v>29252.0</v>
      </c>
      <c r="V2380" s="1">
        <v>272.0</v>
      </c>
      <c r="W2380" s="1">
        <v>12000.0</v>
      </c>
      <c r="X2380" s="1">
        <v>0.0</v>
      </c>
      <c r="Y2380" s="1">
        <v>1.85</v>
      </c>
      <c r="Z2380" s="1">
        <v>7.1</v>
      </c>
    </row>
    <row r="2381" ht="14.25" customHeight="1">
      <c r="A2381" s="1" t="s">
        <v>26</v>
      </c>
      <c r="B2381" s="1" t="s">
        <v>11511</v>
      </c>
      <c r="C2381" s="1" t="s">
        <v>11512</v>
      </c>
      <c r="D2381" s="1">
        <v>4.267263E7</v>
      </c>
      <c r="E2381" s="1" t="s">
        <v>11513</v>
      </c>
      <c r="F2381" s="1" t="s">
        <v>11514</v>
      </c>
      <c r="G2381" s="1" t="s">
        <v>11515</v>
      </c>
      <c r="H2381" s="1" t="s">
        <v>1779</v>
      </c>
      <c r="I2381" s="1">
        <v>27580.0</v>
      </c>
      <c r="J2381" s="1" t="s">
        <v>11516</v>
      </c>
      <c r="K2381" s="1" t="s">
        <v>11517</v>
      </c>
      <c r="L2381" s="1">
        <v>172.0</v>
      </c>
      <c r="M2381" s="1" t="s">
        <v>35</v>
      </c>
      <c r="N2381" s="1" t="s">
        <v>36</v>
      </c>
      <c r="O2381" s="1" t="s">
        <v>87</v>
      </c>
      <c r="P2381" s="1">
        <v>1.7E7</v>
      </c>
      <c r="Q2381" s="1">
        <v>2003.0</v>
      </c>
      <c r="R2381" s="1">
        <v>925.0</v>
      </c>
      <c r="S2381" s="1">
        <v>738.0</v>
      </c>
      <c r="T2381" s="1">
        <v>566.0</v>
      </c>
      <c r="U2381" s="1">
        <v>3423.0</v>
      </c>
      <c r="V2381" s="1">
        <v>13.0</v>
      </c>
      <c r="W2381" s="1">
        <v>0.0</v>
      </c>
      <c r="X2381" s="1">
        <v>1.0</v>
      </c>
      <c r="Y2381" s="1">
        <v>2.35</v>
      </c>
      <c r="Z2381" s="1">
        <v>5.3</v>
      </c>
    </row>
    <row r="2382" ht="14.25" customHeight="1">
      <c r="A2382" s="1" t="s">
        <v>26</v>
      </c>
      <c r="B2382" s="1" t="s">
        <v>11518</v>
      </c>
      <c r="C2382" s="1" t="s">
        <v>11519</v>
      </c>
      <c r="D2382" s="1">
        <v>4.2919096E7</v>
      </c>
      <c r="E2382" s="1" t="s">
        <v>886</v>
      </c>
      <c r="F2382" s="1" t="s">
        <v>1036</v>
      </c>
      <c r="G2382" s="1" t="s">
        <v>4653</v>
      </c>
      <c r="H2382" s="1" t="s">
        <v>5962</v>
      </c>
      <c r="I2382" s="1">
        <v>64747.0</v>
      </c>
      <c r="J2382" s="1" t="s">
        <v>11520</v>
      </c>
      <c r="K2382" s="1" t="s">
        <v>11521</v>
      </c>
      <c r="L2382" s="1">
        <v>122.0</v>
      </c>
      <c r="M2382" s="1" t="s">
        <v>35</v>
      </c>
      <c r="N2382" s="1" t="s">
        <v>36</v>
      </c>
      <c r="O2382" s="1" t="s">
        <v>37</v>
      </c>
      <c r="P2382" s="1">
        <v>1.5E7</v>
      </c>
      <c r="Q2382" s="1">
        <v>2013.0</v>
      </c>
      <c r="R2382" s="1">
        <v>12000.0</v>
      </c>
      <c r="S2382" s="1">
        <v>1000.0</v>
      </c>
      <c r="T2382" s="1">
        <v>874.0</v>
      </c>
      <c r="U2382" s="1">
        <v>15800.0</v>
      </c>
      <c r="V2382" s="1">
        <v>29.0</v>
      </c>
      <c r="W2382" s="1">
        <v>12000.0</v>
      </c>
      <c r="X2382" s="1">
        <v>1.0</v>
      </c>
      <c r="Y2382" s="1">
        <v>2.35</v>
      </c>
      <c r="Z2382" s="1">
        <v>6.5</v>
      </c>
    </row>
    <row r="2383" ht="14.25" customHeight="1">
      <c r="A2383" s="1" t="s">
        <v>26</v>
      </c>
      <c r="B2383" s="1" t="s">
        <v>11522</v>
      </c>
      <c r="C2383" s="1" t="s">
        <v>11523</v>
      </c>
      <c r="D2383" s="1">
        <v>4.259253E7</v>
      </c>
      <c r="E2383" s="1" t="s">
        <v>846</v>
      </c>
      <c r="F2383" s="1" t="s">
        <v>1475</v>
      </c>
      <c r="G2383" s="1" t="s">
        <v>4764</v>
      </c>
      <c r="H2383" s="1" t="s">
        <v>11524</v>
      </c>
      <c r="I2383" s="1">
        <v>29867.0</v>
      </c>
      <c r="J2383" s="1" t="s">
        <v>11525</v>
      </c>
      <c r="K2383" s="1" t="s">
        <v>11526</v>
      </c>
      <c r="L2383" s="1">
        <v>181.0</v>
      </c>
      <c r="M2383" s="1" t="s">
        <v>35</v>
      </c>
      <c r="N2383" s="1" t="s">
        <v>36</v>
      </c>
      <c r="O2383" s="1" t="s">
        <v>37</v>
      </c>
      <c r="P2383" s="1">
        <v>1.5E7</v>
      </c>
      <c r="Q2383" s="1">
        <v>2015.0</v>
      </c>
      <c r="R2383" s="1">
        <v>3000.0</v>
      </c>
      <c r="S2383" s="1">
        <v>658.0</v>
      </c>
      <c r="T2383" s="1">
        <v>562.0</v>
      </c>
      <c r="U2383" s="1">
        <v>4567.0</v>
      </c>
      <c r="V2383" s="1">
        <v>66.0</v>
      </c>
      <c r="W2383" s="1">
        <v>27000.0</v>
      </c>
      <c r="X2383" s="1">
        <v>0.0</v>
      </c>
      <c r="Y2383" s="1">
        <v>2.35</v>
      </c>
      <c r="Z2383" s="1">
        <v>6.2</v>
      </c>
    </row>
    <row r="2384" ht="14.25" customHeight="1">
      <c r="A2384" s="1" t="s">
        <v>26</v>
      </c>
      <c r="B2384" s="1" t="s">
        <v>4632</v>
      </c>
      <c r="C2384" s="1" t="s">
        <v>11527</v>
      </c>
      <c r="D2384" s="1">
        <v>4.0064955E7</v>
      </c>
      <c r="E2384" s="1" t="s">
        <v>6618</v>
      </c>
      <c r="F2384" s="1" t="s">
        <v>645</v>
      </c>
      <c r="G2384" s="1" t="s">
        <v>480</v>
      </c>
      <c r="H2384" s="1" t="s">
        <v>5630</v>
      </c>
      <c r="I2384" s="1">
        <v>92074.0</v>
      </c>
      <c r="J2384" s="1" t="s">
        <v>11528</v>
      </c>
      <c r="K2384" s="1" t="s">
        <v>11529</v>
      </c>
      <c r="L2384" s="1">
        <v>502.0</v>
      </c>
      <c r="M2384" s="1" t="s">
        <v>35</v>
      </c>
      <c r="N2384" s="1" t="s">
        <v>36</v>
      </c>
      <c r="O2384" s="1" t="s">
        <v>628</v>
      </c>
      <c r="P2384" s="1">
        <v>1.5E7</v>
      </c>
      <c r="Q2384" s="1">
        <v>1998.0</v>
      </c>
      <c r="R2384" s="1">
        <v>4000.0</v>
      </c>
      <c r="S2384" s="1">
        <v>4000.0</v>
      </c>
      <c r="T2384" s="1">
        <v>1000.0</v>
      </c>
      <c r="U2384" s="1">
        <v>12170.0</v>
      </c>
      <c r="V2384" s="1">
        <v>0.0</v>
      </c>
      <c r="W2384" s="1">
        <v>0.0</v>
      </c>
      <c r="X2384" s="1">
        <v>1.0</v>
      </c>
      <c r="Y2384" s="1">
        <v>1.85</v>
      </c>
      <c r="Z2384" s="1">
        <v>6.4</v>
      </c>
    </row>
    <row r="2385" ht="14.25" customHeight="1">
      <c r="A2385" s="1" t="s">
        <v>26</v>
      </c>
      <c r="B2385" s="1" t="s">
        <v>1365</v>
      </c>
      <c r="C2385" s="1" t="s">
        <v>11530</v>
      </c>
      <c r="D2385" s="1">
        <v>4.4886089E7</v>
      </c>
      <c r="E2385" s="1" t="s">
        <v>2045</v>
      </c>
      <c r="F2385" s="1" t="s">
        <v>1663</v>
      </c>
      <c r="G2385" s="1" t="s">
        <v>1702</v>
      </c>
      <c r="H2385" s="1" t="s">
        <v>757</v>
      </c>
      <c r="I2385" s="1">
        <v>69576.0</v>
      </c>
      <c r="J2385" s="1" t="s">
        <v>11531</v>
      </c>
      <c r="K2385" s="1" t="s">
        <v>11532</v>
      </c>
      <c r="L2385" s="1">
        <v>207.0</v>
      </c>
      <c r="M2385" s="1" t="s">
        <v>35</v>
      </c>
      <c r="N2385" s="1" t="s">
        <v>36</v>
      </c>
      <c r="O2385" s="1" t="s">
        <v>628</v>
      </c>
      <c r="P2385" s="1">
        <v>1.0E7</v>
      </c>
      <c r="Q2385" s="1">
        <v>1997.0</v>
      </c>
      <c r="R2385" s="1">
        <v>22000.0</v>
      </c>
      <c r="S2385" s="1">
        <v>13000.0</v>
      </c>
      <c r="T2385" s="1">
        <v>1000.0</v>
      </c>
      <c r="U2385" s="1">
        <v>40117.0</v>
      </c>
      <c r="V2385" s="1">
        <v>446.0</v>
      </c>
      <c r="W2385" s="1">
        <v>2000.0</v>
      </c>
      <c r="X2385" s="1">
        <v>3.0</v>
      </c>
      <c r="Y2385" s="1">
        <v>1.85</v>
      </c>
      <c r="Z2385" s="1">
        <v>6.9</v>
      </c>
    </row>
    <row r="2386" ht="14.25" customHeight="1">
      <c r="A2386" s="1" t="s">
        <v>26</v>
      </c>
      <c r="B2386" s="1" t="s">
        <v>11533</v>
      </c>
      <c r="C2386" s="1" t="s">
        <v>11534</v>
      </c>
      <c r="D2386" s="1">
        <v>3.7882551E7</v>
      </c>
      <c r="E2386" s="1" t="s">
        <v>1885</v>
      </c>
      <c r="F2386" s="1" t="s">
        <v>214</v>
      </c>
      <c r="G2386" s="1" t="s">
        <v>11535</v>
      </c>
      <c r="H2386" s="1" t="s">
        <v>4116</v>
      </c>
      <c r="I2386" s="1">
        <v>80305.0</v>
      </c>
      <c r="J2386" s="1" t="s">
        <v>11536</v>
      </c>
      <c r="K2386" s="1" t="s">
        <v>11537</v>
      </c>
      <c r="L2386" s="1">
        <v>393.0</v>
      </c>
      <c r="M2386" s="1" t="s">
        <v>35</v>
      </c>
      <c r="N2386" s="1" t="s">
        <v>36</v>
      </c>
      <c r="O2386" s="1" t="s">
        <v>628</v>
      </c>
      <c r="P2386" s="1">
        <v>1.6E7</v>
      </c>
      <c r="Q2386" s="1">
        <v>2001.0</v>
      </c>
      <c r="R2386" s="1">
        <v>11000.0</v>
      </c>
      <c r="S2386" s="1">
        <v>983.0</v>
      </c>
      <c r="T2386" s="1">
        <v>971.0</v>
      </c>
      <c r="U2386" s="1">
        <v>15369.0</v>
      </c>
      <c r="V2386" s="1">
        <v>11.0</v>
      </c>
      <c r="W2386" s="1">
        <v>0.0</v>
      </c>
      <c r="X2386" s="1">
        <v>0.0</v>
      </c>
      <c r="Y2386" s="1">
        <v>1.85</v>
      </c>
      <c r="Z2386" s="1">
        <v>5.7</v>
      </c>
    </row>
    <row r="2387" ht="14.25" customHeight="1">
      <c r="A2387" s="1" t="s">
        <v>26</v>
      </c>
      <c r="B2387" s="1" t="s">
        <v>492</v>
      </c>
      <c r="C2387" s="1" t="s">
        <v>11538</v>
      </c>
      <c r="D2387" s="1">
        <v>4.0983001E7</v>
      </c>
      <c r="E2387" s="1" t="s">
        <v>2045</v>
      </c>
      <c r="F2387" s="1" t="s">
        <v>365</v>
      </c>
      <c r="G2387" s="1" t="s">
        <v>2357</v>
      </c>
      <c r="H2387" s="1" t="s">
        <v>617</v>
      </c>
      <c r="I2387" s="1">
        <v>181025.0</v>
      </c>
      <c r="J2387" s="1" t="s">
        <v>11539</v>
      </c>
      <c r="K2387" s="1" t="s">
        <v>11540</v>
      </c>
      <c r="L2387" s="1">
        <v>336.0</v>
      </c>
      <c r="M2387" s="1" t="s">
        <v>35</v>
      </c>
      <c r="N2387" s="1" t="s">
        <v>36</v>
      </c>
      <c r="O2387" s="1" t="s">
        <v>628</v>
      </c>
      <c r="P2387" s="1">
        <v>7000000.0</v>
      </c>
      <c r="Q2387" s="1">
        <v>2012.0</v>
      </c>
      <c r="R2387" s="1">
        <v>15000.0</v>
      </c>
      <c r="S2387" s="1">
        <v>10000.0</v>
      </c>
      <c r="T2387" s="1">
        <v>953.0</v>
      </c>
      <c r="U2387" s="1">
        <v>27788.0</v>
      </c>
      <c r="V2387" s="1">
        <v>453.0</v>
      </c>
      <c r="W2387" s="1">
        <v>38000.0</v>
      </c>
      <c r="X2387" s="1">
        <v>2.0</v>
      </c>
      <c r="Y2387" s="1">
        <v>1.85</v>
      </c>
      <c r="Z2387" s="1">
        <v>7.7</v>
      </c>
    </row>
    <row r="2388" ht="14.25" customHeight="1">
      <c r="A2388" s="1" t="s">
        <v>26</v>
      </c>
      <c r="B2388" s="1" t="s">
        <v>3175</v>
      </c>
      <c r="C2388" s="1" t="s">
        <v>6754</v>
      </c>
      <c r="D2388" s="1">
        <v>2.0991497E7</v>
      </c>
      <c r="E2388" s="1" t="s">
        <v>1359</v>
      </c>
      <c r="F2388" s="1" t="s">
        <v>174</v>
      </c>
      <c r="G2388" s="1" t="s">
        <v>631</v>
      </c>
      <c r="H2388" s="1" t="s">
        <v>534</v>
      </c>
      <c r="I2388" s="1">
        <v>39782.0</v>
      </c>
      <c r="J2388" s="1" t="s">
        <v>6755</v>
      </c>
      <c r="K2388" s="1" t="s">
        <v>6756</v>
      </c>
      <c r="L2388" s="1">
        <v>172.0</v>
      </c>
      <c r="M2388" s="1" t="s">
        <v>35</v>
      </c>
      <c r="N2388" s="1" t="s">
        <v>36</v>
      </c>
      <c r="O2388" s="1" t="s">
        <v>37</v>
      </c>
      <c r="P2388" s="1">
        <v>3.7E7</v>
      </c>
      <c r="Q2388" s="1">
        <v>2015.0</v>
      </c>
      <c r="R2388" s="1">
        <v>15000.0</v>
      </c>
      <c r="S2388" s="1">
        <v>14000.0</v>
      </c>
      <c r="T2388" s="1">
        <v>13000.0</v>
      </c>
      <c r="U2388" s="1">
        <v>44037.0</v>
      </c>
      <c r="V2388" s="1">
        <v>488.0</v>
      </c>
      <c r="W2388" s="1">
        <v>11000.0</v>
      </c>
      <c r="X2388" s="1">
        <v>1.0</v>
      </c>
      <c r="Y2388" s="1">
        <v>1.85</v>
      </c>
      <c r="Z2388" s="1">
        <v>5.4</v>
      </c>
    </row>
    <row r="2389" ht="14.25" customHeight="1">
      <c r="A2389" s="1" t="s">
        <v>26</v>
      </c>
      <c r="B2389" s="1" t="s">
        <v>484</v>
      </c>
      <c r="C2389" s="1" t="s">
        <v>11541</v>
      </c>
      <c r="D2389" s="1">
        <v>3.500718E7</v>
      </c>
      <c r="E2389" s="1" t="s">
        <v>449</v>
      </c>
      <c r="F2389" s="1" t="s">
        <v>328</v>
      </c>
      <c r="G2389" s="1" t="s">
        <v>2600</v>
      </c>
      <c r="H2389" s="1" t="s">
        <v>11542</v>
      </c>
      <c r="I2389" s="1">
        <v>26846.0</v>
      </c>
      <c r="J2389" s="1" t="s">
        <v>11543</v>
      </c>
      <c r="K2389" s="1" t="s">
        <v>11544</v>
      </c>
      <c r="L2389" s="1">
        <v>193.0</v>
      </c>
      <c r="M2389" s="1" t="s">
        <v>35</v>
      </c>
      <c r="N2389" s="1" t="s">
        <v>36</v>
      </c>
      <c r="O2389" s="1" t="s">
        <v>37</v>
      </c>
      <c r="P2389" s="1">
        <v>1.5E7</v>
      </c>
      <c r="Q2389" s="1">
        <v>2000.0</v>
      </c>
      <c r="R2389" s="1">
        <v>23000.0</v>
      </c>
      <c r="S2389" s="1">
        <v>1000.0</v>
      </c>
      <c r="T2389" s="1">
        <v>883.0</v>
      </c>
      <c r="U2389" s="1">
        <v>26652.0</v>
      </c>
      <c r="V2389" s="1">
        <v>357.0</v>
      </c>
      <c r="W2389" s="1">
        <v>0.0</v>
      </c>
      <c r="X2389" s="1">
        <v>0.0</v>
      </c>
      <c r="Y2389" s="1">
        <v>1.85</v>
      </c>
      <c r="Z2389" s="1">
        <v>5.6</v>
      </c>
    </row>
    <row r="2390" ht="14.25" customHeight="1">
      <c r="A2390" s="1" t="s">
        <v>26</v>
      </c>
      <c r="B2390" s="1" t="s">
        <v>11545</v>
      </c>
      <c r="C2390" s="1" t="s">
        <v>11546</v>
      </c>
      <c r="D2390" s="1">
        <v>3.5887263E7</v>
      </c>
      <c r="E2390" s="1" t="s">
        <v>5942</v>
      </c>
      <c r="F2390" s="1" t="s">
        <v>431</v>
      </c>
      <c r="G2390" s="1" t="s">
        <v>2783</v>
      </c>
      <c r="H2390" s="1" t="s">
        <v>3408</v>
      </c>
      <c r="I2390" s="1">
        <v>265507.0</v>
      </c>
      <c r="J2390" s="1" t="s">
        <v>11547</v>
      </c>
      <c r="K2390" s="1" t="s">
        <v>11548</v>
      </c>
      <c r="L2390" s="1">
        <v>388.0</v>
      </c>
      <c r="M2390" s="1" t="s">
        <v>35</v>
      </c>
      <c r="N2390" s="1" t="s">
        <v>54</v>
      </c>
      <c r="O2390" s="1" t="s">
        <v>37</v>
      </c>
      <c r="P2390" s="1">
        <v>1.5E7</v>
      </c>
      <c r="Q2390" s="1">
        <v>2014.0</v>
      </c>
      <c r="R2390" s="1">
        <v>13000.0</v>
      </c>
      <c r="S2390" s="1">
        <v>876.0</v>
      </c>
      <c r="T2390" s="1">
        <v>149.0</v>
      </c>
      <c r="U2390" s="1">
        <v>14100.0</v>
      </c>
      <c r="V2390" s="1">
        <v>120.0</v>
      </c>
      <c r="W2390" s="1">
        <v>90000.0</v>
      </c>
      <c r="X2390" s="1">
        <v>0.0</v>
      </c>
      <c r="Y2390" s="1">
        <v>2.35</v>
      </c>
      <c r="Z2390" s="1">
        <v>7.7</v>
      </c>
    </row>
    <row r="2391" ht="14.25" customHeight="1">
      <c r="A2391" s="1" t="s">
        <v>26</v>
      </c>
      <c r="B2391" s="1" t="s">
        <v>5997</v>
      </c>
      <c r="C2391" s="1" t="s">
        <v>11549</v>
      </c>
      <c r="D2391" s="1">
        <v>3.4308901E7</v>
      </c>
      <c r="E2391" s="1" t="s">
        <v>972</v>
      </c>
      <c r="F2391" s="1" t="s">
        <v>2124</v>
      </c>
      <c r="G2391" s="1" t="s">
        <v>5344</v>
      </c>
      <c r="H2391" s="1" t="s">
        <v>6770</v>
      </c>
      <c r="I2391" s="1">
        <v>15939.0</v>
      </c>
      <c r="J2391" s="1" t="s">
        <v>11550</v>
      </c>
      <c r="K2391" s="1" t="s">
        <v>11551</v>
      </c>
      <c r="L2391" s="1">
        <v>87.0</v>
      </c>
      <c r="M2391" s="1" t="s">
        <v>35</v>
      </c>
      <c r="N2391" s="1" t="s">
        <v>36</v>
      </c>
      <c r="O2391" s="1" t="s">
        <v>37</v>
      </c>
      <c r="P2391" s="1">
        <v>1.6E7</v>
      </c>
      <c r="Q2391" s="1">
        <v>2003.0</v>
      </c>
      <c r="R2391" s="1">
        <v>833.0</v>
      </c>
      <c r="S2391" s="1">
        <v>807.0</v>
      </c>
      <c r="T2391" s="1">
        <v>685.0</v>
      </c>
      <c r="U2391" s="1">
        <v>4435.0</v>
      </c>
      <c r="V2391" s="1">
        <v>14.0</v>
      </c>
      <c r="W2391" s="1">
        <v>0.0</v>
      </c>
      <c r="X2391" s="1">
        <v>3.0</v>
      </c>
      <c r="Y2391" s="1">
        <v>2.35</v>
      </c>
      <c r="Z2391" s="1">
        <v>5.1</v>
      </c>
    </row>
    <row r="2392" ht="14.25" customHeight="1">
      <c r="A2392" s="1" t="s">
        <v>26</v>
      </c>
      <c r="B2392" s="1" t="s">
        <v>11552</v>
      </c>
      <c r="C2392" s="1" t="s">
        <v>11553</v>
      </c>
      <c r="D2392" s="1">
        <v>3.3771174E7</v>
      </c>
      <c r="E2392" s="1" t="s">
        <v>1359</v>
      </c>
      <c r="F2392" s="1" t="s">
        <v>805</v>
      </c>
      <c r="G2392" s="1" t="s">
        <v>295</v>
      </c>
      <c r="H2392" s="1" t="s">
        <v>3930</v>
      </c>
      <c r="I2392" s="1">
        <v>27044.0</v>
      </c>
      <c r="J2392" s="1" t="s">
        <v>11554</v>
      </c>
      <c r="K2392" s="1" t="s">
        <v>11555</v>
      </c>
      <c r="L2392" s="1">
        <v>240.0</v>
      </c>
      <c r="M2392" s="1" t="s">
        <v>35</v>
      </c>
      <c r="N2392" s="1" t="s">
        <v>36</v>
      </c>
      <c r="O2392" s="1" t="s">
        <v>37</v>
      </c>
      <c r="P2392" s="1">
        <v>1.5E7</v>
      </c>
      <c r="Q2392" s="1">
        <v>2000.0</v>
      </c>
      <c r="R2392" s="1">
        <v>20000.0</v>
      </c>
      <c r="S2392" s="1">
        <v>1000.0</v>
      </c>
      <c r="T2392" s="1">
        <v>944.0</v>
      </c>
      <c r="U2392" s="1">
        <v>22383.0</v>
      </c>
      <c r="V2392" s="1">
        <v>18.0</v>
      </c>
      <c r="W2392" s="1">
        <v>0.0</v>
      </c>
      <c r="X2392" s="1">
        <v>2.0</v>
      </c>
      <c r="Y2392" s="1">
        <v>1.85</v>
      </c>
      <c r="Z2392" s="1">
        <v>6.8</v>
      </c>
    </row>
    <row r="2393" ht="14.25" customHeight="1">
      <c r="A2393" s="1" t="s">
        <v>26</v>
      </c>
      <c r="B2393" s="1" t="s">
        <v>8421</v>
      </c>
      <c r="C2393" s="1" t="s">
        <v>11556</v>
      </c>
      <c r="D2393" s="1">
        <v>6000000.0</v>
      </c>
      <c r="E2393" s="1" t="s">
        <v>3259</v>
      </c>
      <c r="F2393" s="1" t="s">
        <v>11557</v>
      </c>
      <c r="G2393" s="1" t="s">
        <v>5516</v>
      </c>
      <c r="H2393" s="1" t="s">
        <v>11558</v>
      </c>
      <c r="I2393" s="1">
        <v>192775.0</v>
      </c>
      <c r="J2393" s="1" t="s">
        <v>11559</v>
      </c>
      <c r="K2393" s="1" t="s">
        <v>11560</v>
      </c>
      <c r="L2393" s="1">
        <v>559.0</v>
      </c>
      <c r="M2393" s="1" t="s">
        <v>35</v>
      </c>
      <c r="N2393" s="1" t="s">
        <v>54</v>
      </c>
      <c r="O2393" s="1" t="s">
        <v>87</v>
      </c>
      <c r="P2393" s="1">
        <v>1.5E7</v>
      </c>
      <c r="Q2393" s="1">
        <v>1962.0</v>
      </c>
      <c r="R2393" s="1">
        <v>607.0</v>
      </c>
      <c r="S2393" s="1">
        <v>202.0</v>
      </c>
      <c r="T2393" s="1">
        <v>87.0</v>
      </c>
      <c r="U2393" s="1">
        <v>1076.0</v>
      </c>
      <c r="V2393" s="1">
        <v>767.0</v>
      </c>
      <c r="W2393" s="1">
        <v>11000.0</v>
      </c>
      <c r="X2393" s="1">
        <v>8.0</v>
      </c>
      <c r="Y2393" s="1">
        <v>2.2</v>
      </c>
      <c r="Z2393" s="1">
        <v>8.4</v>
      </c>
    </row>
    <row r="2394" ht="14.25" customHeight="1">
      <c r="A2394" s="1" t="s">
        <v>26</v>
      </c>
      <c r="B2394" s="1" t="s">
        <v>11561</v>
      </c>
      <c r="C2394" s="1" t="s">
        <v>11562</v>
      </c>
      <c r="D2394" s="1">
        <v>3.3386128E7</v>
      </c>
      <c r="E2394" s="1" t="s">
        <v>6019</v>
      </c>
      <c r="F2394" s="1" t="s">
        <v>9254</v>
      </c>
      <c r="G2394" s="1" t="s">
        <v>2851</v>
      </c>
      <c r="H2394" s="1" t="s">
        <v>4330</v>
      </c>
      <c r="I2394" s="1">
        <v>36372.0</v>
      </c>
      <c r="J2394" s="1" t="s">
        <v>11563</v>
      </c>
      <c r="K2394" s="1" t="s">
        <v>11564</v>
      </c>
      <c r="L2394" s="1">
        <v>491.0</v>
      </c>
      <c r="M2394" s="1" t="s">
        <v>35</v>
      </c>
      <c r="N2394" s="1" t="s">
        <v>36</v>
      </c>
      <c r="O2394" s="1" t="s">
        <v>628</v>
      </c>
      <c r="P2394" s="1">
        <v>1.5E7</v>
      </c>
      <c r="Q2394" s="1">
        <v>2009.0</v>
      </c>
      <c r="R2394" s="1">
        <v>908.0</v>
      </c>
      <c r="S2394" s="1">
        <v>764.0</v>
      </c>
      <c r="T2394" s="1">
        <v>593.0</v>
      </c>
      <c r="U2394" s="1">
        <v>3226.0</v>
      </c>
      <c r="V2394" s="1">
        <v>0.0</v>
      </c>
      <c r="W2394" s="1">
        <v>3000.0</v>
      </c>
      <c r="X2394" s="1">
        <v>0.0</v>
      </c>
      <c r="Y2394" s="1">
        <v>1.85</v>
      </c>
      <c r="Z2394" s="1">
        <v>4.9</v>
      </c>
    </row>
    <row r="2395" ht="14.25" customHeight="1">
      <c r="A2395" s="1" t="s">
        <v>26</v>
      </c>
      <c r="B2395" s="1" t="s">
        <v>7169</v>
      </c>
      <c r="C2395" s="1" t="s">
        <v>11565</v>
      </c>
      <c r="D2395" s="1">
        <v>3.7877959E7</v>
      </c>
      <c r="E2395" s="1" t="s">
        <v>10147</v>
      </c>
      <c r="F2395" s="1" t="s">
        <v>7171</v>
      </c>
      <c r="G2395" s="1" t="s">
        <v>1029</v>
      </c>
      <c r="H2395" s="1" t="s">
        <v>2178</v>
      </c>
      <c r="I2395" s="1">
        <v>86664.0</v>
      </c>
      <c r="J2395" s="1" t="s">
        <v>11566</v>
      </c>
      <c r="K2395" s="1" t="s">
        <v>11567</v>
      </c>
      <c r="L2395" s="1">
        <v>252.0</v>
      </c>
      <c r="M2395" s="1" t="s">
        <v>35</v>
      </c>
      <c r="N2395" s="1" t="s">
        <v>36</v>
      </c>
      <c r="O2395" s="1" t="s">
        <v>628</v>
      </c>
      <c r="P2395" s="1">
        <v>1.5E7</v>
      </c>
      <c r="Q2395" s="1">
        <v>2014.0</v>
      </c>
      <c r="R2395" s="1">
        <v>2000.0</v>
      </c>
      <c r="S2395" s="1">
        <v>820.0</v>
      </c>
      <c r="T2395" s="1">
        <v>612.0</v>
      </c>
      <c r="U2395" s="1">
        <v>4896.0</v>
      </c>
      <c r="V2395" s="1">
        <v>212.0</v>
      </c>
      <c r="W2395" s="1">
        <v>38000.0</v>
      </c>
      <c r="X2395" s="1">
        <v>1.0</v>
      </c>
      <c r="Y2395" s="1">
        <v>2.35</v>
      </c>
      <c r="Z2395" s="1">
        <v>7.1</v>
      </c>
    </row>
    <row r="2396" ht="14.25" customHeight="1">
      <c r="A2396" s="1" t="s">
        <v>26</v>
      </c>
      <c r="B2396" s="1" t="s">
        <v>11568</v>
      </c>
      <c r="C2396" s="1" t="s">
        <v>11569</v>
      </c>
      <c r="D2396" s="1">
        <v>3.2721635E7</v>
      </c>
      <c r="E2396" s="1" t="s">
        <v>6395</v>
      </c>
      <c r="F2396" s="1" t="s">
        <v>981</v>
      </c>
      <c r="G2396" s="1" t="s">
        <v>2519</v>
      </c>
      <c r="H2396" s="1" t="s">
        <v>11570</v>
      </c>
      <c r="I2396" s="1">
        <v>67822.0</v>
      </c>
      <c r="J2396" s="1" t="s">
        <v>11571</v>
      </c>
      <c r="K2396" s="1" t="s">
        <v>11572</v>
      </c>
      <c r="L2396" s="1">
        <v>279.0</v>
      </c>
      <c r="M2396" s="1" t="s">
        <v>35</v>
      </c>
      <c r="N2396" s="1" t="s">
        <v>36</v>
      </c>
      <c r="O2396" s="1" t="s">
        <v>628</v>
      </c>
      <c r="P2396" s="1">
        <v>1.5E7</v>
      </c>
      <c r="Q2396" s="1">
        <v>2009.0</v>
      </c>
      <c r="R2396" s="1">
        <v>956.0</v>
      </c>
      <c r="S2396" s="1">
        <v>878.0</v>
      </c>
      <c r="T2396" s="1">
        <v>616.0</v>
      </c>
      <c r="U2396" s="1">
        <v>3861.0</v>
      </c>
      <c r="V2396" s="1">
        <v>29.0</v>
      </c>
      <c r="W2396" s="1">
        <v>0.0</v>
      </c>
      <c r="X2396" s="1">
        <v>0.0</v>
      </c>
      <c r="Y2396" s="1">
        <v>1.85</v>
      </c>
      <c r="Z2396" s="1">
        <v>6.6</v>
      </c>
    </row>
    <row r="2397" ht="14.25" customHeight="1">
      <c r="A2397" s="1" t="s">
        <v>26</v>
      </c>
      <c r="B2397" s="1" t="s">
        <v>11310</v>
      </c>
      <c r="C2397" s="1" t="s">
        <v>11573</v>
      </c>
      <c r="D2397" s="1">
        <v>3.15853E7</v>
      </c>
      <c r="E2397" s="1" t="s">
        <v>1598</v>
      </c>
      <c r="F2397" s="1" t="s">
        <v>43</v>
      </c>
      <c r="G2397" s="1" t="s">
        <v>2297</v>
      </c>
      <c r="H2397" s="1" t="s">
        <v>4342</v>
      </c>
      <c r="I2397" s="1">
        <v>38248.0</v>
      </c>
      <c r="J2397" s="1" t="s">
        <v>11574</v>
      </c>
      <c r="K2397" s="1" t="s">
        <v>11575</v>
      </c>
      <c r="L2397" s="1">
        <v>250.0</v>
      </c>
      <c r="M2397" s="1" t="s">
        <v>35</v>
      </c>
      <c r="N2397" s="1" t="s">
        <v>36</v>
      </c>
      <c r="O2397" s="1" t="s">
        <v>37</v>
      </c>
      <c r="P2397" s="1">
        <v>1.5E7</v>
      </c>
      <c r="Q2397" s="1">
        <v>2005.0</v>
      </c>
      <c r="R2397" s="1">
        <v>1000.0</v>
      </c>
      <c r="S2397" s="1">
        <v>650.0</v>
      </c>
      <c r="T2397" s="1">
        <v>458.0</v>
      </c>
      <c r="U2397" s="1">
        <v>2666.0</v>
      </c>
      <c r="V2397" s="1">
        <v>6.0</v>
      </c>
      <c r="W2397" s="1">
        <v>0.0</v>
      </c>
      <c r="X2397" s="1">
        <v>0.0</v>
      </c>
      <c r="Y2397" s="1">
        <v>1.85</v>
      </c>
      <c r="Z2397" s="1">
        <v>6.1</v>
      </c>
    </row>
    <row r="2398" ht="14.25" customHeight="1">
      <c r="A2398" s="1" t="s">
        <v>26</v>
      </c>
      <c r="B2398" s="1" t="s">
        <v>11576</v>
      </c>
      <c r="C2398" s="1" t="s">
        <v>11577</v>
      </c>
      <c r="D2398" s="1">
        <v>3.0259652E7</v>
      </c>
      <c r="E2398" s="1" t="s">
        <v>11578</v>
      </c>
      <c r="F2398" s="1" t="s">
        <v>1651</v>
      </c>
      <c r="G2398" s="1" t="s">
        <v>4348</v>
      </c>
      <c r="H2398" s="1" t="s">
        <v>8306</v>
      </c>
      <c r="I2398" s="1">
        <v>26905.0</v>
      </c>
      <c r="J2398" s="1" t="s">
        <v>11579</v>
      </c>
      <c r="K2398" s="1" t="s">
        <v>11580</v>
      </c>
      <c r="L2398" s="1">
        <v>614.0</v>
      </c>
      <c r="M2398" s="1" t="s">
        <v>35</v>
      </c>
      <c r="N2398" s="1" t="s">
        <v>36</v>
      </c>
      <c r="O2398" s="1" t="s">
        <v>628</v>
      </c>
      <c r="P2398" s="1">
        <v>1.5E7</v>
      </c>
      <c r="Q2398" s="1">
        <v>2002.0</v>
      </c>
      <c r="R2398" s="1">
        <v>2000.0</v>
      </c>
      <c r="S2398" s="1">
        <v>864.0</v>
      </c>
      <c r="T2398" s="1">
        <v>731.0</v>
      </c>
      <c r="U2398" s="1">
        <v>5440.0</v>
      </c>
      <c r="V2398" s="1">
        <v>28.0</v>
      </c>
      <c r="W2398" s="1">
        <v>0.0</v>
      </c>
      <c r="X2398" s="1">
        <v>5.0</v>
      </c>
      <c r="Y2398" s="1">
        <v>2.35</v>
      </c>
      <c r="Z2398" s="1">
        <v>4.1</v>
      </c>
    </row>
    <row r="2399" ht="14.25" customHeight="1">
      <c r="A2399" s="1" t="s">
        <v>26</v>
      </c>
      <c r="B2399" s="1" t="s">
        <v>1077</v>
      </c>
      <c r="C2399" s="1" t="s">
        <v>1244</v>
      </c>
      <c r="D2399" s="1">
        <v>1.63192114E8</v>
      </c>
      <c r="E2399" s="1" t="s">
        <v>40</v>
      </c>
      <c r="F2399" s="1" t="s">
        <v>220</v>
      </c>
      <c r="G2399" s="1" t="s">
        <v>651</v>
      </c>
      <c r="H2399" s="1" t="s">
        <v>1245</v>
      </c>
      <c r="I2399" s="1">
        <v>229687.0</v>
      </c>
      <c r="J2399" s="1" t="s">
        <v>1246</v>
      </c>
      <c r="K2399" s="1" t="s">
        <v>1247</v>
      </c>
      <c r="L2399" s="1">
        <v>637.0</v>
      </c>
      <c r="M2399" s="1" t="s">
        <v>35</v>
      </c>
      <c r="N2399" s="1" t="s">
        <v>36</v>
      </c>
      <c r="O2399" s="1" t="s">
        <v>37</v>
      </c>
      <c r="P2399" s="1">
        <v>1.25E8</v>
      </c>
      <c r="Q2399" s="1">
        <v>2010.0</v>
      </c>
      <c r="R2399" s="1">
        <v>14000.0</v>
      </c>
      <c r="S2399" s="1">
        <v>1000.0</v>
      </c>
      <c r="T2399" s="1">
        <v>850.0</v>
      </c>
      <c r="U2399" s="1">
        <v>18003.0</v>
      </c>
      <c r="V2399" s="1">
        <v>255.0</v>
      </c>
      <c r="W2399" s="1">
        <v>15000.0</v>
      </c>
      <c r="X2399" s="1">
        <v>0.0</v>
      </c>
      <c r="Y2399" s="1">
        <v>2.35</v>
      </c>
      <c r="Z2399" s="1">
        <v>5.8</v>
      </c>
    </row>
    <row r="2400" ht="14.25" customHeight="1">
      <c r="A2400" s="1" t="s">
        <v>26</v>
      </c>
      <c r="B2400" s="1" t="s">
        <v>3691</v>
      </c>
      <c r="C2400" s="1" t="s">
        <v>11581</v>
      </c>
      <c r="D2400" s="1">
        <v>3.0857814E7</v>
      </c>
      <c r="E2400" s="1" t="s">
        <v>3254</v>
      </c>
      <c r="F2400" s="1" t="s">
        <v>423</v>
      </c>
      <c r="G2400" s="1" t="s">
        <v>6348</v>
      </c>
      <c r="H2400" s="1" t="s">
        <v>11582</v>
      </c>
      <c r="I2400" s="1">
        <v>294163.0</v>
      </c>
      <c r="J2400" s="1" t="s">
        <v>11583</v>
      </c>
      <c r="K2400" s="1" t="s">
        <v>11584</v>
      </c>
      <c r="L2400" s="1">
        <v>718.0</v>
      </c>
      <c r="M2400" s="1" t="s">
        <v>35</v>
      </c>
      <c r="N2400" s="1" t="s">
        <v>36</v>
      </c>
      <c r="O2400" s="1" t="s">
        <v>87</v>
      </c>
      <c r="P2400" s="1">
        <v>1.6E7</v>
      </c>
      <c r="Q2400" s="1">
        <v>1987.0</v>
      </c>
      <c r="R2400" s="1">
        <v>18000.0</v>
      </c>
      <c r="S2400" s="1">
        <v>636.0</v>
      </c>
      <c r="T2400" s="1">
        <v>594.0</v>
      </c>
      <c r="U2400" s="1">
        <v>20060.0</v>
      </c>
      <c r="V2400" s="1">
        <v>0.0</v>
      </c>
      <c r="W2400" s="1">
        <v>33000.0</v>
      </c>
      <c r="X2400" s="1">
        <v>0.0</v>
      </c>
      <c r="Y2400" s="1">
        <v>1.85</v>
      </c>
      <c r="Z2400" s="1">
        <v>8.1</v>
      </c>
    </row>
    <row r="2401" ht="14.25" customHeight="1">
      <c r="A2401" s="1" t="s">
        <v>26</v>
      </c>
      <c r="B2401" s="1" t="s">
        <v>1644</v>
      </c>
      <c r="C2401" s="1" t="s">
        <v>11585</v>
      </c>
      <c r="D2401" s="1">
        <v>3.0226144E7</v>
      </c>
      <c r="E2401" s="1" t="s">
        <v>1474</v>
      </c>
      <c r="F2401" s="1" t="s">
        <v>1644</v>
      </c>
      <c r="G2401" s="1" t="s">
        <v>7889</v>
      </c>
      <c r="H2401" s="1" t="s">
        <v>3032</v>
      </c>
      <c r="I2401" s="1">
        <v>47626.0</v>
      </c>
      <c r="J2401" s="1" t="s">
        <v>11586</v>
      </c>
      <c r="K2401" s="1" t="s">
        <v>11587</v>
      </c>
      <c r="L2401" s="1">
        <v>118.0</v>
      </c>
      <c r="M2401" s="1" t="s">
        <v>35</v>
      </c>
      <c r="N2401" s="1" t="s">
        <v>36</v>
      </c>
      <c r="O2401" s="1" t="s">
        <v>37</v>
      </c>
      <c r="P2401" s="1">
        <v>1.5E7</v>
      </c>
      <c r="Q2401" s="1">
        <v>2007.0</v>
      </c>
      <c r="R2401" s="1">
        <v>18000.0</v>
      </c>
      <c r="S2401" s="1">
        <v>2000.0</v>
      </c>
      <c r="T2401" s="1">
        <v>697.0</v>
      </c>
      <c r="U2401" s="1">
        <v>22745.0</v>
      </c>
      <c r="V2401" s="1">
        <v>18000.0</v>
      </c>
      <c r="W2401" s="1">
        <v>0.0</v>
      </c>
      <c r="X2401" s="1">
        <v>1.0</v>
      </c>
      <c r="Y2401" s="1">
        <v>2.35</v>
      </c>
      <c r="Z2401" s="1">
        <v>7.6</v>
      </c>
    </row>
    <row r="2402" ht="14.25" customHeight="1">
      <c r="A2402" s="1" t="s">
        <v>26</v>
      </c>
      <c r="B2402" s="1" t="s">
        <v>11588</v>
      </c>
      <c r="C2402" s="1" t="s">
        <v>11589</v>
      </c>
      <c r="D2402" s="1">
        <v>3.5054909E7</v>
      </c>
      <c r="E2402" s="1" t="s">
        <v>1854</v>
      </c>
      <c r="F2402" s="1" t="s">
        <v>4002</v>
      </c>
      <c r="G2402" s="1" t="s">
        <v>2818</v>
      </c>
      <c r="H2402" s="1" t="s">
        <v>11590</v>
      </c>
      <c r="I2402" s="1">
        <v>431578.0</v>
      </c>
      <c r="J2402" s="1" t="s">
        <v>11591</v>
      </c>
      <c r="K2402" s="1" t="s">
        <v>11592</v>
      </c>
      <c r="L2402" s="1">
        <v>1264.0</v>
      </c>
      <c r="M2402" s="1" t="s">
        <v>35</v>
      </c>
      <c r="N2402" s="1" t="s">
        <v>36</v>
      </c>
      <c r="O2402" s="1" t="s">
        <v>628</v>
      </c>
      <c r="P2402" s="1">
        <v>1.5E7</v>
      </c>
      <c r="Q2402" s="1">
        <v>2011.0</v>
      </c>
      <c r="R2402" s="1">
        <v>33000.0</v>
      </c>
      <c r="S2402" s="1">
        <v>745.0</v>
      </c>
      <c r="T2402" s="1">
        <v>228.0</v>
      </c>
      <c r="U2402" s="1">
        <v>34337.0</v>
      </c>
      <c r="V2402" s="1">
        <v>0.0</v>
      </c>
      <c r="W2402" s="1">
        <v>81000.0</v>
      </c>
      <c r="X2402" s="1">
        <v>0.0</v>
      </c>
      <c r="Y2402" s="1">
        <v>2.35</v>
      </c>
      <c r="Z2402" s="1">
        <v>7.8</v>
      </c>
    </row>
    <row r="2403" ht="14.25" customHeight="1">
      <c r="A2403" s="1" t="s">
        <v>26</v>
      </c>
      <c r="B2403" s="1" t="s">
        <v>11593</v>
      </c>
      <c r="C2403" s="1" t="s">
        <v>11594</v>
      </c>
      <c r="D2403" s="1">
        <v>2.9302097E7</v>
      </c>
      <c r="E2403" s="1" t="s">
        <v>11595</v>
      </c>
      <c r="F2403" s="1" t="s">
        <v>5291</v>
      </c>
      <c r="G2403" s="1" t="s">
        <v>6348</v>
      </c>
      <c r="H2403" s="1" t="s">
        <v>2724</v>
      </c>
      <c r="I2403" s="1">
        <v>23408.0</v>
      </c>
      <c r="J2403" s="1" t="s">
        <v>11596</v>
      </c>
      <c r="K2403" s="1" t="s">
        <v>11597</v>
      </c>
      <c r="L2403" s="1">
        <v>105.0</v>
      </c>
      <c r="M2403" s="1" t="s">
        <v>35</v>
      </c>
      <c r="N2403" s="1" t="s">
        <v>730</v>
      </c>
      <c r="O2403" s="1" t="s">
        <v>87</v>
      </c>
      <c r="P2403" s="1">
        <v>1.5E7</v>
      </c>
      <c r="Q2403" s="1">
        <v>2004.0</v>
      </c>
      <c r="R2403" s="1">
        <v>811.0</v>
      </c>
      <c r="S2403" s="1">
        <v>636.0</v>
      </c>
      <c r="T2403" s="1">
        <v>231.0</v>
      </c>
      <c r="U2403" s="1">
        <v>2167.0</v>
      </c>
      <c r="V2403" s="1">
        <v>10.0</v>
      </c>
      <c r="W2403" s="1">
        <v>810.0</v>
      </c>
      <c r="X2403" s="1">
        <v>8.0</v>
      </c>
      <c r="Y2403" s="1">
        <v>1.85</v>
      </c>
      <c r="Z2403" s="1">
        <v>4.6</v>
      </c>
    </row>
    <row r="2404" ht="14.25" customHeight="1">
      <c r="A2404" s="1" t="s">
        <v>26</v>
      </c>
      <c r="B2404" s="1" t="s">
        <v>10806</v>
      </c>
      <c r="C2404" s="1" t="s">
        <v>11598</v>
      </c>
      <c r="D2404" s="1">
        <v>2.9106737E7</v>
      </c>
      <c r="E2404" s="1" t="s">
        <v>1359</v>
      </c>
      <c r="F2404" s="1" t="s">
        <v>2511</v>
      </c>
      <c r="G2404" s="1" t="s">
        <v>5063</v>
      </c>
      <c r="H2404" s="1" t="s">
        <v>11599</v>
      </c>
      <c r="I2404" s="1">
        <v>15582.0</v>
      </c>
      <c r="J2404" s="1" t="s">
        <v>11600</v>
      </c>
      <c r="K2404" s="1" t="s">
        <v>11601</v>
      </c>
      <c r="L2404" s="1">
        <v>132.0</v>
      </c>
      <c r="M2404" s="1" t="s">
        <v>35</v>
      </c>
      <c r="N2404" s="1" t="s">
        <v>36</v>
      </c>
      <c r="O2404" s="1" t="s">
        <v>628</v>
      </c>
      <c r="P2404" s="1">
        <v>1.5E7</v>
      </c>
      <c r="Q2404" s="1">
        <v>1998.0</v>
      </c>
      <c r="R2404" s="1">
        <v>818.0</v>
      </c>
      <c r="S2404" s="1">
        <v>511.0</v>
      </c>
      <c r="T2404" s="1">
        <v>106.0</v>
      </c>
      <c r="U2404" s="1">
        <v>1450.0</v>
      </c>
      <c r="V2404" s="1">
        <v>13.0</v>
      </c>
      <c r="W2404" s="1">
        <v>849.0</v>
      </c>
      <c r="X2404" s="1">
        <v>0.0</v>
      </c>
      <c r="Y2404" s="1">
        <v>1.85</v>
      </c>
      <c r="Z2404" s="1">
        <v>6.0</v>
      </c>
    </row>
    <row r="2405" ht="14.25" customHeight="1">
      <c r="A2405" s="1" t="s">
        <v>26</v>
      </c>
      <c r="B2405" s="1" t="s">
        <v>11602</v>
      </c>
      <c r="C2405" s="1" t="s">
        <v>11603</v>
      </c>
      <c r="D2405" s="1">
        <v>2.8637507E7</v>
      </c>
      <c r="E2405" s="1" t="s">
        <v>745</v>
      </c>
      <c r="F2405" s="1" t="s">
        <v>851</v>
      </c>
      <c r="G2405" s="1" t="s">
        <v>4653</v>
      </c>
      <c r="H2405" s="1" t="s">
        <v>2158</v>
      </c>
      <c r="I2405" s="1">
        <v>212167.0</v>
      </c>
      <c r="J2405" s="1" t="s">
        <v>11604</v>
      </c>
      <c r="K2405" s="1" t="s">
        <v>11605</v>
      </c>
      <c r="L2405" s="1">
        <v>713.0</v>
      </c>
      <c r="M2405" s="1" t="s">
        <v>35</v>
      </c>
      <c r="N2405" s="1" t="s">
        <v>54</v>
      </c>
      <c r="O2405" s="1" t="s">
        <v>628</v>
      </c>
      <c r="P2405" s="1">
        <v>1.5E7</v>
      </c>
      <c r="Q2405" s="1">
        <v>2007.0</v>
      </c>
      <c r="R2405" s="1">
        <v>10000.0</v>
      </c>
      <c r="S2405" s="1">
        <v>1000.0</v>
      </c>
      <c r="T2405" s="1">
        <v>306.0</v>
      </c>
      <c r="U2405" s="1">
        <v>11471.0</v>
      </c>
      <c r="V2405" s="1">
        <v>35.0</v>
      </c>
      <c r="W2405" s="1">
        <v>0.0</v>
      </c>
      <c r="X2405" s="1">
        <v>1.0</v>
      </c>
      <c r="Y2405" s="1">
        <v>1.85</v>
      </c>
      <c r="Z2405" s="1">
        <v>7.0</v>
      </c>
    </row>
    <row r="2406" ht="14.25" customHeight="1">
      <c r="A2406" s="1" t="s">
        <v>26</v>
      </c>
      <c r="B2406" s="1" t="s">
        <v>5410</v>
      </c>
      <c r="C2406" s="1" t="s">
        <v>11606</v>
      </c>
      <c r="D2406" s="1">
        <v>3.0127963E7</v>
      </c>
      <c r="E2406" s="1" t="s">
        <v>7446</v>
      </c>
      <c r="F2406" s="1" t="s">
        <v>11607</v>
      </c>
      <c r="G2406" s="1" t="s">
        <v>9575</v>
      </c>
      <c r="H2406" s="1" t="s">
        <v>11608</v>
      </c>
      <c r="I2406" s="1">
        <v>12596.0</v>
      </c>
      <c r="J2406" s="1" t="s">
        <v>11609</v>
      </c>
      <c r="K2406" s="1" t="s">
        <v>11610</v>
      </c>
      <c r="L2406" s="1">
        <v>64.0</v>
      </c>
      <c r="M2406" s="1" t="s">
        <v>35</v>
      </c>
      <c r="N2406" s="1" t="s">
        <v>36</v>
      </c>
      <c r="O2406" s="1" t="s">
        <v>87</v>
      </c>
      <c r="P2406" s="1">
        <v>1.5E7</v>
      </c>
      <c r="Q2406" s="1">
        <v>2014.0</v>
      </c>
      <c r="R2406" s="1">
        <v>116.0</v>
      </c>
      <c r="S2406" s="1">
        <v>110.0</v>
      </c>
      <c r="T2406" s="1">
        <v>100.0</v>
      </c>
      <c r="U2406" s="1">
        <v>525.0</v>
      </c>
      <c r="V2406" s="1">
        <v>49.0</v>
      </c>
      <c r="W2406" s="1">
        <v>0.0</v>
      </c>
      <c r="X2406" s="1">
        <v>0.0</v>
      </c>
      <c r="Y2406" s="1">
        <v>1.85</v>
      </c>
      <c r="Z2406" s="1">
        <v>6.7</v>
      </c>
    </row>
    <row r="2407" ht="14.25" customHeight="1">
      <c r="A2407" s="1" t="s">
        <v>26</v>
      </c>
      <c r="B2407" s="1" t="s">
        <v>4367</v>
      </c>
      <c r="C2407" s="1" t="s">
        <v>11611</v>
      </c>
      <c r="D2407" s="1">
        <v>3.2645546E7</v>
      </c>
      <c r="E2407" s="1" t="s">
        <v>3731</v>
      </c>
      <c r="F2407" s="1" t="s">
        <v>7052</v>
      </c>
      <c r="G2407" s="1" t="s">
        <v>11612</v>
      </c>
      <c r="H2407" s="1" t="s">
        <v>7295</v>
      </c>
      <c r="I2407" s="1">
        <v>8427.0</v>
      </c>
      <c r="J2407" s="1" t="s">
        <v>11613</v>
      </c>
      <c r="K2407" s="1" t="s">
        <v>11614</v>
      </c>
      <c r="L2407" s="1">
        <v>88.0</v>
      </c>
      <c r="M2407" s="1" t="s">
        <v>35</v>
      </c>
      <c r="N2407" s="1" t="s">
        <v>36</v>
      </c>
      <c r="O2407" s="1" t="s">
        <v>87</v>
      </c>
      <c r="P2407" s="1">
        <v>1.4E7</v>
      </c>
      <c r="Q2407" s="1">
        <v>2005.0</v>
      </c>
      <c r="R2407" s="1">
        <v>907.0</v>
      </c>
      <c r="S2407" s="1">
        <v>807.0</v>
      </c>
      <c r="T2407" s="1">
        <v>649.0</v>
      </c>
      <c r="U2407" s="1">
        <v>3462.0</v>
      </c>
      <c r="V2407" s="1">
        <v>61.0</v>
      </c>
      <c r="W2407" s="1">
        <v>1000.0</v>
      </c>
      <c r="X2407" s="1">
        <v>5.0</v>
      </c>
      <c r="Y2407" s="1">
        <v>1.85</v>
      </c>
      <c r="Z2407" s="1">
        <v>6.4</v>
      </c>
    </row>
    <row r="2408" ht="14.25" customHeight="1">
      <c r="A2408" s="1" t="s">
        <v>26</v>
      </c>
      <c r="B2408" s="1" t="s">
        <v>11615</v>
      </c>
      <c r="C2408" s="1" t="s">
        <v>11616</v>
      </c>
      <c r="D2408" s="1">
        <v>2.7441122E7</v>
      </c>
      <c r="E2408" s="1" t="s">
        <v>4645</v>
      </c>
      <c r="F2408" s="1" t="s">
        <v>1186</v>
      </c>
      <c r="G2408" s="1" t="s">
        <v>2147</v>
      </c>
      <c r="H2408" s="1" t="s">
        <v>5606</v>
      </c>
      <c r="I2408" s="1">
        <v>14322.0</v>
      </c>
      <c r="J2408" s="1" t="s">
        <v>11617</v>
      </c>
      <c r="K2408" s="1" t="s">
        <v>11618</v>
      </c>
      <c r="L2408" s="1">
        <v>116.0</v>
      </c>
      <c r="M2408" s="1" t="s">
        <v>35</v>
      </c>
      <c r="N2408" s="1" t="s">
        <v>36</v>
      </c>
      <c r="O2408" s="1" t="s">
        <v>37</v>
      </c>
      <c r="P2408" s="1">
        <v>1.5E7</v>
      </c>
      <c r="Q2408" s="1">
        <v>2000.0</v>
      </c>
      <c r="R2408" s="1">
        <v>1000.0</v>
      </c>
      <c r="S2408" s="1">
        <v>886.0</v>
      </c>
      <c r="T2408" s="1">
        <v>865.0</v>
      </c>
      <c r="U2408" s="1">
        <v>5135.0</v>
      </c>
      <c r="V2408" s="1">
        <v>107.0</v>
      </c>
      <c r="W2408" s="1">
        <v>0.0</v>
      </c>
      <c r="X2408" s="1">
        <v>0.0</v>
      </c>
      <c r="Y2408" s="1">
        <v>1.85</v>
      </c>
      <c r="Z2408" s="1">
        <v>7.2</v>
      </c>
    </row>
    <row r="2409" ht="14.25" customHeight="1">
      <c r="A2409" s="1" t="s">
        <v>26</v>
      </c>
      <c r="B2409" s="1" t="s">
        <v>5174</v>
      </c>
      <c r="C2409" s="1" t="s">
        <v>11619</v>
      </c>
      <c r="D2409" s="1">
        <v>2.8014536E7</v>
      </c>
      <c r="E2409" s="1" t="s">
        <v>1464</v>
      </c>
      <c r="F2409" s="1" t="s">
        <v>3319</v>
      </c>
      <c r="G2409" s="1" t="s">
        <v>4948</v>
      </c>
      <c r="H2409" s="1" t="s">
        <v>11620</v>
      </c>
      <c r="I2409" s="1">
        <v>73347.0</v>
      </c>
      <c r="J2409" s="1" t="s">
        <v>11621</v>
      </c>
      <c r="K2409" s="1" t="s">
        <v>11622</v>
      </c>
      <c r="L2409" s="1">
        <v>296.0</v>
      </c>
      <c r="M2409" s="1" t="s">
        <v>35</v>
      </c>
      <c r="N2409" s="1" t="s">
        <v>36</v>
      </c>
      <c r="O2409" s="1" t="s">
        <v>628</v>
      </c>
      <c r="P2409" s="1">
        <v>1.5E7</v>
      </c>
      <c r="Q2409" s="1">
        <v>1997.0</v>
      </c>
      <c r="R2409" s="1">
        <v>893.0</v>
      </c>
      <c r="S2409" s="1">
        <v>822.0</v>
      </c>
      <c r="T2409" s="1">
        <v>141.0</v>
      </c>
      <c r="U2409" s="1">
        <v>2044.0</v>
      </c>
      <c r="V2409" s="1">
        <v>5.0</v>
      </c>
      <c r="W2409" s="1">
        <v>0.0</v>
      </c>
      <c r="X2409" s="1">
        <v>1.0</v>
      </c>
      <c r="Y2409" s="1">
        <v>1.85</v>
      </c>
      <c r="Z2409" s="1">
        <v>7.4</v>
      </c>
    </row>
    <row r="2410" ht="14.25" customHeight="1">
      <c r="A2410" s="1" t="s">
        <v>26</v>
      </c>
      <c r="B2410" s="1" t="s">
        <v>11623</v>
      </c>
      <c r="C2410" s="1" t="s">
        <v>11624</v>
      </c>
      <c r="D2410" s="1">
        <v>3.386001E7</v>
      </c>
      <c r="E2410" s="1" t="s">
        <v>1598</v>
      </c>
      <c r="F2410" s="1" t="s">
        <v>631</v>
      </c>
      <c r="G2410" s="1" t="s">
        <v>2491</v>
      </c>
      <c r="H2410" s="1" t="s">
        <v>6602</v>
      </c>
      <c r="I2410" s="1">
        <v>33088.0</v>
      </c>
      <c r="J2410" s="1" t="s">
        <v>11625</v>
      </c>
      <c r="K2410" s="1" t="s">
        <v>11626</v>
      </c>
      <c r="L2410" s="1">
        <v>143.0</v>
      </c>
      <c r="M2410" s="1" t="s">
        <v>35</v>
      </c>
      <c r="N2410" s="1" t="s">
        <v>36</v>
      </c>
      <c r="O2410" s="1" t="s">
        <v>37</v>
      </c>
      <c r="P2410" s="1">
        <v>1.5E7</v>
      </c>
      <c r="Q2410" s="1">
        <v>2009.0</v>
      </c>
      <c r="R2410" s="1">
        <v>14000.0</v>
      </c>
      <c r="S2410" s="1">
        <v>982.0</v>
      </c>
      <c r="T2410" s="1">
        <v>628.0</v>
      </c>
      <c r="U2410" s="1">
        <v>16461.0</v>
      </c>
      <c r="V2410" s="1">
        <v>3.0</v>
      </c>
      <c r="W2410" s="1">
        <v>0.0</v>
      </c>
      <c r="X2410" s="1">
        <v>3.0</v>
      </c>
      <c r="Y2410" s="1">
        <v>1.85</v>
      </c>
      <c r="Z2410" s="1">
        <v>4.8</v>
      </c>
    </row>
    <row r="2411" ht="14.25" customHeight="1">
      <c r="A2411" s="1" t="s">
        <v>26</v>
      </c>
      <c r="B2411" s="1" t="s">
        <v>11627</v>
      </c>
      <c r="C2411" s="1" t="s">
        <v>11628</v>
      </c>
      <c r="D2411" s="1">
        <v>2.6421314E7</v>
      </c>
      <c r="E2411" s="1" t="s">
        <v>11629</v>
      </c>
      <c r="F2411" s="1" t="s">
        <v>11630</v>
      </c>
      <c r="G2411" s="1" t="s">
        <v>11631</v>
      </c>
      <c r="H2411" s="1" t="s">
        <v>11632</v>
      </c>
      <c r="I2411" s="1">
        <v>28964.0</v>
      </c>
      <c r="J2411" s="1" t="s">
        <v>11633</v>
      </c>
      <c r="K2411" s="1" t="s">
        <v>11634</v>
      </c>
      <c r="L2411" s="1">
        <v>457.0</v>
      </c>
      <c r="M2411" s="1" t="s">
        <v>35</v>
      </c>
      <c r="N2411" s="1" t="s">
        <v>36</v>
      </c>
      <c r="O2411" s="1" t="s">
        <v>628</v>
      </c>
      <c r="P2411" s="1">
        <v>1.5E7</v>
      </c>
      <c r="Q2411" s="1">
        <v>2000.0</v>
      </c>
      <c r="R2411" s="1">
        <v>193.0</v>
      </c>
      <c r="S2411" s="1">
        <v>184.0</v>
      </c>
      <c r="T2411" s="1">
        <v>162.0</v>
      </c>
      <c r="U2411" s="1">
        <v>608.0</v>
      </c>
      <c r="V2411" s="1">
        <v>31.0</v>
      </c>
      <c r="W2411" s="1">
        <v>949.0</v>
      </c>
      <c r="X2411" s="1">
        <v>0.0</v>
      </c>
      <c r="Y2411" s="1">
        <v>1.85</v>
      </c>
      <c r="Z2411" s="1">
        <v>4.0</v>
      </c>
    </row>
    <row r="2412" ht="14.25" customHeight="1">
      <c r="A2412" s="1" t="s">
        <v>26</v>
      </c>
      <c r="B2412" s="1" t="s">
        <v>10063</v>
      </c>
      <c r="C2412" s="1" t="s">
        <v>11635</v>
      </c>
      <c r="D2412" s="1">
        <v>2.4881E7</v>
      </c>
      <c r="E2412" s="1" t="s">
        <v>858</v>
      </c>
      <c r="F2412" s="1" t="s">
        <v>6939</v>
      </c>
      <c r="G2412" s="1" t="s">
        <v>11636</v>
      </c>
      <c r="H2412" s="1" t="s">
        <v>11637</v>
      </c>
      <c r="I2412" s="1">
        <v>57140.0</v>
      </c>
      <c r="J2412" s="1" t="s">
        <v>11638</v>
      </c>
      <c r="K2412" s="1" t="s">
        <v>11639</v>
      </c>
      <c r="L2412" s="1">
        <v>195.0</v>
      </c>
      <c r="M2412" s="1" t="s">
        <v>35</v>
      </c>
      <c r="N2412" s="1" t="s">
        <v>36</v>
      </c>
      <c r="O2412" s="1" t="s">
        <v>628</v>
      </c>
      <c r="P2412" s="1">
        <v>1.5E7</v>
      </c>
      <c r="Q2412" s="1">
        <v>1996.0</v>
      </c>
      <c r="R2412" s="1">
        <v>838.0</v>
      </c>
      <c r="S2412" s="1">
        <v>328.0</v>
      </c>
      <c r="T2412" s="1">
        <v>266.0</v>
      </c>
      <c r="U2412" s="1">
        <v>1812.0</v>
      </c>
      <c r="V2412" s="1">
        <v>26.0</v>
      </c>
      <c r="W2412" s="1">
        <v>6000.0</v>
      </c>
      <c r="X2412" s="1">
        <v>0.0</v>
      </c>
      <c r="Y2412" s="1">
        <v>1.85</v>
      </c>
      <c r="Z2412" s="1">
        <v>6.2</v>
      </c>
    </row>
    <row r="2413" ht="14.25" customHeight="1">
      <c r="A2413" s="1" t="s">
        <v>26</v>
      </c>
      <c r="B2413" s="1" t="s">
        <v>3797</v>
      </c>
      <c r="C2413" s="1" t="s">
        <v>11640</v>
      </c>
      <c r="D2413" s="1">
        <v>2.3089926E7</v>
      </c>
      <c r="E2413" s="1" t="s">
        <v>8285</v>
      </c>
      <c r="F2413" s="1" t="s">
        <v>92</v>
      </c>
      <c r="G2413" s="1" t="s">
        <v>7773</v>
      </c>
      <c r="H2413" s="1" t="s">
        <v>1084</v>
      </c>
      <c r="I2413" s="1">
        <v>166269.0</v>
      </c>
      <c r="J2413" s="1" t="s">
        <v>11641</v>
      </c>
      <c r="K2413" s="1" t="s">
        <v>11642</v>
      </c>
      <c r="L2413" s="1">
        <v>735.0</v>
      </c>
      <c r="M2413" s="1" t="s">
        <v>35</v>
      </c>
      <c r="N2413" s="1" t="s">
        <v>54</v>
      </c>
      <c r="O2413" s="1" t="s">
        <v>628</v>
      </c>
      <c r="P2413" s="1">
        <v>1.5E7</v>
      </c>
      <c r="Q2413" s="1">
        <v>2005.0</v>
      </c>
      <c r="R2413" s="1">
        <v>19000.0</v>
      </c>
      <c r="S2413" s="1">
        <v>567.0</v>
      </c>
      <c r="T2413" s="1">
        <v>400.0</v>
      </c>
      <c r="U2413" s="1">
        <v>20391.0</v>
      </c>
      <c r="V2413" s="1">
        <v>11000.0</v>
      </c>
      <c r="W2413" s="1">
        <v>0.0</v>
      </c>
      <c r="X2413" s="1">
        <v>3.0</v>
      </c>
      <c r="Y2413" s="1">
        <v>1.85</v>
      </c>
      <c r="Z2413" s="1">
        <v>7.7</v>
      </c>
    </row>
    <row r="2414" ht="14.25" customHeight="1">
      <c r="A2414" s="1" t="s">
        <v>26</v>
      </c>
      <c r="B2414" s="1" t="s">
        <v>11643</v>
      </c>
      <c r="C2414" s="1" t="s">
        <v>11644</v>
      </c>
      <c r="D2414" s="1">
        <v>2.6161406E7</v>
      </c>
      <c r="E2414" s="1" t="s">
        <v>751</v>
      </c>
      <c r="F2414" s="1" t="s">
        <v>11645</v>
      </c>
      <c r="G2414" s="1" t="s">
        <v>11646</v>
      </c>
      <c r="H2414" s="1" t="s">
        <v>11647</v>
      </c>
      <c r="I2414" s="1">
        <v>13874.0</v>
      </c>
      <c r="J2414" s="1" t="s">
        <v>11648</v>
      </c>
      <c r="K2414" s="1" t="s">
        <v>11649</v>
      </c>
      <c r="L2414" s="1">
        <v>52.0</v>
      </c>
      <c r="M2414" s="1" t="s">
        <v>35</v>
      </c>
      <c r="N2414" s="1" t="s">
        <v>36</v>
      </c>
      <c r="O2414" s="1" t="s">
        <v>269</v>
      </c>
      <c r="P2414" s="1">
        <v>1.5E7</v>
      </c>
      <c r="Q2414" s="1">
        <v>2010.0</v>
      </c>
      <c r="R2414" s="1">
        <v>512.0</v>
      </c>
      <c r="S2414" s="1">
        <v>316.0</v>
      </c>
      <c r="T2414" s="1">
        <v>125.0</v>
      </c>
      <c r="U2414" s="1">
        <v>1002.0</v>
      </c>
      <c r="V2414" s="1">
        <v>20.0</v>
      </c>
      <c r="W2414" s="1">
        <v>0.0</v>
      </c>
      <c r="X2414" s="1">
        <v>2.0</v>
      </c>
      <c r="Y2414" s="1">
        <v>2.35</v>
      </c>
      <c r="Z2414" s="1">
        <v>6.7</v>
      </c>
    </row>
    <row r="2415" ht="14.25" customHeight="1">
      <c r="A2415" s="1" t="s">
        <v>26</v>
      </c>
      <c r="B2415" s="1" t="s">
        <v>11357</v>
      </c>
      <c r="C2415" s="1" t="s">
        <v>11650</v>
      </c>
      <c r="D2415" s="1">
        <v>2.2954968E7</v>
      </c>
      <c r="E2415" s="1" t="s">
        <v>206</v>
      </c>
      <c r="F2415" s="1" t="s">
        <v>726</v>
      </c>
      <c r="G2415" s="1" t="s">
        <v>11651</v>
      </c>
      <c r="H2415" s="1" t="s">
        <v>8346</v>
      </c>
      <c r="I2415" s="1">
        <v>45703.0</v>
      </c>
      <c r="J2415" s="1" t="s">
        <v>11652</v>
      </c>
      <c r="K2415" s="1" t="s">
        <v>11653</v>
      </c>
      <c r="L2415" s="1">
        <v>156.0</v>
      </c>
      <c r="M2415" s="1" t="s">
        <v>35</v>
      </c>
      <c r="N2415" s="1" t="s">
        <v>54</v>
      </c>
      <c r="O2415" s="1" t="s">
        <v>87</v>
      </c>
      <c r="P2415" s="1">
        <v>1.15E7</v>
      </c>
      <c r="Q2415" s="1">
        <v>1993.0</v>
      </c>
      <c r="R2415" s="1">
        <v>12000.0</v>
      </c>
      <c r="S2415" s="1">
        <v>310.0</v>
      </c>
      <c r="T2415" s="1">
        <v>258.0</v>
      </c>
      <c r="U2415" s="1">
        <v>12749.0</v>
      </c>
      <c r="V2415" s="1">
        <v>133.0</v>
      </c>
      <c r="W2415" s="1">
        <v>0.0</v>
      </c>
      <c r="X2415" s="1">
        <v>1.0</v>
      </c>
      <c r="Y2415" s="1">
        <v>2.35</v>
      </c>
      <c r="Z2415" s="1">
        <v>7.9</v>
      </c>
    </row>
    <row r="2416" ht="14.25" customHeight="1">
      <c r="A2416" s="1" t="s">
        <v>26</v>
      </c>
      <c r="B2416" s="1" t="s">
        <v>6646</v>
      </c>
      <c r="C2416" s="1" t="s">
        <v>11654</v>
      </c>
      <c r="D2416" s="1">
        <v>2.6384919E7</v>
      </c>
      <c r="E2416" s="1" t="s">
        <v>3238</v>
      </c>
      <c r="F2416" s="1" t="s">
        <v>244</v>
      </c>
      <c r="G2416" s="1" t="s">
        <v>11655</v>
      </c>
      <c r="H2416" s="1" t="s">
        <v>11656</v>
      </c>
      <c r="I2416" s="1">
        <v>189032.0</v>
      </c>
      <c r="J2416" s="1" t="s">
        <v>11657</v>
      </c>
      <c r="K2416" s="1" t="s">
        <v>11658</v>
      </c>
      <c r="L2416" s="1">
        <v>560.0</v>
      </c>
      <c r="M2416" s="1" t="s">
        <v>35</v>
      </c>
      <c r="N2416" s="1" t="s">
        <v>36</v>
      </c>
      <c r="O2416" s="1" t="s">
        <v>628</v>
      </c>
      <c r="P2416" s="1">
        <v>1.5E7</v>
      </c>
      <c r="Q2416" s="1">
        <v>1997.0</v>
      </c>
      <c r="R2416" s="1">
        <v>3000.0</v>
      </c>
      <c r="S2416" s="1">
        <v>360.0</v>
      </c>
      <c r="T2416" s="1">
        <v>170.0</v>
      </c>
      <c r="U2416" s="1">
        <v>3677.0</v>
      </c>
      <c r="V2416" s="1">
        <v>0.0</v>
      </c>
      <c r="W2416" s="1">
        <v>0.0</v>
      </c>
      <c r="X2416" s="1">
        <v>15.0</v>
      </c>
      <c r="Y2416" s="1">
        <v>2.35</v>
      </c>
      <c r="Z2416" s="1">
        <v>7.9</v>
      </c>
    </row>
    <row r="2417" ht="14.25" customHeight="1">
      <c r="A2417" s="1" t="s">
        <v>26</v>
      </c>
      <c r="B2417" s="1" t="s">
        <v>11083</v>
      </c>
      <c r="C2417" s="1" t="s">
        <v>11659</v>
      </c>
      <c r="D2417" s="1">
        <v>2.2189039E7</v>
      </c>
      <c r="E2417" s="1" t="s">
        <v>5448</v>
      </c>
      <c r="F2417" s="1" t="s">
        <v>2358</v>
      </c>
      <c r="G2417" s="1" t="s">
        <v>7151</v>
      </c>
      <c r="H2417" s="1" t="s">
        <v>11660</v>
      </c>
      <c r="I2417" s="1">
        <v>17074.0</v>
      </c>
      <c r="J2417" s="1" t="s">
        <v>11661</v>
      </c>
      <c r="K2417" s="1" t="s">
        <v>11662</v>
      </c>
      <c r="L2417" s="1">
        <v>55.0</v>
      </c>
      <c r="M2417" s="1" t="s">
        <v>35</v>
      </c>
      <c r="N2417" s="1" t="s">
        <v>36</v>
      </c>
      <c r="O2417" s="1" t="s">
        <v>628</v>
      </c>
      <c r="P2417" s="1">
        <v>1.5E7</v>
      </c>
      <c r="Q2417" s="1">
        <v>1993.0</v>
      </c>
      <c r="R2417" s="1">
        <v>1000.0</v>
      </c>
      <c r="S2417" s="1">
        <v>605.0</v>
      </c>
      <c r="T2417" s="1">
        <v>232.0</v>
      </c>
      <c r="U2417" s="1">
        <v>2210.0</v>
      </c>
      <c r="V2417" s="1">
        <v>11.0</v>
      </c>
      <c r="W2417" s="1">
        <v>466.0</v>
      </c>
      <c r="X2417" s="1">
        <v>0.0</v>
      </c>
      <c r="Y2417" s="1">
        <v>1.85</v>
      </c>
      <c r="Z2417" s="1">
        <v>5.5</v>
      </c>
    </row>
    <row r="2418" ht="14.25" customHeight="1">
      <c r="A2418" s="1" t="s">
        <v>26</v>
      </c>
      <c r="B2418" s="1" t="s">
        <v>11663</v>
      </c>
      <c r="C2418" s="1" t="s">
        <v>11664</v>
      </c>
      <c r="D2418" s="1">
        <v>2.0998709E7</v>
      </c>
      <c r="E2418" s="1" t="s">
        <v>3106</v>
      </c>
      <c r="F2418" s="1" t="s">
        <v>3214</v>
      </c>
      <c r="G2418" s="1" t="s">
        <v>11665</v>
      </c>
      <c r="H2418" s="1" t="s">
        <v>3059</v>
      </c>
      <c r="I2418" s="1">
        <v>6095.0</v>
      </c>
      <c r="J2418" s="1" t="s">
        <v>11666</v>
      </c>
      <c r="K2418" s="1" t="s">
        <v>11667</v>
      </c>
      <c r="L2418" s="1">
        <v>76.0</v>
      </c>
      <c r="M2418" s="1" t="s">
        <v>35</v>
      </c>
      <c r="N2418" s="1" t="s">
        <v>36</v>
      </c>
      <c r="O2418" s="1" t="s">
        <v>87</v>
      </c>
      <c r="P2418" s="1">
        <v>1.5E7</v>
      </c>
      <c r="Q2418" s="1">
        <v>2006.0</v>
      </c>
      <c r="R2418" s="1">
        <v>1000.0</v>
      </c>
      <c r="S2418" s="1">
        <v>786.0</v>
      </c>
      <c r="T2418" s="1">
        <v>461.0</v>
      </c>
      <c r="U2418" s="1">
        <v>3845.0</v>
      </c>
      <c r="V2418" s="1">
        <v>15.0</v>
      </c>
      <c r="W2418" s="1">
        <v>1000.0</v>
      </c>
      <c r="X2418" s="1">
        <v>0.0</v>
      </c>
      <c r="Y2418" s="1">
        <v>2.35</v>
      </c>
      <c r="Z2418" s="1">
        <v>6.2</v>
      </c>
    </row>
    <row r="2419" ht="14.25" customHeight="1">
      <c r="A2419" s="1" t="s">
        <v>26</v>
      </c>
      <c r="B2419" s="1" t="s">
        <v>11668</v>
      </c>
      <c r="C2419" s="1" t="s">
        <v>11669</v>
      </c>
      <c r="D2419" s="1">
        <v>2.0801344E7</v>
      </c>
      <c r="E2419" s="1" t="s">
        <v>6019</v>
      </c>
      <c r="F2419" s="1" t="s">
        <v>6572</v>
      </c>
      <c r="G2419" s="1" t="s">
        <v>6581</v>
      </c>
      <c r="H2419" s="1" t="s">
        <v>5204</v>
      </c>
      <c r="I2419" s="1">
        <v>49721.0</v>
      </c>
      <c r="J2419" s="1" t="s">
        <v>11670</v>
      </c>
      <c r="K2419" s="1" t="s">
        <v>11671</v>
      </c>
      <c r="L2419" s="1">
        <v>211.0</v>
      </c>
      <c r="M2419" s="1" t="s">
        <v>35</v>
      </c>
      <c r="N2419" s="1" t="s">
        <v>36</v>
      </c>
      <c r="O2419" s="1" t="s">
        <v>628</v>
      </c>
      <c r="P2419" s="1">
        <v>1.5E7</v>
      </c>
      <c r="Q2419" s="1">
        <v>2007.0</v>
      </c>
      <c r="R2419" s="1">
        <v>919.0</v>
      </c>
      <c r="S2419" s="1">
        <v>557.0</v>
      </c>
      <c r="T2419" s="1">
        <v>399.0</v>
      </c>
      <c r="U2419" s="1">
        <v>2559.0</v>
      </c>
      <c r="V2419" s="1">
        <v>7.0</v>
      </c>
      <c r="W2419" s="1">
        <v>0.0</v>
      </c>
      <c r="X2419" s="1">
        <v>0.0</v>
      </c>
      <c r="Y2419" s="1">
        <v>2.35</v>
      </c>
      <c r="Z2419" s="1">
        <v>5.1</v>
      </c>
    </row>
    <row r="2420" ht="14.25" customHeight="1">
      <c r="A2420" s="1" t="s">
        <v>26</v>
      </c>
      <c r="B2420" s="1" t="s">
        <v>11672</v>
      </c>
      <c r="C2420" s="1" t="s">
        <v>11673</v>
      </c>
      <c r="D2420" s="1">
        <v>2.1468807E7</v>
      </c>
      <c r="E2420" s="1" t="s">
        <v>2882</v>
      </c>
      <c r="F2420" s="1" t="s">
        <v>2924</v>
      </c>
      <c r="G2420" s="1" t="s">
        <v>11674</v>
      </c>
      <c r="H2420" s="1" t="s">
        <v>3849</v>
      </c>
      <c r="I2420" s="1">
        <v>13048.0</v>
      </c>
      <c r="J2420" s="1" t="s">
        <v>11675</v>
      </c>
      <c r="K2420" s="1" t="s">
        <v>11676</v>
      </c>
      <c r="L2420" s="1">
        <v>227.0</v>
      </c>
      <c r="M2420" s="1" t="s">
        <v>35</v>
      </c>
      <c r="N2420" s="1" t="s">
        <v>36</v>
      </c>
      <c r="O2420" s="1" t="s">
        <v>628</v>
      </c>
      <c r="P2420" s="1">
        <v>1.4E7</v>
      </c>
      <c r="Q2420" s="1">
        <v>2000.0</v>
      </c>
      <c r="R2420" s="1">
        <v>912.0</v>
      </c>
      <c r="S2420" s="1">
        <v>786.0</v>
      </c>
      <c r="T2420" s="1">
        <v>579.0</v>
      </c>
      <c r="U2420" s="1">
        <v>2682.0</v>
      </c>
      <c r="V2420" s="1">
        <v>83.0</v>
      </c>
      <c r="W2420" s="1">
        <v>243.0</v>
      </c>
      <c r="X2420" s="1">
        <v>2.0</v>
      </c>
      <c r="Y2420" s="1">
        <v>2.35</v>
      </c>
      <c r="Z2420" s="1">
        <v>4.1</v>
      </c>
    </row>
    <row r="2421" ht="14.25" customHeight="1">
      <c r="A2421" s="1" t="s">
        <v>26</v>
      </c>
      <c r="B2421" s="1" t="s">
        <v>3846</v>
      </c>
      <c r="C2421" s="1" t="s">
        <v>11677</v>
      </c>
      <c r="D2421" s="1">
        <v>1.9158074E7</v>
      </c>
      <c r="E2421" s="1" t="s">
        <v>1915</v>
      </c>
      <c r="F2421" s="1" t="s">
        <v>183</v>
      </c>
      <c r="G2421" s="1" t="s">
        <v>7044</v>
      </c>
      <c r="H2421" s="1" t="s">
        <v>6390</v>
      </c>
      <c r="I2421" s="1">
        <v>17983.0</v>
      </c>
      <c r="J2421" s="1" t="s">
        <v>11678</v>
      </c>
      <c r="K2421" s="1" t="s">
        <v>11679</v>
      </c>
      <c r="L2421" s="1">
        <v>127.0</v>
      </c>
      <c r="M2421" s="1" t="s">
        <v>35</v>
      </c>
      <c r="N2421" s="1" t="s">
        <v>36</v>
      </c>
      <c r="O2421" s="1" t="s">
        <v>87</v>
      </c>
      <c r="P2421" s="1">
        <v>1.5E7</v>
      </c>
      <c r="Q2421" s="1">
        <v>2002.0</v>
      </c>
      <c r="R2421" s="1">
        <v>882.0</v>
      </c>
      <c r="S2421" s="1">
        <v>874.0</v>
      </c>
      <c r="T2421" s="1">
        <v>613.0</v>
      </c>
      <c r="U2421" s="1">
        <v>2661.0</v>
      </c>
      <c r="V2421" s="1">
        <v>13.0</v>
      </c>
      <c r="W2421" s="1">
        <v>0.0</v>
      </c>
      <c r="X2421" s="1">
        <v>2.0</v>
      </c>
      <c r="Y2421" s="1">
        <v>2.35</v>
      </c>
      <c r="Z2421" s="1">
        <v>6.7</v>
      </c>
    </row>
    <row r="2422" ht="14.25" customHeight="1">
      <c r="A2422" s="1" t="s">
        <v>26</v>
      </c>
      <c r="B2422" s="1" t="s">
        <v>11680</v>
      </c>
      <c r="C2422" s="1" t="s">
        <v>11681</v>
      </c>
      <c r="D2422" s="1">
        <v>1.8843314E7</v>
      </c>
      <c r="E2422" s="1" t="s">
        <v>886</v>
      </c>
      <c r="F2422" s="1" t="s">
        <v>10196</v>
      </c>
      <c r="G2422" s="1" t="s">
        <v>11682</v>
      </c>
      <c r="H2422" s="1" t="s">
        <v>9489</v>
      </c>
      <c r="I2422" s="1">
        <v>27486.0</v>
      </c>
      <c r="J2422" s="1" t="s">
        <v>11683</v>
      </c>
      <c r="K2422" s="1" t="s">
        <v>11684</v>
      </c>
      <c r="L2422" s="1">
        <v>284.0</v>
      </c>
      <c r="M2422" s="1" t="s">
        <v>35</v>
      </c>
      <c r="N2422" s="1" t="s">
        <v>36</v>
      </c>
      <c r="O2422" s="1" t="s">
        <v>37</v>
      </c>
      <c r="P2422" s="1">
        <v>2.0E7</v>
      </c>
      <c r="Q2422" s="1">
        <v>2006.0</v>
      </c>
      <c r="R2422" s="1">
        <v>472.0</v>
      </c>
      <c r="S2422" s="1">
        <v>239.0</v>
      </c>
      <c r="T2422" s="1">
        <v>129.0</v>
      </c>
      <c r="U2422" s="1">
        <v>1045.0</v>
      </c>
      <c r="V2422" s="1">
        <v>8.0</v>
      </c>
      <c r="W2422" s="1">
        <v>0.0</v>
      </c>
      <c r="X2422" s="1">
        <v>1.0</v>
      </c>
      <c r="Y2422" s="1">
        <v>1.85</v>
      </c>
      <c r="Z2422" s="1">
        <v>4.7</v>
      </c>
    </row>
    <row r="2423" ht="14.25" customHeight="1">
      <c r="A2423" s="1" t="s">
        <v>26</v>
      </c>
      <c r="B2423" s="1" t="s">
        <v>11685</v>
      </c>
      <c r="C2423" s="1" t="s">
        <v>11686</v>
      </c>
      <c r="D2423" s="1">
        <v>2.0566327E7</v>
      </c>
      <c r="E2423" s="1" t="s">
        <v>2056</v>
      </c>
      <c r="F2423" s="1" t="s">
        <v>5999</v>
      </c>
      <c r="G2423" s="1" t="s">
        <v>2021</v>
      </c>
      <c r="H2423" s="1" t="s">
        <v>3044</v>
      </c>
      <c r="I2423" s="1">
        <v>15385.0</v>
      </c>
      <c r="J2423" s="1" t="s">
        <v>11687</v>
      </c>
      <c r="K2423" s="1" t="s">
        <v>11688</v>
      </c>
      <c r="L2423" s="1">
        <v>84.0</v>
      </c>
      <c r="M2423" s="1" t="s">
        <v>35</v>
      </c>
      <c r="N2423" s="1" t="s">
        <v>36</v>
      </c>
      <c r="O2423" s="1" t="s">
        <v>628</v>
      </c>
      <c r="P2423" s="1">
        <v>1.5E7</v>
      </c>
      <c r="Q2423" s="1">
        <v>2016.0</v>
      </c>
      <c r="R2423" s="1">
        <v>826.0</v>
      </c>
      <c r="S2423" s="1">
        <v>622.0</v>
      </c>
      <c r="T2423" s="1">
        <v>415.0</v>
      </c>
      <c r="U2423" s="1">
        <v>2958.0</v>
      </c>
      <c r="V2423" s="1">
        <v>10.0</v>
      </c>
      <c r="W2423" s="1">
        <v>0.0</v>
      </c>
      <c r="X2423" s="1">
        <v>2.0</v>
      </c>
      <c r="Y2423" s="1">
        <v>2.35</v>
      </c>
      <c r="Z2423" s="1">
        <v>6.4</v>
      </c>
    </row>
    <row r="2424" ht="14.25" customHeight="1">
      <c r="A2424" s="1" t="s">
        <v>26</v>
      </c>
      <c r="B2424" s="1" t="s">
        <v>10126</v>
      </c>
      <c r="C2424" s="1" t="s">
        <v>11689</v>
      </c>
      <c r="D2424" s="1">
        <v>2.0218921E7</v>
      </c>
      <c r="E2424" s="1" t="s">
        <v>5819</v>
      </c>
      <c r="F2424" s="1" t="s">
        <v>4272</v>
      </c>
      <c r="G2424" s="1" t="s">
        <v>11690</v>
      </c>
      <c r="H2424" s="1" t="s">
        <v>3059</v>
      </c>
      <c r="I2424" s="1">
        <v>14814.0</v>
      </c>
      <c r="J2424" s="1" t="s">
        <v>11691</v>
      </c>
      <c r="K2424" s="1" t="s">
        <v>11692</v>
      </c>
      <c r="L2424" s="1">
        <v>114.0</v>
      </c>
      <c r="M2424" s="1" t="s">
        <v>35</v>
      </c>
      <c r="N2424" s="1" t="s">
        <v>11693</v>
      </c>
      <c r="O2424" s="1" t="s">
        <v>37</v>
      </c>
      <c r="P2424" s="1">
        <v>1.5E7</v>
      </c>
      <c r="Q2424" s="1">
        <v>2010.0</v>
      </c>
      <c r="R2424" s="1">
        <v>3000.0</v>
      </c>
      <c r="S2424" s="1">
        <v>646.0</v>
      </c>
      <c r="T2424" s="1">
        <v>461.0</v>
      </c>
      <c r="U2424" s="1">
        <v>4204.0</v>
      </c>
      <c r="V2424" s="1">
        <v>19.0</v>
      </c>
      <c r="W2424" s="1">
        <v>0.0</v>
      </c>
      <c r="X2424" s="1">
        <v>4.0</v>
      </c>
      <c r="Y2424" s="1">
        <v>2.35</v>
      </c>
      <c r="Z2424" s="1">
        <v>6.3</v>
      </c>
    </row>
    <row r="2425" ht="14.25" customHeight="1">
      <c r="A2425" s="1" t="s">
        <v>26</v>
      </c>
      <c r="B2425" s="1" t="s">
        <v>11694</v>
      </c>
      <c r="C2425" s="1" t="s">
        <v>11695</v>
      </c>
      <c r="D2425" s="1">
        <v>1.7411331E7</v>
      </c>
      <c r="E2425" s="1" t="s">
        <v>4055</v>
      </c>
      <c r="F2425" s="1" t="s">
        <v>346</v>
      </c>
      <c r="G2425" s="1" t="s">
        <v>2525</v>
      </c>
      <c r="H2425" s="1" t="s">
        <v>8730</v>
      </c>
      <c r="I2425" s="1">
        <v>17328.0</v>
      </c>
      <c r="J2425" s="1" t="s">
        <v>11696</v>
      </c>
      <c r="K2425" s="1" t="s">
        <v>11697</v>
      </c>
      <c r="L2425" s="1">
        <v>237.0</v>
      </c>
      <c r="M2425" s="1" t="s">
        <v>35</v>
      </c>
      <c r="N2425" s="1" t="s">
        <v>362</v>
      </c>
      <c r="O2425" s="1" t="s">
        <v>628</v>
      </c>
      <c r="P2425" s="1">
        <v>1.5E7</v>
      </c>
      <c r="Q2425" s="1">
        <v>1998.0</v>
      </c>
      <c r="R2425" s="1">
        <v>989.0</v>
      </c>
      <c r="S2425" s="1">
        <v>982.0</v>
      </c>
      <c r="T2425" s="1">
        <v>918.0</v>
      </c>
      <c r="U2425" s="1">
        <v>4660.0</v>
      </c>
      <c r="V2425" s="1">
        <v>119.0</v>
      </c>
      <c r="W2425" s="1">
        <v>673.0</v>
      </c>
      <c r="X2425" s="1">
        <v>3.0</v>
      </c>
      <c r="Y2425" s="1">
        <v>1.85</v>
      </c>
      <c r="Z2425" s="1">
        <v>5.5</v>
      </c>
    </row>
    <row r="2426" ht="14.25" customHeight="1">
      <c r="A2426" s="1" t="s">
        <v>26</v>
      </c>
      <c r="B2426" s="1" t="s">
        <v>11698</v>
      </c>
      <c r="C2426" s="1" t="s">
        <v>11699</v>
      </c>
      <c r="D2426" s="1">
        <v>2.1383298E7</v>
      </c>
      <c r="E2426" s="1" t="s">
        <v>2045</v>
      </c>
      <c r="F2426" s="1" t="s">
        <v>4002</v>
      </c>
      <c r="G2426" s="1" t="s">
        <v>988</v>
      </c>
      <c r="H2426" s="1" t="s">
        <v>11700</v>
      </c>
      <c r="I2426" s="1">
        <v>187170.0</v>
      </c>
      <c r="J2426" s="1" t="s">
        <v>11701</v>
      </c>
      <c r="K2426" s="1" t="s">
        <v>11702</v>
      </c>
      <c r="L2426" s="1">
        <v>376.0</v>
      </c>
      <c r="M2426" s="1" t="s">
        <v>35</v>
      </c>
      <c r="N2426" s="1" t="s">
        <v>36</v>
      </c>
      <c r="O2426" s="1" t="s">
        <v>628</v>
      </c>
      <c r="P2426" s="1">
        <v>1.5E7</v>
      </c>
      <c r="Q2426" s="1">
        <v>2012.0</v>
      </c>
      <c r="R2426" s="1">
        <v>33000.0</v>
      </c>
      <c r="S2426" s="1">
        <v>748.0</v>
      </c>
      <c r="T2426" s="1">
        <v>619.0</v>
      </c>
      <c r="U2426" s="1">
        <v>34413.0</v>
      </c>
      <c r="V2426" s="1">
        <v>310.0</v>
      </c>
      <c r="W2426" s="1">
        <v>47000.0</v>
      </c>
      <c r="X2426" s="1">
        <v>3.0</v>
      </c>
      <c r="Y2426" s="1">
        <v>2.35</v>
      </c>
      <c r="Z2426" s="1">
        <v>7.3</v>
      </c>
    </row>
    <row r="2427" ht="14.25" customHeight="1">
      <c r="A2427" s="1" t="s">
        <v>26</v>
      </c>
      <c r="B2427" s="1" t="s">
        <v>1424</v>
      </c>
      <c r="C2427" s="1" t="s">
        <v>11703</v>
      </c>
      <c r="D2427" s="1">
        <v>2.4984868E7</v>
      </c>
      <c r="E2427" s="1" t="s">
        <v>326</v>
      </c>
      <c r="F2427" s="1" t="s">
        <v>8705</v>
      </c>
      <c r="G2427" s="1" t="s">
        <v>11704</v>
      </c>
      <c r="H2427" s="1" t="s">
        <v>942</v>
      </c>
      <c r="I2427" s="1">
        <v>50056.0</v>
      </c>
      <c r="J2427" s="1" t="s">
        <v>11705</v>
      </c>
      <c r="K2427" s="1" t="s">
        <v>11706</v>
      </c>
      <c r="L2427" s="1">
        <v>152.0</v>
      </c>
      <c r="M2427" s="1" t="s">
        <v>35</v>
      </c>
      <c r="N2427" s="1" t="s">
        <v>36</v>
      </c>
      <c r="O2427" s="1" t="s">
        <v>628</v>
      </c>
      <c r="P2427" s="1">
        <v>1.5E7</v>
      </c>
      <c r="Q2427" s="1">
        <v>2014.0</v>
      </c>
      <c r="R2427" s="1">
        <v>775.0</v>
      </c>
      <c r="S2427" s="1">
        <v>614.0</v>
      </c>
      <c r="T2427" s="1">
        <v>537.0</v>
      </c>
      <c r="U2427" s="1">
        <v>3033.0</v>
      </c>
      <c r="V2427" s="1">
        <v>79.0</v>
      </c>
      <c r="W2427" s="1">
        <v>0.0</v>
      </c>
      <c r="X2427" s="1">
        <v>2.0</v>
      </c>
      <c r="Y2427" s="1">
        <v>2.35</v>
      </c>
      <c r="Z2427" s="1">
        <v>6.3</v>
      </c>
    </row>
    <row r="2428" ht="14.25" customHeight="1">
      <c r="A2428" s="1" t="s">
        <v>26</v>
      </c>
      <c r="B2428" s="1" t="s">
        <v>11707</v>
      </c>
      <c r="C2428" s="1" t="s">
        <v>11708</v>
      </c>
      <c r="D2428" s="1">
        <v>1.6459004E7</v>
      </c>
      <c r="E2428" s="1" t="s">
        <v>1842</v>
      </c>
      <c r="F2428" s="1" t="s">
        <v>11709</v>
      </c>
      <c r="G2428" s="1" t="s">
        <v>5376</v>
      </c>
      <c r="H2428" s="1" t="s">
        <v>11710</v>
      </c>
      <c r="I2428" s="1">
        <v>13320.0</v>
      </c>
      <c r="J2428" s="1" t="s">
        <v>11711</v>
      </c>
      <c r="K2428" s="1" t="s">
        <v>11712</v>
      </c>
      <c r="L2428" s="1">
        <v>415.0</v>
      </c>
      <c r="M2428" s="1" t="s">
        <v>35</v>
      </c>
      <c r="N2428" s="1" t="s">
        <v>260</v>
      </c>
      <c r="O2428" s="1" t="s">
        <v>628</v>
      </c>
      <c r="P2428" s="1">
        <v>1.5E7</v>
      </c>
      <c r="Q2428" s="1">
        <v>1999.0</v>
      </c>
      <c r="R2428" s="1">
        <v>471.0</v>
      </c>
      <c r="S2428" s="1">
        <v>308.0</v>
      </c>
      <c r="T2428" s="1">
        <v>159.0</v>
      </c>
      <c r="U2428" s="1">
        <v>1069.0</v>
      </c>
      <c r="V2428" s="1">
        <v>11.0</v>
      </c>
      <c r="W2428" s="1">
        <v>327.0</v>
      </c>
      <c r="X2428" s="1">
        <v>1.0</v>
      </c>
      <c r="Y2428" s="1">
        <v>2.35</v>
      </c>
      <c r="Z2428" s="1">
        <v>4.9</v>
      </c>
    </row>
    <row r="2429" ht="14.25" customHeight="1">
      <c r="A2429" s="1" t="s">
        <v>26</v>
      </c>
      <c r="B2429" s="1" t="s">
        <v>2186</v>
      </c>
      <c r="C2429" s="1" t="s">
        <v>11713</v>
      </c>
      <c r="D2429" s="1">
        <v>1.57E7</v>
      </c>
      <c r="E2429" s="1" t="s">
        <v>2090</v>
      </c>
      <c r="F2429" s="1" t="s">
        <v>851</v>
      </c>
      <c r="G2429" s="1" t="s">
        <v>2188</v>
      </c>
      <c r="H2429" s="1" t="s">
        <v>3082</v>
      </c>
      <c r="I2429" s="1">
        <v>332065.0</v>
      </c>
      <c r="J2429" s="1" t="s">
        <v>11714</v>
      </c>
      <c r="K2429" s="1" t="s">
        <v>11715</v>
      </c>
      <c r="L2429" s="1">
        <v>876.0</v>
      </c>
      <c r="M2429" s="1" t="s">
        <v>35</v>
      </c>
      <c r="N2429" s="1" t="s">
        <v>36</v>
      </c>
      <c r="O2429" s="1" t="s">
        <v>628</v>
      </c>
      <c r="P2429" s="1">
        <v>1.5E7</v>
      </c>
      <c r="Q2429" s="1">
        <v>2008.0</v>
      </c>
      <c r="R2429" s="1">
        <v>10000.0</v>
      </c>
      <c r="S2429" s="1">
        <v>602.0</v>
      </c>
      <c r="T2429" s="1">
        <v>383.0</v>
      </c>
      <c r="U2429" s="1">
        <v>11114.0</v>
      </c>
      <c r="V2429" s="1">
        <v>0.0</v>
      </c>
      <c r="W2429" s="1">
        <v>16000.0</v>
      </c>
      <c r="X2429" s="1">
        <v>0.0</v>
      </c>
      <c r="Y2429" s="1">
        <v>1.85</v>
      </c>
      <c r="Z2429" s="1">
        <v>7.6</v>
      </c>
    </row>
    <row r="2430" ht="14.25" customHeight="1">
      <c r="A2430" s="1" t="s">
        <v>26</v>
      </c>
      <c r="B2430" s="1" t="s">
        <v>11716</v>
      </c>
      <c r="C2430" s="1" t="s">
        <v>11717</v>
      </c>
      <c r="D2430" s="1">
        <v>1.51E7</v>
      </c>
      <c r="E2430" s="1" t="s">
        <v>2123</v>
      </c>
      <c r="F2430" s="1" t="s">
        <v>2703</v>
      </c>
      <c r="G2430" s="1" t="s">
        <v>11718</v>
      </c>
      <c r="H2430" s="1" t="s">
        <v>3688</v>
      </c>
      <c r="I2430" s="1">
        <v>22797.0</v>
      </c>
      <c r="J2430" s="1" t="s">
        <v>11719</v>
      </c>
      <c r="K2430" s="1" t="s">
        <v>11720</v>
      </c>
      <c r="L2430" s="1">
        <v>96.0</v>
      </c>
      <c r="M2430" s="1" t="s">
        <v>35</v>
      </c>
      <c r="N2430" s="1" t="s">
        <v>36</v>
      </c>
      <c r="O2430" s="1" t="s">
        <v>628</v>
      </c>
      <c r="P2430" s="1">
        <v>1.5E7</v>
      </c>
      <c r="Q2430" s="1">
        <v>1984.0</v>
      </c>
      <c r="R2430" s="1">
        <v>695.0</v>
      </c>
      <c r="S2430" s="1">
        <v>654.0</v>
      </c>
      <c r="T2430" s="1">
        <v>563.0</v>
      </c>
      <c r="U2430" s="1">
        <v>3444.0</v>
      </c>
      <c r="V2430" s="1">
        <v>73.0</v>
      </c>
      <c r="W2430" s="1">
        <v>0.0</v>
      </c>
      <c r="X2430" s="1">
        <v>1.0</v>
      </c>
      <c r="Y2430" s="1">
        <v>2.35</v>
      </c>
      <c r="Z2430" s="1">
        <v>6.0</v>
      </c>
    </row>
    <row r="2431" ht="14.25" customHeight="1">
      <c r="A2431" s="1" t="s">
        <v>26</v>
      </c>
      <c r="B2431" s="1" t="s">
        <v>8137</v>
      </c>
      <c r="C2431" s="1" t="s">
        <v>11721</v>
      </c>
      <c r="D2431" s="1">
        <v>1.493857E7</v>
      </c>
      <c r="E2431" s="1" t="s">
        <v>1458</v>
      </c>
      <c r="F2431" s="1" t="s">
        <v>335</v>
      </c>
      <c r="G2431" s="1" t="s">
        <v>1009</v>
      </c>
      <c r="H2431" s="1" t="s">
        <v>988</v>
      </c>
      <c r="I2431" s="1">
        <v>111625.0</v>
      </c>
      <c r="J2431" s="1" t="s">
        <v>11722</v>
      </c>
      <c r="K2431" s="1" t="s">
        <v>11723</v>
      </c>
      <c r="L2431" s="1">
        <v>369.0</v>
      </c>
      <c r="M2431" s="1" t="s">
        <v>35</v>
      </c>
      <c r="N2431" s="1" t="s">
        <v>36</v>
      </c>
      <c r="O2431" s="1" t="s">
        <v>628</v>
      </c>
      <c r="P2431" s="1">
        <v>1.5E7</v>
      </c>
      <c r="Q2431" s="1">
        <v>2012.0</v>
      </c>
      <c r="R2431" s="1">
        <v>11000.0</v>
      </c>
      <c r="S2431" s="1">
        <v>820.0</v>
      </c>
      <c r="T2431" s="1">
        <v>748.0</v>
      </c>
      <c r="U2431" s="1">
        <v>14025.0</v>
      </c>
      <c r="V2431" s="1">
        <v>181.0</v>
      </c>
      <c r="W2431" s="1">
        <v>20000.0</v>
      </c>
      <c r="X2431" s="1">
        <v>1.0</v>
      </c>
      <c r="Y2431" s="1">
        <v>2.35</v>
      </c>
      <c r="Z2431" s="1">
        <v>6.2</v>
      </c>
    </row>
    <row r="2432" ht="14.25" customHeight="1">
      <c r="A2432" s="1" t="s">
        <v>26</v>
      </c>
      <c r="B2432" s="1" t="s">
        <v>9955</v>
      </c>
      <c r="C2432" s="1" t="s">
        <v>11724</v>
      </c>
      <c r="D2432" s="1">
        <v>1.7237244E7</v>
      </c>
      <c r="E2432" s="1" t="s">
        <v>2045</v>
      </c>
      <c r="F2432" s="1" t="s">
        <v>662</v>
      </c>
      <c r="G2432" s="1" t="s">
        <v>11725</v>
      </c>
      <c r="H2432" s="1" t="s">
        <v>11726</v>
      </c>
      <c r="I2432" s="1">
        <v>57210.0</v>
      </c>
      <c r="J2432" s="1" t="s">
        <v>11727</v>
      </c>
      <c r="K2432" s="1" t="s">
        <v>11728</v>
      </c>
      <c r="L2432" s="1">
        <v>158.0</v>
      </c>
      <c r="M2432" s="1" t="s">
        <v>35</v>
      </c>
      <c r="N2432" s="1" t="s">
        <v>54</v>
      </c>
      <c r="O2432" s="1" t="s">
        <v>628</v>
      </c>
      <c r="P2432" s="1">
        <v>1.5E7</v>
      </c>
      <c r="Q2432" s="1">
        <v>2014.0</v>
      </c>
      <c r="R2432" s="1">
        <v>22000.0</v>
      </c>
      <c r="S2432" s="1">
        <v>164.0</v>
      </c>
      <c r="T2432" s="1">
        <v>123.0</v>
      </c>
      <c r="U2432" s="1">
        <v>22574.0</v>
      </c>
      <c r="V2432" s="1">
        <v>210.0</v>
      </c>
      <c r="W2432" s="1">
        <v>13000.0</v>
      </c>
      <c r="X2432" s="1">
        <v>3.0</v>
      </c>
      <c r="Y2432" s="1">
        <v>2.35</v>
      </c>
      <c r="Z2432" s="1">
        <v>6.8</v>
      </c>
    </row>
    <row r="2433" ht="14.25" customHeight="1">
      <c r="A2433" s="1" t="s">
        <v>26</v>
      </c>
      <c r="B2433" s="1" t="s">
        <v>11729</v>
      </c>
      <c r="C2433" s="1" t="s">
        <v>11730</v>
      </c>
      <c r="D2433" s="1">
        <v>1.4249005E7</v>
      </c>
      <c r="E2433" s="1" t="s">
        <v>1885</v>
      </c>
      <c r="F2433" s="1" t="s">
        <v>867</v>
      </c>
      <c r="G2433" s="1" t="s">
        <v>11110</v>
      </c>
      <c r="H2433" s="1" t="s">
        <v>9737</v>
      </c>
      <c r="I2433" s="1">
        <v>39788.0</v>
      </c>
      <c r="J2433" s="1" t="s">
        <v>11731</v>
      </c>
      <c r="K2433" s="1" t="s">
        <v>11732</v>
      </c>
      <c r="L2433" s="1">
        <v>619.0</v>
      </c>
      <c r="M2433" s="1" t="s">
        <v>35</v>
      </c>
      <c r="N2433" s="1" t="s">
        <v>36</v>
      </c>
      <c r="O2433" s="1" t="s">
        <v>628</v>
      </c>
      <c r="P2433" s="1">
        <v>1.5E7</v>
      </c>
      <c r="Q2433" s="1">
        <v>2001.0</v>
      </c>
      <c r="R2433" s="1">
        <v>826.0</v>
      </c>
      <c r="S2433" s="1">
        <v>503.0</v>
      </c>
      <c r="T2433" s="1">
        <v>484.0</v>
      </c>
      <c r="U2433" s="1">
        <v>2689.0</v>
      </c>
      <c r="V2433" s="1">
        <v>374.0</v>
      </c>
      <c r="W2433" s="1">
        <v>0.0</v>
      </c>
      <c r="X2433" s="1">
        <v>1.0</v>
      </c>
      <c r="Y2433" s="1">
        <v>1.85</v>
      </c>
      <c r="Z2433" s="1">
        <v>4.5</v>
      </c>
    </row>
    <row r="2434" ht="14.25" customHeight="1">
      <c r="A2434" s="1" t="s">
        <v>26</v>
      </c>
      <c r="B2434" s="1" t="s">
        <v>11733</v>
      </c>
      <c r="C2434" s="1" t="s">
        <v>11734</v>
      </c>
      <c r="D2434" s="1">
        <v>1.270188E7</v>
      </c>
      <c r="E2434" s="1" t="s">
        <v>456</v>
      </c>
      <c r="F2434" s="1" t="s">
        <v>11735</v>
      </c>
      <c r="G2434" s="1" t="s">
        <v>11736</v>
      </c>
      <c r="H2434" s="1" t="s">
        <v>11737</v>
      </c>
      <c r="I2434" s="1">
        <v>2037.0</v>
      </c>
      <c r="J2434" s="1" t="s">
        <v>11738</v>
      </c>
      <c r="K2434" s="1" t="s">
        <v>11739</v>
      </c>
      <c r="L2434" s="1">
        <v>22.0</v>
      </c>
      <c r="M2434" s="1" t="s">
        <v>35</v>
      </c>
      <c r="N2434" s="1" t="s">
        <v>36</v>
      </c>
      <c r="O2434" s="1" t="s">
        <v>269</v>
      </c>
      <c r="P2434" s="1">
        <v>1.5E7</v>
      </c>
      <c r="Q2434" s="1">
        <v>2008.0</v>
      </c>
      <c r="R2434" s="1">
        <v>354.0</v>
      </c>
      <c r="S2434" s="1">
        <v>173.0</v>
      </c>
      <c r="T2434" s="1">
        <v>23.0</v>
      </c>
      <c r="U2434" s="1">
        <v>568.0</v>
      </c>
      <c r="V2434" s="1">
        <v>12.0</v>
      </c>
      <c r="W2434" s="1">
        <v>175.0</v>
      </c>
      <c r="X2434" s="1">
        <v>0.0</v>
      </c>
      <c r="Y2434" s="1">
        <v>1.85</v>
      </c>
      <c r="Z2434" s="1">
        <v>5.7</v>
      </c>
    </row>
    <row r="2435" ht="14.25" customHeight="1">
      <c r="A2435" s="1" t="s">
        <v>26</v>
      </c>
      <c r="B2435" s="1" t="s">
        <v>11740</v>
      </c>
      <c r="C2435" s="1" t="s">
        <v>11741</v>
      </c>
      <c r="D2435" s="1">
        <v>1.280119E7</v>
      </c>
      <c r="E2435" s="1" t="s">
        <v>29</v>
      </c>
      <c r="F2435" s="1" t="s">
        <v>4288</v>
      </c>
      <c r="G2435" s="1" t="s">
        <v>11742</v>
      </c>
      <c r="H2435" s="1" t="s">
        <v>11743</v>
      </c>
      <c r="I2435" s="1">
        <v>16340.0</v>
      </c>
      <c r="J2435" s="1" t="s">
        <v>11744</v>
      </c>
      <c r="K2435" s="1" t="s">
        <v>11745</v>
      </c>
      <c r="L2435" s="1">
        <v>355.0</v>
      </c>
      <c r="M2435" s="1" t="s">
        <v>35</v>
      </c>
      <c r="N2435" s="1" t="s">
        <v>36</v>
      </c>
      <c r="O2435" s="1" t="s">
        <v>628</v>
      </c>
      <c r="P2435" s="1">
        <v>1.5E7</v>
      </c>
      <c r="Q2435" s="1">
        <v>2000.0</v>
      </c>
      <c r="R2435" s="1">
        <v>1000.0</v>
      </c>
      <c r="S2435" s="1">
        <v>786.0</v>
      </c>
      <c r="T2435" s="1">
        <v>377.0</v>
      </c>
      <c r="U2435" s="1">
        <v>2764.0</v>
      </c>
      <c r="V2435" s="1">
        <v>36.0</v>
      </c>
      <c r="W2435" s="1">
        <v>356.0</v>
      </c>
      <c r="X2435" s="1">
        <v>1.0</v>
      </c>
      <c r="Y2435" s="1">
        <v>2.35</v>
      </c>
      <c r="Z2435" s="1">
        <v>4.6</v>
      </c>
    </row>
    <row r="2436" ht="14.25" customHeight="1">
      <c r="A2436" s="1" t="s">
        <v>26</v>
      </c>
      <c r="B2436" s="1" t="s">
        <v>11746</v>
      </c>
      <c r="C2436" s="1" t="s">
        <v>11747</v>
      </c>
      <c r="D2436" s="1">
        <v>1.2549485E7</v>
      </c>
      <c r="E2436" s="1" t="s">
        <v>11748</v>
      </c>
      <c r="F2436" s="1" t="s">
        <v>7052</v>
      </c>
      <c r="G2436" s="1" t="s">
        <v>4939</v>
      </c>
      <c r="H2436" s="1" t="s">
        <v>1794</v>
      </c>
      <c r="I2436" s="1">
        <v>4603.0</v>
      </c>
      <c r="J2436" s="1" t="s">
        <v>11749</v>
      </c>
      <c r="K2436" s="1" t="s">
        <v>11750</v>
      </c>
      <c r="L2436" s="1">
        <v>91.0</v>
      </c>
      <c r="M2436" s="1" t="s">
        <v>35</v>
      </c>
      <c r="N2436" s="1" t="s">
        <v>36</v>
      </c>
      <c r="O2436" s="1" t="s">
        <v>628</v>
      </c>
      <c r="P2436" s="1">
        <v>1.5E7</v>
      </c>
      <c r="Q2436" s="1">
        <v>2006.0</v>
      </c>
      <c r="R2436" s="1">
        <v>907.0</v>
      </c>
      <c r="S2436" s="1">
        <v>585.0</v>
      </c>
      <c r="T2436" s="1">
        <v>526.0</v>
      </c>
      <c r="U2436" s="1">
        <v>3633.0</v>
      </c>
      <c r="V2436" s="1">
        <v>16.0</v>
      </c>
      <c r="W2436" s="1">
        <v>489.0</v>
      </c>
      <c r="X2436" s="1">
        <v>4.0</v>
      </c>
      <c r="Y2436" s="1">
        <v>2.35</v>
      </c>
      <c r="Z2436" s="1">
        <v>6.2</v>
      </c>
    </row>
    <row r="2437" ht="14.25" customHeight="1">
      <c r="A2437" s="1" t="s">
        <v>26</v>
      </c>
      <c r="B2437" s="1" t="s">
        <v>11751</v>
      </c>
      <c r="C2437" s="1" t="s">
        <v>11752</v>
      </c>
      <c r="D2437" s="1">
        <v>1.3766014E7</v>
      </c>
      <c r="E2437" s="1" t="s">
        <v>206</v>
      </c>
      <c r="F2437" s="1" t="s">
        <v>249</v>
      </c>
      <c r="G2437" s="1" t="s">
        <v>1767</v>
      </c>
      <c r="H2437" s="1" t="s">
        <v>1085</v>
      </c>
      <c r="I2437" s="1">
        <v>106111.0</v>
      </c>
      <c r="J2437" s="1" t="s">
        <v>11753</v>
      </c>
      <c r="K2437" s="1" t="s">
        <v>11754</v>
      </c>
      <c r="L2437" s="1">
        <v>181.0</v>
      </c>
      <c r="M2437" s="1" t="s">
        <v>35</v>
      </c>
      <c r="N2437" s="1" t="s">
        <v>36</v>
      </c>
      <c r="O2437" s="1" t="s">
        <v>37</v>
      </c>
      <c r="P2437" s="1">
        <v>1.5E7</v>
      </c>
      <c r="Q2437" s="1">
        <v>2011.0</v>
      </c>
      <c r="R2437" s="1">
        <v>11000.0</v>
      </c>
      <c r="S2437" s="1">
        <v>5000.0</v>
      </c>
      <c r="T2437" s="1">
        <v>358.0</v>
      </c>
      <c r="U2437" s="1">
        <v>17627.0</v>
      </c>
      <c r="V2437" s="1">
        <v>92.0</v>
      </c>
      <c r="W2437" s="1">
        <v>49000.0</v>
      </c>
      <c r="X2437" s="1">
        <v>0.0</v>
      </c>
      <c r="Y2437" s="1">
        <v>2.35</v>
      </c>
      <c r="Z2437" s="1">
        <v>7.0</v>
      </c>
    </row>
    <row r="2438" ht="14.25" customHeight="1">
      <c r="A2438" s="1" t="s">
        <v>26</v>
      </c>
      <c r="B2438" s="1" t="s">
        <v>11755</v>
      </c>
      <c r="C2438" s="1" t="s">
        <v>11756</v>
      </c>
      <c r="D2438" s="1">
        <v>1.3034417E7</v>
      </c>
      <c r="E2438" s="1" t="s">
        <v>3598</v>
      </c>
      <c r="F2438" s="1" t="s">
        <v>7961</v>
      </c>
      <c r="G2438" s="1" t="s">
        <v>6204</v>
      </c>
      <c r="H2438" s="1" t="s">
        <v>11757</v>
      </c>
      <c r="I2438" s="1">
        <v>55665.0</v>
      </c>
      <c r="J2438" s="1" t="s">
        <v>11758</v>
      </c>
      <c r="K2438" s="1" t="s">
        <v>11759</v>
      </c>
      <c r="L2438" s="1">
        <v>118.0</v>
      </c>
      <c r="M2438" s="1" t="s">
        <v>35</v>
      </c>
      <c r="N2438" s="1" t="s">
        <v>36</v>
      </c>
      <c r="O2438" s="1" t="s">
        <v>37</v>
      </c>
      <c r="P2438" s="1">
        <v>1.5E7</v>
      </c>
      <c r="Q2438" s="1">
        <v>2009.0</v>
      </c>
      <c r="R2438" s="1">
        <v>796.0</v>
      </c>
      <c r="S2438" s="1">
        <v>787.0</v>
      </c>
      <c r="T2438" s="1">
        <v>727.0</v>
      </c>
      <c r="U2438" s="1">
        <v>2633.0</v>
      </c>
      <c r="V2438" s="1">
        <v>0.0</v>
      </c>
      <c r="W2438" s="1">
        <v>10000.0</v>
      </c>
      <c r="X2438" s="1">
        <v>1.0</v>
      </c>
      <c r="Y2438" s="1">
        <v>2.35</v>
      </c>
      <c r="Z2438" s="1">
        <v>6.9</v>
      </c>
    </row>
    <row r="2439" ht="14.25" customHeight="1">
      <c r="A2439" s="1" t="s">
        <v>26</v>
      </c>
      <c r="B2439" s="1" t="s">
        <v>11760</v>
      </c>
      <c r="C2439" s="1" t="s">
        <v>11761</v>
      </c>
      <c r="D2439" s="1">
        <v>1.2212417E7</v>
      </c>
      <c r="E2439" s="1" t="s">
        <v>1458</v>
      </c>
      <c r="F2439" s="1" t="s">
        <v>4172</v>
      </c>
      <c r="G2439" s="1" t="s">
        <v>7012</v>
      </c>
      <c r="H2439" s="1" t="s">
        <v>5217</v>
      </c>
      <c r="I2439" s="1">
        <v>30643.0</v>
      </c>
      <c r="J2439" s="1" t="s">
        <v>11762</v>
      </c>
      <c r="K2439" s="1" t="s">
        <v>11763</v>
      </c>
      <c r="L2439" s="1">
        <v>144.0</v>
      </c>
      <c r="M2439" s="1" t="s">
        <v>35</v>
      </c>
      <c r="N2439" s="1" t="s">
        <v>36</v>
      </c>
      <c r="O2439" s="1" t="s">
        <v>628</v>
      </c>
      <c r="P2439" s="1">
        <v>1.5E7</v>
      </c>
      <c r="Q2439" s="1">
        <v>2003.0</v>
      </c>
      <c r="R2439" s="1">
        <v>436.0</v>
      </c>
      <c r="S2439" s="1">
        <v>324.0</v>
      </c>
      <c r="T2439" s="1">
        <v>308.0</v>
      </c>
      <c r="U2439" s="1">
        <v>1172.0</v>
      </c>
      <c r="V2439" s="1">
        <v>164.0</v>
      </c>
      <c r="W2439" s="1">
        <v>622.0</v>
      </c>
      <c r="X2439" s="1">
        <v>3.0</v>
      </c>
      <c r="Y2439" s="1">
        <v>2.35</v>
      </c>
      <c r="Z2439" s="1">
        <v>6.7</v>
      </c>
    </row>
    <row r="2440" ht="14.25" customHeight="1">
      <c r="A2440" s="1" t="s">
        <v>26</v>
      </c>
      <c r="B2440" s="1" t="s">
        <v>2818</v>
      </c>
      <c r="C2440" s="1" t="s">
        <v>11764</v>
      </c>
      <c r="D2440" s="1">
        <v>1.1614236E7</v>
      </c>
      <c r="E2440" s="1" t="s">
        <v>1885</v>
      </c>
      <c r="F2440" s="1" t="s">
        <v>293</v>
      </c>
      <c r="G2440" s="1" t="s">
        <v>5247</v>
      </c>
      <c r="H2440" s="1" t="s">
        <v>2818</v>
      </c>
      <c r="I2440" s="1">
        <v>9294.0</v>
      </c>
      <c r="J2440" s="1" t="s">
        <v>11765</v>
      </c>
      <c r="K2440" s="1" t="s">
        <v>11766</v>
      </c>
      <c r="L2440" s="1">
        <v>140.0</v>
      </c>
      <c r="M2440" s="1" t="s">
        <v>35</v>
      </c>
      <c r="N2440" s="1" t="s">
        <v>36</v>
      </c>
      <c r="O2440" s="1" t="s">
        <v>37</v>
      </c>
      <c r="P2440" s="1">
        <v>1.5E7</v>
      </c>
      <c r="Q2440" s="1">
        <v>1999.0</v>
      </c>
      <c r="R2440" s="1">
        <v>12000.0</v>
      </c>
      <c r="S2440" s="1">
        <v>821.0</v>
      </c>
      <c r="T2440" s="1">
        <v>745.0</v>
      </c>
      <c r="U2440" s="1">
        <v>15209.0</v>
      </c>
      <c r="V2440" s="1">
        <v>745.0</v>
      </c>
      <c r="W2440" s="1">
        <v>251.0</v>
      </c>
      <c r="X2440" s="1">
        <v>2.0</v>
      </c>
      <c r="Y2440" s="1">
        <v>1.37</v>
      </c>
      <c r="Z2440" s="1">
        <v>5.6</v>
      </c>
    </row>
    <row r="2441" ht="14.25" customHeight="1">
      <c r="A2441" s="1" t="s">
        <v>710</v>
      </c>
      <c r="B2441" s="1" t="s">
        <v>6307</v>
      </c>
      <c r="C2441" s="1" t="s">
        <v>11767</v>
      </c>
      <c r="D2441" s="1">
        <v>1.3337299E7</v>
      </c>
      <c r="E2441" s="1" t="s">
        <v>6117</v>
      </c>
      <c r="F2441" s="1" t="s">
        <v>3416</v>
      </c>
      <c r="G2441" s="1" t="s">
        <v>11768</v>
      </c>
      <c r="H2441" s="1" t="s">
        <v>11769</v>
      </c>
      <c r="I2441" s="1">
        <v>9649.0</v>
      </c>
      <c r="J2441" s="1" t="s">
        <v>11770</v>
      </c>
      <c r="K2441" s="1" t="s">
        <v>11771</v>
      </c>
      <c r="L2441" s="1">
        <v>226.0</v>
      </c>
      <c r="M2441" s="1" t="s">
        <v>35</v>
      </c>
      <c r="N2441" s="1" t="s">
        <v>36</v>
      </c>
      <c r="O2441" s="1" t="s">
        <v>37</v>
      </c>
      <c r="P2441" s="1">
        <v>2.0E7</v>
      </c>
      <c r="Q2441" s="1">
        <v>2004.0</v>
      </c>
      <c r="R2441" s="1">
        <v>427.0</v>
      </c>
      <c r="S2441" s="1">
        <v>66.0</v>
      </c>
      <c r="T2441" s="1">
        <v>65.0</v>
      </c>
      <c r="U2441" s="1">
        <v>729.0</v>
      </c>
      <c r="V2441" s="1">
        <v>34.0</v>
      </c>
      <c r="W2441" s="1">
        <v>1000.0</v>
      </c>
      <c r="X2441" s="1">
        <v>7.0</v>
      </c>
      <c r="Y2441" s="1">
        <v>2.35</v>
      </c>
      <c r="Z2441" s="1">
        <v>6.6</v>
      </c>
    </row>
    <row r="2442" ht="14.25" customHeight="1">
      <c r="A2442" s="1" t="s">
        <v>26</v>
      </c>
      <c r="B2442" s="1" t="s">
        <v>3797</v>
      </c>
      <c r="C2442" s="1" t="s">
        <v>11772</v>
      </c>
      <c r="D2442" s="1">
        <v>1.0763469E7</v>
      </c>
      <c r="E2442" s="1" t="s">
        <v>1359</v>
      </c>
      <c r="F2442" s="1" t="s">
        <v>3797</v>
      </c>
      <c r="G2442" s="1" t="s">
        <v>11773</v>
      </c>
      <c r="H2442" s="1" t="s">
        <v>2740</v>
      </c>
      <c r="I2442" s="1">
        <v>13692.0</v>
      </c>
      <c r="J2442" s="1" t="s">
        <v>11774</v>
      </c>
      <c r="K2442" s="1" t="s">
        <v>11775</v>
      </c>
      <c r="L2442" s="1">
        <v>55.0</v>
      </c>
      <c r="M2442" s="1" t="s">
        <v>35</v>
      </c>
      <c r="N2442" s="1" t="s">
        <v>36</v>
      </c>
      <c r="O2442" s="1" t="s">
        <v>87</v>
      </c>
      <c r="P2442" s="1">
        <v>1.5E7</v>
      </c>
      <c r="Q2442" s="1">
        <v>1989.0</v>
      </c>
      <c r="R2442" s="1">
        <v>11000.0</v>
      </c>
      <c r="S2442" s="1">
        <v>860.0</v>
      </c>
      <c r="T2442" s="1">
        <v>563.0</v>
      </c>
      <c r="U2442" s="1">
        <v>12685.0</v>
      </c>
      <c r="V2442" s="1">
        <v>11000.0</v>
      </c>
      <c r="W2442" s="1">
        <v>877.0</v>
      </c>
      <c r="X2442" s="1">
        <v>0.0</v>
      </c>
      <c r="Y2442" s="1">
        <v>1.85</v>
      </c>
      <c r="Z2442" s="1">
        <v>6.4</v>
      </c>
    </row>
    <row r="2443" ht="14.25" customHeight="1">
      <c r="A2443" s="1" t="s">
        <v>26</v>
      </c>
      <c r="B2443" s="1" t="s">
        <v>11776</v>
      </c>
      <c r="C2443" s="1" t="s">
        <v>11777</v>
      </c>
      <c r="D2443" s="1">
        <v>1.1144518E7</v>
      </c>
      <c r="E2443" s="1" t="s">
        <v>8662</v>
      </c>
      <c r="F2443" s="1" t="s">
        <v>1952</v>
      </c>
      <c r="G2443" s="1" t="s">
        <v>11778</v>
      </c>
      <c r="H2443" s="1" t="s">
        <v>11779</v>
      </c>
      <c r="I2443" s="1">
        <v>2724.0</v>
      </c>
      <c r="J2443" s="1" t="s">
        <v>11780</v>
      </c>
      <c r="K2443" s="1" t="s">
        <v>11781</v>
      </c>
      <c r="L2443" s="1">
        <v>53.0</v>
      </c>
      <c r="M2443" s="1" t="s">
        <v>35</v>
      </c>
      <c r="N2443" s="1" t="s">
        <v>260</v>
      </c>
      <c r="O2443" s="1" t="s">
        <v>269</v>
      </c>
      <c r="P2443" s="1">
        <v>1.5E7</v>
      </c>
      <c r="Q2443" s="1">
        <v>1998.0</v>
      </c>
      <c r="R2443" s="1">
        <v>595.0</v>
      </c>
      <c r="S2443" s="1">
        <v>417.0</v>
      </c>
      <c r="T2443" s="1">
        <v>47.0</v>
      </c>
      <c r="U2443" s="1">
        <v>1139.0</v>
      </c>
      <c r="V2443" s="1">
        <v>9.0</v>
      </c>
      <c r="W2443" s="1">
        <v>436.0</v>
      </c>
      <c r="X2443" s="1">
        <v>0.0</v>
      </c>
      <c r="Y2443" s="1">
        <v>1.85</v>
      </c>
      <c r="Z2443" s="1">
        <v>2.8</v>
      </c>
    </row>
    <row r="2444" ht="14.25" customHeight="1">
      <c r="A2444" s="1" t="s">
        <v>26</v>
      </c>
      <c r="B2444" s="1" t="s">
        <v>1646</v>
      </c>
      <c r="C2444" s="1" t="s">
        <v>11782</v>
      </c>
      <c r="D2444" s="1">
        <v>1.5608545E7</v>
      </c>
      <c r="E2444" s="1" t="s">
        <v>1270</v>
      </c>
      <c r="F2444" s="1" t="s">
        <v>929</v>
      </c>
      <c r="G2444" s="1" t="s">
        <v>1646</v>
      </c>
      <c r="H2444" s="1" t="s">
        <v>11783</v>
      </c>
      <c r="I2444" s="1">
        <v>53471.0</v>
      </c>
      <c r="J2444" s="1" t="s">
        <v>11784</v>
      </c>
      <c r="K2444" s="1" t="s">
        <v>11785</v>
      </c>
      <c r="L2444" s="1">
        <v>224.0</v>
      </c>
      <c r="M2444" s="1" t="s">
        <v>35</v>
      </c>
      <c r="N2444" s="1" t="s">
        <v>36</v>
      </c>
      <c r="O2444" s="1" t="s">
        <v>628</v>
      </c>
      <c r="P2444" s="1">
        <v>1.5E7</v>
      </c>
      <c r="Q2444" s="1">
        <v>2012.0</v>
      </c>
      <c r="R2444" s="1">
        <v>746.0</v>
      </c>
      <c r="S2444" s="1">
        <v>561.0</v>
      </c>
      <c r="T2444" s="1">
        <v>353.0</v>
      </c>
      <c r="U2444" s="1">
        <v>2377.0</v>
      </c>
      <c r="V2444" s="1">
        <v>561.0</v>
      </c>
      <c r="W2444" s="1">
        <v>29000.0</v>
      </c>
      <c r="X2444" s="1">
        <v>3.0</v>
      </c>
      <c r="Y2444" s="1">
        <v>2.35</v>
      </c>
      <c r="Z2444" s="1">
        <v>5.4</v>
      </c>
    </row>
    <row r="2445" ht="14.25" customHeight="1">
      <c r="A2445" s="1" t="s">
        <v>26</v>
      </c>
      <c r="B2445" s="1" t="s">
        <v>970</v>
      </c>
      <c r="C2445" s="1" t="s">
        <v>11786</v>
      </c>
      <c r="D2445" s="1">
        <v>1.0443316E7</v>
      </c>
      <c r="E2445" s="1" t="s">
        <v>1359</v>
      </c>
      <c r="F2445" s="1" t="s">
        <v>1719</v>
      </c>
      <c r="G2445" s="1" t="s">
        <v>1759</v>
      </c>
      <c r="H2445" s="1" t="s">
        <v>11787</v>
      </c>
      <c r="I2445" s="1">
        <v>7159.0</v>
      </c>
      <c r="J2445" s="1" t="s">
        <v>11788</v>
      </c>
      <c r="K2445" s="1" t="s">
        <v>11789</v>
      </c>
      <c r="L2445" s="1">
        <v>88.0</v>
      </c>
      <c r="M2445" s="1" t="s">
        <v>35</v>
      </c>
      <c r="N2445" s="1" t="s">
        <v>36</v>
      </c>
      <c r="O2445" s="1" t="s">
        <v>37</v>
      </c>
      <c r="P2445" s="1">
        <v>1.5E7</v>
      </c>
      <c r="Q2445" s="1">
        <v>1998.0</v>
      </c>
      <c r="R2445" s="1">
        <v>925.0</v>
      </c>
      <c r="S2445" s="1">
        <v>660.0</v>
      </c>
      <c r="T2445" s="1">
        <v>629.0</v>
      </c>
      <c r="U2445" s="1">
        <v>2913.0</v>
      </c>
      <c r="V2445" s="1">
        <v>23.0</v>
      </c>
      <c r="W2445" s="1">
        <v>247.0</v>
      </c>
      <c r="X2445" s="1">
        <v>2.0</v>
      </c>
      <c r="Y2445" s="1">
        <v>1.85</v>
      </c>
      <c r="Z2445" s="1">
        <v>5.0</v>
      </c>
    </row>
    <row r="2446" ht="14.25" customHeight="1">
      <c r="A2446" s="1" t="s">
        <v>26</v>
      </c>
      <c r="B2446" s="1" t="s">
        <v>11790</v>
      </c>
      <c r="C2446" s="1" t="s">
        <v>11791</v>
      </c>
      <c r="D2446" s="1">
        <v>1.0494147E7</v>
      </c>
      <c r="E2446" s="1" t="s">
        <v>206</v>
      </c>
      <c r="F2446" s="1" t="s">
        <v>346</v>
      </c>
      <c r="G2446" s="1" t="s">
        <v>3197</v>
      </c>
      <c r="H2446" s="1" t="s">
        <v>9756</v>
      </c>
      <c r="I2446" s="1">
        <v>7403.0</v>
      </c>
      <c r="J2446" s="1" t="s">
        <v>11792</v>
      </c>
      <c r="K2446" s="1" t="s">
        <v>11793</v>
      </c>
      <c r="L2446" s="1">
        <v>162.0</v>
      </c>
      <c r="M2446" s="1" t="s">
        <v>35</v>
      </c>
      <c r="N2446" s="1" t="s">
        <v>36</v>
      </c>
      <c r="O2446" s="1" t="s">
        <v>37</v>
      </c>
      <c r="P2446" s="1">
        <v>1.5E7</v>
      </c>
      <c r="Q2446" s="1">
        <v>2000.0</v>
      </c>
      <c r="R2446" s="1">
        <v>989.0</v>
      </c>
      <c r="S2446" s="1">
        <v>841.0</v>
      </c>
      <c r="T2446" s="1">
        <v>670.0</v>
      </c>
      <c r="U2446" s="1">
        <v>3142.0</v>
      </c>
      <c r="V2446" s="1">
        <v>4.0</v>
      </c>
      <c r="W2446" s="1">
        <v>648.0</v>
      </c>
      <c r="X2446" s="1">
        <v>1.0</v>
      </c>
      <c r="Y2446" s="1">
        <v>1.85</v>
      </c>
      <c r="Z2446" s="1">
        <v>5.1</v>
      </c>
    </row>
    <row r="2447" ht="14.25" customHeight="1">
      <c r="A2447" s="1" t="s">
        <v>26</v>
      </c>
      <c r="B2447" s="1" t="s">
        <v>2661</v>
      </c>
      <c r="C2447" s="1" t="s">
        <v>11794</v>
      </c>
      <c r="D2447" s="1">
        <v>9929000.0</v>
      </c>
      <c r="E2447" s="1" t="s">
        <v>1766</v>
      </c>
      <c r="F2447" s="1" t="s">
        <v>1663</v>
      </c>
      <c r="G2447" s="1" t="s">
        <v>2307</v>
      </c>
      <c r="H2447" s="1" t="s">
        <v>385</v>
      </c>
      <c r="I2447" s="1">
        <v>152306.0</v>
      </c>
      <c r="J2447" s="1" t="s">
        <v>11795</v>
      </c>
      <c r="K2447" s="1" t="s">
        <v>11796</v>
      </c>
      <c r="L2447" s="1">
        <v>513.0</v>
      </c>
      <c r="M2447" s="1" t="s">
        <v>35</v>
      </c>
      <c r="N2447" s="1" t="s">
        <v>54</v>
      </c>
      <c r="O2447" s="1" t="s">
        <v>628</v>
      </c>
      <c r="P2447" s="1">
        <v>1.5E7</v>
      </c>
      <c r="Q2447" s="1">
        <v>1985.0</v>
      </c>
      <c r="R2447" s="1">
        <v>22000.0</v>
      </c>
      <c r="S2447" s="1">
        <v>5000.0</v>
      </c>
      <c r="T2447" s="1">
        <v>1000.0</v>
      </c>
      <c r="U2447" s="1">
        <v>29475.0</v>
      </c>
      <c r="V2447" s="1">
        <v>0.0</v>
      </c>
      <c r="W2447" s="1">
        <v>16000.0</v>
      </c>
      <c r="X2447" s="1">
        <v>0.0</v>
      </c>
      <c r="Y2447" s="1">
        <v>1.85</v>
      </c>
      <c r="Z2447" s="1">
        <v>8.0</v>
      </c>
    </row>
    <row r="2448" ht="14.25" customHeight="1">
      <c r="A2448" s="1" t="s">
        <v>26</v>
      </c>
      <c r="B2448" s="1" t="s">
        <v>10764</v>
      </c>
      <c r="C2448" s="1" t="s">
        <v>11797</v>
      </c>
      <c r="D2448" s="1">
        <v>1.041198E7</v>
      </c>
      <c r="E2448" s="1" t="s">
        <v>11798</v>
      </c>
      <c r="F2448" s="1" t="s">
        <v>8895</v>
      </c>
      <c r="G2448" s="1" t="s">
        <v>8260</v>
      </c>
      <c r="H2448" s="1" t="s">
        <v>8731</v>
      </c>
      <c r="I2448" s="1">
        <v>22649.0</v>
      </c>
      <c r="J2448" s="1" t="s">
        <v>11799</v>
      </c>
      <c r="K2448" s="1" t="s">
        <v>11800</v>
      </c>
      <c r="L2448" s="1">
        <v>212.0</v>
      </c>
      <c r="M2448" s="1" t="s">
        <v>35</v>
      </c>
      <c r="N2448" s="1" t="s">
        <v>36</v>
      </c>
      <c r="O2448" s="1" t="s">
        <v>87</v>
      </c>
      <c r="P2448" s="1">
        <v>1.5E7</v>
      </c>
      <c r="Q2448" s="1">
        <v>2004.0</v>
      </c>
      <c r="R2448" s="1">
        <v>1000.0</v>
      </c>
      <c r="S2448" s="1">
        <v>872.0</v>
      </c>
      <c r="T2448" s="1">
        <v>782.0</v>
      </c>
      <c r="U2448" s="1">
        <v>4676.0</v>
      </c>
      <c r="V2448" s="1">
        <v>80.0</v>
      </c>
      <c r="W2448" s="1">
        <v>1000.0</v>
      </c>
      <c r="X2448" s="1">
        <v>0.0</v>
      </c>
      <c r="Y2448" s="1">
        <v>2.35</v>
      </c>
      <c r="Z2448" s="1">
        <v>5.9</v>
      </c>
    </row>
    <row r="2449" ht="14.25" customHeight="1">
      <c r="A2449" s="1" t="s">
        <v>26</v>
      </c>
      <c r="B2449" s="1" t="s">
        <v>4043</v>
      </c>
      <c r="C2449" s="1" t="s">
        <v>11801</v>
      </c>
      <c r="D2449" s="1">
        <v>1.7439163E7</v>
      </c>
      <c r="E2449" s="1" t="s">
        <v>972</v>
      </c>
      <c r="F2449" s="1" t="s">
        <v>662</v>
      </c>
      <c r="G2449" s="1" t="s">
        <v>293</v>
      </c>
      <c r="H2449" s="1" t="s">
        <v>264</v>
      </c>
      <c r="I2449" s="1">
        <v>537419.0</v>
      </c>
      <c r="J2449" s="1" t="s">
        <v>11802</v>
      </c>
      <c r="K2449" s="1" t="s">
        <v>11803</v>
      </c>
      <c r="L2449" s="1">
        <v>1028.0</v>
      </c>
      <c r="M2449" s="1" t="s">
        <v>35</v>
      </c>
      <c r="N2449" s="1" t="s">
        <v>36</v>
      </c>
      <c r="O2449" s="1" t="s">
        <v>628</v>
      </c>
      <c r="P2449" s="1">
        <v>1.5E7</v>
      </c>
      <c r="Q2449" s="1">
        <v>1998.0</v>
      </c>
      <c r="R2449" s="1">
        <v>22000.0</v>
      </c>
      <c r="S2449" s="1">
        <v>12000.0</v>
      </c>
      <c r="T2449" s="1">
        <v>12000.0</v>
      </c>
      <c r="U2449" s="1">
        <v>47728.0</v>
      </c>
      <c r="V2449" s="1">
        <v>0.0</v>
      </c>
      <c r="W2449" s="1">
        <v>35000.0</v>
      </c>
      <c r="X2449" s="1">
        <v>1.0</v>
      </c>
      <c r="Y2449" s="1">
        <v>1.85</v>
      </c>
      <c r="Z2449" s="1">
        <v>8.2</v>
      </c>
    </row>
    <row r="2450" ht="14.25" customHeight="1">
      <c r="A2450" s="1" t="s">
        <v>710</v>
      </c>
      <c r="B2450" s="1" t="s">
        <v>11804</v>
      </c>
      <c r="C2450" s="1" t="s">
        <v>11805</v>
      </c>
      <c r="D2450" s="1">
        <v>9396487.0</v>
      </c>
      <c r="E2450" s="1" t="s">
        <v>5819</v>
      </c>
      <c r="F2450" s="1" t="s">
        <v>686</v>
      </c>
      <c r="G2450" s="1" t="s">
        <v>11806</v>
      </c>
      <c r="H2450" s="1" t="s">
        <v>1635</v>
      </c>
      <c r="I2450" s="1">
        <v>52421.0</v>
      </c>
      <c r="J2450" s="1" t="s">
        <v>11807</v>
      </c>
      <c r="K2450" s="1" t="s">
        <v>11808</v>
      </c>
      <c r="L2450" s="1">
        <v>200.0</v>
      </c>
      <c r="M2450" s="1" t="s">
        <v>35</v>
      </c>
      <c r="N2450" s="1" t="s">
        <v>36</v>
      </c>
      <c r="O2450" s="1" t="s">
        <v>628</v>
      </c>
      <c r="P2450" s="1">
        <v>1.5E7</v>
      </c>
      <c r="Q2450" s="1">
        <v>2006.0</v>
      </c>
      <c r="R2450" s="1">
        <v>3000.0</v>
      </c>
      <c r="S2450" s="1">
        <v>788.0</v>
      </c>
      <c r="T2450" s="1">
        <v>539.0</v>
      </c>
      <c r="U2450" s="1">
        <v>5012.0</v>
      </c>
      <c r="V2450" s="1">
        <v>153.0</v>
      </c>
      <c r="W2450" s="1">
        <v>0.0</v>
      </c>
      <c r="X2450" s="1">
        <v>0.0</v>
      </c>
      <c r="Y2450" s="1">
        <v>2.35</v>
      </c>
      <c r="Z2450" s="1">
        <v>7.0</v>
      </c>
    </row>
    <row r="2451" ht="14.25" customHeight="1">
      <c r="A2451" s="1" t="s">
        <v>26</v>
      </c>
      <c r="B2451" s="1" t="s">
        <v>2999</v>
      </c>
      <c r="C2451" s="1" t="s">
        <v>11809</v>
      </c>
      <c r="D2451" s="1">
        <v>9059588.0</v>
      </c>
      <c r="E2451" s="1" t="s">
        <v>4987</v>
      </c>
      <c r="F2451" s="1" t="s">
        <v>11810</v>
      </c>
      <c r="G2451" s="1" t="s">
        <v>4678</v>
      </c>
      <c r="H2451" s="1" t="s">
        <v>11811</v>
      </c>
      <c r="I2451" s="1">
        <v>17261.0</v>
      </c>
      <c r="J2451" s="1" t="s">
        <v>11812</v>
      </c>
      <c r="K2451" s="1" t="s">
        <v>11813</v>
      </c>
      <c r="L2451" s="1">
        <v>125.0</v>
      </c>
      <c r="M2451" s="1" t="s">
        <v>35</v>
      </c>
      <c r="N2451" s="1" t="s">
        <v>36</v>
      </c>
      <c r="O2451" s="1" t="s">
        <v>628</v>
      </c>
      <c r="P2451" s="1">
        <v>1.5E7</v>
      </c>
      <c r="Q2451" s="1">
        <v>2002.0</v>
      </c>
      <c r="R2451" s="1">
        <v>556.0</v>
      </c>
      <c r="S2451" s="1">
        <v>463.0</v>
      </c>
      <c r="T2451" s="1">
        <v>274.0</v>
      </c>
      <c r="U2451" s="1">
        <v>1873.0</v>
      </c>
      <c r="V2451" s="1">
        <v>41.0</v>
      </c>
      <c r="W2451" s="1">
        <v>455.0</v>
      </c>
      <c r="X2451" s="1">
        <v>1.0</v>
      </c>
      <c r="Y2451" s="1">
        <v>2.35</v>
      </c>
      <c r="Z2451" s="1">
        <v>6.6</v>
      </c>
    </row>
    <row r="2452" ht="14.25" customHeight="1">
      <c r="A2452" s="1" t="s">
        <v>26</v>
      </c>
      <c r="B2452" s="1" t="s">
        <v>11814</v>
      </c>
      <c r="C2452" s="1" t="s">
        <v>11815</v>
      </c>
      <c r="D2452" s="1">
        <v>9172810.0</v>
      </c>
      <c r="E2452" s="1" t="s">
        <v>11816</v>
      </c>
      <c r="F2452" s="1" t="s">
        <v>550</v>
      </c>
      <c r="G2452" s="1" t="s">
        <v>1443</v>
      </c>
      <c r="H2452" s="1" t="s">
        <v>11817</v>
      </c>
      <c r="I2452" s="1">
        <v>24150.0</v>
      </c>
      <c r="J2452" s="1" t="s">
        <v>11818</v>
      </c>
      <c r="K2452" s="1" t="s">
        <v>11819</v>
      </c>
      <c r="L2452" s="1">
        <v>118.0</v>
      </c>
      <c r="M2452" s="1" t="s">
        <v>35</v>
      </c>
      <c r="N2452" s="1" t="s">
        <v>36</v>
      </c>
      <c r="O2452" s="1" t="s">
        <v>628</v>
      </c>
      <c r="P2452" s="1">
        <v>1.6E7</v>
      </c>
      <c r="Q2452" s="1">
        <v>2007.0</v>
      </c>
      <c r="R2452" s="1">
        <v>11000.0</v>
      </c>
      <c r="S2452" s="1">
        <v>883.0</v>
      </c>
      <c r="T2452" s="1">
        <v>254.0</v>
      </c>
      <c r="U2452" s="1">
        <v>12178.0</v>
      </c>
      <c r="V2452" s="1">
        <v>187.0</v>
      </c>
      <c r="W2452" s="1">
        <v>923.0</v>
      </c>
      <c r="X2452" s="1">
        <v>0.0</v>
      </c>
      <c r="Y2452" s="1">
        <v>2.35</v>
      </c>
      <c r="Z2452" s="1">
        <v>6.7</v>
      </c>
    </row>
    <row r="2453" ht="14.25" customHeight="1">
      <c r="A2453" s="1" t="s">
        <v>26</v>
      </c>
      <c r="B2453" s="1" t="s">
        <v>11820</v>
      </c>
      <c r="C2453" s="1" t="s">
        <v>11821</v>
      </c>
      <c r="D2453" s="1">
        <v>8735529.0</v>
      </c>
      <c r="E2453" s="1" t="s">
        <v>1359</v>
      </c>
      <c r="F2453" s="1" t="s">
        <v>75</v>
      </c>
      <c r="G2453" s="1" t="s">
        <v>11822</v>
      </c>
      <c r="H2453" s="1" t="s">
        <v>11823</v>
      </c>
      <c r="I2453" s="1">
        <v>8055.0</v>
      </c>
      <c r="J2453" s="1" t="s">
        <v>11824</v>
      </c>
      <c r="K2453" s="1" t="s">
        <v>11825</v>
      </c>
      <c r="L2453" s="1">
        <v>89.0</v>
      </c>
      <c r="M2453" s="1" t="s">
        <v>35</v>
      </c>
      <c r="N2453" s="1" t="s">
        <v>36</v>
      </c>
      <c r="O2453" s="1" t="s">
        <v>37</v>
      </c>
      <c r="P2453" s="1">
        <v>1.5E7</v>
      </c>
      <c r="Q2453" s="1">
        <v>2000.0</v>
      </c>
      <c r="R2453" s="1">
        <v>11000.0</v>
      </c>
      <c r="S2453" s="1">
        <v>897.0</v>
      </c>
      <c r="T2453" s="1">
        <v>612.0</v>
      </c>
      <c r="U2453" s="1">
        <v>13524.0</v>
      </c>
      <c r="V2453" s="1">
        <v>9.0</v>
      </c>
      <c r="W2453" s="1">
        <v>816.0</v>
      </c>
      <c r="X2453" s="1">
        <v>4.0</v>
      </c>
      <c r="Y2453" s="1">
        <v>1.85</v>
      </c>
      <c r="Z2453" s="1">
        <v>5.5</v>
      </c>
    </row>
    <row r="2454" ht="14.25" customHeight="1">
      <c r="A2454" s="1" t="s">
        <v>26</v>
      </c>
      <c r="B2454" s="1" t="s">
        <v>11826</v>
      </c>
      <c r="C2454" s="1" t="s">
        <v>11827</v>
      </c>
      <c r="D2454" s="1">
        <v>8586376.0</v>
      </c>
      <c r="E2454" s="1" t="s">
        <v>1885</v>
      </c>
      <c r="F2454" s="1" t="s">
        <v>609</v>
      </c>
      <c r="G2454" s="1" t="s">
        <v>6882</v>
      </c>
      <c r="H2454" s="1" t="s">
        <v>1292</v>
      </c>
      <c r="I2454" s="1">
        <v>26598.0</v>
      </c>
      <c r="J2454" s="1" t="s">
        <v>11828</v>
      </c>
      <c r="K2454" s="1" t="s">
        <v>11829</v>
      </c>
      <c r="L2454" s="1">
        <v>132.0</v>
      </c>
      <c r="M2454" s="1" t="s">
        <v>35</v>
      </c>
      <c r="N2454" s="1" t="s">
        <v>36</v>
      </c>
      <c r="O2454" s="1" t="s">
        <v>628</v>
      </c>
      <c r="P2454" s="1">
        <v>2.0E7</v>
      </c>
      <c r="Q2454" s="1">
        <v>2002.0</v>
      </c>
      <c r="R2454" s="1">
        <v>890.0</v>
      </c>
      <c r="S2454" s="1">
        <v>852.0</v>
      </c>
      <c r="T2454" s="1">
        <v>461.0</v>
      </c>
      <c r="U2454" s="1">
        <v>3161.0</v>
      </c>
      <c r="V2454" s="1">
        <v>2.0</v>
      </c>
      <c r="W2454" s="1">
        <v>1000.0</v>
      </c>
      <c r="X2454" s="1">
        <v>4.0</v>
      </c>
      <c r="Y2454" s="1">
        <v>1.85</v>
      </c>
      <c r="Z2454" s="1">
        <v>4.9</v>
      </c>
    </row>
    <row r="2455" ht="14.25" customHeight="1">
      <c r="A2455" s="1" t="s">
        <v>26</v>
      </c>
      <c r="B2455" s="1" t="s">
        <v>5620</v>
      </c>
      <c r="C2455" s="1" t="s">
        <v>11830</v>
      </c>
      <c r="D2455" s="1">
        <v>8378141.0</v>
      </c>
      <c r="E2455" s="1" t="s">
        <v>1359</v>
      </c>
      <c r="F2455" s="1" t="s">
        <v>424</v>
      </c>
      <c r="G2455" s="1" t="s">
        <v>130</v>
      </c>
      <c r="H2455" s="1" t="s">
        <v>688</v>
      </c>
      <c r="I2455" s="1">
        <v>18966.0</v>
      </c>
      <c r="J2455" s="1" t="s">
        <v>11831</v>
      </c>
      <c r="K2455" s="1" t="s">
        <v>11832</v>
      </c>
      <c r="L2455" s="1">
        <v>141.0</v>
      </c>
      <c r="M2455" s="1" t="s">
        <v>35</v>
      </c>
      <c r="N2455" s="1" t="s">
        <v>54</v>
      </c>
      <c r="O2455" s="1" t="s">
        <v>87</v>
      </c>
      <c r="P2455" s="1">
        <v>1.5E7</v>
      </c>
      <c r="Q2455" s="1">
        <v>2002.0</v>
      </c>
      <c r="R2455" s="1">
        <v>14000.0</v>
      </c>
      <c r="S2455" s="1">
        <v>1000.0</v>
      </c>
      <c r="T2455" s="1">
        <v>692.0</v>
      </c>
      <c r="U2455" s="1">
        <v>16502.0</v>
      </c>
      <c r="V2455" s="1">
        <v>32.0</v>
      </c>
      <c r="W2455" s="1">
        <v>0.0</v>
      </c>
      <c r="X2455" s="1">
        <v>5.0</v>
      </c>
      <c r="Y2455" s="1">
        <v>2.35</v>
      </c>
      <c r="Z2455" s="1">
        <v>6.9</v>
      </c>
    </row>
    <row r="2456" ht="14.25" customHeight="1">
      <c r="A2456" s="1" t="s">
        <v>26</v>
      </c>
      <c r="B2456" s="1" t="s">
        <v>11833</v>
      </c>
      <c r="C2456" s="1" t="s">
        <v>11834</v>
      </c>
      <c r="D2456" s="1">
        <v>8080116.0</v>
      </c>
      <c r="E2456" s="1" t="s">
        <v>2267</v>
      </c>
      <c r="F2456" s="1" t="s">
        <v>1162</v>
      </c>
      <c r="G2456" s="1" t="s">
        <v>6693</v>
      </c>
      <c r="H2456" s="1" t="s">
        <v>1432</v>
      </c>
      <c r="I2456" s="1">
        <v>6562.0</v>
      </c>
      <c r="J2456" s="1" t="s">
        <v>11835</v>
      </c>
      <c r="K2456" s="1" t="s">
        <v>11836</v>
      </c>
      <c r="L2456" s="1">
        <v>66.0</v>
      </c>
      <c r="M2456" s="1" t="s">
        <v>35</v>
      </c>
      <c r="N2456" s="1" t="s">
        <v>36</v>
      </c>
      <c r="O2456" s="1" t="s">
        <v>87</v>
      </c>
      <c r="P2456" s="1">
        <v>1.5E7</v>
      </c>
      <c r="Q2456" s="1">
        <v>2006.0</v>
      </c>
      <c r="R2456" s="1">
        <v>8000.0</v>
      </c>
      <c r="S2456" s="1">
        <v>625.0</v>
      </c>
      <c r="T2456" s="1">
        <v>596.0</v>
      </c>
      <c r="U2456" s="1">
        <v>10732.0</v>
      </c>
      <c r="V2456" s="1">
        <v>6.0</v>
      </c>
      <c r="W2456" s="1">
        <v>647.0</v>
      </c>
      <c r="X2456" s="1">
        <v>0.0</v>
      </c>
      <c r="Y2456" s="1">
        <v>1.85</v>
      </c>
      <c r="Z2456" s="1">
        <v>5.6</v>
      </c>
    </row>
    <row r="2457" ht="14.25" customHeight="1">
      <c r="A2457" s="1" t="s">
        <v>26</v>
      </c>
      <c r="B2457" s="1" t="s">
        <v>11837</v>
      </c>
      <c r="C2457" s="1" t="s">
        <v>11838</v>
      </c>
      <c r="D2457" s="1">
        <v>7757130.0</v>
      </c>
      <c r="E2457" s="1" t="s">
        <v>8521</v>
      </c>
      <c r="F2457" s="1" t="s">
        <v>11839</v>
      </c>
      <c r="G2457" s="1" t="s">
        <v>11840</v>
      </c>
      <c r="H2457" s="1" t="s">
        <v>11841</v>
      </c>
      <c r="I2457" s="1">
        <v>307639.0</v>
      </c>
      <c r="J2457" s="1" t="s">
        <v>11842</v>
      </c>
      <c r="K2457" s="1" t="s">
        <v>11843</v>
      </c>
      <c r="L2457" s="1">
        <v>513.0</v>
      </c>
      <c r="M2457" s="1" t="s">
        <v>35</v>
      </c>
      <c r="N2457" s="1" t="s">
        <v>54</v>
      </c>
      <c r="O2457" s="1" t="s">
        <v>628</v>
      </c>
      <c r="P2457" s="1">
        <v>1.5E7</v>
      </c>
      <c r="Q2457" s="1">
        <v>2008.0</v>
      </c>
      <c r="R2457" s="1">
        <v>65.0</v>
      </c>
      <c r="S2457" s="1">
        <v>49.0</v>
      </c>
      <c r="T2457" s="1">
        <v>39.0</v>
      </c>
      <c r="U2457" s="1">
        <v>173.0</v>
      </c>
      <c r="V2457" s="1">
        <v>454.0</v>
      </c>
      <c r="W2457" s="1">
        <v>32000.0</v>
      </c>
      <c r="X2457" s="1">
        <v>1.0</v>
      </c>
      <c r="Y2457" s="1">
        <v>2.35</v>
      </c>
      <c r="Z2457" s="1">
        <v>8.0</v>
      </c>
    </row>
    <row r="2458" ht="14.25" customHeight="1">
      <c r="A2458" s="1" t="s">
        <v>26</v>
      </c>
      <c r="B2458" s="1" t="s">
        <v>11844</v>
      </c>
      <c r="C2458" s="1" t="s">
        <v>11845</v>
      </c>
      <c r="D2458" s="1">
        <v>9123834.0</v>
      </c>
      <c r="E2458" s="1" t="s">
        <v>1598</v>
      </c>
      <c r="F2458" s="1" t="s">
        <v>9048</v>
      </c>
      <c r="G2458" s="1" t="s">
        <v>1635</v>
      </c>
      <c r="H2458" s="1" t="s">
        <v>11846</v>
      </c>
      <c r="I2458" s="1">
        <v>4065.0</v>
      </c>
      <c r="J2458" s="1" t="s">
        <v>11847</v>
      </c>
      <c r="K2458" s="1" t="s">
        <v>11848</v>
      </c>
      <c r="L2458" s="1">
        <v>33.0</v>
      </c>
      <c r="M2458" s="1" t="s">
        <v>35</v>
      </c>
      <c r="N2458" s="1" t="s">
        <v>36</v>
      </c>
      <c r="O2458" s="1" t="s">
        <v>37</v>
      </c>
      <c r="P2458" s="1">
        <v>1.5E7</v>
      </c>
      <c r="Q2458" s="1">
        <v>2013.0</v>
      </c>
      <c r="R2458" s="1">
        <v>931.0</v>
      </c>
      <c r="S2458" s="1">
        <v>539.0</v>
      </c>
      <c r="T2458" s="1">
        <v>426.0</v>
      </c>
      <c r="U2458" s="1">
        <v>3322.0</v>
      </c>
      <c r="V2458" s="1">
        <v>24.0</v>
      </c>
      <c r="W2458" s="1">
        <v>0.0</v>
      </c>
      <c r="X2458" s="1">
        <v>6.0</v>
      </c>
      <c r="Y2458" s="1">
        <v>2.35</v>
      </c>
      <c r="Z2458" s="1">
        <v>5.3</v>
      </c>
    </row>
    <row r="2459" ht="14.25" customHeight="1">
      <c r="A2459" s="1" t="s">
        <v>26</v>
      </c>
      <c r="B2459" s="1" t="s">
        <v>11849</v>
      </c>
      <c r="C2459" s="1" t="s">
        <v>11850</v>
      </c>
      <c r="D2459" s="1">
        <v>6409206.0</v>
      </c>
      <c r="E2459" s="1" t="s">
        <v>7157</v>
      </c>
      <c r="F2459" s="1" t="s">
        <v>174</v>
      </c>
      <c r="G2459" s="1" t="s">
        <v>631</v>
      </c>
      <c r="H2459" s="1" t="s">
        <v>793</v>
      </c>
      <c r="I2459" s="1">
        <v>32311.0</v>
      </c>
      <c r="J2459" s="1" t="s">
        <v>11851</v>
      </c>
      <c r="K2459" s="1" t="s">
        <v>11852</v>
      </c>
      <c r="L2459" s="1">
        <v>104.0</v>
      </c>
      <c r="M2459" s="1" t="s">
        <v>35</v>
      </c>
      <c r="N2459" s="1" t="s">
        <v>36</v>
      </c>
      <c r="O2459" s="1" t="s">
        <v>37</v>
      </c>
      <c r="P2459" s="1">
        <v>1.5E7</v>
      </c>
      <c r="Q2459" s="1">
        <v>2008.0</v>
      </c>
      <c r="R2459" s="1">
        <v>15000.0</v>
      </c>
      <c r="S2459" s="1">
        <v>14000.0</v>
      </c>
      <c r="T2459" s="1">
        <v>1000.0</v>
      </c>
      <c r="U2459" s="1">
        <v>33153.0</v>
      </c>
      <c r="V2459" s="1">
        <v>11.0</v>
      </c>
      <c r="W2459" s="1">
        <v>0.0</v>
      </c>
      <c r="X2459" s="1">
        <v>4.0</v>
      </c>
      <c r="Y2459" s="1">
        <v>1.85</v>
      </c>
      <c r="Z2459" s="1">
        <v>6.2</v>
      </c>
    </row>
    <row r="2460" ht="14.25" customHeight="1">
      <c r="A2460" s="1" t="s">
        <v>26</v>
      </c>
      <c r="B2460" s="1" t="s">
        <v>11853</v>
      </c>
      <c r="C2460" s="1" t="s">
        <v>11854</v>
      </c>
      <c r="D2460" s="1">
        <v>6373693.0</v>
      </c>
      <c r="E2460" s="1" t="s">
        <v>1598</v>
      </c>
      <c r="F2460" s="1" t="s">
        <v>74</v>
      </c>
      <c r="G2460" s="1" t="s">
        <v>8061</v>
      </c>
      <c r="H2460" s="1" t="s">
        <v>9856</v>
      </c>
      <c r="I2460" s="1">
        <v>11498.0</v>
      </c>
      <c r="J2460" s="1" t="s">
        <v>11855</v>
      </c>
      <c r="K2460" s="1" t="s">
        <v>11856</v>
      </c>
      <c r="L2460" s="1">
        <v>53.0</v>
      </c>
      <c r="M2460" s="1" t="s">
        <v>35</v>
      </c>
      <c r="N2460" s="1" t="s">
        <v>36</v>
      </c>
      <c r="O2460" s="1" t="s">
        <v>37</v>
      </c>
      <c r="P2460" s="1">
        <v>1.5E7</v>
      </c>
      <c r="Q2460" s="1">
        <v>2009.0</v>
      </c>
      <c r="R2460" s="1">
        <v>24000.0</v>
      </c>
      <c r="S2460" s="1">
        <v>971.0</v>
      </c>
      <c r="T2460" s="1">
        <v>360.0</v>
      </c>
      <c r="U2460" s="1">
        <v>25637.0</v>
      </c>
      <c r="V2460" s="1">
        <v>96.0</v>
      </c>
      <c r="W2460" s="1">
        <v>0.0</v>
      </c>
      <c r="X2460" s="1">
        <v>1.0</v>
      </c>
      <c r="Y2460" s="1">
        <v>1.85</v>
      </c>
      <c r="Z2460" s="1">
        <v>5.3</v>
      </c>
    </row>
    <row r="2461" ht="14.25" customHeight="1">
      <c r="A2461" s="1" t="s">
        <v>26</v>
      </c>
      <c r="B2461" s="1" t="s">
        <v>5676</v>
      </c>
      <c r="C2461" s="1" t="s">
        <v>11857</v>
      </c>
      <c r="D2461" s="1">
        <v>7556708.0</v>
      </c>
      <c r="E2461" s="1" t="s">
        <v>3238</v>
      </c>
      <c r="F2461" s="1" t="s">
        <v>1113</v>
      </c>
      <c r="G2461" s="1" t="s">
        <v>3096</v>
      </c>
      <c r="H2461" s="1" t="s">
        <v>5967</v>
      </c>
      <c r="I2461" s="1">
        <v>30284.0</v>
      </c>
      <c r="J2461" s="1" t="s">
        <v>11858</v>
      </c>
      <c r="K2461" s="1" t="s">
        <v>11859</v>
      </c>
      <c r="L2461" s="1">
        <v>102.0</v>
      </c>
      <c r="M2461" s="1" t="s">
        <v>35</v>
      </c>
      <c r="N2461" s="1" t="s">
        <v>36</v>
      </c>
      <c r="O2461" s="1" t="s">
        <v>628</v>
      </c>
      <c r="P2461" s="1">
        <v>1.5E7</v>
      </c>
      <c r="Q2461" s="1">
        <v>2012.0</v>
      </c>
      <c r="R2461" s="1">
        <v>13000.0</v>
      </c>
      <c r="S2461" s="1">
        <v>826.0</v>
      </c>
      <c r="T2461" s="1">
        <v>363.0</v>
      </c>
      <c r="U2461" s="1">
        <v>14544.0</v>
      </c>
      <c r="V2461" s="1">
        <v>835.0</v>
      </c>
      <c r="W2461" s="1">
        <v>10000.0</v>
      </c>
      <c r="X2461" s="1">
        <v>1.0</v>
      </c>
      <c r="Y2461" s="1">
        <v>1.85</v>
      </c>
      <c r="Z2461" s="1">
        <v>6.6</v>
      </c>
    </row>
    <row r="2462" ht="14.25" customHeight="1">
      <c r="A2462" s="1" t="s">
        <v>26</v>
      </c>
      <c r="B2462" s="1" t="s">
        <v>3797</v>
      </c>
      <c r="C2462" s="1" t="s">
        <v>11860</v>
      </c>
      <c r="D2462" s="1">
        <v>5306447.0</v>
      </c>
      <c r="E2462" s="1" t="s">
        <v>1598</v>
      </c>
      <c r="F2462" s="1" t="s">
        <v>11773</v>
      </c>
      <c r="G2462" s="1" t="s">
        <v>2658</v>
      </c>
      <c r="H2462" s="1" t="s">
        <v>11861</v>
      </c>
      <c r="I2462" s="1">
        <v>58967.0</v>
      </c>
      <c r="J2462" s="1" t="s">
        <v>11862</v>
      </c>
      <c r="K2462" s="1" t="s">
        <v>11863</v>
      </c>
      <c r="L2462" s="1">
        <v>169.0</v>
      </c>
      <c r="M2462" s="1" t="s">
        <v>35</v>
      </c>
      <c r="N2462" s="1" t="s">
        <v>36</v>
      </c>
      <c r="O2462" s="1" t="s">
        <v>37</v>
      </c>
      <c r="P2462" s="1">
        <v>1.5E7</v>
      </c>
      <c r="Q2462" s="1">
        <v>2009.0</v>
      </c>
      <c r="R2462" s="1">
        <v>860.0</v>
      </c>
      <c r="S2462" s="1">
        <v>658.0</v>
      </c>
      <c r="T2462" s="1">
        <v>386.0</v>
      </c>
      <c r="U2462" s="1">
        <v>2717.0</v>
      </c>
      <c r="V2462" s="1">
        <v>11000.0</v>
      </c>
      <c r="W2462" s="1">
        <v>10000.0</v>
      </c>
      <c r="X2462" s="1">
        <v>1.0</v>
      </c>
      <c r="Y2462" s="1">
        <v>1.85</v>
      </c>
      <c r="Z2462" s="1">
        <v>7.2</v>
      </c>
    </row>
    <row r="2463" ht="14.25" customHeight="1">
      <c r="A2463" s="1" t="s">
        <v>710</v>
      </c>
      <c r="B2463" s="1" t="s">
        <v>11864</v>
      </c>
      <c r="C2463" s="1" t="s">
        <v>11865</v>
      </c>
      <c r="D2463" s="1">
        <v>5217498.0</v>
      </c>
      <c r="E2463" s="1" t="s">
        <v>1842</v>
      </c>
      <c r="F2463" s="1" t="s">
        <v>8442</v>
      </c>
      <c r="G2463" s="1" t="s">
        <v>5988</v>
      </c>
      <c r="H2463" s="1" t="s">
        <v>11866</v>
      </c>
      <c r="I2463" s="1">
        <v>3668.0</v>
      </c>
      <c r="J2463" s="1" t="s">
        <v>11867</v>
      </c>
      <c r="K2463" s="1" t="s">
        <v>11868</v>
      </c>
      <c r="L2463" s="1">
        <v>85.0</v>
      </c>
      <c r="M2463" s="1" t="s">
        <v>35</v>
      </c>
      <c r="N2463" s="1" t="s">
        <v>36</v>
      </c>
      <c r="O2463" s="1" t="s">
        <v>37</v>
      </c>
      <c r="P2463" s="1">
        <v>1.5E7</v>
      </c>
      <c r="Q2463" s="1">
        <v>2000.0</v>
      </c>
      <c r="R2463" s="1">
        <v>477.0</v>
      </c>
      <c r="S2463" s="1">
        <v>397.0</v>
      </c>
      <c r="T2463" s="1">
        <v>275.0</v>
      </c>
      <c r="U2463" s="1">
        <v>2312.0</v>
      </c>
      <c r="V2463" s="1">
        <v>52.0</v>
      </c>
      <c r="W2463" s="1">
        <v>157.0</v>
      </c>
      <c r="X2463" s="1">
        <v>4.0</v>
      </c>
      <c r="Y2463" s="1">
        <v>1.85</v>
      </c>
      <c r="Z2463" s="1">
        <v>4.6</v>
      </c>
    </row>
    <row r="2464" ht="14.25" customHeight="1">
      <c r="A2464" s="1" t="s">
        <v>26</v>
      </c>
      <c r="B2464" s="1" t="s">
        <v>11386</v>
      </c>
      <c r="C2464" s="1" t="s">
        <v>11869</v>
      </c>
      <c r="D2464" s="1">
        <v>5023275.0</v>
      </c>
      <c r="E2464" s="1" t="s">
        <v>11870</v>
      </c>
      <c r="F2464" s="1" t="s">
        <v>11871</v>
      </c>
      <c r="G2464" s="1" t="s">
        <v>5221</v>
      </c>
      <c r="H2464" s="1" t="s">
        <v>11872</v>
      </c>
      <c r="I2464" s="1">
        <v>34194.0</v>
      </c>
      <c r="J2464" s="1" t="s">
        <v>11873</v>
      </c>
      <c r="K2464" s="1" t="s">
        <v>11874</v>
      </c>
      <c r="L2464" s="1">
        <v>199.0</v>
      </c>
      <c r="M2464" s="1" t="s">
        <v>35</v>
      </c>
      <c r="N2464" s="1" t="s">
        <v>1832</v>
      </c>
      <c r="O2464" s="1" t="s">
        <v>628</v>
      </c>
      <c r="P2464" s="1">
        <v>1.5E7</v>
      </c>
      <c r="Q2464" s="1">
        <v>2005.0</v>
      </c>
      <c r="R2464" s="1">
        <v>572.0</v>
      </c>
      <c r="S2464" s="1">
        <v>324.0</v>
      </c>
      <c r="T2464" s="1">
        <v>289.0</v>
      </c>
      <c r="U2464" s="1">
        <v>1627.0</v>
      </c>
      <c r="V2464" s="1">
        <v>0.0</v>
      </c>
      <c r="W2464" s="1">
        <v>0.0</v>
      </c>
      <c r="X2464" s="1">
        <v>2.0</v>
      </c>
      <c r="Y2464" s="1">
        <v>2.35</v>
      </c>
      <c r="Z2464" s="1">
        <v>7.5</v>
      </c>
    </row>
    <row r="2465" ht="14.25" customHeight="1">
      <c r="A2465" s="1" t="s">
        <v>26</v>
      </c>
      <c r="B2465" s="1" t="s">
        <v>11875</v>
      </c>
      <c r="C2465" s="1" t="s">
        <v>11876</v>
      </c>
      <c r="D2465" s="1">
        <v>4956401.0</v>
      </c>
      <c r="E2465" s="1" t="s">
        <v>3225</v>
      </c>
      <c r="F2465" s="1" t="s">
        <v>774</v>
      </c>
      <c r="G2465" s="1" t="s">
        <v>1739</v>
      </c>
      <c r="H2465" s="1" t="s">
        <v>1951</v>
      </c>
      <c r="I2465" s="1">
        <v>12601.0</v>
      </c>
      <c r="J2465" s="1" t="s">
        <v>11877</v>
      </c>
      <c r="K2465" s="1" t="s">
        <v>11878</v>
      </c>
      <c r="L2465" s="1">
        <v>89.0</v>
      </c>
      <c r="M2465" s="1" t="s">
        <v>35</v>
      </c>
      <c r="N2465" s="1" t="s">
        <v>1832</v>
      </c>
      <c r="O2465" s="1" t="s">
        <v>37</v>
      </c>
      <c r="P2465" s="1">
        <v>1.5E7</v>
      </c>
      <c r="Q2465" s="1">
        <v>1999.0</v>
      </c>
      <c r="R2465" s="1">
        <v>49000.0</v>
      </c>
      <c r="S2465" s="1">
        <v>1000.0</v>
      </c>
      <c r="T2465" s="1">
        <v>693.0</v>
      </c>
      <c r="U2465" s="1">
        <v>51657.0</v>
      </c>
      <c r="V2465" s="1">
        <v>0.0</v>
      </c>
      <c r="W2465" s="1">
        <v>0.0</v>
      </c>
      <c r="X2465" s="1">
        <v>2.0</v>
      </c>
      <c r="Y2465" s="1">
        <v>1.85</v>
      </c>
      <c r="Z2465" s="1">
        <v>6.5</v>
      </c>
    </row>
    <row r="2466" ht="14.25" customHeight="1">
      <c r="A2466" s="1" t="s">
        <v>26</v>
      </c>
      <c r="B2466" s="1" t="s">
        <v>241</v>
      </c>
      <c r="C2466" s="1" t="s">
        <v>11879</v>
      </c>
      <c r="D2466" s="1">
        <v>4235837.0</v>
      </c>
      <c r="E2466" s="1" t="s">
        <v>11297</v>
      </c>
      <c r="F2466" s="1" t="s">
        <v>91</v>
      </c>
      <c r="G2466" s="1" t="s">
        <v>11880</v>
      </c>
      <c r="H2466" s="1" t="s">
        <v>2371</v>
      </c>
      <c r="I2466" s="1">
        <v>175962.0</v>
      </c>
      <c r="J2466" s="1" t="s">
        <v>11881</v>
      </c>
      <c r="K2466" s="1" t="s">
        <v>11882</v>
      </c>
      <c r="L2466" s="1">
        <v>336.0</v>
      </c>
      <c r="M2466" s="1" t="s">
        <v>35</v>
      </c>
      <c r="N2466" s="1" t="s">
        <v>36</v>
      </c>
      <c r="O2466" s="1" t="s">
        <v>628</v>
      </c>
      <c r="P2466" s="1">
        <v>1.5E7</v>
      </c>
      <c r="Q2466" s="1">
        <v>2005.0</v>
      </c>
      <c r="R2466" s="1">
        <v>21000.0</v>
      </c>
      <c r="S2466" s="1">
        <v>1000.0</v>
      </c>
      <c r="T2466" s="1">
        <v>611.0</v>
      </c>
      <c r="U2466" s="1">
        <v>23932.0</v>
      </c>
      <c r="V2466" s="1">
        <v>1000.0</v>
      </c>
      <c r="W2466" s="1">
        <v>0.0</v>
      </c>
      <c r="X2466" s="1">
        <v>2.0</v>
      </c>
      <c r="Y2466" s="1">
        <v>2.35</v>
      </c>
      <c r="Z2466" s="1">
        <v>7.6</v>
      </c>
    </row>
    <row r="2467" ht="14.25" customHeight="1">
      <c r="A2467" s="1" t="s">
        <v>26</v>
      </c>
      <c r="B2467" s="1" t="s">
        <v>11883</v>
      </c>
      <c r="C2467" s="1" t="s">
        <v>11884</v>
      </c>
      <c r="D2467" s="1">
        <v>4002955.0</v>
      </c>
      <c r="E2467" s="1" t="s">
        <v>7545</v>
      </c>
      <c r="F2467" s="1" t="s">
        <v>609</v>
      </c>
      <c r="G2467" s="1" t="s">
        <v>403</v>
      </c>
      <c r="H2467" s="1" t="s">
        <v>7913</v>
      </c>
      <c r="I2467" s="1">
        <v>33745.0</v>
      </c>
      <c r="J2467" s="1" t="s">
        <v>11885</v>
      </c>
      <c r="K2467" s="1" t="s">
        <v>11886</v>
      </c>
      <c r="L2467" s="1">
        <v>198.0</v>
      </c>
      <c r="M2467" s="1" t="s">
        <v>35</v>
      </c>
      <c r="N2467" s="1" t="s">
        <v>36</v>
      </c>
      <c r="O2467" s="1" t="s">
        <v>628</v>
      </c>
      <c r="P2467" s="1">
        <v>2.0E7</v>
      </c>
      <c r="Q2467" s="1">
        <v>1999.0</v>
      </c>
      <c r="R2467" s="1">
        <v>890.0</v>
      </c>
      <c r="S2467" s="1">
        <v>729.0</v>
      </c>
      <c r="T2467" s="1">
        <v>577.0</v>
      </c>
      <c r="U2467" s="1">
        <v>3654.0</v>
      </c>
      <c r="V2467" s="1">
        <v>6.0</v>
      </c>
      <c r="W2467" s="1">
        <v>0.0</v>
      </c>
      <c r="X2467" s="1">
        <v>0.0</v>
      </c>
      <c r="Y2467" s="1">
        <v>1.85</v>
      </c>
      <c r="Z2467" s="1">
        <v>6.2</v>
      </c>
    </row>
    <row r="2468" ht="14.25" customHeight="1">
      <c r="A2468" s="1" t="s">
        <v>26</v>
      </c>
      <c r="B2468" s="1" t="s">
        <v>5514</v>
      </c>
      <c r="C2468" s="1" t="s">
        <v>11887</v>
      </c>
      <c r="D2468" s="1">
        <v>7219578.0</v>
      </c>
      <c r="E2468" s="1" t="s">
        <v>1842</v>
      </c>
      <c r="F2468" s="1" t="s">
        <v>200</v>
      </c>
      <c r="G2468" s="1" t="s">
        <v>4132</v>
      </c>
      <c r="H2468" s="1" t="s">
        <v>6715</v>
      </c>
      <c r="I2468" s="1">
        <v>235992.0</v>
      </c>
      <c r="J2468" s="1" t="s">
        <v>11888</v>
      </c>
      <c r="K2468" s="1" t="s">
        <v>11889</v>
      </c>
      <c r="L2468" s="1">
        <v>1768.0</v>
      </c>
      <c r="M2468" s="1" t="s">
        <v>35</v>
      </c>
      <c r="N2468" s="1" t="s">
        <v>1832</v>
      </c>
      <c r="O2468" s="1" t="s">
        <v>628</v>
      </c>
      <c r="P2468" s="1">
        <v>1.5E7</v>
      </c>
      <c r="Q2468" s="1">
        <v>2001.0</v>
      </c>
      <c r="R2468" s="1">
        <v>6000.0</v>
      </c>
      <c r="S2468" s="1">
        <v>889.0</v>
      </c>
      <c r="T2468" s="1">
        <v>669.0</v>
      </c>
      <c r="U2468" s="1">
        <v>8484.0</v>
      </c>
      <c r="V2468" s="1">
        <v>0.0</v>
      </c>
      <c r="W2468" s="1">
        <v>16000.0</v>
      </c>
      <c r="X2468" s="1">
        <v>1.0</v>
      </c>
      <c r="Y2468" s="1">
        <v>1.85</v>
      </c>
      <c r="Z2468" s="1">
        <v>8.0</v>
      </c>
    </row>
    <row r="2469" ht="14.25" customHeight="1">
      <c r="A2469" s="1" t="s">
        <v>26</v>
      </c>
      <c r="B2469" s="1" t="s">
        <v>3797</v>
      </c>
      <c r="C2469" s="1" t="s">
        <v>11890</v>
      </c>
      <c r="D2469" s="1">
        <v>3247816.0</v>
      </c>
      <c r="E2469" s="1" t="s">
        <v>1359</v>
      </c>
      <c r="F2469" s="1" t="s">
        <v>726</v>
      </c>
      <c r="G2469" s="1" t="s">
        <v>200</v>
      </c>
      <c r="H2469" s="1" t="s">
        <v>352</v>
      </c>
      <c r="I2469" s="1">
        <v>36145.0</v>
      </c>
      <c r="J2469" s="1" t="s">
        <v>11891</v>
      </c>
      <c r="K2469" s="1" t="s">
        <v>11892</v>
      </c>
      <c r="L2469" s="1">
        <v>108.0</v>
      </c>
      <c r="M2469" s="1" t="s">
        <v>35</v>
      </c>
      <c r="N2469" s="1" t="s">
        <v>36</v>
      </c>
      <c r="O2469" s="1" t="s">
        <v>628</v>
      </c>
      <c r="P2469" s="1">
        <v>2.2E7</v>
      </c>
      <c r="Q2469" s="1">
        <v>2010.0</v>
      </c>
      <c r="R2469" s="1">
        <v>12000.0</v>
      </c>
      <c r="S2469" s="1">
        <v>6000.0</v>
      </c>
      <c r="T2469" s="1">
        <v>557.0</v>
      </c>
      <c r="U2469" s="1">
        <v>19310.0</v>
      </c>
      <c r="V2469" s="1">
        <v>11000.0</v>
      </c>
      <c r="W2469" s="1">
        <v>0.0</v>
      </c>
      <c r="X2469" s="1">
        <v>0.0</v>
      </c>
      <c r="Y2469" s="1">
        <v>1.85</v>
      </c>
      <c r="Z2469" s="1">
        <v>6.3</v>
      </c>
    </row>
    <row r="2470" ht="14.25" customHeight="1">
      <c r="A2470" s="1" t="s">
        <v>26</v>
      </c>
      <c r="B2470" s="1" t="s">
        <v>11893</v>
      </c>
      <c r="C2470" s="1" t="s">
        <v>11894</v>
      </c>
      <c r="D2470" s="1">
        <v>2412045.0</v>
      </c>
      <c r="E2470" s="1" t="s">
        <v>8891</v>
      </c>
      <c r="F2470" s="1" t="s">
        <v>175</v>
      </c>
      <c r="G2470" s="1" t="s">
        <v>2689</v>
      </c>
      <c r="H2470" s="1" t="s">
        <v>3340</v>
      </c>
      <c r="I2470" s="1">
        <v>109873.0</v>
      </c>
      <c r="J2470" s="1" t="s">
        <v>11895</v>
      </c>
      <c r="K2470" s="1" t="s">
        <v>11896</v>
      </c>
      <c r="L2470" s="1">
        <v>320.0</v>
      </c>
      <c r="M2470" s="1" t="s">
        <v>35</v>
      </c>
      <c r="N2470" s="1" t="s">
        <v>54</v>
      </c>
      <c r="O2470" s="1" t="s">
        <v>628</v>
      </c>
      <c r="P2470" s="1">
        <v>1.5E7</v>
      </c>
      <c r="Q2470" s="1">
        <v>2010.0</v>
      </c>
      <c r="R2470" s="1">
        <v>10000.0</v>
      </c>
      <c r="S2470" s="1">
        <v>882.0</v>
      </c>
      <c r="T2470" s="1">
        <v>844.0</v>
      </c>
      <c r="U2470" s="1">
        <v>12867.0</v>
      </c>
      <c r="V2470" s="1">
        <v>132.0</v>
      </c>
      <c r="W2470" s="1">
        <v>33000.0</v>
      </c>
      <c r="X2470" s="1">
        <v>0.0</v>
      </c>
      <c r="Y2470" s="1">
        <v>2.35</v>
      </c>
      <c r="Z2470" s="1">
        <v>7.2</v>
      </c>
    </row>
    <row r="2471" ht="14.25" customHeight="1">
      <c r="A2471" s="1" t="s">
        <v>26</v>
      </c>
      <c r="B2471" s="1" t="s">
        <v>11897</v>
      </c>
      <c r="C2471" s="1" t="s">
        <v>11898</v>
      </c>
      <c r="D2471" s="1">
        <v>2203641.0</v>
      </c>
      <c r="E2471" s="1" t="s">
        <v>2061</v>
      </c>
      <c r="F2471" s="1" t="s">
        <v>201</v>
      </c>
      <c r="G2471" s="1" t="s">
        <v>11899</v>
      </c>
      <c r="H2471" s="1" t="s">
        <v>11900</v>
      </c>
      <c r="I2471" s="1">
        <v>42792.0</v>
      </c>
      <c r="J2471" s="1" t="s">
        <v>11901</v>
      </c>
      <c r="K2471" s="1" t="s">
        <v>11902</v>
      </c>
      <c r="L2471" s="1">
        <v>162.0</v>
      </c>
      <c r="M2471" s="1" t="s">
        <v>35</v>
      </c>
      <c r="N2471" s="1" t="s">
        <v>3393</v>
      </c>
      <c r="O2471" s="1" t="s">
        <v>628</v>
      </c>
      <c r="P2471" s="1">
        <v>1.5E7</v>
      </c>
      <c r="Q2471" s="1">
        <v>2008.0</v>
      </c>
      <c r="R2471" s="1">
        <v>918.0</v>
      </c>
      <c r="S2471" s="1">
        <v>278.0</v>
      </c>
      <c r="T2471" s="1">
        <v>25.0</v>
      </c>
      <c r="U2471" s="1">
        <v>1252.0</v>
      </c>
      <c r="V2471" s="1">
        <v>122.0</v>
      </c>
      <c r="W2471" s="1">
        <v>0.0</v>
      </c>
      <c r="X2471" s="1">
        <v>0.0</v>
      </c>
      <c r="Y2471" s="1">
        <v>2.35</v>
      </c>
      <c r="Z2471" s="1">
        <v>6.7</v>
      </c>
    </row>
    <row r="2472" ht="14.25" customHeight="1">
      <c r="A2472" s="1" t="s">
        <v>26</v>
      </c>
      <c r="B2472" s="1" t="s">
        <v>11903</v>
      </c>
      <c r="C2472" s="1" t="s">
        <v>11904</v>
      </c>
      <c r="D2472" s="1">
        <v>1953732.0</v>
      </c>
      <c r="E2472" s="1" t="s">
        <v>1301</v>
      </c>
      <c r="F2472" s="1" t="s">
        <v>5972</v>
      </c>
      <c r="G2472" s="1" t="s">
        <v>3584</v>
      </c>
      <c r="H2472" s="1" t="s">
        <v>11905</v>
      </c>
      <c r="I2472" s="1">
        <v>4996.0</v>
      </c>
      <c r="J2472" s="1" t="s">
        <v>11906</v>
      </c>
      <c r="K2472" s="1" t="s">
        <v>11907</v>
      </c>
      <c r="L2472" s="1">
        <v>62.0</v>
      </c>
      <c r="M2472" s="1" t="s">
        <v>35</v>
      </c>
      <c r="N2472" s="1" t="s">
        <v>36</v>
      </c>
      <c r="O2472" s="1" t="s">
        <v>628</v>
      </c>
      <c r="P2472" s="1">
        <v>1.5E7</v>
      </c>
      <c r="Q2472" s="1">
        <v>1986.0</v>
      </c>
      <c r="R2472" s="1">
        <v>876.0</v>
      </c>
      <c r="S2472" s="1">
        <v>324.0</v>
      </c>
      <c r="T2472" s="1">
        <v>90.0</v>
      </c>
      <c r="U2472" s="1">
        <v>1351.0</v>
      </c>
      <c r="V2472" s="1">
        <v>70.0</v>
      </c>
      <c r="W2472" s="1">
        <v>843.0</v>
      </c>
      <c r="X2472" s="1">
        <v>0.0</v>
      </c>
      <c r="Y2472" s="1">
        <v>2.35</v>
      </c>
      <c r="Z2472" s="1">
        <v>5.3</v>
      </c>
    </row>
    <row r="2473" ht="14.25" customHeight="1">
      <c r="A2473" s="1" t="s">
        <v>26</v>
      </c>
      <c r="B2473" s="1" t="s">
        <v>11908</v>
      </c>
      <c r="C2473" s="1" t="s">
        <v>11909</v>
      </c>
      <c r="D2473" s="1">
        <v>1954202.0</v>
      </c>
      <c r="E2473" s="1" t="s">
        <v>8521</v>
      </c>
      <c r="F2473" s="1" t="s">
        <v>3593</v>
      </c>
      <c r="G2473" s="1" t="s">
        <v>3719</v>
      </c>
      <c r="H2473" s="1" t="s">
        <v>1404</v>
      </c>
      <c r="I2473" s="1">
        <v>5917.0</v>
      </c>
      <c r="J2473" s="1" t="s">
        <v>11910</v>
      </c>
      <c r="K2473" s="1" t="s">
        <v>11911</v>
      </c>
      <c r="L2473" s="1">
        <v>71.0</v>
      </c>
      <c r="M2473" s="1" t="s">
        <v>35</v>
      </c>
      <c r="N2473" s="1" t="s">
        <v>36</v>
      </c>
      <c r="O2473" s="1" t="s">
        <v>37</v>
      </c>
      <c r="P2473" s="1">
        <v>1.5E7</v>
      </c>
      <c r="Q2473" s="1">
        <v>1999.0</v>
      </c>
      <c r="R2473" s="1">
        <v>783.0</v>
      </c>
      <c r="S2473" s="1">
        <v>664.0</v>
      </c>
      <c r="T2473" s="1">
        <v>617.0</v>
      </c>
      <c r="U2473" s="1">
        <v>4834.0</v>
      </c>
      <c r="V2473" s="1">
        <v>0.0</v>
      </c>
      <c r="W2473" s="1">
        <v>391.0</v>
      </c>
      <c r="X2473" s="1">
        <v>0.0</v>
      </c>
      <c r="Y2473" s="1">
        <v>2.35</v>
      </c>
      <c r="Z2473" s="1">
        <v>6.3</v>
      </c>
    </row>
    <row r="2474" ht="14.25" customHeight="1">
      <c r="A2474" s="1" t="s">
        <v>26</v>
      </c>
      <c r="B2474" s="1" t="s">
        <v>10928</v>
      </c>
      <c r="C2474" s="1" t="s">
        <v>11912</v>
      </c>
      <c r="D2474" s="1">
        <v>1294640.0</v>
      </c>
      <c r="E2474" s="1" t="s">
        <v>6249</v>
      </c>
      <c r="F2474" s="1" t="s">
        <v>200</v>
      </c>
      <c r="G2474" s="1" t="s">
        <v>4310</v>
      </c>
      <c r="H2474" s="1" t="s">
        <v>4548</v>
      </c>
      <c r="I2474" s="1">
        <v>69569.0</v>
      </c>
      <c r="J2474" s="1" t="s">
        <v>11913</v>
      </c>
      <c r="K2474" s="1" t="s">
        <v>11914</v>
      </c>
      <c r="L2474" s="1">
        <v>436.0</v>
      </c>
      <c r="M2474" s="1" t="s">
        <v>35</v>
      </c>
      <c r="N2474" s="1" t="s">
        <v>36</v>
      </c>
      <c r="O2474" s="1" t="s">
        <v>628</v>
      </c>
      <c r="P2474" s="1">
        <v>1.5E7</v>
      </c>
      <c r="Q2474" s="1">
        <v>2007.0</v>
      </c>
      <c r="R2474" s="1">
        <v>6000.0</v>
      </c>
      <c r="S2474" s="1">
        <v>294.0</v>
      </c>
      <c r="T2474" s="1">
        <v>287.0</v>
      </c>
      <c r="U2474" s="1">
        <v>6748.0</v>
      </c>
      <c r="V2474" s="1">
        <v>0.0</v>
      </c>
      <c r="W2474" s="1">
        <v>0.0</v>
      </c>
      <c r="X2474" s="1">
        <v>0.0</v>
      </c>
      <c r="Y2474" s="1">
        <v>1.85</v>
      </c>
      <c r="Z2474" s="1">
        <v>6.5</v>
      </c>
    </row>
    <row r="2475" ht="14.25" customHeight="1">
      <c r="A2475" s="1" t="s">
        <v>710</v>
      </c>
      <c r="B2475" s="1" t="s">
        <v>11915</v>
      </c>
      <c r="C2475" s="1" t="s">
        <v>11916</v>
      </c>
      <c r="D2475" s="1">
        <v>26435.0</v>
      </c>
      <c r="E2475" s="1" t="s">
        <v>1766</v>
      </c>
      <c r="F2475" s="1" t="s">
        <v>11917</v>
      </c>
      <c r="G2475" s="1" t="s">
        <v>11918</v>
      </c>
      <c r="H2475" s="1" t="s">
        <v>11919</v>
      </c>
      <c r="I2475" s="1">
        <v>111841.0</v>
      </c>
      <c r="J2475" s="1" t="s">
        <v>11920</v>
      </c>
      <c r="K2475" s="1" t="s">
        <v>11921</v>
      </c>
      <c r="L2475" s="1">
        <v>413.0</v>
      </c>
      <c r="M2475" s="1" t="s">
        <v>10526</v>
      </c>
      <c r="N2475" s="1" t="s">
        <v>730</v>
      </c>
      <c r="O2475" s="1" t="s">
        <v>9252</v>
      </c>
      <c r="P2475" s="1">
        <v>6000000.0</v>
      </c>
      <c r="Q2475" s="1">
        <v>1927.0</v>
      </c>
      <c r="R2475" s="1">
        <v>136.0</v>
      </c>
      <c r="S2475" s="1">
        <v>23.0</v>
      </c>
      <c r="T2475" s="1">
        <v>18.0</v>
      </c>
      <c r="U2475" s="1">
        <v>203.0</v>
      </c>
      <c r="V2475" s="1">
        <v>756.0</v>
      </c>
      <c r="W2475" s="1">
        <v>12000.0</v>
      </c>
      <c r="X2475" s="1">
        <v>1.0</v>
      </c>
      <c r="Y2475" s="1">
        <v>1.33</v>
      </c>
      <c r="Z2475" s="1">
        <v>8.3</v>
      </c>
    </row>
    <row r="2476" ht="14.25" customHeight="1">
      <c r="A2476" s="1" t="s">
        <v>26</v>
      </c>
      <c r="B2476" s="1" t="s">
        <v>4696</v>
      </c>
      <c r="C2476" s="1" t="s">
        <v>11922</v>
      </c>
      <c r="D2476" s="1">
        <v>1197786.0</v>
      </c>
      <c r="E2476" s="1" t="s">
        <v>326</v>
      </c>
      <c r="F2476" s="1" t="s">
        <v>5535</v>
      </c>
      <c r="G2476" s="1" t="s">
        <v>1542</v>
      </c>
      <c r="H2476" s="1" t="s">
        <v>11923</v>
      </c>
      <c r="I2476" s="1">
        <v>55928.0</v>
      </c>
      <c r="J2476" s="1" t="s">
        <v>11924</v>
      </c>
      <c r="K2476" s="1" t="s">
        <v>11925</v>
      </c>
      <c r="L2476" s="1">
        <v>157.0</v>
      </c>
      <c r="M2476" s="1" t="s">
        <v>2752</v>
      </c>
      <c r="N2476" s="1" t="s">
        <v>1832</v>
      </c>
      <c r="O2476" s="1" t="s">
        <v>628</v>
      </c>
      <c r="P2476" s="1">
        <v>1.2E7</v>
      </c>
      <c r="Q2476" s="1">
        <v>2004.0</v>
      </c>
      <c r="R2476" s="1">
        <v>510.0</v>
      </c>
      <c r="S2476" s="1">
        <v>297.0</v>
      </c>
      <c r="T2476" s="1">
        <v>58.0</v>
      </c>
      <c r="U2476" s="1">
        <v>962.0</v>
      </c>
      <c r="V2476" s="1">
        <v>180.0</v>
      </c>
      <c r="W2476" s="1">
        <v>0.0</v>
      </c>
      <c r="X2476" s="1">
        <v>2.0</v>
      </c>
      <c r="Y2476" s="1">
        <v>2.35</v>
      </c>
      <c r="Z2476" s="1">
        <v>7.2</v>
      </c>
    </row>
    <row r="2477" ht="14.25" customHeight="1">
      <c r="A2477" s="1" t="s">
        <v>26</v>
      </c>
      <c r="B2477" s="1" t="s">
        <v>4876</v>
      </c>
      <c r="C2477" s="1" t="s">
        <v>11926</v>
      </c>
      <c r="D2477" s="1">
        <v>529766.0</v>
      </c>
      <c r="E2477" s="1" t="s">
        <v>1854</v>
      </c>
      <c r="F2477" s="1" t="s">
        <v>264</v>
      </c>
      <c r="G2477" s="1" t="s">
        <v>3633</v>
      </c>
      <c r="H2477" s="1" t="s">
        <v>3994</v>
      </c>
      <c r="I2477" s="1">
        <v>22345.0</v>
      </c>
      <c r="J2477" s="1" t="s">
        <v>11927</v>
      </c>
      <c r="K2477" s="1" t="s">
        <v>11928</v>
      </c>
      <c r="L2477" s="1">
        <v>144.0</v>
      </c>
      <c r="M2477" s="1" t="s">
        <v>35</v>
      </c>
      <c r="N2477" s="1" t="s">
        <v>36</v>
      </c>
      <c r="O2477" s="1" t="s">
        <v>628</v>
      </c>
      <c r="P2477" s="1">
        <v>7000000.0</v>
      </c>
      <c r="Q2477" s="1">
        <v>1995.0</v>
      </c>
      <c r="R2477" s="1">
        <v>12000.0</v>
      </c>
      <c r="S2477" s="1">
        <v>970.0</v>
      </c>
      <c r="T2477" s="1">
        <v>642.0</v>
      </c>
      <c r="U2477" s="1">
        <v>14889.0</v>
      </c>
      <c r="V2477" s="1">
        <v>39.0</v>
      </c>
      <c r="W2477" s="1">
        <v>0.0</v>
      </c>
      <c r="X2477" s="1">
        <v>2.0</v>
      </c>
      <c r="Y2477" s="1">
        <v>1.85</v>
      </c>
      <c r="Z2477" s="1">
        <v>6.8</v>
      </c>
    </row>
    <row r="2478" ht="14.25" customHeight="1">
      <c r="A2478" s="1" t="s">
        <v>26</v>
      </c>
      <c r="B2478" s="1" t="s">
        <v>11929</v>
      </c>
      <c r="C2478" s="1" t="s">
        <v>11930</v>
      </c>
      <c r="D2478" s="1">
        <v>613556.0</v>
      </c>
      <c r="E2478" s="1" t="s">
        <v>740</v>
      </c>
      <c r="F2478" s="1" t="s">
        <v>9726</v>
      </c>
      <c r="G2478" s="1" t="s">
        <v>11427</v>
      </c>
      <c r="H2478" s="1" t="s">
        <v>11931</v>
      </c>
      <c r="I2478" s="1">
        <v>9427.0</v>
      </c>
      <c r="J2478" s="1" t="s">
        <v>11932</v>
      </c>
      <c r="K2478" s="1" t="s">
        <v>11933</v>
      </c>
      <c r="L2478" s="1">
        <v>87.0</v>
      </c>
      <c r="M2478" s="1" t="s">
        <v>1864</v>
      </c>
      <c r="N2478" s="1" t="s">
        <v>11432</v>
      </c>
      <c r="O2478" s="1" t="s">
        <v>9252</v>
      </c>
      <c r="P2478" s="1">
        <v>1.5E7</v>
      </c>
      <c r="Q2478" s="1">
        <v>2015.0</v>
      </c>
      <c r="R2478" s="1">
        <v>1000.0</v>
      </c>
      <c r="S2478" s="1">
        <v>103.0</v>
      </c>
      <c r="T2478" s="1">
        <v>56.0</v>
      </c>
      <c r="U2478" s="1">
        <v>1172.0</v>
      </c>
      <c r="V2478" s="1">
        <v>141.0</v>
      </c>
      <c r="W2478" s="1">
        <v>0.0</v>
      </c>
      <c r="X2478" s="1">
        <v>1.0</v>
      </c>
      <c r="Y2478" s="1">
        <v>1.37</v>
      </c>
      <c r="Z2478" s="1">
        <v>6.4</v>
      </c>
    </row>
    <row r="2479" ht="14.25" customHeight="1">
      <c r="A2479" s="1" t="s">
        <v>26</v>
      </c>
      <c r="B2479" s="1" t="s">
        <v>11934</v>
      </c>
      <c r="C2479" s="1" t="s">
        <v>11935</v>
      </c>
      <c r="D2479" s="1">
        <v>353743.0</v>
      </c>
      <c r="E2479" s="1" t="s">
        <v>11936</v>
      </c>
      <c r="F2479" s="1" t="s">
        <v>2239</v>
      </c>
      <c r="G2479" s="1" t="s">
        <v>1264</v>
      </c>
      <c r="H2479" s="1" t="s">
        <v>3510</v>
      </c>
      <c r="I2479" s="1">
        <v>20730.0</v>
      </c>
      <c r="J2479" s="1" t="s">
        <v>11937</v>
      </c>
      <c r="K2479" s="1" t="s">
        <v>11938</v>
      </c>
      <c r="L2479" s="1">
        <v>111.0</v>
      </c>
      <c r="M2479" s="1" t="s">
        <v>35</v>
      </c>
      <c r="N2479" s="1" t="s">
        <v>54</v>
      </c>
      <c r="O2479" s="1" t="s">
        <v>628</v>
      </c>
      <c r="P2479" s="1">
        <v>1.5E7</v>
      </c>
      <c r="Q2479" s="1">
        <v>2001.0</v>
      </c>
      <c r="R2479" s="1">
        <v>936.0</v>
      </c>
      <c r="S2479" s="1">
        <v>826.0</v>
      </c>
      <c r="T2479" s="1">
        <v>730.0</v>
      </c>
      <c r="U2479" s="1">
        <v>3578.0</v>
      </c>
      <c r="V2479" s="1">
        <v>34.0</v>
      </c>
      <c r="W2479" s="1">
        <v>664.0</v>
      </c>
      <c r="X2479" s="1">
        <v>1.0</v>
      </c>
      <c r="Y2479" s="1">
        <v>2.35</v>
      </c>
      <c r="Z2479" s="1">
        <v>6.9</v>
      </c>
    </row>
    <row r="2480" ht="14.25" customHeight="1">
      <c r="A2480" s="1" t="s">
        <v>26</v>
      </c>
      <c r="B2480" s="1" t="s">
        <v>11939</v>
      </c>
      <c r="C2480" s="1" t="s">
        <v>11940</v>
      </c>
      <c r="D2480" s="1">
        <v>102055.0</v>
      </c>
      <c r="E2480" s="1" t="s">
        <v>1270</v>
      </c>
      <c r="F2480" s="1" t="s">
        <v>11941</v>
      </c>
      <c r="G2480" s="1" t="s">
        <v>11942</v>
      </c>
      <c r="H2480" s="1" t="s">
        <v>11943</v>
      </c>
      <c r="I2480" s="1">
        <v>24570.0</v>
      </c>
      <c r="J2480" s="1" t="s">
        <v>11944</v>
      </c>
      <c r="K2480" s="1" t="s">
        <v>11945</v>
      </c>
      <c r="L2480" s="1">
        <v>72.0</v>
      </c>
      <c r="M2480" s="1" t="s">
        <v>11946</v>
      </c>
      <c r="N2480" s="1" t="s">
        <v>11947</v>
      </c>
      <c r="O2480" s="1" t="s">
        <v>628</v>
      </c>
      <c r="P2480" s="1">
        <v>3.0E8</v>
      </c>
      <c r="Q2480" s="1">
        <v>2008.0</v>
      </c>
      <c r="R2480" s="1">
        <v>64.0</v>
      </c>
      <c r="S2480" s="1">
        <v>45.0</v>
      </c>
      <c r="T2480" s="1">
        <v>7.0</v>
      </c>
      <c r="U2480" s="1">
        <v>134.0</v>
      </c>
      <c r="V2480" s="1">
        <v>0.0</v>
      </c>
      <c r="W2480" s="1">
        <v>0.0</v>
      </c>
      <c r="X2480" s="1">
        <v>0.0</v>
      </c>
      <c r="Y2480" s="1">
        <v>2.35</v>
      </c>
      <c r="Z2480" s="1">
        <v>6.2</v>
      </c>
    </row>
    <row r="2481" ht="14.25" customHeight="1">
      <c r="A2481" s="1" t="s">
        <v>26</v>
      </c>
      <c r="B2481" s="1" t="s">
        <v>11948</v>
      </c>
      <c r="C2481" s="1" t="s">
        <v>11949</v>
      </c>
      <c r="D2481" s="1">
        <v>73548.0</v>
      </c>
      <c r="E2481" s="1" t="s">
        <v>11950</v>
      </c>
      <c r="F2481" s="1" t="s">
        <v>631</v>
      </c>
      <c r="G2481" s="1" t="s">
        <v>7142</v>
      </c>
      <c r="H2481" s="1" t="s">
        <v>2600</v>
      </c>
      <c r="I2481" s="1">
        <v>47574.0</v>
      </c>
      <c r="J2481" s="1" t="s">
        <v>11951</v>
      </c>
      <c r="K2481" s="1" t="s">
        <v>11952</v>
      </c>
      <c r="L2481" s="1">
        <v>209.0</v>
      </c>
      <c r="M2481" s="1" t="s">
        <v>35</v>
      </c>
      <c r="N2481" s="1" t="s">
        <v>36</v>
      </c>
      <c r="O2481" s="1" t="s">
        <v>628</v>
      </c>
      <c r="P2481" s="1">
        <v>1.5E7</v>
      </c>
      <c r="Q2481" s="1">
        <v>2008.0</v>
      </c>
      <c r="R2481" s="1">
        <v>14000.0</v>
      </c>
      <c r="S2481" s="1">
        <v>1000.0</v>
      </c>
      <c r="T2481" s="1">
        <v>1000.0</v>
      </c>
      <c r="U2481" s="1">
        <v>18639.0</v>
      </c>
      <c r="V2481" s="1">
        <v>129.0</v>
      </c>
      <c r="W2481" s="1">
        <v>0.0</v>
      </c>
      <c r="X2481" s="1">
        <v>0.0</v>
      </c>
      <c r="Y2481" s="1">
        <v>2.35</v>
      </c>
      <c r="Z2481" s="1">
        <v>6.1</v>
      </c>
    </row>
    <row r="2482" ht="14.25" customHeight="1">
      <c r="A2482" s="1" t="s">
        <v>26</v>
      </c>
      <c r="B2482" s="1" t="s">
        <v>11953</v>
      </c>
      <c r="C2482" s="1" t="s">
        <v>11954</v>
      </c>
      <c r="D2482" s="1">
        <v>28870.0</v>
      </c>
      <c r="E2482" s="1" t="s">
        <v>2045</v>
      </c>
      <c r="F2482" s="1" t="s">
        <v>430</v>
      </c>
      <c r="G2482" s="1" t="s">
        <v>2292</v>
      </c>
      <c r="H2482" s="1" t="s">
        <v>3979</v>
      </c>
      <c r="I2482" s="1">
        <v>14280.0</v>
      </c>
      <c r="J2482" s="1" t="s">
        <v>11955</v>
      </c>
      <c r="K2482" s="1" t="s">
        <v>11956</v>
      </c>
      <c r="L2482" s="1">
        <v>41.0</v>
      </c>
      <c r="M2482" s="1" t="s">
        <v>35</v>
      </c>
      <c r="N2482" s="1" t="s">
        <v>36</v>
      </c>
      <c r="O2482" s="1" t="s">
        <v>628</v>
      </c>
      <c r="P2482" s="1">
        <v>1.5E7</v>
      </c>
      <c r="Q2482" s="1">
        <v>2011.0</v>
      </c>
      <c r="R2482" s="1">
        <v>17000.0</v>
      </c>
      <c r="S2482" s="1">
        <v>14000.0</v>
      </c>
      <c r="T2482" s="1">
        <v>642.0</v>
      </c>
      <c r="U2482" s="1">
        <v>32814.0</v>
      </c>
      <c r="V2482" s="1">
        <v>68.0</v>
      </c>
      <c r="W2482" s="1">
        <v>0.0</v>
      </c>
      <c r="X2482" s="1">
        <v>5.0</v>
      </c>
      <c r="Y2482" s="1">
        <v>2.35</v>
      </c>
      <c r="Z2482" s="1">
        <v>5.1</v>
      </c>
    </row>
    <row r="2483" ht="14.25" customHeight="1">
      <c r="A2483" s="1" t="s">
        <v>26</v>
      </c>
      <c r="B2483" s="1" t="s">
        <v>11957</v>
      </c>
      <c r="C2483" s="1" t="s">
        <v>11958</v>
      </c>
      <c r="D2483" s="1">
        <v>22723.0</v>
      </c>
      <c r="E2483" s="1" t="s">
        <v>11959</v>
      </c>
      <c r="F2483" s="1" t="s">
        <v>302</v>
      </c>
      <c r="G2483" s="1" t="s">
        <v>1740</v>
      </c>
      <c r="H2483" s="1" t="s">
        <v>11960</v>
      </c>
      <c r="I2483" s="1">
        <v>2236.0</v>
      </c>
      <c r="J2483" s="1" t="s">
        <v>11961</v>
      </c>
      <c r="K2483" s="1" t="s">
        <v>11962</v>
      </c>
      <c r="L2483" s="1">
        <v>40.0</v>
      </c>
      <c r="M2483" s="1" t="s">
        <v>35</v>
      </c>
      <c r="N2483" s="1" t="s">
        <v>730</v>
      </c>
      <c r="O2483" s="1" t="s">
        <v>37</v>
      </c>
      <c r="P2483" s="1">
        <v>2.5E7</v>
      </c>
      <c r="Q2483" s="1">
        <v>2001.0</v>
      </c>
      <c r="R2483" s="1">
        <v>776.0</v>
      </c>
      <c r="S2483" s="1">
        <v>595.0</v>
      </c>
      <c r="T2483" s="1">
        <v>125.0</v>
      </c>
      <c r="U2483" s="1">
        <v>1732.0</v>
      </c>
      <c r="V2483" s="1">
        <v>24.0</v>
      </c>
      <c r="W2483" s="1">
        <v>193.0</v>
      </c>
      <c r="X2483" s="1">
        <v>1.0</v>
      </c>
      <c r="Y2483" s="1">
        <v>2.35</v>
      </c>
      <c r="Z2483" s="1">
        <v>4.5</v>
      </c>
    </row>
    <row r="2484" ht="14.25" customHeight="1">
      <c r="A2484" s="1" t="s">
        <v>26</v>
      </c>
      <c r="B2484" s="1" t="s">
        <v>11963</v>
      </c>
      <c r="C2484" s="1" t="s">
        <v>11964</v>
      </c>
      <c r="D2484" s="1">
        <v>20380.0</v>
      </c>
      <c r="E2484" s="1" t="s">
        <v>11965</v>
      </c>
      <c r="F2484" s="1" t="s">
        <v>152</v>
      </c>
      <c r="G2484" s="1" t="s">
        <v>11966</v>
      </c>
      <c r="H2484" s="1" t="s">
        <v>11768</v>
      </c>
      <c r="I2484" s="1">
        <v>7519.0</v>
      </c>
      <c r="J2484" s="1" t="s">
        <v>11967</v>
      </c>
      <c r="K2484" s="1" t="s">
        <v>11968</v>
      </c>
      <c r="L2484" s="1">
        <v>39.0</v>
      </c>
      <c r="M2484" s="1" t="s">
        <v>35</v>
      </c>
      <c r="N2484" s="1" t="s">
        <v>36</v>
      </c>
      <c r="O2484" s="1" t="s">
        <v>628</v>
      </c>
      <c r="P2484" s="1">
        <v>1.5E7</v>
      </c>
      <c r="Q2484" s="1">
        <v>2007.0</v>
      </c>
      <c r="R2484" s="1">
        <v>1000.0</v>
      </c>
      <c r="S2484" s="1">
        <v>165.0</v>
      </c>
      <c r="T2484" s="1">
        <v>66.0</v>
      </c>
      <c r="U2484" s="1">
        <v>1245.0</v>
      </c>
      <c r="V2484" s="1">
        <v>17.0</v>
      </c>
      <c r="W2484" s="1">
        <v>445.0</v>
      </c>
      <c r="X2484" s="1">
        <v>1.0</v>
      </c>
      <c r="Y2484" s="1">
        <v>1.85</v>
      </c>
      <c r="Z2484" s="1">
        <v>5.9</v>
      </c>
    </row>
    <row r="2485" ht="14.25" customHeight="1">
      <c r="A2485" s="1" t="s">
        <v>26</v>
      </c>
      <c r="B2485" s="1" t="s">
        <v>4006</v>
      </c>
      <c r="C2485" s="1" t="s">
        <v>11969</v>
      </c>
      <c r="D2485" s="1">
        <v>7.0906973E7</v>
      </c>
      <c r="E2485" s="1" t="s">
        <v>3439</v>
      </c>
      <c r="F2485" s="1" t="s">
        <v>534</v>
      </c>
      <c r="G2485" s="1" t="s">
        <v>2373</v>
      </c>
      <c r="H2485" s="1" t="s">
        <v>4225</v>
      </c>
      <c r="I2485" s="1">
        <v>437418.0</v>
      </c>
      <c r="J2485" s="1" t="s">
        <v>11970</v>
      </c>
      <c r="K2485" s="1" t="s">
        <v>11971</v>
      </c>
      <c r="L2485" s="1">
        <v>609.0</v>
      </c>
      <c r="M2485" s="1" t="s">
        <v>35</v>
      </c>
      <c r="N2485" s="1" t="s">
        <v>36</v>
      </c>
      <c r="O2485" s="1" t="s">
        <v>87</v>
      </c>
      <c r="P2485" s="1">
        <v>1.46E7</v>
      </c>
      <c r="Q2485" s="1">
        <v>1993.0</v>
      </c>
      <c r="R2485" s="1">
        <v>13000.0</v>
      </c>
      <c r="S2485" s="1">
        <v>571.0</v>
      </c>
      <c r="T2485" s="1">
        <v>512.0</v>
      </c>
      <c r="U2485" s="1">
        <v>15500.0</v>
      </c>
      <c r="V2485" s="1">
        <v>11000.0</v>
      </c>
      <c r="W2485" s="1">
        <v>38000.0</v>
      </c>
      <c r="X2485" s="1">
        <v>1.0</v>
      </c>
      <c r="Y2485" s="1">
        <v>1.85</v>
      </c>
      <c r="Z2485" s="1">
        <v>8.1</v>
      </c>
    </row>
    <row r="2486" ht="14.25" customHeight="1">
      <c r="A2486" s="1" t="s">
        <v>26</v>
      </c>
      <c r="B2486" s="1" t="s">
        <v>11972</v>
      </c>
      <c r="C2486" s="1" t="s">
        <v>11973</v>
      </c>
      <c r="D2486" s="1">
        <v>6.6009973E7</v>
      </c>
      <c r="E2486" s="1" t="s">
        <v>8240</v>
      </c>
      <c r="F2486" s="1" t="s">
        <v>4140</v>
      </c>
      <c r="G2486" s="1" t="s">
        <v>430</v>
      </c>
      <c r="H2486" s="1" t="s">
        <v>8744</v>
      </c>
      <c r="I2486" s="1">
        <v>38202.0</v>
      </c>
      <c r="J2486" s="1" t="s">
        <v>11974</v>
      </c>
      <c r="K2486" s="1" t="s">
        <v>11975</v>
      </c>
      <c r="L2486" s="1">
        <v>135.0</v>
      </c>
      <c r="M2486" s="1" t="s">
        <v>35</v>
      </c>
      <c r="N2486" s="1" t="s">
        <v>36</v>
      </c>
      <c r="O2486" s="1" t="s">
        <v>628</v>
      </c>
      <c r="P2486" s="1">
        <v>1.48E7</v>
      </c>
      <c r="Q2486" s="1">
        <v>2015.0</v>
      </c>
      <c r="R2486" s="1">
        <v>20000.0</v>
      </c>
      <c r="S2486" s="1">
        <v>17000.0</v>
      </c>
      <c r="T2486" s="1">
        <v>642.0</v>
      </c>
      <c r="U2486" s="1">
        <v>38963.0</v>
      </c>
      <c r="V2486" s="1">
        <v>13.0</v>
      </c>
      <c r="W2486" s="1">
        <v>41000.0</v>
      </c>
      <c r="X2486" s="1">
        <v>3.0</v>
      </c>
      <c r="Y2486" s="1">
        <v>2.35</v>
      </c>
      <c r="Z2486" s="1">
        <v>5.7</v>
      </c>
    </row>
    <row r="2487" ht="14.25" customHeight="1">
      <c r="A2487" s="1" t="s">
        <v>26</v>
      </c>
      <c r="B2487" s="1" t="s">
        <v>356</v>
      </c>
      <c r="C2487" s="1" t="s">
        <v>11976</v>
      </c>
      <c r="D2487" s="1">
        <v>4.6338728E7</v>
      </c>
      <c r="E2487" s="1" t="s">
        <v>206</v>
      </c>
      <c r="F2487" s="1" t="s">
        <v>207</v>
      </c>
      <c r="G2487" s="1" t="s">
        <v>4653</v>
      </c>
      <c r="H2487" s="1" t="s">
        <v>758</v>
      </c>
      <c r="I2487" s="1">
        <v>167750.0</v>
      </c>
      <c r="J2487" s="1" t="s">
        <v>11977</v>
      </c>
      <c r="K2487" s="1" t="s">
        <v>11978</v>
      </c>
      <c r="L2487" s="1">
        <v>506.0</v>
      </c>
      <c r="M2487" s="1" t="s">
        <v>35</v>
      </c>
      <c r="N2487" s="1" t="s">
        <v>36</v>
      </c>
      <c r="O2487" s="1" t="s">
        <v>37</v>
      </c>
      <c r="P2487" s="1">
        <v>1.45E7</v>
      </c>
      <c r="Q2487" s="1">
        <v>1996.0</v>
      </c>
      <c r="R2487" s="1">
        <v>29000.0</v>
      </c>
      <c r="S2487" s="1">
        <v>1000.0</v>
      </c>
      <c r="T2487" s="1">
        <v>954.0</v>
      </c>
      <c r="U2487" s="1">
        <v>33791.0</v>
      </c>
      <c r="V2487" s="1">
        <v>1000.0</v>
      </c>
      <c r="W2487" s="1">
        <v>10000.0</v>
      </c>
      <c r="X2487" s="1">
        <v>2.0</v>
      </c>
      <c r="Y2487" s="1">
        <v>2.35</v>
      </c>
      <c r="Z2487" s="1">
        <v>6.8</v>
      </c>
    </row>
    <row r="2488" ht="14.25" customHeight="1">
      <c r="A2488" s="1" t="s">
        <v>26</v>
      </c>
      <c r="B2488" s="1" t="s">
        <v>11979</v>
      </c>
      <c r="C2488" s="1" t="s">
        <v>11980</v>
      </c>
      <c r="D2488" s="1">
        <v>7691700.0</v>
      </c>
      <c r="E2488" s="1" t="s">
        <v>3225</v>
      </c>
      <c r="F2488" s="1" t="s">
        <v>195</v>
      </c>
      <c r="G2488" s="1" t="s">
        <v>6056</v>
      </c>
      <c r="H2488" s="1" t="s">
        <v>11981</v>
      </c>
      <c r="I2488" s="1">
        <v>12937.0</v>
      </c>
      <c r="J2488" s="1" t="s">
        <v>11982</v>
      </c>
      <c r="K2488" s="1" t="s">
        <v>11983</v>
      </c>
      <c r="L2488" s="1">
        <v>73.0</v>
      </c>
      <c r="M2488" s="1" t="s">
        <v>2752</v>
      </c>
      <c r="N2488" s="1" t="s">
        <v>1832</v>
      </c>
      <c r="O2488" s="1" t="s">
        <v>37</v>
      </c>
      <c r="P2488" s="1">
        <v>1.0E7</v>
      </c>
      <c r="Q2488" s="1">
        <v>2010.0</v>
      </c>
      <c r="R2488" s="1">
        <v>1000.0</v>
      </c>
      <c r="S2488" s="1">
        <v>767.0</v>
      </c>
      <c r="T2488" s="1">
        <v>121.0</v>
      </c>
      <c r="U2488" s="1">
        <v>2140.0</v>
      </c>
      <c r="V2488" s="1">
        <v>15.0</v>
      </c>
      <c r="W2488" s="1">
        <v>0.0</v>
      </c>
      <c r="X2488" s="1">
        <v>2.0</v>
      </c>
      <c r="Y2488" s="1">
        <v>2.35</v>
      </c>
      <c r="Z2488" s="1">
        <v>7.5</v>
      </c>
    </row>
    <row r="2489" ht="14.25" customHeight="1">
      <c r="A2489" s="1" t="s">
        <v>26</v>
      </c>
      <c r="B2489" s="1" t="s">
        <v>3503</v>
      </c>
      <c r="C2489" s="1" t="s">
        <v>11984</v>
      </c>
      <c r="D2489" s="1">
        <v>1.01157447E8</v>
      </c>
      <c r="E2489" s="1" t="s">
        <v>1683</v>
      </c>
      <c r="F2489" s="1" t="s">
        <v>3503</v>
      </c>
      <c r="G2489" s="1" t="s">
        <v>451</v>
      </c>
      <c r="H2489" s="1" t="s">
        <v>3058</v>
      </c>
      <c r="I2489" s="1">
        <v>277505.0</v>
      </c>
      <c r="J2489" s="1" t="s">
        <v>11985</v>
      </c>
      <c r="K2489" s="1" t="s">
        <v>11986</v>
      </c>
      <c r="L2489" s="1">
        <v>495.0</v>
      </c>
      <c r="M2489" s="1" t="s">
        <v>35</v>
      </c>
      <c r="N2489" s="1" t="s">
        <v>36</v>
      </c>
      <c r="O2489" s="1" t="s">
        <v>628</v>
      </c>
      <c r="P2489" s="1">
        <v>1.44E7</v>
      </c>
      <c r="Q2489" s="1">
        <v>1992.0</v>
      </c>
      <c r="R2489" s="1">
        <v>16000.0</v>
      </c>
      <c r="S2489" s="1">
        <v>11000.0</v>
      </c>
      <c r="T2489" s="1">
        <v>638.0</v>
      </c>
      <c r="U2489" s="1">
        <v>28544.0</v>
      </c>
      <c r="V2489" s="1">
        <v>16000.0</v>
      </c>
      <c r="W2489" s="1">
        <v>10000.0</v>
      </c>
      <c r="X2489" s="1">
        <v>1.0</v>
      </c>
      <c r="Y2489" s="1">
        <v>2.35</v>
      </c>
      <c r="Z2489" s="1">
        <v>8.3</v>
      </c>
    </row>
    <row r="2490" ht="14.25" customHeight="1">
      <c r="A2490" s="1" t="s">
        <v>26</v>
      </c>
      <c r="B2490" s="1" t="s">
        <v>11987</v>
      </c>
      <c r="C2490" s="1" t="s">
        <v>11988</v>
      </c>
      <c r="D2490" s="1">
        <v>74205.0</v>
      </c>
      <c r="E2490" s="1" t="s">
        <v>3238</v>
      </c>
      <c r="F2490" s="1" t="s">
        <v>227</v>
      </c>
      <c r="G2490" s="1" t="s">
        <v>11989</v>
      </c>
      <c r="H2490" s="1" t="s">
        <v>11990</v>
      </c>
      <c r="I2490" s="1">
        <v>18646.0</v>
      </c>
      <c r="J2490" s="1" t="s">
        <v>11991</v>
      </c>
      <c r="K2490" s="1" t="s">
        <v>11992</v>
      </c>
      <c r="L2490" s="1">
        <v>81.0</v>
      </c>
      <c r="M2490" s="1" t="s">
        <v>35</v>
      </c>
      <c r="N2490" s="1" t="s">
        <v>7233</v>
      </c>
      <c r="O2490" s="1" t="s">
        <v>9252</v>
      </c>
      <c r="P2490" s="1">
        <v>1.42E7</v>
      </c>
      <c r="Q2490" s="1">
        <v>2005.0</v>
      </c>
      <c r="R2490" s="1">
        <v>3000.0</v>
      </c>
      <c r="S2490" s="1">
        <v>769.0</v>
      </c>
      <c r="T2490" s="1">
        <v>236.0</v>
      </c>
      <c r="U2490" s="1">
        <v>4211.0</v>
      </c>
      <c r="V2490" s="1">
        <v>3000.0</v>
      </c>
      <c r="W2490" s="1">
        <v>1000.0</v>
      </c>
      <c r="X2490" s="1">
        <v>1.0</v>
      </c>
      <c r="Y2490" s="1">
        <v>2.35</v>
      </c>
      <c r="Z2490" s="1">
        <v>7.4</v>
      </c>
    </row>
    <row r="2491" ht="14.25" customHeight="1">
      <c r="A2491" s="1" t="s">
        <v>26</v>
      </c>
      <c r="B2491" s="1" t="s">
        <v>5001</v>
      </c>
      <c r="C2491" s="1" t="s">
        <v>11993</v>
      </c>
      <c r="D2491" s="1">
        <v>1.41319195E8</v>
      </c>
      <c r="E2491" s="1" t="s">
        <v>206</v>
      </c>
      <c r="F2491" s="1" t="s">
        <v>11994</v>
      </c>
      <c r="G2491" s="1" t="s">
        <v>11995</v>
      </c>
      <c r="H2491" s="1" t="s">
        <v>11996</v>
      </c>
      <c r="I2491" s="1">
        <v>641997.0</v>
      </c>
      <c r="J2491" s="1" t="s">
        <v>11997</v>
      </c>
      <c r="K2491" s="1" t="s">
        <v>11998</v>
      </c>
      <c r="L2491" s="1">
        <v>1017.0</v>
      </c>
      <c r="M2491" s="1" t="s">
        <v>35</v>
      </c>
      <c r="N2491" s="1" t="s">
        <v>54</v>
      </c>
      <c r="O2491" s="1" t="s">
        <v>628</v>
      </c>
      <c r="P2491" s="1">
        <v>1.5E7</v>
      </c>
      <c r="Q2491" s="1">
        <v>2008.0</v>
      </c>
      <c r="R2491" s="1">
        <v>668.0</v>
      </c>
      <c r="S2491" s="1">
        <v>56.0</v>
      </c>
      <c r="T2491" s="1">
        <v>40.0</v>
      </c>
      <c r="U2491" s="1">
        <v>820.0</v>
      </c>
      <c r="V2491" s="1">
        <v>0.0</v>
      </c>
      <c r="W2491" s="1">
        <v>13000.0</v>
      </c>
      <c r="X2491" s="1">
        <v>0.0</v>
      </c>
      <c r="Y2491" s="1">
        <v>2.35</v>
      </c>
      <c r="Z2491" s="1">
        <v>8.0</v>
      </c>
    </row>
    <row r="2492" ht="14.25" customHeight="1">
      <c r="A2492" s="1" t="s">
        <v>26</v>
      </c>
      <c r="B2492" s="1" t="s">
        <v>4887</v>
      </c>
      <c r="C2492" s="1" t="s">
        <v>11999</v>
      </c>
      <c r="D2492" s="1">
        <v>1.56645693E8</v>
      </c>
      <c r="E2492" s="1" t="s">
        <v>8285</v>
      </c>
      <c r="F2492" s="1" t="s">
        <v>5257</v>
      </c>
      <c r="G2492" s="1" t="s">
        <v>12000</v>
      </c>
      <c r="H2492" s="1" t="s">
        <v>6240</v>
      </c>
      <c r="I2492" s="1">
        <v>55101.0</v>
      </c>
      <c r="J2492" s="1" t="s">
        <v>12001</v>
      </c>
      <c r="K2492" s="1" t="s">
        <v>12002</v>
      </c>
      <c r="L2492" s="1">
        <v>201.0</v>
      </c>
      <c r="M2492" s="1" t="s">
        <v>35</v>
      </c>
      <c r="N2492" s="1" t="s">
        <v>36</v>
      </c>
      <c r="O2492" s="1" t="s">
        <v>628</v>
      </c>
      <c r="P2492" s="1">
        <v>1.4E7</v>
      </c>
      <c r="Q2492" s="1">
        <v>1987.0</v>
      </c>
      <c r="R2492" s="1">
        <v>886.0</v>
      </c>
      <c r="S2492" s="1">
        <v>276.0</v>
      </c>
      <c r="T2492" s="1">
        <v>249.0</v>
      </c>
      <c r="U2492" s="1">
        <v>1639.0</v>
      </c>
      <c r="V2492" s="1">
        <v>213.0</v>
      </c>
      <c r="W2492" s="1">
        <v>3000.0</v>
      </c>
      <c r="X2492" s="1">
        <v>0.0</v>
      </c>
      <c r="Y2492" s="1">
        <v>1.85</v>
      </c>
      <c r="Z2492" s="1">
        <v>6.9</v>
      </c>
    </row>
    <row r="2493" ht="14.25" customHeight="1">
      <c r="A2493" s="1" t="s">
        <v>26</v>
      </c>
      <c r="B2493" s="1" t="s">
        <v>3138</v>
      </c>
      <c r="C2493" s="1" t="s">
        <v>12003</v>
      </c>
      <c r="D2493" s="1">
        <v>1.78406268E8</v>
      </c>
      <c r="E2493" s="1" t="s">
        <v>1598</v>
      </c>
      <c r="F2493" s="1" t="s">
        <v>1459</v>
      </c>
      <c r="G2493" s="1" t="s">
        <v>3140</v>
      </c>
      <c r="H2493" s="1" t="s">
        <v>1689</v>
      </c>
      <c r="I2493" s="1">
        <v>213476.0</v>
      </c>
      <c r="J2493" s="1" t="s">
        <v>12004</v>
      </c>
      <c r="K2493" s="1" t="s">
        <v>12005</v>
      </c>
      <c r="L2493" s="1">
        <v>271.0</v>
      </c>
      <c r="M2493" s="1" t="s">
        <v>35</v>
      </c>
      <c r="N2493" s="1" t="s">
        <v>36</v>
      </c>
      <c r="O2493" s="1" t="s">
        <v>628</v>
      </c>
      <c r="P2493" s="1">
        <v>1.4E7</v>
      </c>
      <c r="Q2493" s="1">
        <v>1990.0</v>
      </c>
      <c r="R2493" s="1">
        <v>8000.0</v>
      </c>
      <c r="S2493" s="1">
        <v>995.0</v>
      </c>
      <c r="T2493" s="1">
        <v>700.0</v>
      </c>
      <c r="U2493" s="1">
        <v>11135.0</v>
      </c>
      <c r="V2493" s="1">
        <v>0.0</v>
      </c>
      <c r="W2493" s="1">
        <v>11000.0</v>
      </c>
      <c r="X2493" s="1">
        <v>2.0</v>
      </c>
      <c r="Y2493" s="1">
        <v>1.85</v>
      </c>
      <c r="Z2493" s="1">
        <v>6.9</v>
      </c>
    </row>
    <row r="2494" ht="14.25" customHeight="1">
      <c r="A2494" s="1" t="s">
        <v>26</v>
      </c>
      <c r="B2494" s="1" t="s">
        <v>12006</v>
      </c>
      <c r="C2494" s="1" t="s">
        <v>12007</v>
      </c>
      <c r="D2494" s="1">
        <v>1.0930621E8</v>
      </c>
      <c r="E2494" s="1" t="s">
        <v>1551</v>
      </c>
      <c r="F2494" s="1" t="s">
        <v>8663</v>
      </c>
      <c r="G2494" s="1" t="s">
        <v>8981</v>
      </c>
      <c r="H2494" s="1" t="s">
        <v>12008</v>
      </c>
      <c r="I2494" s="1">
        <v>44096.0</v>
      </c>
      <c r="J2494" s="1" t="s">
        <v>12009</v>
      </c>
      <c r="K2494" s="1" t="s">
        <v>12010</v>
      </c>
      <c r="L2494" s="1">
        <v>62.0</v>
      </c>
      <c r="M2494" s="1" t="s">
        <v>35</v>
      </c>
      <c r="N2494" s="1" t="s">
        <v>362</v>
      </c>
      <c r="O2494" s="1" t="s">
        <v>87</v>
      </c>
      <c r="P2494" s="1">
        <v>1.58E7</v>
      </c>
      <c r="Q2494" s="1">
        <v>1988.0</v>
      </c>
      <c r="R2494" s="1">
        <v>442.0</v>
      </c>
      <c r="S2494" s="1">
        <v>162.0</v>
      </c>
      <c r="T2494" s="1">
        <v>57.0</v>
      </c>
      <c r="U2494" s="1">
        <v>717.0</v>
      </c>
      <c r="V2494" s="1">
        <v>5.0</v>
      </c>
      <c r="W2494" s="1">
        <v>489.0</v>
      </c>
      <c r="X2494" s="1">
        <v>1.0</v>
      </c>
      <c r="Y2494" s="1">
        <v>2.35</v>
      </c>
      <c r="Z2494" s="1">
        <v>5.5</v>
      </c>
    </row>
    <row r="2495" ht="14.25" customHeight="1">
      <c r="A2495" s="1" t="s">
        <v>26</v>
      </c>
      <c r="B2495" s="1" t="s">
        <v>723</v>
      </c>
      <c r="C2495" s="1" t="s">
        <v>12011</v>
      </c>
      <c r="D2495" s="1">
        <v>7.0001698E7</v>
      </c>
      <c r="E2495" s="1" t="s">
        <v>6806</v>
      </c>
      <c r="F2495" s="1" t="s">
        <v>508</v>
      </c>
      <c r="G2495" s="1" t="s">
        <v>5388</v>
      </c>
      <c r="H2495" s="1" t="s">
        <v>7982</v>
      </c>
      <c r="I2495" s="1">
        <v>76842.0</v>
      </c>
      <c r="J2495" s="1" t="s">
        <v>12012</v>
      </c>
      <c r="K2495" s="1" t="s">
        <v>12013</v>
      </c>
      <c r="L2495" s="1">
        <v>173.0</v>
      </c>
      <c r="M2495" s="1" t="s">
        <v>35</v>
      </c>
      <c r="N2495" s="1" t="s">
        <v>36</v>
      </c>
      <c r="O2495" s="1" t="s">
        <v>628</v>
      </c>
      <c r="P2495" s="1">
        <v>1.4E7</v>
      </c>
      <c r="Q2495" s="1">
        <v>1989.0</v>
      </c>
      <c r="R2495" s="1">
        <v>10000.0</v>
      </c>
      <c r="S2495" s="1">
        <v>854.0</v>
      </c>
      <c r="T2495" s="1">
        <v>560.0</v>
      </c>
      <c r="U2495" s="1">
        <v>12098.0</v>
      </c>
      <c r="V2495" s="1">
        <v>0.0</v>
      </c>
      <c r="W2495" s="1">
        <v>4000.0</v>
      </c>
      <c r="X2495" s="1">
        <v>0.0</v>
      </c>
      <c r="Y2495" s="1">
        <v>2.35</v>
      </c>
      <c r="Z2495" s="1">
        <v>7.2</v>
      </c>
    </row>
    <row r="2496" ht="14.25" customHeight="1">
      <c r="A2496" s="1" t="s">
        <v>710</v>
      </c>
      <c r="B2496" s="1" t="s">
        <v>666</v>
      </c>
      <c r="C2496" s="1" t="s">
        <v>12014</v>
      </c>
      <c r="D2496" s="1">
        <v>6.8856263E7</v>
      </c>
      <c r="E2496" s="1" t="s">
        <v>7384</v>
      </c>
      <c r="F2496" s="1" t="s">
        <v>7988</v>
      </c>
      <c r="G2496" s="1" t="s">
        <v>3510</v>
      </c>
      <c r="H2496" s="1" t="s">
        <v>12015</v>
      </c>
      <c r="I2496" s="1">
        <v>69733.0</v>
      </c>
      <c r="J2496" s="1" t="s">
        <v>12016</v>
      </c>
      <c r="K2496" s="1" t="s">
        <v>12017</v>
      </c>
      <c r="L2496" s="1">
        <v>97.0</v>
      </c>
      <c r="M2496" s="1" t="s">
        <v>35</v>
      </c>
      <c r="N2496" s="1" t="s">
        <v>36</v>
      </c>
      <c r="O2496" s="1" t="s">
        <v>87</v>
      </c>
      <c r="P2496" s="1">
        <v>1.5E7</v>
      </c>
      <c r="Q2496" s="1">
        <v>1993.0</v>
      </c>
      <c r="R2496" s="1">
        <v>953.0</v>
      </c>
      <c r="S2496" s="1">
        <v>730.0</v>
      </c>
      <c r="T2496" s="1">
        <v>496.0</v>
      </c>
      <c r="U2496" s="1">
        <v>2496.0</v>
      </c>
      <c r="V2496" s="1">
        <v>226.0</v>
      </c>
      <c r="W2496" s="1">
        <v>0.0</v>
      </c>
      <c r="X2496" s="1">
        <v>1.0</v>
      </c>
      <c r="Y2496" s="1">
        <v>1.85</v>
      </c>
      <c r="Z2496" s="1">
        <v>6.9</v>
      </c>
    </row>
    <row r="2497" ht="14.25" customHeight="1">
      <c r="A2497" s="1" t="s">
        <v>26</v>
      </c>
      <c r="B2497" s="1" t="s">
        <v>5184</v>
      </c>
      <c r="C2497" s="1" t="s">
        <v>12018</v>
      </c>
      <c r="D2497" s="1">
        <v>5.1527787E7</v>
      </c>
      <c r="E2497" s="1" t="s">
        <v>6278</v>
      </c>
      <c r="F2497" s="1" t="s">
        <v>12019</v>
      </c>
      <c r="G2497" s="1" t="s">
        <v>714</v>
      </c>
      <c r="H2497" s="1" t="s">
        <v>10320</v>
      </c>
      <c r="I2497" s="1">
        <v>45603.0</v>
      </c>
      <c r="J2497" s="1" t="s">
        <v>12020</v>
      </c>
      <c r="K2497" s="1" t="s">
        <v>12021</v>
      </c>
      <c r="L2497" s="1">
        <v>268.0</v>
      </c>
      <c r="M2497" s="1" t="s">
        <v>35</v>
      </c>
      <c r="N2497" s="1" t="s">
        <v>36</v>
      </c>
      <c r="O2497" s="1" t="s">
        <v>628</v>
      </c>
      <c r="P2497" s="1">
        <v>1.5E7</v>
      </c>
      <c r="Q2497" s="1">
        <v>2009.0</v>
      </c>
      <c r="R2497" s="1">
        <v>10000.0</v>
      </c>
      <c r="S2497" s="1">
        <v>960.0</v>
      </c>
      <c r="T2497" s="1">
        <v>725.0</v>
      </c>
      <c r="U2497" s="1">
        <v>14159.0</v>
      </c>
      <c r="V2497" s="1">
        <v>71.0</v>
      </c>
      <c r="W2497" s="1">
        <v>0.0</v>
      </c>
      <c r="X2497" s="1">
        <v>0.0</v>
      </c>
      <c r="Y2497" s="1">
        <v>1.85</v>
      </c>
      <c r="Z2497" s="1">
        <v>5.5</v>
      </c>
    </row>
    <row r="2498" ht="14.25" customHeight="1">
      <c r="A2498" s="1" t="s">
        <v>26</v>
      </c>
      <c r="B2498" s="1" t="s">
        <v>9159</v>
      </c>
      <c r="C2498" s="1" t="s">
        <v>9160</v>
      </c>
      <c r="D2498" s="1">
        <v>4.9122319E7</v>
      </c>
      <c r="E2498" s="1" t="s">
        <v>6278</v>
      </c>
      <c r="F2498" s="1" t="s">
        <v>7379</v>
      </c>
      <c r="G2498" s="1" t="s">
        <v>9161</v>
      </c>
      <c r="H2498" s="1" t="s">
        <v>9162</v>
      </c>
      <c r="I2498" s="1">
        <v>47169.0</v>
      </c>
      <c r="J2498" s="1" t="s">
        <v>9163</v>
      </c>
      <c r="K2498" s="1" t="s">
        <v>9164</v>
      </c>
      <c r="L2498" s="1">
        <v>162.0</v>
      </c>
      <c r="M2498" s="1" t="s">
        <v>35</v>
      </c>
      <c r="N2498" s="1" t="s">
        <v>36</v>
      </c>
      <c r="O2498" s="1" t="s">
        <v>37</v>
      </c>
      <c r="P2498" s="1">
        <v>1.4E7</v>
      </c>
      <c r="Q2498" s="1">
        <v>2012.0</v>
      </c>
      <c r="R2498" s="1">
        <v>941.0</v>
      </c>
      <c r="S2498" s="1">
        <v>459.0</v>
      </c>
      <c r="T2498" s="1">
        <v>309.0</v>
      </c>
      <c r="U2498" s="1">
        <v>2348.0</v>
      </c>
      <c r="V2498" s="1">
        <v>30.0</v>
      </c>
      <c r="W2498" s="1">
        <v>17000.0</v>
      </c>
      <c r="X2498" s="1">
        <v>0.0</v>
      </c>
      <c r="Y2498" s="1">
        <v>2.35</v>
      </c>
      <c r="Z2498" s="1">
        <v>5.9</v>
      </c>
    </row>
    <row r="2499" ht="14.25" customHeight="1">
      <c r="A2499" s="1" t="s">
        <v>26</v>
      </c>
      <c r="B2499" s="1" t="s">
        <v>9014</v>
      </c>
      <c r="C2499" s="1" t="s">
        <v>12022</v>
      </c>
      <c r="D2499" s="1">
        <v>6.1356221E7</v>
      </c>
      <c r="E2499" s="1" t="s">
        <v>7326</v>
      </c>
      <c r="F2499" s="1" t="s">
        <v>10359</v>
      </c>
      <c r="G2499" s="1" t="s">
        <v>5590</v>
      </c>
      <c r="H2499" s="1" t="s">
        <v>135</v>
      </c>
      <c r="I2499" s="1">
        <v>19505.0</v>
      </c>
      <c r="J2499" s="1" t="s">
        <v>12023</v>
      </c>
      <c r="K2499" s="1" t="s">
        <v>12024</v>
      </c>
      <c r="L2499" s="1">
        <v>162.0</v>
      </c>
      <c r="M2499" s="1" t="s">
        <v>35</v>
      </c>
      <c r="N2499" s="1" t="s">
        <v>36</v>
      </c>
      <c r="O2499" s="1" t="s">
        <v>37</v>
      </c>
      <c r="P2499" s="1">
        <v>1.4E7</v>
      </c>
      <c r="Q2499" s="1">
        <v>2007.0</v>
      </c>
      <c r="R2499" s="1">
        <v>997.0</v>
      </c>
      <c r="S2499" s="1">
        <v>826.0</v>
      </c>
      <c r="T2499" s="1">
        <v>748.0</v>
      </c>
      <c r="U2499" s="1">
        <v>3544.0</v>
      </c>
      <c r="V2499" s="1">
        <v>41.0</v>
      </c>
      <c r="W2499" s="1">
        <v>0.0</v>
      </c>
      <c r="X2499" s="1">
        <v>0.0</v>
      </c>
      <c r="Y2499" s="1">
        <v>2.35</v>
      </c>
      <c r="Z2499" s="1">
        <v>5.2</v>
      </c>
    </row>
    <row r="2500" ht="14.25" customHeight="1">
      <c r="A2500" s="1" t="s">
        <v>26</v>
      </c>
      <c r="B2500" s="1" t="s">
        <v>7530</v>
      </c>
      <c r="C2500" s="1" t="s">
        <v>12025</v>
      </c>
      <c r="D2500" s="1">
        <v>4.68E7</v>
      </c>
      <c r="E2500" s="1" t="s">
        <v>219</v>
      </c>
      <c r="F2500" s="1" t="s">
        <v>12026</v>
      </c>
      <c r="G2500" s="1" t="s">
        <v>1056</v>
      </c>
      <c r="H2500" s="1" t="s">
        <v>12027</v>
      </c>
      <c r="I2500" s="1">
        <v>76477.0</v>
      </c>
      <c r="J2500" s="1" t="s">
        <v>12028</v>
      </c>
      <c r="K2500" s="1" t="s">
        <v>12029</v>
      </c>
      <c r="L2500" s="1">
        <v>275.0</v>
      </c>
      <c r="M2500" s="1" t="s">
        <v>35</v>
      </c>
      <c r="N2500" s="1" t="s">
        <v>54</v>
      </c>
      <c r="O2500" s="1" t="s">
        <v>87</v>
      </c>
      <c r="P2500" s="1">
        <v>1.4E7</v>
      </c>
      <c r="Q2500" s="1">
        <v>1977.0</v>
      </c>
      <c r="R2500" s="1">
        <v>456.0</v>
      </c>
      <c r="S2500" s="1">
        <v>244.0</v>
      </c>
      <c r="T2500" s="1">
        <v>238.0</v>
      </c>
      <c r="U2500" s="1">
        <v>1326.0</v>
      </c>
      <c r="V2500" s="1">
        <v>43.0</v>
      </c>
      <c r="W2500" s="1">
        <v>0.0</v>
      </c>
      <c r="X2500" s="1">
        <v>2.0</v>
      </c>
      <c r="Y2500" s="1">
        <v>2.35</v>
      </c>
      <c r="Z2500" s="1">
        <v>7.1</v>
      </c>
    </row>
    <row r="2501" ht="14.25" customHeight="1">
      <c r="A2501" s="1" t="s">
        <v>26</v>
      </c>
      <c r="B2501" s="1" t="s">
        <v>12030</v>
      </c>
      <c r="C2501" s="1" t="s">
        <v>12031</v>
      </c>
      <c r="D2501" s="1">
        <v>3.8048637E7</v>
      </c>
      <c r="E2501" s="1" t="s">
        <v>2882</v>
      </c>
      <c r="F2501" s="1" t="s">
        <v>3793</v>
      </c>
      <c r="G2501" s="1" t="s">
        <v>2924</v>
      </c>
      <c r="H2501" s="1" t="s">
        <v>7441</v>
      </c>
      <c r="I2501" s="1">
        <v>47814.0</v>
      </c>
      <c r="J2501" s="1" t="s">
        <v>12032</v>
      </c>
      <c r="K2501" s="1" t="s">
        <v>12033</v>
      </c>
      <c r="L2501" s="1">
        <v>426.0</v>
      </c>
      <c r="M2501" s="1" t="s">
        <v>35</v>
      </c>
      <c r="N2501" s="1" t="s">
        <v>36</v>
      </c>
      <c r="O2501" s="1" t="s">
        <v>628</v>
      </c>
      <c r="P2501" s="1">
        <v>1.4E7</v>
      </c>
      <c r="Q2501" s="1">
        <v>1998.0</v>
      </c>
      <c r="R2501" s="1">
        <v>975.0</v>
      </c>
      <c r="S2501" s="1">
        <v>912.0</v>
      </c>
      <c r="T2501" s="1">
        <v>648.0</v>
      </c>
      <c r="U2501" s="1">
        <v>3500.0</v>
      </c>
      <c r="V2501" s="1">
        <v>9.0</v>
      </c>
      <c r="W2501" s="1">
        <v>0.0</v>
      </c>
      <c r="X2501" s="1">
        <v>4.0</v>
      </c>
      <c r="Y2501" s="1">
        <v>2.35</v>
      </c>
      <c r="Z2501" s="1">
        <v>5.5</v>
      </c>
    </row>
    <row r="2502" ht="14.25" customHeight="1">
      <c r="A2502" s="1" t="s">
        <v>26</v>
      </c>
      <c r="B2502" s="1" t="s">
        <v>5299</v>
      </c>
      <c r="C2502" s="1" t="s">
        <v>9261</v>
      </c>
      <c r="D2502" s="1">
        <v>3.47E7</v>
      </c>
      <c r="E2502" s="1" t="s">
        <v>206</v>
      </c>
      <c r="F2502" s="1" t="s">
        <v>563</v>
      </c>
      <c r="G2502" s="1" t="s">
        <v>334</v>
      </c>
      <c r="H2502" s="1" t="s">
        <v>5331</v>
      </c>
      <c r="I2502" s="1">
        <v>52846.0</v>
      </c>
      <c r="J2502" s="1" t="s">
        <v>9262</v>
      </c>
      <c r="K2502" s="1" t="s">
        <v>9263</v>
      </c>
      <c r="L2502" s="1">
        <v>143.0</v>
      </c>
      <c r="M2502" s="1" t="s">
        <v>35</v>
      </c>
      <c r="N2502" s="1" t="s">
        <v>36</v>
      </c>
      <c r="O2502" s="1" t="s">
        <v>628</v>
      </c>
      <c r="P2502" s="1">
        <v>1.4E7</v>
      </c>
      <c r="Q2502" s="1">
        <v>1988.0</v>
      </c>
      <c r="R2502" s="1">
        <v>18000.0</v>
      </c>
      <c r="S2502" s="1">
        <v>17000.0</v>
      </c>
      <c r="T2502" s="1">
        <v>418.0</v>
      </c>
      <c r="U2502" s="1">
        <v>35501.0</v>
      </c>
      <c r="V2502" s="1">
        <v>350.0</v>
      </c>
      <c r="W2502" s="1">
        <v>0.0</v>
      </c>
      <c r="X2502" s="1">
        <v>2.0</v>
      </c>
      <c r="Y2502" s="1">
        <v>1.85</v>
      </c>
      <c r="Z2502" s="1">
        <v>7.7</v>
      </c>
    </row>
    <row r="2503" ht="14.25" customHeight="1">
      <c r="A2503" s="1" t="s">
        <v>26</v>
      </c>
      <c r="B2503" s="1" t="s">
        <v>12034</v>
      </c>
      <c r="C2503" s="1" t="s">
        <v>12035</v>
      </c>
      <c r="D2503" s="1">
        <v>3.479316E7</v>
      </c>
      <c r="E2503" s="1" t="s">
        <v>6613</v>
      </c>
      <c r="F2503" s="1" t="s">
        <v>4487</v>
      </c>
      <c r="G2503" s="1" t="s">
        <v>6733</v>
      </c>
      <c r="H2503" s="1" t="s">
        <v>12036</v>
      </c>
      <c r="I2503" s="1">
        <v>15730.0</v>
      </c>
      <c r="J2503" s="1" t="s">
        <v>12037</v>
      </c>
      <c r="K2503" s="1" t="s">
        <v>12038</v>
      </c>
      <c r="L2503" s="1">
        <v>31.0</v>
      </c>
      <c r="M2503" s="1" t="s">
        <v>35</v>
      </c>
      <c r="N2503" s="1" t="s">
        <v>36</v>
      </c>
      <c r="O2503" s="1" t="s">
        <v>87</v>
      </c>
      <c r="P2503" s="1">
        <v>1.4E7</v>
      </c>
      <c r="Q2503" s="1">
        <v>1991.0</v>
      </c>
      <c r="R2503" s="1">
        <v>327.0</v>
      </c>
      <c r="S2503" s="1">
        <v>172.0</v>
      </c>
      <c r="T2503" s="1">
        <v>25.0</v>
      </c>
      <c r="U2503" s="1">
        <v>552.0</v>
      </c>
      <c r="V2503" s="1">
        <v>116.0</v>
      </c>
      <c r="W2503" s="1">
        <v>0.0</v>
      </c>
      <c r="X2503" s="1">
        <v>1.0</v>
      </c>
      <c r="Y2503" s="1">
        <v>1.85</v>
      </c>
      <c r="Z2503" s="1">
        <v>6.7</v>
      </c>
    </row>
    <row r="2504" ht="14.25" customHeight="1">
      <c r="A2504" s="1" t="s">
        <v>26</v>
      </c>
      <c r="B2504" s="1" t="s">
        <v>9094</v>
      </c>
      <c r="C2504" s="1" t="s">
        <v>12039</v>
      </c>
      <c r="D2504" s="1">
        <v>3.0628981E7</v>
      </c>
      <c r="E2504" s="1" t="s">
        <v>1598</v>
      </c>
      <c r="F2504" s="1" t="s">
        <v>1197</v>
      </c>
      <c r="G2504" s="1" t="s">
        <v>9756</v>
      </c>
      <c r="H2504" s="1" t="s">
        <v>1278</v>
      </c>
      <c r="I2504" s="1">
        <v>15047.0</v>
      </c>
      <c r="J2504" s="1" t="s">
        <v>12040</v>
      </c>
      <c r="K2504" s="1" t="s">
        <v>12041</v>
      </c>
      <c r="L2504" s="1">
        <v>160.0</v>
      </c>
      <c r="M2504" s="1" t="s">
        <v>35</v>
      </c>
      <c r="N2504" s="1" t="s">
        <v>36</v>
      </c>
      <c r="O2504" s="1" t="s">
        <v>37</v>
      </c>
      <c r="P2504" s="1">
        <v>1.4E7</v>
      </c>
      <c r="Q2504" s="1">
        <v>1999.0</v>
      </c>
      <c r="R2504" s="1">
        <v>8000.0</v>
      </c>
      <c r="S2504" s="1">
        <v>670.0</v>
      </c>
      <c r="T2504" s="1">
        <v>636.0</v>
      </c>
      <c r="U2504" s="1">
        <v>10792.0</v>
      </c>
      <c r="V2504" s="1">
        <v>54.0</v>
      </c>
      <c r="W2504" s="1">
        <v>2000.0</v>
      </c>
      <c r="X2504" s="1">
        <v>1.0</v>
      </c>
      <c r="Y2504" s="1">
        <v>1.85</v>
      </c>
      <c r="Z2504" s="1">
        <v>5.0</v>
      </c>
    </row>
    <row r="2505" ht="14.25" customHeight="1">
      <c r="A2505" s="1" t="s">
        <v>26</v>
      </c>
      <c r="B2505" s="1" t="s">
        <v>4661</v>
      </c>
      <c r="C2505" s="1" t="s">
        <v>12042</v>
      </c>
      <c r="D2505" s="1">
        <v>2.9959436E7</v>
      </c>
      <c r="E2505" s="1" t="s">
        <v>5578</v>
      </c>
      <c r="F2505" s="1" t="s">
        <v>2286</v>
      </c>
      <c r="G2505" s="1" t="s">
        <v>385</v>
      </c>
      <c r="H2505" s="1" t="s">
        <v>12043</v>
      </c>
      <c r="I2505" s="1">
        <v>82327.0</v>
      </c>
      <c r="J2505" s="1" t="s">
        <v>12044</v>
      </c>
      <c r="K2505" s="1" t="s">
        <v>12045</v>
      </c>
      <c r="L2505" s="1">
        <v>350.0</v>
      </c>
      <c r="M2505" s="1" t="s">
        <v>35</v>
      </c>
      <c r="N2505" s="1" t="s">
        <v>54</v>
      </c>
      <c r="O2505" s="1" t="s">
        <v>37</v>
      </c>
      <c r="P2505" s="1">
        <v>1.3E7</v>
      </c>
      <c r="Q2505" s="1">
        <v>2011.0</v>
      </c>
      <c r="R2505" s="1">
        <v>11000.0</v>
      </c>
      <c r="S2505" s="1">
        <v>1000.0</v>
      </c>
      <c r="T2505" s="1">
        <v>583.0</v>
      </c>
      <c r="U2505" s="1">
        <v>12894.0</v>
      </c>
      <c r="V2505" s="1">
        <v>58.0</v>
      </c>
      <c r="W2505" s="1">
        <v>18000.0</v>
      </c>
      <c r="X2505" s="1">
        <v>1.0</v>
      </c>
      <c r="Y2505" s="1">
        <v>2.35</v>
      </c>
      <c r="Z2505" s="1">
        <v>6.4</v>
      </c>
    </row>
    <row r="2506" ht="14.25" customHeight="1">
      <c r="A2506" s="1" t="s">
        <v>26</v>
      </c>
      <c r="B2506" s="1" t="s">
        <v>11733</v>
      </c>
      <c r="C2506" s="1" t="s">
        <v>12046</v>
      </c>
      <c r="D2506" s="1">
        <v>2.5571351E7</v>
      </c>
      <c r="E2506" s="1" t="s">
        <v>8217</v>
      </c>
      <c r="F2506" s="1" t="s">
        <v>11737</v>
      </c>
      <c r="G2506" s="1" t="s">
        <v>11733</v>
      </c>
      <c r="H2506" s="1" t="s">
        <v>12047</v>
      </c>
      <c r="I2506" s="1">
        <v>3135.0</v>
      </c>
      <c r="J2506" s="1" t="s">
        <v>12048</v>
      </c>
      <c r="K2506" s="1" t="s">
        <v>12049</v>
      </c>
      <c r="L2506" s="1">
        <v>78.0</v>
      </c>
      <c r="M2506" s="1" t="s">
        <v>35</v>
      </c>
      <c r="N2506" s="1" t="s">
        <v>36</v>
      </c>
      <c r="O2506" s="1" t="s">
        <v>269</v>
      </c>
      <c r="P2506" s="1">
        <v>1.4E7</v>
      </c>
      <c r="Q2506" s="1">
        <v>2002.0</v>
      </c>
      <c r="R2506" s="1">
        <v>23.0</v>
      </c>
      <c r="S2506" s="1">
        <v>12.0</v>
      </c>
      <c r="T2506" s="1">
        <v>8.0</v>
      </c>
      <c r="U2506" s="1">
        <v>49.0</v>
      </c>
      <c r="V2506" s="1">
        <v>12.0</v>
      </c>
      <c r="W2506" s="1">
        <v>184.0</v>
      </c>
      <c r="X2506" s="1">
        <v>0.0</v>
      </c>
      <c r="Y2506" s="1">
        <v>1.85</v>
      </c>
      <c r="Z2506" s="1">
        <v>6.6</v>
      </c>
    </row>
    <row r="2507" ht="14.25" customHeight="1">
      <c r="A2507" s="1" t="s">
        <v>26</v>
      </c>
      <c r="B2507" s="1" t="s">
        <v>2793</v>
      </c>
      <c r="C2507" s="1" t="s">
        <v>12050</v>
      </c>
      <c r="D2507" s="1">
        <v>2.7515786E7</v>
      </c>
      <c r="E2507" s="1" t="s">
        <v>206</v>
      </c>
      <c r="F2507" s="1" t="s">
        <v>2372</v>
      </c>
      <c r="G2507" s="1" t="s">
        <v>11810</v>
      </c>
      <c r="H2507" s="1" t="s">
        <v>12051</v>
      </c>
      <c r="I2507" s="1">
        <v>8904.0</v>
      </c>
      <c r="J2507" s="1" t="s">
        <v>12052</v>
      </c>
      <c r="K2507" s="1" t="s">
        <v>12053</v>
      </c>
      <c r="L2507" s="1">
        <v>31.0</v>
      </c>
      <c r="M2507" s="1" t="s">
        <v>35</v>
      </c>
      <c r="N2507" s="1" t="s">
        <v>36</v>
      </c>
      <c r="O2507" s="1" t="s">
        <v>628</v>
      </c>
      <c r="P2507" s="1">
        <v>1.4E7</v>
      </c>
      <c r="Q2507" s="1">
        <v>1993.0</v>
      </c>
      <c r="R2507" s="1">
        <v>592.0</v>
      </c>
      <c r="S2507" s="1">
        <v>556.0</v>
      </c>
      <c r="T2507" s="1">
        <v>279.0</v>
      </c>
      <c r="U2507" s="1">
        <v>1620.0</v>
      </c>
      <c r="V2507" s="1">
        <v>309.0</v>
      </c>
      <c r="W2507" s="1">
        <v>0.0</v>
      </c>
      <c r="X2507" s="1">
        <v>0.0</v>
      </c>
      <c r="Y2507" s="1">
        <v>1.85</v>
      </c>
      <c r="Z2507" s="1">
        <v>5.9</v>
      </c>
    </row>
    <row r="2508" ht="14.25" customHeight="1">
      <c r="A2508" s="1" t="s">
        <v>26</v>
      </c>
      <c r="B2508" s="1" t="s">
        <v>4302</v>
      </c>
      <c r="C2508" s="1" t="s">
        <v>12054</v>
      </c>
      <c r="D2508" s="1">
        <v>2.5482931E7</v>
      </c>
      <c r="E2508" s="1" t="s">
        <v>408</v>
      </c>
      <c r="F2508" s="1" t="s">
        <v>4977</v>
      </c>
      <c r="G2508" s="1" t="s">
        <v>12055</v>
      </c>
      <c r="H2508" s="1" t="s">
        <v>12056</v>
      </c>
      <c r="I2508" s="1">
        <v>9693.0</v>
      </c>
      <c r="J2508" s="1" t="s">
        <v>12057</v>
      </c>
      <c r="K2508" s="1" t="s">
        <v>12058</v>
      </c>
      <c r="L2508" s="1">
        <v>33.0</v>
      </c>
      <c r="M2508" s="1" t="s">
        <v>35</v>
      </c>
      <c r="N2508" s="1" t="s">
        <v>36</v>
      </c>
      <c r="O2508" s="1" t="s">
        <v>628</v>
      </c>
      <c r="P2508" s="1">
        <v>1.4E7</v>
      </c>
      <c r="Q2508" s="1">
        <v>2002.0</v>
      </c>
      <c r="R2508" s="1">
        <v>706.0</v>
      </c>
      <c r="S2508" s="1">
        <v>266.0</v>
      </c>
      <c r="T2508" s="1">
        <v>111.0</v>
      </c>
      <c r="U2508" s="1">
        <v>1421.0</v>
      </c>
      <c r="V2508" s="1">
        <v>10.0</v>
      </c>
      <c r="W2508" s="1">
        <v>530.0</v>
      </c>
      <c r="X2508" s="1">
        <v>2.0</v>
      </c>
      <c r="Y2508" s="1">
        <v>2.35</v>
      </c>
      <c r="Z2508" s="1">
        <v>5.7</v>
      </c>
    </row>
    <row r="2509" ht="14.25" customHeight="1">
      <c r="A2509" s="1" t="s">
        <v>26</v>
      </c>
      <c r="B2509" s="1" t="s">
        <v>5922</v>
      </c>
      <c r="C2509" s="1" t="s">
        <v>12059</v>
      </c>
      <c r="D2509" s="1">
        <v>1.99E7</v>
      </c>
      <c r="E2509" s="1" t="s">
        <v>8949</v>
      </c>
      <c r="F2509" s="1" t="s">
        <v>3683</v>
      </c>
      <c r="G2509" s="1" t="s">
        <v>10543</v>
      </c>
      <c r="H2509" s="1" t="s">
        <v>12060</v>
      </c>
      <c r="I2509" s="1">
        <v>17262.0</v>
      </c>
      <c r="J2509" s="1" t="s">
        <v>12061</v>
      </c>
      <c r="K2509" s="1" t="s">
        <v>12062</v>
      </c>
      <c r="L2509" s="1">
        <v>53.0</v>
      </c>
      <c r="M2509" s="1" t="s">
        <v>35</v>
      </c>
      <c r="N2509" s="1" t="s">
        <v>36</v>
      </c>
      <c r="O2509" s="1" t="s">
        <v>628</v>
      </c>
      <c r="P2509" s="1">
        <v>2.0E7</v>
      </c>
      <c r="Q2509" s="1">
        <v>1995.0</v>
      </c>
      <c r="R2509" s="1">
        <v>723.0</v>
      </c>
      <c r="S2509" s="1">
        <v>422.0</v>
      </c>
      <c r="T2509" s="1">
        <v>364.0</v>
      </c>
      <c r="U2509" s="1">
        <v>2348.0</v>
      </c>
      <c r="V2509" s="1">
        <v>0.0</v>
      </c>
      <c r="W2509" s="1">
        <v>1000.0</v>
      </c>
      <c r="X2509" s="1">
        <v>1.0</v>
      </c>
      <c r="Y2509" s="1">
        <v>1.85</v>
      </c>
      <c r="Z2509" s="1">
        <v>4.5</v>
      </c>
    </row>
    <row r="2510" ht="14.25" customHeight="1">
      <c r="A2510" s="1" t="s">
        <v>26</v>
      </c>
      <c r="B2510" s="1" t="s">
        <v>10846</v>
      </c>
      <c r="C2510" s="1" t="s">
        <v>12063</v>
      </c>
      <c r="D2510" s="1">
        <v>1.6298046E7</v>
      </c>
      <c r="E2510" s="1" t="s">
        <v>2882</v>
      </c>
      <c r="F2510" s="1" t="s">
        <v>7044</v>
      </c>
      <c r="G2510" s="1" t="s">
        <v>1062</v>
      </c>
      <c r="H2510" s="1" t="s">
        <v>9631</v>
      </c>
      <c r="I2510" s="1">
        <v>22207.0</v>
      </c>
      <c r="J2510" s="1" t="s">
        <v>12064</v>
      </c>
      <c r="K2510" s="1" t="s">
        <v>12065</v>
      </c>
      <c r="L2510" s="1">
        <v>747.0</v>
      </c>
      <c r="M2510" s="1" t="s">
        <v>35</v>
      </c>
      <c r="N2510" s="1" t="s">
        <v>54</v>
      </c>
      <c r="O2510" s="1" t="s">
        <v>37</v>
      </c>
      <c r="P2510" s="1">
        <v>1.4E7</v>
      </c>
      <c r="Q2510" s="1">
        <v>2005.0</v>
      </c>
      <c r="R2510" s="1">
        <v>874.0</v>
      </c>
      <c r="S2510" s="1">
        <v>613.0</v>
      </c>
      <c r="T2510" s="1">
        <v>50.0</v>
      </c>
      <c r="U2510" s="1">
        <v>1608.0</v>
      </c>
      <c r="V2510" s="1">
        <v>31.0</v>
      </c>
      <c r="W2510" s="1">
        <v>0.0</v>
      </c>
      <c r="X2510" s="1">
        <v>0.0</v>
      </c>
      <c r="Y2510" s="1">
        <v>2.35</v>
      </c>
      <c r="Z2510" s="1">
        <v>5.0</v>
      </c>
    </row>
    <row r="2511" ht="14.25" customHeight="1">
      <c r="A2511" s="1" t="s">
        <v>26</v>
      </c>
      <c r="B2511" s="1" t="s">
        <v>5342</v>
      </c>
      <c r="C2511" s="1" t="s">
        <v>12066</v>
      </c>
      <c r="D2511" s="1">
        <v>1.5549702E7</v>
      </c>
      <c r="E2511" s="1" t="s">
        <v>1598</v>
      </c>
      <c r="F2511" s="1" t="s">
        <v>2505</v>
      </c>
      <c r="G2511" s="1" t="s">
        <v>265</v>
      </c>
      <c r="H2511" s="1" t="s">
        <v>1278</v>
      </c>
      <c r="I2511" s="1">
        <v>24038.0</v>
      </c>
      <c r="J2511" s="1" t="s">
        <v>12067</v>
      </c>
      <c r="K2511" s="1" t="s">
        <v>12068</v>
      </c>
      <c r="L2511" s="1">
        <v>123.0</v>
      </c>
      <c r="M2511" s="1" t="s">
        <v>35</v>
      </c>
      <c r="N2511" s="1" t="s">
        <v>36</v>
      </c>
      <c r="O2511" s="1" t="s">
        <v>37</v>
      </c>
      <c r="P2511" s="1">
        <v>1.4E7</v>
      </c>
      <c r="Q2511" s="1">
        <v>2003.0</v>
      </c>
      <c r="R2511" s="1">
        <v>869.0</v>
      </c>
      <c r="S2511" s="1">
        <v>779.0</v>
      </c>
      <c r="T2511" s="1">
        <v>636.0</v>
      </c>
      <c r="U2511" s="1">
        <v>3007.0</v>
      </c>
      <c r="V2511" s="1">
        <v>119.0</v>
      </c>
      <c r="W2511" s="1">
        <v>411.0</v>
      </c>
      <c r="X2511" s="1">
        <v>2.0</v>
      </c>
      <c r="Y2511" s="1">
        <v>1.85</v>
      </c>
      <c r="Z2511" s="1">
        <v>4.6</v>
      </c>
    </row>
    <row r="2512" ht="14.25" customHeight="1">
      <c r="A2512" s="1" t="s">
        <v>26</v>
      </c>
      <c r="B2512" s="1" t="s">
        <v>1338</v>
      </c>
      <c r="C2512" s="1" t="s">
        <v>12069</v>
      </c>
      <c r="D2512" s="1">
        <v>1.548354E7</v>
      </c>
      <c r="E2512" s="1" t="s">
        <v>12070</v>
      </c>
      <c r="F2512" s="1" t="s">
        <v>90</v>
      </c>
      <c r="G2512" s="1" t="s">
        <v>1892</v>
      </c>
      <c r="H2512" s="1" t="s">
        <v>7215</v>
      </c>
      <c r="I2512" s="1">
        <v>56338.0</v>
      </c>
      <c r="J2512" s="1" t="s">
        <v>12071</v>
      </c>
      <c r="K2512" s="1" t="s">
        <v>12072</v>
      </c>
      <c r="L2512" s="1">
        <v>215.0</v>
      </c>
      <c r="M2512" s="1" t="s">
        <v>35</v>
      </c>
      <c r="N2512" s="1" t="s">
        <v>36</v>
      </c>
      <c r="O2512" s="1" t="s">
        <v>628</v>
      </c>
      <c r="P2512" s="1">
        <v>1.4E7</v>
      </c>
      <c r="Q2512" s="1">
        <v>2009.0</v>
      </c>
      <c r="R2512" s="1">
        <v>26000.0</v>
      </c>
      <c r="S2512" s="1">
        <v>14000.0</v>
      </c>
      <c r="T2512" s="1">
        <v>690.0</v>
      </c>
      <c r="U2512" s="1">
        <v>41359.0</v>
      </c>
      <c r="V2512" s="1">
        <v>123.0</v>
      </c>
      <c r="W2512" s="1">
        <v>4000.0</v>
      </c>
      <c r="X2512" s="1">
        <v>4.0</v>
      </c>
      <c r="Y2512" s="1">
        <v>2.35</v>
      </c>
      <c r="Z2512" s="1">
        <v>6.5</v>
      </c>
    </row>
    <row r="2513" ht="14.25" customHeight="1">
      <c r="A2513" s="1" t="s">
        <v>26</v>
      </c>
      <c r="B2513" s="1" t="s">
        <v>12073</v>
      </c>
      <c r="C2513" s="1" t="s">
        <v>12074</v>
      </c>
      <c r="D2513" s="1">
        <v>2.0246959E7</v>
      </c>
      <c r="E2513" s="1" t="s">
        <v>1598</v>
      </c>
      <c r="F2513" s="1" t="s">
        <v>617</v>
      </c>
      <c r="G2513" s="1" t="s">
        <v>12075</v>
      </c>
      <c r="H2513" s="1" t="s">
        <v>4743</v>
      </c>
      <c r="I2513" s="1">
        <v>5721.0</v>
      </c>
      <c r="J2513" s="1" t="s">
        <v>12076</v>
      </c>
      <c r="K2513" s="1" t="s">
        <v>12077</v>
      </c>
      <c r="L2513" s="1">
        <v>20.0</v>
      </c>
      <c r="M2513" s="1" t="s">
        <v>35</v>
      </c>
      <c r="N2513" s="1" t="s">
        <v>36</v>
      </c>
      <c r="O2513" s="1" t="s">
        <v>37</v>
      </c>
      <c r="P2513" s="1">
        <v>1.4E7</v>
      </c>
      <c r="Q2513" s="1">
        <v>2010.0</v>
      </c>
      <c r="R2513" s="1">
        <v>953.0</v>
      </c>
      <c r="S2513" s="1">
        <v>849.0</v>
      </c>
      <c r="T2513" s="1">
        <v>625.0</v>
      </c>
      <c r="U2513" s="1">
        <v>3299.0</v>
      </c>
      <c r="V2513" s="1">
        <v>44.0</v>
      </c>
      <c r="W2513" s="1">
        <v>1000.0</v>
      </c>
      <c r="X2513" s="1">
        <v>2.0</v>
      </c>
      <c r="Y2513" s="1">
        <v>2.35</v>
      </c>
      <c r="Z2513" s="1">
        <v>4.9</v>
      </c>
    </row>
    <row r="2514" ht="14.25" customHeight="1">
      <c r="A2514" s="1" t="s">
        <v>26</v>
      </c>
      <c r="B2514" s="1" t="s">
        <v>12078</v>
      </c>
      <c r="C2514" s="1" t="s">
        <v>12079</v>
      </c>
      <c r="D2514" s="1">
        <v>1.5062898E7</v>
      </c>
      <c r="E2514" s="1" t="s">
        <v>1885</v>
      </c>
      <c r="F2514" s="1" t="s">
        <v>4347</v>
      </c>
      <c r="G2514" s="1" t="s">
        <v>2379</v>
      </c>
      <c r="H2514" s="1" t="s">
        <v>12080</v>
      </c>
      <c r="I2514" s="1">
        <v>11729.0</v>
      </c>
      <c r="J2514" s="1" t="s">
        <v>12081</v>
      </c>
      <c r="K2514" s="1" t="s">
        <v>12082</v>
      </c>
      <c r="L2514" s="1">
        <v>106.0</v>
      </c>
      <c r="M2514" s="1" t="s">
        <v>35</v>
      </c>
      <c r="N2514" s="1" t="s">
        <v>36</v>
      </c>
      <c r="O2514" s="1" t="s">
        <v>628</v>
      </c>
      <c r="P2514" s="1">
        <v>1.4E7</v>
      </c>
      <c r="Q2514" s="1">
        <v>1998.0</v>
      </c>
      <c r="R2514" s="1">
        <v>3000.0</v>
      </c>
      <c r="S2514" s="1">
        <v>2000.0</v>
      </c>
      <c r="T2514" s="1">
        <v>654.0</v>
      </c>
      <c r="U2514" s="1">
        <v>6861.0</v>
      </c>
      <c r="V2514" s="1">
        <v>0.0</v>
      </c>
      <c r="W2514" s="1">
        <v>645.0</v>
      </c>
      <c r="X2514" s="1">
        <v>0.0</v>
      </c>
      <c r="Y2514" s="1">
        <v>1.85</v>
      </c>
      <c r="Z2514" s="1">
        <v>6.0</v>
      </c>
    </row>
    <row r="2515" ht="14.25" customHeight="1">
      <c r="A2515" s="1" t="s">
        <v>26</v>
      </c>
      <c r="B2515" s="1" t="s">
        <v>12083</v>
      </c>
      <c r="C2515" s="1" t="s">
        <v>12084</v>
      </c>
      <c r="D2515" s="1">
        <v>1.4348123E7</v>
      </c>
      <c r="E2515" s="1" t="s">
        <v>12085</v>
      </c>
      <c r="F2515" s="1" t="s">
        <v>3519</v>
      </c>
      <c r="G2515" s="1" t="s">
        <v>1964</v>
      </c>
      <c r="H2515" s="1" t="s">
        <v>12086</v>
      </c>
      <c r="I2515" s="1">
        <v>9323.0</v>
      </c>
      <c r="J2515" s="1" t="s">
        <v>12087</v>
      </c>
      <c r="K2515" s="1" t="s">
        <v>12088</v>
      </c>
      <c r="L2515" s="1">
        <v>157.0</v>
      </c>
      <c r="M2515" s="1" t="s">
        <v>35</v>
      </c>
      <c r="N2515" s="1" t="s">
        <v>8105</v>
      </c>
      <c r="O2515" s="1" t="s">
        <v>87</v>
      </c>
      <c r="P2515" s="1">
        <v>1.2E7</v>
      </c>
      <c r="Q2515" s="1">
        <v>1999.0</v>
      </c>
      <c r="R2515" s="1">
        <v>718.0</v>
      </c>
      <c r="S2515" s="1">
        <v>330.0</v>
      </c>
      <c r="T2515" s="1">
        <v>55.0</v>
      </c>
      <c r="U2515" s="1">
        <v>1148.0</v>
      </c>
      <c r="V2515" s="1">
        <v>160.0</v>
      </c>
      <c r="W2515" s="1">
        <v>970.0</v>
      </c>
      <c r="X2515" s="1">
        <v>6.0</v>
      </c>
      <c r="Y2515" s="1">
        <v>1.85</v>
      </c>
      <c r="Z2515" s="1">
        <v>6.9</v>
      </c>
    </row>
    <row r="2516" ht="14.25" customHeight="1">
      <c r="A2516" s="1" t="s">
        <v>26</v>
      </c>
      <c r="B2516" s="1" t="s">
        <v>12089</v>
      </c>
      <c r="C2516" s="1" t="s">
        <v>12090</v>
      </c>
      <c r="D2516" s="1">
        <v>1.5171475E7</v>
      </c>
      <c r="E2516" s="1" t="s">
        <v>6959</v>
      </c>
      <c r="F2516" s="1" t="s">
        <v>301</v>
      </c>
      <c r="G2516" s="1" t="s">
        <v>12091</v>
      </c>
      <c r="H2516" s="1" t="s">
        <v>5425</v>
      </c>
      <c r="I2516" s="1">
        <v>19805.0</v>
      </c>
      <c r="J2516" s="1" t="s">
        <v>12092</v>
      </c>
      <c r="K2516" s="1" t="s">
        <v>12093</v>
      </c>
      <c r="L2516" s="1">
        <v>122.0</v>
      </c>
      <c r="M2516" s="1" t="s">
        <v>35</v>
      </c>
      <c r="N2516" s="1" t="s">
        <v>36</v>
      </c>
      <c r="O2516" s="1" t="s">
        <v>628</v>
      </c>
      <c r="P2516" s="1">
        <v>8500000.0</v>
      </c>
      <c r="Q2516" s="1">
        <v>1996.0</v>
      </c>
      <c r="R2516" s="1">
        <v>1000.0</v>
      </c>
      <c r="S2516" s="1">
        <v>855.0</v>
      </c>
      <c r="T2516" s="1">
        <v>514.0</v>
      </c>
      <c r="U2516" s="1">
        <v>2777.0</v>
      </c>
      <c r="V2516" s="1">
        <v>85.0</v>
      </c>
      <c r="W2516" s="1">
        <v>0.0</v>
      </c>
      <c r="X2516" s="1">
        <v>0.0</v>
      </c>
      <c r="Y2516" s="1">
        <v>1.85</v>
      </c>
      <c r="Z2516" s="1">
        <v>5.7</v>
      </c>
    </row>
    <row r="2517" ht="14.25" customHeight="1">
      <c r="A2517" s="1" t="s">
        <v>26</v>
      </c>
      <c r="B2517" s="1" t="s">
        <v>4801</v>
      </c>
      <c r="C2517" s="1" t="s">
        <v>12094</v>
      </c>
      <c r="D2517" s="1">
        <v>1.364E7</v>
      </c>
      <c r="E2517" s="1" t="s">
        <v>2422</v>
      </c>
      <c r="F2517" s="1" t="s">
        <v>1186</v>
      </c>
      <c r="G2517" s="1" t="s">
        <v>457</v>
      </c>
      <c r="H2517" s="1" t="s">
        <v>10014</v>
      </c>
      <c r="I2517" s="1">
        <v>6011.0</v>
      </c>
      <c r="J2517" s="1" t="s">
        <v>12095</v>
      </c>
      <c r="K2517" s="1" t="s">
        <v>12096</v>
      </c>
      <c r="L2517" s="1">
        <v>39.0</v>
      </c>
      <c r="M2517" s="1" t="s">
        <v>35</v>
      </c>
      <c r="N2517" s="1" t="s">
        <v>36</v>
      </c>
      <c r="O2517" s="1" t="s">
        <v>37</v>
      </c>
      <c r="P2517" s="1">
        <v>1.4E7</v>
      </c>
      <c r="Q2517" s="1">
        <v>1994.0</v>
      </c>
      <c r="R2517" s="1">
        <v>1000.0</v>
      </c>
      <c r="S2517" s="1">
        <v>848.0</v>
      </c>
      <c r="T2517" s="1">
        <v>534.0</v>
      </c>
      <c r="U2517" s="1">
        <v>3267.0</v>
      </c>
      <c r="V2517" s="1">
        <v>0.0</v>
      </c>
      <c r="W2517" s="1">
        <v>905.0</v>
      </c>
      <c r="X2517" s="1">
        <v>0.0</v>
      </c>
      <c r="Y2517" s="1">
        <v>1.85</v>
      </c>
      <c r="Z2517" s="1">
        <v>6.9</v>
      </c>
    </row>
    <row r="2518" ht="14.25" customHeight="1">
      <c r="A2518" s="1" t="s">
        <v>26</v>
      </c>
      <c r="B2518" s="1" t="s">
        <v>12097</v>
      </c>
      <c r="C2518" s="1" t="s">
        <v>12098</v>
      </c>
      <c r="D2518" s="1">
        <v>1.2610731E7</v>
      </c>
      <c r="E2518" s="1" t="s">
        <v>2123</v>
      </c>
      <c r="F2518" s="1" t="s">
        <v>1079</v>
      </c>
      <c r="G2518" s="1" t="s">
        <v>12099</v>
      </c>
      <c r="H2518" s="1" t="s">
        <v>12100</v>
      </c>
      <c r="I2518" s="1">
        <v>38985.0</v>
      </c>
      <c r="J2518" s="1" t="s">
        <v>12101</v>
      </c>
      <c r="K2518" s="1" t="s">
        <v>12102</v>
      </c>
      <c r="L2518" s="1">
        <v>673.0</v>
      </c>
      <c r="M2518" s="1" t="s">
        <v>35</v>
      </c>
      <c r="N2518" s="1" t="s">
        <v>36</v>
      </c>
      <c r="O2518" s="1" t="s">
        <v>628</v>
      </c>
      <c r="P2518" s="1">
        <v>1.1E7</v>
      </c>
      <c r="Q2518" s="1">
        <v>2001.0</v>
      </c>
      <c r="R2518" s="1">
        <v>1000.0</v>
      </c>
      <c r="S2518" s="1">
        <v>935.0</v>
      </c>
      <c r="T2518" s="1">
        <v>489.0</v>
      </c>
      <c r="U2518" s="1">
        <v>3050.0</v>
      </c>
      <c r="V2518" s="1">
        <v>52.0</v>
      </c>
      <c r="W2518" s="1">
        <v>0.0</v>
      </c>
      <c r="X2518" s="1">
        <v>1.0</v>
      </c>
      <c r="Y2518" s="1">
        <v>1.85</v>
      </c>
      <c r="Z2518" s="1">
        <v>4.4</v>
      </c>
    </row>
    <row r="2519" ht="14.25" customHeight="1">
      <c r="A2519" s="1" t="s">
        <v>26</v>
      </c>
      <c r="B2519" s="1" t="s">
        <v>772</v>
      </c>
      <c r="C2519" s="1" t="s">
        <v>11504</v>
      </c>
      <c r="D2519" s="1">
        <v>4.7811275E7</v>
      </c>
      <c r="E2519" s="1" t="s">
        <v>2267</v>
      </c>
      <c r="F2519" s="1" t="s">
        <v>8625</v>
      </c>
      <c r="G2519" s="1" t="s">
        <v>8395</v>
      </c>
      <c r="H2519" s="1" t="s">
        <v>11505</v>
      </c>
      <c r="I2519" s="1">
        <v>29008.0</v>
      </c>
      <c r="J2519" s="1" t="s">
        <v>11506</v>
      </c>
      <c r="K2519" s="1" t="s">
        <v>11507</v>
      </c>
      <c r="L2519" s="1">
        <v>99.0</v>
      </c>
      <c r="M2519" s="1" t="s">
        <v>35</v>
      </c>
      <c r="N2519" s="1" t="s">
        <v>36</v>
      </c>
      <c r="O2519" s="1" t="s">
        <v>87</v>
      </c>
      <c r="P2519" s="1">
        <v>1.5E7</v>
      </c>
      <c r="Q2519" s="1">
        <v>2002.0</v>
      </c>
      <c r="R2519" s="1">
        <v>934.0</v>
      </c>
      <c r="S2519" s="1">
        <v>927.0</v>
      </c>
      <c r="T2519" s="1">
        <v>799.0</v>
      </c>
      <c r="U2519" s="1">
        <v>3707.0</v>
      </c>
      <c r="V2519" s="1">
        <v>189.0</v>
      </c>
      <c r="W2519" s="1">
        <v>896.0</v>
      </c>
      <c r="X2519" s="1">
        <v>1.0</v>
      </c>
      <c r="Y2519" s="1">
        <v>1.85</v>
      </c>
      <c r="Z2519" s="1">
        <v>5.4</v>
      </c>
    </row>
    <row r="2520" ht="14.25" customHeight="1">
      <c r="A2520" s="1" t="s">
        <v>26</v>
      </c>
      <c r="B2520" s="1" t="s">
        <v>12103</v>
      </c>
      <c r="C2520" s="1" t="s">
        <v>12104</v>
      </c>
      <c r="D2520" s="1">
        <v>1.1204499E7</v>
      </c>
      <c r="E2520" s="1" t="s">
        <v>6130</v>
      </c>
      <c r="F2520" s="1" t="s">
        <v>726</v>
      </c>
      <c r="G2520" s="1" t="s">
        <v>6035</v>
      </c>
      <c r="H2520" s="1" t="s">
        <v>3082</v>
      </c>
      <c r="I2520" s="1">
        <v>38142.0</v>
      </c>
      <c r="J2520" s="1" t="s">
        <v>12105</v>
      </c>
      <c r="K2520" s="1" t="s">
        <v>12106</v>
      </c>
      <c r="L2520" s="1">
        <v>270.0</v>
      </c>
      <c r="M2520" s="1" t="s">
        <v>35</v>
      </c>
      <c r="N2520" s="1" t="s">
        <v>36</v>
      </c>
      <c r="O2520" s="1" t="s">
        <v>628</v>
      </c>
      <c r="P2520" s="1">
        <v>1.4E7</v>
      </c>
      <c r="Q2520" s="1">
        <v>2006.0</v>
      </c>
      <c r="R2520" s="1">
        <v>12000.0</v>
      </c>
      <c r="S2520" s="1">
        <v>593.0</v>
      </c>
      <c r="T2520" s="1">
        <v>383.0</v>
      </c>
      <c r="U2520" s="1">
        <v>13528.0</v>
      </c>
      <c r="V2520" s="1">
        <v>0.0</v>
      </c>
      <c r="W2520" s="1">
        <v>0.0</v>
      </c>
      <c r="X2520" s="1">
        <v>0.0</v>
      </c>
      <c r="Y2520" s="1">
        <v>2.35</v>
      </c>
      <c r="Z2520" s="1">
        <v>7.0</v>
      </c>
    </row>
    <row r="2521" ht="14.25" customHeight="1">
      <c r="A2521" s="1" t="s">
        <v>26</v>
      </c>
      <c r="B2521" s="1" t="s">
        <v>1961</v>
      </c>
      <c r="C2521" s="1" t="s">
        <v>12107</v>
      </c>
      <c r="D2521" s="1">
        <v>1.0397365E7</v>
      </c>
      <c r="E2521" s="1" t="s">
        <v>12108</v>
      </c>
      <c r="F2521" s="1" t="s">
        <v>2519</v>
      </c>
      <c r="G2521" s="1" t="s">
        <v>1625</v>
      </c>
      <c r="H2521" s="1" t="s">
        <v>12109</v>
      </c>
      <c r="I2521" s="1">
        <v>11693.0</v>
      </c>
      <c r="J2521" s="1" t="s">
        <v>12110</v>
      </c>
      <c r="K2521" s="1" t="s">
        <v>12111</v>
      </c>
      <c r="L2521" s="1">
        <v>104.0</v>
      </c>
      <c r="M2521" s="1" t="s">
        <v>35</v>
      </c>
      <c r="N2521" s="1" t="s">
        <v>36</v>
      </c>
      <c r="O2521" s="1" t="s">
        <v>37</v>
      </c>
      <c r="P2521" s="1">
        <v>1.4E7</v>
      </c>
      <c r="Q2521" s="1">
        <v>2001.0</v>
      </c>
      <c r="R2521" s="1">
        <v>878.0</v>
      </c>
      <c r="S2521" s="1">
        <v>834.0</v>
      </c>
      <c r="T2521" s="1">
        <v>169.0</v>
      </c>
      <c r="U2521" s="1">
        <v>2165.0</v>
      </c>
      <c r="V2521" s="1">
        <v>70.0</v>
      </c>
      <c r="W2521" s="1">
        <v>613.0</v>
      </c>
      <c r="X2521" s="1">
        <v>5.0</v>
      </c>
      <c r="Y2521" s="1">
        <v>2.35</v>
      </c>
      <c r="Z2521" s="1">
        <v>5.4</v>
      </c>
    </row>
    <row r="2522" ht="14.25" customHeight="1">
      <c r="A2522" s="1" t="s">
        <v>26</v>
      </c>
      <c r="B2522" s="1" t="s">
        <v>12112</v>
      </c>
      <c r="C2522" s="1" t="s">
        <v>12113</v>
      </c>
      <c r="D2522" s="1">
        <v>9402410.0</v>
      </c>
      <c r="E2522" s="1" t="s">
        <v>4008</v>
      </c>
      <c r="F2522" s="1" t="s">
        <v>4432</v>
      </c>
      <c r="G2522" s="1" t="s">
        <v>11473</v>
      </c>
      <c r="H2522" s="1" t="s">
        <v>12114</v>
      </c>
      <c r="I2522" s="1">
        <v>11233.0</v>
      </c>
      <c r="J2522" s="1" t="s">
        <v>12115</v>
      </c>
      <c r="K2522" s="1" t="s">
        <v>12116</v>
      </c>
      <c r="L2522" s="1">
        <v>32.0</v>
      </c>
      <c r="M2522" s="1" t="s">
        <v>35</v>
      </c>
      <c r="N2522" s="1" t="s">
        <v>36</v>
      </c>
      <c r="O2522" s="1" t="s">
        <v>37</v>
      </c>
      <c r="P2522" s="1">
        <v>1.4E7</v>
      </c>
      <c r="Q2522" s="1">
        <v>2012.0</v>
      </c>
      <c r="R2522" s="1">
        <v>962.0</v>
      </c>
      <c r="S2522" s="1">
        <v>925.0</v>
      </c>
      <c r="T2522" s="1">
        <v>635.0</v>
      </c>
      <c r="U2522" s="1">
        <v>3715.0</v>
      </c>
      <c r="V2522" s="1">
        <v>90.0</v>
      </c>
      <c r="W2522" s="1">
        <v>0.0</v>
      </c>
      <c r="X2522" s="1">
        <v>1.0</v>
      </c>
      <c r="Y2522" s="1">
        <v>2.35</v>
      </c>
      <c r="Z2522" s="1">
        <v>5.4</v>
      </c>
    </row>
    <row r="2523" ht="14.25" customHeight="1">
      <c r="A2523" s="1" t="s">
        <v>26</v>
      </c>
      <c r="B2523" s="1" t="s">
        <v>12117</v>
      </c>
      <c r="C2523" s="1" t="s">
        <v>12118</v>
      </c>
      <c r="D2523" s="1">
        <v>5459824.0</v>
      </c>
      <c r="E2523" s="1" t="s">
        <v>206</v>
      </c>
      <c r="F2523" s="1" t="s">
        <v>208</v>
      </c>
      <c r="G2523" s="1" t="s">
        <v>1404</v>
      </c>
      <c r="H2523" s="1" t="s">
        <v>12119</v>
      </c>
      <c r="I2523" s="1">
        <v>92781.0</v>
      </c>
      <c r="J2523" s="1" t="s">
        <v>12120</v>
      </c>
      <c r="K2523" s="1" t="s">
        <v>12121</v>
      </c>
      <c r="L2523" s="1">
        <v>320.0</v>
      </c>
      <c r="M2523" s="1" t="s">
        <v>35</v>
      </c>
      <c r="N2523" s="1" t="s">
        <v>36</v>
      </c>
      <c r="O2523" s="1" t="s">
        <v>628</v>
      </c>
      <c r="P2523" s="1">
        <v>2.6E7</v>
      </c>
      <c r="Q2523" s="1">
        <v>2006.0</v>
      </c>
      <c r="R2523" s="1">
        <v>14000.0</v>
      </c>
      <c r="S2523" s="1">
        <v>617.0</v>
      </c>
      <c r="T2523" s="1">
        <v>280.0</v>
      </c>
      <c r="U2523" s="1">
        <v>15337.0</v>
      </c>
      <c r="V2523" s="1">
        <v>143.0</v>
      </c>
      <c r="W2523" s="1">
        <v>5000.0</v>
      </c>
      <c r="X2523" s="1">
        <v>0.0</v>
      </c>
      <c r="Y2523" s="1">
        <v>2.35</v>
      </c>
      <c r="Z2523" s="1">
        <v>7.6</v>
      </c>
    </row>
    <row r="2524" ht="14.25" customHeight="1">
      <c r="A2524" s="1" t="s">
        <v>26</v>
      </c>
      <c r="B2524" s="1" t="s">
        <v>12122</v>
      </c>
      <c r="C2524" s="1" t="s">
        <v>12123</v>
      </c>
      <c r="D2524" s="1">
        <v>5108820.0</v>
      </c>
      <c r="E2524" s="1" t="s">
        <v>1842</v>
      </c>
      <c r="F2524" s="1" t="s">
        <v>4566</v>
      </c>
      <c r="G2524" s="1" t="s">
        <v>12124</v>
      </c>
      <c r="H2524" s="1" t="s">
        <v>12125</v>
      </c>
      <c r="I2524" s="1">
        <v>12519.0</v>
      </c>
      <c r="J2524" s="1" t="s">
        <v>12126</v>
      </c>
      <c r="K2524" s="1" t="s">
        <v>12127</v>
      </c>
      <c r="L2524" s="1">
        <v>112.0</v>
      </c>
      <c r="M2524" s="1" t="s">
        <v>35</v>
      </c>
      <c r="N2524" s="1" t="s">
        <v>36</v>
      </c>
      <c r="O2524" s="1" t="s">
        <v>628</v>
      </c>
      <c r="P2524" s="1">
        <v>2.4E7</v>
      </c>
      <c r="Q2524" s="1">
        <v>2000.0</v>
      </c>
      <c r="R2524" s="1">
        <v>12000.0</v>
      </c>
      <c r="S2524" s="1">
        <v>215.0</v>
      </c>
      <c r="T2524" s="1">
        <v>191.0</v>
      </c>
      <c r="U2524" s="1">
        <v>12776.0</v>
      </c>
      <c r="V2524" s="1">
        <v>49.0</v>
      </c>
      <c r="W2524" s="1">
        <v>853.0</v>
      </c>
      <c r="X2524" s="1">
        <v>5.0</v>
      </c>
      <c r="Y2524" s="1">
        <v>2.35</v>
      </c>
      <c r="Z2524" s="1">
        <v>5.9</v>
      </c>
    </row>
    <row r="2525" ht="14.25" customHeight="1">
      <c r="A2525" s="1" t="s">
        <v>26</v>
      </c>
      <c r="B2525" s="1" t="s">
        <v>981</v>
      </c>
      <c r="C2525" s="1" t="s">
        <v>12128</v>
      </c>
      <c r="D2525" s="1">
        <v>4741987.0</v>
      </c>
      <c r="E2525" s="1" t="s">
        <v>3238</v>
      </c>
      <c r="F2525" s="1" t="s">
        <v>2682</v>
      </c>
      <c r="G2525" s="1" t="s">
        <v>2393</v>
      </c>
      <c r="H2525" s="1" t="s">
        <v>12129</v>
      </c>
      <c r="I2525" s="1">
        <v>6782.0</v>
      </c>
      <c r="J2525" s="1" t="s">
        <v>12130</v>
      </c>
      <c r="K2525" s="1" t="s">
        <v>12131</v>
      </c>
      <c r="L2525" s="1">
        <v>114.0</v>
      </c>
      <c r="M2525" s="1" t="s">
        <v>35</v>
      </c>
      <c r="N2525" s="1" t="s">
        <v>36</v>
      </c>
      <c r="O2525" s="1" t="s">
        <v>628</v>
      </c>
      <c r="P2525" s="1">
        <v>1.4E7</v>
      </c>
      <c r="Q2525" s="1">
        <v>1999.0</v>
      </c>
      <c r="R2525" s="1">
        <v>10000.0</v>
      </c>
      <c r="S2525" s="1">
        <v>233.0</v>
      </c>
      <c r="T2525" s="1">
        <v>113.0</v>
      </c>
      <c r="U2525" s="1">
        <v>10368.0</v>
      </c>
      <c r="V2525" s="1">
        <v>956.0</v>
      </c>
      <c r="W2525" s="1">
        <v>860.0</v>
      </c>
      <c r="X2525" s="1">
        <v>1.0</v>
      </c>
      <c r="Y2525" s="1">
        <v>1.85</v>
      </c>
      <c r="Z2525" s="1">
        <v>6.6</v>
      </c>
    </row>
    <row r="2526" ht="14.25" customHeight="1">
      <c r="A2526" s="1" t="s">
        <v>26</v>
      </c>
      <c r="B2526" s="1" t="s">
        <v>1153</v>
      </c>
      <c r="C2526" s="1" t="s">
        <v>12132</v>
      </c>
      <c r="D2526" s="1">
        <v>4291965.0</v>
      </c>
      <c r="E2526" s="1" t="s">
        <v>5578</v>
      </c>
      <c r="F2526" s="1" t="s">
        <v>8669</v>
      </c>
      <c r="G2526" s="1" t="s">
        <v>7303</v>
      </c>
      <c r="H2526" s="1" t="s">
        <v>12133</v>
      </c>
      <c r="I2526" s="1">
        <v>9334.0</v>
      </c>
      <c r="J2526" s="1" t="s">
        <v>12134</v>
      </c>
      <c r="K2526" s="1" t="s">
        <v>12135</v>
      </c>
      <c r="L2526" s="1">
        <v>59.0</v>
      </c>
      <c r="M2526" s="1" t="s">
        <v>35</v>
      </c>
      <c r="N2526" s="1" t="s">
        <v>1832</v>
      </c>
      <c r="O2526" s="1" t="s">
        <v>37</v>
      </c>
      <c r="P2526" s="1">
        <v>1.4E7</v>
      </c>
      <c r="Q2526" s="1">
        <v>2006.0</v>
      </c>
      <c r="R2526" s="1">
        <v>543.0</v>
      </c>
      <c r="S2526" s="1">
        <v>113.0</v>
      </c>
      <c r="T2526" s="1">
        <v>15.0</v>
      </c>
      <c r="U2526" s="1">
        <v>678.0</v>
      </c>
      <c r="V2526" s="1">
        <v>176.0</v>
      </c>
      <c r="W2526" s="1">
        <v>447.0</v>
      </c>
      <c r="X2526" s="1">
        <v>3.0</v>
      </c>
      <c r="Y2526" s="1">
        <v>2.35</v>
      </c>
      <c r="Z2526" s="1">
        <v>6.7</v>
      </c>
    </row>
    <row r="2527" ht="14.25" customHeight="1">
      <c r="A2527" s="1" t="s">
        <v>26</v>
      </c>
      <c r="B2527" s="1" t="s">
        <v>12136</v>
      </c>
      <c r="C2527" s="1" t="s">
        <v>12137</v>
      </c>
      <c r="D2527" s="1">
        <v>3100650.0</v>
      </c>
      <c r="E2527" s="1" t="s">
        <v>5758</v>
      </c>
      <c r="F2527" s="1" t="s">
        <v>12138</v>
      </c>
      <c r="G2527" s="1" t="s">
        <v>12139</v>
      </c>
      <c r="H2527" s="1" t="s">
        <v>12140</v>
      </c>
      <c r="I2527" s="1">
        <v>7277.0</v>
      </c>
      <c r="J2527" s="1" t="s">
        <v>12141</v>
      </c>
      <c r="K2527" s="1" t="s">
        <v>12142</v>
      </c>
      <c r="L2527" s="1">
        <v>181.0</v>
      </c>
      <c r="M2527" s="1" t="s">
        <v>35</v>
      </c>
      <c r="N2527" s="1" t="s">
        <v>36</v>
      </c>
      <c r="O2527" s="1" t="s">
        <v>37</v>
      </c>
      <c r="P2527" s="1">
        <v>1.4E7</v>
      </c>
      <c r="Q2527" s="1">
        <v>2001.0</v>
      </c>
      <c r="R2527" s="1">
        <v>159.0</v>
      </c>
      <c r="S2527" s="1">
        <v>102.0</v>
      </c>
      <c r="T2527" s="1">
        <v>102.0</v>
      </c>
      <c r="U2527" s="1">
        <v>417.0</v>
      </c>
      <c r="V2527" s="1">
        <v>12.0</v>
      </c>
      <c r="W2527" s="1">
        <v>231.0</v>
      </c>
      <c r="X2527" s="1">
        <v>4.0</v>
      </c>
      <c r="Y2527" s="1">
        <v>1.85</v>
      </c>
      <c r="Z2527" s="1">
        <v>3.9</v>
      </c>
    </row>
    <row r="2528" ht="14.25" customHeight="1">
      <c r="A2528" s="1" t="s">
        <v>26</v>
      </c>
      <c r="B2528" s="1" t="s">
        <v>11357</v>
      </c>
      <c r="C2528" s="1" t="s">
        <v>12143</v>
      </c>
      <c r="D2528" s="1">
        <v>2474000.0</v>
      </c>
      <c r="E2528" s="1" t="s">
        <v>5738</v>
      </c>
      <c r="F2528" s="1" t="s">
        <v>1761</v>
      </c>
      <c r="G2528" s="1" t="s">
        <v>12144</v>
      </c>
      <c r="H2528" s="1" t="s">
        <v>12145</v>
      </c>
      <c r="I2528" s="1">
        <v>2427.0</v>
      </c>
      <c r="J2528" s="1" t="s">
        <v>12146</v>
      </c>
      <c r="K2528" s="1" t="s">
        <v>12147</v>
      </c>
      <c r="L2528" s="1">
        <v>27.0</v>
      </c>
      <c r="M2528" s="1" t="s">
        <v>35</v>
      </c>
      <c r="N2528" s="1" t="s">
        <v>1832</v>
      </c>
      <c r="O2528" s="1" t="s">
        <v>37</v>
      </c>
      <c r="P2528" s="1">
        <v>1.4E7</v>
      </c>
      <c r="Q2528" s="1">
        <v>1995.0</v>
      </c>
      <c r="R2528" s="1">
        <v>423.0</v>
      </c>
      <c r="S2528" s="1">
        <v>15.0</v>
      </c>
      <c r="T2528" s="1">
        <v>5.0</v>
      </c>
      <c r="U2528" s="1">
        <v>446.0</v>
      </c>
      <c r="V2528" s="1">
        <v>133.0</v>
      </c>
      <c r="W2528" s="1">
        <v>127.0</v>
      </c>
      <c r="X2528" s="1">
        <v>1.0</v>
      </c>
      <c r="Y2528" s="1">
        <v>1.85</v>
      </c>
      <c r="Z2528" s="1">
        <v>5.7</v>
      </c>
    </row>
    <row r="2529" ht="14.25" customHeight="1">
      <c r="A2529" s="1" t="s">
        <v>26</v>
      </c>
      <c r="B2529" s="1" t="s">
        <v>12148</v>
      </c>
      <c r="C2529" s="1" t="s">
        <v>12149</v>
      </c>
      <c r="D2529" s="1">
        <v>1000000.0</v>
      </c>
      <c r="E2529" s="1" t="s">
        <v>1257</v>
      </c>
      <c r="F2529" s="1" t="s">
        <v>193</v>
      </c>
      <c r="G2529" s="1" t="s">
        <v>8957</v>
      </c>
      <c r="H2529" s="1" t="s">
        <v>12150</v>
      </c>
      <c r="I2529" s="1">
        <v>524.0</v>
      </c>
      <c r="J2529" s="1" t="s">
        <v>12151</v>
      </c>
      <c r="K2529" s="1" t="s">
        <v>12152</v>
      </c>
      <c r="L2529" s="1">
        <v>8.0</v>
      </c>
      <c r="M2529" s="1" t="s">
        <v>35</v>
      </c>
      <c r="N2529" s="1" t="s">
        <v>12153</v>
      </c>
      <c r="O2529" s="1" t="s">
        <v>87</v>
      </c>
      <c r="P2529" s="1">
        <v>1.4E7</v>
      </c>
      <c r="Q2529" s="1">
        <v>1978.0</v>
      </c>
      <c r="R2529" s="1">
        <v>16000.0</v>
      </c>
      <c r="S2529" s="1">
        <v>469.0</v>
      </c>
      <c r="T2529" s="1">
        <v>324.0</v>
      </c>
      <c r="U2529" s="1">
        <v>17250.0</v>
      </c>
      <c r="V2529" s="1">
        <v>109.0</v>
      </c>
      <c r="W2529" s="1">
        <v>76.0</v>
      </c>
      <c r="X2529" s="1">
        <v>0.0</v>
      </c>
      <c r="Y2529" s="1">
        <v>2.35</v>
      </c>
      <c r="Z2529" s="1">
        <v>6.5</v>
      </c>
    </row>
    <row r="2530" ht="14.25" customHeight="1">
      <c r="A2530" s="1" t="s">
        <v>26</v>
      </c>
      <c r="B2530" s="1" t="s">
        <v>10383</v>
      </c>
      <c r="C2530" s="1" t="s">
        <v>12154</v>
      </c>
      <c r="D2530" s="1">
        <v>3958500.0</v>
      </c>
      <c r="E2530" s="1" t="s">
        <v>5578</v>
      </c>
      <c r="F2530" s="1" t="s">
        <v>10386</v>
      </c>
      <c r="G2530" s="1" t="s">
        <v>12155</v>
      </c>
      <c r="H2530" s="1" t="s">
        <v>12156</v>
      </c>
      <c r="I2530" s="1">
        <v>17933.0</v>
      </c>
      <c r="J2530" s="1" t="s">
        <v>12157</v>
      </c>
      <c r="K2530" s="1" t="s">
        <v>12158</v>
      </c>
      <c r="L2530" s="1">
        <v>165.0</v>
      </c>
      <c r="M2530" s="1" t="s">
        <v>35</v>
      </c>
      <c r="N2530" s="1" t="s">
        <v>54</v>
      </c>
      <c r="O2530" s="1" t="s">
        <v>628</v>
      </c>
      <c r="P2530" s="1">
        <v>8200000.0</v>
      </c>
      <c r="Q2530" s="1">
        <v>2014.0</v>
      </c>
      <c r="R2530" s="1">
        <v>149.0</v>
      </c>
      <c r="S2530" s="1">
        <v>44.0</v>
      </c>
      <c r="T2530" s="1">
        <v>43.0</v>
      </c>
      <c r="U2530" s="1">
        <v>390.0</v>
      </c>
      <c r="V2530" s="1">
        <v>608.0</v>
      </c>
      <c r="W2530" s="1">
        <v>0.0</v>
      </c>
      <c r="X2530" s="1">
        <v>0.0</v>
      </c>
      <c r="Y2530" s="1">
        <v>2.35</v>
      </c>
      <c r="Z2530" s="1">
        <v>6.8</v>
      </c>
    </row>
    <row r="2531" ht="14.25" customHeight="1">
      <c r="A2531" s="1" t="s">
        <v>26</v>
      </c>
      <c r="B2531" s="1" t="s">
        <v>5129</v>
      </c>
      <c r="C2531" s="1" t="s">
        <v>12159</v>
      </c>
      <c r="D2531" s="1">
        <v>274299.0</v>
      </c>
      <c r="E2531" s="1" t="s">
        <v>12160</v>
      </c>
      <c r="F2531" s="1" t="s">
        <v>9643</v>
      </c>
      <c r="G2531" s="1" t="s">
        <v>5533</v>
      </c>
      <c r="H2531" s="1" t="s">
        <v>12161</v>
      </c>
      <c r="I2531" s="1">
        <v>11077.0</v>
      </c>
      <c r="J2531" s="1" t="s">
        <v>12162</v>
      </c>
      <c r="K2531" s="1" t="s">
        <v>12163</v>
      </c>
      <c r="L2531" s="1">
        <v>55.0</v>
      </c>
      <c r="M2531" s="1" t="s">
        <v>35</v>
      </c>
      <c r="N2531" s="1" t="s">
        <v>1832</v>
      </c>
      <c r="O2531" s="1" t="s">
        <v>12164</v>
      </c>
      <c r="P2531" s="1">
        <v>1.03E8</v>
      </c>
      <c r="Q2531" s="1">
        <v>2002.0</v>
      </c>
      <c r="R2531" s="1">
        <v>380.0</v>
      </c>
      <c r="S2531" s="1">
        <v>326.0</v>
      </c>
      <c r="T2531" s="1">
        <v>284.0</v>
      </c>
      <c r="U2531" s="1">
        <v>1429.0</v>
      </c>
      <c r="V2531" s="1">
        <v>333.0</v>
      </c>
      <c r="W2531" s="1">
        <v>0.0</v>
      </c>
      <c r="X2531" s="1">
        <v>2.0</v>
      </c>
      <c r="Y2531" s="1">
        <v>1.85</v>
      </c>
      <c r="Z2531" s="1">
        <v>7.3</v>
      </c>
    </row>
    <row r="2532" ht="14.25" customHeight="1">
      <c r="A2532" s="1" t="s">
        <v>26</v>
      </c>
      <c r="B2532" s="1" t="s">
        <v>2301</v>
      </c>
      <c r="C2532" s="1" t="s">
        <v>12165</v>
      </c>
      <c r="D2532" s="1">
        <v>183088.0</v>
      </c>
      <c r="E2532" s="1" t="s">
        <v>12085</v>
      </c>
      <c r="F2532" s="1" t="s">
        <v>3032</v>
      </c>
      <c r="G2532" s="1" t="s">
        <v>1887</v>
      </c>
      <c r="H2532" s="1" t="s">
        <v>4794</v>
      </c>
      <c r="I2532" s="1">
        <v>11704.0</v>
      </c>
      <c r="J2532" s="1" t="s">
        <v>12166</v>
      </c>
      <c r="K2532" s="1" t="s">
        <v>12167</v>
      </c>
      <c r="L2532" s="1">
        <v>36.0</v>
      </c>
      <c r="M2532" s="1" t="s">
        <v>35</v>
      </c>
      <c r="N2532" s="1" t="s">
        <v>36</v>
      </c>
      <c r="O2532" s="1" t="s">
        <v>628</v>
      </c>
      <c r="P2532" s="1">
        <v>1.5E7</v>
      </c>
      <c r="Q2532" s="1">
        <v>2008.0</v>
      </c>
      <c r="R2532" s="1">
        <v>697.0</v>
      </c>
      <c r="S2532" s="1">
        <v>329.0</v>
      </c>
      <c r="T2532" s="1">
        <v>322.0</v>
      </c>
      <c r="U2532" s="1">
        <v>2243.0</v>
      </c>
      <c r="V2532" s="1">
        <v>168.0</v>
      </c>
      <c r="W2532" s="1">
        <v>702.0</v>
      </c>
      <c r="X2532" s="1">
        <v>0.0</v>
      </c>
      <c r="Y2532" s="1">
        <v>1.85</v>
      </c>
      <c r="Z2532" s="1">
        <v>7.0</v>
      </c>
    </row>
    <row r="2533" ht="14.25" customHeight="1">
      <c r="A2533" s="1" t="s">
        <v>26</v>
      </c>
      <c r="B2533" s="1" t="s">
        <v>12168</v>
      </c>
      <c r="C2533" s="1" t="s">
        <v>12169</v>
      </c>
      <c r="D2533" s="1">
        <v>46495.0</v>
      </c>
      <c r="E2533" s="1" t="s">
        <v>3238</v>
      </c>
      <c r="F2533" s="1" t="s">
        <v>1113</v>
      </c>
      <c r="G2533" s="1" t="s">
        <v>2358</v>
      </c>
      <c r="H2533" s="1" t="s">
        <v>12170</v>
      </c>
      <c r="I2533" s="1">
        <v>12053.0</v>
      </c>
      <c r="J2533" s="1" t="s">
        <v>12171</v>
      </c>
      <c r="K2533" s="1" t="s">
        <v>12172</v>
      </c>
      <c r="L2533" s="1">
        <v>119.0</v>
      </c>
      <c r="M2533" s="1" t="s">
        <v>35</v>
      </c>
      <c r="N2533" s="1" t="s">
        <v>36</v>
      </c>
      <c r="O2533" s="1" t="s">
        <v>628</v>
      </c>
      <c r="P2533" s="1">
        <v>1.4E7</v>
      </c>
      <c r="Q2533" s="1">
        <v>2011.0</v>
      </c>
      <c r="R2533" s="1">
        <v>13000.0</v>
      </c>
      <c r="S2533" s="1">
        <v>1000.0</v>
      </c>
      <c r="T2533" s="1">
        <v>338.0</v>
      </c>
      <c r="U2533" s="1">
        <v>14638.0</v>
      </c>
      <c r="V2533" s="1">
        <v>50.0</v>
      </c>
      <c r="W2533" s="1">
        <v>0.0</v>
      </c>
      <c r="X2533" s="1">
        <v>1.0</v>
      </c>
      <c r="Y2533" s="1">
        <v>1.85</v>
      </c>
      <c r="Z2533" s="1">
        <v>6.5</v>
      </c>
    </row>
    <row r="2534" ht="14.25" customHeight="1">
      <c r="A2534" s="1" t="s">
        <v>26</v>
      </c>
      <c r="B2534" s="1" t="s">
        <v>3691</v>
      </c>
      <c r="C2534" s="1" t="s">
        <v>12173</v>
      </c>
      <c r="D2534" s="1">
        <v>1752214.0</v>
      </c>
      <c r="E2534" s="1" t="s">
        <v>1359</v>
      </c>
      <c r="F2534" s="1" t="s">
        <v>4427</v>
      </c>
      <c r="G2534" s="1" t="s">
        <v>8260</v>
      </c>
      <c r="H2534" s="1" t="s">
        <v>6056</v>
      </c>
      <c r="I2534" s="1">
        <v>60460.0</v>
      </c>
      <c r="J2534" s="1" t="s">
        <v>12174</v>
      </c>
      <c r="K2534" s="1" t="s">
        <v>12175</v>
      </c>
      <c r="L2534" s="1">
        <v>104.0</v>
      </c>
      <c r="M2534" s="1" t="s">
        <v>35</v>
      </c>
      <c r="N2534" s="1" t="s">
        <v>36</v>
      </c>
      <c r="O2534" s="1" t="s">
        <v>87</v>
      </c>
      <c r="P2534" s="1">
        <v>1.4E7</v>
      </c>
      <c r="Q2534" s="1">
        <v>2010.0</v>
      </c>
      <c r="R2534" s="1">
        <v>1000.0</v>
      </c>
      <c r="S2534" s="1">
        <v>872.0</v>
      </c>
      <c r="T2534" s="1">
        <v>767.0</v>
      </c>
      <c r="U2534" s="1">
        <v>4377.0</v>
      </c>
      <c r="V2534" s="1">
        <v>0.0</v>
      </c>
      <c r="W2534" s="1">
        <v>14000.0</v>
      </c>
      <c r="X2534" s="1">
        <v>0.0</v>
      </c>
      <c r="Y2534" s="1">
        <v>1.85</v>
      </c>
      <c r="Z2534" s="1">
        <v>7.7</v>
      </c>
    </row>
    <row r="2535" ht="14.25" customHeight="1">
      <c r="A2535" s="1" t="s">
        <v>26</v>
      </c>
      <c r="B2535" s="1" t="s">
        <v>1027</v>
      </c>
      <c r="C2535" s="1" t="s">
        <v>12176</v>
      </c>
      <c r="D2535" s="1">
        <v>8.3025853E7</v>
      </c>
      <c r="E2535" s="1" t="s">
        <v>206</v>
      </c>
      <c r="F2535" s="1" t="s">
        <v>365</v>
      </c>
      <c r="G2535" s="1" t="s">
        <v>450</v>
      </c>
      <c r="H2535" s="1" t="s">
        <v>249</v>
      </c>
      <c r="I2535" s="1">
        <v>259837.0</v>
      </c>
      <c r="J2535" s="1" t="s">
        <v>12177</v>
      </c>
      <c r="K2535" s="1" t="s">
        <v>12178</v>
      </c>
      <c r="L2535" s="1">
        <v>2254.0</v>
      </c>
      <c r="M2535" s="1" t="s">
        <v>35</v>
      </c>
      <c r="N2535" s="1" t="s">
        <v>36</v>
      </c>
      <c r="O2535" s="1" t="s">
        <v>628</v>
      </c>
      <c r="P2535" s="1">
        <v>1.4E7</v>
      </c>
      <c r="Q2535" s="1">
        <v>2005.0</v>
      </c>
      <c r="R2535" s="1">
        <v>15000.0</v>
      </c>
      <c r="S2535" s="1">
        <v>13000.0</v>
      </c>
      <c r="T2535" s="1">
        <v>11000.0</v>
      </c>
      <c r="U2535" s="1">
        <v>39789.0</v>
      </c>
      <c r="V2535" s="1">
        <v>0.0</v>
      </c>
      <c r="W2535" s="1">
        <v>13000.0</v>
      </c>
      <c r="X2535" s="1">
        <v>0.0</v>
      </c>
      <c r="Y2535" s="1">
        <v>1.85</v>
      </c>
      <c r="Z2535" s="1">
        <v>7.7</v>
      </c>
    </row>
    <row r="2536" ht="14.25" customHeight="1">
      <c r="A2536" s="1" t="s">
        <v>26</v>
      </c>
      <c r="B2536" s="1" t="s">
        <v>839</v>
      </c>
      <c r="C2536" s="1" t="s">
        <v>1411</v>
      </c>
      <c r="D2536" s="1">
        <v>1.9087124E8</v>
      </c>
      <c r="E2536" s="1" t="s">
        <v>494</v>
      </c>
      <c r="F2536" s="1" t="s">
        <v>1412</v>
      </c>
      <c r="G2536" s="1" t="s">
        <v>1413</v>
      </c>
      <c r="H2536" s="1" t="s">
        <v>1414</v>
      </c>
      <c r="I2536" s="1">
        <v>167089.0</v>
      </c>
      <c r="J2536" s="1" t="s">
        <v>1415</v>
      </c>
      <c r="K2536" s="1" t="s">
        <v>1416</v>
      </c>
      <c r="L2536" s="1">
        <v>491.0</v>
      </c>
      <c r="M2536" s="1" t="s">
        <v>35</v>
      </c>
      <c r="N2536" s="1" t="s">
        <v>36</v>
      </c>
      <c r="O2536" s="1" t="s">
        <v>37</v>
      </c>
      <c r="P2536" s="1">
        <v>1.25E8</v>
      </c>
      <c r="Q2536" s="1">
        <v>2014.0</v>
      </c>
      <c r="R2536" s="1">
        <v>833.0</v>
      </c>
      <c r="S2536" s="1">
        <v>809.0</v>
      </c>
      <c r="T2536" s="1">
        <v>429.0</v>
      </c>
      <c r="U2536" s="1">
        <v>2690.0</v>
      </c>
      <c r="V2536" s="1">
        <v>473.0</v>
      </c>
      <c r="W2536" s="1">
        <v>62000.0</v>
      </c>
      <c r="X2536" s="1">
        <v>0.0</v>
      </c>
      <c r="Y2536" s="1">
        <v>2.35</v>
      </c>
      <c r="Z2536" s="1">
        <v>5.9</v>
      </c>
    </row>
    <row r="2537" ht="14.25" customHeight="1">
      <c r="A2537" s="1" t="s">
        <v>26</v>
      </c>
      <c r="B2537" s="1" t="s">
        <v>10204</v>
      </c>
      <c r="C2537" s="1" t="s">
        <v>12179</v>
      </c>
      <c r="D2537" s="1">
        <v>5.6631572E7</v>
      </c>
      <c r="E2537" s="1" t="s">
        <v>1598</v>
      </c>
      <c r="F2537" s="1" t="s">
        <v>8395</v>
      </c>
      <c r="G2537" s="1" t="s">
        <v>9438</v>
      </c>
      <c r="H2537" s="1" t="s">
        <v>12180</v>
      </c>
      <c r="I2537" s="1">
        <v>123390.0</v>
      </c>
      <c r="J2537" s="1" t="s">
        <v>12181</v>
      </c>
      <c r="K2537" s="1" t="s">
        <v>12182</v>
      </c>
      <c r="L2537" s="1">
        <v>248.0</v>
      </c>
      <c r="M2537" s="1" t="s">
        <v>35</v>
      </c>
      <c r="N2537" s="1" t="s">
        <v>36</v>
      </c>
      <c r="O2537" s="1" t="s">
        <v>37</v>
      </c>
      <c r="P2537" s="1">
        <v>1.2E7</v>
      </c>
      <c r="Q2537" s="1">
        <v>1995.0</v>
      </c>
      <c r="R2537" s="1">
        <v>927.0</v>
      </c>
      <c r="S2537" s="1">
        <v>281.0</v>
      </c>
      <c r="T2537" s="1">
        <v>201.0</v>
      </c>
      <c r="U2537" s="1">
        <v>1724.0</v>
      </c>
      <c r="V2537" s="1">
        <v>143.0</v>
      </c>
      <c r="W2537" s="1">
        <v>0.0</v>
      </c>
      <c r="X2537" s="1">
        <v>1.0</v>
      </c>
      <c r="Y2537" s="1">
        <v>1.85</v>
      </c>
      <c r="Z2537" s="1">
        <v>6.8</v>
      </c>
    </row>
    <row r="2538" ht="14.25" customHeight="1">
      <c r="A2538" s="1" t="s">
        <v>26</v>
      </c>
      <c r="B2538" s="1" t="s">
        <v>10425</v>
      </c>
      <c r="C2538" s="1" t="s">
        <v>12183</v>
      </c>
      <c r="D2538" s="1">
        <v>1.5854988E7</v>
      </c>
      <c r="E2538" s="1" t="s">
        <v>206</v>
      </c>
      <c r="F2538" s="1" t="s">
        <v>522</v>
      </c>
      <c r="G2538" s="1" t="s">
        <v>1031</v>
      </c>
      <c r="H2538" s="1" t="s">
        <v>3409</v>
      </c>
      <c r="I2538" s="1">
        <v>36542.0</v>
      </c>
      <c r="J2538" s="1" t="s">
        <v>12184</v>
      </c>
      <c r="K2538" s="1" t="s">
        <v>12185</v>
      </c>
      <c r="L2538" s="1">
        <v>378.0</v>
      </c>
      <c r="M2538" s="1" t="s">
        <v>35</v>
      </c>
      <c r="N2538" s="1" t="s">
        <v>36</v>
      </c>
      <c r="O2538" s="1" t="s">
        <v>37</v>
      </c>
      <c r="P2538" s="1">
        <v>1.35E7</v>
      </c>
      <c r="Q2538" s="1">
        <v>2002.0</v>
      </c>
      <c r="R2538" s="1">
        <v>2000.0</v>
      </c>
      <c r="S2538" s="1">
        <v>258.0</v>
      </c>
      <c r="T2538" s="1">
        <v>135.0</v>
      </c>
      <c r="U2538" s="1">
        <v>2447.0</v>
      </c>
      <c r="V2538" s="1">
        <v>162.0</v>
      </c>
      <c r="W2538" s="1">
        <v>0.0</v>
      </c>
      <c r="X2538" s="1">
        <v>2.0</v>
      </c>
      <c r="Y2538" s="1">
        <v>1.85</v>
      </c>
      <c r="Z2538" s="1">
        <v>7.4</v>
      </c>
    </row>
    <row r="2539" ht="14.25" customHeight="1">
      <c r="A2539" s="1" t="s">
        <v>26</v>
      </c>
      <c r="B2539" s="1" t="s">
        <v>6737</v>
      </c>
      <c r="C2539" s="1" t="s">
        <v>12186</v>
      </c>
      <c r="D2539" s="1">
        <v>1.2282677E7</v>
      </c>
      <c r="E2539" s="1" t="s">
        <v>5181</v>
      </c>
      <c r="F2539" s="1" t="s">
        <v>1475</v>
      </c>
      <c r="G2539" s="1" t="s">
        <v>9064</v>
      </c>
      <c r="H2539" s="1" t="s">
        <v>6740</v>
      </c>
      <c r="I2539" s="1">
        <v>28159.0</v>
      </c>
      <c r="J2539" s="1" t="s">
        <v>12187</v>
      </c>
      <c r="K2539" s="1" t="s">
        <v>12188</v>
      </c>
      <c r="L2539" s="1">
        <v>96.0</v>
      </c>
      <c r="M2539" s="1" t="s">
        <v>35</v>
      </c>
      <c r="N2539" s="1" t="s">
        <v>36</v>
      </c>
      <c r="O2539" s="1" t="s">
        <v>628</v>
      </c>
      <c r="P2539" s="1">
        <v>1.4E7</v>
      </c>
      <c r="Q2539" s="1">
        <v>2015.0</v>
      </c>
      <c r="R2539" s="1">
        <v>3000.0</v>
      </c>
      <c r="S2539" s="1">
        <v>837.0</v>
      </c>
      <c r="T2539" s="1">
        <v>390.0</v>
      </c>
      <c r="U2539" s="1">
        <v>4702.0</v>
      </c>
      <c r="V2539" s="1">
        <v>38.0</v>
      </c>
      <c r="W2539" s="1">
        <v>0.0</v>
      </c>
      <c r="X2539" s="1">
        <v>4.0</v>
      </c>
      <c r="Y2539" s="1">
        <v>1.85</v>
      </c>
      <c r="Z2539" s="1">
        <v>5.1</v>
      </c>
    </row>
    <row r="2540" ht="14.25" customHeight="1">
      <c r="A2540" s="1" t="s">
        <v>26</v>
      </c>
      <c r="B2540" s="1" t="s">
        <v>8474</v>
      </c>
      <c r="C2540" s="1" t="s">
        <v>12189</v>
      </c>
      <c r="D2540" s="1">
        <v>7060876.0</v>
      </c>
      <c r="E2540" s="1" t="s">
        <v>1474</v>
      </c>
      <c r="F2540" s="1" t="s">
        <v>208</v>
      </c>
      <c r="G2540" s="1" t="s">
        <v>12190</v>
      </c>
      <c r="H2540" s="1" t="s">
        <v>12191</v>
      </c>
      <c r="I2540" s="1">
        <v>44795.0</v>
      </c>
      <c r="J2540" s="1" t="s">
        <v>12192</v>
      </c>
      <c r="K2540" s="1" t="s">
        <v>12193</v>
      </c>
      <c r="L2540" s="1">
        <v>314.0</v>
      </c>
      <c r="M2540" s="1" t="s">
        <v>35</v>
      </c>
      <c r="N2540" s="1" t="s">
        <v>54</v>
      </c>
      <c r="O2540" s="1" t="s">
        <v>628</v>
      </c>
      <c r="P2540" s="1">
        <v>1.35E7</v>
      </c>
      <c r="Q2540" s="1">
        <v>2000.0</v>
      </c>
      <c r="R2540" s="1">
        <v>14000.0</v>
      </c>
      <c r="S2540" s="1">
        <v>230.0</v>
      </c>
      <c r="T2540" s="1">
        <v>170.0</v>
      </c>
      <c r="U2540" s="1">
        <v>14726.0</v>
      </c>
      <c r="V2540" s="1">
        <v>133.0</v>
      </c>
      <c r="W2540" s="1">
        <v>0.0</v>
      </c>
      <c r="X2540" s="1">
        <v>1.0</v>
      </c>
      <c r="Y2540" s="1">
        <v>1.85</v>
      </c>
      <c r="Z2540" s="1">
        <v>7.4</v>
      </c>
    </row>
    <row r="2541" ht="14.25" customHeight="1">
      <c r="A2541" s="1" t="s">
        <v>26</v>
      </c>
      <c r="B2541" s="1" t="s">
        <v>11837</v>
      </c>
      <c r="C2541" s="1" t="s">
        <v>12194</v>
      </c>
      <c r="D2541" s="1">
        <v>1.4989761E7</v>
      </c>
      <c r="E2541" s="1" t="s">
        <v>972</v>
      </c>
      <c r="F2541" s="1" t="s">
        <v>1346</v>
      </c>
      <c r="G2541" s="1" t="s">
        <v>2272</v>
      </c>
      <c r="H2541" s="1" t="s">
        <v>159</v>
      </c>
      <c r="I2541" s="1">
        <v>185845.0</v>
      </c>
      <c r="J2541" s="1" t="s">
        <v>12195</v>
      </c>
      <c r="K2541" s="1" t="s">
        <v>12196</v>
      </c>
      <c r="L2541" s="1">
        <v>284.0</v>
      </c>
      <c r="M2541" s="1" t="s">
        <v>35</v>
      </c>
      <c r="N2541" s="1" t="s">
        <v>54</v>
      </c>
      <c r="O2541" s="1" t="s">
        <v>628</v>
      </c>
      <c r="P2541" s="1">
        <v>1.5E7</v>
      </c>
      <c r="Q2541" s="1">
        <v>2012.0</v>
      </c>
      <c r="R2541" s="1">
        <v>2000.0</v>
      </c>
      <c r="S2541" s="1">
        <v>906.0</v>
      </c>
      <c r="T2541" s="1">
        <v>816.0</v>
      </c>
      <c r="U2541" s="1">
        <v>4757.0</v>
      </c>
      <c r="V2541" s="1">
        <v>454.0</v>
      </c>
      <c r="W2541" s="1">
        <v>52000.0</v>
      </c>
      <c r="X2541" s="1">
        <v>7.0</v>
      </c>
      <c r="Y2541" s="1">
        <v>2.35</v>
      </c>
      <c r="Z2541" s="1">
        <v>7.2</v>
      </c>
    </row>
    <row r="2542" ht="14.25" customHeight="1">
      <c r="A2542" s="1" t="s">
        <v>26</v>
      </c>
      <c r="B2542" s="1" t="s">
        <v>2802</v>
      </c>
      <c r="C2542" s="1" t="s">
        <v>12197</v>
      </c>
      <c r="D2542" s="1">
        <v>5501940.0</v>
      </c>
      <c r="E2542" s="1" t="s">
        <v>3075</v>
      </c>
      <c r="F2542" s="1" t="s">
        <v>201</v>
      </c>
      <c r="G2542" s="1" t="s">
        <v>12198</v>
      </c>
      <c r="H2542" s="1" t="s">
        <v>6688</v>
      </c>
      <c r="I2542" s="1">
        <v>248354.0</v>
      </c>
      <c r="J2542" s="1" t="s">
        <v>12199</v>
      </c>
      <c r="K2542" s="1" t="s">
        <v>12200</v>
      </c>
      <c r="L2542" s="1">
        <v>564.0</v>
      </c>
      <c r="M2542" s="1" t="s">
        <v>10526</v>
      </c>
      <c r="N2542" s="1" t="s">
        <v>730</v>
      </c>
      <c r="O2542" s="1" t="s">
        <v>628</v>
      </c>
      <c r="P2542" s="1">
        <v>1.35E7</v>
      </c>
      <c r="Q2542" s="1">
        <v>2004.0</v>
      </c>
      <c r="R2542" s="1">
        <v>918.0</v>
      </c>
      <c r="S2542" s="1">
        <v>653.0</v>
      </c>
      <c r="T2542" s="1">
        <v>471.0</v>
      </c>
      <c r="U2542" s="1">
        <v>2334.0</v>
      </c>
      <c r="V2542" s="1">
        <v>101.0</v>
      </c>
      <c r="W2542" s="1">
        <v>14000.0</v>
      </c>
      <c r="X2542" s="1">
        <v>0.0</v>
      </c>
      <c r="Y2542" s="1">
        <v>1.85</v>
      </c>
      <c r="Z2542" s="1">
        <v>8.3</v>
      </c>
    </row>
    <row r="2543" ht="14.25" customHeight="1">
      <c r="A2543" s="1" t="s">
        <v>26</v>
      </c>
      <c r="B2543" s="1" t="s">
        <v>3385</v>
      </c>
      <c r="C2543" s="1" t="s">
        <v>12201</v>
      </c>
      <c r="D2543" s="1">
        <v>2086345.0</v>
      </c>
      <c r="E2543" s="1" t="s">
        <v>5942</v>
      </c>
      <c r="F2543" s="1" t="s">
        <v>12202</v>
      </c>
      <c r="G2543" s="1" t="s">
        <v>12203</v>
      </c>
      <c r="H2543" s="1" t="s">
        <v>12204</v>
      </c>
      <c r="I2543" s="1">
        <v>64556.0</v>
      </c>
      <c r="J2543" s="1" t="s">
        <v>12205</v>
      </c>
      <c r="K2543" s="1" t="s">
        <v>12206</v>
      </c>
      <c r="L2543" s="1">
        <v>140.0</v>
      </c>
      <c r="M2543" s="1" t="s">
        <v>2648</v>
      </c>
      <c r="N2543" s="1" t="s">
        <v>3393</v>
      </c>
      <c r="O2543" s="1" t="s">
        <v>37</v>
      </c>
      <c r="P2543" s="1">
        <v>1.0E7</v>
      </c>
      <c r="Q2543" s="1">
        <v>2004.0</v>
      </c>
      <c r="R2543" s="1">
        <v>273.0</v>
      </c>
      <c r="S2543" s="1">
        <v>114.0</v>
      </c>
      <c r="T2543" s="1">
        <v>93.0</v>
      </c>
      <c r="U2543" s="1">
        <v>529.0</v>
      </c>
      <c r="V2543" s="1">
        <v>448.0</v>
      </c>
      <c r="W2543" s="1">
        <v>0.0</v>
      </c>
      <c r="X2543" s="1">
        <v>1.0</v>
      </c>
      <c r="Y2543" s="1">
        <v>2.35</v>
      </c>
      <c r="Z2543" s="1">
        <v>8.1</v>
      </c>
    </row>
    <row r="2544" ht="14.25" customHeight="1">
      <c r="A2544" s="1" t="s">
        <v>26</v>
      </c>
      <c r="B2544" s="1" t="s">
        <v>2962</v>
      </c>
      <c r="C2544" s="1" t="s">
        <v>12207</v>
      </c>
      <c r="D2544" s="1">
        <v>1.2392237E8</v>
      </c>
      <c r="E2544" s="1" t="s">
        <v>12208</v>
      </c>
      <c r="F2544" s="1" t="s">
        <v>774</v>
      </c>
      <c r="G2544" s="1" t="s">
        <v>4423</v>
      </c>
      <c r="H2544" s="1" t="s">
        <v>11198</v>
      </c>
      <c r="I2544" s="1">
        <v>98348.0</v>
      </c>
      <c r="J2544" s="1" t="s">
        <v>12209</v>
      </c>
      <c r="K2544" s="1" t="s">
        <v>12210</v>
      </c>
      <c r="L2544" s="1">
        <v>131.0</v>
      </c>
      <c r="M2544" s="1" t="s">
        <v>35</v>
      </c>
      <c r="N2544" s="1" t="s">
        <v>36</v>
      </c>
      <c r="O2544" s="1" t="s">
        <v>628</v>
      </c>
      <c r="P2544" s="1">
        <v>1.3E7</v>
      </c>
      <c r="Q2544" s="1">
        <v>1987.0</v>
      </c>
      <c r="R2544" s="1">
        <v>49000.0</v>
      </c>
      <c r="S2544" s="1">
        <v>263.0</v>
      </c>
      <c r="T2544" s="1">
        <v>227.0</v>
      </c>
      <c r="U2544" s="1">
        <v>50141.0</v>
      </c>
      <c r="V2544" s="1">
        <v>272.0</v>
      </c>
      <c r="W2544" s="1">
        <v>0.0</v>
      </c>
      <c r="X2544" s="1">
        <v>1.0</v>
      </c>
      <c r="Y2544" s="1">
        <v>1.85</v>
      </c>
      <c r="Z2544" s="1">
        <v>7.3</v>
      </c>
    </row>
    <row r="2545" ht="14.25" customHeight="1">
      <c r="A2545" s="1" t="s">
        <v>26</v>
      </c>
      <c r="B2545" s="1" t="s">
        <v>7479</v>
      </c>
      <c r="C2545" s="1" t="s">
        <v>12211</v>
      </c>
      <c r="D2545" s="1">
        <v>163591.0</v>
      </c>
      <c r="E2545" s="1" t="s">
        <v>1885</v>
      </c>
      <c r="F2545" s="1" t="s">
        <v>9591</v>
      </c>
      <c r="G2545" s="1" t="s">
        <v>12212</v>
      </c>
      <c r="H2545" s="1" t="s">
        <v>1658</v>
      </c>
      <c r="I2545" s="1">
        <v>912.0</v>
      </c>
      <c r="J2545" s="1" t="s">
        <v>12213</v>
      </c>
      <c r="K2545" s="1" t="s">
        <v>12214</v>
      </c>
      <c r="L2545" s="1">
        <v>17.0</v>
      </c>
      <c r="M2545" s="1" t="s">
        <v>35</v>
      </c>
      <c r="N2545" s="1" t="s">
        <v>6497</v>
      </c>
      <c r="O2545" s="1" t="s">
        <v>37</v>
      </c>
      <c r="P2545" s="1">
        <v>1.34E7</v>
      </c>
      <c r="Q2545" s="1">
        <v>2010.0</v>
      </c>
      <c r="R2545" s="1">
        <v>898.0</v>
      </c>
      <c r="S2545" s="1">
        <v>391.0</v>
      </c>
      <c r="T2545" s="1">
        <v>385.0</v>
      </c>
      <c r="U2545" s="1">
        <v>2895.0</v>
      </c>
      <c r="V2545" s="1">
        <v>26.0</v>
      </c>
      <c r="W2545" s="1">
        <v>502.0</v>
      </c>
      <c r="X2545" s="1">
        <v>5.0</v>
      </c>
      <c r="Y2545" s="1">
        <v>1.78</v>
      </c>
      <c r="Z2545" s="1">
        <v>3.6</v>
      </c>
    </row>
    <row r="2546" ht="14.25" customHeight="1">
      <c r="A2546" s="1" t="s">
        <v>26</v>
      </c>
      <c r="B2546" s="1" t="s">
        <v>1034</v>
      </c>
      <c r="C2546" s="1" t="s">
        <v>12215</v>
      </c>
      <c r="D2546" s="1">
        <v>7.3000942E7</v>
      </c>
      <c r="E2546" s="1" t="s">
        <v>3861</v>
      </c>
      <c r="F2546" s="1" t="s">
        <v>6637</v>
      </c>
      <c r="G2546" s="1" t="s">
        <v>12216</v>
      </c>
      <c r="H2546" s="1" t="s">
        <v>12217</v>
      </c>
      <c r="I2546" s="1">
        <v>74351.0</v>
      </c>
      <c r="J2546" s="1" t="s">
        <v>12218</v>
      </c>
      <c r="K2546" s="1" t="s">
        <v>12219</v>
      </c>
      <c r="L2546" s="1">
        <v>233.0</v>
      </c>
      <c r="M2546" s="1" t="s">
        <v>35</v>
      </c>
      <c r="N2546" s="1" t="s">
        <v>36</v>
      </c>
      <c r="O2546" s="1" t="s">
        <v>269</v>
      </c>
      <c r="P2546" s="1">
        <v>1.3E7</v>
      </c>
      <c r="Q2546" s="1">
        <v>2011.0</v>
      </c>
      <c r="R2546" s="1">
        <v>569.0</v>
      </c>
      <c r="S2546" s="1">
        <v>69.0</v>
      </c>
      <c r="T2546" s="1">
        <v>41.0</v>
      </c>
      <c r="U2546" s="1">
        <v>714.0</v>
      </c>
      <c r="V2546" s="1">
        <v>209.0</v>
      </c>
      <c r="W2546" s="1">
        <v>62000.0</v>
      </c>
      <c r="X2546" s="1">
        <v>1.0</v>
      </c>
      <c r="Y2546" s="1">
        <v>1.85</v>
      </c>
      <c r="Z2546" s="1">
        <v>1.6</v>
      </c>
    </row>
    <row r="2547" ht="14.25" customHeight="1">
      <c r="A2547" s="1" t="s">
        <v>26</v>
      </c>
      <c r="B2547" s="1" t="s">
        <v>1159</v>
      </c>
      <c r="C2547" s="1" t="s">
        <v>12220</v>
      </c>
      <c r="D2547" s="1">
        <v>1.06952327E8</v>
      </c>
      <c r="E2547" s="1" t="s">
        <v>3868</v>
      </c>
      <c r="F2547" s="1" t="s">
        <v>805</v>
      </c>
      <c r="G2547" s="1" t="s">
        <v>284</v>
      </c>
      <c r="H2547" s="1" t="s">
        <v>1739</v>
      </c>
      <c r="I2547" s="1">
        <v>551363.0</v>
      </c>
      <c r="J2547" s="1" t="s">
        <v>12221</v>
      </c>
      <c r="K2547" s="1" t="s">
        <v>12222</v>
      </c>
      <c r="L2547" s="1">
        <v>1140.0</v>
      </c>
      <c r="M2547" s="1" t="s">
        <v>35</v>
      </c>
      <c r="N2547" s="1" t="s">
        <v>36</v>
      </c>
      <c r="O2547" s="1" t="s">
        <v>628</v>
      </c>
      <c r="P2547" s="1">
        <v>1.3E7</v>
      </c>
      <c r="Q2547" s="1">
        <v>2010.0</v>
      </c>
      <c r="R2547" s="1">
        <v>20000.0</v>
      </c>
      <c r="S2547" s="1">
        <v>15000.0</v>
      </c>
      <c r="T2547" s="1">
        <v>1000.0</v>
      </c>
      <c r="U2547" s="1">
        <v>38072.0</v>
      </c>
      <c r="V2547" s="1">
        <v>0.0</v>
      </c>
      <c r="W2547" s="1">
        <v>106000.0</v>
      </c>
      <c r="X2547" s="1">
        <v>1.0</v>
      </c>
      <c r="Y2547" s="1">
        <v>2.35</v>
      </c>
      <c r="Z2547" s="1">
        <v>8.0</v>
      </c>
    </row>
    <row r="2548" ht="14.25" customHeight="1">
      <c r="A2548" s="1" t="s">
        <v>26</v>
      </c>
      <c r="B2548" s="1" t="s">
        <v>1343</v>
      </c>
      <c r="C2548" s="1" t="s">
        <v>1344</v>
      </c>
      <c r="D2548" s="1">
        <v>5.8607007E7</v>
      </c>
      <c r="E2548" s="1" t="s">
        <v>1345</v>
      </c>
      <c r="F2548" s="1" t="s">
        <v>425</v>
      </c>
      <c r="G2548" s="1" t="s">
        <v>1346</v>
      </c>
      <c r="H2548" s="1" t="s">
        <v>1347</v>
      </c>
      <c r="I2548" s="1">
        <v>182910.0</v>
      </c>
      <c r="J2548" s="1" t="s">
        <v>1348</v>
      </c>
      <c r="K2548" s="1" t="s">
        <v>1349</v>
      </c>
      <c r="L2548" s="1">
        <v>630.0</v>
      </c>
      <c r="M2548" s="1" t="s">
        <v>35</v>
      </c>
      <c r="N2548" s="1" t="s">
        <v>36</v>
      </c>
      <c r="O2548" s="1" t="s">
        <v>37</v>
      </c>
      <c r="P2548" s="1">
        <v>1.0E8</v>
      </c>
      <c r="Q2548" s="1">
        <v>2014.0</v>
      </c>
      <c r="R2548" s="1">
        <v>10000.0</v>
      </c>
      <c r="S2548" s="1">
        <v>2000.0</v>
      </c>
      <c r="T2548" s="1">
        <v>1000.0</v>
      </c>
      <c r="U2548" s="1">
        <v>14160.0</v>
      </c>
      <c r="V2548" s="1">
        <v>294.0</v>
      </c>
      <c r="W2548" s="1">
        <v>60000.0</v>
      </c>
      <c r="X2548" s="1">
        <v>0.0</v>
      </c>
      <c r="Y2548" s="1">
        <v>2.35</v>
      </c>
      <c r="Z2548" s="1">
        <v>6.2</v>
      </c>
    </row>
    <row r="2549" ht="14.25" customHeight="1">
      <c r="A2549" s="1" t="s">
        <v>26</v>
      </c>
      <c r="B2549" s="1" t="s">
        <v>4578</v>
      </c>
      <c r="C2549" s="1" t="s">
        <v>12223</v>
      </c>
      <c r="D2549" s="1">
        <v>5.73E7</v>
      </c>
      <c r="E2549" s="1" t="s">
        <v>1854</v>
      </c>
      <c r="F2549" s="1" t="s">
        <v>1663</v>
      </c>
      <c r="G2549" s="1" t="s">
        <v>2292</v>
      </c>
      <c r="H2549" s="1" t="s">
        <v>1606</v>
      </c>
      <c r="I2549" s="1">
        <v>790926.0</v>
      </c>
      <c r="J2549" s="1" t="s">
        <v>12224</v>
      </c>
      <c r="K2549" s="1" t="s">
        <v>12225</v>
      </c>
      <c r="L2549" s="1">
        <v>650.0</v>
      </c>
      <c r="M2549" s="1" t="s">
        <v>35</v>
      </c>
      <c r="N2549" s="1" t="s">
        <v>36</v>
      </c>
      <c r="O2549" s="1" t="s">
        <v>628</v>
      </c>
      <c r="P2549" s="1">
        <v>1.3E7</v>
      </c>
      <c r="Q2549" s="1">
        <v>1974.0</v>
      </c>
      <c r="R2549" s="1">
        <v>22000.0</v>
      </c>
      <c r="S2549" s="1">
        <v>14000.0</v>
      </c>
      <c r="T2549" s="1">
        <v>3000.0</v>
      </c>
      <c r="U2549" s="1">
        <v>39960.0</v>
      </c>
      <c r="V2549" s="1">
        <v>0.0</v>
      </c>
      <c r="W2549" s="1">
        <v>14000.0</v>
      </c>
      <c r="X2549" s="1">
        <v>1.0</v>
      </c>
      <c r="Y2549" s="1">
        <v>1.85</v>
      </c>
      <c r="Z2549" s="1">
        <v>9.0</v>
      </c>
    </row>
    <row r="2550" ht="14.25" customHeight="1">
      <c r="A2550" s="1" t="s">
        <v>26</v>
      </c>
      <c r="B2550" s="1" t="s">
        <v>5410</v>
      </c>
      <c r="C2550" s="1" t="s">
        <v>12226</v>
      </c>
      <c r="D2550" s="1">
        <v>9.1038276E7</v>
      </c>
      <c r="E2550" s="1" t="s">
        <v>7326</v>
      </c>
      <c r="F2550" s="1" t="s">
        <v>10689</v>
      </c>
      <c r="G2550" s="1" t="s">
        <v>5967</v>
      </c>
      <c r="H2550" s="1" t="s">
        <v>12227</v>
      </c>
      <c r="I2550" s="1">
        <v>47876.0</v>
      </c>
      <c r="J2550" s="1" t="s">
        <v>12228</v>
      </c>
      <c r="K2550" s="1" t="s">
        <v>12229</v>
      </c>
      <c r="L2550" s="1">
        <v>320.0</v>
      </c>
      <c r="M2550" s="1" t="s">
        <v>35</v>
      </c>
      <c r="N2550" s="1" t="s">
        <v>36</v>
      </c>
      <c r="O2550" s="1" t="s">
        <v>37</v>
      </c>
      <c r="P2550" s="1">
        <v>1.3E7</v>
      </c>
      <c r="Q2550" s="1">
        <v>2001.0</v>
      </c>
      <c r="R2550" s="1">
        <v>656.0</v>
      </c>
      <c r="S2550" s="1">
        <v>363.0</v>
      </c>
      <c r="T2550" s="1">
        <v>237.0</v>
      </c>
      <c r="U2550" s="1">
        <v>1307.0</v>
      </c>
      <c r="V2550" s="1">
        <v>49.0</v>
      </c>
      <c r="W2550" s="1">
        <v>0.0</v>
      </c>
      <c r="X2550" s="1">
        <v>0.0</v>
      </c>
      <c r="Y2550" s="1">
        <v>1.85</v>
      </c>
      <c r="Z2550" s="1">
        <v>6.1</v>
      </c>
    </row>
    <row r="2551" ht="14.25" customHeight="1">
      <c r="A2551" s="1" t="s">
        <v>26</v>
      </c>
      <c r="B2551" s="1" t="s">
        <v>1985</v>
      </c>
      <c r="C2551" s="1" t="s">
        <v>12230</v>
      </c>
      <c r="D2551" s="1">
        <v>4.93699E7</v>
      </c>
      <c r="E2551" s="1" t="s">
        <v>9021</v>
      </c>
      <c r="F2551" s="1" t="s">
        <v>12231</v>
      </c>
      <c r="G2551" s="1" t="s">
        <v>12232</v>
      </c>
      <c r="H2551" s="1" t="s">
        <v>12233</v>
      </c>
      <c r="I2551" s="1">
        <v>36108.0</v>
      </c>
      <c r="J2551" s="1" t="s">
        <v>12234</v>
      </c>
      <c r="K2551" s="1" t="s">
        <v>12235</v>
      </c>
      <c r="L2551" s="1">
        <v>260.0</v>
      </c>
      <c r="M2551" s="1" t="s">
        <v>35</v>
      </c>
      <c r="N2551" s="1" t="s">
        <v>36</v>
      </c>
      <c r="O2551" s="1" t="s">
        <v>628</v>
      </c>
      <c r="P2551" s="1">
        <v>7000000.0</v>
      </c>
      <c r="Q2551" s="1">
        <v>1988.0</v>
      </c>
      <c r="R2551" s="1">
        <v>130.0</v>
      </c>
      <c r="S2551" s="1">
        <v>125.0</v>
      </c>
      <c r="T2551" s="1">
        <v>54.0</v>
      </c>
      <c r="U2551" s="1">
        <v>450.0</v>
      </c>
      <c r="V2551" s="1">
        <v>212.0</v>
      </c>
      <c r="W2551" s="1">
        <v>0.0</v>
      </c>
      <c r="X2551" s="1">
        <v>0.0</v>
      </c>
      <c r="Y2551" s="1">
        <v>1.85</v>
      </c>
      <c r="Z2551" s="1">
        <v>5.7</v>
      </c>
    </row>
    <row r="2552" ht="14.25" customHeight="1">
      <c r="A2552" s="1" t="s">
        <v>26</v>
      </c>
      <c r="B2552" s="1" t="s">
        <v>9122</v>
      </c>
      <c r="C2552" s="1" t="s">
        <v>12236</v>
      </c>
      <c r="D2552" s="1">
        <v>6.1693523E7</v>
      </c>
      <c r="E2552" s="1" t="s">
        <v>3238</v>
      </c>
      <c r="F2552" s="1" t="s">
        <v>713</v>
      </c>
      <c r="G2552" s="1" t="s">
        <v>12237</v>
      </c>
      <c r="H2552" s="1" t="s">
        <v>3639</v>
      </c>
      <c r="I2552" s="1">
        <v>6276.0</v>
      </c>
      <c r="J2552" s="1" t="s">
        <v>12238</v>
      </c>
      <c r="K2552" s="1" t="s">
        <v>12239</v>
      </c>
      <c r="L2552" s="1">
        <v>55.0</v>
      </c>
      <c r="M2552" s="1" t="s">
        <v>35</v>
      </c>
      <c r="N2552" s="1" t="s">
        <v>36</v>
      </c>
      <c r="O2552" s="1" t="s">
        <v>87</v>
      </c>
      <c r="P2552" s="1">
        <v>1.3E7</v>
      </c>
      <c r="Q2552" s="1">
        <v>2016.0</v>
      </c>
      <c r="R2552" s="1">
        <v>3000.0</v>
      </c>
      <c r="S2552" s="1">
        <v>3000.0</v>
      </c>
      <c r="T2552" s="1">
        <v>579.0</v>
      </c>
      <c r="U2552" s="1">
        <v>7833.0</v>
      </c>
      <c r="V2552" s="1">
        <v>36.0</v>
      </c>
      <c r="W2552" s="1">
        <v>16000.0</v>
      </c>
      <c r="X2552" s="1">
        <v>0.0</v>
      </c>
      <c r="Y2552" s="1">
        <v>1.85</v>
      </c>
      <c r="Z2552" s="1">
        <v>6.8</v>
      </c>
    </row>
    <row r="2553" ht="14.25" customHeight="1">
      <c r="A2553" s="1" t="s">
        <v>26</v>
      </c>
      <c r="B2553" s="1" t="s">
        <v>12240</v>
      </c>
      <c r="C2553" s="1" t="s">
        <v>12241</v>
      </c>
      <c r="D2553" s="1">
        <v>4.6729374E7</v>
      </c>
      <c r="E2553" s="1" t="s">
        <v>9600</v>
      </c>
      <c r="F2553" s="1" t="s">
        <v>713</v>
      </c>
      <c r="G2553" s="1" t="s">
        <v>4918</v>
      </c>
      <c r="H2553" s="1" t="s">
        <v>11823</v>
      </c>
      <c r="I2553" s="1">
        <v>116625.0</v>
      </c>
      <c r="J2553" s="1" t="s">
        <v>12242</v>
      </c>
      <c r="K2553" s="1" t="s">
        <v>12243</v>
      </c>
      <c r="L2553" s="1">
        <v>469.0</v>
      </c>
      <c r="M2553" s="1" t="s">
        <v>35</v>
      </c>
      <c r="N2553" s="1" t="s">
        <v>36</v>
      </c>
      <c r="O2553" s="1" t="s">
        <v>37</v>
      </c>
      <c r="P2553" s="1">
        <v>1.3E7</v>
      </c>
      <c r="Q2553" s="1">
        <v>2000.0</v>
      </c>
      <c r="R2553" s="1">
        <v>3000.0</v>
      </c>
      <c r="S2553" s="1">
        <v>934.0</v>
      </c>
      <c r="T2553" s="1">
        <v>612.0</v>
      </c>
      <c r="U2553" s="1">
        <v>6454.0</v>
      </c>
      <c r="V2553" s="1">
        <v>8.0</v>
      </c>
      <c r="W2553" s="1">
        <v>0.0</v>
      </c>
      <c r="X2553" s="1">
        <v>2.0</v>
      </c>
      <c r="Y2553" s="1">
        <v>1.37</v>
      </c>
      <c r="Z2553" s="1">
        <v>5.5</v>
      </c>
    </row>
    <row r="2554" ht="14.25" customHeight="1">
      <c r="A2554" s="1" t="s">
        <v>26</v>
      </c>
      <c r="B2554" s="1" t="s">
        <v>12244</v>
      </c>
      <c r="C2554" s="1" t="s">
        <v>12245</v>
      </c>
      <c r="D2554" s="1">
        <v>4.4726644E7</v>
      </c>
      <c r="E2554" s="1" t="s">
        <v>9467</v>
      </c>
      <c r="F2554" s="1" t="s">
        <v>4408</v>
      </c>
      <c r="G2554" s="1" t="s">
        <v>12246</v>
      </c>
      <c r="H2554" s="1" t="s">
        <v>12247</v>
      </c>
      <c r="I2554" s="1">
        <v>42614.0</v>
      </c>
      <c r="J2554" s="1" t="s">
        <v>12248</v>
      </c>
      <c r="K2554" s="1" t="s">
        <v>12249</v>
      </c>
      <c r="L2554" s="1">
        <v>120.0</v>
      </c>
      <c r="M2554" s="1" t="s">
        <v>35</v>
      </c>
      <c r="N2554" s="1" t="s">
        <v>36</v>
      </c>
      <c r="O2554" s="1" t="s">
        <v>628</v>
      </c>
      <c r="P2554" s="1">
        <v>1.3E7</v>
      </c>
      <c r="Q2554" s="1">
        <v>1988.0</v>
      </c>
      <c r="R2554" s="1">
        <v>549.0</v>
      </c>
      <c r="S2554" s="1">
        <v>439.0</v>
      </c>
      <c r="T2554" s="1">
        <v>316.0</v>
      </c>
      <c r="U2554" s="1">
        <v>1747.0</v>
      </c>
      <c r="V2554" s="1">
        <v>58.0</v>
      </c>
      <c r="W2554" s="1">
        <v>0.0</v>
      </c>
      <c r="X2554" s="1">
        <v>5.0</v>
      </c>
      <c r="Y2554" s="1">
        <v>1.85</v>
      </c>
      <c r="Z2554" s="1">
        <v>6.8</v>
      </c>
    </row>
    <row r="2555" ht="14.25" customHeight="1">
      <c r="A2555" s="1" t="s">
        <v>26</v>
      </c>
      <c r="B2555" s="1" t="s">
        <v>12250</v>
      </c>
      <c r="C2555" s="1" t="s">
        <v>12251</v>
      </c>
      <c r="D2555" s="1">
        <v>4.4134898E7</v>
      </c>
      <c r="E2555" s="1" t="s">
        <v>2422</v>
      </c>
      <c r="F2555" s="1" t="s">
        <v>534</v>
      </c>
      <c r="G2555" s="1" t="s">
        <v>200</v>
      </c>
      <c r="H2555" s="1" t="s">
        <v>1433</v>
      </c>
      <c r="I2555" s="1">
        <v>72803.0</v>
      </c>
      <c r="J2555" s="1" t="s">
        <v>12252</v>
      </c>
      <c r="K2555" s="1" t="s">
        <v>12253</v>
      </c>
      <c r="L2555" s="1">
        <v>171.0</v>
      </c>
      <c r="M2555" s="1" t="s">
        <v>35</v>
      </c>
      <c r="N2555" s="1" t="s">
        <v>36</v>
      </c>
      <c r="O2555" s="1" t="s">
        <v>37</v>
      </c>
      <c r="P2555" s="1">
        <v>1.3E7</v>
      </c>
      <c r="Q2555" s="1">
        <v>2014.0</v>
      </c>
      <c r="R2555" s="1">
        <v>13000.0</v>
      </c>
      <c r="S2555" s="1">
        <v>6000.0</v>
      </c>
      <c r="T2555" s="1">
        <v>360.0</v>
      </c>
      <c r="U2555" s="1">
        <v>20330.0</v>
      </c>
      <c r="V2555" s="1">
        <v>51.0</v>
      </c>
      <c r="W2555" s="1">
        <v>33000.0</v>
      </c>
      <c r="X2555" s="1">
        <v>3.0</v>
      </c>
      <c r="Y2555" s="1">
        <v>1.85</v>
      </c>
      <c r="Z2555" s="1">
        <v>7.3</v>
      </c>
    </row>
    <row r="2556" ht="14.25" customHeight="1">
      <c r="A2556" s="1" t="s">
        <v>26</v>
      </c>
      <c r="B2556" s="1" t="s">
        <v>6737</v>
      </c>
      <c r="C2556" s="1" t="s">
        <v>12254</v>
      </c>
      <c r="D2556" s="1">
        <v>4.8637684E7</v>
      </c>
      <c r="E2556" s="1" t="s">
        <v>1598</v>
      </c>
      <c r="F2556" s="1" t="s">
        <v>599</v>
      </c>
      <c r="G2556" s="1" t="s">
        <v>5344</v>
      </c>
      <c r="H2556" s="1" t="s">
        <v>8758</v>
      </c>
      <c r="I2556" s="1">
        <v>16979.0</v>
      </c>
      <c r="J2556" s="1" t="s">
        <v>12255</v>
      </c>
      <c r="K2556" s="1" t="s">
        <v>12256</v>
      </c>
      <c r="L2556" s="1">
        <v>42.0</v>
      </c>
      <c r="M2556" s="1" t="s">
        <v>35</v>
      </c>
      <c r="N2556" s="1" t="s">
        <v>36</v>
      </c>
      <c r="O2556" s="1" t="s">
        <v>628</v>
      </c>
      <c r="P2556" s="1">
        <v>1.25E7</v>
      </c>
      <c r="Q2556" s="1">
        <v>2014.0</v>
      </c>
      <c r="R2556" s="1">
        <v>833.0</v>
      </c>
      <c r="S2556" s="1">
        <v>807.0</v>
      </c>
      <c r="T2556" s="1">
        <v>460.0</v>
      </c>
      <c r="U2556" s="1">
        <v>2800.0</v>
      </c>
      <c r="V2556" s="1">
        <v>38.0</v>
      </c>
      <c r="W2556" s="1">
        <v>0.0</v>
      </c>
      <c r="X2556" s="1">
        <v>4.0</v>
      </c>
      <c r="Y2556" s="1">
        <v>2.35</v>
      </c>
      <c r="Z2556" s="1">
        <v>6.1</v>
      </c>
    </row>
    <row r="2557" ht="14.25" customHeight="1">
      <c r="A2557" s="1" t="s">
        <v>26</v>
      </c>
      <c r="B2557" s="1" t="s">
        <v>6989</v>
      </c>
      <c r="C2557" s="1" t="s">
        <v>12257</v>
      </c>
      <c r="D2557" s="1">
        <v>3.8176108E7</v>
      </c>
      <c r="E2557" s="1" t="s">
        <v>1359</v>
      </c>
      <c r="F2557" s="1" t="s">
        <v>60</v>
      </c>
      <c r="G2557" s="1" t="s">
        <v>450</v>
      </c>
      <c r="H2557" s="1" t="s">
        <v>12258</v>
      </c>
      <c r="I2557" s="1">
        <v>222099.0</v>
      </c>
      <c r="J2557" s="1" t="s">
        <v>12259</v>
      </c>
      <c r="K2557" s="1" t="s">
        <v>12260</v>
      </c>
      <c r="L2557" s="1">
        <v>549.0</v>
      </c>
      <c r="M2557" s="1" t="s">
        <v>35</v>
      </c>
      <c r="N2557" s="1" t="s">
        <v>36</v>
      </c>
      <c r="O2557" s="1" t="s">
        <v>37</v>
      </c>
      <c r="P2557" s="1">
        <v>1.6E7</v>
      </c>
      <c r="Q2557" s="1">
        <v>1999.0</v>
      </c>
      <c r="R2557" s="1">
        <v>23000.0</v>
      </c>
      <c r="S2557" s="1">
        <v>13000.0</v>
      </c>
      <c r="T2557" s="1">
        <v>835.0</v>
      </c>
      <c r="U2557" s="1">
        <v>37907.0</v>
      </c>
      <c r="V2557" s="1">
        <v>19.0</v>
      </c>
      <c r="W2557" s="1">
        <v>10000.0</v>
      </c>
      <c r="X2557" s="1">
        <v>6.0</v>
      </c>
      <c r="Y2557" s="1">
        <v>1.85</v>
      </c>
      <c r="Z2557" s="1">
        <v>7.2</v>
      </c>
    </row>
    <row r="2558" ht="14.25" customHeight="1">
      <c r="A2558" s="1" t="s">
        <v>26</v>
      </c>
      <c r="B2558" s="1" t="s">
        <v>12261</v>
      </c>
      <c r="C2558" s="1" t="s">
        <v>12262</v>
      </c>
      <c r="D2558" s="1">
        <v>2.8972187E7</v>
      </c>
      <c r="E2558" s="1" t="s">
        <v>1885</v>
      </c>
      <c r="F2558" s="1" t="s">
        <v>1868</v>
      </c>
      <c r="G2558" s="1" t="s">
        <v>8871</v>
      </c>
      <c r="H2558" s="1" t="s">
        <v>12263</v>
      </c>
      <c r="I2558" s="1">
        <v>28805.0</v>
      </c>
      <c r="J2558" s="1" t="s">
        <v>12264</v>
      </c>
      <c r="K2558" s="1" t="s">
        <v>12265</v>
      </c>
      <c r="L2558" s="1">
        <v>159.0</v>
      </c>
      <c r="M2558" s="1" t="s">
        <v>35</v>
      </c>
      <c r="N2558" s="1" t="s">
        <v>36</v>
      </c>
      <c r="O2558" s="1" t="s">
        <v>37</v>
      </c>
      <c r="P2558" s="1">
        <v>1.3E7</v>
      </c>
      <c r="Q2558" s="1">
        <v>2002.0</v>
      </c>
      <c r="R2558" s="1">
        <v>11000.0</v>
      </c>
      <c r="S2558" s="1">
        <v>489.0</v>
      </c>
      <c r="T2558" s="1">
        <v>301.0</v>
      </c>
      <c r="U2558" s="1">
        <v>12687.0</v>
      </c>
      <c r="V2558" s="1">
        <v>13.0</v>
      </c>
      <c r="W2558" s="1">
        <v>1000.0</v>
      </c>
      <c r="X2558" s="1">
        <v>1.0</v>
      </c>
      <c r="Y2558" s="1">
        <v>1.85</v>
      </c>
      <c r="Z2558" s="1">
        <v>5.9</v>
      </c>
    </row>
    <row r="2559" ht="14.25" customHeight="1">
      <c r="A2559" s="1" t="s">
        <v>26</v>
      </c>
      <c r="B2559" s="1" t="s">
        <v>12266</v>
      </c>
      <c r="C2559" s="1" t="s">
        <v>12267</v>
      </c>
      <c r="D2559" s="1">
        <v>2.79794E7</v>
      </c>
      <c r="E2559" s="1" t="s">
        <v>1670</v>
      </c>
      <c r="F2559" s="1" t="s">
        <v>1875</v>
      </c>
      <c r="G2559" s="1" t="s">
        <v>6882</v>
      </c>
      <c r="H2559" s="1" t="s">
        <v>6598</v>
      </c>
      <c r="I2559" s="1">
        <v>37611.0</v>
      </c>
      <c r="J2559" s="1" t="s">
        <v>12268</v>
      </c>
      <c r="K2559" s="1" t="s">
        <v>12269</v>
      </c>
      <c r="L2559" s="1">
        <v>72.0</v>
      </c>
      <c r="M2559" s="1" t="s">
        <v>35</v>
      </c>
      <c r="N2559" s="1" t="s">
        <v>36</v>
      </c>
      <c r="O2559" s="1" t="s">
        <v>37</v>
      </c>
      <c r="P2559" s="1">
        <v>8200000.0</v>
      </c>
      <c r="Q2559" s="1">
        <v>1993.0</v>
      </c>
      <c r="R2559" s="1">
        <v>11000.0</v>
      </c>
      <c r="S2559" s="1">
        <v>852.0</v>
      </c>
      <c r="T2559" s="1">
        <v>182.0</v>
      </c>
      <c r="U2559" s="1">
        <v>12322.0</v>
      </c>
      <c r="V2559" s="1">
        <v>0.0</v>
      </c>
      <c r="W2559" s="1">
        <v>0.0</v>
      </c>
      <c r="X2559" s="1">
        <v>2.0</v>
      </c>
      <c r="Y2559" s="1">
        <v>1.85</v>
      </c>
      <c r="Z2559" s="1">
        <v>6.1</v>
      </c>
    </row>
    <row r="2560" ht="14.25" customHeight="1">
      <c r="A2560" s="1" t="s">
        <v>26</v>
      </c>
      <c r="B2560" s="1" t="s">
        <v>4844</v>
      </c>
      <c r="C2560" s="1" t="s">
        <v>12270</v>
      </c>
      <c r="D2560" s="1">
        <v>5.4257433E7</v>
      </c>
      <c r="E2560" s="1" t="s">
        <v>4158</v>
      </c>
      <c r="F2560" s="1" t="s">
        <v>9016</v>
      </c>
      <c r="G2560" s="1" t="s">
        <v>10083</v>
      </c>
      <c r="H2560" s="1" t="s">
        <v>12271</v>
      </c>
      <c r="I2560" s="1">
        <v>12983.0</v>
      </c>
      <c r="J2560" s="1" t="s">
        <v>12272</v>
      </c>
      <c r="K2560" s="1" t="s">
        <v>12273</v>
      </c>
      <c r="L2560" s="1">
        <v>139.0</v>
      </c>
      <c r="M2560" s="1" t="s">
        <v>35</v>
      </c>
      <c r="N2560" s="1" t="s">
        <v>36</v>
      </c>
      <c r="O2560" s="1" t="s">
        <v>37</v>
      </c>
      <c r="P2560" s="1">
        <v>1.7E7</v>
      </c>
      <c r="Q2560" s="1">
        <v>2016.0</v>
      </c>
      <c r="R2560" s="1">
        <v>619.0</v>
      </c>
      <c r="S2560" s="1">
        <v>350.0</v>
      </c>
      <c r="T2560" s="1">
        <v>2.0</v>
      </c>
      <c r="U2560" s="1">
        <v>971.0</v>
      </c>
      <c r="V2560" s="1">
        <v>174.0</v>
      </c>
      <c r="W2560" s="1">
        <v>0.0</v>
      </c>
      <c r="X2560" s="1">
        <v>0.0</v>
      </c>
      <c r="Y2560" s="1">
        <v>2.35</v>
      </c>
      <c r="Z2560" s="1">
        <v>6.8</v>
      </c>
    </row>
    <row r="2561" ht="14.25" customHeight="1">
      <c r="A2561" s="1" t="s">
        <v>26</v>
      </c>
      <c r="B2561" s="1" t="s">
        <v>12274</v>
      </c>
      <c r="C2561" s="1" t="s">
        <v>12275</v>
      </c>
      <c r="D2561" s="1">
        <v>23947.0</v>
      </c>
      <c r="E2561" s="1" t="s">
        <v>2804</v>
      </c>
      <c r="F2561" s="1" t="s">
        <v>1162</v>
      </c>
      <c r="G2561" s="1" t="s">
        <v>5424</v>
      </c>
      <c r="H2561" s="1" t="s">
        <v>7967</v>
      </c>
      <c r="I2561" s="1">
        <v>357579.0</v>
      </c>
      <c r="J2561" s="1" t="s">
        <v>12276</v>
      </c>
      <c r="K2561" s="1" t="s">
        <v>12277</v>
      </c>
      <c r="L2561" s="1">
        <v>1100.0</v>
      </c>
      <c r="M2561" s="1" t="s">
        <v>35</v>
      </c>
      <c r="N2561" s="1" t="s">
        <v>36</v>
      </c>
      <c r="O2561" s="1" t="s">
        <v>628</v>
      </c>
      <c r="P2561" s="1">
        <v>1.3E7</v>
      </c>
      <c r="Q2561" s="1">
        <v>2004.0</v>
      </c>
      <c r="R2561" s="1">
        <v>8000.0</v>
      </c>
      <c r="S2561" s="1">
        <v>902.0</v>
      </c>
      <c r="T2561" s="1">
        <v>829.0</v>
      </c>
      <c r="U2561" s="1">
        <v>12755.0</v>
      </c>
      <c r="V2561" s="1">
        <v>19.0</v>
      </c>
      <c r="W2561" s="1">
        <v>15000.0</v>
      </c>
      <c r="X2561" s="1">
        <v>0.0</v>
      </c>
      <c r="Y2561" s="1">
        <v>1.85</v>
      </c>
      <c r="Z2561" s="1">
        <v>7.7</v>
      </c>
    </row>
    <row r="2562" ht="14.25" customHeight="1">
      <c r="A2562" s="1" t="s">
        <v>26</v>
      </c>
      <c r="B2562" s="1" t="s">
        <v>10199</v>
      </c>
      <c r="C2562" s="1" t="s">
        <v>12278</v>
      </c>
      <c r="D2562" s="1">
        <v>6.0008303E7</v>
      </c>
      <c r="E2562" s="1" t="s">
        <v>2267</v>
      </c>
      <c r="F2562" s="1" t="s">
        <v>2373</v>
      </c>
      <c r="G2562" s="1" t="s">
        <v>10511</v>
      </c>
      <c r="H2562" s="1" t="s">
        <v>7699</v>
      </c>
      <c r="I2562" s="1">
        <v>9285.0</v>
      </c>
      <c r="J2562" s="1" t="s">
        <v>12279</v>
      </c>
      <c r="K2562" s="1" t="s">
        <v>12280</v>
      </c>
      <c r="L2562" s="1">
        <v>91.0</v>
      </c>
      <c r="M2562" s="1" t="s">
        <v>35</v>
      </c>
      <c r="N2562" s="1" t="s">
        <v>36</v>
      </c>
      <c r="O2562" s="1" t="s">
        <v>87</v>
      </c>
      <c r="P2562" s="1">
        <v>1.3E7</v>
      </c>
      <c r="Q2562" s="1">
        <v>2000.0</v>
      </c>
      <c r="R2562" s="1">
        <v>571.0</v>
      </c>
      <c r="S2562" s="1">
        <v>442.0</v>
      </c>
      <c r="T2562" s="1">
        <v>329.0</v>
      </c>
      <c r="U2562" s="1">
        <v>2241.0</v>
      </c>
      <c r="V2562" s="1">
        <v>13.0</v>
      </c>
      <c r="W2562" s="1">
        <v>0.0</v>
      </c>
      <c r="X2562" s="1">
        <v>1.0</v>
      </c>
      <c r="Y2562" s="1">
        <v>1.85</v>
      </c>
      <c r="Z2562" s="1">
        <v>4.9</v>
      </c>
    </row>
    <row r="2563" ht="14.25" customHeight="1">
      <c r="A2563" s="1" t="s">
        <v>26</v>
      </c>
      <c r="B2563" s="1" t="s">
        <v>12281</v>
      </c>
      <c r="C2563" s="1" t="s">
        <v>12282</v>
      </c>
      <c r="D2563" s="1">
        <v>4.9121934E7</v>
      </c>
      <c r="E2563" s="1" t="s">
        <v>1359</v>
      </c>
      <c r="F2563" s="1" t="s">
        <v>1470</v>
      </c>
      <c r="G2563" s="1" t="s">
        <v>10359</v>
      </c>
      <c r="H2563" s="1" t="s">
        <v>2924</v>
      </c>
      <c r="I2563" s="1">
        <v>6528.0</v>
      </c>
      <c r="J2563" s="1" t="s">
        <v>12283</v>
      </c>
      <c r="K2563" s="1" t="s">
        <v>12284</v>
      </c>
      <c r="L2563" s="1">
        <v>32.0</v>
      </c>
      <c r="M2563" s="1" t="s">
        <v>35</v>
      </c>
      <c r="N2563" s="1" t="s">
        <v>36</v>
      </c>
      <c r="O2563" s="1" t="s">
        <v>37</v>
      </c>
      <c r="P2563" s="1">
        <v>1.3E7</v>
      </c>
      <c r="Q2563" s="1">
        <v>2007.0</v>
      </c>
      <c r="R2563" s="1">
        <v>1000.0</v>
      </c>
      <c r="S2563" s="1">
        <v>997.0</v>
      </c>
      <c r="T2563" s="1">
        <v>912.0</v>
      </c>
      <c r="U2563" s="1">
        <v>6554.0</v>
      </c>
      <c r="V2563" s="1">
        <v>17.0</v>
      </c>
      <c r="W2563" s="1">
        <v>0.0</v>
      </c>
      <c r="X2563" s="1">
        <v>9.0</v>
      </c>
      <c r="Y2563" s="1">
        <v>2.35</v>
      </c>
      <c r="Z2563" s="1">
        <v>6.1</v>
      </c>
    </row>
    <row r="2564" ht="14.25" customHeight="1">
      <c r="A2564" s="1" t="s">
        <v>26</v>
      </c>
      <c r="B2564" s="1" t="s">
        <v>10327</v>
      </c>
      <c r="C2564" s="1" t="s">
        <v>12285</v>
      </c>
      <c r="D2564" s="1">
        <v>2.7141959E7</v>
      </c>
      <c r="E2564" s="1" t="s">
        <v>12286</v>
      </c>
      <c r="F2564" s="1" t="s">
        <v>3733</v>
      </c>
      <c r="G2564" s="1" t="s">
        <v>9766</v>
      </c>
      <c r="H2564" s="1" t="s">
        <v>1645</v>
      </c>
      <c r="I2564" s="1">
        <v>19547.0</v>
      </c>
      <c r="J2564" s="1" t="s">
        <v>12287</v>
      </c>
      <c r="K2564" s="1" t="s">
        <v>12288</v>
      </c>
      <c r="L2564" s="1">
        <v>168.0</v>
      </c>
      <c r="M2564" s="1" t="s">
        <v>35</v>
      </c>
      <c r="N2564" s="1" t="s">
        <v>36</v>
      </c>
      <c r="O2564" s="1" t="s">
        <v>87</v>
      </c>
      <c r="P2564" s="1">
        <v>1.8E7</v>
      </c>
      <c r="Q2564" s="1">
        <v>1999.0</v>
      </c>
      <c r="R2564" s="1">
        <v>899.0</v>
      </c>
      <c r="S2564" s="1">
        <v>842.0</v>
      </c>
      <c r="T2564" s="1">
        <v>782.0</v>
      </c>
      <c r="U2564" s="1">
        <v>2936.0</v>
      </c>
      <c r="V2564" s="1">
        <v>84.0</v>
      </c>
      <c r="W2564" s="1">
        <v>0.0</v>
      </c>
      <c r="X2564" s="1">
        <v>2.0</v>
      </c>
      <c r="Y2564" s="1">
        <v>1.85</v>
      </c>
      <c r="Z2564" s="1">
        <v>2.5</v>
      </c>
    </row>
    <row r="2565" ht="14.25" customHeight="1">
      <c r="A2565" s="1" t="s">
        <v>26</v>
      </c>
      <c r="B2565" s="1" t="s">
        <v>12289</v>
      </c>
      <c r="C2565" s="1" t="s">
        <v>12290</v>
      </c>
      <c r="D2565" s="1">
        <v>2.7052167E7</v>
      </c>
      <c r="E2565" s="1" t="s">
        <v>408</v>
      </c>
      <c r="F2565" s="1" t="s">
        <v>2861</v>
      </c>
      <c r="G2565" s="1" t="s">
        <v>2243</v>
      </c>
      <c r="H2565" s="1" t="s">
        <v>12291</v>
      </c>
      <c r="I2565" s="1">
        <v>24834.0</v>
      </c>
      <c r="J2565" s="1" t="s">
        <v>12292</v>
      </c>
      <c r="K2565" s="1" t="s">
        <v>12293</v>
      </c>
      <c r="L2565" s="1">
        <v>168.0</v>
      </c>
      <c r="M2565" s="1" t="s">
        <v>35</v>
      </c>
      <c r="N2565" s="1" t="s">
        <v>36</v>
      </c>
      <c r="O2565" s="1" t="s">
        <v>628</v>
      </c>
      <c r="P2565" s="1">
        <v>1.3E7</v>
      </c>
      <c r="Q2565" s="1">
        <v>1998.0</v>
      </c>
      <c r="R2565" s="1">
        <v>904.0</v>
      </c>
      <c r="S2565" s="1">
        <v>471.0</v>
      </c>
      <c r="T2565" s="1">
        <v>459.0</v>
      </c>
      <c r="U2565" s="1">
        <v>3353.0</v>
      </c>
      <c r="V2565" s="1">
        <v>6.0</v>
      </c>
      <c r="W2565" s="1">
        <v>934.0</v>
      </c>
      <c r="X2565" s="1">
        <v>5.0</v>
      </c>
      <c r="Y2565" s="1">
        <v>1.85</v>
      </c>
      <c r="Z2565" s="1">
        <v>6.1</v>
      </c>
    </row>
    <row r="2566" ht="14.25" customHeight="1">
      <c r="A2566" s="1" t="s">
        <v>26</v>
      </c>
      <c r="B2566" s="1" t="s">
        <v>12294</v>
      </c>
      <c r="C2566" s="1" t="s">
        <v>12295</v>
      </c>
      <c r="D2566" s="1">
        <v>2.6539321E7</v>
      </c>
      <c r="E2566" s="1" t="s">
        <v>3731</v>
      </c>
      <c r="F2566" s="1" t="s">
        <v>5126</v>
      </c>
      <c r="G2566" s="1" t="s">
        <v>1695</v>
      </c>
      <c r="H2566" s="1" t="s">
        <v>12296</v>
      </c>
      <c r="I2566" s="1">
        <v>7984.0</v>
      </c>
      <c r="J2566" s="1" t="s">
        <v>12297</v>
      </c>
      <c r="K2566" s="1" t="s">
        <v>12298</v>
      </c>
      <c r="L2566" s="1">
        <v>42.0</v>
      </c>
      <c r="M2566" s="1" t="s">
        <v>35</v>
      </c>
      <c r="N2566" s="1" t="s">
        <v>36</v>
      </c>
      <c r="O2566" s="1" t="s">
        <v>87</v>
      </c>
      <c r="P2566" s="1">
        <v>1.3E7</v>
      </c>
      <c r="Q2566" s="1">
        <v>1996.0</v>
      </c>
      <c r="R2566" s="1">
        <v>694.0</v>
      </c>
      <c r="S2566" s="1">
        <v>558.0</v>
      </c>
      <c r="T2566" s="1">
        <v>388.0</v>
      </c>
      <c r="U2566" s="1">
        <v>2486.0</v>
      </c>
      <c r="V2566" s="1">
        <v>15.0</v>
      </c>
      <c r="W2566" s="1">
        <v>833.0</v>
      </c>
      <c r="X2566" s="1">
        <v>1.0</v>
      </c>
      <c r="Y2566" s="1">
        <v>1.85</v>
      </c>
      <c r="Z2566" s="1">
        <v>5.9</v>
      </c>
    </row>
    <row r="2567" ht="14.25" customHeight="1">
      <c r="A2567" s="1" t="s">
        <v>26</v>
      </c>
      <c r="B2567" s="1" t="s">
        <v>12299</v>
      </c>
      <c r="C2567" s="1" t="s">
        <v>12300</v>
      </c>
      <c r="D2567" s="1">
        <v>2.8501605E7</v>
      </c>
      <c r="E2567" s="1" t="s">
        <v>6959</v>
      </c>
      <c r="F2567" s="1" t="s">
        <v>12301</v>
      </c>
      <c r="G2567" s="1" t="s">
        <v>6602</v>
      </c>
      <c r="H2567" s="1" t="s">
        <v>12302</v>
      </c>
      <c r="I2567" s="1">
        <v>31371.0</v>
      </c>
      <c r="J2567" s="1" t="s">
        <v>12303</v>
      </c>
      <c r="K2567" s="1" t="s">
        <v>12304</v>
      </c>
      <c r="L2567" s="1">
        <v>166.0</v>
      </c>
      <c r="M2567" s="1" t="s">
        <v>35</v>
      </c>
      <c r="N2567" s="1" t="s">
        <v>36</v>
      </c>
      <c r="O2567" s="1" t="s">
        <v>628</v>
      </c>
      <c r="P2567" s="1">
        <v>1.3E7</v>
      </c>
      <c r="Q2567" s="1">
        <v>1990.0</v>
      </c>
      <c r="R2567" s="1">
        <v>659.0</v>
      </c>
      <c r="S2567" s="1">
        <v>628.0</v>
      </c>
      <c r="T2567" s="1">
        <v>435.0</v>
      </c>
      <c r="U2567" s="1">
        <v>2646.0</v>
      </c>
      <c r="V2567" s="1">
        <v>5.0</v>
      </c>
      <c r="W2567" s="1">
        <v>0.0</v>
      </c>
      <c r="X2567" s="1">
        <v>0.0</v>
      </c>
      <c r="Y2567" s="1">
        <v>1.85</v>
      </c>
      <c r="Z2567" s="1">
        <v>5.7</v>
      </c>
    </row>
    <row r="2568" ht="14.25" customHeight="1">
      <c r="A2568" s="1" t="s">
        <v>26</v>
      </c>
      <c r="B2568" s="1" t="s">
        <v>12305</v>
      </c>
      <c r="C2568" s="1" t="s">
        <v>12306</v>
      </c>
      <c r="D2568" s="1">
        <v>5.2543632E7</v>
      </c>
      <c r="E2568" s="1" t="s">
        <v>1458</v>
      </c>
      <c r="F2568" s="1" t="s">
        <v>2600</v>
      </c>
      <c r="G2568" s="1" t="s">
        <v>12307</v>
      </c>
      <c r="H2568" s="1" t="s">
        <v>12308</v>
      </c>
      <c r="I2568" s="1">
        <v>12676.0</v>
      </c>
      <c r="J2568" s="1" t="s">
        <v>12309</v>
      </c>
      <c r="K2568" s="1" t="s">
        <v>12310</v>
      </c>
      <c r="L2568" s="1">
        <v>84.0</v>
      </c>
      <c r="M2568" s="1" t="s">
        <v>35</v>
      </c>
      <c r="N2568" s="1" t="s">
        <v>36</v>
      </c>
      <c r="O2568" s="1" t="s">
        <v>37</v>
      </c>
      <c r="P2568" s="1">
        <v>1.32E7</v>
      </c>
      <c r="Q2568" s="1">
        <v>2014.0</v>
      </c>
      <c r="R2568" s="1">
        <v>1000.0</v>
      </c>
      <c r="S2568" s="1">
        <v>345.0</v>
      </c>
      <c r="T2568" s="1">
        <v>334.0</v>
      </c>
      <c r="U2568" s="1">
        <v>2297.0</v>
      </c>
      <c r="V2568" s="1">
        <v>12.0</v>
      </c>
      <c r="W2568" s="1">
        <v>0.0</v>
      </c>
      <c r="X2568" s="1">
        <v>2.0</v>
      </c>
      <c r="Y2568" s="1">
        <v>2.35</v>
      </c>
      <c r="Z2568" s="1">
        <v>5.6</v>
      </c>
    </row>
    <row r="2569" ht="14.25" customHeight="1">
      <c r="A2569" s="1" t="s">
        <v>26</v>
      </c>
      <c r="B2569" s="1" t="s">
        <v>3093</v>
      </c>
      <c r="C2569" s="1" t="s">
        <v>12311</v>
      </c>
      <c r="D2569" s="1">
        <v>2.5592632E7</v>
      </c>
      <c r="E2569" s="1" t="s">
        <v>6019</v>
      </c>
      <c r="F2569" s="1" t="s">
        <v>1167</v>
      </c>
      <c r="G2569" s="1" t="s">
        <v>1245</v>
      </c>
      <c r="H2569" s="1" t="s">
        <v>3097</v>
      </c>
      <c r="I2569" s="1">
        <v>220475.0</v>
      </c>
      <c r="J2569" s="1" t="s">
        <v>12312</v>
      </c>
      <c r="K2569" s="1" t="s">
        <v>12313</v>
      </c>
      <c r="L2569" s="1">
        <v>1066.0</v>
      </c>
      <c r="M2569" s="1" t="s">
        <v>35</v>
      </c>
      <c r="N2569" s="1" t="s">
        <v>36</v>
      </c>
      <c r="O2569" s="1" t="s">
        <v>628</v>
      </c>
      <c r="P2569" s="1">
        <v>1.8E7</v>
      </c>
      <c r="Q2569" s="1">
        <v>2007.0</v>
      </c>
      <c r="R2569" s="1">
        <v>2000.0</v>
      </c>
      <c r="S2569" s="1">
        <v>850.0</v>
      </c>
      <c r="T2569" s="1">
        <v>745.0</v>
      </c>
      <c r="U2569" s="1">
        <v>5371.0</v>
      </c>
      <c r="V2569" s="1">
        <v>0.0</v>
      </c>
      <c r="W2569" s="1">
        <v>20000.0</v>
      </c>
      <c r="X2569" s="1">
        <v>0.0</v>
      </c>
      <c r="Y2569" s="1">
        <v>1.85</v>
      </c>
      <c r="Z2569" s="1">
        <v>7.2</v>
      </c>
    </row>
    <row r="2570" ht="14.25" customHeight="1">
      <c r="A2570" s="1" t="s">
        <v>710</v>
      </c>
      <c r="B2570" s="1" t="s">
        <v>12314</v>
      </c>
      <c r="C2570" s="1" t="s">
        <v>12315</v>
      </c>
      <c r="D2570" s="1">
        <v>2.5440971E7</v>
      </c>
      <c r="E2570" s="1" t="s">
        <v>2117</v>
      </c>
      <c r="F2570" s="1" t="s">
        <v>12316</v>
      </c>
      <c r="G2570" s="1" t="s">
        <v>12317</v>
      </c>
      <c r="H2570" s="1" t="s">
        <v>12318</v>
      </c>
      <c r="I2570" s="1">
        <v>289508.0</v>
      </c>
      <c r="J2570" s="1" t="s">
        <v>12319</v>
      </c>
      <c r="K2570" s="1" t="s">
        <v>12320</v>
      </c>
      <c r="L2570" s="1">
        <v>611.0</v>
      </c>
      <c r="M2570" s="1" t="s">
        <v>35</v>
      </c>
      <c r="N2570" s="1" t="s">
        <v>54</v>
      </c>
      <c r="O2570" s="1" t="s">
        <v>628</v>
      </c>
      <c r="P2570" s="1">
        <v>1.5E7</v>
      </c>
      <c r="Q2570" s="1">
        <v>2015.0</v>
      </c>
      <c r="R2570" s="1">
        <v>149.0</v>
      </c>
      <c r="S2570" s="1">
        <v>145.0</v>
      </c>
      <c r="T2570" s="1">
        <v>123.0</v>
      </c>
      <c r="U2570" s="1">
        <v>430.0</v>
      </c>
      <c r="V2570" s="1">
        <v>232.0</v>
      </c>
      <c r="W2570" s="1">
        <v>109000.0</v>
      </c>
      <c r="X2570" s="1">
        <v>0.0</v>
      </c>
      <c r="Y2570" s="1">
        <v>2.35</v>
      </c>
      <c r="Z2570" s="1">
        <v>7.7</v>
      </c>
    </row>
    <row r="2571" ht="14.25" customHeight="1">
      <c r="A2571" s="1" t="s">
        <v>26</v>
      </c>
      <c r="B2571" s="1" t="s">
        <v>1717</v>
      </c>
      <c r="C2571" s="1" t="s">
        <v>12321</v>
      </c>
      <c r="D2571" s="1">
        <v>2.2858926E7</v>
      </c>
      <c r="E2571" s="1" t="s">
        <v>7388</v>
      </c>
      <c r="F2571" s="1" t="s">
        <v>4225</v>
      </c>
      <c r="G2571" s="1" t="s">
        <v>12322</v>
      </c>
      <c r="H2571" s="1" t="s">
        <v>576</v>
      </c>
      <c r="I2571" s="1">
        <v>254404.0</v>
      </c>
      <c r="J2571" s="1" t="s">
        <v>12323</v>
      </c>
      <c r="K2571" s="1" t="s">
        <v>12324</v>
      </c>
      <c r="L2571" s="1">
        <v>840.0</v>
      </c>
      <c r="M2571" s="1" t="s">
        <v>35</v>
      </c>
      <c r="N2571" s="1" t="s">
        <v>36</v>
      </c>
      <c r="O2571" s="1" t="s">
        <v>628</v>
      </c>
      <c r="P2571" s="1">
        <v>1.3E7</v>
      </c>
      <c r="Q2571" s="1">
        <v>1999.0</v>
      </c>
      <c r="R2571" s="1">
        <v>512.0</v>
      </c>
      <c r="S2571" s="1">
        <v>216.0</v>
      </c>
      <c r="T2571" s="1">
        <v>213.0</v>
      </c>
      <c r="U2571" s="1">
        <v>1171.0</v>
      </c>
      <c r="V2571" s="1">
        <v>0.0</v>
      </c>
      <c r="W2571" s="1">
        <v>0.0</v>
      </c>
      <c r="X2571" s="1">
        <v>2.0</v>
      </c>
      <c r="Y2571" s="1">
        <v>1.85</v>
      </c>
      <c r="Z2571" s="1">
        <v>7.8</v>
      </c>
    </row>
    <row r="2572" ht="14.25" customHeight="1">
      <c r="A2572" s="1" t="s">
        <v>26</v>
      </c>
      <c r="B2572" s="1" t="s">
        <v>12325</v>
      </c>
      <c r="C2572" s="1" t="s">
        <v>12326</v>
      </c>
      <c r="D2572" s="1">
        <v>2.2235901E7</v>
      </c>
      <c r="E2572" s="1" t="s">
        <v>1598</v>
      </c>
      <c r="F2572" s="1" t="s">
        <v>5151</v>
      </c>
      <c r="G2572" s="1" t="s">
        <v>609</v>
      </c>
      <c r="H2572" s="1" t="s">
        <v>6719</v>
      </c>
      <c r="I2572" s="1">
        <v>4339.0</v>
      </c>
      <c r="J2572" s="1" t="s">
        <v>12327</v>
      </c>
      <c r="K2572" s="1" t="s">
        <v>12328</v>
      </c>
      <c r="L2572" s="1">
        <v>31.0</v>
      </c>
      <c r="M2572" s="1" t="s">
        <v>35</v>
      </c>
      <c r="N2572" s="1" t="s">
        <v>36</v>
      </c>
      <c r="O2572" s="1" t="s">
        <v>628</v>
      </c>
      <c r="P2572" s="1">
        <v>6000000.0</v>
      </c>
      <c r="Q2572" s="1">
        <v>2001.0</v>
      </c>
      <c r="R2572" s="1">
        <v>939.0</v>
      </c>
      <c r="S2572" s="1">
        <v>890.0</v>
      </c>
      <c r="T2572" s="1">
        <v>405.0</v>
      </c>
      <c r="U2572" s="1">
        <v>2815.0</v>
      </c>
      <c r="V2572" s="1">
        <v>7.0</v>
      </c>
      <c r="W2572" s="1">
        <v>593.0</v>
      </c>
      <c r="X2572" s="1">
        <v>2.0</v>
      </c>
      <c r="Y2572" s="1">
        <v>1.85</v>
      </c>
      <c r="Z2572" s="1">
        <v>6.1</v>
      </c>
    </row>
    <row r="2573" ht="14.25" customHeight="1">
      <c r="A2573" s="1" t="s">
        <v>26</v>
      </c>
      <c r="B2573" s="1" t="s">
        <v>12329</v>
      </c>
      <c r="C2573" s="1" t="s">
        <v>12330</v>
      </c>
      <c r="D2573" s="1">
        <v>3.8916903E7</v>
      </c>
      <c r="E2573" s="1" t="s">
        <v>12331</v>
      </c>
      <c r="F2573" s="1" t="s">
        <v>12332</v>
      </c>
      <c r="G2573" s="1" t="s">
        <v>12333</v>
      </c>
      <c r="H2573" s="1" t="s">
        <v>12334</v>
      </c>
      <c r="I2573" s="1">
        <v>15664.0</v>
      </c>
      <c r="J2573" s="1" t="s">
        <v>12335</v>
      </c>
      <c r="K2573" s="1" t="s">
        <v>12336</v>
      </c>
      <c r="L2573" s="1">
        <v>149.0</v>
      </c>
      <c r="M2573" s="1" t="s">
        <v>35</v>
      </c>
      <c r="N2573" s="1" t="s">
        <v>36</v>
      </c>
      <c r="O2573" s="1" t="s">
        <v>87</v>
      </c>
      <c r="P2573" s="1">
        <v>1.3E7</v>
      </c>
      <c r="Q2573" s="1">
        <v>2014.0</v>
      </c>
      <c r="R2573" s="1">
        <v>803.0</v>
      </c>
      <c r="S2573" s="1">
        <v>587.0</v>
      </c>
      <c r="T2573" s="1">
        <v>140.0</v>
      </c>
      <c r="U2573" s="1">
        <v>1921.0</v>
      </c>
      <c r="V2573" s="1">
        <v>13.0</v>
      </c>
      <c r="W2573" s="1">
        <v>0.0</v>
      </c>
      <c r="X2573" s="1">
        <v>0.0</v>
      </c>
      <c r="Y2573" s="1">
        <v>1.85</v>
      </c>
      <c r="Z2573" s="1">
        <v>5.8</v>
      </c>
    </row>
    <row r="2574" ht="14.25" customHeight="1">
      <c r="A2574" s="1" t="s">
        <v>26</v>
      </c>
      <c r="B2574" s="1" t="s">
        <v>5109</v>
      </c>
      <c r="C2574" s="1" t="s">
        <v>12337</v>
      </c>
      <c r="D2574" s="1">
        <v>1.6929123E7</v>
      </c>
      <c r="E2574" s="1" t="s">
        <v>206</v>
      </c>
      <c r="F2574" s="1" t="s">
        <v>76</v>
      </c>
      <c r="G2574" s="1" t="s">
        <v>3524</v>
      </c>
      <c r="H2574" s="1" t="s">
        <v>12338</v>
      </c>
      <c r="I2574" s="1">
        <v>21406.0</v>
      </c>
      <c r="J2574" s="1" t="s">
        <v>12339</v>
      </c>
      <c r="K2574" s="1" t="s">
        <v>12340</v>
      </c>
      <c r="L2574" s="1">
        <v>169.0</v>
      </c>
      <c r="M2574" s="1" t="s">
        <v>35</v>
      </c>
      <c r="N2574" s="1" t="s">
        <v>36</v>
      </c>
      <c r="O2574" s="1" t="s">
        <v>37</v>
      </c>
      <c r="P2574" s="1">
        <v>1.4E7</v>
      </c>
      <c r="Q2574" s="1">
        <v>2001.0</v>
      </c>
      <c r="R2574" s="1">
        <v>4000.0</v>
      </c>
      <c r="S2574" s="1">
        <v>1000.0</v>
      </c>
      <c r="T2574" s="1">
        <v>525.0</v>
      </c>
      <c r="U2574" s="1">
        <v>6214.0</v>
      </c>
      <c r="V2574" s="1">
        <v>134.0</v>
      </c>
      <c r="W2574" s="1">
        <v>0.0</v>
      </c>
      <c r="X2574" s="1">
        <v>2.0</v>
      </c>
      <c r="Y2574" s="1">
        <v>1.85</v>
      </c>
      <c r="Z2574" s="1">
        <v>6.5</v>
      </c>
    </row>
    <row r="2575" ht="14.25" customHeight="1">
      <c r="A2575" s="1" t="s">
        <v>26</v>
      </c>
      <c r="B2575" s="1" t="s">
        <v>3503</v>
      </c>
      <c r="C2575" s="1" t="s">
        <v>12341</v>
      </c>
      <c r="D2575" s="1">
        <v>1.3753931E7</v>
      </c>
      <c r="E2575" s="1" t="s">
        <v>1880</v>
      </c>
      <c r="F2575" s="1" t="s">
        <v>12342</v>
      </c>
      <c r="G2575" s="1" t="s">
        <v>12343</v>
      </c>
      <c r="H2575" s="1" t="s">
        <v>12344</v>
      </c>
      <c r="I2575" s="1">
        <v>132149.0</v>
      </c>
      <c r="J2575" s="1" t="s">
        <v>12345</v>
      </c>
      <c r="K2575" s="1" t="s">
        <v>12346</v>
      </c>
      <c r="L2575" s="1">
        <v>316.0</v>
      </c>
      <c r="M2575" s="1" t="s">
        <v>7281</v>
      </c>
      <c r="N2575" s="1" t="s">
        <v>36</v>
      </c>
      <c r="O2575" s="1" t="s">
        <v>628</v>
      </c>
      <c r="P2575" s="1">
        <v>1.9E7</v>
      </c>
      <c r="Q2575" s="1">
        <v>2006.0</v>
      </c>
      <c r="R2575" s="1">
        <v>378.0</v>
      </c>
      <c r="S2575" s="1">
        <v>85.0</v>
      </c>
      <c r="T2575" s="1">
        <v>78.0</v>
      </c>
      <c r="U2575" s="1">
        <v>751.0</v>
      </c>
      <c r="V2575" s="1">
        <v>16000.0</v>
      </c>
      <c r="W2575" s="1">
        <v>5000.0</v>
      </c>
      <c r="X2575" s="1">
        <v>0.0</v>
      </c>
      <c r="Y2575" s="1">
        <v>2.35</v>
      </c>
      <c r="Z2575" s="1">
        <v>7.9</v>
      </c>
    </row>
    <row r="2576" ht="14.25" customHeight="1">
      <c r="A2576" s="1" t="s">
        <v>26</v>
      </c>
      <c r="B2576" s="1" t="s">
        <v>12347</v>
      </c>
      <c r="C2576" s="1" t="s">
        <v>12348</v>
      </c>
      <c r="D2576" s="1">
        <v>1.099644E7</v>
      </c>
      <c r="E2576" s="1" t="s">
        <v>636</v>
      </c>
      <c r="F2576" s="1" t="s">
        <v>74</v>
      </c>
      <c r="G2576" s="1" t="s">
        <v>2548</v>
      </c>
      <c r="H2576" s="1" t="s">
        <v>9596</v>
      </c>
      <c r="I2576" s="1">
        <v>19707.0</v>
      </c>
      <c r="J2576" s="1" t="s">
        <v>12349</v>
      </c>
      <c r="K2576" s="1" t="s">
        <v>12350</v>
      </c>
      <c r="L2576" s="1">
        <v>128.0</v>
      </c>
      <c r="M2576" s="1" t="s">
        <v>35</v>
      </c>
      <c r="N2576" s="1" t="s">
        <v>36</v>
      </c>
      <c r="O2576" s="1" t="s">
        <v>87</v>
      </c>
      <c r="P2576" s="1">
        <v>1.3E7</v>
      </c>
      <c r="Q2576" s="1">
        <v>2006.0</v>
      </c>
      <c r="R2576" s="1">
        <v>24000.0</v>
      </c>
      <c r="S2576" s="1">
        <v>912.0</v>
      </c>
      <c r="T2576" s="1">
        <v>844.0</v>
      </c>
      <c r="U2576" s="1">
        <v>27806.0</v>
      </c>
      <c r="V2576" s="1">
        <v>35.0</v>
      </c>
      <c r="W2576" s="1">
        <v>862.0</v>
      </c>
      <c r="X2576" s="1">
        <v>0.0</v>
      </c>
      <c r="Y2576" s="1">
        <v>2.35</v>
      </c>
      <c r="Z2576" s="1">
        <v>6.3</v>
      </c>
    </row>
    <row r="2577" ht="14.25" customHeight="1">
      <c r="A2577" s="1" t="s">
        <v>26</v>
      </c>
      <c r="B2577" s="1" t="s">
        <v>12351</v>
      </c>
      <c r="C2577" s="1" t="s">
        <v>12352</v>
      </c>
      <c r="D2577" s="1">
        <v>1.4677654E7</v>
      </c>
      <c r="E2577" s="1" t="s">
        <v>3238</v>
      </c>
      <c r="F2577" s="1" t="s">
        <v>2234</v>
      </c>
      <c r="G2577" s="1" t="s">
        <v>1522</v>
      </c>
      <c r="H2577" s="1" t="s">
        <v>7425</v>
      </c>
      <c r="I2577" s="1">
        <v>161288.0</v>
      </c>
      <c r="J2577" s="1" t="s">
        <v>12353</v>
      </c>
      <c r="K2577" s="1" t="s">
        <v>12354</v>
      </c>
      <c r="L2577" s="1">
        <v>351.0</v>
      </c>
      <c r="M2577" s="1" t="s">
        <v>35</v>
      </c>
      <c r="N2577" s="1" t="s">
        <v>7469</v>
      </c>
      <c r="O2577" s="1" t="s">
        <v>628</v>
      </c>
      <c r="P2577" s="1">
        <v>1.3E7</v>
      </c>
      <c r="Q2577" s="1">
        <v>2015.0</v>
      </c>
      <c r="R2577" s="1">
        <v>805.0</v>
      </c>
      <c r="S2577" s="1">
        <v>681.0</v>
      </c>
      <c r="T2577" s="1">
        <v>491.0</v>
      </c>
      <c r="U2577" s="1">
        <v>2499.0</v>
      </c>
      <c r="V2577" s="1">
        <v>412.0</v>
      </c>
      <c r="W2577" s="1">
        <v>72000.0</v>
      </c>
      <c r="X2577" s="1">
        <v>0.0</v>
      </c>
      <c r="Y2577" s="1">
        <v>2.35</v>
      </c>
      <c r="Z2577" s="1">
        <v>8.3</v>
      </c>
    </row>
    <row r="2578" ht="14.25" customHeight="1">
      <c r="A2578" s="1" t="s">
        <v>26</v>
      </c>
      <c r="B2578" s="1" t="s">
        <v>6375</v>
      </c>
      <c r="C2578" s="1" t="s">
        <v>12355</v>
      </c>
      <c r="D2578" s="1">
        <v>9975684.0</v>
      </c>
      <c r="E2578" s="1" t="s">
        <v>1885</v>
      </c>
      <c r="F2578" s="1" t="s">
        <v>316</v>
      </c>
      <c r="G2578" s="1" t="s">
        <v>11205</v>
      </c>
      <c r="H2578" s="1" t="s">
        <v>1809</v>
      </c>
      <c r="I2578" s="1">
        <v>20033.0</v>
      </c>
      <c r="J2578" s="1" t="s">
        <v>12356</v>
      </c>
      <c r="K2578" s="1" t="s">
        <v>12357</v>
      </c>
      <c r="L2578" s="1">
        <v>117.0</v>
      </c>
      <c r="M2578" s="1" t="s">
        <v>35</v>
      </c>
      <c r="N2578" s="1" t="s">
        <v>260</v>
      </c>
      <c r="O2578" s="1" t="s">
        <v>37</v>
      </c>
      <c r="P2578" s="1">
        <v>1.3E7</v>
      </c>
      <c r="Q2578" s="1">
        <v>1998.0</v>
      </c>
      <c r="R2578" s="1">
        <v>721.0</v>
      </c>
      <c r="S2578" s="1">
        <v>359.0</v>
      </c>
      <c r="T2578" s="1">
        <v>294.0</v>
      </c>
      <c r="U2578" s="1">
        <v>1805.0</v>
      </c>
      <c r="V2578" s="1">
        <v>799.0</v>
      </c>
      <c r="W2578" s="1">
        <v>679.0</v>
      </c>
      <c r="X2578" s="1">
        <v>0.0</v>
      </c>
      <c r="Y2578" s="1">
        <v>1.85</v>
      </c>
      <c r="Z2578" s="1">
        <v>6.4</v>
      </c>
    </row>
    <row r="2579" ht="14.25" customHeight="1">
      <c r="A2579" s="1" t="s">
        <v>26</v>
      </c>
      <c r="B2579" s="1" t="s">
        <v>12358</v>
      </c>
      <c r="C2579" s="1" t="s">
        <v>12359</v>
      </c>
      <c r="D2579" s="1">
        <v>7881335.0</v>
      </c>
      <c r="E2579" s="1" t="s">
        <v>5605</v>
      </c>
      <c r="F2579" s="1" t="s">
        <v>3733</v>
      </c>
      <c r="G2579" s="1" t="s">
        <v>5617</v>
      </c>
      <c r="H2579" s="1" t="s">
        <v>5407</v>
      </c>
      <c r="I2579" s="1">
        <v>21212.0</v>
      </c>
      <c r="J2579" s="1" t="s">
        <v>12360</v>
      </c>
      <c r="K2579" s="1" t="s">
        <v>12361</v>
      </c>
      <c r="L2579" s="1">
        <v>107.0</v>
      </c>
      <c r="M2579" s="1" t="s">
        <v>35</v>
      </c>
      <c r="N2579" s="1" t="s">
        <v>36</v>
      </c>
      <c r="O2579" s="1" t="s">
        <v>628</v>
      </c>
      <c r="P2579" s="1">
        <v>1.3E7</v>
      </c>
      <c r="Q2579" s="1">
        <v>1994.0</v>
      </c>
      <c r="R2579" s="1">
        <v>899.0</v>
      </c>
      <c r="S2579" s="1">
        <v>849.0</v>
      </c>
      <c r="T2579" s="1">
        <v>650.0</v>
      </c>
      <c r="U2579" s="1">
        <v>3092.0</v>
      </c>
      <c r="V2579" s="1">
        <v>0.0</v>
      </c>
      <c r="W2579" s="1">
        <v>3000.0</v>
      </c>
      <c r="X2579" s="1">
        <v>4.0</v>
      </c>
      <c r="Y2579" s="1">
        <v>1.66</v>
      </c>
      <c r="Z2579" s="1">
        <v>6.7</v>
      </c>
    </row>
    <row r="2580" ht="14.25" customHeight="1">
      <c r="A2580" s="1" t="s">
        <v>26</v>
      </c>
      <c r="B2580" s="1" t="s">
        <v>10063</v>
      </c>
      <c r="C2580" s="1" t="s">
        <v>12362</v>
      </c>
      <c r="D2580" s="1">
        <v>6241697.0</v>
      </c>
      <c r="E2580" s="1" t="s">
        <v>1885</v>
      </c>
      <c r="F2580" s="1" t="s">
        <v>307</v>
      </c>
      <c r="G2580" s="1" t="s">
        <v>1197</v>
      </c>
      <c r="H2580" s="1" t="s">
        <v>76</v>
      </c>
      <c r="I2580" s="1">
        <v>16059.0</v>
      </c>
      <c r="J2580" s="1" t="s">
        <v>12363</v>
      </c>
      <c r="K2580" s="1" t="s">
        <v>12364</v>
      </c>
      <c r="L2580" s="1">
        <v>210.0</v>
      </c>
      <c r="M2580" s="1" t="s">
        <v>35</v>
      </c>
      <c r="N2580" s="1" t="s">
        <v>1832</v>
      </c>
      <c r="O2580" s="1" t="s">
        <v>37</v>
      </c>
      <c r="P2580" s="1">
        <v>1.3E7</v>
      </c>
      <c r="Q2580" s="1">
        <v>1999.0</v>
      </c>
      <c r="R2580" s="1">
        <v>16000.0</v>
      </c>
      <c r="S2580" s="1">
        <v>8000.0</v>
      </c>
      <c r="T2580" s="1">
        <v>4000.0</v>
      </c>
      <c r="U2580" s="1">
        <v>31005.0</v>
      </c>
      <c r="V2580" s="1">
        <v>26.0</v>
      </c>
      <c r="W2580" s="1">
        <v>0.0</v>
      </c>
      <c r="X2580" s="1">
        <v>2.0</v>
      </c>
      <c r="Y2580" s="1">
        <v>1.85</v>
      </c>
      <c r="Z2580" s="1">
        <v>6.1</v>
      </c>
    </row>
    <row r="2581" ht="14.25" customHeight="1">
      <c r="A2581" s="1" t="s">
        <v>26</v>
      </c>
      <c r="B2581" s="1" t="s">
        <v>12365</v>
      </c>
      <c r="C2581" s="1" t="s">
        <v>12366</v>
      </c>
      <c r="D2581" s="1">
        <v>5871603.0</v>
      </c>
      <c r="E2581" s="1" t="s">
        <v>3868</v>
      </c>
      <c r="F2581" s="1" t="s">
        <v>947</v>
      </c>
      <c r="G2581" s="1" t="s">
        <v>1677</v>
      </c>
      <c r="H2581" s="1" t="s">
        <v>5412</v>
      </c>
      <c r="I2581" s="1">
        <v>3116.0</v>
      </c>
      <c r="J2581" s="1" t="s">
        <v>12367</v>
      </c>
      <c r="K2581" s="1" t="s">
        <v>12368</v>
      </c>
      <c r="L2581" s="1">
        <v>39.0</v>
      </c>
      <c r="M2581" s="1" t="s">
        <v>35</v>
      </c>
      <c r="N2581" s="1" t="s">
        <v>36</v>
      </c>
      <c r="O2581" s="1" t="s">
        <v>628</v>
      </c>
      <c r="P2581" s="1">
        <v>1.3E7</v>
      </c>
      <c r="Q2581" s="1">
        <v>1999.0</v>
      </c>
      <c r="R2581" s="1">
        <v>3000.0</v>
      </c>
      <c r="S2581" s="1">
        <v>1000.0</v>
      </c>
      <c r="T2581" s="1">
        <v>730.0</v>
      </c>
      <c r="U2581" s="1">
        <v>6485.0</v>
      </c>
      <c r="V2581" s="1">
        <v>7.0</v>
      </c>
      <c r="W2581" s="1">
        <v>251.0</v>
      </c>
      <c r="X2581" s="1">
        <v>3.0</v>
      </c>
      <c r="Y2581" s="1">
        <v>1.85</v>
      </c>
      <c r="Z2581" s="1">
        <v>6.0</v>
      </c>
    </row>
    <row r="2582" ht="14.25" customHeight="1">
      <c r="A2582" s="1" t="s">
        <v>26</v>
      </c>
      <c r="B2582" s="1" t="s">
        <v>12369</v>
      </c>
      <c r="C2582" s="1">
        <v>54.0</v>
      </c>
      <c r="D2582" s="1">
        <v>1.6574731E7</v>
      </c>
      <c r="E2582" s="1" t="s">
        <v>5819</v>
      </c>
      <c r="F2582" s="1" t="s">
        <v>480</v>
      </c>
      <c r="G2582" s="1" t="s">
        <v>9344</v>
      </c>
      <c r="H2582" s="1" t="s">
        <v>610</v>
      </c>
      <c r="I2582" s="1">
        <v>27675.0</v>
      </c>
      <c r="J2582" s="1" t="s">
        <v>12370</v>
      </c>
      <c r="K2582" s="1" t="s">
        <v>12371</v>
      </c>
      <c r="L2582" s="1">
        <v>181.0</v>
      </c>
      <c r="M2582" s="1" t="s">
        <v>35</v>
      </c>
      <c r="N2582" s="1" t="s">
        <v>36</v>
      </c>
      <c r="O2582" s="1" t="s">
        <v>628</v>
      </c>
      <c r="P2582" s="1">
        <v>1.3E7</v>
      </c>
      <c r="Q2582" s="1">
        <v>1998.0</v>
      </c>
      <c r="R2582" s="1">
        <v>4000.0</v>
      </c>
      <c r="S2582" s="1">
        <v>957.0</v>
      </c>
      <c r="T2582" s="1">
        <v>812.0</v>
      </c>
      <c r="U2582" s="1">
        <v>6910.0</v>
      </c>
      <c r="V2582" s="1">
        <v>15.0</v>
      </c>
      <c r="W2582" s="1">
        <v>0.0</v>
      </c>
      <c r="X2582" s="1">
        <v>4.0</v>
      </c>
      <c r="Y2582" s="1">
        <v>1.85</v>
      </c>
      <c r="Z2582" s="1">
        <v>5.8</v>
      </c>
    </row>
    <row r="2583" ht="14.25" customHeight="1">
      <c r="A2583" s="1" t="s">
        <v>26</v>
      </c>
      <c r="B2583" s="1" t="s">
        <v>12372</v>
      </c>
      <c r="C2583" s="1" t="s">
        <v>12373</v>
      </c>
      <c r="D2583" s="1">
        <v>5002310.0</v>
      </c>
      <c r="E2583" s="1" t="s">
        <v>12374</v>
      </c>
      <c r="F2583" s="1" t="s">
        <v>365</v>
      </c>
      <c r="G2583" s="1" t="s">
        <v>10365</v>
      </c>
      <c r="H2583" s="1" t="s">
        <v>7215</v>
      </c>
      <c r="I2583" s="1">
        <v>25541.0</v>
      </c>
      <c r="J2583" s="1" t="s">
        <v>12375</v>
      </c>
      <c r="K2583" s="1" t="s">
        <v>12376</v>
      </c>
      <c r="L2583" s="1">
        <v>181.0</v>
      </c>
      <c r="M2583" s="1" t="s">
        <v>35</v>
      </c>
      <c r="N2583" s="1" t="s">
        <v>36</v>
      </c>
      <c r="O2583" s="1" t="s">
        <v>37</v>
      </c>
      <c r="P2583" s="1">
        <v>1.3E7</v>
      </c>
      <c r="Q2583" s="1">
        <v>2001.0</v>
      </c>
      <c r="R2583" s="1">
        <v>15000.0</v>
      </c>
      <c r="S2583" s="1">
        <v>816.0</v>
      </c>
      <c r="T2583" s="1">
        <v>690.0</v>
      </c>
      <c r="U2583" s="1">
        <v>18864.0</v>
      </c>
      <c r="V2583" s="1">
        <v>2.0</v>
      </c>
      <c r="W2583" s="1">
        <v>0.0</v>
      </c>
      <c r="X2583" s="1">
        <v>0.0</v>
      </c>
      <c r="Y2583" s="1">
        <v>2.35</v>
      </c>
      <c r="Z2583" s="1">
        <v>5.6</v>
      </c>
    </row>
    <row r="2584" ht="14.25" customHeight="1">
      <c r="A2584" s="1" t="s">
        <v>26</v>
      </c>
      <c r="B2584" s="1" t="s">
        <v>12377</v>
      </c>
      <c r="C2584" s="1" t="s">
        <v>12378</v>
      </c>
      <c r="D2584" s="1">
        <v>4919896.0</v>
      </c>
      <c r="E2584" s="1" t="s">
        <v>5605</v>
      </c>
      <c r="F2584" s="1" t="s">
        <v>7773</v>
      </c>
      <c r="G2584" s="1" t="s">
        <v>5533</v>
      </c>
      <c r="H2584" s="1" t="s">
        <v>8346</v>
      </c>
      <c r="I2584" s="1">
        <v>21530.0</v>
      </c>
      <c r="J2584" s="1" t="s">
        <v>12379</v>
      </c>
      <c r="K2584" s="1" t="s">
        <v>12380</v>
      </c>
      <c r="L2584" s="1">
        <v>159.0</v>
      </c>
      <c r="M2584" s="1" t="s">
        <v>35</v>
      </c>
      <c r="N2584" s="1" t="s">
        <v>54</v>
      </c>
      <c r="O2584" s="1" t="s">
        <v>628</v>
      </c>
      <c r="P2584" s="1">
        <v>1.3E7</v>
      </c>
      <c r="Q2584" s="1">
        <v>2001.0</v>
      </c>
      <c r="R2584" s="1">
        <v>567.0</v>
      </c>
      <c r="S2584" s="1">
        <v>326.0</v>
      </c>
      <c r="T2584" s="1">
        <v>258.0</v>
      </c>
      <c r="U2584" s="1">
        <v>1775.0</v>
      </c>
      <c r="V2584" s="1">
        <v>16.0</v>
      </c>
      <c r="W2584" s="1">
        <v>618.0</v>
      </c>
      <c r="X2584" s="1">
        <v>1.0</v>
      </c>
      <c r="Y2584" s="1">
        <v>2.35</v>
      </c>
      <c r="Z2584" s="1">
        <v>6.1</v>
      </c>
    </row>
    <row r="2585" ht="14.25" customHeight="1">
      <c r="A2585" s="1" t="s">
        <v>26</v>
      </c>
      <c r="B2585" s="1" t="s">
        <v>12381</v>
      </c>
      <c r="C2585" s="1" t="s">
        <v>12382</v>
      </c>
      <c r="D2585" s="1">
        <v>2.5675765E7</v>
      </c>
      <c r="E2585" s="1" t="s">
        <v>1885</v>
      </c>
      <c r="F2585" s="1" t="s">
        <v>12383</v>
      </c>
      <c r="G2585" s="1" t="s">
        <v>12384</v>
      </c>
      <c r="H2585" s="1" t="s">
        <v>12385</v>
      </c>
      <c r="I2585" s="1">
        <v>60407.0</v>
      </c>
      <c r="J2585" s="1" t="s">
        <v>12386</v>
      </c>
      <c r="K2585" s="1" t="s">
        <v>12387</v>
      </c>
      <c r="L2585" s="1">
        <v>84.0</v>
      </c>
      <c r="M2585" s="1" t="s">
        <v>35</v>
      </c>
      <c r="N2585" s="1" t="s">
        <v>36</v>
      </c>
      <c r="O2585" s="1" t="s">
        <v>628</v>
      </c>
      <c r="P2585" s="1">
        <v>1.3E7</v>
      </c>
      <c r="Q2585" s="1">
        <v>2013.0</v>
      </c>
      <c r="R2585" s="1">
        <v>552.0</v>
      </c>
      <c r="S2585" s="1">
        <v>528.0</v>
      </c>
      <c r="T2585" s="1">
        <v>499.0</v>
      </c>
      <c r="U2585" s="1">
        <v>2730.0</v>
      </c>
      <c r="V2585" s="1">
        <v>24.0</v>
      </c>
      <c r="W2585" s="1">
        <v>11000.0</v>
      </c>
      <c r="X2585" s="1">
        <v>0.0</v>
      </c>
      <c r="Y2585" s="1">
        <v>2.35</v>
      </c>
      <c r="Z2585" s="1">
        <v>5.9</v>
      </c>
    </row>
    <row r="2586" ht="14.25" customHeight="1">
      <c r="A2586" s="1" t="s">
        <v>26</v>
      </c>
      <c r="B2586" s="1" t="s">
        <v>12388</v>
      </c>
      <c r="C2586" s="1" t="s">
        <v>12389</v>
      </c>
      <c r="D2586" s="1">
        <v>4857376.0</v>
      </c>
      <c r="E2586" s="1" t="s">
        <v>1359</v>
      </c>
      <c r="F2586" s="1" t="s">
        <v>264</v>
      </c>
      <c r="G2586" s="1" t="s">
        <v>4512</v>
      </c>
      <c r="H2586" s="1" t="s">
        <v>12390</v>
      </c>
      <c r="I2586" s="1">
        <v>63084.0</v>
      </c>
      <c r="J2586" s="1" t="s">
        <v>12391</v>
      </c>
      <c r="K2586" s="1" t="s">
        <v>12392</v>
      </c>
      <c r="L2586" s="1">
        <v>123.0</v>
      </c>
      <c r="M2586" s="1" t="s">
        <v>2752</v>
      </c>
      <c r="N2586" s="1" t="s">
        <v>1832</v>
      </c>
      <c r="O2586" s="1" t="s">
        <v>628</v>
      </c>
      <c r="P2586" s="1">
        <v>1.3E7</v>
      </c>
      <c r="Q2586" s="1">
        <v>2006.0</v>
      </c>
      <c r="R2586" s="1">
        <v>12000.0</v>
      </c>
      <c r="S2586" s="1">
        <v>530.0</v>
      </c>
      <c r="T2586" s="1">
        <v>280.0</v>
      </c>
      <c r="U2586" s="1">
        <v>13208.0</v>
      </c>
      <c r="V2586" s="1">
        <v>107.0</v>
      </c>
      <c r="W2586" s="1">
        <v>0.0</v>
      </c>
      <c r="X2586" s="1">
        <v>0.0</v>
      </c>
      <c r="Y2586" s="1">
        <v>1.85</v>
      </c>
      <c r="Z2586" s="1">
        <v>7.3</v>
      </c>
    </row>
    <row r="2587" ht="14.25" customHeight="1">
      <c r="A2587" s="1" t="s">
        <v>26</v>
      </c>
      <c r="B2587" s="1" t="s">
        <v>4125</v>
      </c>
      <c r="C2587" s="1" t="s">
        <v>12393</v>
      </c>
      <c r="D2587" s="1">
        <v>3169424.0</v>
      </c>
      <c r="E2587" s="1" t="s">
        <v>3598</v>
      </c>
      <c r="F2587" s="1" t="s">
        <v>135</v>
      </c>
      <c r="G2587" s="1" t="s">
        <v>12394</v>
      </c>
      <c r="H2587" s="1" t="s">
        <v>3036</v>
      </c>
      <c r="I2587" s="1">
        <v>18442.0</v>
      </c>
      <c r="J2587" s="1" t="s">
        <v>12395</v>
      </c>
      <c r="K2587" s="1" t="s">
        <v>12396</v>
      </c>
      <c r="L2587" s="1">
        <v>59.0</v>
      </c>
      <c r="M2587" s="1" t="s">
        <v>35</v>
      </c>
      <c r="N2587" s="1" t="s">
        <v>36</v>
      </c>
      <c r="O2587" s="1" t="s">
        <v>37</v>
      </c>
      <c r="P2587" s="1">
        <v>1.3E7</v>
      </c>
      <c r="Q2587" s="1">
        <v>2007.0</v>
      </c>
      <c r="R2587" s="1">
        <v>748.0</v>
      </c>
      <c r="S2587" s="1">
        <v>573.0</v>
      </c>
      <c r="T2587" s="1">
        <v>548.0</v>
      </c>
      <c r="U2587" s="1">
        <v>2417.0</v>
      </c>
      <c r="V2587" s="1">
        <v>37.0</v>
      </c>
      <c r="W2587" s="1">
        <v>689.0</v>
      </c>
      <c r="X2587" s="1">
        <v>1.0</v>
      </c>
      <c r="Y2587" s="1">
        <v>2.35</v>
      </c>
      <c r="Z2587" s="1">
        <v>6.8</v>
      </c>
    </row>
    <row r="2588" ht="14.25" customHeight="1">
      <c r="A2588" s="1" t="s">
        <v>26</v>
      </c>
      <c r="B2588" s="1" t="s">
        <v>1661</v>
      </c>
      <c r="C2588" s="1" t="s">
        <v>12397</v>
      </c>
      <c r="D2588" s="1">
        <v>1.8004225E7</v>
      </c>
      <c r="E2588" s="1" t="s">
        <v>1359</v>
      </c>
      <c r="F2588" s="1" t="s">
        <v>4543</v>
      </c>
      <c r="G2588" s="1" t="s">
        <v>12398</v>
      </c>
      <c r="H2588" s="1" t="s">
        <v>9175</v>
      </c>
      <c r="I2588" s="1">
        <v>28573.0</v>
      </c>
      <c r="J2588" s="1" t="s">
        <v>12399</v>
      </c>
      <c r="K2588" s="1" t="s">
        <v>12400</v>
      </c>
      <c r="L2588" s="1">
        <v>87.0</v>
      </c>
      <c r="M2588" s="1" t="s">
        <v>35</v>
      </c>
      <c r="N2588" s="1" t="s">
        <v>36</v>
      </c>
      <c r="O2588" s="1" t="s">
        <v>37</v>
      </c>
      <c r="P2588" s="1">
        <v>1.3E7</v>
      </c>
      <c r="Q2588" s="1">
        <v>2013.0</v>
      </c>
      <c r="R2588" s="1">
        <v>2000.0</v>
      </c>
      <c r="S2588" s="1">
        <v>257.0</v>
      </c>
      <c r="T2588" s="1">
        <v>252.0</v>
      </c>
      <c r="U2588" s="1">
        <v>3004.0</v>
      </c>
      <c r="V2588" s="1">
        <v>80.0</v>
      </c>
      <c r="W2588" s="1">
        <v>5000.0</v>
      </c>
      <c r="X2588" s="1">
        <v>2.0</v>
      </c>
      <c r="Y2588" s="1">
        <v>2.35</v>
      </c>
      <c r="Z2588" s="1">
        <v>5.7</v>
      </c>
    </row>
    <row r="2589" ht="14.25" customHeight="1">
      <c r="A2589" s="1" t="s">
        <v>26</v>
      </c>
      <c r="B2589" s="1" t="s">
        <v>12401</v>
      </c>
      <c r="C2589" s="1" t="s">
        <v>12402</v>
      </c>
      <c r="D2589" s="1">
        <v>3058380.0</v>
      </c>
      <c r="E2589" s="1" t="s">
        <v>206</v>
      </c>
      <c r="F2589" s="1" t="s">
        <v>8116</v>
      </c>
      <c r="G2589" s="1" t="s">
        <v>12403</v>
      </c>
      <c r="H2589" s="1" t="s">
        <v>12404</v>
      </c>
      <c r="I2589" s="1">
        <v>4767.0</v>
      </c>
      <c r="J2589" s="1" t="s">
        <v>12405</v>
      </c>
      <c r="K2589" s="1" t="s">
        <v>12406</v>
      </c>
      <c r="L2589" s="1">
        <v>69.0</v>
      </c>
      <c r="M2589" s="1" t="s">
        <v>2752</v>
      </c>
      <c r="N2589" s="1" t="s">
        <v>1832</v>
      </c>
      <c r="O2589" s="1" t="s">
        <v>628</v>
      </c>
      <c r="P2589" s="1">
        <v>1.0E8</v>
      </c>
      <c r="Q2589" s="1">
        <v>2000.0</v>
      </c>
      <c r="R2589" s="1">
        <v>2000.0</v>
      </c>
      <c r="S2589" s="1">
        <v>370.0</v>
      </c>
      <c r="T2589" s="1">
        <v>8.0</v>
      </c>
      <c r="U2589" s="1">
        <v>2389.0</v>
      </c>
      <c r="V2589" s="1">
        <v>83.0</v>
      </c>
      <c r="W2589" s="1">
        <v>186.0</v>
      </c>
      <c r="X2589" s="1">
        <v>1.0</v>
      </c>
      <c r="Y2589" s="1">
        <v>2.35</v>
      </c>
      <c r="Z2589" s="1">
        <v>7.3</v>
      </c>
    </row>
    <row r="2590" ht="14.25" customHeight="1">
      <c r="A2590" s="1" t="s">
        <v>26</v>
      </c>
      <c r="B2590" s="1" t="s">
        <v>9221</v>
      </c>
      <c r="C2590" s="1" t="s">
        <v>12407</v>
      </c>
      <c r="D2590" s="1">
        <v>3074838.0</v>
      </c>
      <c r="E2590" s="1" t="s">
        <v>3113</v>
      </c>
      <c r="F2590" s="1" t="s">
        <v>220</v>
      </c>
      <c r="G2590" s="1" t="s">
        <v>12408</v>
      </c>
      <c r="H2590" s="1" t="s">
        <v>12409</v>
      </c>
      <c r="I2590" s="1">
        <v>56264.0</v>
      </c>
      <c r="J2590" s="1" t="s">
        <v>12410</v>
      </c>
      <c r="K2590" s="1" t="s">
        <v>12411</v>
      </c>
      <c r="L2590" s="1">
        <v>166.0</v>
      </c>
      <c r="M2590" s="1" t="s">
        <v>35</v>
      </c>
      <c r="N2590" s="1" t="s">
        <v>36</v>
      </c>
      <c r="O2590" s="1" t="s">
        <v>628</v>
      </c>
      <c r="P2590" s="1">
        <v>1.1E7</v>
      </c>
      <c r="Q2590" s="1">
        <v>2009.0</v>
      </c>
      <c r="R2590" s="1">
        <v>14000.0</v>
      </c>
      <c r="S2590" s="1">
        <v>153.0</v>
      </c>
      <c r="T2590" s="1">
        <v>73.0</v>
      </c>
      <c r="U2590" s="1">
        <v>14372.0</v>
      </c>
      <c r="V2590" s="1">
        <v>460.0</v>
      </c>
      <c r="W2590" s="1">
        <v>0.0</v>
      </c>
      <c r="X2590" s="1">
        <v>2.0</v>
      </c>
      <c r="Y2590" s="1">
        <v>1.85</v>
      </c>
      <c r="Z2590" s="1">
        <v>6.3</v>
      </c>
    </row>
    <row r="2591" ht="14.25" customHeight="1">
      <c r="A2591" s="1" t="s">
        <v>26</v>
      </c>
      <c r="B2591" s="1" t="s">
        <v>12412</v>
      </c>
      <c r="C2591" s="1" t="s">
        <v>12413</v>
      </c>
      <c r="D2591" s="1">
        <v>2104000.0</v>
      </c>
      <c r="E2591" s="1" t="s">
        <v>8521</v>
      </c>
      <c r="F2591" s="1" t="s">
        <v>1576</v>
      </c>
      <c r="G2591" s="1" t="s">
        <v>8576</v>
      </c>
      <c r="H2591" s="1" t="s">
        <v>12412</v>
      </c>
      <c r="I2591" s="1">
        <v>1595.0</v>
      </c>
      <c r="J2591" s="1" t="s">
        <v>12414</v>
      </c>
      <c r="K2591" s="1" t="s">
        <v>12415</v>
      </c>
      <c r="L2591" s="1">
        <v>19.0</v>
      </c>
      <c r="M2591" s="1" t="s">
        <v>35</v>
      </c>
      <c r="N2591" s="1" t="s">
        <v>36</v>
      </c>
      <c r="O2591" s="1" t="s">
        <v>628</v>
      </c>
      <c r="P2591" s="1">
        <v>1.3E7</v>
      </c>
      <c r="Q2591" s="1">
        <v>1996.0</v>
      </c>
      <c r="R2591" s="1">
        <v>979.0</v>
      </c>
      <c r="S2591" s="1">
        <v>385.0</v>
      </c>
      <c r="T2591" s="1">
        <v>150.0</v>
      </c>
      <c r="U2591" s="1">
        <v>1679.0</v>
      </c>
      <c r="V2591" s="1">
        <v>150.0</v>
      </c>
      <c r="W2591" s="1">
        <v>69.0</v>
      </c>
      <c r="X2591" s="1">
        <v>3.0</v>
      </c>
      <c r="Y2591" s="1">
        <v>1.85</v>
      </c>
      <c r="Z2591" s="1">
        <v>5.9</v>
      </c>
    </row>
    <row r="2592" ht="14.25" customHeight="1">
      <c r="A2592" s="1" t="s">
        <v>26</v>
      </c>
      <c r="B2592" s="1" t="s">
        <v>5124</v>
      </c>
      <c r="C2592" s="1" t="s">
        <v>8619</v>
      </c>
      <c r="D2592" s="1">
        <v>2.8501651E7</v>
      </c>
      <c r="E2592" s="1" t="s">
        <v>3868</v>
      </c>
      <c r="F2592" s="1" t="s">
        <v>805</v>
      </c>
      <c r="G2592" s="1" t="s">
        <v>365</v>
      </c>
      <c r="H2592" s="1" t="s">
        <v>2003</v>
      </c>
      <c r="I2592" s="1">
        <v>88037.0</v>
      </c>
      <c r="J2592" s="1" t="s">
        <v>8620</v>
      </c>
      <c r="K2592" s="1" t="s">
        <v>8621</v>
      </c>
      <c r="L2592" s="1">
        <v>201.0</v>
      </c>
      <c r="M2592" s="1" t="s">
        <v>35</v>
      </c>
      <c r="N2592" s="1" t="s">
        <v>36</v>
      </c>
      <c r="O2592" s="1" t="s">
        <v>628</v>
      </c>
      <c r="P2592" s="1">
        <v>2.6E7</v>
      </c>
      <c r="Q2592" s="1">
        <v>2009.0</v>
      </c>
      <c r="R2592" s="1">
        <v>20000.0</v>
      </c>
      <c r="S2592" s="1">
        <v>15000.0</v>
      </c>
      <c r="T2592" s="1">
        <v>1000.0</v>
      </c>
      <c r="U2592" s="1">
        <v>39473.0</v>
      </c>
      <c r="V2592" s="1">
        <v>260.0</v>
      </c>
      <c r="W2592" s="1">
        <v>10000.0</v>
      </c>
      <c r="X2592" s="1">
        <v>0.0</v>
      </c>
      <c r="Y2592" s="1">
        <v>2.35</v>
      </c>
      <c r="Z2592" s="1">
        <v>7.1</v>
      </c>
    </row>
    <row r="2593" ht="14.25" customHeight="1">
      <c r="A2593" s="1" t="s">
        <v>26</v>
      </c>
      <c r="B2593" s="1" t="s">
        <v>9335</v>
      </c>
      <c r="C2593" s="1" t="s">
        <v>12416</v>
      </c>
      <c r="D2593" s="1">
        <v>1172769.0</v>
      </c>
      <c r="E2593" s="1" t="s">
        <v>1749</v>
      </c>
      <c r="F2593" s="1" t="s">
        <v>141</v>
      </c>
      <c r="G2593" s="1" t="s">
        <v>329</v>
      </c>
      <c r="H2593" s="1" t="s">
        <v>8253</v>
      </c>
      <c r="I2593" s="1">
        <v>28068.0</v>
      </c>
      <c r="J2593" s="1" t="s">
        <v>12417</v>
      </c>
      <c r="K2593" s="1" t="s">
        <v>12418</v>
      </c>
      <c r="L2593" s="1">
        <v>108.0</v>
      </c>
      <c r="M2593" s="1" t="s">
        <v>35</v>
      </c>
      <c r="N2593" s="1" t="s">
        <v>730</v>
      </c>
      <c r="O2593" s="1" t="s">
        <v>628</v>
      </c>
      <c r="P2593" s="1">
        <v>1.3E7</v>
      </c>
      <c r="Q2593" s="1">
        <v>2006.0</v>
      </c>
      <c r="R2593" s="1">
        <v>22000.0</v>
      </c>
      <c r="S2593" s="1">
        <v>14000.0</v>
      </c>
      <c r="T2593" s="1">
        <v>968.0</v>
      </c>
      <c r="U2593" s="1">
        <v>37606.0</v>
      </c>
      <c r="V2593" s="1">
        <v>0.0</v>
      </c>
      <c r="W2593" s="1">
        <v>0.0</v>
      </c>
      <c r="X2593" s="1">
        <v>2.0</v>
      </c>
      <c r="Y2593" s="1">
        <v>1.85</v>
      </c>
      <c r="Z2593" s="1">
        <v>7.1</v>
      </c>
    </row>
    <row r="2594" ht="14.25" customHeight="1">
      <c r="A2594" s="1" t="s">
        <v>26</v>
      </c>
      <c r="B2594" s="1" t="s">
        <v>12419</v>
      </c>
      <c r="C2594" s="1" t="s">
        <v>12420</v>
      </c>
      <c r="D2594" s="1">
        <v>1.773857E7</v>
      </c>
      <c r="E2594" s="1" t="s">
        <v>206</v>
      </c>
      <c r="F2594" s="1" t="s">
        <v>1162</v>
      </c>
      <c r="G2594" s="1" t="s">
        <v>12421</v>
      </c>
      <c r="H2594" s="1" t="s">
        <v>8597</v>
      </c>
      <c r="I2594" s="1">
        <v>351274.0</v>
      </c>
      <c r="J2594" s="1" t="s">
        <v>12422</v>
      </c>
      <c r="K2594" s="1" t="s">
        <v>12423</v>
      </c>
      <c r="L2594" s="1">
        <v>457.0</v>
      </c>
      <c r="M2594" s="1" t="s">
        <v>35</v>
      </c>
      <c r="N2594" s="1" t="s">
        <v>36</v>
      </c>
      <c r="O2594" s="1" t="s">
        <v>37</v>
      </c>
      <c r="P2594" s="1">
        <v>1.3E7</v>
      </c>
      <c r="Q2594" s="1">
        <v>2012.0</v>
      </c>
      <c r="R2594" s="1">
        <v>8000.0</v>
      </c>
      <c r="S2594" s="1">
        <v>3000.0</v>
      </c>
      <c r="T2594" s="1">
        <v>850.0</v>
      </c>
      <c r="U2594" s="1">
        <v>13631.0</v>
      </c>
      <c r="V2594" s="1">
        <v>139.0</v>
      </c>
      <c r="W2594" s="1">
        <v>131000.0</v>
      </c>
      <c r="X2594" s="1">
        <v>2.0</v>
      </c>
      <c r="Y2594" s="1">
        <v>1.85</v>
      </c>
      <c r="Z2594" s="1">
        <v>8.0</v>
      </c>
    </row>
    <row r="2595" ht="14.25" customHeight="1">
      <c r="A2595" s="1" t="s">
        <v>26</v>
      </c>
      <c r="B2595" s="1" t="s">
        <v>12424</v>
      </c>
      <c r="C2595" s="1" t="s">
        <v>12425</v>
      </c>
      <c r="D2595" s="1">
        <v>1200000.0</v>
      </c>
      <c r="E2595" s="1" t="s">
        <v>1270</v>
      </c>
      <c r="F2595" s="1" t="s">
        <v>1823</v>
      </c>
      <c r="G2595" s="1" t="s">
        <v>12426</v>
      </c>
      <c r="H2595" s="1" t="s">
        <v>12427</v>
      </c>
      <c r="I2595" s="1">
        <v>922.0</v>
      </c>
      <c r="J2595" s="1" t="s">
        <v>12428</v>
      </c>
      <c r="K2595" s="1" t="s">
        <v>12429</v>
      </c>
      <c r="L2595" s="1">
        <v>23.0</v>
      </c>
      <c r="M2595" s="1" t="s">
        <v>35</v>
      </c>
      <c r="N2595" s="1" t="s">
        <v>36</v>
      </c>
      <c r="O2595" s="1" t="s">
        <v>628</v>
      </c>
      <c r="P2595" s="1">
        <v>3000000.0</v>
      </c>
      <c r="Q2595" s="1">
        <v>1993.0</v>
      </c>
      <c r="R2595" s="1">
        <v>683.0</v>
      </c>
      <c r="S2595" s="1">
        <v>155.0</v>
      </c>
      <c r="T2595" s="1">
        <v>147.0</v>
      </c>
      <c r="U2595" s="1">
        <v>1139.0</v>
      </c>
      <c r="V2595" s="1">
        <v>29.0</v>
      </c>
      <c r="W2595" s="1">
        <v>107.0</v>
      </c>
      <c r="X2595" s="1">
        <v>1.0</v>
      </c>
      <c r="Y2595" s="1">
        <v>1.85</v>
      </c>
      <c r="Z2595" s="1">
        <v>5.1</v>
      </c>
    </row>
    <row r="2596" ht="14.25" customHeight="1">
      <c r="A2596" s="1" t="s">
        <v>26</v>
      </c>
      <c r="B2596" s="1" t="s">
        <v>9351</v>
      </c>
      <c r="C2596" s="1" t="s">
        <v>12430</v>
      </c>
      <c r="D2596" s="1">
        <v>1150403.0</v>
      </c>
      <c r="E2596" s="1" t="s">
        <v>1643</v>
      </c>
      <c r="F2596" s="1" t="s">
        <v>1167</v>
      </c>
      <c r="G2596" s="1" t="s">
        <v>3666</v>
      </c>
      <c r="H2596" s="1" t="s">
        <v>7541</v>
      </c>
      <c r="I2596" s="1">
        <v>14143.0</v>
      </c>
      <c r="J2596" s="1" t="s">
        <v>12431</v>
      </c>
      <c r="K2596" s="1" t="s">
        <v>12432</v>
      </c>
      <c r="L2596" s="1">
        <v>102.0</v>
      </c>
      <c r="M2596" s="1" t="s">
        <v>35</v>
      </c>
      <c r="N2596" s="1" t="s">
        <v>36</v>
      </c>
      <c r="O2596" s="1" t="s">
        <v>628</v>
      </c>
      <c r="P2596" s="1">
        <v>1.3E7</v>
      </c>
      <c r="Q2596" s="1">
        <v>2006.0</v>
      </c>
      <c r="R2596" s="1">
        <v>2000.0</v>
      </c>
      <c r="S2596" s="1">
        <v>812.0</v>
      </c>
      <c r="T2596" s="1">
        <v>442.0</v>
      </c>
      <c r="U2596" s="1">
        <v>3474.0</v>
      </c>
      <c r="V2596" s="1">
        <v>41.0</v>
      </c>
      <c r="W2596" s="1">
        <v>0.0</v>
      </c>
      <c r="X2596" s="1">
        <v>4.0</v>
      </c>
      <c r="Y2596" s="1">
        <v>1.85</v>
      </c>
      <c r="Z2596" s="1">
        <v>7.1</v>
      </c>
    </row>
    <row r="2597" ht="14.25" customHeight="1">
      <c r="A2597" s="1" t="s">
        <v>26</v>
      </c>
      <c r="B2597" s="1" t="s">
        <v>11814</v>
      </c>
      <c r="C2597" s="1" t="s">
        <v>12433</v>
      </c>
      <c r="D2597" s="1">
        <v>403932.0</v>
      </c>
      <c r="E2597" s="1" t="s">
        <v>3836</v>
      </c>
      <c r="F2597" s="1" t="s">
        <v>1892</v>
      </c>
      <c r="G2597" s="1" t="s">
        <v>8006</v>
      </c>
      <c r="H2597" s="1" t="s">
        <v>2207</v>
      </c>
      <c r="I2597" s="1">
        <v>5254.0</v>
      </c>
      <c r="J2597" s="1" t="s">
        <v>12434</v>
      </c>
      <c r="K2597" s="1" t="s">
        <v>12435</v>
      </c>
      <c r="L2597" s="1">
        <v>92.0</v>
      </c>
      <c r="M2597" s="1" t="s">
        <v>35</v>
      </c>
      <c r="N2597" s="1" t="s">
        <v>54</v>
      </c>
      <c r="O2597" s="1" t="s">
        <v>628</v>
      </c>
      <c r="P2597" s="1">
        <v>2.0E7</v>
      </c>
      <c r="Q2597" s="1">
        <v>2000.0</v>
      </c>
      <c r="R2597" s="1">
        <v>14000.0</v>
      </c>
      <c r="S2597" s="1">
        <v>900.0</v>
      </c>
      <c r="T2597" s="1">
        <v>887.0</v>
      </c>
      <c r="U2597" s="1">
        <v>17104.0</v>
      </c>
      <c r="V2597" s="1">
        <v>187.0</v>
      </c>
      <c r="W2597" s="1">
        <v>141.0</v>
      </c>
      <c r="X2597" s="1">
        <v>4.0</v>
      </c>
      <c r="Y2597" s="1">
        <v>2.35</v>
      </c>
      <c r="Z2597" s="1">
        <v>6.5</v>
      </c>
    </row>
    <row r="2598" ht="14.25" customHeight="1">
      <c r="A2598" s="1" t="s">
        <v>26</v>
      </c>
      <c r="B2598" s="1" t="s">
        <v>4285</v>
      </c>
      <c r="C2598" s="1" t="s">
        <v>12436</v>
      </c>
      <c r="D2598" s="1">
        <v>1712111.0</v>
      </c>
      <c r="E2598" s="1" t="s">
        <v>6278</v>
      </c>
      <c r="F2598" s="1" t="s">
        <v>632</v>
      </c>
      <c r="G2598" s="1" t="s">
        <v>3214</v>
      </c>
      <c r="H2598" s="1" t="s">
        <v>1286</v>
      </c>
      <c r="I2598" s="1">
        <v>7199.0</v>
      </c>
      <c r="J2598" s="1" t="s">
        <v>12437</v>
      </c>
      <c r="K2598" s="1" t="s">
        <v>12438</v>
      </c>
      <c r="L2598" s="1">
        <v>53.0</v>
      </c>
      <c r="M2598" s="1" t="s">
        <v>35</v>
      </c>
      <c r="N2598" s="1" t="s">
        <v>36</v>
      </c>
      <c r="O2598" s="1" t="s">
        <v>37</v>
      </c>
      <c r="P2598" s="1">
        <v>8495000.0</v>
      </c>
      <c r="Q2598" s="1">
        <v>2015.0</v>
      </c>
      <c r="R2598" s="1">
        <v>3000.0</v>
      </c>
      <c r="S2598" s="1">
        <v>1000.0</v>
      </c>
      <c r="T2598" s="1">
        <v>794.0</v>
      </c>
      <c r="U2598" s="1">
        <v>7875.0</v>
      </c>
      <c r="V2598" s="1">
        <v>83.0</v>
      </c>
      <c r="W2598" s="1">
        <v>0.0</v>
      </c>
      <c r="X2598" s="1">
        <v>0.0</v>
      </c>
      <c r="Y2598" s="1">
        <v>1.85</v>
      </c>
      <c r="Z2598" s="1">
        <v>4.5</v>
      </c>
    </row>
    <row r="2599" ht="14.25" customHeight="1">
      <c r="A2599" s="1" t="s">
        <v>26</v>
      </c>
      <c r="B2599" s="1" t="s">
        <v>11271</v>
      </c>
      <c r="C2599" s="1" t="s">
        <v>12439</v>
      </c>
      <c r="D2599" s="1">
        <v>1024175.0</v>
      </c>
      <c r="E2599" s="1" t="s">
        <v>7102</v>
      </c>
      <c r="F2599" s="1" t="s">
        <v>12440</v>
      </c>
      <c r="G2599" s="1" t="s">
        <v>12441</v>
      </c>
      <c r="H2599" s="1" t="s">
        <v>11372</v>
      </c>
      <c r="I2599" s="1">
        <v>82331.0</v>
      </c>
      <c r="J2599" s="1" t="s">
        <v>12442</v>
      </c>
      <c r="K2599" s="1" t="s">
        <v>12443</v>
      </c>
      <c r="L2599" s="1">
        <v>297.0</v>
      </c>
      <c r="M2599" s="1" t="s">
        <v>35</v>
      </c>
      <c r="N2599" s="1" t="s">
        <v>54</v>
      </c>
      <c r="O2599" s="1" t="s">
        <v>628</v>
      </c>
      <c r="P2599" s="1">
        <v>1.3E7</v>
      </c>
      <c r="Q2599" s="1">
        <v>2011.0</v>
      </c>
      <c r="R2599" s="1">
        <v>1000.0</v>
      </c>
      <c r="S2599" s="1">
        <v>305.0</v>
      </c>
      <c r="T2599" s="1">
        <v>304.0</v>
      </c>
      <c r="U2599" s="1">
        <v>2011.0</v>
      </c>
      <c r="V2599" s="1">
        <v>115.0</v>
      </c>
      <c r="W2599" s="1">
        <v>18000.0</v>
      </c>
      <c r="X2599" s="1">
        <v>6.0</v>
      </c>
      <c r="Y2599" s="1">
        <v>2.35</v>
      </c>
      <c r="Z2599" s="1">
        <v>6.6</v>
      </c>
    </row>
    <row r="2600" ht="14.25" customHeight="1">
      <c r="A2600" s="1" t="s">
        <v>26</v>
      </c>
      <c r="B2600" s="1" t="s">
        <v>550</v>
      </c>
      <c r="C2600" s="1" t="s">
        <v>12444</v>
      </c>
      <c r="D2600" s="1">
        <v>301305.0</v>
      </c>
      <c r="E2600" s="1" t="s">
        <v>6860</v>
      </c>
      <c r="F2600" s="1" t="s">
        <v>12445</v>
      </c>
      <c r="G2600" s="1" t="s">
        <v>12446</v>
      </c>
      <c r="H2600" s="1" t="s">
        <v>12447</v>
      </c>
      <c r="I2600" s="1">
        <v>31414.0</v>
      </c>
      <c r="J2600" s="1" t="s">
        <v>12448</v>
      </c>
      <c r="K2600" s="1" t="s">
        <v>12449</v>
      </c>
      <c r="L2600" s="1">
        <v>180.0</v>
      </c>
      <c r="M2600" s="1" t="s">
        <v>12450</v>
      </c>
      <c r="N2600" s="1" t="s">
        <v>36</v>
      </c>
      <c r="O2600" s="1" t="s">
        <v>628</v>
      </c>
      <c r="P2600" s="1">
        <v>1.3E7</v>
      </c>
      <c r="Q2600" s="1">
        <v>2011.0</v>
      </c>
      <c r="R2600" s="1">
        <v>306.0</v>
      </c>
      <c r="S2600" s="1">
        <v>164.0</v>
      </c>
      <c r="T2600" s="1">
        <v>116.0</v>
      </c>
      <c r="U2600" s="1">
        <v>796.0</v>
      </c>
      <c r="V2600" s="1">
        <v>11000.0</v>
      </c>
      <c r="W2600" s="1">
        <v>0.0</v>
      </c>
      <c r="X2600" s="1">
        <v>0.0</v>
      </c>
      <c r="Y2600" s="1">
        <v>2.35</v>
      </c>
      <c r="Z2600" s="1">
        <v>4.3</v>
      </c>
    </row>
    <row r="2601" ht="14.25" customHeight="1">
      <c r="A2601" s="1" t="s">
        <v>26</v>
      </c>
      <c r="B2601" s="1" t="s">
        <v>11897</v>
      </c>
      <c r="C2601" s="1" t="s">
        <v>12451</v>
      </c>
      <c r="D2601" s="1">
        <v>5.1872378E7</v>
      </c>
      <c r="E2601" s="1" t="s">
        <v>1458</v>
      </c>
      <c r="F2601" s="1" t="s">
        <v>1921</v>
      </c>
      <c r="G2601" s="1" t="s">
        <v>12452</v>
      </c>
      <c r="H2601" s="1" t="s">
        <v>1678</v>
      </c>
      <c r="I2601" s="1">
        <v>88241.0</v>
      </c>
      <c r="J2601" s="1" t="s">
        <v>12453</v>
      </c>
      <c r="K2601" s="1" t="s">
        <v>12454</v>
      </c>
      <c r="L2601" s="1">
        <v>266.0</v>
      </c>
      <c r="M2601" s="1" t="s">
        <v>35</v>
      </c>
      <c r="N2601" s="1" t="s">
        <v>36</v>
      </c>
      <c r="O2601" s="1" t="s">
        <v>628</v>
      </c>
      <c r="P2601" s="1">
        <v>1.3E7</v>
      </c>
      <c r="Q2601" s="1">
        <v>2013.0</v>
      </c>
      <c r="R2601" s="1">
        <v>873.0</v>
      </c>
      <c r="S2601" s="1">
        <v>461.0</v>
      </c>
      <c r="T2601" s="1">
        <v>383.0</v>
      </c>
      <c r="U2601" s="1">
        <v>2812.0</v>
      </c>
      <c r="V2601" s="1">
        <v>122.0</v>
      </c>
      <c r="W2601" s="1">
        <v>23000.0</v>
      </c>
      <c r="X2601" s="1">
        <v>0.0</v>
      </c>
      <c r="Y2601" s="1">
        <v>1.85</v>
      </c>
      <c r="Z2601" s="1">
        <v>6.7</v>
      </c>
    </row>
    <row r="2602" ht="14.25" customHeight="1">
      <c r="A2602" s="1" t="s">
        <v>26</v>
      </c>
      <c r="B2602" s="1" t="s">
        <v>12455</v>
      </c>
      <c r="C2602" s="1" t="s">
        <v>12456</v>
      </c>
      <c r="D2602" s="1">
        <v>2.8399192E7</v>
      </c>
      <c r="E2602" s="1" t="s">
        <v>12457</v>
      </c>
      <c r="F2602" s="1" t="s">
        <v>12458</v>
      </c>
      <c r="G2602" s="1" t="s">
        <v>12459</v>
      </c>
      <c r="H2602" s="1" t="s">
        <v>799</v>
      </c>
      <c r="I2602" s="1">
        <v>5663.0</v>
      </c>
      <c r="J2602" s="1" t="s">
        <v>12460</v>
      </c>
      <c r="K2602" s="1" t="s">
        <v>12461</v>
      </c>
      <c r="L2602" s="1">
        <v>106.0</v>
      </c>
      <c r="M2602" s="1" t="s">
        <v>35</v>
      </c>
      <c r="N2602" s="1" t="s">
        <v>362</v>
      </c>
      <c r="O2602" s="1" t="s">
        <v>87</v>
      </c>
      <c r="P2602" s="1">
        <v>1.3E7</v>
      </c>
      <c r="Q2602" s="1">
        <v>2002.0</v>
      </c>
      <c r="R2602" s="1">
        <v>477.0</v>
      </c>
      <c r="S2602" s="1">
        <v>238.0</v>
      </c>
      <c r="T2602" s="1">
        <v>234.0</v>
      </c>
      <c r="U2602" s="1">
        <v>1483.0</v>
      </c>
      <c r="V2602" s="1">
        <v>0.0</v>
      </c>
      <c r="W2602" s="1">
        <v>332.0</v>
      </c>
      <c r="X2602" s="1">
        <v>0.0</v>
      </c>
      <c r="Y2602" s="1">
        <v>2.35</v>
      </c>
      <c r="Z2602" s="1">
        <v>5.4</v>
      </c>
    </row>
    <row r="2603" ht="14.25" customHeight="1">
      <c r="A2603" s="1" t="s">
        <v>26</v>
      </c>
      <c r="B2603" s="1" t="s">
        <v>3548</v>
      </c>
      <c r="C2603" s="1" t="s">
        <v>12462</v>
      </c>
      <c r="D2603" s="1">
        <v>2035566.0</v>
      </c>
      <c r="E2603" s="1" t="s">
        <v>12463</v>
      </c>
      <c r="F2603" s="1" t="s">
        <v>12464</v>
      </c>
      <c r="G2603" s="1" t="s">
        <v>12465</v>
      </c>
      <c r="H2603" s="1" t="s">
        <v>12466</v>
      </c>
      <c r="I2603" s="1">
        <v>77305.0</v>
      </c>
      <c r="J2603" s="1" t="s">
        <v>12467</v>
      </c>
      <c r="K2603" s="1" t="s">
        <v>12468</v>
      </c>
      <c r="L2603" s="1">
        <v>162.0</v>
      </c>
      <c r="M2603" s="1" t="s">
        <v>35</v>
      </c>
      <c r="N2603" s="1" t="s">
        <v>1832</v>
      </c>
      <c r="O2603" s="1" t="s">
        <v>628</v>
      </c>
      <c r="P2603" s="1">
        <v>1.3E7</v>
      </c>
      <c r="Q2603" s="1">
        <v>2009.0</v>
      </c>
      <c r="R2603" s="1">
        <v>170.0</v>
      </c>
      <c r="S2603" s="1">
        <v>157.0</v>
      </c>
      <c r="T2603" s="1">
        <v>113.0</v>
      </c>
      <c r="U2603" s="1">
        <v>931.0</v>
      </c>
      <c r="V2603" s="1">
        <v>43.0</v>
      </c>
      <c r="W2603" s="1">
        <v>11000.0</v>
      </c>
      <c r="X2603" s="1">
        <v>0.0</v>
      </c>
      <c r="Y2603" s="1">
        <v>1.85</v>
      </c>
      <c r="Z2603" s="1">
        <v>6.6</v>
      </c>
    </row>
    <row r="2604" ht="14.25" customHeight="1">
      <c r="A2604" s="1" t="s">
        <v>26</v>
      </c>
      <c r="B2604" s="1" t="s">
        <v>1644</v>
      </c>
      <c r="C2604" s="1" t="s">
        <v>12469</v>
      </c>
      <c r="D2604" s="1">
        <v>2.1078145E7</v>
      </c>
      <c r="E2604" s="1" t="s">
        <v>1474</v>
      </c>
      <c r="F2604" s="1" t="s">
        <v>1644</v>
      </c>
      <c r="G2604" s="1" t="s">
        <v>6897</v>
      </c>
      <c r="H2604" s="1" t="s">
        <v>8669</v>
      </c>
      <c r="I2604" s="1">
        <v>26493.0</v>
      </c>
      <c r="J2604" s="1" t="s">
        <v>12470</v>
      </c>
      <c r="K2604" s="1" t="s">
        <v>12471</v>
      </c>
      <c r="L2604" s="1">
        <v>159.0</v>
      </c>
      <c r="M2604" s="1" t="s">
        <v>35</v>
      </c>
      <c r="N2604" s="1" t="s">
        <v>36</v>
      </c>
      <c r="O2604" s="1" t="s">
        <v>37</v>
      </c>
      <c r="P2604" s="1">
        <v>1.25E7</v>
      </c>
      <c r="Q2604" s="1">
        <v>2002.0</v>
      </c>
      <c r="R2604" s="1">
        <v>18000.0</v>
      </c>
      <c r="S2604" s="1">
        <v>638.0</v>
      </c>
      <c r="T2604" s="1">
        <v>543.0</v>
      </c>
      <c r="U2604" s="1">
        <v>20456.0</v>
      </c>
      <c r="V2604" s="1">
        <v>18000.0</v>
      </c>
      <c r="W2604" s="1">
        <v>0.0</v>
      </c>
      <c r="X2604" s="1">
        <v>0.0</v>
      </c>
      <c r="Y2604" s="1">
        <v>2.35</v>
      </c>
      <c r="Z2604" s="1">
        <v>7.3</v>
      </c>
    </row>
    <row r="2605" ht="14.25" customHeight="1">
      <c r="A2605" s="1" t="s">
        <v>26</v>
      </c>
      <c r="B2605" s="1" t="s">
        <v>8703</v>
      </c>
      <c r="C2605" s="1" t="s">
        <v>12472</v>
      </c>
      <c r="D2605" s="1">
        <v>1.406095E7</v>
      </c>
      <c r="E2605" s="1" t="s">
        <v>3238</v>
      </c>
      <c r="F2605" s="1" t="s">
        <v>12473</v>
      </c>
      <c r="G2605" s="1" t="s">
        <v>8714</v>
      </c>
      <c r="H2605" s="1" t="s">
        <v>12474</v>
      </c>
      <c r="I2605" s="1">
        <v>14354.0</v>
      </c>
      <c r="J2605" s="1" t="s">
        <v>12475</v>
      </c>
      <c r="K2605" s="1" t="s">
        <v>12476</v>
      </c>
      <c r="L2605" s="1">
        <v>139.0</v>
      </c>
      <c r="M2605" s="1" t="s">
        <v>35</v>
      </c>
      <c r="N2605" s="1" t="s">
        <v>36</v>
      </c>
      <c r="O2605" s="1" t="s">
        <v>37</v>
      </c>
      <c r="P2605" s="1">
        <v>1.25E7</v>
      </c>
      <c r="Q2605" s="1">
        <v>2002.0</v>
      </c>
      <c r="R2605" s="1">
        <v>13000.0</v>
      </c>
      <c r="S2605" s="1">
        <v>795.0</v>
      </c>
      <c r="T2605" s="1">
        <v>355.0</v>
      </c>
      <c r="U2605" s="1">
        <v>14347.0</v>
      </c>
      <c r="V2605" s="1">
        <v>97.0</v>
      </c>
      <c r="W2605" s="1">
        <v>0.0</v>
      </c>
      <c r="X2605" s="1">
        <v>1.0</v>
      </c>
      <c r="Y2605" s="1">
        <v>1.85</v>
      </c>
      <c r="Z2605" s="1">
        <v>6.9</v>
      </c>
    </row>
    <row r="2606" ht="14.25" customHeight="1">
      <c r="A2606" s="1" t="s">
        <v>26</v>
      </c>
      <c r="B2606" s="1" t="s">
        <v>1656</v>
      </c>
      <c r="C2606" s="1" t="s">
        <v>12477</v>
      </c>
      <c r="D2606" s="1">
        <v>1.22815E7</v>
      </c>
      <c r="E2606" s="1" t="s">
        <v>5448</v>
      </c>
      <c r="F2606" s="1" t="s">
        <v>335</v>
      </c>
      <c r="G2606" s="1" t="s">
        <v>425</v>
      </c>
      <c r="H2606" s="1" t="s">
        <v>2418</v>
      </c>
      <c r="I2606" s="1">
        <v>163492.0</v>
      </c>
      <c r="J2606" s="1" t="s">
        <v>12478</v>
      </c>
      <c r="K2606" s="1" t="s">
        <v>12479</v>
      </c>
      <c r="L2606" s="1">
        <v>460.0</v>
      </c>
      <c r="M2606" s="1" t="s">
        <v>35</v>
      </c>
      <c r="N2606" s="1" t="s">
        <v>36</v>
      </c>
      <c r="O2606" s="1" t="s">
        <v>628</v>
      </c>
      <c r="P2606" s="1">
        <v>1.3E7</v>
      </c>
      <c r="Q2606" s="1">
        <v>1993.0</v>
      </c>
      <c r="R2606" s="1">
        <v>11000.0</v>
      </c>
      <c r="S2606" s="1">
        <v>10000.0</v>
      </c>
      <c r="T2606" s="1">
        <v>975.0</v>
      </c>
      <c r="U2606" s="1">
        <v>23602.0</v>
      </c>
      <c r="V2606" s="1">
        <v>12000.0</v>
      </c>
      <c r="W2606" s="1">
        <v>15000.0</v>
      </c>
      <c r="X2606" s="1">
        <v>3.0</v>
      </c>
      <c r="Y2606" s="1">
        <v>2.35</v>
      </c>
      <c r="Z2606" s="1">
        <v>8.0</v>
      </c>
    </row>
    <row r="2607" ht="14.25" customHeight="1">
      <c r="A2607" s="1" t="s">
        <v>26</v>
      </c>
      <c r="B2607" s="1" t="s">
        <v>11760</v>
      </c>
      <c r="C2607" s="1" t="s">
        <v>12480</v>
      </c>
      <c r="D2607" s="1">
        <v>1.0725228E7</v>
      </c>
      <c r="E2607" s="1" t="s">
        <v>10510</v>
      </c>
      <c r="F2607" s="1" t="s">
        <v>112</v>
      </c>
      <c r="G2607" s="1" t="s">
        <v>2292</v>
      </c>
      <c r="H2607" s="1" t="s">
        <v>12481</v>
      </c>
      <c r="I2607" s="1">
        <v>75675.0</v>
      </c>
      <c r="J2607" s="1" t="s">
        <v>12482</v>
      </c>
      <c r="K2607" s="1" t="s">
        <v>12483</v>
      </c>
      <c r="L2607" s="1">
        <v>365.0</v>
      </c>
      <c r="M2607" s="1" t="s">
        <v>35</v>
      </c>
      <c r="N2607" s="1" t="s">
        <v>36</v>
      </c>
      <c r="O2607" s="1" t="s">
        <v>628</v>
      </c>
      <c r="P2607" s="1">
        <v>1.25E7</v>
      </c>
      <c r="Q2607" s="1">
        <v>1992.0</v>
      </c>
      <c r="R2607" s="1">
        <v>18000.0</v>
      </c>
      <c r="S2607" s="1">
        <v>14000.0</v>
      </c>
      <c r="T2607" s="1">
        <v>99.0</v>
      </c>
      <c r="U2607" s="1">
        <v>32288.0</v>
      </c>
      <c r="V2607" s="1">
        <v>164.0</v>
      </c>
      <c r="W2607" s="1">
        <v>0.0</v>
      </c>
      <c r="X2607" s="1">
        <v>1.0</v>
      </c>
      <c r="Y2607" s="1">
        <v>2.35</v>
      </c>
      <c r="Z2607" s="1">
        <v>7.8</v>
      </c>
    </row>
    <row r="2608" ht="14.25" customHeight="1">
      <c r="A2608" s="1" t="s">
        <v>26</v>
      </c>
      <c r="B2608" s="1" t="s">
        <v>11814</v>
      </c>
      <c r="C2608" s="1" t="s">
        <v>12484</v>
      </c>
      <c r="D2608" s="1">
        <v>214966.0</v>
      </c>
      <c r="E2608" s="1" t="s">
        <v>2045</v>
      </c>
      <c r="F2608" s="1" t="s">
        <v>2511</v>
      </c>
      <c r="G2608" s="1" t="s">
        <v>3972</v>
      </c>
      <c r="H2608" s="1" t="s">
        <v>8798</v>
      </c>
      <c r="I2608" s="1">
        <v>28483.0</v>
      </c>
      <c r="J2608" s="1" t="s">
        <v>12485</v>
      </c>
      <c r="K2608" s="1" t="s">
        <v>12486</v>
      </c>
      <c r="L2608" s="1">
        <v>176.0</v>
      </c>
      <c r="M2608" s="1" t="s">
        <v>35</v>
      </c>
      <c r="N2608" s="1" t="s">
        <v>36</v>
      </c>
      <c r="O2608" s="1" t="s">
        <v>628</v>
      </c>
      <c r="P2608" s="1">
        <v>1.3E7</v>
      </c>
      <c r="Q2608" s="1">
        <v>2010.0</v>
      </c>
      <c r="R2608" s="1">
        <v>818.0</v>
      </c>
      <c r="S2608" s="1">
        <v>467.0</v>
      </c>
      <c r="T2608" s="1">
        <v>204.0</v>
      </c>
      <c r="U2608" s="1">
        <v>1813.0</v>
      </c>
      <c r="V2608" s="1">
        <v>187.0</v>
      </c>
      <c r="W2608" s="1">
        <v>0.0</v>
      </c>
      <c r="X2608" s="1">
        <v>0.0</v>
      </c>
      <c r="Y2608" s="1">
        <v>2.35</v>
      </c>
      <c r="Z2608" s="1">
        <v>6.1</v>
      </c>
    </row>
    <row r="2609" ht="14.25" customHeight="1">
      <c r="A2609" s="1" t="s">
        <v>26</v>
      </c>
      <c r="B2609" s="1" t="s">
        <v>12487</v>
      </c>
      <c r="C2609" s="1" t="s">
        <v>12488</v>
      </c>
      <c r="D2609" s="1">
        <v>1.1956207E7</v>
      </c>
      <c r="E2609" s="1" t="s">
        <v>5924</v>
      </c>
      <c r="F2609" s="1" t="s">
        <v>12489</v>
      </c>
      <c r="G2609" s="1" t="s">
        <v>12490</v>
      </c>
      <c r="H2609" s="1" t="s">
        <v>5023</v>
      </c>
      <c r="I2609" s="1">
        <v>24012.0</v>
      </c>
      <c r="J2609" s="1" t="s">
        <v>12491</v>
      </c>
      <c r="K2609" s="1" t="s">
        <v>12492</v>
      </c>
      <c r="L2609" s="1">
        <v>126.0</v>
      </c>
      <c r="M2609" s="1" t="s">
        <v>35</v>
      </c>
      <c r="N2609" s="1" t="s">
        <v>36</v>
      </c>
      <c r="O2609" s="1" t="s">
        <v>628</v>
      </c>
      <c r="P2609" s="1">
        <v>1.6E7</v>
      </c>
      <c r="Q2609" s="1">
        <v>2009.0</v>
      </c>
      <c r="R2609" s="1">
        <v>1000.0</v>
      </c>
      <c r="S2609" s="1">
        <v>668.0</v>
      </c>
      <c r="T2609" s="1">
        <v>472.0</v>
      </c>
      <c r="U2609" s="1">
        <v>3142.0</v>
      </c>
      <c r="V2609" s="1">
        <v>10.0</v>
      </c>
      <c r="W2609" s="1">
        <v>0.0</v>
      </c>
      <c r="X2609" s="1">
        <v>2.0</v>
      </c>
      <c r="Y2609" s="1">
        <v>2.35</v>
      </c>
      <c r="Z2609" s="1">
        <v>5.1</v>
      </c>
    </row>
    <row r="2610" ht="14.25" customHeight="1">
      <c r="A2610" s="1" t="s">
        <v>26</v>
      </c>
      <c r="B2610" s="1" t="s">
        <v>8037</v>
      </c>
      <c r="C2610" s="1" t="s">
        <v>12493</v>
      </c>
      <c r="D2610" s="1">
        <v>5949693.0</v>
      </c>
      <c r="E2610" s="1" t="s">
        <v>1359</v>
      </c>
      <c r="F2610" s="1" t="s">
        <v>4002</v>
      </c>
      <c r="G2610" s="1" t="s">
        <v>834</v>
      </c>
      <c r="H2610" s="1" t="s">
        <v>10685</v>
      </c>
      <c r="I2610" s="1">
        <v>114762.0</v>
      </c>
      <c r="J2610" s="1" t="s">
        <v>12494</v>
      </c>
      <c r="K2610" s="1" t="s">
        <v>12495</v>
      </c>
      <c r="L2610" s="1">
        <v>299.0</v>
      </c>
      <c r="M2610" s="1" t="s">
        <v>35</v>
      </c>
      <c r="N2610" s="1" t="s">
        <v>36</v>
      </c>
      <c r="O2610" s="1" t="s">
        <v>37</v>
      </c>
      <c r="P2610" s="1">
        <v>1.2E7</v>
      </c>
      <c r="Q2610" s="1">
        <v>2007.0</v>
      </c>
      <c r="R2610" s="1">
        <v>33000.0</v>
      </c>
      <c r="S2610" s="1">
        <v>730.0</v>
      </c>
      <c r="T2610" s="1">
        <v>552.0</v>
      </c>
      <c r="U2610" s="1">
        <v>34351.0</v>
      </c>
      <c r="V2610" s="1">
        <v>44.0</v>
      </c>
      <c r="W2610" s="1">
        <v>19000.0</v>
      </c>
      <c r="X2610" s="1">
        <v>1.0</v>
      </c>
      <c r="Y2610" s="1">
        <v>1.85</v>
      </c>
      <c r="Z2610" s="1">
        <v>7.4</v>
      </c>
    </row>
    <row r="2611" ht="14.25" customHeight="1">
      <c r="A2611" s="1" t="s">
        <v>26</v>
      </c>
      <c r="B2611" s="1" t="s">
        <v>12496</v>
      </c>
      <c r="C2611" s="1" t="s">
        <v>12497</v>
      </c>
      <c r="D2611" s="1">
        <v>9030581.0</v>
      </c>
      <c r="E2611" s="1" t="s">
        <v>3225</v>
      </c>
      <c r="F2611" s="1" t="s">
        <v>12498</v>
      </c>
      <c r="G2611" s="1" t="s">
        <v>12499</v>
      </c>
      <c r="H2611" s="1" t="s">
        <v>12500</v>
      </c>
      <c r="I2611" s="1">
        <v>132386.0</v>
      </c>
      <c r="J2611" s="1" t="s">
        <v>12501</v>
      </c>
      <c r="K2611" s="1" t="s">
        <v>12502</v>
      </c>
      <c r="L2611" s="1">
        <v>398.0</v>
      </c>
      <c r="M2611" s="1" t="s">
        <v>35</v>
      </c>
      <c r="N2611" s="1" t="s">
        <v>54</v>
      </c>
      <c r="O2611" s="1" t="s">
        <v>37</v>
      </c>
      <c r="P2611" s="1">
        <v>1.25E7</v>
      </c>
      <c r="Q2611" s="1">
        <v>2008.0</v>
      </c>
      <c r="R2611" s="1">
        <v>77.0</v>
      </c>
      <c r="S2611" s="1">
        <v>32.0</v>
      </c>
      <c r="T2611" s="1">
        <v>18.0</v>
      </c>
      <c r="U2611" s="1">
        <v>156.0</v>
      </c>
      <c r="V2611" s="1">
        <v>39.0</v>
      </c>
      <c r="W2611" s="1">
        <v>38000.0</v>
      </c>
      <c r="X2611" s="1">
        <v>0.0</v>
      </c>
      <c r="Y2611" s="1">
        <v>1.85</v>
      </c>
      <c r="Z2611" s="1">
        <v>7.8</v>
      </c>
    </row>
    <row r="2612" ht="14.25" customHeight="1">
      <c r="A2612" s="1" t="s">
        <v>26</v>
      </c>
      <c r="B2612" s="1" t="s">
        <v>11987</v>
      </c>
      <c r="C2612" s="1" t="s">
        <v>12503</v>
      </c>
      <c r="D2612" s="1">
        <v>4157491.0</v>
      </c>
      <c r="E2612" s="1" t="s">
        <v>12504</v>
      </c>
      <c r="F2612" s="1" t="s">
        <v>6265</v>
      </c>
      <c r="G2612" s="1" t="s">
        <v>1740</v>
      </c>
      <c r="H2612" s="1" t="s">
        <v>12505</v>
      </c>
      <c r="I2612" s="1">
        <v>79330.0</v>
      </c>
      <c r="J2612" s="1" t="s">
        <v>12506</v>
      </c>
      <c r="K2612" s="1" t="s">
        <v>12507</v>
      </c>
      <c r="L2612" s="1">
        <v>690.0</v>
      </c>
      <c r="M2612" s="1" t="s">
        <v>35</v>
      </c>
      <c r="N2612" s="1" t="s">
        <v>7233</v>
      </c>
      <c r="O2612" s="1" t="s">
        <v>628</v>
      </c>
      <c r="P2612" s="1">
        <v>1.28E7</v>
      </c>
      <c r="Q2612" s="1">
        <v>2000.0</v>
      </c>
      <c r="R2612" s="1">
        <v>963.0</v>
      </c>
      <c r="S2612" s="1">
        <v>595.0</v>
      </c>
      <c r="T2612" s="1">
        <v>322.0</v>
      </c>
      <c r="U2612" s="1">
        <v>2894.0</v>
      </c>
      <c r="V2612" s="1">
        <v>3000.0</v>
      </c>
      <c r="W2612" s="1">
        <v>0.0</v>
      </c>
      <c r="X2612" s="1">
        <v>0.0</v>
      </c>
      <c r="Y2612" s="1">
        <v>2.35</v>
      </c>
      <c r="Z2612" s="1">
        <v>8.0</v>
      </c>
    </row>
    <row r="2613" ht="14.25" customHeight="1">
      <c r="A2613" s="1" t="s">
        <v>26</v>
      </c>
      <c r="B2613" s="1" t="s">
        <v>11490</v>
      </c>
      <c r="C2613" s="1" t="s">
        <v>12508</v>
      </c>
      <c r="D2613" s="1">
        <v>1508689.0</v>
      </c>
      <c r="E2613" s="1" t="s">
        <v>206</v>
      </c>
      <c r="F2613" s="1" t="s">
        <v>130</v>
      </c>
      <c r="G2613" s="1" t="s">
        <v>1011</v>
      </c>
      <c r="H2613" s="1" t="s">
        <v>1259</v>
      </c>
      <c r="I2613" s="1">
        <v>5648.0</v>
      </c>
      <c r="J2613" s="1" t="s">
        <v>12509</v>
      </c>
      <c r="K2613" s="1" t="s">
        <v>12510</v>
      </c>
      <c r="L2613" s="1">
        <v>50.0</v>
      </c>
      <c r="M2613" s="1" t="s">
        <v>35</v>
      </c>
      <c r="N2613" s="1" t="s">
        <v>36</v>
      </c>
      <c r="O2613" s="1" t="s">
        <v>628</v>
      </c>
      <c r="P2613" s="1">
        <v>1.6E7</v>
      </c>
      <c r="Q2613" s="1">
        <v>1997.0</v>
      </c>
      <c r="R2613" s="1">
        <v>1000.0</v>
      </c>
      <c r="S2613" s="1">
        <v>653.0</v>
      </c>
      <c r="T2613" s="1">
        <v>241.0</v>
      </c>
      <c r="U2613" s="1">
        <v>2004.0</v>
      </c>
      <c r="V2613" s="1">
        <v>44.0</v>
      </c>
      <c r="W2613" s="1">
        <v>329.0</v>
      </c>
      <c r="X2613" s="1">
        <v>2.0</v>
      </c>
      <c r="Y2613" s="1">
        <v>2.35</v>
      </c>
      <c r="Z2613" s="1">
        <v>6.7</v>
      </c>
    </row>
    <row r="2614" ht="14.25" customHeight="1">
      <c r="A2614" s="1" t="s">
        <v>26</v>
      </c>
      <c r="B2614" s="1" t="s">
        <v>12511</v>
      </c>
      <c r="C2614" s="1" t="s">
        <v>12512</v>
      </c>
      <c r="D2614" s="1">
        <v>1227324.0</v>
      </c>
      <c r="E2614" s="1" t="s">
        <v>1854</v>
      </c>
      <c r="F2614" s="1" t="s">
        <v>3666</v>
      </c>
      <c r="G2614" s="1" t="s">
        <v>12513</v>
      </c>
      <c r="H2614" s="1" t="s">
        <v>5262</v>
      </c>
      <c r="I2614" s="1">
        <v>6921.0</v>
      </c>
      <c r="J2614" s="1" t="s">
        <v>12514</v>
      </c>
      <c r="K2614" s="1" t="s">
        <v>12515</v>
      </c>
      <c r="L2614" s="1">
        <v>48.0</v>
      </c>
      <c r="M2614" s="1" t="s">
        <v>35</v>
      </c>
      <c r="N2614" s="1" t="s">
        <v>36</v>
      </c>
      <c r="O2614" s="1" t="s">
        <v>628</v>
      </c>
      <c r="P2614" s="1">
        <v>1.25E7</v>
      </c>
      <c r="Q2614" s="1">
        <v>1996.0</v>
      </c>
      <c r="R2614" s="1">
        <v>812.0</v>
      </c>
      <c r="S2614" s="1">
        <v>787.0</v>
      </c>
      <c r="T2614" s="1">
        <v>599.0</v>
      </c>
      <c r="U2614" s="1">
        <v>3337.0</v>
      </c>
      <c r="V2614" s="1">
        <v>220.0</v>
      </c>
      <c r="W2614" s="1">
        <v>344.0</v>
      </c>
      <c r="X2614" s="1">
        <v>3.0</v>
      </c>
      <c r="Y2614" s="1">
        <v>1.85</v>
      </c>
      <c r="Z2614" s="1">
        <v>6.6</v>
      </c>
    </row>
    <row r="2615" ht="14.25" customHeight="1">
      <c r="A2615" s="1" t="s">
        <v>26</v>
      </c>
      <c r="B2615" s="1" t="s">
        <v>12516</v>
      </c>
      <c r="C2615" s="1" t="s">
        <v>12517</v>
      </c>
      <c r="D2615" s="1">
        <v>4360548.0</v>
      </c>
      <c r="E2615" s="1" t="s">
        <v>1359</v>
      </c>
      <c r="F2615" s="1" t="s">
        <v>3399</v>
      </c>
      <c r="G2615" s="1" t="s">
        <v>4908</v>
      </c>
      <c r="H2615" s="1" t="s">
        <v>2838</v>
      </c>
      <c r="I2615" s="1">
        <v>13371.0</v>
      </c>
      <c r="J2615" s="1" t="s">
        <v>12518</v>
      </c>
      <c r="K2615" s="1" t="s">
        <v>12519</v>
      </c>
      <c r="L2615" s="1">
        <v>60.0</v>
      </c>
      <c r="M2615" s="1" t="s">
        <v>35</v>
      </c>
      <c r="N2615" s="1" t="s">
        <v>36</v>
      </c>
      <c r="O2615" s="1" t="s">
        <v>628</v>
      </c>
      <c r="P2615" s="1">
        <v>1.5E7</v>
      </c>
      <c r="Q2615" s="1">
        <v>2009.0</v>
      </c>
      <c r="R2615" s="1">
        <v>966.0</v>
      </c>
      <c r="S2615" s="1">
        <v>681.0</v>
      </c>
      <c r="T2615" s="1">
        <v>506.0</v>
      </c>
      <c r="U2615" s="1">
        <v>2661.0</v>
      </c>
      <c r="V2615" s="1">
        <v>34.0</v>
      </c>
      <c r="W2615" s="1">
        <v>0.0</v>
      </c>
      <c r="X2615" s="1">
        <v>7.0</v>
      </c>
      <c r="Y2615" s="1">
        <v>1.85</v>
      </c>
      <c r="Z2615" s="1">
        <v>6.4</v>
      </c>
    </row>
    <row r="2616" ht="14.25" customHeight="1">
      <c r="A2616" s="1" t="s">
        <v>26</v>
      </c>
      <c r="B2616" s="1" t="s">
        <v>12520</v>
      </c>
      <c r="C2616" s="1" t="s">
        <v>12521</v>
      </c>
      <c r="D2616" s="1">
        <v>2.6589953E7</v>
      </c>
      <c r="E2616" s="1" t="s">
        <v>326</v>
      </c>
      <c r="F2616" s="1" t="s">
        <v>1663</v>
      </c>
      <c r="G2616" s="1" t="s">
        <v>5455</v>
      </c>
      <c r="H2616" s="1" t="s">
        <v>3134</v>
      </c>
      <c r="I2616" s="1">
        <v>165792.0</v>
      </c>
      <c r="J2616" s="1" t="s">
        <v>12522</v>
      </c>
      <c r="K2616" s="1" t="s">
        <v>12523</v>
      </c>
      <c r="L2616" s="1">
        <v>392.0</v>
      </c>
      <c r="M2616" s="1" t="s">
        <v>35</v>
      </c>
      <c r="N2616" s="1" t="s">
        <v>36</v>
      </c>
      <c r="O2616" s="1" t="s">
        <v>628</v>
      </c>
      <c r="P2616" s="1">
        <v>1.05E7</v>
      </c>
      <c r="Q2616" s="1">
        <v>2010.0</v>
      </c>
      <c r="R2616" s="1">
        <v>22000.0</v>
      </c>
      <c r="S2616" s="1">
        <v>982.0</v>
      </c>
      <c r="T2616" s="1">
        <v>844.0</v>
      </c>
      <c r="U2616" s="1">
        <v>26233.0</v>
      </c>
      <c r="V2616" s="1">
        <v>20.0</v>
      </c>
      <c r="W2616" s="1">
        <v>44000.0</v>
      </c>
      <c r="X2616" s="1">
        <v>1.0</v>
      </c>
      <c r="Y2616" s="1">
        <v>1.85</v>
      </c>
      <c r="Z2616" s="1">
        <v>6.7</v>
      </c>
    </row>
    <row r="2617" ht="14.25" customHeight="1">
      <c r="A2617" s="1" t="s">
        <v>26</v>
      </c>
      <c r="B2617" s="1" t="s">
        <v>12524</v>
      </c>
      <c r="C2617" s="1" t="s">
        <v>12525</v>
      </c>
      <c r="D2617" s="1">
        <v>1039869.0</v>
      </c>
      <c r="E2617" s="1" t="s">
        <v>1749</v>
      </c>
      <c r="F2617" s="1" t="s">
        <v>112</v>
      </c>
      <c r="G2617" s="1" t="s">
        <v>5968</v>
      </c>
      <c r="H2617" s="1" t="s">
        <v>12526</v>
      </c>
      <c r="I2617" s="1">
        <v>14757.0</v>
      </c>
      <c r="J2617" s="1" t="s">
        <v>12527</v>
      </c>
      <c r="K2617" s="1" t="s">
        <v>12528</v>
      </c>
      <c r="L2617" s="1">
        <v>51.0</v>
      </c>
      <c r="M2617" s="1" t="s">
        <v>35</v>
      </c>
      <c r="N2617" s="1" t="s">
        <v>260</v>
      </c>
      <c r="O2617" s="1" t="s">
        <v>628</v>
      </c>
      <c r="P2617" s="1">
        <v>1.5E7</v>
      </c>
      <c r="Q2617" s="1">
        <v>2010.0</v>
      </c>
      <c r="R2617" s="1">
        <v>18000.0</v>
      </c>
      <c r="S2617" s="1">
        <v>322.0</v>
      </c>
      <c r="T2617" s="1">
        <v>168.0</v>
      </c>
      <c r="U2617" s="1">
        <v>18739.0</v>
      </c>
      <c r="V2617" s="1">
        <v>60.0</v>
      </c>
      <c r="W2617" s="1">
        <v>0.0</v>
      </c>
      <c r="X2617" s="1">
        <v>5.0</v>
      </c>
      <c r="Y2617" s="1">
        <v>2.35</v>
      </c>
      <c r="Z2617" s="1">
        <v>6.2</v>
      </c>
    </row>
    <row r="2618" ht="14.25" customHeight="1">
      <c r="A2618" s="1" t="s">
        <v>26</v>
      </c>
      <c r="B2618" s="1" t="s">
        <v>2994</v>
      </c>
      <c r="C2618" s="1" t="s">
        <v>12529</v>
      </c>
      <c r="D2618" s="1">
        <v>4.8092846E7</v>
      </c>
      <c r="E2618" s="1" t="s">
        <v>2688</v>
      </c>
      <c r="F2618" s="1" t="s">
        <v>9447</v>
      </c>
      <c r="G2618" s="1" t="s">
        <v>12530</v>
      </c>
      <c r="H2618" s="1" t="s">
        <v>12531</v>
      </c>
      <c r="I2618" s="1">
        <v>61753.0</v>
      </c>
      <c r="J2618" s="1" t="s">
        <v>12532</v>
      </c>
      <c r="K2618" s="1" t="s">
        <v>12533</v>
      </c>
      <c r="L2618" s="1">
        <v>133.0</v>
      </c>
      <c r="M2618" s="1" t="s">
        <v>35</v>
      </c>
      <c r="N2618" s="1" t="s">
        <v>36</v>
      </c>
      <c r="O2618" s="1" t="s">
        <v>269</v>
      </c>
      <c r="P2618" s="1">
        <v>1.25E7</v>
      </c>
      <c r="Q2618" s="1">
        <v>1988.0</v>
      </c>
      <c r="R2618" s="1">
        <v>912.0</v>
      </c>
      <c r="S2618" s="1">
        <v>320.0</v>
      </c>
      <c r="T2618" s="1">
        <v>191.0</v>
      </c>
      <c r="U2618" s="1">
        <v>1833.0</v>
      </c>
      <c r="V2618" s="1">
        <v>383.0</v>
      </c>
      <c r="W2618" s="1">
        <v>5000.0</v>
      </c>
      <c r="X2618" s="1">
        <v>0.0</v>
      </c>
      <c r="Y2618" s="1">
        <v>1.33</v>
      </c>
      <c r="Z2618" s="1">
        <v>7.3</v>
      </c>
    </row>
    <row r="2619" ht="14.25" customHeight="1">
      <c r="A2619" s="1" t="s">
        <v>26</v>
      </c>
      <c r="B2619" s="1" t="s">
        <v>12534</v>
      </c>
      <c r="C2619" s="1" t="s">
        <v>12535</v>
      </c>
      <c r="D2619" s="1">
        <v>1110186.0</v>
      </c>
      <c r="E2619" s="1" t="s">
        <v>1402</v>
      </c>
      <c r="F2619" s="1" t="s">
        <v>12536</v>
      </c>
      <c r="G2619" s="1" t="s">
        <v>12537</v>
      </c>
      <c r="H2619" s="1" t="s">
        <v>5810</v>
      </c>
      <c r="I2619" s="1">
        <v>31943.0</v>
      </c>
      <c r="J2619" s="1" t="s">
        <v>12538</v>
      </c>
      <c r="K2619" s="1" t="s">
        <v>12539</v>
      </c>
      <c r="L2619" s="1">
        <v>224.0</v>
      </c>
      <c r="M2619" s="1" t="s">
        <v>12540</v>
      </c>
      <c r="N2619" s="1" t="s">
        <v>6497</v>
      </c>
      <c r="O2619" s="1" t="s">
        <v>628</v>
      </c>
      <c r="P2619" s="1">
        <v>1.28E7</v>
      </c>
      <c r="Q2619" s="1">
        <v>2004.0</v>
      </c>
      <c r="R2619" s="1">
        <v>717.0</v>
      </c>
      <c r="S2619" s="1">
        <v>517.0</v>
      </c>
      <c r="T2619" s="1">
        <v>489.0</v>
      </c>
      <c r="U2619" s="1">
        <v>1730.0</v>
      </c>
      <c r="V2619" s="1">
        <v>16.0</v>
      </c>
      <c r="W2619" s="1">
        <v>0.0</v>
      </c>
      <c r="X2619" s="1">
        <v>2.0</v>
      </c>
      <c r="Y2619" s="1">
        <v>2.35</v>
      </c>
      <c r="Z2619" s="1">
        <v>8.1</v>
      </c>
    </row>
    <row r="2620" ht="14.25" customHeight="1">
      <c r="A2620" s="1" t="s">
        <v>710</v>
      </c>
      <c r="B2620" s="1" t="s">
        <v>12541</v>
      </c>
      <c r="C2620" s="1" t="s">
        <v>12542</v>
      </c>
      <c r="D2620" s="1">
        <v>1089445.0</v>
      </c>
      <c r="E2620" s="1" t="s">
        <v>12543</v>
      </c>
      <c r="F2620" s="1" t="s">
        <v>373</v>
      </c>
      <c r="G2620" s="1" t="s">
        <v>3134</v>
      </c>
      <c r="H2620" s="1" t="s">
        <v>2200</v>
      </c>
      <c r="I2620" s="1">
        <v>2676.0</v>
      </c>
      <c r="J2620" s="1" t="s">
        <v>12544</v>
      </c>
      <c r="K2620" s="1" t="s">
        <v>12545</v>
      </c>
      <c r="L2620" s="1">
        <v>33.0</v>
      </c>
      <c r="M2620" s="1" t="s">
        <v>35</v>
      </c>
      <c r="N2620" s="1" t="s">
        <v>260</v>
      </c>
      <c r="O2620" s="1" t="s">
        <v>87</v>
      </c>
      <c r="P2620" s="1">
        <v>1.25E7</v>
      </c>
      <c r="Q2620" s="1">
        <v>2009.0</v>
      </c>
      <c r="R2620" s="1">
        <v>968.0</v>
      </c>
      <c r="S2620" s="1">
        <v>844.0</v>
      </c>
      <c r="T2620" s="1">
        <v>655.0</v>
      </c>
      <c r="U2620" s="1">
        <v>4270.0</v>
      </c>
      <c r="V2620" s="1">
        <v>50.0</v>
      </c>
      <c r="W2620" s="1">
        <v>0.0</v>
      </c>
      <c r="X2620" s="1">
        <v>0.0</v>
      </c>
      <c r="Y2620" s="1">
        <v>2.35</v>
      </c>
      <c r="Z2620" s="1">
        <v>7.0</v>
      </c>
    </row>
    <row r="2621" ht="14.25" customHeight="1">
      <c r="A2621" s="1" t="s">
        <v>26</v>
      </c>
      <c r="B2621" s="1" t="s">
        <v>4475</v>
      </c>
      <c r="C2621" s="1" t="s">
        <v>12546</v>
      </c>
      <c r="D2621" s="1">
        <v>2.04565E8</v>
      </c>
      <c r="E2621" s="1" t="s">
        <v>6019</v>
      </c>
      <c r="F2621" s="1" t="s">
        <v>7260</v>
      </c>
      <c r="G2621" s="1" t="s">
        <v>12547</v>
      </c>
      <c r="H2621" s="1" t="s">
        <v>12548</v>
      </c>
      <c r="I2621" s="1">
        <v>284252.0</v>
      </c>
      <c r="J2621" s="1" t="s">
        <v>12549</v>
      </c>
      <c r="K2621" s="1" t="s">
        <v>12550</v>
      </c>
      <c r="L2621" s="1">
        <v>1058.0</v>
      </c>
      <c r="M2621" s="1" t="s">
        <v>35</v>
      </c>
      <c r="N2621" s="1" t="s">
        <v>36</v>
      </c>
      <c r="O2621" s="1" t="s">
        <v>628</v>
      </c>
      <c r="P2621" s="1">
        <v>8000000.0</v>
      </c>
      <c r="Q2621" s="1">
        <v>1973.0</v>
      </c>
      <c r="R2621" s="1">
        <v>1000.0</v>
      </c>
      <c r="S2621" s="1">
        <v>931.0</v>
      </c>
      <c r="T2621" s="1">
        <v>259.0</v>
      </c>
      <c r="U2621" s="1">
        <v>2466.0</v>
      </c>
      <c r="V2621" s="1">
        <v>607.0</v>
      </c>
      <c r="W2621" s="1">
        <v>18000.0</v>
      </c>
      <c r="X2621" s="1">
        <v>0.0</v>
      </c>
      <c r="Y2621" s="1">
        <v>1.37</v>
      </c>
      <c r="Z2621" s="1">
        <v>8.0</v>
      </c>
    </row>
    <row r="2622" ht="14.25" customHeight="1">
      <c r="A2622" s="1" t="s">
        <v>26</v>
      </c>
      <c r="B2622" s="1" t="s">
        <v>381</v>
      </c>
      <c r="C2622" s="1" t="s">
        <v>12551</v>
      </c>
      <c r="D2622" s="1">
        <v>2.6E8</v>
      </c>
      <c r="E2622" s="1" t="s">
        <v>1744</v>
      </c>
      <c r="F2622" s="1" t="s">
        <v>9812</v>
      </c>
      <c r="G2622" s="1" t="s">
        <v>12552</v>
      </c>
      <c r="H2622" s="1" t="s">
        <v>9813</v>
      </c>
      <c r="I2622" s="1">
        <v>412454.0</v>
      </c>
      <c r="J2622" s="1" t="s">
        <v>12553</v>
      </c>
      <c r="K2622" s="1" t="s">
        <v>12554</v>
      </c>
      <c r="L2622" s="1">
        <v>962.0</v>
      </c>
      <c r="M2622" s="1" t="s">
        <v>35</v>
      </c>
      <c r="N2622" s="1" t="s">
        <v>36</v>
      </c>
      <c r="O2622" s="1" t="s">
        <v>87</v>
      </c>
      <c r="P2622" s="1">
        <v>8000000.0</v>
      </c>
      <c r="Q2622" s="1">
        <v>1975.0</v>
      </c>
      <c r="R2622" s="1">
        <v>813.0</v>
      </c>
      <c r="S2622" s="1">
        <v>559.0</v>
      </c>
      <c r="T2622" s="1">
        <v>366.0</v>
      </c>
      <c r="U2622" s="1">
        <v>2047.0</v>
      </c>
      <c r="V2622" s="1">
        <v>14000.0</v>
      </c>
      <c r="W2622" s="1">
        <v>21000.0</v>
      </c>
      <c r="X2622" s="1">
        <v>0.0</v>
      </c>
      <c r="Y2622" s="1">
        <v>2.35</v>
      </c>
      <c r="Z2622" s="1">
        <v>8.0</v>
      </c>
    </row>
    <row r="2623" ht="14.25" customHeight="1">
      <c r="A2623" s="1" t="s">
        <v>26</v>
      </c>
      <c r="B2623" s="1" t="s">
        <v>1661</v>
      </c>
      <c r="C2623" s="1" t="s">
        <v>12555</v>
      </c>
      <c r="D2623" s="1">
        <v>1.01736215E8</v>
      </c>
      <c r="E2623" s="1" t="s">
        <v>1885</v>
      </c>
      <c r="F2623" s="1" t="s">
        <v>4347</v>
      </c>
      <c r="G2623" s="1" t="s">
        <v>7115</v>
      </c>
      <c r="H2623" s="1" t="s">
        <v>3561</v>
      </c>
      <c r="I2623" s="1">
        <v>315549.0</v>
      </c>
      <c r="J2623" s="1" t="s">
        <v>12556</v>
      </c>
      <c r="K2623" s="1" t="s">
        <v>12557</v>
      </c>
      <c r="L2623" s="1">
        <v>789.0</v>
      </c>
      <c r="M2623" s="1" t="s">
        <v>35</v>
      </c>
      <c r="N2623" s="1" t="s">
        <v>36</v>
      </c>
      <c r="O2623" s="1" t="s">
        <v>628</v>
      </c>
      <c r="P2623" s="1">
        <v>1.1E7</v>
      </c>
      <c r="Q2623" s="1">
        <v>1999.0</v>
      </c>
      <c r="R2623" s="1">
        <v>3000.0</v>
      </c>
      <c r="S2623" s="1">
        <v>1000.0</v>
      </c>
      <c r="T2623" s="1">
        <v>1000.0</v>
      </c>
      <c r="U2623" s="1">
        <v>8134.0</v>
      </c>
      <c r="V2623" s="1">
        <v>80.0</v>
      </c>
      <c r="W2623" s="1">
        <v>0.0</v>
      </c>
      <c r="X2623" s="1">
        <v>6.0</v>
      </c>
      <c r="Y2623" s="1">
        <v>1.85</v>
      </c>
      <c r="Z2623" s="1">
        <v>7.0</v>
      </c>
    </row>
    <row r="2624" ht="14.25" customHeight="1">
      <c r="A2624" s="1" t="s">
        <v>26</v>
      </c>
      <c r="B2624" s="1" t="s">
        <v>12558</v>
      </c>
      <c r="C2624" s="1" t="s">
        <v>12559</v>
      </c>
      <c r="D2624" s="1">
        <v>71442.0</v>
      </c>
      <c r="E2624" s="1" t="s">
        <v>12560</v>
      </c>
      <c r="F2624" s="1" t="s">
        <v>638</v>
      </c>
      <c r="G2624" s="1" t="s">
        <v>3013</v>
      </c>
      <c r="H2624" s="1" t="s">
        <v>12561</v>
      </c>
      <c r="I2624" s="1">
        <v>12029.0</v>
      </c>
      <c r="J2624" s="1" t="s">
        <v>12562</v>
      </c>
      <c r="K2624" s="1" t="s">
        <v>12563</v>
      </c>
      <c r="L2624" s="1">
        <v>32.0</v>
      </c>
      <c r="M2624" s="1" t="s">
        <v>2752</v>
      </c>
      <c r="N2624" s="1" t="s">
        <v>1832</v>
      </c>
      <c r="O2624" s="1" t="s">
        <v>87</v>
      </c>
      <c r="P2624" s="1">
        <v>9600000.0</v>
      </c>
      <c r="Q2624" s="1">
        <v>2012.0</v>
      </c>
      <c r="R2624" s="1">
        <v>6000.0</v>
      </c>
      <c r="S2624" s="1">
        <v>637.0</v>
      </c>
      <c r="T2624" s="1">
        <v>186.0</v>
      </c>
      <c r="U2624" s="1">
        <v>6829.0</v>
      </c>
      <c r="V2624" s="1">
        <v>2.0</v>
      </c>
      <c r="W2624" s="1">
        <v>0.0</v>
      </c>
      <c r="X2624" s="1">
        <v>0.0</v>
      </c>
      <c r="Y2624" s="1">
        <v>1.85</v>
      </c>
      <c r="Z2624" s="1">
        <v>7.9</v>
      </c>
    </row>
    <row r="2625" ht="14.25" customHeight="1">
      <c r="A2625" s="1" t="s">
        <v>26</v>
      </c>
      <c r="B2625" s="1" t="s">
        <v>8363</v>
      </c>
      <c r="C2625" s="1" t="s">
        <v>12564</v>
      </c>
      <c r="D2625" s="1">
        <v>7.9817937E7</v>
      </c>
      <c r="E2625" s="1" t="s">
        <v>12565</v>
      </c>
      <c r="F2625" s="1" t="s">
        <v>3260</v>
      </c>
      <c r="G2625" s="1" t="s">
        <v>5332</v>
      </c>
      <c r="H2625" s="1" t="s">
        <v>12566</v>
      </c>
      <c r="I2625" s="1">
        <v>39798.0</v>
      </c>
      <c r="J2625" s="1" t="s">
        <v>12567</v>
      </c>
      <c r="K2625" s="1" t="s">
        <v>12568</v>
      </c>
      <c r="L2625" s="1">
        <v>69.0</v>
      </c>
      <c r="M2625" s="1" t="s">
        <v>35</v>
      </c>
      <c r="N2625" s="1" t="s">
        <v>36</v>
      </c>
      <c r="O2625" s="1" t="s">
        <v>37</v>
      </c>
      <c r="P2625" s="1">
        <v>2.5E7</v>
      </c>
      <c r="Q2625" s="1">
        <v>1986.0</v>
      </c>
      <c r="R2625" s="1">
        <v>400.0</v>
      </c>
      <c r="S2625" s="1">
        <v>255.0</v>
      </c>
      <c r="T2625" s="1">
        <v>148.0</v>
      </c>
      <c r="U2625" s="1">
        <v>1044.0</v>
      </c>
      <c r="V2625" s="1">
        <v>23.0</v>
      </c>
      <c r="W2625" s="1">
        <v>0.0</v>
      </c>
      <c r="X2625" s="1">
        <v>1.0</v>
      </c>
      <c r="Y2625" s="1">
        <v>1.85</v>
      </c>
      <c r="Z2625" s="1">
        <v>5.9</v>
      </c>
    </row>
    <row r="2626" ht="14.25" customHeight="1">
      <c r="A2626" s="1" t="s">
        <v>26</v>
      </c>
      <c r="B2626" s="1" t="s">
        <v>1295</v>
      </c>
      <c r="C2626" s="1" t="s">
        <v>12569</v>
      </c>
      <c r="D2626" s="1">
        <v>9.1547205E7</v>
      </c>
      <c r="E2626" s="1" t="s">
        <v>1598</v>
      </c>
      <c r="F2626" s="1" t="s">
        <v>10359</v>
      </c>
      <c r="G2626" s="1" t="s">
        <v>3699</v>
      </c>
      <c r="H2626" s="1" t="s">
        <v>5344</v>
      </c>
      <c r="I2626" s="1">
        <v>34579.0</v>
      </c>
      <c r="J2626" s="1" t="s">
        <v>12570</v>
      </c>
      <c r="K2626" s="1" t="s">
        <v>12571</v>
      </c>
      <c r="L2626" s="1">
        <v>62.0</v>
      </c>
      <c r="M2626" s="1" t="s">
        <v>35</v>
      </c>
      <c r="N2626" s="1" t="s">
        <v>36</v>
      </c>
      <c r="O2626" s="1" t="s">
        <v>37</v>
      </c>
      <c r="P2626" s="1">
        <v>1.2E7</v>
      </c>
      <c r="Q2626" s="1">
        <v>2012.0</v>
      </c>
      <c r="R2626" s="1">
        <v>997.0</v>
      </c>
      <c r="S2626" s="1">
        <v>966.0</v>
      </c>
      <c r="T2626" s="1">
        <v>807.0</v>
      </c>
      <c r="U2626" s="1">
        <v>5165.0</v>
      </c>
      <c r="V2626" s="1">
        <v>167.0</v>
      </c>
      <c r="W2626" s="1">
        <v>0.0</v>
      </c>
      <c r="X2626" s="1">
        <v>8.0</v>
      </c>
      <c r="Y2626" s="1">
        <v>2.35</v>
      </c>
      <c r="Z2626" s="1">
        <v>6.6</v>
      </c>
    </row>
    <row r="2627" ht="14.25" customHeight="1">
      <c r="A2627" s="1" t="s">
        <v>26</v>
      </c>
      <c r="B2627" s="1" t="s">
        <v>1295</v>
      </c>
      <c r="C2627" s="1" t="s">
        <v>12572</v>
      </c>
      <c r="D2627" s="1">
        <v>7.507495E7</v>
      </c>
      <c r="E2627" s="1" t="s">
        <v>2422</v>
      </c>
      <c r="F2627" s="1" t="s">
        <v>10689</v>
      </c>
      <c r="G2627" s="1" t="s">
        <v>8610</v>
      </c>
      <c r="H2627" s="1" t="s">
        <v>769</v>
      </c>
      <c r="I2627" s="1">
        <v>22147.0</v>
      </c>
      <c r="J2627" s="1" t="s">
        <v>12573</v>
      </c>
      <c r="K2627" s="1" t="s">
        <v>12574</v>
      </c>
      <c r="L2627" s="1">
        <v>156.0</v>
      </c>
      <c r="M2627" s="1" t="s">
        <v>35</v>
      </c>
      <c r="N2627" s="1" t="s">
        <v>36</v>
      </c>
      <c r="O2627" s="1" t="s">
        <v>37</v>
      </c>
      <c r="P2627" s="1">
        <v>1.2E7</v>
      </c>
      <c r="Q2627" s="1">
        <v>2002.0</v>
      </c>
      <c r="R2627" s="1">
        <v>656.0</v>
      </c>
      <c r="S2627" s="1">
        <v>528.0</v>
      </c>
      <c r="T2627" s="1">
        <v>436.0</v>
      </c>
      <c r="U2627" s="1">
        <v>2754.0</v>
      </c>
      <c r="V2627" s="1">
        <v>167.0</v>
      </c>
      <c r="W2627" s="1">
        <v>770.0</v>
      </c>
      <c r="X2627" s="1">
        <v>0.0</v>
      </c>
      <c r="Y2627" s="1">
        <v>1.85</v>
      </c>
      <c r="Z2627" s="1">
        <v>6.3</v>
      </c>
    </row>
    <row r="2628" ht="14.25" customHeight="1">
      <c r="A2628" s="1" t="s">
        <v>26</v>
      </c>
      <c r="B2628" s="1" t="s">
        <v>8436</v>
      </c>
      <c r="C2628" s="1" t="s">
        <v>12575</v>
      </c>
      <c r="D2628" s="1">
        <v>7.89E7</v>
      </c>
      <c r="E2628" s="1" t="s">
        <v>65</v>
      </c>
      <c r="F2628" s="1" t="s">
        <v>992</v>
      </c>
      <c r="G2628" s="1" t="s">
        <v>12576</v>
      </c>
      <c r="H2628" s="1" t="s">
        <v>6835</v>
      </c>
      <c r="I2628" s="1">
        <v>91414.0</v>
      </c>
      <c r="J2628" s="1" t="s">
        <v>12577</v>
      </c>
      <c r="K2628" s="1" t="s">
        <v>12578</v>
      </c>
      <c r="L2628" s="1">
        <v>359.0</v>
      </c>
      <c r="M2628" s="1" t="s">
        <v>35</v>
      </c>
      <c r="N2628" s="1" t="s">
        <v>36</v>
      </c>
      <c r="O2628" s="1" t="s">
        <v>87</v>
      </c>
      <c r="P2628" s="1">
        <v>1.1E7</v>
      </c>
      <c r="Q2628" s="1">
        <v>1982.0</v>
      </c>
      <c r="R2628" s="1">
        <v>12000.0</v>
      </c>
      <c r="S2628" s="1">
        <v>980.0</v>
      </c>
      <c r="T2628" s="1">
        <v>664.0</v>
      </c>
      <c r="U2628" s="1">
        <v>16539.0</v>
      </c>
      <c r="V2628" s="1">
        <v>120.0</v>
      </c>
      <c r="W2628" s="1">
        <v>0.0</v>
      </c>
      <c r="X2628" s="1">
        <v>2.0</v>
      </c>
      <c r="Y2628" s="1">
        <v>2.35</v>
      </c>
      <c r="Z2628" s="1">
        <v>7.7</v>
      </c>
    </row>
    <row r="2629" ht="14.25" customHeight="1">
      <c r="A2629" s="1" t="s">
        <v>26</v>
      </c>
      <c r="B2629" s="1" t="s">
        <v>499</v>
      </c>
      <c r="C2629" s="1" t="s">
        <v>12579</v>
      </c>
      <c r="D2629" s="1">
        <v>7.2217E7</v>
      </c>
      <c r="E2629" s="1" t="s">
        <v>1885</v>
      </c>
      <c r="F2629" s="1" t="s">
        <v>8325</v>
      </c>
      <c r="G2629" s="1" t="s">
        <v>1740</v>
      </c>
      <c r="H2629" s="1" t="s">
        <v>10872</v>
      </c>
      <c r="I2629" s="1">
        <v>216486.0</v>
      </c>
      <c r="J2629" s="1" t="s">
        <v>12580</v>
      </c>
      <c r="K2629" s="1" t="s">
        <v>12581</v>
      </c>
      <c r="L2629" s="1">
        <v>242.0</v>
      </c>
      <c r="M2629" s="1" t="s">
        <v>35</v>
      </c>
      <c r="N2629" s="1" t="s">
        <v>36</v>
      </c>
      <c r="O2629" s="1" t="s">
        <v>37</v>
      </c>
      <c r="P2629" s="1">
        <v>1.2E7</v>
      </c>
      <c r="Q2629" s="1">
        <v>1994.0</v>
      </c>
      <c r="R2629" s="1">
        <v>759.0</v>
      </c>
      <c r="S2629" s="1">
        <v>595.0</v>
      </c>
      <c r="T2629" s="1">
        <v>567.0</v>
      </c>
      <c r="U2629" s="1">
        <v>2462.0</v>
      </c>
      <c r="V2629" s="1">
        <v>293.0</v>
      </c>
      <c r="W2629" s="1">
        <v>0.0</v>
      </c>
      <c r="X2629" s="1">
        <v>1.0</v>
      </c>
      <c r="Y2629" s="1">
        <v>1.85</v>
      </c>
      <c r="Z2629" s="1">
        <v>6.9</v>
      </c>
    </row>
    <row r="2630" ht="14.25" customHeight="1">
      <c r="A2630" s="1" t="s">
        <v>26</v>
      </c>
      <c r="B2630" s="1" t="s">
        <v>12582</v>
      </c>
      <c r="C2630" s="1" t="s">
        <v>12583</v>
      </c>
      <c r="D2630" s="1">
        <v>7.9568E7</v>
      </c>
      <c r="E2630" s="1" t="s">
        <v>2804</v>
      </c>
      <c r="F2630" s="1" t="s">
        <v>865</v>
      </c>
      <c r="G2630" s="1" t="s">
        <v>8754</v>
      </c>
      <c r="H2630" s="1" t="s">
        <v>12584</v>
      </c>
      <c r="I2630" s="1">
        <v>71842.0</v>
      </c>
      <c r="J2630" s="1" t="s">
        <v>12585</v>
      </c>
      <c r="K2630" s="1" t="s">
        <v>12586</v>
      </c>
      <c r="L2630" s="1">
        <v>152.0</v>
      </c>
      <c r="M2630" s="1" t="s">
        <v>35</v>
      </c>
      <c r="N2630" s="1" t="s">
        <v>36</v>
      </c>
      <c r="O2630" s="1" t="s">
        <v>87</v>
      </c>
      <c r="P2630" s="1">
        <v>1.2E7</v>
      </c>
      <c r="Q2630" s="1">
        <v>1983.0</v>
      </c>
      <c r="R2630" s="1">
        <v>2000.0</v>
      </c>
      <c r="S2630" s="1">
        <v>883.0</v>
      </c>
      <c r="T2630" s="1">
        <v>793.0</v>
      </c>
      <c r="U2630" s="1">
        <v>4537.0</v>
      </c>
      <c r="V2630" s="1">
        <v>139.0</v>
      </c>
      <c r="W2630" s="1">
        <v>0.0</v>
      </c>
      <c r="X2630" s="1">
        <v>0.0</v>
      </c>
      <c r="Y2630" s="1">
        <v>1.85</v>
      </c>
      <c r="Z2630" s="1">
        <v>7.1</v>
      </c>
    </row>
    <row r="2631" ht="14.25" customHeight="1">
      <c r="A2631" s="1" t="s">
        <v>26</v>
      </c>
      <c r="B2631" s="1" t="s">
        <v>1059</v>
      </c>
      <c r="C2631" s="1" t="s">
        <v>12587</v>
      </c>
      <c r="D2631" s="1">
        <v>6.55E7</v>
      </c>
      <c r="E2631" s="1" t="s">
        <v>4987</v>
      </c>
      <c r="F2631" s="1" t="s">
        <v>383</v>
      </c>
      <c r="G2631" s="1" t="s">
        <v>2682</v>
      </c>
      <c r="H2631" s="1" t="s">
        <v>1091</v>
      </c>
      <c r="I2631" s="1">
        <v>66966.0</v>
      </c>
      <c r="J2631" s="1" t="s">
        <v>12588</v>
      </c>
      <c r="K2631" s="1" t="s">
        <v>12589</v>
      </c>
      <c r="L2631" s="1">
        <v>175.0</v>
      </c>
      <c r="M2631" s="1" t="s">
        <v>35</v>
      </c>
      <c r="N2631" s="1" t="s">
        <v>36</v>
      </c>
      <c r="O2631" s="1" t="s">
        <v>628</v>
      </c>
      <c r="P2631" s="1">
        <v>1.2E7</v>
      </c>
      <c r="Q2631" s="1">
        <v>1985.0</v>
      </c>
      <c r="R2631" s="1">
        <v>11000.0</v>
      </c>
      <c r="S2631" s="1">
        <v>10000.0</v>
      </c>
      <c r="T2631" s="1">
        <v>733.0</v>
      </c>
      <c r="U2631" s="1">
        <v>22479.0</v>
      </c>
      <c r="V2631" s="1">
        <v>608.0</v>
      </c>
      <c r="W2631" s="1">
        <v>0.0</v>
      </c>
      <c r="X2631" s="1">
        <v>1.0</v>
      </c>
      <c r="Y2631" s="1">
        <v>1.85</v>
      </c>
      <c r="Z2631" s="1">
        <v>7.4</v>
      </c>
    </row>
    <row r="2632" ht="14.25" customHeight="1">
      <c r="A2632" s="1" t="s">
        <v>26</v>
      </c>
      <c r="B2632" s="1" t="s">
        <v>12590</v>
      </c>
      <c r="C2632" s="1" t="s">
        <v>12591</v>
      </c>
      <c r="D2632" s="1">
        <v>7.0011073E7</v>
      </c>
      <c r="E2632" s="1" t="s">
        <v>12592</v>
      </c>
      <c r="F2632" s="1" t="s">
        <v>12593</v>
      </c>
      <c r="G2632" s="1" t="s">
        <v>12594</v>
      </c>
      <c r="H2632" s="1" t="s">
        <v>12595</v>
      </c>
      <c r="I2632" s="1">
        <v>57996.0</v>
      </c>
      <c r="J2632" s="1" t="s">
        <v>12596</v>
      </c>
      <c r="K2632" s="1" t="s">
        <v>12597</v>
      </c>
      <c r="L2632" s="1">
        <v>349.0</v>
      </c>
      <c r="M2632" s="1" t="s">
        <v>35</v>
      </c>
      <c r="N2632" s="1" t="s">
        <v>36</v>
      </c>
      <c r="O2632" s="1" t="s">
        <v>628</v>
      </c>
      <c r="P2632" s="1">
        <v>1.2E7</v>
      </c>
      <c r="Q2632" s="1">
        <v>2012.0</v>
      </c>
      <c r="R2632" s="1">
        <v>93.0</v>
      </c>
      <c r="S2632" s="1">
        <v>17.0</v>
      </c>
      <c r="T2632" s="1">
        <v>11.0</v>
      </c>
      <c r="U2632" s="1">
        <v>146.0</v>
      </c>
      <c r="V2632" s="1">
        <v>16.0</v>
      </c>
      <c r="W2632" s="1">
        <v>15000.0</v>
      </c>
      <c r="X2632" s="1">
        <v>0.0</v>
      </c>
      <c r="Y2632" s="1">
        <v>2.35</v>
      </c>
      <c r="Z2632" s="1">
        <v>6.5</v>
      </c>
    </row>
    <row r="2633" ht="14.25" customHeight="1">
      <c r="A2633" s="1" t="s">
        <v>26</v>
      </c>
      <c r="B2633" s="1" t="s">
        <v>5857</v>
      </c>
      <c r="C2633" s="1" t="s">
        <v>12598</v>
      </c>
      <c r="D2633" s="1">
        <v>6.526901E7</v>
      </c>
      <c r="E2633" s="1" t="s">
        <v>12599</v>
      </c>
      <c r="F2633" s="1" t="s">
        <v>430</v>
      </c>
      <c r="G2633" s="1" t="s">
        <v>3811</v>
      </c>
      <c r="H2633" s="1" t="s">
        <v>12600</v>
      </c>
      <c r="I2633" s="1">
        <v>90938.0</v>
      </c>
      <c r="J2633" s="1" t="s">
        <v>12601</v>
      </c>
      <c r="K2633" s="1" t="s">
        <v>12602</v>
      </c>
      <c r="L2633" s="1">
        <v>271.0</v>
      </c>
      <c r="M2633" s="1" t="s">
        <v>35</v>
      </c>
      <c r="N2633" s="1" t="s">
        <v>36</v>
      </c>
      <c r="O2633" s="1" t="s">
        <v>37</v>
      </c>
      <c r="P2633" s="1">
        <v>1.2E7</v>
      </c>
      <c r="Q2633" s="1">
        <v>2006.0</v>
      </c>
      <c r="R2633" s="1">
        <v>17000.0</v>
      </c>
      <c r="S2633" s="1">
        <v>2000.0</v>
      </c>
      <c r="T2633" s="1">
        <v>920.0</v>
      </c>
      <c r="U2633" s="1">
        <v>21380.0</v>
      </c>
      <c r="V2633" s="1">
        <v>98.0</v>
      </c>
      <c r="W2633" s="1">
        <v>0.0</v>
      </c>
      <c r="X2633" s="1">
        <v>0.0</v>
      </c>
      <c r="Y2633" s="1">
        <v>2.35</v>
      </c>
      <c r="Z2633" s="1">
        <v>6.5</v>
      </c>
    </row>
    <row r="2634" ht="14.25" customHeight="1">
      <c r="A2634" s="1" t="s">
        <v>26</v>
      </c>
      <c r="B2634" s="1" t="s">
        <v>12603</v>
      </c>
      <c r="C2634" s="1" t="s">
        <v>12604</v>
      </c>
      <c r="D2634" s="1">
        <v>6.3071133E7</v>
      </c>
      <c r="E2634" s="1" t="s">
        <v>12605</v>
      </c>
      <c r="F2634" s="1" t="s">
        <v>941</v>
      </c>
      <c r="G2634" s="1" t="s">
        <v>1320</v>
      </c>
      <c r="H2634" s="1" t="s">
        <v>6304</v>
      </c>
      <c r="I2634" s="1">
        <v>42892.0</v>
      </c>
      <c r="J2634" s="1" t="s">
        <v>12606</v>
      </c>
      <c r="K2634" s="1" t="s">
        <v>12607</v>
      </c>
      <c r="L2634" s="1">
        <v>154.0</v>
      </c>
      <c r="M2634" s="1" t="s">
        <v>35</v>
      </c>
      <c r="N2634" s="1" t="s">
        <v>36</v>
      </c>
      <c r="O2634" s="1" t="s">
        <v>37</v>
      </c>
      <c r="P2634" s="1">
        <v>1.2E7</v>
      </c>
      <c r="Q2634" s="1">
        <v>1996.0</v>
      </c>
      <c r="R2634" s="1">
        <v>13000.0</v>
      </c>
      <c r="S2634" s="1">
        <v>2000.0</v>
      </c>
      <c r="T2634" s="1">
        <v>616.0</v>
      </c>
      <c r="U2634" s="1">
        <v>17035.0</v>
      </c>
      <c r="V2634" s="1">
        <v>406.0</v>
      </c>
      <c r="W2634" s="1">
        <v>0.0</v>
      </c>
      <c r="X2634" s="1">
        <v>0.0</v>
      </c>
      <c r="Y2634" s="1">
        <v>1.85</v>
      </c>
      <c r="Z2634" s="1">
        <v>6.8</v>
      </c>
    </row>
    <row r="2635" ht="14.25" customHeight="1">
      <c r="A2635" s="1" t="s">
        <v>26</v>
      </c>
      <c r="B2635" s="1" t="s">
        <v>1681</v>
      </c>
      <c r="C2635" s="1" t="s">
        <v>12608</v>
      </c>
      <c r="D2635" s="1">
        <v>3.9647595E7</v>
      </c>
      <c r="E2635" s="1" t="s">
        <v>1458</v>
      </c>
      <c r="F2635" s="1" t="s">
        <v>1663</v>
      </c>
      <c r="G2635" s="1" t="s">
        <v>12609</v>
      </c>
      <c r="H2635" s="1" t="s">
        <v>4132</v>
      </c>
      <c r="I2635" s="1">
        <v>239540.0</v>
      </c>
      <c r="J2635" s="1" t="s">
        <v>12610</v>
      </c>
      <c r="K2635" s="1" t="s">
        <v>12611</v>
      </c>
      <c r="L2635" s="1">
        <v>462.0</v>
      </c>
      <c r="M2635" s="1" t="s">
        <v>35</v>
      </c>
      <c r="N2635" s="1" t="s">
        <v>36</v>
      </c>
      <c r="O2635" s="1" t="s">
        <v>628</v>
      </c>
      <c r="P2635" s="1">
        <v>1.2E7</v>
      </c>
      <c r="Q2635" s="1">
        <v>1997.0</v>
      </c>
      <c r="R2635" s="1">
        <v>22000.0</v>
      </c>
      <c r="S2635" s="1">
        <v>1000.0</v>
      </c>
      <c r="T2635" s="1">
        <v>889.0</v>
      </c>
      <c r="U2635" s="1">
        <v>25522.0</v>
      </c>
      <c r="V2635" s="1">
        <v>16000.0</v>
      </c>
      <c r="W2635" s="1">
        <v>0.0</v>
      </c>
      <c r="X2635" s="1">
        <v>5.0</v>
      </c>
      <c r="Y2635" s="1">
        <v>1.85</v>
      </c>
      <c r="Z2635" s="1">
        <v>7.5</v>
      </c>
    </row>
    <row r="2636" ht="14.25" customHeight="1">
      <c r="A2636" s="1" t="s">
        <v>26</v>
      </c>
      <c r="B2636" s="1" t="s">
        <v>4942</v>
      </c>
      <c r="C2636" s="1" t="s">
        <v>12612</v>
      </c>
      <c r="D2636" s="1">
        <v>3.8087366E7</v>
      </c>
      <c r="E2636" s="1" t="s">
        <v>4008</v>
      </c>
      <c r="F2636" s="1" t="s">
        <v>6977</v>
      </c>
      <c r="G2636" s="1" t="s">
        <v>6540</v>
      </c>
      <c r="H2636" s="1" t="s">
        <v>7556</v>
      </c>
      <c r="I2636" s="1">
        <v>113918.0</v>
      </c>
      <c r="J2636" s="1" t="s">
        <v>12613</v>
      </c>
      <c r="K2636" s="1" t="s">
        <v>12614</v>
      </c>
      <c r="L2636" s="1">
        <v>165.0</v>
      </c>
      <c r="M2636" s="1" t="s">
        <v>35</v>
      </c>
      <c r="N2636" s="1" t="s">
        <v>36</v>
      </c>
      <c r="O2636" s="1" t="s">
        <v>628</v>
      </c>
      <c r="P2636" s="1">
        <v>1.2E7</v>
      </c>
      <c r="Q2636" s="1">
        <v>2008.0</v>
      </c>
      <c r="R2636" s="1">
        <v>1000.0</v>
      </c>
      <c r="S2636" s="1">
        <v>954.0</v>
      </c>
      <c r="T2636" s="1">
        <v>816.0</v>
      </c>
      <c r="U2636" s="1">
        <v>4065.0</v>
      </c>
      <c r="V2636" s="1">
        <v>22.0</v>
      </c>
      <c r="W2636" s="1">
        <v>0.0</v>
      </c>
      <c r="X2636" s="1">
        <v>2.0</v>
      </c>
      <c r="Y2636" s="1">
        <v>1.85</v>
      </c>
      <c r="Z2636" s="1">
        <v>6.6</v>
      </c>
    </row>
    <row r="2637" ht="14.25" customHeight="1">
      <c r="A2637" s="1" t="s">
        <v>26</v>
      </c>
      <c r="B2637" s="1" t="s">
        <v>1430</v>
      </c>
      <c r="C2637" s="1" t="s">
        <v>12615</v>
      </c>
      <c r="D2637" s="1">
        <v>6.4572496E7</v>
      </c>
      <c r="E2637" s="1" t="s">
        <v>2566</v>
      </c>
      <c r="F2637" s="1" t="s">
        <v>2893</v>
      </c>
      <c r="G2637" s="1" t="s">
        <v>3500</v>
      </c>
      <c r="H2637" s="1" t="s">
        <v>12616</v>
      </c>
      <c r="I2637" s="1">
        <v>204327.0</v>
      </c>
      <c r="J2637" s="1" t="s">
        <v>12617</v>
      </c>
      <c r="K2637" s="1" t="s">
        <v>12618</v>
      </c>
      <c r="L2637" s="1">
        <v>471.0</v>
      </c>
      <c r="M2637" s="1" t="s">
        <v>35</v>
      </c>
      <c r="N2637" s="1" t="s">
        <v>36</v>
      </c>
      <c r="O2637" s="1" t="s">
        <v>37</v>
      </c>
      <c r="P2637" s="1">
        <v>1.2E7</v>
      </c>
      <c r="Q2637" s="1">
        <v>2012.0</v>
      </c>
      <c r="R2637" s="1">
        <v>963.0</v>
      </c>
      <c r="S2637" s="1">
        <v>465.0</v>
      </c>
      <c r="T2637" s="1">
        <v>371.0</v>
      </c>
      <c r="U2637" s="1">
        <v>2054.0</v>
      </c>
      <c r="V2637" s="1">
        <v>128.0</v>
      </c>
      <c r="W2637" s="1">
        <v>32000.0</v>
      </c>
      <c r="X2637" s="1">
        <v>0.0</v>
      </c>
      <c r="Y2637" s="1">
        <v>1.85</v>
      </c>
      <c r="Z2637" s="1">
        <v>7.1</v>
      </c>
    </row>
    <row r="2638" ht="14.25" customHeight="1">
      <c r="A2638" s="1" t="s">
        <v>26</v>
      </c>
      <c r="B2638" s="1" t="s">
        <v>5751</v>
      </c>
      <c r="C2638" s="1" t="s">
        <v>12619</v>
      </c>
      <c r="D2638" s="1">
        <v>3.04E7</v>
      </c>
      <c r="E2638" s="1" t="s">
        <v>2707</v>
      </c>
      <c r="F2638" s="1" t="s">
        <v>3784</v>
      </c>
      <c r="G2638" s="1" t="s">
        <v>12620</v>
      </c>
      <c r="H2638" s="1" t="s">
        <v>12621</v>
      </c>
      <c r="I2638" s="1">
        <v>9503.0</v>
      </c>
      <c r="J2638" s="1" t="s">
        <v>12622</v>
      </c>
      <c r="K2638" s="1" t="s">
        <v>12623</v>
      </c>
      <c r="L2638" s="1">
        <v>68.0</v>
      </c>
      <c r="M2638" s="1" t="s">
        <v>35</v>
      </c>
      <c r="N2638" s="1" t="s">
        <v>54</v>
      </c>
      <c r="O2638" s="1" t="s">
        <v>87</v>
      </c>
      <c r="P2638" s="1">
        <v>1.2E7</v>
      </c>
      <c r="Q2638" s="1">
        <v>1983.0</v>
      </c>
      <c r="R2638" s="1">
        <v>405.0</v>
      </c>
      <c r="S2638" s="1">
        <v>194.0</v>
      </c>
      <c r="T2638" s="1">
        <v>122.0</v>
      </c>
      <c r="U2638" s="1">
        <v>914.0</v>
      </c>
      <c r="V2638" s="1">
        <v>0.0</v>
      </c>
      <c r="W2638" s="1">
        <v>0.0</v>
      </c>
      <c r="X2638" s="1">
        <v>1.0</v>
      </c>
      <c r="Y2638" s="1">
        <v>1.85</v>
      </c>
      <c r="Z2638" s="1">
        <v>6.6</v>
      </c>
    </row>
    <row r="2639" ht="14.25" customHeight="1">
      <c r="A2639" s="1" t="s">
        <v>26</v>
      </c>
      <c r="B2639" s="1" t="s">
        <v>2661</v>
      </c>
      <c r="C2639" s="1" t="s">
        <v>12624</v>
      </c>
      <c r="D2639" s="1">
        <v>4.23656E7</v>
      </c>
      <c r="E2639" s="1" t="s">
        <v>12625</v>
      </c>
      <c r="F2639" s="1" t="s">
        <v>11787</v>
      </c>
      <c r="G2639" s="1" t="s">
        <v>2335</v>
      </c>
      <c r="H2639" s="1" t="s">
        <v>7362</v>
      </c>
      <c r="I2639" s="1">
        <v>45890.0</v>
      </c>
      <c r="J2639" s="1" t="s">
        <v>12626</v>
      </c>
      <c r="K2639" s="1" t="s">
        <v>12627</v>
      </c>
      <c r="L2639" s="1">
        <v>177.0</v>
      </c>
      <c r="M2639" s="1" t="s">
        <v>35</v>
      </c>
      <c r="N2639" s="1" t="s">
        <v>54</v>
      </c>
      <c r="O2639" s="1" t="s">
        <v>87</v>
      </c>
      <c r="P2639" s="1">
        <v>5000000.0</v>
      </c>
      <c r="Q2639" s="1">
        <v>1981.0</v>
      </c>
      <c r="R2639" s="1">
        <v>629.0</v>
      </c>
      <c r="S2639" s="1">
        <v>561.0</v>
      </c>
      <c r="T2639" s="1">
        <v>504.0</v>
      </c>
      <c r="U2639" s="1">
        <v>2730.0</v>
      </c>
      <c r="V2639" s="1">
        <v>0.0</v>
      </c>
      <c r="W2639" s="1">
        <v>0.0</v>
      </c>
      <c r="X2639" s="1">
        <v>0.0</v>
      </c>
      <c r="Y2639" s="1">
        <v>1.85</v>
      </c>
      <c r="Z2639" s="1">
        <v>7.0</v>
      </c>
    </row>
    <row r="2640" ht="14.25" customHeight="1">
      <c r="A2640" s="1" t="s">
        <v>26</v>
      </c>
      <c r="B2640" s="1" t="s">
        <v>12628</v>
      </c>
      <c r="C2640" s="1" t="s">
        <v>12629</v>
      </c>
      <c r="D2640" s="1">
        <v>3.7188667E7</v>
      </c>
      <c r="E2640" s="1" t="s">
        <v>2422</v>
      </c>
      <c r="F2640" s="1" t="s">
        <v>12630</v>
      </c>
      <c r="G2640" s="1" t="s">
        <v>12631</v>
      </c>
      <c r="H2640" s="1" t="s">
        <v>12632</v>
      </c>
      <c r="I2640" s="1">
        <v>34219.0</v>
      </c>
      <c r="J2640" s="1" t="s">
        <v>12633</v>
      </c>
      <c r="K2640" s="1" t="s">
        <v>12634</v>
      </c>
      <c r="L2640" s="1">
        <v>578.0</v>
      </c>
      <c r="M2640" s="1" t="s">
        <v>35</v>
      </c>
      <c r="N2640" s="1" t="s">
        <v>36</v>
      </c>
      <c r="O2640" s="1" t="s">
        <v>37</v>
      </c>
      <c r="P2640" s="1">
        <v>1.2E7</v>
      </c>
      <c r="Q2640" s="1">
        <v>2002.0</v>
      </c>
      <c r="R2640" s="1">
        <v>1000.0</v>
      </c>
      <c r="S2640" s="1">
        <v>188.0</v>
      </c>
      <c r="T2640" s="1">
        <v>135.0</v>
      </c>
      <c r="U2640" s="1">
        <v>1531.0</v>
      </c>
      <c r="V2640" s="1">
        <v>33.0</v>
      </c>
      <c r="W2640" s="1">
        <v>0.0</v>
      </c>
      <c r="X2640" s="1">
        <v>1.0</v>
      </c>
      <c r="Y2640" s="1">
        <v>1.85</v>
      </c>
      <c r="Z2640" s="1">
        <v>3.3</v>
      </c>
    </row>
    <row r="2641" ht="14.25" customHeight="1">
      <c r="A2641" s="1" t="s">
        <v>26</v>
      </c>
      <c r="B2641" s="1" t="s">
        <v>12635</v>
      </c>
      <c r="C2641" s="1" t="s">
        <v>12636</v>
      </c>
      <c r="D2641" s="1">
        <v>5.4724272E7</v>
      </c>
      <c r="E2641" s="1" t="s">
        <v>972</v>
      </c>
      <c r="F2641" s="1" t="s">
        <v>5710</v>
      </c>
      <c r="G2641" s="1" t="s">
        <v>12637</v>
      </c>
      <c r="H2641" s="1" t="s">
        <v>12638</v>
      </c>
      <c r="I2641" s="1">
        <v>157051.0</v>
      </c>
      <c r="J2641" s="1" t="s">
        <v>12639</v>
      </c>
      <c r="K2641" s="1" t="s">
        <v>12640</v>
      </c>
      <c r="L2641" s="1">
        <v>261.0</v>
      </c>
      <c r="M2641" s="1" t="s">
        <v>35</v>
      </c>
      <c r="N2641" s="1" t="s">
        <v>36</v>
      </c>
      <c r="O2641" s="1" t="s">
        <v>628</v>
      </c>
      <c r="P2641" s="1">
        <v>1.2E7</v>
      </c>
      <c r="Q2641" s="1">
        <v>2012.0</v>
      </c>
      <c r="R2641" s="1">
        <v>971.0</v>
      </c>
      <c r="S2641" s="1">
        <v>329.0</v>
      </c>
      <c r="T2641" s="1">
        <v>281.0</v>
      </c>
      <c r="U2641" s="1">
        <v>2043.0</v>
      </c>
      <c r="V2641" s="1">
        <v>166.0</v>
      </c>
      <c r="W2641" s="1">
        <v>29000.0</v>
      </c>
      <c r="X2641" s="1">
        <v>0.0</v>
      </c>
      <c r="Y2641" s="1">
        <v>1.85</v>
      </c>
      <c r="Z2641" s="1">
        <v>6.7</v>
      </c>
    </row>
    <row r="2642" ht="14.25" customHeight="1">
      <c r="A2642" s="1" t="s">
        <v>26</v>
      </c>
      <c r="B2642" s="1" t="s">
        <v>11893</v>
      </c>
      <c r="C2642" s="1" t="s">
        <v>12641</v>
      </c>
      <c r="D2642" s="1">
        <v>3.1597131E7</v>
      </c>
      <c r="E2642" s="1" t="s">
        <v>3868</v>
      </c>
      <c r="F2642" s="1" t="s">
        <v>774</v>
      </c>
      <c r="G2642" s="1" t="s">
        <v>3064</v>
      </c>
      <c r="H2642" s="1" t="s">
        <v>1611</v>
      </c>
      <c r="I2642" s="1">
        <v>97938.0</v>
      </c>
      <c r="J2642" s="1" t="s">
        <v>12642</v>
      </c>
      <c r="K2642" s="1" t="s">
        <v>12643</v>
      </c>
      <c r="L2642" s="1">
        <v>605.0</v>
      </c>
      <c r="M2642" s="1" t="s">
        <v>35</v>
      </c>
      <c r="N2642" s="1" t="s">
        <v>36</v>
      </c>
      <c r="O2642" s="1" t="s">
        <v>628</v>
      </c>
      <c r="P2642" s="1">
        <v>1.2E7</v>
      </c>
      <c r="Q2642" s="1">
        <v>2002.0</v>
      </c>
      <c r="R2642" s="1">
        <v>49000.0</v>
      </c>
      <c r="S2642" s="1">
        <v>989.0</v>
      </c>
      <c r="T2642" s="1">
        <v>933.0</v>
      </c>
      <c r="U2642" s="1">
        <v>52138.0</v>
      </c>
      <c r="V2642" s="1">
        <v>132.0</v>
      </c>
      <c r="W2642" s="1">
        <v>0.0</v>
      </c>
      <c r="X2642" s="1">
        <v>0.0</v>
      </c>
      <c r="Y2642" s="1">
        <v>1.85</v>
      </c>
      <c r="Z2642" s="1">
        <v>6.8</v>
      </c>
    </row>
    <row r="2643" ht="14.25" customHeight="1">
      <c r="A2643" s="1" t="s">
        <v>26</v>
      </c>
      <c r="B2643" s="1" t="s">
        <v>12644</v>
      </c>
      <c r="C2643" s="1" t="s">
        <v>12645</v>
      </c>
      <c r="D2643" s="1">
        <v>3.1691811E7</v>
      </c>
      <c r="E2643" s="1" t="s">
        <v>4107</v>
      </c>
      <c r="F2643" s="1" t="s">
        <v>6021</v>
      </c>
      <c r="G2643" s="1" t="s">
        <v>3524</v>
      </c>
      <c r="H2643" s="1" t="s">
        <v>4944</v>
      </c>
      <c r="I2643" s="1">
        <v>57446.0</v>
      </c>
      <c r="J2643" s="1" t="s">
        <v>12646</v>
      </c>
      <c r="K2643" s="1" t="s">
        <v>12647</v>
      </c>
      <c r="L2643" s="1">
        <v>369.0</v>
      </c>
      <c r="M2643" s="1" t="s">
        <v>35</v>
      </c>
      <c r="N2643" s="1" t="s">
        <v>36</v>
      </c>
      <c r="O2643" s="1" t="s">
        <v>628</v>
      </c>
      <c r="P2643" s="1">
        <v>1.2E7</v>
      </c>
      <c r="Q2643" s="1">
        <v>2008.0</v>
      </c>
      <c r="R2643" s="1">
        <v>137000.0</v>
      </c>
      <c r="S2643" s="1">
        <v>1000.0</v>
      </c>
      <c r="T2643" s="1">
        <v>1000.0</v>
      </c>
      <c r="U2643" s="1">
        <v>140268.0</v>
      </c>
      <c r="V2643" s="1">
        <v>66.0</v>
      </c>
      <c r="W2643" s="1">
        <v>0.0</v>
      </c>
      <c r="X2643" s="1">
        <v>0.0</v>
      </c>
      <c r="Y2643" s="1">
        <v>1.85</v>
      </c>
      <c r="Z2643" s="1">
        <v>6.0</v>
      </c>
    </row>
    <row r="2644" ht="14.25" customHeight="1">
      <c r="A2644" s="1" t="s">
        <v>26</v>
      </c>
      <c r="B2644" s="1" t="s">
        <v>12648</v>
      </c>
      <c r="C2644" s="1" t="s">
        <v>12649</v>
      </c>
      <c r="D2644" s="1">
        <v>3.1397498E7</v>
      </c>
      <c r="E2644" s="1" t="s">
        <v>5924</v>
      </c>
      <c r="F2644" s="1" t="s">
        <v>475</v>
      </c>
      <c r="G2644" s="1" t="s">
        <v>1953</v>
      </c>
      <c r="H2644" s="1" t="s">
        <v>5545</v>
      </c>
      <c r="I2644" s="1">
        <v>44130.0</v>
      </c>
      <c r="J2644" s="1" t="s">
        <v>12650</v>
      </c>
      <c r="K2644" s="1" t="s">
        <v>12651</v>
      </c>
      <c r="L2644" s="1">
        <v>156.0</v>
      </c>
      <c r="M2644" s="1" t="s">
        <v>35</v>
      </c>
      <c r="N2644" s="1" t="s">
        <v>36</v>
      </c>
      <c r="O2644" s="1" t="s">
        <v>37</v>
      </c>
      <c r="P2644" s="1">
        <v>1.2E7</v>
      </c>
      <c r="Q2644" s="1">
        <v>2008.0</v>
      </c>
      <c r="R2644" s="1">
        <v>17000.0</v>
      </c>
      <c r="S2644" s="1">
        <v>527.0</v>
      </c>
      <c r="T2644" s="1">
        <v>451.0</v>
      </c>
      <c r="U2644" s="1">
        <v>18765.0</v>
      </c>
      <c r="V2644" s="1">
        <v>0.0</v>
      </c>
      <c r="W2644" s="1">
        <v>0.0</v>
      </c>
      <c r="X2644" s="1">
        <v>1.0</v>
      </c>
      <c r="Y2644" s="1">
        <v>2.35</v>
      </c>
      <c r="Z2644" s="1">
        <v>5.4</v>
      </c>
    </row>
    <row r="2645" ht="14.25" customHeight="1">
      <c r="A2645" s="1" t="s">
        <v>26</v>
      </c>
      <c r="B2645" s="1" t="s">
        <v>12652</v>
      </c>
      <c r="C2645" s="1" t="s">
        <v>12653</v>
      </c>
      <c r="D2645" s="1">
        <v>3.1179516E7</v>
      </c>
      <c r="E2645" s="1" t="s">
        <v>1885</v>
      </c>
      <c r="F2645" s="1" t="s">
        <v>1677</v>
      </c>
      <c r="G2645" s="1" t="s">
        <v>7115</v>
      </c>
      <c r="H2645" s="1" t="s">
        <v>12654</v>
      </c>
      <c r="I2645" s="1">
        <v>5928.0</v>
      </c>
      <c r="J2645" s="1" t="s">
        <v>12655</v>
      </c>
      <c r="K2645" s="1" t="s">
        <v>12656</v>
      </c>
      <c r="L2645" s="1">
        <v>49.0</v>
      </c>
      <c r="M2645" s="1" t="s">
        <v>35</v>
      </c>
      <c r="N2645" s="1" t="s">
        <v>36</v>
      </c>
      <c r="O2645" s="1" t="s">
        <v>37</v>
      </c>
      <c r="P2645" s="1">
        <v>1.2E7</v>
      </c>
      <c r="Q2645" s="1">
        <v>2004.0</v>
      </c>
      <c r="R2645" s="1">
        <v>1000.0</v>
      </c>
      <c r="S2645" s="1">
        <v>1000.0</v>
      </c>
      <c r="T2645" s="1">
        <v>826.0</v>
      </c>
      <c r="U2645" s="1">
        <v>5006.0</v>
      </c>
      <c r="V2645" s="1">
        <v>4.0</v>
      </c>
      <c r="W2645" s="1">
        <v>243.0</v>
      </c>
      <c r="X2645" s="1">
        <v>5.0</v>
      </c>
      <c r="Y2645" s="1">
        <v>2.35</v>
      </c>
      <c r="Z2645" s="1">
        <v>4.3</v>
      </c>
    </row>
    <row r="2646" ht="14.25" customHeight="1">
      <c r="A2646" s="1" t="s">
        <v>26</v>
      </c>
      <c r="B2646" s="1" t="s">
        <v>4345</v>
      </c>
      <c r="C2646" s="1" t="s">
        <v>12657</v>
      </c>
      <c r="D2646" s="1">
        <v>3.1155435E7</v>
      </c>
      <c r="E2646" s="1" t="s">
        <v>2657</v>
      </c>
      <c r="F2646" s="1" t="s">
        <v>3140</v>
      </c>
      <c r="G2646" s="1" t="s">
        <v>403</v>
      </c>
      <c r="H2646" s="1" t="s">
        <v>1277</v>
      </c>
      <c r="I2646" s="1">
        <v>42644.0</v>
      </c>
      <c r="J2646" s="1" t="s">
        <v>12658</v>
      </c>
      <c r="K2646" s="1" t="s">
        <v>12659</v>
      </c>
      <c r="L2646" s="1">
        <v>102.0</v>
      </c>
      <c r="M2646" s="1" t="s">
        <v>35</v>
      </c>
      <c r="N2646" s="1" t="s">
        <v>36</v>
      </c>
      <c r="O2646" s="1" t="s">
        <v>628</v>
      </c>
      <c r="P2646" s="1">
        <v>1.2E7</v>
      </c>
      <c r="Q2646" s="1">
        <v>2001.0</v>
      </c>
      <c r="R2646" s="1">
        <v>995.0</v>
      </c>
      <c r="S2646" s="1">
        <v>729.0</v>
      </c>
      <c r="T2646" s="1">
        <v>722.0</v>
      </c>
      <c r="U2646" s="1">
        <v>6105.0</v>
      </c>
      <c r="V2646" s="1">
        <v>58.0</v>
      </c>
      <c r="W2646" s="1">
        <v>0.0</v>
      </c>
      <c r="X2646" s="1">
        <v>2.0</v>
      </c>
      <c r="Y2646" s="1">
        <v>1.85</v>
      </c>
      <c r="Z2646" s="1">
        <v>6.2</v>
      </c>
    </row>
    <row r="2647" ht="14.25" customHeight="1">
      <c r="A2647" s="1" t="s">
        <v>26</v>
      </c>
      <c r="B2647" s="1" t="s">
        <v>12660</v>
      </c>
      <c r="C2647" s="1" t="s">
        <v>12661</v>
      </c>
      <c r="D2647" s="1">
        <v>2.7281507E7</v>
      </c>
      <c r="E2647" s="1" t="s">
        <v>12662</v>
      </c>
      <c r="F2647" s="1" t="s">
        <v>6935</v>
      </c>
      <c r="G2647" s="1" t="s">
        <v>12663</v>
      </c>
      <c r="H2647" s="1" t="s">
        <v>5402</v>
      </c>
      <c r="I2647" s="1">
        <v>33850.0</v>
      </c>
      <c r="J2647" s="1" t="s">
        <v>12664</v>
      </c>
      <c r="K2647" s="1" t="s">
        <v>12665</v>
      </c>
      <c r="L2647" s="1">
        <v>147.0</v>
      </c>
      <c r="M2647" s="1" t="s">
        <v>35</v>
      </c>
      <c r="N2647" s="1" t="s">
        <v>36</v>
      </c>
      <c r="O2647" s="1" t="s">
        <v>269</v>
      </c>
      <c r="P2647" s="1">
        <v>1.2E7</v>
      </c>
      <c r="Q2647" s="1">
        <v>1992.0</v>
      </c>
      <c r="R2647" s="1">
        <v>227.0</v>
      </c>
      <c r="S2647" s="1">
        <v>94.0</v>
      </c>
      <c r="T2647" s="1">
        <v>84.0</v>
      </c>
      <c r="U2647" s="1">
        <v>534.0</v>
      </c>
      <c r="V2647" s="1">
        <v>53.0</v>
      </c>
      <c r="W2647" s="1">
        <v>0.0</v>
      </c>
      <c r="X2647" s="1">
        <v>0.0</v>
      </c>
      <c r="Y2647" s="1">
        <v>1.85</v>
      </c>
      <c r="Z2647" s="1">
        <v>7.7</v>
      </c>
    </row>
    <row r="2648" ht="14.25" customHeight="1">
      <c r="A2648" s="1" t="s">
        <v>710</v>
      </c>
      <c r="B2648" s="1" t="s">
        <v>305</v>
      </c>
      <c r="C2648" s="1" t="s">
        <v>1623</v>
      </c>
      <c r="D2648" s="1">
        <v>1.67007184E8</v>
      </c>
      <c r="E2648" s="1" t="s">
        <v>48</v>
      </c>
      <c r="F2648" s="1" t="s">
        <v>194</v>
      </c>
      <c r="G2648" s="1" t="s">
        <v>1624</v>
      </c>
      <c r="H2648" s="1" t="s">
        <v>1625</v>
      </c>
      <c r="I2648" s="1">
        <v>470501.0</v>
      </c>
      <c r="J2648" s="1" t="s">
        <v>1626</v>
      </c>
      <c r="K2648" s="1" t="s">
        <v>1627</v>
      </c>
      <c r="L2648" s="1">
        <v>2301.0</v>
      </c>
      <c r="M2648" s="1" t="s">
        <v>35</v>
      </c>
      <c r="N2648" s="1" t="s">
        <v>54</v>
      </c>
      <c r="O2648" s="1" t="s">
        <v>37</v>
      </c>
      <c r="P2648" s="1">
        <v>1.5E8</v>
      </c>
      <c r="Q2648" s="1">
        <v>2006.0</v>
      </c>
      <c r="R2648" s="1">
        <v>6000.0</v>
      </c>
      <c r="S2648" s="1">
        <v>1000.0</v>
      </c>
      <c r="T2648" s="1">
        <v>834.0</v>
      </c>
      <c r="U2648" s="1">
        <v>9125.0</v>
      </c>
      <c r="V2648" s="1">
        <v>258.0</v>
      </c>
      <c r="W2648" s="1">
        <v>0.0</v>
      </c>
      <c r="X2648" s="1">
        <v>1.0</v>
      </c>
      <c r="Y2648" s="1">
        <v>2.35</v>
      </c>
      <c r="Z2648" s="1">
        <v>8.0</v>
      </c>
    </row>
    <row r="2649" ht="14.25" customHeight="1">
      <c r="A2649" s="1" t="s">
        <v>710</v>
      </c>
      <c r="B2649" s="1" t="s">
        <v>5519</v>
      </c>
      <c r="C2649" s="1" t="s">
        <v>12666</v>
      </c>
      <c r="D2649" s="1">
        <v>2.5776062E7</v>
      </c>
      <c r="E2649" s="1" t="s">
        <v>5942</v>
      </c>
      <c r="F2649" s="1" t="s">
        <v>480</v>
      </c>
      <c r="G2649" s="1" t="s">
        <v>2559</v>
      </c>
      <c r="H2649" s="1" t="s">
        <v>5075</v>
      </c>
      <c r="I2649" s="1">
        <v>61651.0</v>
      </c>
      <c r="J2649" s="1" t="s">
        <v>12667</v>
      </c>
      <c r="K2649" s="1" t="s">
        <v>12668</v>
      </c>
      <c r="L2649" s="1">
        <v>271.0</v>
      </c>
      <c r="M2649" s="1" t="s">
        <v>35</v>
      </c>
      <c r="N2649" s="1" t="s">
        <v>36</v>
      </c>
      <c r="O2649" s="1" t="s">
        <v>628</v>
      </c>
      <c r="P2649" s="1">
        <v>1.2E7</v>
      </c>
      <c r="Q2649" s="1">
        <v>2002.0</v>
      </c>
      <c r="R2649" s="1">
        <v>4000.0</v>
      </c>
      <c r="S2649" s="1">
        <v>1000.0</v>
      </c>
      <c r="T2649" s="1">
        <v>898.0</v>
      </c>
      <c r="U2649" s="1">
        <v>7072.0</v>
      </c>
      <c r="V2649" s="1">
        <v>278.0</v>
      </c>
      <c r="W2649" s="1">
        <v>0.0</v>
      </c>
      <c r="X2649" s="1">
        <v>0.0</v>
      </c>
      <c r="Y2649" s="1">
        <v>1.85</v>
      </c>
      <c r="Z2649" s="1">
        <v>7.4</v>
      </c>
    </row>
    <row r="2650" ht="14.25" customHeight="1">
      <c r="A2650" s="1" t="s">
        <v>26</v>
      </c>
      <c r="B2650" s="1" t="s">
        <v>12669</v>
      </c>
      <c r="C2650" s="1" t="s">
        <v>12670</v>
      </c>
      <c r="D2650" s="1">
        <v>2.5240988E7</v>
      </c>
      <c r="E2650" s="1" t="s">
        <v>3861</v>
      </c>
      <c r="F2650" s="1" t="s">
        <v>12671</v>
      </c>
      <c r="G2650" s="1" t="s">
        <v>12672</v>
      </c>
      <c r="H2650" s="1" t="s">
        <v>12673</v>
      </c>
      <c r="I2650" s="1">
        <v>12383.0</v>
      </c>
      <c r="J2650" s="1" t="s">
        <v>12674</v>
      </c>
      <c r="K2650" s="1" t="s">
        <v>12675</v>
      </c>
      <c r="L2650" s="1">
        <v>50.0</v>
      </c>
      <c r="M2650" s="1" t="s">
        <v>35</v>
      </c>
      <c r="N2650" s="1" t="s">
        <v>36</v>
      </c>
      <c r="O2650" s="1" t="s">
        <v>87</v>
      </c>
      <c r="P2650" s="1">
        <v>1.2E7</v>
      </c>
      <c r="Q2650" s="1">
        <v>2012.0</v>
      </c>
      <c r="R2650" s="1">
        <v>28.0</v>
      </c>
      <c r="S2650" s="1">
        <v>9.0</v>
      </c>
      <c r="T2650" s="1">
        <v>8.0</v>
      </c>
      <c r="U2650" s="1">
        <v>52.0</v>
      </c>
      <c r="V2650" s="1">
        <v>4.0</v>
      </c>
      <c r="W2650" s="1">
        <v>0.0</v>
      </c>
      <c r="X2650" s="1">
        <v>0.0</v>
      </c>
      <c r="Y2650" s="1">
        <v>1.85</v>
      </c>
      <c r="Z2650" s="1">
        <v>5.9</v>
      </c>
    </row>
    <row r="2651" ht="14.25" customHeight="1">
      <c r="A2651" s="1" t="s">
        <v>26</v>
      </c>
      <c r="B2651" s="1" t="s">
        <v>12676</v>
      </c>
      <c r="C2651" s="1" t="s">
        <v>12677</v>
      </c>
      <c r="D2651" s="1">
        <v>1.24868837E8</v>
      </c>
      <c r="E2651" s="1" t="s">
        <v>206</v>
      </c>
      <c r="F2651" s="1" t="s">
        <v>9844</v>
      </c>
      <c r="G2651" s="1" t="s">
        <v>6141</v>
      </c>
      <c r="H2651" s="1" t="s">
        <v>12678</v>
      </c>
      <c r="I2651" s="1">
        <v>249688.0</v>
      </c>
      <c r="J2651" s="1" t="s">
        <v>12679</v>
      </c>
      <c r="K2651" s="1" t="s">
        <v>12680</v>
      </c>
      <c r="L2651" s="1">
        <v>548.0</v>
      </c>
      <c r="M2651" s="1" t="s">
        <v>35</v>
      </c>
      <c r="N2651" s="1" t="s">
        <v>36</v>
      </c>
      <c r="O2651" s="1" t="s">
        <v>37</v>
      </c>
      <c r="P2651" s="1">
        <v>1.2E7</v>
      </c>
      <c r="Q2651" s="1">
        <v>2014.0</v>
      </c>
      <c r="R2651" s="1">
        <v>8000.0</v>
      </c>
      <c r="S2651" s="1">
        <v>1000.0</v>
      </c>
      <c r="T2651" s="1">
        <v>733.0</v>
      </c>
      <c r="U2651" s="1">
        <v>10565.0</v>
      </c>
      <c r="V2651" s="1">
        <v>131.0</v>
      </c>
      <c r="W2651" s="1">
        <v>93000.0</v>
      </c>
      <c r="X2651" s="1">
        <v>0.0</v>
      </c>
      <c r="Y2651" s="1">
        <v>1.85</v>
      </c>
      <c r="Z2651" s="1">
        <v>7.8</v>
      </c>
    </row>
    <row r="2652" ht="14.25" customHeight="1">
      <c r="A2652" s="1" t="s">
        <v>26</v>
      </c>
      <c r="B2652" s="1" t="s">
        <v>4191</v>
      </c>
      <c r="C2652" s="1" t="s">
        <v>12681</v>
      </c>
      <c r="D2652" s="1">
        <v>2.2905674E7</v>
      </c>
      <c r="E2652" s="1" t="s">
        <v>1854</v>
      </c>
      <c r="F2652" s="1" t="s">
        <v>1113</v>
      </c>
      <c r="G2652" s="1" t="s">
        <v>3095</v>
      </c>
      <c r="H2652" s="1" t="s">
        <v>5262</v>
      </c>
      <c r="I2652" s="1">
        <v>121676.0</v>
      </c>
      <c r="J2652" s="1" t="s">
        <v>12682</v>
      </c>
      <c r="K2652" s="1" t="s">
        <v>12683</v>
      </c>
      <c r="L2652" s="1">
        <v>290.0</v>
      </c>
      <c r="M2652" s="1" t="s">
        <v>35</v>
      </c>
      <c r="N2652" s="1" t="s">
        <v>36</v>
      </c>
      <c r="O2652" s="1" t="s">
        <v>628</v>
      </c>
      <c r="P2652" s="1">
        <v>1.2E7</v>
      </c>
      <c r="Q2652" s="1">
        <v>1998.0</v>
      </c>
      <c r="R2652" s="1">
        <v>13000.0</v>
      </c>
      <c r="S2652" s="1">
        <v>940.0</v>
      </c>
      <c r="T2652" s="1">
        <v>599.0</v>
      </c>
      <c r="U2652" s="1">
        <v>14890.0</v>
      </c>
      <c r="V2652" s="1">
        <v>131.0</v>
      </c>
      <c r="W2652" s="1">
        <v>0.0</v>
      </c>
      <c r="X2652" s="1">
        <v>2.0</v>
      </c>
      <c r="Y2652" s="1">
        <v>2.35</v>
      </c>
      <c r="Z2652" s="1">
        <v>7.4</v>
      </c>
    </row>
    <row r="2653" ht="14.25" customHeight="1">
      <c r="A2653" s="1" t="s">
        <v>26</v>
      </c>
      <c r="B2653" s="1" t="s">
        <v>6783</v>
      </c>
      <c r="C2653" s="1" t="s">
        <v>12684</v>
      </c>
      <c r="D2653" s="1">
        <v>2.5277561E7</v>
      </c>
      <c r="E2653" s="1" t="s">
        <v>1598</v>
      </c>
      <c r="F2653" s="1" t="s">
        <v>947</v>
      </c>
      <c r="G2653" s="1" t="s">
        <v>3699</v>
      </c>
      <c r="H2653" s="1" t="s">
        <v>12685</v>
      </c>
      <c r="I2653" s="1">
        <v>21672.0</v>
      </c>
      <c r="J2653" s="1" t="s">
        <v>12686</v>
      </c>
      <c r="K2653" s="1" t="s">
        <v>12687</v>
      </c>
      <c r="L2653" s="1">
        <v>93.0</v>
      </c>
      <c r="M2653" s="1" t="s">
        <v>35</v>
      </c>
      <c r="N2653" s="1" t="s">
        <v>36</v>
      </c>
      <c r="O2653" s="1" t="s">
        <v>628</v>
      </c>
      <c r="P2653" s="1">
        <v>1.2E7</v>
      </c>
      <c r="Q2653" s="1">
        <v>2014.0</v>
      </c>
      <c r="R2653" s="1">
        <v>3000.0</v>
      </c>
      <c r="S2653" s="1">
        <v>966.0</v>
      </c>
      <c r="T2653" s="1">
        <v>555.0</v>
      </c>
      <c r="U2653" s="1">
        <v>5592.0</v>
      </c>
      <c r="V2653" s="1">
        <v>0.0</v>
      </c>
      <c r="W2653" s="1">
        <v>0.0</v>
      </c>
      <c r="X2653" s="1">
        <v>10.0</v>
      </c>
      <c r="Y2653" s="1">
        <v>2.35</v>
      </c>
      <c r="Z2653" s="1">
        <v>6.5</v>
      </c>
    </row>
    <row r="2654" ht="14.25" customHeight="1">
      <c r="A2654" s="1" t="s">
        <v>26</v>
      </c>
      <c r="B2654" s="1" t="s">
        <v>4175</v>
      </c>
      <c r="C2654" s="1" t="s">
        <v>12688</v>
      </c>
      <c r="D2654" s="1">
        <v>2.1133087E7</v>
      </c>
      <c r="E2654" s="1" t="s">
        <v>2882</v>
      </c>
      <c r="F2654" s="1" t="s">
        <v>7430</v>
      </c>
      <c r="G2654" s="1" t="s">
        <v>12689</v>
      </c>
      <c r="H2654" s="1" t="s">
        <v>12690</v>
      </c>
      <c r="I2654" s="1">
        <v>62468.0</v>
      </c>
      <c r="J2654" s="1" t="s">
        <v>12691</v>
      </c>
      <c r="K2654" s="1" t="s">
        <v>12692</v>
      </c>
      <c r="L2654" s="1">
        <v>374.0</v>
      </c>
      <c r="M2654" s="1" t="s">
        <v>35</v>
      </c>
      <c r="N2654" s="1" t="s">
        <v>36</v>
      </c>
      <c r="O2654" s="1" t="s">
        <v>628</v>
      </c>
      <c r="P2654" s="1">
        <v>1.2E7</v>
      </c>
      <c r="Q2654" s="1">
        <v>1999.0</v>
      </c>
      <c r="R2654" s="1">
        <v>347.0</v>
      </c>
      <c r="S2654" s="1">
        <v>301.0</v>
      </c>
      <c r="T2654" s="1">
        <v>282.0</v>
      </c>
      <c r="U2654" s="1">
        <v>1254.0</v>
      </c>
      <c r="V2654" s="1">
        <v>192.0</v>
      </c>
      <c r="W2654" s="1">
        <v>0.0</v>
      </c>
      <c r="X2654" s="1">
        <v>0.0</v>
      </c>
      <c r="Y2654" s="1">
        <v>1.85</v>
      </c>
      <c r="Z2654" s="1">
        <v>7.0</v>
      </c>
    </row>
    <row r="2655" ht="14.25" customHeight="1">
      <c r="A2655" s="1" t="s">
        <v>26</v>
      </c>
      <c r="B2655" s="1" t="s">
        <v>5299</v>
      </c>
      <c r="C2655" s="1" t="s">
        <v>12693</v>
      </c>
      <c r="D2655" s="1">
        <v>3.7707719E7</v>
      </c>
      <c r="E2655" s="1" t="s">
        <v>1474</v>
      </c>
      <c r="F2655" s="1" t="s">
        <v>776</v>
      </c>
      <c r="G2655" s="1" t="s">
        <v>12694</v>
      </c>
      <c r="H2655" s="1" t="s">
        <v>12695</v>
      </c>
      <c r="I2655" s="1">
        <v>76094.0</v>
      </c>
      <c r="J2655" s="1" t="s">
        <v>12696</v>
      </c>
      <c r="K2655" s="1" t="s">
        <v>12697</v>
      </c>
      <c r="L2655" s="1">
        <v>233.0</v>
      </c>
      <c r="M2655" s="1" t="s">
        <v>35</v>
      </c>
      <c r="N2655" s="1" t="s">
        <v>54</v>
      </c>
      <c r="O2655" s="1" t="s">
        <v>37</v>
      </c>
      <c r="P2655" s="1">
        <v>1.2E7</v>
      </c>
      <c r="Q2655" s="1">
        <v>2013.0</v>
      </c>
      <c r="R2655" s="1">
        <v>1000.0</v>
      </c>
      <c r="S2655" s="1">
        <v>482.0</v>
      </c>
      <c r="T2655" s="1">
        <v>322.0</v>
      </c>
      <c r="U2655" s="1">
        <v>2376.0</v>
      </c>
      <c r="V2655" s="1">
        <v>350.0</v>
      </c>
      <c r="W2655" s="1">
        <v>37000.0</v>
      </c>
      <c r="X2655" s="1">
        <v>2.0</v>
      </c>
      <c r="Y2655" s="1">
        <v>1.85</v>
      </c>
      <c r="Z2655" s="1">
        <v>7.6</v>
      </c>
    </row>
    <row r="2656" ht="14.25" customHeight="1">
      <c r="A2656" s="1" t="s">
        <v>26</v>
      </c>
      <c r="B2656" s="1" t="s">
        <v>10142</v>
      </c>
      <c r="C2656" s="1" t="s">
        <v>12698</v>
      </c>
      <c r="D2656" s="1">
        <v>1.8761993E7</v>
      </c>
      <c r="E2656" s="1" t="s">
        <v>2422</v>
      </c>
      <c r="F2656" s="1" t="s">
        <v>3793</v>
      </c>
      <c r="G2656" s="1" t="s">
        <v>4383</v>
      </c>
      <c r="H2656" s="1" t="s">
        <v>2234</v>
      </c>
      <c r="I2656" s="1">
        <v>19007.0</v>
      </c>
      <c r="J2656" s="1" t="s">
        <v>12699</v>
      </c>
      <c r="K2656" s="1" t="s">
        <v>12700</v>
      </c>
      <c r="L2656" s="1">
        <v>219.0</v>
      </c>
      <c r="M2656" s="1" t="s">
        <v>35</v>
      </c>
      <c r="N2656" s="1" t="s">
        <v>36</v>
      </c>
      <c r="O2656" s="1" t="s">
        <v>628</v>
      </c>
      <c r="P2656" s="1">
        <v>9000000.0</v>
      </c>
      <c r="Q2656" s="1">
        <v>2005.0</v>
      </c>
      <c r="R2656" s="1">
        <v>975.0</v>
      </c>
      <c r="S2656" s="1">
        <v>931.0</v>
      </c>
      <c r="T2656" s="1">
        <v>805.0</v>
      </c>
      <c r="U2656" s="1">
        <v>2944.0</v>
      </c>
      <c r="V2656" s="1">
        <v>57.0</v>
      </c>
      <c r="W2656" s="1">
        <v>549.0</v>
      </c>
      <c r="X2656" s="1">
        <v>1.0</v>
      </c>
      <c r="Y2656" s="1">
        <v>2.35</v>
      </c>
      <c r="Z2656" s="1">
        <v>6.9</v>
      </c>
    </row>
    <row r="2657" ht="14.25" customHeight="1">
      <c r="A2657" s="1" t="s">
        <v>26</v>
      </c>
      <c r="B2657" s="1" t="s">
        <v>11643</v>
      </c>
      <c r="C2657" s="1" t="s">
        <v>12701</v>
      </c>
      <c r="D2657" s="1">
        <v>1.8595716E7</v>
      </c>
      <c r="E2657" s="1" t="s">
        <v>2504</v>
      </c>
      <c r="F2657" s="1" t="s">
        <v>12702</v>
      </c>
      <c r="G2657" s="1" t="s">
        <v>12703</v>
      </c>
      <c r="H2657" s="1" t="s">
        <v>12704</v>
      </c>
      <c r="I2657" s="1">
        <v>30462.0</v>
      </c>
      <c r="J2657" s="1" t="s">
        <v>12705</v>
      </c>
      <c r="K2657" s="1" t="s">
        <v>12706</v>
      </c>
      <c r="L2657" s="1">
        <v>150.0</v>
      </c>
      <c r="M2657" s="1" t="s">
        <v>35</v>
      </c>
      <c r="N2657" s="1" t="s">
        <v>36</v>
      </c>
      <c r="O2657" s="1" t="s">
        <v>87</v>
      </c>
      <c r="P2657" s="1">
        <v>1.2E7</v>
      </c>
      <c r="Q2657" s="1">
        <v>2006.0</v>
      </c>
      <c r="R2657" s="1">
        <v>836.0</v>
      </c>
      <c r="S2657" s="1">
        <v>826.0</v>
      </c>
      <c r="T2657" s="1">
        <v>717.0</v>
      </c>
      <c r="U2657" s="1">
        <v>3963.0</v>
      </c>
      <c r="V2657" s="1">
        <v>20.0</v>
      </c>
      <c r="W2657" s="1">
        <v>0.0</v>
      </c>
      <c r="X2657" s="1">
        <v>3.0</v>
      </c>
      <c r="Y2657" s="1">
        <v>1.85</v>
      </c>
      <c r="Z2657" s="1">
        <v>5.3</v>
      </c>
    </row>
    <row r="2658" ht="14.25" customHeight="1">
      <c r="A2658" s="1" t="s">
        <v>26</v>
      </c>
      <c r="B2658" s="1" t="s">
        <v>12707</v>
      </c>
      <c r="C2658" s="1" t="s">
        <v>12708</v>
      </c>
      <c r="D2658" s="1">
        <v>3.1990064E7</v>
      </c>
      <c r="E2658" s="1" t="s">
        <v>3632</v>
      </c>
      <c r="F2658" s="1" t="s">
        <v>12678</v>
      </c>
      <c r="G2658" s="1" t="s">
        <v>905</v>
      </c>
      <c r="H2658" s="1" t="s">
        <v>12709</v>
      </c>
      <c r="I2658" s="1">
        <v>63390.0</v>
      </c>
      <c r="J2658" s="1" t="s">
        <v>12710</v>
      </c>
      <c r="K2658" s="1" t="s">
        <v>12711</v>
      </c>
      <c r="L2658" s="1">
        <v>160.0</v>
      </c>
      <c r="M2658" s="1" t="s">
        <v>35</v>
      </c>
      <c r="N2658" s="1" t="s">
        <v>36</v>
      </c>
      <c r="O2658" s="1" t="s">
        <v>37</v>
      </c>
      <c r="P2658" s="1">
        <v>1.2E7</v>
      </c>
      <c r="Q2658" s="1">
        <v>2015.0</v>
      </c>
      <c r="R2658" s="1">
        <v>733.0</v>
      </c>
      <c r="S2658" s="1">
        <v>558.0</v>
      </c>
      <c r="T2658" s="1">
        <v>376.0</v>
      </c>
      <c r="U2658" s="1">
        <v>2753.0</v>
      </c>
      <c r="V2658" s="1">
        <v>14.0</v>
      </c>
      <c r="W2658" s="1">
        <v>0.0</v>
      </c>
      <c r="X2658" s="1">
        <v>2.0</v>
      </c>
      <c r="Y2658" s="1">
        <v>2.35</v>
      </c>
      <c r="Z2658" s="1">
        <v>6.4</v>
      </c>
    </row>
    <row r="2659" ht="14.25" customHeight="1">
      <c r="A2659" s="1" t="s">
        <v>710</v>
      </c>
      <c r="B2659" s="1" t="s">
        <v>7671</v>
      </c>
      <c r="C2659" s="1" t="s">
        <v>12712</v>
      </c>
      <c r="D2659" s="1">
        <v>1.761346E7</v>
      </c>
      <c r="E2659" s="1" t="s">
        <v>5085</v>
      </c>
      <c r="F2659" s="1" t="s">
        <v>2671</v>
      </c>
      <c r="G2659" s="1" t="s">
        <v>9596</v>
      </c>
      <c r="H2659" s="1" t="s">
        <v>2021</v>
      </c>
      <c r="I2659" s="1">
        <v>91082.0</v>
      </c>
      <c r="J2659" s="1" t="s">
        <v>12713</v>
      </c>
      <c r="K2659" s="1" t="s">
        <v>12714</v>
      </c>
      <c r="L2659" s="1">
        <v>274.0</v>
      </c>
      <c r="M2659" s="1" t="s">
        <v>35</v>
      </c>
      <c r="N2659" s="1" t="s">
        <v>36</v>
      </c>
      <c r="O2659" s="1" t="s">
        <v>628</v>
      </c>
      <c r="P2659" s="1">
        <v>1.2E7</v>
      </c>
      <c r="Q2659" s="1">
        <v>2013.0</v>
      </c>
      <c r="R2659" s="1">
        <v>1000.0</v>
      </c>
      <c r="S2659" s="1">
        <v>844.0</v>
      </c>
      <c r="T2659" s="1">
        <v>622.0</v>
      </c>
      <c r="U2659" s="1">
        <v>3798.0</v>
      </c>
      <c r="V2659" s="1">
        <v>729.0</v>
      </c>
      <c r="W2659" s="1">
        <v>28000.0</v>
      </c>
      <c r="X2659" s="1">
        <v>0.0</v>
      </c>
      <c r="Y2659" s="1">
        <v>2.35</v>
      </c>
      <c r="Z2659" s="1">
        <v>7.8</v>
      </c>
    </row>
    <row r="2660" ht="14.25" customHeight="1">
      <c r="A2660" s="1" t="s">
        <v>26</v>
      </c>
      <c r="B2660" s="1" t="s">
        <v>12715</v>
      </c>
      <c r="C2660" s="1" t="s">
        <v>12716</v>
      </c>
      <c r="D2660" s="1">
        <v>2.1088568E7</v>
      </c>
      <c r="E2660" s="1" t="s">
        <v>8311</v>
      </c>
      <c r="F2660" s="1" t="s">
        <v>30</v>
      </c>
      <c r="G2660" s="1" t="s">
        <v>768</v>
      </c>
      <c r="H2660" s="1" t="s">
        <v>3368</v>
      </c>
      <c r="I2660" s="1">
        <v>16646.0</v>
      </c>
      <c r="J2660" s="1" t="s">
        <v>12717</v>
      </c>
      <c r="K2660" s="1" t="s">
        <v>12718</v>
      </c>
      <c r="L2660" s="1">
        <v>104.0</v>
      </c>
      <c r="M2660" s="1" t="s">
        <v>35</v>
      </c>
      <c r="N2660" s="1" t="s">
        <v>36</v>
      </c>
      <c r="O2660" s="1" t="s">
        <v>628</v>
      </c>
      <c r="P2660" s="1">
        <v>1.3E7</v>
      </c>
      <c r="Q2660" s="1">
        <v>1995.0</v>
      </c>
      <c r="R2660" s="1">
        <v>1000.0</v>
      </c>
      <c r="S2660" s="1">
        <v>851.0</v>
      </c>
      <c r="T2660" s="1">
        <v>580.0</v>
      </c>
      <c r="U2660" s="1">
        <v>3931.0</v>
      </c>
      <c r="V2660" s="1">
        <v>226.0</v>
      </c>
      <c r="W2660" s="1">
        <v>0.0</v>
      </c>
      <c r="X2660" s="1">
        <v>1.0</v>
      </c>
      <c r="Y2660" s="1">
        <v>1.85</v>
      </c>
      <c r="Z2660" s="1">
        <v>6.7</v>
      </c>
    </row>
    <row r="2661" ht="14.25" customHeight="1">
      <c r="A2661" s="1" t="s">
        <v>26</v>
      </c>
      <c r="B2661" s="1" t="s">
        <v>3717</v>
      </c>
      <c r="C2661" s="1" t="s">
        <v>12719</v>
      </c>
      <c r="D2661" s="1">
        <v>1.7292381E7</v>
      </c>
      <c r="E2661" s="1" t="s">
        <v>12720</v>
      </c>
      <c r="F2661" s="1" t="s">
        <v>1412</v>
      </c>
      <c r="G2661" s="1" t="s">
        <v>2014</v>
      </c>
      <c r="H2661" s="1" t="s">
        <v>2371</v>
      </c>
      <c r="I2661" s="1">
        <v>5794.0</v>
      </c>
      <c r="J2661" s="1" t="s">
        <v>12721</v>
      </c>
      <c r="K2661" s="1" t="s">
        <v>12722</v>
      </c>
      <c r="L2661" s="1">
        <v>69.0</v>
      </c>
      <c r="M2661" s="1" t="s">
        <v>35</v>
      </c>
      <c r="N2661" s="1" t="s">
        <v>36</v>
      </c>
      <c r="O2661" s="1" t="s">
        <v>87</v>
      </c>
      <c r="P2661" s="1">
        <v>1.2E7</v>
      </c>
      <c r="Q2661" s="1">
        <v>2001.0</v>
      </c>
      <c r="R2661" s="1">
        <v>833.0</v>
      </c>
      <c r="S2661" s="1">
        <v>626.0</v>
      </c>
      <c r="T2661" s="1">
        <v>611.0</v>
      </c>
      <c r="U2661" s="1">
        <v>4551.0</v>
      </c>
      <c r="V2661" s="1">
        <v>25.0</v>
      </c>
      <c r="W2661" s="1">
        <v>371.0</v>
      </c>
      <c r="X2661" s="1">
        <v>0.0</v>
      </c>
      <c r="Y2661" s="1">
        <v>1.85</v>
      </c>
      <c r="Z2661" s="1">
        <v>5.3</v>
      </c>
    </row>
    <row r="2662" ht="14.25" customHeight="1">
      <c r="A2662" s="1" t="s">
        <v>26</v>
      </c>
      <c r="B2662" s="1" t="s">
        <v>7666</v>
      </c>
      <c r="C2662" s="1" t="s">
        <v>12723</v>
      </c>
      <c r="D2662" s="1">
        <v>1.6300302E7</v>
      </c>
      <c r="E2662" s="1" t="s">
        <v>2422</v>
      </c>
      <c r="F2662" s="1" t="s">
        <v>741</v>
      </c>
      <c r="G2662" s="1" t="s">
        <v>6692</v>
      </c>
      <c r="H2662" s="1" t="s">
        <v>6740</v>
      </c>
      <c r="I2662" s="1">
        <v>64682.0</v>
      </c>
      <c r="J2662" s="1" t="s">
        <v>12724</v>
      </c>
      <c r="K2662" s="1" t="s">
        <v>12725</v>
      </c>
      <c r="L2662" s="1">
        <v>203.0</v>
      </c>
      <c r="M2662" s="1" t="s">
        <v>35</v>
      </c>
      <c r="N2662" s="1" t="s">
        <v>36</v>
      </c>
      <c r="O2662" s="1" t="s">
        <v>628</v>
      </c>
      <c r="P2662" s="1">
        <v>1.2E7</v>
      </c>
      <c r="Q2662" s="1">
        <v>2011.0</v>
      </c>
      <c r="R2662" s="1">
        <v>9000.0</v>
      </c>
      <c r="S2662" s="1">
        <v>786.0</v>
      </c>
      <c r="T2662" s="1">
        <v>390.0</v>
      </c>
      <c r="U2662" s="1">
        <v>10575.0</v>
      </c>
      <c r="V2662" s="1">
        <v>655.0</v>
      </c>
      <c r="W2662" s="1">
        <v>0.0</v>
      </c>
      <c r="X2662" s="1">
        <v>1.0</v>
      </c>
      <c r="Y2662" s="1">
        <v>1.85</v>
      </c>
      <c r="Z2662" s="1">
        <v>6.3</v>
      </c>
    </row>
    <row r="2663" ht="14.25" customHeight="1">
      <c r="A2663" s="1" t="s">
        <v>26</v>
      </c>
      <c r="B2663" s="1" t="s">
        <v>4285</v>
      </c>
      <c r="C2663" s="1" t="s">
        <v>12726</v>
      </c>
      <c r="D2663" s="1">
        <v>2.7829874E7</v>
      </c>
      <c r="E2663" s="1" t="s">
        <v>326</v>
      </c>
      <c r="F2663" s="1" t="s">
        <v>327</v>
      </c>
      <c r="G2663" s="1" t="s">
        <v>10320</v>
      </c>
      <c r="H2663" s="1" t="s">
        <v>2613</v>
      </c>
      <c r="I2663" s="1">
        <v>196422.0</v>
      </c>
      <c r="J2663" s="1" t="s">
        <v>12727</v>
      </c>
      <c r="K2663" s="1" t="s">
        <v>12728</v>
      </c>
      <c r="L2663" s="1">
        <v>444.0</v>
      </c>
      <c r="M2663" s="1" t="s">
        <v>35</v>
      </c>
      <c r="N2663" s="1" t="s">
        <v>36</v>
      </c>
      <c r="O2663" s="1" t="s">
        <v>628</v>
      </c>
      <c r="P2663" s="1">
        <v>1.2E7</v>
      </c>
      <c r="Q2663" s="1">
        <v>2006.0</v>
      </c>
      <c r="R2663" s="1">
        <v>26000.0</v>
      </c>
      <c r="S2663" s="1">
        <v>725.0</v>
      </c>
      <c r="T2663" s="1">
        <v>501.0</v>
      </c>
      <c r="U2663" s="1">
        <v>28767.0</v>
      </c>
      <c r="V2663" s="1">
        <v>83.0</v>
      </c>
      <c r="W2663" s="1">
        <v>0.0</v>
      </c>
      <c r="X2663" s="1">
        <v>1.0</v>
      </c>
      <c r="Y2663" s="1">
        <v>1.78</v>
      </c>
      <c r="Z2663" s="1">
        <v>7.0</v>
      </c>
    </row>
    <row r="2664" ht="14.25" customHeight="1">
      <c r="A2664" s="1" t="s">
        <v>26</v>
      </c>
      <c r="B2664" s="1" t="s">
        <v>5160</v>
      </c>
      <c r="C2664" s="1" t="s">
        <v>12729</v>
      </c>
      <c r="D2664" s="1">
        <v>1.290279E7</v>
      </c>
      <c r="E2664" s="1" t="s">
        <v>1359</v>
      </c>
      <c r="F2664" s="1" t="s">
        <v>1980</v>
      </c>
      <c r="G2664" s="1" t="s">
        <v>8023</v>
      </c>
      <c r="H2664" s="1" t="s">
        <v>1634</v>
      </c>
      <c r="I2664" s="1">
        <v>4052.0</v>
      </c>
      <c r="J2664" s="1" t="s">
        <v>12730</v>
      </c>
      <c r="K2664" s="1" t="s">
        <v>12731</v>
      </c>
      <c r="L2664" s="1">
        <v>88.0</v>
      </c>
      <c r="M2664" s="1" t="s">
        <v>35</v>
      </c>
      <c r="N2664" s="1" t="s">
        <v>36</v>
      </c>
      <c r="O2664" s="1" t="s">
        <v>628</v>
      </c>
      <c r="P2664" s="1">
        <v>1.2E7</v>
      </c>
      <c r="Q2664" s="1">
        <v>1998.0</v>
      </c>
      <c r="R2664" s="1">
        <v>1000.0</v>
      </c>
      <c r="S2664" s="1">
        <v>849.0</v>
      </c>
      <c r="T2664" s="1">
        <v>604.0</v>
      </c>
      <c r="U2664" s="1">
        <v>3250.0</v>
      </c>
      <c r="V2664" s="1">
        <v>98.0</v>
      </c>
      <c r="W2664" s="1">
        <v>242.0</v>
      </c>
      <c r="X2664" s="1">
        <v>1.0</v>
      </c>
      <c r="Y2664" s="1">
        <v>2.35</v>
      </c>
      <c r="Z2664" s="1">
        <v>6.6</v>
      </c>
    </row>
    <row r="2665" ht="14.25" customHeight="1">
      <c r="A2665" s="1" t="s">
        <v>26</v>
      </c>
      <c r="B2665" s="1" t="s">
        <v>673</v>
      </c>
      <c r="C2665" s="1" t="s">
        <v>12732</v>
      </c>
      <c r="D2665" s="1">
        <v>1.1433134E7</v>
      </c>
      <c r="E2665" s="1" t="s">
        <v>12733</v>
      </c>
      <c r="F2665" s="1" t="s">
        <v>1219</v>
      </c>
      <c r="G2665" s="1" t="s">
        <v>12734</v>
      </c>
      <c r="H2665" s="1" t="s">
        <v>12735</v>
      </c>
      <c r="I2665" s="1">
        <v>168203.0</v>
      </c>
      <c r="J2665" s="1" t="s">
        <v>12736</v>
      </c>
      <c r="K2665" s="1" t="s">
        <v>12737</v>
      </c>
      <c r="L2665" s="1">
        <v>426.0</v>
      </c>
      <c r="M2665" s="1" t="s">
        <v>10526</v>
      </c>
      <c r="N2665" s="1" t="s">
        <v>12738</v>
      </c>
      <c r="O2665" s="1" t="s">
        <v>628</v>
      </c>
      <c r="P2665" s="1">
        <v>1.4E7</v>
      </c>
      <c r="Q2665" s="1">
        <v>1981.0</v>
      </c>
      <c r="R2665" s="1">
        <v>362.0</v>
      </c>
      <c r="S2665" s="1">
        <v>21.0</v>
      </c>
      <c r="T2665" s="1">
        <v>18.0</v>
      </c>
      <c r="U2665" s="1">
        <v>469.0</v>
      </c>
      <c r="V2665" s="1">
        <v>249.0</v>
      </c>
      <c r="W2665" s="1">
        <v>11000.0</v>
      </c>
      <c r="X2665" s="1">
        <v>0.0</v>
      </c>
      <c r="Y2665" s="1">
        <v>1.85</v>
      </c>
      <c r="Z2665" s="1">
        <v>8.4</v>
      </c>
    </row>
    <row r="2666" ht="14.25" customHeight="1">
      <c r="A2666" s="1" t="s">
        <v>26</v>
      </c>
      <c r="B2666" s="1" t="s">
        <v>1973</v>
      </c>
      <c r="C2666" s="1" t="s">
        <v>1974</v>
      </c>
      <c r="D2666" s="1">
        <v>2.2406362E7</v>
      </c>
      <c r="E2666" s="1" t="s">
        <v>1975</v>
      </c>
      <c r="F2666" s="1" t="s">
        <v>522</v>
      </c>
      <c r="G2666" s="1" t="s">
        <v>1368</v>
      </c>
      <c r="H2666" s="1" t="s">
        <v>1145</v>
      </c>
      <c r="I2666" s="1">
        <v>16832.0</v>
      </c>
      <c r="J2666" s="1" t="s">
        <v>1976</v>
      </c>
      <c r="K2666" s="1" t="s">
        <v>1977</v>
      </c>
      <c r="L2666" s="1">
        <v>267.0</v>
      </c>
      <c r="M2666" s="1" t="s">
        <v>35</v>
      </c>
      <c r="N2666" s="1" t="s">
        <v>36</v>
      </c>
      <c r="O2666" s="1" t="s">
        <v>37</v>
      </c>
      <c r="P2666" s="1">
        <v>1.07E8</v>
      </c>
      <c r="Q2666" s="1">
        <v>2004.0</v>
      </c>
      <c r="R2666" s="1">
        <v>2000.0</v>
      </c>
      <c r="S2666" s="1">
        <v>973.0</v>
      </c>
      <c r="T2666" s="1">
        <v>877.0</v>
      </c>
      <c r="U2666" s="1">
        <v>5780.0</v>
      </c>
      <c r="V2666" s="1">
        <v>102.0</v>
      </c>
      <c r="W2666" s="1">
        <v>701.0</v>
      </c>
      <c r="X2666" s="1">
        <v>0.0</v>
      </c>
      <c r="Y2666" s="1">
        <v>2.35</v>
      </c>
      <c r="Z2666" s="1">
        <v>6.0</v>
      </c>
    </row>
    <row r="2667" ht="14.25" customHeight="1">
      <c r="A2667" s="1" t="s">
        <v>26</v>
      </c>
      <c r="B2667" s="1" t="s">
        <v>12739</v>
      </c>
      <c r="C2667" s="1" t="s">
        <v>12740</v>
      </c>
      <c r="D2667" s="1">
        <v>1.0198766E7</v>
      </c>
      <c r="E2667" s="1" t="s">
        <v>1885</v>
      </c>
      <c r="F2667" s="1" t="s">
        <v>7612</v>
      </c>
      <c r="G2667" s="1" t="s">
        <v>9905</v>
      </c>
      <c r="H2667" s="1" t="s">
        <v>11110</v>
      </c>
      <c r="I2667" s="1">
        <v>12007.0</v>
      </c>
      <c r="J2667" s="1" t="s">
        <v>12741</v>
      </c>
      <c r="K2667" s="1" t="s">
        <v>12742</v>
      </c>
      <c r="L2667" s="1">
        <v>105.0</v>
      </c>
      <c r="M2667" s="1" t="s">
        <v>35</v>
      </c>
      <c r="N2667" s="1" t="s">
        <v>36</v>
      </c>
      <c r="O2667" s="1" t="s">
        <v>628</v>
      </c>
      <c r="P2667" s="1">
        <v>1.2E7</v>
      </c>
      <c r="Q2667" s="1">
        <v>2002.0</v>
      </c>
      <c r="R2667" s="1">
        <v>529.0</v>
      </c>
      <c r="S2667" s="1">
        <v>526.0</v>
      </c>
      <c r="T2667" s="1">
        <v>503.0</v>
      </c>
      <c r="U2667" s="1">
        <v>2393.0</v>
      </c>
      <c r="V2667" s="1">
        <v>32.0</v>
      </c>
      <c r="W2667" s="1">
        <v>507.0</v>
      </c>
      <c r="X2667" s="1">
        <v>3.0</v>
      </c>
      <c r="Y2667" s="1">
        <v>1.85</v>
      </c>
      <c r="Z2667" s="1">
        <v>5.4</v>
      </c>
    </row>
    <row r="2668" ht="14.25" customHeight="1">
      <c r="A2668" s="1" t="s">
        <v>26</v>
      </c>
      <c r="B2668" s="1" t="s">
        <v>5434</v>
      </c>
      <c r="C2668" s="1" t="s">
        <v>12743</v>
      </c>
      <c r="D2668" s="1">
        <v>1.5294553E7</v>
      </c>
      <c r="E2668" s="1" t="s">
        <v>650</v>
      </c>
      <c r="F2668" s="1" t="s">
        <v>12744</v>
      </c>
      <c r="G2668" s="1" t="s">
        <v>10195</v>
      </c>
      <c r="H2668" s="1" t="s">
        <v>10726</v>
      </c>
      <c r="I2668" s="1">
        <v>202341.0</v>
      </c>
      <c r="J2668" s="1" t="s">
        <v>12745</v>
      </c>
      <c r="K2668" s="1" t="s">
        <v>12746</v>
      </c>
      <c r="L2668" s="1">
        <v>391.0</v>
      </c>
      <c r="M2668" s="1" t="s">
        <v>35</v>
      </c>
      <c r="N2668" s="1" t="s">
        <v>54</v>
      </c>
      <c r="O2668" s="1" t="s">
        <v>628</v>
      </c>
      <c r="P2668" s="1">
        <v>1.2E7</v>
      </c>
      <c r="Q2668" s="1">
        <v>2013.0</v>
      </c>
      <c r="R2668" s="1">
        <v>565.0</v>
      </c>
      <c r="S2668" s="1">
        <v>555.0</v>
      </c>
      <c r="T2668" s="1">
        <v>171.0</v>
      </c>
      <c r="U2668" s="1">
        <v>1595.0</v>
      </c>
      <c r="V2668" s="1">
        <v>628.0</v>
      </c>
      <c r="W2668" s="1">
        <v>105000.0</v>
      </c>
      <c r="X2668" s="1">
        <v>1.0</v>
      </c>
      <c r="Y2668" s="1">
        <v>2.35</v>
      </c>
      <c r="Z2668" s="1">
        <v>7.8</v>
      </c>
    </row>
    <row r="2669" ht="14.25" customHeight="1">
      <c r="A2669" s="1" t="s">
        <v>26</v>
      </c>
      <c r="B2669" s="1" t="s">
        <v>1857</v>
      </c>
      <c r="C2669" s="1" t="s">
        <v>12747</v>
      </c>
      <c r="D2669" s="1">
        <v>1.1041228E7</v>
      </c>
      <c r="E2669" s="1" t="s">
        <v>199</v>
      </c>
      <c r="F2669" s="1" t="s">
        <v>6483</v>
      </c>
      <c r="G2669" s="1" t="s">
        <v>6484</v>
      </c>
      <c r="H2669" s="1" t="s">
        <v>12748</v>
      </c>
      <c r="I2669" s="1">
        <v>92295.0</v>
      </c>
      <c r="J2669" s="1" t="s">
        <v>12749</v>
      </c>
      <c r="K2669" s="1" t="s">
        <v>12750</v>
      </c>
      <c r="L2669" s="1">
        <v>420.0</v>
      </c>
      <c r="M2669" s="1" t="s">
        <v>1864</v>
      </c>
      <c r="N2669" s="1" t="s">
        <v>855</v>
      </c>
      <c r="O2669" s="1" t="s">
        <v>37</v>
      </c>
      <c r="P2669" s="1">
        <v>1.0E8</v>
      </c>
      <c r="Q2669" s="1">
        <v>2004.0</v>
      </c>
      <c r="R2669" s="1">
        <v>755.0</v>
      </c>
      <c r="S2669" s="1">
        <v>483.0</v>
      </c>
      <c r="T2669" s="1">
        <v>4.0</v>
      </c>
      <c r="U2669" s="1">
        <v>1244.0</v>
      </c>
      <c r="V2669" s="1">
        <v>611.0</v>
      </c>
      <c r="W2669" s="1">
        <v>0.0</v>
      </c>
      <c r="X2669" s="1">
        <v>3.0</v>
      </c>
      <c r="Y2669" s="1">
        <v>2.35</v>
      </c>
      <c r="Z2669" s="1">
        <v>7.6</v>
      </c>
    </row>
    <row r="2670" ht="14.25" customHeight="1">
      <c r="A2670" s="1" t="s">
        <v>26</v>
      </c>
      <c r="B2670" s="1" t="s">
        <v>12751</v>
      </c>
      <c r="C2670" s="1" t="s">
        <v>12752</v>
      </c>
      <c r="D2670" s="1">
        <v>7918283.0</v>
      </c>
      <c r="E2670" s="1" t="s">
        <v>3868</v>
      </c>
      <c r="F2670" s="1" t="s">
        <v>4263</v>
      </c>
      <c r="G2670" s="1" t="s">
        <v>2131</v>
      </c>
      <c r="H2670" s="1" t="s">
        <v>1433</v>
      </c>
      <c r="I2670" s="1">
        <v>41574.0</v>
      </c>
      <c r="J2670" s="1" t="s">
        <v>12753</v>
      </c>
      <c r="K2670" s="1" t="s">
        <v>12754</v>
      </c>
      <c r="L2670" s="1">
        <v>145.0</v>
      </c>
      <c r="M2670" s="1" t="s">
        <v>35</v>
      </c>
      <c r="N2670" s="1" t="s">
        <v>36</v>
      </c>
      <c r="O2670" s="1" t="s">
        <v>628</v>
      </c>
      <c r="P2670" s="1">
        <v>1.2E7</v>
      </c>
      <c r="Q2670" s="1">
        <v>2012.0</v>
      </c>
      <c r="R2670" s="1">
        <v>664.0</v>
      </c>
      <c r="S2670" s="1">
        <v>591.0</v>
      </c>
      <c r="T2670" s="1">
        <v>360.0</v>
      </c>
      <c r="U2670" s="1">
        <v>2440.0</v>
      </c>
      <c r="V2670" s="1">
        <v>27.0</v>
      </c>
      <c r="W2670" s="1">
        <v>0.0</v>
      </c>
      <c r="X2670" s="1">
        <v>1.0</v>
      </c>
      <c r="Y2670" s="1">
        <v>1.85</v>
      </c>
      <c r="Z2670" s="1">
        <v>6.6</v>
      </c>
    </row>
    <row r="2671" ht="14.25" customHeight="1">
      <c r="A2671" s="1" t="s">
        <v>26</v>
      </c>
      <c r="B2671" s="1" t="s">
        <v>12755</v>
      </c>
      <c r="C2671" s="1" t="s">
        <v>12756</v>
      </c>
      <c r="D2671" s="1">
        <v>2.2331028E7</v>
      </c>
      <c r="E2671" s="1" t="s">
        <v>2804</v>
      </c>
      <c r="F2671" s="1" t="s">
        <v>12757</v>
      </c>
      <c r="G2671" s="1" t="s">
        <v>12758</v>
      </c>
      <c r="H2671" s="1" t="s">
        <v>12759</v>
      </c>
      <c r="I2671" s="1">
        <v>57349.0</v>
      </c>
      <c r="J2671" s="1" t="s">
        <v>12760</v>
      </c>
      <c r="K2671" s="1" t="s">
        <v>12761</v>
      </c>
      <c r="L2671" s="1">
        <v>177.0</v>
      </c>
      <c r="M2671" s="1" t="s">
        <v>35</v>
      </c>
      <c r="N2671" s="1" t="s">
        <v>36</v>
      </c>
      <c r="O2671" s="1" t="s">
        <v>37</v>
      </c>
      <c r="P2671" s="1">
        <v>1.2E7</v>
      </c>
      <c r="Q2671" s="1">
        <v>2015.0</v>
      </c>
      <c r="R2671" s="1">
        <v>452.0</v>
      </c>
      <c r="S2671" s="1">
        <v>328.0</v>
      </c>
      <c r="T2671" s="1">
        <v>265.0</v>
      </c>
      <c r="U2671" s="1">
        <v>1819.0</v>
      </c>
      <c r="V2671" s="1">
        <v>16.0</v>
      </c>
      <c r="W2671" s="1">
        <v>0.0</v>
      </c>
      <c r="X2671" s="1">
        <v>0.0</v>
      </c>
      <c r="Y2671" s="1">
        <v>2.35</v>
      </c>
      <c r="Z2671" s="1">
        <v>6.4</v>
      </c>
    </row>
    <row r="2672" ht="14.25" customHeight="1">
      <c r="A2672" s="1" t="s">
        <v>26</v>
      </c>
      <c r="B2672" s="1" t="s">
        <v>12762</v>
      </c>
      <c r="C2672" s="1" t="s">
        <v>12763</v>
      </c>
      <c r="D2672" s="1">
        <v>8134217.0</v>
      </c>
      <c r="E2672" s="1" t="s">
        <v>4075</v>
      </c>
      <c r="F2672" s="1" t="s">
        <v>769</v>
      </c>
      <c r="G2672" s="1" t="s">
        <v>12764</v>
      </c>
      <c r="H2672" s="1" t="s">
        <v>12765</v>
      </c>
      <c r="I2672" s="1">
        <v>15412.0</v>
      </c>
      <c r="J2672" s="1" t="s">
        <v>12766</v>
      </c>
      <c r="K2672" s="1" t="s">
        <v>12767</v>
      </c>
      <c r="L2672" s="1">
        <v>90.0</v>
      </c>
      <c r="M2672" s="1" t="s">
        <v>35</v>
      </c>
      <c r="N2672" s="1" t="s">
        <v>36</v>
      </c>
      <c r="O2672" s="1" t="s">
        <v>628</v>
      </c>
      <c r="P2672" s="1">
        <v>1.2E7</v>
      </c>
      <c r="Q2672" s="1">
        <v>2008.0</v>
      </c>
      <c r="R2672" s="1">
        <v>436.0</v>
      </c>
      <c r="S2672" s="1">
        <v>223.0</v>
      </c>
      <c r="T2672" s="1">
        <v>192.0</v>
      </c>
      <c r="U2672" s="1">
        <v>1141.0</v>
      </c>
      <c r="V2672" s="1">
        <v>67.0</v>
      </c>
      <c r="W2672" s="1">
        <v>0.0</v>
      </c>
      <c r="X2672" s="1">
        <v>3.0</v>
      </c>
      <c r="Y2672" s="1">
        <v>2.35</v>
      </c>
      <c r="Z2672" s="1">
        <v>7.0</v>
      </c>
    </row>
    <row r="2673" ht="14.25" customHeight="1">
      <c r="A2673" s="1" t="s">
        <v>26</v>
      </c>
      <c r="B2673" s="1" t="s">
        <v>12768</v>
      </c>
      <c r="C2673" s="1" t="s">
        <v>12769</v>
      </c>
      <c r="D2673" s="1">
        <v>6982680.0</v>
      </c>
      <c r="E2673" s="1" t="s">
        <v>972</v>
      </c>
      <c r="F2673" s="1" t="s">
        <v>598</v>
      </c>
      <c r="G2673" s="1" t="s">
        <v>2520</v>
      </c>
      <c r="H2673" s="1" t="s">
        <v>12770</v>
      </c>
      <c r="I2673" s="1">
        <v>6965.0</v>
      </c>
      <c r="J2673" s="1" t="s">
        <v>12771</v>
      </c>
      <c r="K2673" s="1" t="s">
        <v>12772</v>
      </c>
      <c r="L2673" s="1">
        <v>69.0</v>
      </c>
      <c r="M2673" s="1" t="s">
        <v>35</v>
      </c>
      <c r="N2673" s="1" t="s">
        <v>36</v>
      </c>
      <c r="O2673" s="1" t="s">
        <v>37</v>
      </c>
      <c r="P2673" s="1">
        <v>1.0E7</v>
      </c>
      <c r="Q2673" s="1">
        <v>2000.0</v>
      </c>
      <c r="R2673" s="1">
        <v>931.0</v>
      </c>
      <c r="S2673" s="1">
        <v>744.0</v>
      </c>
      <c r="T2673" s="1">
        <v>654.0</v>
      </c>
      <c r="U2673" s="1">
        <v>3848.0</v>
      </c>
      <c r="V2673" s="1">
        <v>25.0</v>
      </c>
      <c r="W2673" s="1">
        <v>262.0</v>
      </c>
      <c r="X2673" s="1">
        <v>0.0</v>
      </c>
      <c r="Y2673" s="1">
        <v>1.85</v>
      </c>
      <c r="Z2673" s="1">
        <v>5.7</v>
      </c>
    </row>
    <row r="2674" ht="14.25" customHeight="1">
      <c r="A2674" s="1" t="s">
        <v>26</v>
      </c>
      <c r="B2674" s="1" t="s">
        <v>12773</v>
      </c>
      <c r="C2674" s="1" t="s">
        <v>12774</v>
      </c>
      <c r="D2674" s="1">
        <v>6739141.0</v>
      </c>
      <c r="E2674" s="1" t="s">
        <v>1345</v>
      </c>
      <c r="F2674" s="1" t="s">
        <v>4288</v>
      </c>
      <c r="G2674" s="1" t="s">
        <v>4236</v>
      </c>
      <c r="H2674" s="1" t="s">
        <v>373</v>
      </c>
      <c r="I2674" s="1">
        <v>23383.0</v>
      </c>
      <c r="J2674" s="1" t="s">
        <v>12775</v>
      </c>
      <c r="K2674" s="1" t="s">
        <v>12776</v>
      </c>
      <c r="L2674" s="1">
        <v>68.0</v>
      </c>
      <c r="M2674" s="1" t="s">
        <v>35</v>
      </c>
      <c r="N2674" s="1" t="s">
        <v>362</v>
      </c>
      <c r="O2674" s="1" t="s">
        <v>628</v>
      </c>
      <c r="P2674" s="1">
        <v>8000000.0</v>
      </c>
      <c r="Q2674" s="1">
        <v>1992.0</v>
      </c>
      <c r="R2674" s="1">
        <v>1000.0</v>
      </c>
      <c r="S2674" s="1">
        <v>1000.0</v>
      </c>
      <c r="T2674" s="1">
        <v>968.0</v>
      </c>
      <c r="U2674" s="1">
        <v>4755.0</v>
      </c>
      <c r="V2674" s="1">
        <v>216.0</v>
      </c>
      <c r="W2674" s="1">
        <v>1000.0</v>
      </c>
      <c r="X2674" s="1">
        <v>0.0</v>
      </c>
      <c r="Y2674" s="1">
        <v>1.85</v>
      </c>
      <c r="Z2674" s="1">
        <v>5.9</v>
      </c>
    </row>
    <row r="2675" ht="14.25" customHeight="1">
      <c r="A2675" s="1" t="s">
        <v>26</v>
      </c>
      <c r="B2675" s="1" t="s">
        <v>10290</v>
      </c>
      <c r="C2675" s="1" t="s">
        <v>12777</v>
      </c>
      <c r="D2675" s="1">
        <v>5542025.0</v>
      </c>
      <c r="E2675" s="1" t="s">
        <v>1885</v>
      </c>
      <c r="F2675" s="1" t="s">
        <v>973</v>
      </c>
      <c r="G2675" s="1" t="s">
        <v>1719</v>
      </c>
      <c r="H2675" s="1" t="s">
        <v>935</v>
      </c>
      <c r="I2675" s="1">
        <v>12197.0</v>
      </c>
      <c r="J2675" s="1" t="s">
        <v>12778</v>
      </c>
      <c r="K2675" s="1" t="s">
        <v>12779</v>
      </c>
      <c r="L2675" s="1">
        <v>150.0</v>
      </c>
      <c r="M2675" s="1" t="s">
        <v>35</v>
      </c>
      <c r="N2675" s="1" t="s">
        <v>36</v>
      </c>
      <c r="O2675" s="1" t="s">
        <v>37</v>
      </c>
      <c r="P2675" s="1">
        <v>1.2E7</v>
      </c>
      <c r="Q2675" s="1">
        <v>2006.0</v>
      </c>
      <c r="R2675" s="1">
        <v>957.0</v>
      </c>
      <c r="S2675" s="1">
        <v>925.0</v>
      </c>
      <c r="T2675" s="1">
        <v>783.0</v>
      </c>
      <c r="U2675" s="1">
        <v>3535.0</v>
      </c>
      <c r="V2675" s="1">
        <v>378.0</v>
      </c>
      <c r="W2675" s="1">
        <v>650.0</v>
      </c>
      <c r="X2675" s="1">
        <v>0.0</v>
      </c>
      <c r="Y2675" s="1">
        <v>1.85</v>
      </c>
      <c r="Z2675" s="1">
        <v>6.3</v>
      </c>
    </row>
    <row r="2676" ht="14.25" customHeight="1">
      <c r="A2676" s="1" t="s">
        <v>710</v>
      </c>
      <c r="B2676" s="1" t="s">
        <v>3797</v>
      </c>
      <c r="C2676" s="1" t="s">
        <v>12780</v>
      </c>
      <c r="D2676" s="1">
        <v>5032496.0</v>
      </c>
      <c r="E2676" s="1" t="s">
        <v>2422</v>
      </c>
      <c r="F2676" s="1" t="s">
        <v>1330</v>
      </c>
      <c r="G2676" s="1" t="s">
        <v>12781</v>
      </c>
      <c r="H2676" s="1" t="s">
        <v>6155</v>
      </c>
      <c r="I2676" s="1">
        <v>20576.0</v>
      </c>
      <c r="J2676" s="1" t="s">
        <v>12782</v>
      </c>
      <c r="K2676" s="1" t="s">
        <v>12783</v>
      </c>
      <c r="L2676" s="1">
        <v>161.0</v>
      </c>
      <c r="M2676" s="1" t="s">
        <v>35</v>
      </c>
      <c r="N2676" s="1" t="s">
        <v>36</v>
      </c>
      <c r="O2676" s="1" t="s">
        <v>628</v>
      </c>
      <c r="P2676" s="1">
        <v>1.2E7</v>
      </c>
      <c r="Q2676" s="1">
        <v>1998.0</v>
      </c>
      <c r="R2676" s="1">
        <v>537.0</v>
      </c>
      <c r="S2676" s="1">
        <v>255.0</v>
      </c>
      <c r="T2676" s="1">
        <v>99.0</v>
      </c>
      <c r="U2676" s="1">
        <v>943.0</v>
      </c>
      <c r="V2676" s="1">
        <v>11000.0</v>
      </c>
      <c r="W2676" s="1">
        <v>652.0</v>
      </c>
      <c r="X2676" s="1">
        <v>0.0</v>
      </c>
      <c r="Y2676" s="1">
        <v>1.66</v>
      </c>
      <c r="Z2676" s="1">
        <v>6.3</v>
      </c>
    </row>
    <row r="2677" ht="14.25" customHeight="1">
      <c r="A2677" s="1" t="s">
        <v>26</v>
      </c>
      <c r="B2677" s="1" t="s">
        <v>3820</v>
      </c>
      <c r="C2677" s="1" t="s">
        <v>12784</v>
      </c>
      <c r="D2677" s="1">
        <v>6754898.0</v>
      </c>
      <c r="E2677" s="1" t="s">
        <v>2422</v>
      </c>
      <c r="F2677" s="1" t="s">
        <v>12785</v>
      </c>
      <c r="G2677" s="1" t="s">
        <v>7038</v>
      </c>
      <c r="H2677" s="1" t="s">
        <v>6603</v>
      </c>
      <c r="I2677" s="1">
        <v>20000.0</v>
      </c>
      <c r="J2677" s="1" t="s">
        <v>12786</v>
      </c>
      <c r="K2677" s="1" t="s">
        <v>12787</v>
      </c>
      <c r="L2677" s="1">
        <v>188.0</v>
      </c>
      <c r="M2677" s="1" t="s">
        <v>35</v>
      </c>
      <c r="N2677" s="1" t="s">
        <v>36</v>
      </c>
      <c r="O2677" s="1" t="s">
        <v>628</v>
      </c>
      <c r="P2677" s="1">
        <v>1.2E7</v>
      </c>
      <c r="Q2677" s="1">
        <v>2006.0</v>
      </c>
      <c r="R2677" s="1">
        <v>433.0</v>
      </c>
      <c r="S2677" s="1">
        <v>398.0</v>
      </c>
      <c r="T2677" s="1">
        <v>316.0</v>
      </c>
      <c r="U2677" s="1">
        <v>1291.0</v>
      </c>
      <c r="V2677" s="1">
        <v>708.0</v>
      </c>
      <c r="W2677" s="1">
        <v>0.0</v>
      </c>
      <c r="X2677" s="1">
        <v>0.0</v>
      </c>
      <c r="Y2677" s="1">
        <v>2.35</v>
      </c>
      <c r="Z2677" s="1">
        <v>6.2</v>
      </c>
    </row>
    <row r="2678" ht="14.25" customHeight="1">
      <c r="A2678" s="1" t="s">
        <v>26</v>
      </c>
      <c r="B2678" s="1" t="s">
        <v>11282</v>
      </c>
      <c r="C2678" s="1" t="s">
        <v>12788</v>
      </c>
      <c r="D2678" s="1">
        <v>4922166.0</v>
      </c>
      <c r="E2678" s="1" t="s">
        <v>10315</v>
      </c>
      <c r="F2678" s="1" t="s">
        <v>1584</v>
      </c>
      <c r="G2678" s="1" t="s">
        <v>12789</v>
      </c>
      <c r="H2678" s="1" t="s">
        <v>12790</v>
      </c>
      <c r="I2678" s="1">
        <v>23606.0</v>
      </c>
      <c r="J2678" s="1" t="s">
        <v>12791</v>
      </c>
      <c r="K2678" s="1" t="s">
        <v>12792</v>
      </c>
      <c r="L2678" s="1">
        <v>304.0</v>
      </c>
      <c r="M2678" s="1" t="s">
        <v>35</v>
      </c>
      <c r="N2678" s="1" t="s">
        <v>36</v>
      </c>
      <c r="O2678" s="1" t="s">
        <v>87</v>
      </c>
      <c r="P2678" s="1">
        <v>1.2E7</v>
      </c>
      <c r="Q2678" s="1">
        <v>2003.0</v>
      </c>
      <c r="R2678" s="1">
        <v>525.0</v>
      </c>
      <c r="S2678" s="1">
        <v>281.0</v>
      </c>
      <c r="T2678" s="1">
        <v>251.0</v>
      </c>
      <c r="U2678" s="1">
        <v>1445.0</v>
      </c>
      <c r="V2678" s="1">
        <v>7.0</v>
      </c>
      <c r="W2678" s="1">
        <v>0.0</v>
      </c>
      <c r="X2678" s="1">
        <v>2.0</v>
      </c>
      <c r="Y2678" s="1">
        <v>1.85</v>
      </c>
      <c r="Z2678" s="1">
        <v>2.1</v>
      </c>
    </row>
    <row r="2679" ht="14.25" customHeight="1">
      <c r="A2679" s="1" t="s">
        <v>26</v>
      </c>
      <c r="B2679" s="1" t="s">
        <v>4801</v>
      </c>
      <c r="C2679" s="1" t="s">
        <v>12793</v>
      </c>
      <c r="D2679" s="1">
        <v>4903000.0</v>
      </c>
      <c r="E2679" s="1" t="s">
        <v>2422</v>
      </c>
      <c r="F2679" s="1" t="s">
        <v>1921</v>
      </c>
      <c r="G2679" s="1" t="s">
        <v>1754</v>
      </c>
      <c r="H2679" s="1" t="s">
        <v>5262</v>
      </c>
      <c r="I2679" s="1">
        <v>4961.0</v>
      </c>
      <c r="J2679" s="1" t="s">
        <v>12794</v>
      </c>
      <c r="K2679" s="1" t="s">
        <v>12795</v>
      </c>
      <c r="L2679" s="1">
        <v>33.0</v>
      </c>
      <c r="M2679" s="1" t="s">
        <v>35</v>
      </c>
      <c r="N2679" s="1" t="s">
        <v>36</v>
      </c>
      <c r="O2679" s="1" t="s">
        <v>628</v>
      </c>
      <c r="P2679" s="1">
        <v>1.2E7</v>
      </c>
      <c r="Q2679" s="1">
        <v>1996.0</v>
      </c>
      <c r="R2679" s="1">
        <v>873.0</v>
      </c>
      <c r="S2679" s="1">
        <v>680.0</v>
      </c>
      <c r="T2679" s="1">
        <v>599.0</v>
      </c>
      <c r="U2679" s="1">
        <v>4497.0</v>
      </c>
      <c r="V2679" s="1">
        <v>0.0</v>
      </c>
      <c r="W2679" s="1">
        <v>251.0</v>
      </c>
      <c r="X2679" s="1">
        <v>3.0</v>
      </c>
      <c r="Y2679" s="1">
        <v>1.85</v>
      </c>
      <c r="Z2679" s="1">
        <v>5.0</v>
      </c>
    </row>
    <row r="2680" ht="14.25" customHeight="1">
      <c r="A2680" s="1" t="s">
        <v>26</v>
      </c>
      <c r="B2680" s="1" t="s">
        <v>12796</v>
      </c>
      <c r="C2680" s="1" t="s">
        <v>12797</v>
      </c>
      <c r="D2680" s="1">
        <v>4717455.0</v>
      </c>
      <c r="E2680" s="1" t="s">
        <v>815</v>
      </c>
      <c r="F2680" s="1" t="s">
        <v>2510</v>
      </c>
      <c r="G2680" s="1" t="s">
        <v>12798</v>
      </c>
      <c r="H2680" s="1" t="s">
        <v>12799</v>
      </c>
      <c r="I2680" s="1">
        <v>18632.0</v>
      </c>
      <c r="J2680" s="1" t="s">
        <v>12800</v>
      </c>
      <c r="K2680" s="1" t="s">
        <v>12801</v>
      </c>
      <c r="L2680" s="1">
        <v>354.0</v>
      </c>
      <c r="M2680" s="1" t="s">
        <v>35</v>
      </c>
      <c r="N2680" s="1" t="s">
        <v>362</v>
      </c>
      <c r="O2680" s="1" t="s">
        <v>628</v>
      </c>
      <c r="P2680" s="1">
        <v>1.2E7</v>
      </c>
      <c r="Q2680" s="1">
        <v>2003.0</v>
      </c>
      <c r="R2680" s="1">
        <v>1000.0</v>
      </c>
      <c r="S2680" s="1">
        <v>65.0</v>
      </c>
      <c r="T2680" s="1">
        <v>48.0</v>
      </c>
      <c r="U2680" s="1">
        <v>1171.0</v>
      </c>
      <c r="V2680" s="1">
        <v>319.0</v>
      </c>
      <c r="W2680" s="1">
        <v>656.0</v>
      </c>
      <c r="X2680" s="1">
        <v>0.0</v>
      </c>
      <c r="Y2680" s="1">
        <v>1.85</v>
      </c>
      <c r="Z2680" s="1">
        <v>5.3</v>
      </c>
    </row>
    <row r="2681" ht="14.25" customHeight="1">
      <c r="A2681" s="1" t="s">
        <v>26</v>
      </c>
      <c r="B2681" s="1" t="s">
        <v>8337</v>
      </c>
      <c r="C2681" s="1" t="s">
        <v>12802</v>
      </c>
      <c r="D2681" s="1">
        <v>3148482.0</v>
      </c>
      <c r="E2681" s="1" t="s">
        <v>206</v>
      </c>
      <c r="F2681" s="1" t="s">
        <v>3666</v>
      </c>
      <c r="G2681" s="1" t="s">
        <v>3538</v>
      </c>
      <c r="H2681" s="1" t="s">
        <v>12803</v>
      </c>
      <c r="I2681" s="1">
        <v>29613.0</v>
      </c>
      <c r="J2681" s="1" t="s">
        <v>12804</v>
      </c>
      <c r="K2681" s="1" t="s">
        <v>12805</v>
      </c>
      <c r="L2681" s="1">
        <v>98.0</v>
      </c>
      <c r="M2681" s="1" t="s">
        <v>35</v>
      </c>
      <c r="N2681" s="1" t="s">
        <v>36</v>
      </c>
      <c r="O2681" s="1" t="s">
        <v>628</v>
      </c>
      <c r="P2681" s="1">
        <v>1.2E7</v>
      </c>
      <c r="Q2681" s="1">
        <v>2008.0</v>
      </c>
      <c r="R2681" s="1">
        <v>812.0</v>
      </c>
      <c r="S2681" s="1">
        <v>580.0</v>
      </c>
      <c r="T2681" s="1">
        <v>103.0</v>
      </c>
      <c r="U2681" s="1">
        <v>1540.0</v>
      </c>
      <c r="V2681" s="1">
        <v>115.0</v>
      </c>
      <c r="W2681" s="1">
        <v>0.0</v>
      </c>
      <c r="X2681" s="1">
        <v>0.0</v>
      </c>
      <c r="Y2681" s="1">
        <v>2.35</v>
      </c>
      <c r="Z2681" s="1">
        <v>7.1</v>
      </c>
    </row>
    <row r="2682" ht="14.25" customHeight="1">
      <c r="A2682" s="1" t="s">
        <v>26</v>
      </c>
      <c r="B2682" s="1" t="s">
        <v>12806</v>
      </c>
      <c r="C2682" s="1" t="s">
        <v>12807</v>
      </c>
      <c r="D2682" s="1">
        <v>2326407.0</v>
      </c>
      <c r="E2682" s="1" t="s">
        <v>3238</v>
      </c>
      <c r="F2682" s="1" t="s">
        <v>2307</v>
      </c>
      <c r="G2682" s="1" t="s">
        <v>384</v>
      </c>
      <c r="H2682" s="1" t="s">
        <v>12808</v>
      </c>
      <c r="I2682" s="1">
        <v>5016.0</v>
      </c>
      <c r="J2682" s="1" t="s">
        <v>12809</v>
      </c>
      <c r="K2682" s="1" t="s">
        <v>12810</v>
      </c>
      <c r="L2682" s="1">
        <v>99.0</v>
      </c>
      <c r="M2682" s="1" t="s">
        <v>35</v>
      </c>
      <c r="N2682" s="1" t="s">
        <v>54</v>
      </c>
      <c r="O2682" s="1" t="s">
        <v>628</v>
      </c>
      <c r="P2682" s="1">
        <v>1.2E7</v>
      </c>
      <c r="Q2682" s="1">
        <v>2001.0</v>
      </c>
      <c r="R2682" s="1">
        <v>5000.0</v>
      </c>
      <c r="S2682" s="1">
        <v>1000.0</v>
      </c>
      <c r="T2682" s="1">
        <v>794.0</v>
      </c>
      <c r="U2682" s="1">
        <v>7166.0</v>
      </c>
      <c r="V2682" s="1">
        <v>40.0</v>
      </c>
      <c r="W2682" s="1">
        <v>305.0</v>
      </c>
      <c r="X2682" s="1">
        <v>5.0</v>
      </c>
      <c r="Y2682" s="1">
        <v>2.35</v>
      </c>
      <c r="Z2682" s="1">
        <v>7.0</v>
      </c>
    </row>
    <row r="2683" ht="14.25" customHeight="1">
      <c r="A2683" s="1" t="s">
        <v>26</v>
      </c>
      <c r="B2683" s="1" t="s">
        <v>6492</v>
      </c>
      <c r="C2683" s="1" t="s">
        <v>5056</v>
      </c>
      <c r="D2683" s="1">
        <v>2201412.0</v>
      </c>
      <c r="E2683" s="1" t="s">
        <v>12811</v>
      </c>
      <c r="F2683" s="1" t="s">
        <v>12812</v>
      </c>
      <c r="G2683" s="1" t="s">
        <v>6494</v>
      </c>
      <c r="H2683" s="1" t="s">
        <v>12813</v>
      </c>
      <c r="I2683" s="1">
        <v>68883.0</v>
      </c>
      <c r="J2683" s="1" t="s">
        <v>12814</v>
      </c>
      <c r="K2683" s="1" t="s">
        <v>12815</v>
      </c>
      <c r="L2683" s="1">
        <v>279.0</v>
      </c>
      <c r="M2683" s="1" t="s">
        <v>12540</v>
      </c>
      <c r="N2683" s="1" t="s">
        <v>6497</v>
      </c>
      <c r="O2683" s="1" t="s">
        <v>628</v>
      </c>
      <c r="P2683" s="1">
        <v>1.22155E10</v>
      </c>
      <c r="Q2683" s="1">
        <v>2006.0</v>
      </c>
      <c r="R2683" s="1">
        <v>629.0</v>
      </c>
      <c r="S2683" s="1">
        <v>398.0</v>
      </c>
      <c r="T2683" s="1">
        <v>74.0</v>
      </c>
      <c r="U2683" s="1">
        <v>1173.0</v>
      </c>
      <c r="V2683" s="1">
        <v>584.0</v>
      </c>
      <c r="W2683" s="1">
        <v>7000.0</v>
      </c>
      <c r="X2683" s="1">
        <v>0.0</v>
      </c>
      <c r="Y2683" s="1">
        <v>1.85</v>
      </c>
      <c r="Z2683" s="1">
        <v>7.0</v>
      </c>
    </row>
    <row r="2684" ht="14.25" customHeight="1">
      <c r="A2684" s="1" t="s">
        <v>26</v>
      </c>
      <c r="B2684" s="1" t="s">
        <v>12816</v>
      </c>
      <c r="C2684" s="1" t="s">
        <v>12817</v>
      </c>
      <c r="D2684" s="1">
        <v>2060953.0</v>
      </c>
      <c r="E2684" s="1" t="s">
        <v>9021</v>
      </c>
      <c r="F2684" s="1" t="s">
        <v>11989</v>
      </c>
      <c r="G2684" s="1" t="s">
        <v>1577</v>
      </c>
      <c r="H2684" s="1" t="s">
        <v>9332</v>
      </c>
      <c r="I2684" s="1">
        <v>29990.0</v>
      </c>
      <c r="J2684" s="1" t="s">
        <v>12818</v>
      </c>
      <c r="K2684" s="1" t="s">
        <v>12819</v>
      </c>
      <c r="L2684" s="1">
        <v>316.0</v>
      </c>
      <c r="M2684" s="1" t="s">
        <v>35</v>
      </c>
      <c r="N2684" s="1" t="s">
        <v>5235</v>
      </c>
      <c r="O2684" s="1" t="s">
        <v>628</v>
      </c>
      <c r="P2684" s="1">
        <v>1.2E7</v>
      </c>
      <c r="Q2684" s="1">
        <v>1999.0</v>
      </c>
      <c r="R2684" s="1">
        <v>769.0</v>
      </c>
      <c r="S2684" s="1">
        <v>692.0</v>
      </c>
      <c r="T2684" s="1">
        <v>611.0</v>
      </c>
      <c r="U2684" s="1">
        <v>2543.0</v>
      </c>
      <c r="V2684" s="1">
        <v>61.0</v>
      </c>
      <c r="W2684" s="1">
        <v>0.0</v>
      </c>
      <c r="X2684" s="1">
        <v>0.0</v>
      </c>
      <c r="Y2684" s="1">
        <v>2.35</v>
      </c>
      <c r="Z2684" s="1">
        <v>7.1</v>
      </c>
    </row>
    <row r="2685" ht="14.25" customHeight="1">
      <c r="A2685" s="1" t="s">
        <v>26</v>
      </c>
      <c r="B2685" s="1" t="s">
        <v>12820</v>
      </c>
      <c r="C2685" s="1" t="s">
        <v>12821</v>
      </c>
      <c r="D2685" s="1">
        <v>3950294.0</v>
      </c>
      <c r="E2685" s="1" t="s">
        <v>1359</v>
      </c>
      <c r="F2685" s="1" t="s">
        <v>91</v>
      </c>
      <c r="G2685" s="1" t="s">
        <v>4786</v>
      </c>
      <c r="H2685" s="1" t="s">
        <v>7541</v>
      </c>
      <c r="I2685" s="1">
        <v>56654.0</v>
      </c>
      <c r="J2685" s="1" t="s">
        <v>12822</v>
      </c>
      <c r="K2685" s="1" t="s">
        <v>12823</v>
      </c>
      <c r="L2685" s="1">
        <v>124.0</v>
      </c>
      <c r="M2685" s="1" t="s">
        <v>35</v>
      </c>
      <c r="N2685" s="1" t="s">
        <v>36</v>
      </c>
      <c r="O2685" s="1" t="s">
        <v>628</v>
      </c>
      <c r="P2685" s="1">
        <v>1.2E7</v>
      </c>
      <c r="Q2685" s="1">
        <v>2007.0</v>
      </c>
      <c r="R2685" s="1">
        <v>21000.0</v>
      </c>
      <c r="S2685" s="1">
        <v>569.0</v>
      </c>
      <c r="T2685" s="1">
        <v>442.0</v>
      </c>
      <c r="U2685" s="1">
        <v>22577.0</v>
      </c>
      <c r="V2685" s="1">
        <v>20.0</v>
      </c>
      <c r="W2685" s="1">
        <v>0.0</v>
      </c>
      <c r="X2685" s="1">
        <v>5.0</v>
      </c>
      <c r="Y2685" s="1">
        <v>1.85</v>
      </c>
      <c r="Z2685" s="1">
        <v>7.0</v>
      </c>
    </row>
    <row r="2686" ht="14.25" customHeight="1">
      <c r="A2686" s="1" t="s">
        <v>26</v>
      </c>
      <c r="B2686" s="1" t="s">
        <v>12824</v>
      </c>
      <c r="C2686" s="1" t="s">
        <v>12825</v>
      </c>
      <c r="D2686" s="1">
        <v>2835886.0</v>
      </c>
      <c r="E2686" s="1" t="s">
        <v>3238</v>
      </c>
      <c r="F2686" s="1" t="s">
        <v>12826</v>
      </c>
      <c r="G2686" s="1" t="s">
        <v>12827</v>
      </c>
      <c r="H2686" s="1" t="s">
        <v>12828</v>
      </c>
      <c r="I2686" s="1">
        <v>55516.0</v>
      </c>
      <c r="J2686" s="1" t="s">
        <v>12829</v>
      </c>
      <c r="K2686" s="1" t="s">
        <v>12830</v>
      </c>
      <c r="L2686" s="1">
        <v>124.0</v>
      </c>
      <c r="M2686" s="1" t="s">
        <v>9061</v>
      </c>
      <c r="N2686" s="1" t="s">
        <v>8105</v>
      </c>
      <c r="O2686" s="1" t="s">
        <v>9252</v>
      </c>
      <c r="P2686" s="1">
        <v>9200000.0</v>
      </c>
      <c r="Q2686" s="1">
        <v>2013.0</v>
      </c>
      <c r="R2686" s="1">
        <v>211.0</v>
      </c>
      <c r="S2686" s="1">
        <v>98.0</v>
      </c>
      <c r="T2686" s="1">
        <v>70.0</v>
      </c>
      <c r="U2686" s="1">
        <v>456.0</v>
      </c>
      <c r="V2686" s="1">
        <v>667.0</v>
      </c>
      <c r="W2686" s="1">
        <v>29000.0</v>
      </c>
      <c r="X2686" s="1">
        <v>2.0</v>
      </c>
      <c r="Y2686" s="1">
        <v>2.35</v>
      </c>
      <c r="Z2686" s="1">
        <v>7.7</v>
      </c>
    </row>
    <row r="2687" ht="14.25" customHeight="1">
      <c r="A2687" s="1" t="s">
        <v>26</v>
      </c>
      <c r="B2687" s="1" t="s">
        <v>12831</v>
      </c>
      <c r="C2687" s="1" t="s">
        <v>12832</v>
      </c>
      <c r="D2687" s="1">
        <v>1779284.0</v>
      </c>
      <c r="E2687" s="1" t="s">
        <v>2422</v>
      </c>
      <c r="F2687" s="1" t="s">
        <v>2358</v>
      </c>
      <c r="G2687" s="1" t="s">
        <v>12833</v>
      </c>
      <c r="H2687" s="1" t="s">
        <v>12834</v>
      </c>
      <c r="I2687" s="1">
        <v>12047.0</v>
      </c>
      <c r="J2687" s="1" t="s">
        <v>12835</v>
      </c>
      <c r="K2687" s="1" t="s">
        <v>12836</v>
      </c>
      <c r="L2687" s="1">
        <v>122.0</v>
      </c>
      <c r="M2687" s="1" t="s">
        <v>35</v>
      </c>
      <c r="N2687" s="1" t="s">
        <v>36</v>
      </c>
      <c r="O2687" s="1" t="s">
        <v>628</v>
      </c>
      <c r="P2687" s="1">
        <v>1.2E7</v>
      </c>
      <c r="Q2687" s="1">
        <v>2002.0</v>
      </c>
      <c r="R2687" s="1">
        <v>1000.0</v>
      </c>
      <c r="S2687" s="1">
        <v>165.0</v>
      </c>
      <c r="T2687" s="1">
        <v>77.0</v>
      </c>
      <c r="U2687" s="1">
        <v>1292.0</v>
      </c>
      <c r="V2687" s="1">
        <v>0.0</v>
      </c>
      <c r="W2687" s="1">
        <v>677.0</v>
      </c>
      <c r="X2687" s="1">
        <v>4.0</v>
      </c>
      <c r="Y2687" s="1">
        <v>1.85</v>
      </c>
      <c r="Z2687" s="1">
        <v>7.1</v>
      </c>
    </row>
    <row r="2688" ht="14.25" customHeight="1">
      <c r="A2688" s="1" t="s">
        <v>26</v>
      </c>
      <c r="B2688" s="1" t="s">
        <v>12837</v>
      </c>
      <c r="C2688" s="1" t="s">
        <v>12838</v>
      </c>
      <c r="D2688" s="1">
        <v>1702277.0</v>
      </c>
      <c r="E2688" s="1" t="s">
        <v>3868</v>
      </c>
      <c r="F2688" s="1" t="s">
        <v>12839</v>
      </c>
      <c r="G2688" s="1" t="s">
        <v>5162</v>
      </c>
      <c r="H2688" s="1" t="s">
        <v>12840</v>
      </c>
      <c r="I2688" s="1">
        <v>84620.0</v>
      </c>
      <c r="J2688" s="1" t="s">
        <v>12841</v>
      </c>
      <c r="K2688" s="1" t="s">
        <v>12842</v>
      </c>
      <c r="L2688" s="1">
        <v>235.0</v>
      </c>
      <c r="M2688" s="1" t="s">
        <v>35</v>
      </c>
      <c r="N2688" s="1" t="s">
        <v>54</v>
      </c>
      <c r="O2688" s="1" t="s">
        <v>628</v>
      </c>
      <c r="P2688" s="1">
        <v>1.2E7</v>
      </c>
      <c r="Q2688" s="1">
        <v>2013.0</v>
      </c>
      <c r="R2688" s="1">
        <v>3000.0</v>
      </c>
      <c r="S2688" s="1">
        <v>1000.0</v>
      </c>
      <c r="T2688" s="1">
        <v>520.0</v>
      </c>
      <c r="U2688" s="1">
        <v>5074.0</v>
      </c>
      <c r="V2688" s="1">
        <v>0.0</v>
      </c>
      <c r="W2688" s="1">
        <v>27000.0</v>
      </c>
      <c r="X2688" s="1">
        <v>4.0</v>
      </c>
      <c r="Y2688" s="1">
        <v>2.35</v>
      </c>
      <c r="Z2688" s="1">
        <v>6.8</v>
      </c>
    </row>
    <row r="2689" ht="14.25" customHeight="1">
      <c r="A2689" s="1" t="s">
        <v>710</v>
      </c>
      <c r="B2689" s="1" t="s">
        <v>6557</v>
      </c>
      <c r="C2689" s="1">
        <v>2046.0</v>
      </c>
      <c r="D2689" s="1">
        <v>261481.0</v>
      </c>
      <c r="E2689" s="1" t="s">
        <v>8891</v>
      </c>
      <c r="F2689" s="1" t="s">
        <v>2322</v>
      </c>
      <c r="G2689" s="1" t="s">
        <v>5792</v>
      </c>
      <c r="H2689" s="1" t="s">
        <v>5793</v>
      </c>
      <c r="I2689" s="1">
        <v>41496.0</v>
      </c>
      <c r="J2689" s="1" t="s">
        <v>12843</v>
      </c>
      <c r="K2689" s="1" t="s">
        <v>12844</v>
      </c>
      <c r="L2689" s="1">
        <v>210.0</v>
      </c>
      <c r="M2689" s="1" t="s">
        <v>6797</v>
      </c>
      <c r="N2689" s="1" t="s">
        <v>3659</v>
      </c>
      <c r="O2689" s="1" t="s">
        <v>628</v>
      </c>
      <c r="P2689" s="1">
        <v>1.2E7</v>
      </c>
      <c r="Q2689" s="1">
        <v>2004.0</v>
      </c>
      <c r="R2689" s="1">
        <v>878.0</v>
      </c>
      <c r="S2689" s="1">
        <v>643.0</v>
      </c>
      <c r="T2689" s="1">
        <v>576.0</v>
      </c>
      <c r="U2689" s="1">
        <v>2378.0</v>
      </c>
      <c r="V2689" s="1">
        <v>0.0</v>
      </c>
      <c r="W2689" s="1">
        <v>0.0</v>
      </c>
      <c r="X2689" s="1">
        <v>0.0</v>
      </c>
      <c r="Y2689" s="1">
        <v>2.35</v>
      </c>
      <c r="Z2689" s="1">
        <v>7.5</v>
      </c>
    </row>
    <row r="2690" ht="14.25" customHeight="1">
      <c r="A2690" s="1" t="s">
        <v>26</v>
      </c>
      <c r="B2690" s="1" t="s">
        <v>12845</v>
      </c>
      <c r="C2690" s="1" t="s">
        <v>12846</v>
      </c>
      <c r="D2690" s="1">
        <v>1506998.0</v>
      </c>
      <c r="E2690" s="1" t="s">
        <v>12847</v>
      </c>
      <c r="F2690" s="1" t="s">
        <v>12848</v>
      </c>
      <c r="G2690" s="1" t="s">
        <v>12849</v>
      </c>
      <c r="H2690" s="1" t="s">
        <v>12850</v>
      </c>
      <c r="I2690" s="1">
        <v>8014.0</v>
      </c>
      <c r="J2690" s="1" t="s">
        <v>12851</v>
      </c>
      <c r="K2690" s="1" t="s">
        <v>12852</v>
      </c>
      <c r="L2690" s="1">
        <v>50.0</v>
      </c>
      <c r="M2690" s="1" t="s">
        <v>35</v>
      </c>
      <c r="N2690" s="1" t="s">
        <v>36</v>
      </c>
      <c r="O2690" s="1" t="s">
        <v>37</v>
      </c>
      <c r="P2690" s="1">
        <v>1.2E7</v>
      </c>
      <c r="Q2690" s="1">
        <v>2007.0</v>
      </c>
      <c r="R2690" s="1">
        <v>60.0</v>
      </c>
      <c r="S2690" s="1">
        <v>46.0</v>
      </c>
      <c r="T2690" s="1">
        <v>18.0</v>
      </c>
      <c r="U2690" s="1">
        <v>141.0</v>
      </c>
      <c r="V2690" s="1">
        <v>60.0</v>
      </c>
      <c r="W2690" s="1">
        <v>314.0</v>
      </c>
      <c r="X2690" s="1">
        <v>4.0</v>
      </c>
      <c r="Y2690" s="1">
        <v>1.85</v>
      </c>
      <c r="Z2690" s="1">
        <v>6.3</v>
      </c>
    </row>
    <row r="2691" ht="14.25" customHeight="1">
      <c r="A2691" s="1" t="s">
        <v>26</v>
      </c>
      <c r="B2691" s="1" t="s">
        <v>12853</v>
      </c>
      <c r="C2691" s="1" t="s">
        <v>12854</v>
      </c>
      <c r="D2691" s="1">
        <v>860002.0</v>
      </c>
      <c r="E2691" s="1" t="s">
        <v>3106</v>
      </c>
      <c r="F2691" s="1" t="s">
        <v>12855</v>
      </c>
      <c r="G2691" s="1" t="s">
        <v>7541</v>
      </c>
      <c r="H2691" s="1" t="s">
        <v>1845</v>
      </c>
      <c r="I2691" s="1">
        <v>6454.0</v>
      </c>
      <c r="J2691" s="1" t="s">
        <v>12856</v>
      </c>
      <c r="K2691" s="1" t="s">
        <v>12857</v>
      </c>
      <c r="L2691" s="1">
        <v>43.0</v>
      </c>
      <c r="M2691" s="1" t="s">
        <v>35</v>
      </c>
      <c r="N2691" s="1" t="s">
        <v>36</v>
      </c>
      <c r="O2691" s="1" t="s">
        <v>87</v>
      </c>
      <c r="P2691" s="1">
        <v>1.2E7</v>
      </c>
      <c r="Q2691" s="1">
        <v>2005.0</v>
      </c>
      <c r="R2691" s="1">
        <v>706.0</v>
      </c>
      <c r="S2691" s="1">
        <v>442.0</v>
      </c>
      <c r="T2691" s="1">
        <v>393.0</v>
      </c>
      <c r="U2691" s="1">
        <v>1579.0</v>
      </c>
      <c r="V2691" s="1">
        <v>19.0</v>
      </c>
      <c r="W2691" s="1">
        <v>0.0</v>
      </c>
      <c r="X2691" s="1">
        <v>0.0</v>
      </c>
      <c r="Y2691" s="1">
        <v>1.85</v>
      </c>
      <c r="Z2691" s="1">
        <v>7.3</v>
      </c>
    </row>
    <row r="2692" ht="14.25" customHeight="1">
      <c r="A2692" s="1" t="s">
        <v>26</v>
      </c>
      <c r="B2692" s="1" t="s">
        <v>4775</v>
      </c>
      <c r="C2692" s="1" t="s">
        <v>12858</v>
      </c>
      <c r="D2692" s="1">
        <v>548934.0</v>
      </c>
      <c r="E2692" s="1" t="s">
        <v>3632</v>
      </c>
      <c r="F2692" s="1" t="s">
        <v>1169</v>
      </c>
      <c r="G2692" s="1" t="s">
        <v>3287</v>
      </c>
      <c r="H2692" s="1" t="s">
        <v>12859</v>
      </c>
      <c r="I2692" s="1">
        <v>16863.0</v>
      </c>
      <c r="J2692" s="1" t="s">
        <v>12860</v>
      </c>
      <c r="K2692" s="1" t="s">
        <v>12861</v>
      </c>
      <c r="L2692" s="1">
        <v>57.0</v>
      </c>
      <c r="M2692" s="1" t="s">
        <v>35</v>
      </c>
      <c r="N2692" s="1" t="s">
        <v>7469</v>
      </c>
      <c r="O2692" s="1" t="s">
        <v>37</v>
      </c>
      <c r="P2692" s="1">
        <v>1.2E7</v>
      </c>
      <c r="Q2692" s="1">
        <v>2009.0</v>
      </c>
      <c r="R2692" s="1">
        <v>845.0</v>
      </c>
      <c r="S2692" s="1">
        <v>327.0</v>
      </c>
      <c r="T2692" s="1">
        <v>289.0</v>
      </c>
      <c r="U2692" s="1">
        <v>1554.0</v>
      </c>
      <c r="V2692" s="1">
        <v>277.0</v>
      </c>
      <c r="W2692" s="1">
        <v>0.0</v>
      </c>
      <c r="X2692" s="1">
        <v>2.0</v>
      </c>
      <c r="Y2692" s="1">
        <v>1.85</v>
      </c>
      <c r="Z2692" s="1">
        <v>6.8</v>
      </c>
    </row>
    <row r="2693" ht="14.25" customHeight="1">
      <c r="A2693" s="1" t="s">
        <v>26</v>
      </c>
      <c r="B2693" s="1" t="s">
        <v>12862</v>
      </c>
      <c r="C2693" s="1" t="s">
        <v>12863</v>
      </c>
      <c r="D2693" s="1">
        <v>447750.0</v>
      </c>
      <c r="E2693" s="1" t="s">
        <v>2045</v>
      </c>
      <c r="F2693" s="1" t="s">
        <v>5606</v>
      </c>
      <c r="G2693" s="1" t="s">
        <v>8446</v>
      </c>
      <c r="H2693" s="1" t="s">
        <v>12864</v>
      </c>
      <c r="I2693" s="1">
        <v>18520.0</v>
      </c>
      <c r="J2693" s="1" t="s">
        <v>12865</v>
      </c>
      <c r="K2693" s="1" t="s">
        <v>12866</v>
      </c>
      <c r="L2693" s="1">
        <v>133.0</v>
      </c>
      <c r="M2693" s="1" t="s">
        <v>35</v>
      </c>
      <c r="N2693" s="1" t="s">
        <v>36</v>
      </c>
      <c r="O2693" s="1" t="s">
        <v>628</v>
      </c>
      <c r="P2693" s="1">
        <v>1.0E7</v>
      </c>
      <c r="Q2693" s="1">
        <v>2000.0</v>
      </c>
      <c r="R2693" s="1">
        <v>865.0</v>
      </c>
      <c r="S2693" s="1">
        <v>685.0</v>
      </c>
      <c r="T2693" s="1">
        <v>403.0</v>
      </c>
      <c r="U2693" s="1">
        <v>2126.0</v>
      </c>
      <c r="V2693" s="1">
        <v>0.0</v>
      </c>
      <c r="W2693" s="1">
        <v>0.0</v>
      </c>
      <c r="X2693" s="1">
        <v>0.0</v>
      </c>
      <c r="Y2693" s="1">
        <v>1.85</v>
      </c>
      <c r="Z2693" s="1">
        <v>7.2</v>
      </c>
    </row>
    <row r="2694" ht="14.25" customHeight="1">
      <c r="A2694" s="1" t="s">
        <v>26</v>
      </c>
      <c r="B2694" s="1" t="s">
        <v>212</v>
      </c>
      <c r="C2694" s="1" t="s">
        <v>12867</v>
      </c>
      <c r="D2694" s="1">
        <v>333976.0</v>
      </c>
      <c r="E2694" s="1" t="s">
        <v>972</v>
      </c>
      <c r="F2694" s="1" t="s">
        <v>1951</v>
      </c>
      <c r="G2694" s="1" t="s">
        <v>10014</v>
      </c>
      <c r="H2694" s="1" t="s">
        <v>12868</v>
      </c>
      <c r="I2694" s="1">
        <v>12559.0</v>
      </c>
      <c r="J2694" s="1" t="s">
        <v>12869</v>
      </c>
      <c r="K2694" s="1" t="s">
        <v>12870</v>
      </c>
      <c r="L2694" s="1">
        <v>90.0</v>
      </c>
      <c r="M2694" s="1" t="s">
        <v>35</v>
      </c>
      <c r="N2694" s="1" t="s">
        <v>36</v>
      </c>
      <c r="O2694" s="1" t="s">
        <v>628</v>
      </c>
      <c r="P2694" s="1">
        <v>1.2E7</v>
      </c>
      <c r="Q2694" s="1">
        <v>2002.0</v>
      </c>
      <c r="R2694" s="1">
        <v>693.0</v>
      </c>
      <c r="S2694" s="1">
        <v>534.0</v>
      </c>
      <c r="T2694" s="1">
        <v>146.0</v>
      </c>
      <c r="U2694" s="1">
        <v>1373.0</v>
      </c>
      <c r="V2694" s="1">
        <v>94.0</v>
      </c>
      <c r="W2694" s="1">
        <v>423.0</v>
      </c>
      <c r="X2694" s="1">
        <v>0.0</v>
      </c>
      <c r="Y2694" s="1">
        <v>2.35</v>
      </c>
      <c r="Z2694" s="1">
        <v>6.4</v>
      </c>
    </row>
    <row r="2695" ht="14.25" customHeight="1">
      <c r="A2695" s="1" t="s">
        <v>26</v>
      </c>
      <c r="B2695" s="1" t="s">
        <v>9335</v>
      </c>
      <c r="C2695" s="1" t="s">
        <v>12871</v>
      </c>
      <c r="D2695" s="1">
        <v>141853.0</v>
      </c>
      <c r="E2695" s="1" t="s">
        <v>2422</v>
      </c>
      <c r="F2695" s="1" t="s">
        <v>7379</v>
      </c>
      <c r="G2695" s="1" t="s">
        <v>3798</v>
      </c>
      <c r="H2695" s="1" t="s">
        <v>2818</v>
      </c>
      <c r="I2695" s="1">
        <v>1427.0</v>
      </c>
      <c r="J2695" s="1" t="s">
        <v>12872</v>
      </c>
      <c r="K2695" s="1" t="s">
        <v>12873</v>
      </c>
      <c r="L2695" s="1">
        <v>12.0</v>
      </c>
      <c r="M2695" s="1" t="s">
        <v>35</v>
      </c>
      <c r="N2695" s="1" t="s">
        <v>362</v>
      </c>
      <c r="O2695" s="1" t="s">
        <v>628</v>
      </c>
      <c r="P2695" s="1">
        <v>1.2E7</v>
      </c>
      <c r="Q2695" s="1">
        <v>1997.0</v>
      </c>
      <c r="R2695" s="1">
        <v>941.0</v>
      </c>
      <c r="S2695" s="1">
        <v>754.0</v>
      </c>
      <c r="T2695" s="1">
        <v>745.0</v>
      </c>
      <c r="U2695" s="1">
        <v>3099.0</v>
      </c>
      <c r="V2695" s="1">
        <v>0.0</v>
      </c>
      <c r="W2695" s="1">
        <v>88.0</v>
      </c>
      <c r="X2695" s="1">
        <v>2.0</v>
      </c>
      <c r="Y2695" s="1">
        <v>1.85</v>
      </c>
      <c r="Z2695" s="1">
        <v>6.0</v>
      </c>
    </row>
    <row r="2696" ht="14.25" customHeight="1">
      <c r="A2696" s="1" t="s">
        <v>26</v>
      </c>
      <c r="B2696" s="1" t="s">
        <v>11186</v>
      </c>
      <c r="C2696" s="1" t="s">
        <v>12874</v>
      </c>
      <c r="D2696" s="1">
        <v>303439.0</v>
      </c>
      <c r="E2696" s="1" t="s">
        <v>1842</v>
      </c>
      <c r="F2696" s="1" t="s">
        <v>9433</v>
      </c>
      <c r="G2696" s="1" t="s">
        <v>10298</v>
      </c>
      <c r="H2696" s="1" t="s">
        <v>10083</v>
      </c>
      <c r="I2696" s="1">
        <v>12125.0</v>
      </c>
      <c r="J2696" s="1" t="s">
        <v>12875</v>
      </c>
      <c r="K2696" s="1" t="s">
        <v>12876</v>
      </c>
      <c r="L2696" s="1">
        <v>78.0</v>
      </c>
      <c r="M2696" s="1" t="s">
        <v>35</v>
      </c>
      <c r="N2696" s="1" t="s">
        <v>36</v>
      </c>
      <c r="O2696" s="1" t="s">
        <v>628</v>
      </c>
      <c r="P2696" s="1">
        <v>8000000.0</v>
      </c>
      <c r="Q2696" s="1">
        <v>2007.0</v>
      </c>
      <c r="R2696" s="1">
        <v>797.0</v>
      </c>
      <c r="S2696" s="1">
        <v>474.0</v>
      </c>
      <c r="T2696" s="1">
        <v>350.0</v>
      </c>
      <c r="U2696" s="1">
        <v>2073.0</v>
      </c>
      <c r="V2696" s="1">
        <v>26.0</v>
      </c>
      <c r="W2696" s="1">
        <v>1000.0</v>
      </c>
      <c r="X2696" s="1">
        <v>2.0</v>
      </c>
      <c r="Y2696" s="1">
        <v>2.35</v>
      </c>
      <c r="Z2696" s="1">
        <v>6.4</v>
      </c>
    </row>
    <row r="2697" ht="14.25" customHeight="1">
      <c r="A2697" s="1" t="s">
        <v>26</v>
      </c>
      <c r="B2697" s="1" t="s">
        <v>12877</v>
      </c>
      <c r="C2697" s="1" t="s">
        <v>12878</v>
      </c>
      <c r="D2697" s="1">
        <v>214202.0</v>
      </c>
      <c r="E2697" s="1" t="s">
        <v>2045</v>
      </c>
      <c r="F2697" s="1" t="s">
        <v>719</v>
      </c>
      <c r="G2697" s="1" t="s">
        <v>12307</v>
      </c>
      <c r="H2697" s="1" t="s">
        <v>12859</v>
      </c>
      <c r="I2697" s="1">
        <v>14831.0</v>
      </c>
      <c r="J2697" s="1" t="s">
        <v>12879</v>
      </c>
      <c r="K2697" s="1" t="s">
        <v>12880</v>
      </c>
      <c r="L2697" s="1">
        <v>75.0</v>
      </c>
      <c r="M2697" s="1" t="s">
        <v>35</v>
      </c>
      <c r="N2697" s="1" t="s">
        <v>730</v>
      </c>
      <c r="O2697" s="1" t="s">
        <v>628</v>
      </c>
      <c r="P2697" s="1">
        <v>1.2E7</v>
      </c>
      <c r="Q2697" s="1">
        <v>2007.0</v>
      </c>
      <c r="R2697" s="1">
        <v>662.0</v>
      </c>
      <c r="S2697" s="1">
        <v>345.0</v>
      </c>
      <c r="T2697" s="1">
        <v>289.0</v>
      </c>
      <c r="U2697" s="1">
        <v>1952.0</v>
      </c>
      <c r="V2697" s="1">
        <v>7.0</v>
      </c>
      <c r="W2697" s="1">
        <v>0.0</v>
      </c>
      <c r="X2697" s="1">
        <v>0.0</v>
      </c>
      <c r="Y2697" s="1">
        <v>2.35</v>
      </c>
      <c r="Z2697" s="1">
        <v>7.5</v>
      </c>
    </row>
    <row r="2698" ht="14.25" customHeight="1">
      <c r="A2698" s="1" t="s">
        <v>26</v>
      </c>
      <c r="B2698" s="1" t="s">
        <v>12881</v>
      </c>
      <c r="C2698" s="1" t="s">
        <v>12882</v>
      </c>
      <c r="D2698" s="1">
        <v>195888.0</v>
      </c>
      <c r="E2698" s="1" t="s">
        <v>6860</v>
      </c>
      <c r="F2698" s="1" t="s">
        <v>12883</v>
      </c>
      <c r="G2698" s="1" t="s">
        <v>12884</v>
      </c>
      <c r="H2698" s="1" t="s">
        <v>12885</v>
      </c>
      <c r="I2698" s="1">
        <v>5603.0</v>
      </c>
      <c r="J2698" s="1" t="s">
        <v>12886</v>
      </c>
      <c r="K2698" s="1" t="s">
        <v>12887</v>
      </c>
      <c r="L2698" s="1">
        <v>45.0</v>
      </c>
      <c r="M2698" s="1" t="s">
        <v>12888</v>
      </c>
      <c r="N2698" s="1" t="s">
        <v>10086</v>
      </c>
      <c r="O2698" s="1" t="s">
        <v>628</v>
      </c>
      <c r="P2698" s="1">
        <v>2.5E9</v>
      </c>
      <c r="Q2698" s="1">
        <v>2005.0</v>
      </c>
      <c r="R2698" s="1">
        <v>9.0</v>
      </c>
      <c r="S2698" s="1">
        <v>2.0</v>
      </c>
      <c r="T2698" s="1">
        <v>0.0</v>
      </c>
      <c r="U2698" s="1">
        <v>11.0</v>
      </c>
      <c r="V2698" s="1">
        <v>45.0</v>
      </c>
      <c r="W2698" s="1">
        <v>607.0</v>
      </c>
      <c r="X2698" s="1">
        <v>0.0</v>
      </c>
      <c r="Y2698" s="1">
        <v>2.35</v>
      </c>
      <c r="Z2698" s="1">
        <v>7.1</v>
      </c>
    </row>
    <row r="2699" ht="14.25" customHeight="1">
      <c r="A2699" s="1" t="s">
        <v>26</v>
      </c>
      <c r="B2699" s="1" t="s">
        <v>12889</v>
      </c>
      <c r="C2699" s="1" t="s">
        <v>12890</v>
      </c>
      <c r="D2699" s="1">
        <v>175370.0</v>
      </c>
      <c r="E2699" s="1" t="s">
        <v>1885</v>
      </c>
      <c r="F2699" s="1" t="s">
        <v>941</v>
      </c>
      <c r="G2699" s="1" t="s">
        <v>233</v>
      </c>
      <c r="H2699" s="1" t="s">
        <v>5606</v>
      </c>
      <c r="I2699" s="1">
        <v>6884.0</v>
      </c>
      <c r="J2699" s="1" t="s">
        <v>12891</v>
      </c>
      <c r="K2699" s="1" t="s">
        <v>12892</v>
      </c>
      <c r="L2699" s="1">
        <v>133.0</v>
      </c>
      <c r="M2699" s="1" t="s">
        <v>35</v>
      </c>
      <c r="N2699" s="1" t="s">
        <v>36</v>
      </c>
      <c r="O2699" s="1" t="s">
        <v>628</v>
      </c>
      <c r="P2699" s="1">
        <v>1.2E7</v>
      </c>
      <c r="Q2699" s="1">
        <v>1999.0</v>
      </c>
      <c r="R2699" s="1">
        <v>13000.0</v>
      </c>
      <c r="S2699" s="1">
        <v>883.0</v>
      </c>
      <c r="T2699" s="1">
        <v>865.0</v>
      </c>
      <c r="U2699" s="1">
        <v>17417.0</v>
      </c>
      <c r="V2699" s="1">
        <v>18.0</v>
      </c>
      <c r="W2699" s="1">
        <v>458.0</v>
      </c>
      <c r="X2699" s="1">
        <v>1.0</v>
      </c>
      <c r="Y2699" s="1">
        <v>1.85</v>
      </c>
      <c r="Z2699" s="1">
        <v>4.6</v>
      </c>
    </row>
    <row r="2700" ht="14.25" customHeight="1">
      <c r="A2700" s="1" t="s">
        <v>710</v>
      </c>
      <c r="B2700" s="1" t="s">
        <v>12893</v>
      </c>
      <c r="C2700" s="1" t="s">
        <v>12894</v>
      </c>
      <c r="D2700" s="1">
        <v>119922.0</v>
      </c>
      <c r="E2700" s="1" t="s">
        <v>1880</v>
      </c>
      <c r="F2700" s="1" t="s">
        <v>5594</v>
      </c>
      <c r="G2700" s="1" t="s">
        <v>12895</v>
      </c>
      <c r="H2700" s="1" t="s">
        <v>12896</v>
      </c>
      <c r="I2700" s="1">
        <v>8429.0</v>
      </c>
      <c r="J2700" s="1" t="s">
        <v>12897</v>
      </c>
      <c r="K2700" s="1" t="s">
        <v>12898</v>
      </c>
      <c r="L2700" s="1">
        <v>62.0</v>
      </c>
      <c r="M2700" s="1" t="s">
        <v>1864</v>
      </c>
      <c r="N2700" s="1" t="s">
        <v>855</v>
      </c>
      <c r="O2700" s="1" t="s">
        <v>628</v>
      </c>
      <c r="P2700" s="1">
        <v>1.2E7</v>
      </c>
      <c r="Q2700" s="1">
        <v>2009.0</v>
      </c>
      <c r="R2700" s="1">
        <v>52.0</v>
      </c>
      <c r="S2700" s="1">
        <v>32.0</v>
      </c>
      <c r="T2700" s="1">
        <v>3.0</v>
      </c>
      <c r="U2700" s="1">
        <v>91.0</v>
      </c>
      <c r="V2700" s="1">
        <v>14.0</v>
      </c>
      <c r="W2700" s="1">
        <v>0.0</v>
      </c>
      <c r="X2700" s="1">
        <v>0.0</v>
      </c>
      <c r="Y2700" s="1">
        <v>2.35</v>
      </c>
      <c r="Z2700" s="1">
        <v>7.7</v>
      </c>
    </row>
    <row r="2701" ht="14.25" customHeight="1">
      <c r="A2701" s="1" t="s">
        <v>26</v>
      </c>
      <c r="B2701" s="1" t="s">
        <v>1130</v>
      </c>
      <c r="C2701" s="1" t="s">
        <v>1131</v>
      </c>
      <c r="D2701" s="1">
        <v>1.77343675E8</v>
      </c>
      <c r="E2701" s="1" t="s">
        <v>1132</v>
      </c>
      <c r="F2701" s="1" t="s">
        <v>1133</v>
      </c>
      <c r="G2701" s="1" t="s">
        <v>1134</v>
      </c>
      <c r="H2701" s="1" t="s">
        <v>1135</v>
      </c>
      <c r="I2701" s="1">
        <v>70133.0</v>
      </c>
      <c r="J2701" s="1" t="s">
        <v>1136</v>
      </c>
      <c r="K2701" s="1" t="s">
        <v>1137</v>
      </c>
      <c r="L2701" s="1">
        <v>214.0</v>
      </c>
      <c r="M2701" s="1" t="s">
        <v>35</v>
      </c>
      <c r="N2701" s="1" t="s">
        <v>36</v>
      </c>
      <c r="O2701" s="1" t="s">
        <v>87</v>
      </c>
      <c r="P2701" s="1">
        <v>1.35E8</v>
      </c>
      <c r="Q2701" s="1">
        <v>2015.0</v>
      </c>
      <c r="R2701" s="1">
        <v>17000.0</v>
      </c>
      <c r="S2701" s="1">
        <v>523.0</v>
      </c>
      <c r="T2701" s="1">
        <v>183.0</v>
      </c>
      <c r="U2701" s="1">
        <v>17883.0</v>
      </c>
      <c r="V2701" s="1">
        <v>12.0</v>
      </c>
      <c r="W2701" s="1">
        <v>26000.0</v>
      </c>
      <c r="X2701" s="1">
        <v>0.0</v>
      </c>
      <c r="Y2701" s="1">
        <v>1.85</v>
      </c>
      <c r="Z2701" s="1">
        <v>6.7</v>
      </c>
    </row>
    <row r="2702" ht="14.25" customHeight="1">
      <c r="A2702" s="1" t="s">
        <v>26</v>
      </c>
      <c r="B2702" s="1" t="s">
        <v>1985</v>
      </c>
      <c r="C2702" s="1" t="s">
        <v>12899</v>
      </c>
      <c r="D2702" s="1">
        <v>17149.0</v>
      </c>
      <c r="E2702" s="1" t="s">
        <v>1402</v>
      </c>
      <c r="F2702" s="1" t="s">
        <v>366</v>
      </c>
      <c r="G2702" s="1" t="s">
        <v>12900</v>
      </c>
      <c r="H2702" s="1" t="s">
        <v>12901</v>
      </c>
      <c r="I2702" s="1">
        <v>12128.0</v>
      </c>
      <c r="J2702" s="1" t="s">
        <v>12902</v>
      </c>
      <c r="K2702" s="1" t="s">
        <v>12903</v>
      </c>
      <c r="L2702" s="1">
        <v>61.0</v>
      </c>
      <c r="M2702" s="1" t="s">
        <v>35</v>
      </c>
      <c r="N2702" s="1" t="s">
        <v>12904</v>
      </c>
      <c r="O2702" s="1" t="s">
        <v>628</v>
      </c>
      <c r="P2702" s="1">
        <v>2.0E7</v>
      </c>
      <c r="Q2702" s="1">
        <v>2011.0</v>
      </c>
      <c r="R2702" s="1">
        <v>567.0</v>
      </c>
      <c r="S2702" s="1">
        <v>111.0</v>
      </c>
      <c r="T2702" s="1">
        <v>18.0</v>
      </c>
      <c r="U2702" s="1">
        <v>708.0</v>
      </c>
      <c r="V2702" s="1">
        <v>212.0</v>
      </c>
      <c r="W2702" s="1">
        <v>0.0</v>
      </c>
      <c r="X2702" s="1">
        <v>9.0</v>
      </c>
      <c r="Y2702" s="1">
        <v>2.35</v>
      </c>
      <c r="Z2702" s="1">
        <v>5.6</v>
      </c>
    </row>
    <row r="2703" ht="14.25" customHeight="1">
      <c r="A2703" s="1" t="s">
        <v>26</v>
      </c>
      <c r="B2703" s="1" t="s">
        <v>1238</v>
      </c>
      <c r="C2703" s="1" t="s">
        <v>12905</v>
      </c>
      <c r="D2703" s="1">
        <v>3.0093107E7</v>
      </c>
      <c r="E2703" s="1" t="s">
        <v>972</v>
      </c>
      <c r="F2703" s="1" t="s">
        <v>327</v>
      </c>
      <c r="G2703" s="1" t="s">
        <v>335</v>
      </c>
      <c r="H2703" s="1" t="s">
        <v>651</v>
      </c>
      <c r="I2703" s="1">
        <v>600996.0</v>
      </c>
      <c r="J2703" s="1" t="s">
        <v>12906</v>
      </c>
      <c r="K2703" s="1" t="s">
        <v>12907</v>
      </c>
      <c r="L2703" s="1">
        <v>726.0</v>
      </c>
      <c r="M2703" s="1" t="s">
        <v>35</v>
      </c>
      <c r="N2703" s="1" t="s">
        <v>54</v>
      </c>
      <c r="O2703" s="1" t="s">
        <v>628</v>
      </c>
      <c r="P2703" s="1">
        <v>6000000.0</v>
      </c>
      <c r="Q2703" s="1">
        <v>2000.0</v>
      </c>
      <c r="R2703" s="1">
        <v>26000.0</v>
      </c>
      <c r="S2703" s="1">
        <v>11000.0</v>
      </c>
      <c r="T2703" s="1">
        <v>1000.0</v>
      </c>
      <c r="U2703" s="1">
        <v>39175.0</v>
      </c>
      <c r="V2703" s="1">
        <v>0.0</v>
      </c>
      <c r="W2703" s="1">
        <v>27000.0</v>
      </c>
      <c r="X2703" s="1">
        <v>6.0</v>
      </c>
      <c r="Y2703" s="1">
        <v>1.85</v>
      </c>
      <c r="Z2703" s="1">
        <v>8.3</v>
      </c>
    </row>
    <row r="2704" ht="14.25" customHeight="1">
      <c r="A2704" s="1" t="s">
        <v>26</v>
      </c>
      <c r="B2704" s="1" t="s">
        <v>11864</v>
      </c>
      <c r="C2704" s="1" t="s">
        <v>12908</v>
      </c>
      <c r="D2704" s="1">
        <v>5.7469179E7</v>
      </c>
      <c r="E2704" s="1" t="s">
        <v>6959</v>
      </c>
      <c r="F2704" s="1" t="s">
        <v>3462</v>
      </c>
      <c r="G2704" s="1" t="s">
        <v>5257</v>
      </c>
      <c r="H2704" s="1" t="s">
        <v>12909</v>
      </c>
      <c r="I2704" s="1">
        <v>63855.0</v>
      </c>
      <c r="J2704" s="1" t="s">
        <v>12910</v>
      </c>
      <c r="K2704" s="1" t="s">
        <v>12911</v>
      </c>
      <c r="L2704" s="1">
        <v>248.0</v>
      </c>
      <c r="M2704" s="1" t="s">
        <v>35</v>
      </c>
      <c r="N2704" s="1" t="s">
        <v>36</v>
      </c>
      <c r="O2704" s="1" t="s">
        <v>628</v>
      </c>
      <c r="P2704" s="1">
        <v>1.15E7</v>
      </c>
      <c r="Q2704" s="1">
        <v>1989.0</v>
      </c>
      <c r="R2704" s="1">
        <v>969.0</v>
      </c>
      <c r="S2704" s="1">
        <v>886.0</v>
      </c>
      <c r="T2704" s="1">
        <v>426.0</v>
      </c>
      <c r="U2704" s="1">
        <v>2987.0</v>
      </c>
      <c r="V2704" s="1">
        <v>52.0</v>
      </c>
      <c r="W2704" s="1">
        <v>0.0</v>
      </c>
      <c r="X2704" s="1">
        <v>0.0</v>
      </c>
      <c r="Y2704" s="1">
        <v>1.85</v>
      </c>
      <c r="Z2704" s="1">
        <v>6.6</v>
      </c>
    </row>
    <row r="2705" ht="14.25" customHeight="1">
      <c r="A2705" s="1" t="s">
        <v>26</v>
      </c>
      <c r="B2705" s="1" t="s">
        <v>2700</v>
      </c>
      <c r="C2705" s="1" t="s">
        <v>12912</v>
      </c>
      <c r="D2705" s="1">
        <v>1.4817E8</v>
      </c>
      <c r="E2705" s="1" t="s">
        <v>846</v>
      </c>
      <c r="F2705" s="1" t="s">
        <v>4965</v>
      </c>
      <c r="G2705" s="1" t="s">
        <v>12913</v>
      </c>
      <c r="H2705" s="1" t="s">
        <v>12914</v>
      </c>
      <c r="I2705" s="1">
        <v>142293.0</v>
      </c>
      <c r="J2705" s="1" t="s">
        <v>12915</v>
      </c>
      <c r="K2705" s="1" t="s">
        <v>12916</v>
      </c>
      <c r="L2705" s="1">
        <v>245.0</v>
      </c>
      <c r="M2705" s="1" t="s">
        <v>35</v>
      </c>
      <c r="N2705" s="1" t="s">
        <v>36</v>
      </c>
      <c r="O2705" s="1" t="s">
        <v>87</v>
      </c>
      <c r="P2705" s="1">
        <v>1.1E7</v>
      </c>
      <c r="Q2705" s="1">
        <v>1984.0</v>
      </c>
      <c r="R2705" s="1">
        <v>767.0</v>
      </c>
      <c r="S2705" s="1">
        <v>281.0</v>
      </c>
      <c r="T2705" s="1">
        <v>233.0</v>
      </c>
      <c r="U2705" s="1">
        <v>2053.0</v>
      </c>
      <c r="V2705" s="1">
        <v>287.0</v>
      </c>
      <c r="W2705" s="1">
        <v>14000.0</v>
      </c>
      <c r="X2705" s="1">
        <v>0.0</v>
      </c>
      <c r="Y2705" s="1">
        <v>2.2</v>
      </c>
      <c r="Z2705" s="1">
        <v>7.2</v>
      </c>
    </row>
    <row r="2706" ht="14.25" customHeight="1">
      <c r="A2706" s="1" t="s">
        <v>26</v>
      </c>
      <c r="B2706" s="1" t="s">
        <v>1376</v>
      </c>
      <c r="C2706" s="1" t="s">
        <v>12917</v>
      </c>
      <c r="D2706" s="1">
        <v>4.60935665E8</v>
      </c>
      <c r="E2706" s="1" t="s">
        <v>29</v>
      </c>
      <c r="F2706" s="1" t="s">
        <v>383</v>
      </c>
      <c r="G2706" s="1" t="s">
        <v>12918</v>
      </c>
      <c r="H2706" s="1" t="s">
        <v>7362</v>
      </c>
      <c r="I2706" s="1">
        <v>911097.0</v>
      </c>
      <c r="J2706" s="1" t="s">
        <v>12919</v>
      </c>
      <c r="K2706" s="1" t="s">
        <v>12920</v>
      </c>
      <c r="L2706" s="1">
        <v>1470.0</v>
      </c>
      <c r="M2706" s="1" t="s">
        <v>35</v>
      </c>
      <c r="N2706" s="1" t="s">
        <v>36</v>
      </c>
      <c r="O2706" s="1" t="s">
        <v>87</v>
      </c>
      <c r="P2706" s="1">
        <v>1.1E7</v>
      </c>
      <c r="Q2706" s="1">
        <v>1977.0</v>
      </c>
      <c r="R2706" s="1">
        <v>11000.0</v>
      </c>
      <c r="S2706" s="1">
        <v>1000.0</v>
      </c>
      <c r="T2706" s="1">
        <v>504.0</v>
      </c>
      <c r="U2706" s="1">
        <v>13485.0</v>
      </c>
      <c r="V2706" s="1">
        <v>0.0</v>
      </c>
      <c r="W2706" s="1">
        <v>33000.0</v>
      </c>
      <c r="X2706" s="1">
        <v>1.0</v>
      </c>
      <c r="Y2706" s="1">
        <v>2.35</v>
      </c>
      <c r="Z2706" s="1">
        <v>8.7</v>
      </c>
    </row>
    <row r="2707" ht="14.25" customHeight="1">
      <c r="A2707" s="1" t="s">
        <v>26</v>
      </c>
      <c r="B2707" s="1" t="s">
        <v>12921</v>
      </c>
      <c r="C2707" s="1" t="s">
        <v>12922</v>
      </c>
      <c r="D2707" s="1">
        <v>3.5537564E7</v>
      </c>
      <c r="E2707" s="1" t="s">
        <v>1885</v>
      </c>
      <c r="F2707" s="1" t="s">
        <v>1663</v>
      </c>
      <c r="G2707" s="1" t="s">
        <v>5163</v>
      </c>
      <c r="H2707" s="1" t="s">
        <v>12923</v>
      </c>
      <c r="I2707" s="1">
        <v>49671.0</v>
      </c>
      <c r="J2707" s="1" t="s">
        <v>12924</v>
      </c>
      <c r="K2707" s="1" t="s">
        <v>12925</v>
      </c>
      <c r="L2707" s="1">
        <v>166.0</v>
      </c>
      <c r="M2707" s="1" t="s">
        <v>35</v>
      </c>
      <c r="N2707" s="1" t="s">
        <v>36</v>
      </c>
      <c r="O2707" s="1" t="s">
        <v>628</v>
      </c>
      <c r="P2707" s="1">
        <v>1.15E7</v>
      </c>
      <c r="Q2707" s="1">
        <v>2016.0</v>
      </c>
      <c r="R2707" s="1">
        <v>22000.0</v>
      </c>
      <c r="S2707" s="1">
        <v>851.0</v>
      </c>
      <c r="T2707" s="1">
        <v>411.0</v>
      </c>
      <c r="U2707" s="1">
        <v>24063.0</v>
      </c>
      <c r="V2707" s="1">
        <v>11.0</v>
      </c>
      <c r="W2707" s="1">
        <v>11000.0</v>
      </c>
      <c r="X2707" s="1">
        <v>1.0</v>
      </c>
      <c r="Y2707" s="1">
        <v>2.35</v>
      </c>
      <c r="Z2707" s="1">
        <v>6.0</v>
      </c>
    </row>
    <row r="2708" ht="14.25" customHeight="1">
      <c r="A2708" s="1" t="s">
        <v>26</v>
      </c>
      <c r="B2708" s="1" t="s">
        <v>8421</v>
      </c>
      <c r="C2708" s="1" t="s">
        <v>12926</v>
      </c>
      <c r="D2708" s="1">
        <v>1.11722E8</v>
      </c>
      <c r="E2708" s="1" t="s">
        <v>6860</v>
      </c>
      <c r="F2708" s="1" t="s">
        <v>10910</v>
      </c>
      <c r="G2708" s="1" t="s">
        <v>12927</v>
      </c>
      <c r="H2708" s="1" t="s">
        <v>6341</v>
      </c>
      <c r="I2708" s="1">
        <v>55816.0</v>
      </c>
      <c r="J2708" s="1" t="s">
        <v>12928</v>
      </c>
      <c r="K2708" s="1" t="s">
        <v>12929</v>
      </c>
      <c r="L2708" s="1">
        <v>255.0</v>
      </c>
      <c r="M2708" s="1" t="s">
        <v>35</v>
      </c>
      <c r="N2708" s="1" t="s">
        <v>36</v>
      </c>
      <c r="O2708" s="1" t="s">
        <v>37</v>
      </c>
      <c r="P2708" s="1">
        <v>1.1E7</v>
      </c>
      <c r="Q2708" s="1">
        <v>1965.0</v>
      </c>
      <c r="R2708" s="1">
        <v>597.0</v>
      </c>
      <c r="S2708" s="1">
        <v>396.0</v>
      </c>
      <c r="T2708" s="1">
        <v>382.0</v>
      </c>
      <c r="U2708" s="1">
        <v>1966.0</v>
      </c>
      <c r="V2708" s="1">
        <v>767.0</v>
      </c>
      <c r="W2708" s="1">
        <v>7000.0</v>
      </c>
      <c r="X2708" s="1">
        <v>2.0</v>
      </c>
      <c r="Y2708" s="1">
        <v>2.35</v>
      </c>
      <c r="Z2708" s="1">
        <v>8.0</v>
      </c>
    </row>
    <row r="2709" ht="14.25" customHeight="1">
      <c r="A2709" s="1" t="s">
        <v>26</v>
      </c>
      <c r="B2709" s="1" t="s">
        <v>3859</v>
      </c>
      <c r="C2709" s="1" t="s">
        <v>12930</v>
      </c>
      <c r="D2709" s="1">
        <v>9.0556401E7</v>
      </c>
      <c r="E2709" s="1" t="s">
        <v>2875</v>
      </c>
      <c r="F2709" s="1" t="s">
        <v>10002</v>
      </c>
      <c r="G2709" s="1" t="s">
        <v>7143</v>
      </c>
      <c r="H2709" s="1" t="s">
        <v>10819</v>
      </c>
      <c r="I2709" s="1">
        <v>43795.0</v>
      </c>
      <c r="J2709" s="1" t="s">
        <v>12931</v>
      </c>
      <c r="K2709" s="1" t="s">
        <v>12932</v>
      </c>
      <c r="L2709" s="1">
        <v>171.0</v>
      </c>
      <c r="M2709" s="1" t="s">
        <v>35</v>
      </c>
      <c r="N2709" s="1" t="s">
        <v>36</v>
      </c>
      <c r="O2709" s="1" t="s">
        <v>269</v>
      </c>
      <c r="P2709" s="1">
        <v>1.1E7</v>
      </c>
      <c r="Q2709" s="1">
        <v>2008.0</v>
      </c>
      <c r="R2709" s="1">
        <v>755.0</v>
      </c>
      <c r="S2709" s="1">
        <v>734.0</v>
      </c>
      <c r="T2709" s="1">
        <v>632.0</v>
      </c>
      <c r="U2709" s="1">
        <v>3507.0</v>
      </c>
      <c r="V2709" s="1">
        <v>197.0</v>
      </c>
      <c r="W2709" s="1">
        <v>0.0</v>
      </c>
      <c r="X2709" s="1">
        <v>1.0</v>
      </c>
      <c r="Y2709" s="1">
        <v>1.85</v>
      </c>
      <c r="Z2709" s="1">
        <v>4.5</v>
      </c>
    </row>
    <row r="2710" ht="14.25" customHeight="1">
      <c r="A2710" s="1" t="s">
        <v>26</v>
      </c>
      <c r="B2710" s="1" t="s">
        <v>3954</v>
      </c>
      <c r="C2710" s="1" t="s">
        <v>12933</v>
      </c>
      <c r="D2710" s="1">
        <v>9.3571803E7</v>
      </c>
      <c r="E2710" s="1" t="s">
        <v>1557</v>
      </c>
      <c r="F2710" s="1" t="s">
        <v>59</v>
      </c>
      <c r="G2710" s="1" t="s">
        <v>12934</v>
      </c>
      <c r="H2710" s="1" t="s">
        <v>7253</v>
      </c>
      <c r="I2710" s="1">
        <v>275869.0</v>
      </c>
      <c r="J2710" s="1" t="s">
        <v>12935</v>
      </c>
      <c r="K2710" s="1" t="s">
        <v>12936</v>
      </c>
      <c r="L2710" s="1">
        <v>389.0</v>
      </c>
      <c r="M2710" s="1" t="s">
        <v>35</v>
      </c>
      <c r="N2710" s="1" t="s">
        <v>36</v>
      </c>
      <c r="O2710" s="1" t="s">
        <v>628</v>
      </c>
      <c r="P2710" s="1">
        <v>2.5E7</v>
      </c>
      <c r="Q2710" s="1">
        <v>2010.0</v>
      </c>
      <c r="R2710" s="1">
        <v>23000.0</v>
      </c>
      <c r="S2710" s="1">
        <v>238.0</v>
      </c>
      <c r="T2710" s="1">
        <v>141.0</v>
      </c>
      <c r="U2710" s="1">
        <v>23811.0</v>
      </c>
      <c r="V2710" s="1">
        <v>737.0</v>
      </c>
      <c r="W2710" s="1">
        <v>36000.0</v>
      </c>
      <c r="X2710" s="1">
        <v>2.0</v>
      </c>
      <c r="Y2710" s="1">
        <v>2.35</v>
      </c>
      <c r="Z2710" s="1">
        <v>7.9</v>
      </c>
    </row>
    <row r="2711" ht="14.25" customHeight="1">
      <c r="A2711" s="1" t="s">
        <v>26</v>
      </c>
      <c r="B2711" s="1" t="s">
        <v>6543</v>
      </c>
      <c r="C2711" s="1" t="s">
        <v>12937</v>
      </c>
      <c r="D2711" s="1">
        <v>5.2929168E7</v>
      </c>
      <c r="E2711" s="1" t="s">
        <v>972</v>
      </c>
      <c r="F2711" s="1" t="s">
        <v>5257</v>
      </c>
      <c r="G2711" s="1" t="s">
        <v>2200</v>
      </c>
      <c r="H2711" s="1" t="s">
        <v>12938</v>
      </c>
      <c r="I2711" s="1">
        <v>82743.0</v>
      </c>
      <c r="J2711" s="1" t="s">
        <v>12939</v>
      </c>
      <c r="K2711" s="1" t="s">
        <v>12940</v>
      </c>
      <c r="L2711" s="1">
        <v>201.0</v>
      </c>
      <c r="M2711" s="1" t="s">
        <v>35</v>
      </c>
      <c r="N2711" s="1" t="s">
        <v>36</v>
      </c>
      <c r="O2711" s="1" t="s">
        <v>628</v>
      </c>
      <c r="P2711" s="1">
        <v>1.1E7</v>
      </c>
      <c r="Q2711" s="1">
        <v>1992.0</v>
      </c>
      <c r="R2711" s="1">
        <v>886.0</v>
      </c>
      <c r="S2711" s="1">
        <v>655.0</v>
      </c>
      <c r="T2711" s="1">
        <v>633.0</v>
      </c>
      <c r="U2711" s="1">
        <v>3280.0</v>
      </c>
      <c r="V2711" s="1">
        <v>36.0</v>
      </c>
      <c r="W2711" s="1">
        <v>7000.0</v>
      </c>
      <c r="X2711" s="1">
        <v>1.0</v>
      </c>
      <c r="Y2711" s="1">
        <v>1.85</v>
      </c>
      <c r="Z2711" s="1">
        <v>7.5</v>
      </c>
    </row>
    <row r="2712" ht="14.25" customHeight="1">
      <c r="A2712" s="1" t="s">
        <v>26</v>
      </c>
      <c r="B2712" s="1" t="s">
        <v>12941</v>
      </c>
      <c r="C2712" s="1" t="s">
        <v>12942</v>
      </c>
      <c r="D2712" s="1">
        <v>5.0461335E7</v>
      </c>
      <c r="E2712" s="1" t="s">
        <v>12943</v>
      </c>
      <c r="F2712" s="1" t="s">
        <v>475</v>
      </c>
      <c r="G2712" s="1" t="s">
        <v>336</v>
      </c>
      <c r="H2712" s="1" t="s">
        <v>1265</v>
      </c>
      <c r="I2712" s="1">
        <v>83893.0</v>
      </c>
      <c r="J2712" s="1" t="s">
        <v>12944</v>
      </c>
      <c r="K2712" s="1" t="s">
        <v>12945</v>
      </c>
      <c r="L2712" s="1">
        <v>132.0</v>
      </c>
      <c r="M2712" s="1" t="s">
        <v>35</v>
      </c>
      <c r="N2712" s="1" t="s">
        <v>36</v>
      </c>
      <c r="O2712" s="1" t="s">
        <v>37</v>
      </c>
      <c r="P2712" s="1">
        <v>1.1E7</v>
      </c>
      <c r="Q2712" s="1">
        <v>2014.0</v>
      </c>
      <c r="R2712" s="1">
        <v>17000.0</v>
      </c>
      <c r="S2712" s="1">
        <v>1000.0</v>
      </c>
      <c r="T2712" s="1">
        <v>602.0</v>
      </c>
      <c r="U2712" s="1">
        <v>20466.0</v>
      </c>
      <c r="V2712" s="1">
        <v>15.0</v>
      </c>
      <c r="W2712" s="1">
        <v>15000.0</v>
      </c>
      <c r="X2712" s="1">
        <v>3.0</v>
      </c>
      <c r="Y2712" s="1">
        <v>2.35</v>
      </c>
      <c r="Z2712" s="1">
        <v>6.8</v>
      </c>
    </row>
    <row r="2713" ht="14.25" customHeight="1">
      <c r="A2713" s="1" t="s">
        <v>26</v>
      </c>
      <c r="B2713" s="1" t="s">
        <v>12946</v>
      </c>
      <c r="C2713" s="1" t="s">
        <v>12947</v>
      </c>
      <c r="D2713" s="1">
        <v>4.9797148E7</v>
      </c>
      <c r="E2713" s="1" t="s">
        <v>3714</v>
      </c>
      <c r="F2713" s="1" t="s">
        <v>11880</v>
      </c>
      <c r="G2713" s="1" t="s">
        <v>5388</v>
      </c>
      <c r="H2713" s="1" t="s">
        <v>1023</v>
      </c>
      <c r="I2713" s="1">
        <v>49007.0</v>
      </c>
      <c r="J2713" s="1" t="s">
        <v>12948</v>
      </c>
      <c r="K2713" s="1" t="s">
        <v>12949</v>
      </c>
      <c r="L2713" s="1">
        <v>97.0</v>
      </c>
      <c r="M2713" s="1" t="s">
        <v>35</v>
      </c>
      <c r="N2713" s="1" t="s">
        <v>36</v>
      </c>
      <c r="O2713" s="1" t="s">
        <v>628</v>
      </c>
      <c r="P2713" s="1">
        <v>1.1E7</v>
      </c>
      <c r="Q2713" s="1">
        <v>1989.0</v>
      </c>
      <c r="R2713" s="1">
        <v>1000.0</v>
      </c>
      <c r="S2713" s="1">
        <v>854.0</v>
      </c>
      <c r="T2713" s="1">
        <v>808.0</v>
      </c>
      <c r="U2713" s="1">
        <v>3435.0</v>
      </c>
      <c r="V2713" s="1">
        <v>42.0</v>
      </c>
      <c r="W2713" s="1">
        <v>0.0</v>
      </c>
      <c r="X2713" s="1">
        <v>3.0</v>
      </c>
      <c r="Y2713" s="1">
        <v>1.85</v>
      </c>
      <c r="Z2713" s="1">
        <v>7.2</v>
      </c>
    </row>
    <row r="2714" ht="14.25" customHeight="1">
      <c r="A2714" s="1" t="s">
        <v>26</v>
      </c>
      <c r="B2714" s="1" t="s">
        <v>1268</v>
      </c>
      <c r="C2714" s="1" t="s">
        <v>12950</v>
      </c>
      <c r="D2714" s="1">
        <v>4.6563158E7</v>
      </c>
      <c r="E2714" s="1" t="s">
        <v>1458</v>
      </c>
      <c r="F2714" s="1" t="s">
        <v>3201</v>
      </c>
      <c r="G2714" s="1" t="s">
        <v>12951</v>
      </c>
      <c r="H2714" s="1" t="s">
        <v>7124</v>
      </c>
      <c r="I2714" s="1">
        <v>207934.0</v>
      </c>
      <c r="J2714" s="1" t="s">
        <v>12952</v>
      </c>
      <c r="K2714" s="1" t="s">
        <v>12953</v>
      </c>
      <c r="L2714" s="1">
        <v>629.0</v>
      </c>
      <c r="M2714" s="1" t="s">
        <v>35</v>
      </c>
      <c r="N2714" s="1" t="s">
        <v>36</v>
      </c>
      <c r="O2714" s="1" t="s">
        <v>628</v>
      </c>
      <c r="P2714" s="1">
        <v>1.3E7</v>
      </c>
      <c r="Q2714" s="1">
        <v>2002.0</v>
      </c>
      <c r="R2714" s="1">
        <v>991.0</v>
      </c>
      <c r="S2714" s="1">
        <v>465.0</v>
      </c>
      <c r="T2714" s="1">
        <v>328.0</v>
      </c>
      <c r="U2714" s="1">
        <v>2562.0</v>
      </c>
      <c r="V2714" s="1">
        <v>541.0</v>
      </c>
      <c r="W2714" s="1">
        <v>0.0</v>
      </c>
      <c r="X2714" s="1">
        <v>0.0</v>
      </c>
      <c r="Y2714" s="1">
        <v>2.35</v>
      </c>
      <c r="Z2714" s="1">
        <v>7.1</v>
      </c>
    </row>
    <row r="2715" ht="14.25" customHeight="1">
      <c r="A2715" s="1" t="s">
        <v>26</v>
      </c>
      <c r="B2715" s="1" t="s">
        <v>2502</v>
      </c>
      <c r="C2715" s="1" t="s">
        <v>12954</v>
      </c>
      <c r="D2715" s="1">
        <v>4.1227069E7</v>
      </c>
      <c r="E2715" s="1" t="s">
        <v>206</v>
      </c>
      <c r="F2715" s="1" t="s">
        <v>12955</v>
      </c>
      <c r="G2715" s="1" t="s">
        <v>3036</v>
      </c>
      <c r="H2715" s="1" t="s">
        <v>11377</v>
      </c>
      <c r="I2715" s="1">
        <v>162701.0</v>
      </c>
      <c r="J2715" s="1" t="s">
        <v>12956</v>
      </c>
      <c r="K2715" s="1" t="s">
        <v>12957</v>
      </c>
      <c r="L2715" s="1">
        <v>962.0</v>
      </c>
      <c r="M2715" s="1" t="s">
        <v>35</v>
      </c>
      <c r="N2715" s="1" t="s">
        <v>36</v>
      </c>
      <c r="O2715" s="1" t="s">
        <v>87</v>
      </c>
      <c r="P2715" s="1">
        <v>1.1E7</v>
      </c>
      <c r="Q2715" s="1">
        <v>2002.0</v>
      </c>
      <c r="R2715" s="1">
        <v>683.0</v>
      </c>
      <c r="S2715" s="1">
        <v>548.0</v>
      </c>
      <c r="T2715" s="1">
        <v>488.0</v>
      </c>
      <c r="U2715" s="1">
        <v>2436.0</v>
      </c>
      <c r="V2715" s="1">
        <v>163.0</v>
      </c>
      <c r="W2715" s="1">
        <v>19000.0</v>
      </c>
      <c r="X2715" s="1">
        <v>1.0</v>
      </c>
      <c r="Y2715" s="1">
        <v>2.35</v>
      </c>
      <c r="Z2715" s="1">
        <v>7.4</v>
      </c>
    </row>
    <row r="2716" ht="14.25" customHeight="1">
      <c r="A2716" s="1" t="s">
        <v>26</v>
      </c>
      <c r="B2716" s="1" t="s">
        <v>7499</v>
      </c>
      <c r="C2716" s="1" t="s">
        <v>12958</v>
      </c>
      <c r="D2716" s="1">
        <v>3.9025E7</v>
      </c>
      <c r="E2716" s="1" t="s">
        <v>1854</v>
      </c>
      <c r="F2716" s="1" t="s">
        <v>12000</v>
      </c>
      <c r="G2716" s="1" t="s">
        <v>1031</v>
      </c>
      <c r="H2716" s="1" t="s">
        <v>12959</v>
      </c>
      <c r="I2716" s="1">
        <v>73193.0</v>
      </c>
      <c r="J2716" s="1" t="s">
        <v>12960</v>
      </c>
      <c r="K2716" s="1" t="s">
        <v>12961</v>
      </c>
      <c r="L2716" s="1">
        <v>190.0</v>
      </c>
      <c r="M2716" s="1" t="s">
        <v>35</v>
      </c>
      <c r="N2716" s="1" t="s">
        <v>54</v>
      </c>
      <c r="O2716" s="1" t="s">
        <v>628</v>
      </c>
      <c r="P2716" s="1">
        <v>1.1E7</v>
      </c>
      <c r="Q2716" s="1">
        <v>1995.0</v>
      </c>
      <c r="R2716" s="1">
        <v>276.0</v>
      </c>
      <c r="S2716" s="1">
        <v>258.0</v>
      </c>
      <c r="T2716" s="1">
        <v>191.0</v>
      </c>
      <c r="U2716" s="1">
        <v>903.0</v>
      </c>
      <c r="V2716" s="1">
        <v>0.0</v>
      </c>
      <c r="W2716" s="1">
        <v>0.0</v>
      </c>
      <c r="X2716" s="1">
        <v>0.0</v>
      </c>
      <c r="Y2716" s="1">
        <v>1.85</v>
      </c>
      <c r="Z2716" s="1">
        <v>7.6</v>
      </c>
    </row>
    <row r="2717" ht="14.25" customHeight="1">
      <c r="A2717" s="1" t="s">
        <v>26</v>
      </c>
      <c r="B2717" s="1" t="s">
        <v>5688</v>
      </c>
      <c r="C2717" s="1" t="s">
        <v>12962</v>
      </c>
      <c r="D2717" s="1">
        <v>3.8201895E7</v>
      </c>
      <c r="E2717" s="1" t="s">
        <v>206</v>
      </c>
      <c r="F2717" s="1" t="s">
        <v>2378</v>
      </c>
      <c r="G2717" s="1" t="s">
        <v>10689</v>
      </c>
      <c r="H2717" s="1" t="s">
        <v>12963</v>
      </c>
      <c r="I2717" s="1">
        <v>149222.0</v>
      </c>
      <c r="J2717" s="1" t="s">
        <v>12964</v>
      </c>
      <c r="K2717" s="1" t="s">
        <v>12965</v>
      </c>
      <c r="L2717" s="1">
        <v>749.0</v>
      </c>
      <c r="M2717" s="1" t="s">
        <v>35</v>
      </c>
      <c r="N2717" s="1" t="s">
        <v>36</v>
      </c>
      <c r="O2717" s="1" t="s">
        <v>628</v>
      </c>
      <c r="P2717" s="1">
        <v>1.05E7</v>
      </c>
      <c r="Q2717" s="1">
        <v>1999.0</v>
      </c>
      <c r="R2717" s="1">
        <v>4000.0</v>
      </c>
      <c r="S2717" s="1">
        <v>656.0</v>
      </c>
      <c r="T2717" s="1">
        <v>637.0</v>
      </c>
      <c r="U2717" s="1">
        <v>6223.0</v>
      </c>
      <c r="V2717" s="1">
        <v>16.0</v>
      </c>
      <c r="W2717" s="1">
        <v>0.0</v>
      </c>
      <c r="X2717" s="1">
        <v>3.0</v>
      </c>
      <c r="Y2717" s="1">
        <v>1.85</v>
      </c>
      <c r="Z2717" s="1">
        <v>6.9</v>
      </c>
    </row>
    <row r="2718" ht="14.25" customHeight="1">
      <c r="A2718" s="1" t="s">
        <v>26</v>
      </c>
      <c r="B2718" s="1" t="s">
        <v>11040</v>
      </c>
      <c r="C2718" s="1" t="s">
        <v>12966</v>
      </c>
      <c r="D2718" s="1">
        <v>2.7669413E7</v>
      </c>
      <c r="E2718" s="1" t="s">
        <v>5924</v>
      </c>
      <c r="F2718" s="1" t="s">
        <v>5557</v>
      </c>
      <c r="G2718" s="1" t="s">
        <v>12967</v>
      </c>
      <c r="H2718" s="1" t="s">
        <v>12968</v>
      </c>
      <c r="I2718" s="1">
        <v>76207.0</v>
      </c>
      <c r="J2718" s="1" t="s">
        <v>12969</v>
      </c>
      <c r="K2718" s="1" t="s">
        <v>12970</v>
      </c>
      <c r="L2718" s="1">
        <v>194.0</v>
      </c>
      <c r="M2718" s="1" t="s">
        <v>35</v>
      </c>
      <c r="N2718" s="1" t="s">
        <v>260</v>
      </c>
      <c r="O2718" s="1" t="s">
        <v>628</v>
      </c>
      <c r="P2718" s="1">
        <v>1.1E7</v>
      </c>
      <c r="Q2718" s="1">
        <v>2009.0</v>
      </c>
      <c r="R2718" s="1">
        <v>723.0</v>
      </c>
      <c r="S2718" s="1">
        <v>651.0</v>
      </c>
      <c r="T2718" s="1">
        <v>647.0</v>
      </c>
      <c r="U2718" s="1">
        <v>3101.0</v>
      </c>
      <c r="V2718" s="1">
        <v>52.0</v>
      </c>
      <c r="W2718" s="1">
        <v>0.0</v>
      </c>
      <c r="X2718" s="1">
        <v>0.0</v>
      </c>
      <c r="Y2718" s="1">
        <v>1.85</v>
      </c>
      <c r="Z2718" s="1">
        <v>6.0</v>
      </c>
    </row>
    <row r="2719" ht="14.25" customHeight="1">
      <c r="A2719" s="1" t="s">
        <v>26</v>
      </c>
      <c r="B2719" s="1" t="s">
        <v>11615</v>
      </c>
      <c r="C2719" s="1" t="s">
        <v>12971</v>
      </c>
      <c r="D2719" s="1">
        <v>3.776635E7</v>
      </c>
      <c r="E2719" s="1" t="s">
        <v>3238</v>
      </c>
      <c r="F2719" s="1" t="s">
        <v>4263</v>
      </c>
      <c r="G2719" s="1" t="s">
        <v>12972</v>
      </c>
      <c r="H2719" s="1" t="s">
        <v>2925</v>
      </c>
      <c r="I2719" s="1">
        <v>19440.0</v>
      </c>
      <c r="J2719" s="1" t="s">
        <v>12973</v>
      </c>
      <c r="K2719" s="1" t="s">
        <v>12974</v>
      </c>
      <c r="L2719" s="1">
        <v>56.0</v>
      </c>
      <c r="M2719" s="1" t="s">
        <v>35</v>
      </c>
      <c r="N2719" s="1" t="s">
        <v>36</v>
      </c>
      <c r="O2719" s="1" t="s">
        <v>37</v>
      </c>
      <c r="P2719" s="1">
        <v>1.1E7</v>
      </c>
      <c r="Q2719" s="1">
        <v>2008.0</v>
      </c>
      <c r="R2719" s="1">
        <v>664.0</v>
      </c>
      <c r="S2719" s="1">
        <v>551.0</v>
      </c>
      <c r="T2719" s="1">
        <v>549.0</v>
      </c>
      <c r="U2719" s="1">
        <v>3376.0</v>
      </c>
      <c r="V2719" s="1">
        <v>107.0</v>
      </c>
      <c r="W2719" s="1">
        <v>0.0</v>
      </c>
      <c r="X2719" s="1">
        <v>5.0</v>
      </c>
      <c r="Y2719" s="1">
        <v>2.35</v>
      </c>
      <c r="Z2719" s="1">
        <v>7.3</v>
      </c>
    </row>
    <row r="2720" ht="14.25" customHeight="1">
      <c r="A2720" s="1" t="s">
        <v>26</v>
      </c>
      <c r="B2720" s="1" t="s">
        <v>12975</v>
      </c>
      <c r="C2720" s="1" t="s">
        <v>12976</v>
      </c>
      <c r="D2720" s="1">
        <v>2.3978402E7</v>
      </c>
      <c r="E2720" s="1" t="s">
        <v>972</v>
      </c>
      <c r="F2720" s="1" t="s">
        <v>3377</v>
      </c>
      <c r="G2720" s="1" t="s">
        <v>3538</v>
      </c>
      <c r="H2720" s="1" t="s">
        <v>217</v>
      </c>
      <c r="I2720" s="1">
        <v>10966.0</v>
      </c>
      <c r="J2720" s="1" t="s">
        <v>12977</v>
      </c>
      <c r="K2720" s="1" t="s">
        <v>12978</v>
      </c>
      <c r="L2720" s="1">
        <v>100.0</v>
      </c>
      <c r="M2720" s="1" t="s">
        <v>35</v>
      </c>
      <c r="N2720" s="1" t="s">
        <v>36</v>
      </c>
      <c r="O2720" s="1" t="s">
        <v>37</v>
      </c>
      <c r="P2720" s="1">
        <v>1.1E7</v>
      </c>
      <c r="Q2720" s="1">
        <v>2001.0</v>
      </c>
      <c r="R2720" s="1">
        <v>584.0</v>
      </c>
      <c r="S2720" s="1">
        <v>580.0</v>
      </c>
      <c r="T2720" s="1">
        <v>532.0</v>
      </c>
      <c r="U2720" s="1">
        <v>3850.0</v>
      </c>
      <c r="V2720" s="1">
        <v>5.0</v>
      </c>
      <c r="W2720" s="1">
        <v>365.0</v>
      </c>
      <c r="X2720" s="1">
        <v>1.0</v>
      </c>
      <c r="Y2720" s="1">
        <v>1.85</v>
      </c>
      <c r="Z2720" s="1">
        <v>4.6</v>
      </c>
    </row>
    <row r="2721" ht="14.25" customHeight="1">
      <c r="A2721" s="1" t="s">
        <v>26</v>
      </c>
      <c r="B2721" s="1" t="s">
        <v>2161</v>
      </c>
      <c r="C2721" s="1" t="s">
        <v>12979</v>
      </c>
      <c r="D2721" s="1">
        <v>2.1370057E7</v>
      </c>
      <c r="E2721" s="1" t="s">
        <v>2045</v>
      </c>
      <c r="F2721" s="1" t="s">
        <v>12980</v>
      </c>
      <c r="G2721" s="1" t="s">
        <v>12981</v>
      </c>
      <c r="H2721" s="1" t="s">
        <v>3314</v>
      </c>
      <c r="I2721" s="1">
        <v>9903.0</v>
      </c>
      <c r="J2721" s="1" t="s">
        <v>12982</v>
      </c>
      <c r="K2721" s="1" t="s">
        <v>12983</v>
      </c>
      <c r="L2721" s="1">
        <v>80.0</v>
      </c>
      <c r="M2721" s="1" t="s">
        <v>35</v>
      </c>
      <c r="N2721" s="1" t="s">
        <v>36</v>
      </c>
      <c r="O2721" s="1" t="s">
        <v>628</v>
      </c>
      <c r="P2721" s="1">
        <v>1.2E7</v>
      </c>
      <c r="Q2721" s="1">
        <v>1992.0</v>
      </c>
      <c r="R2721" s="1">
        <v>636.0</v>
      </c>
      <c r="S2721" s="1">
        <v>330.0</v>
      </c>
      <c r="T2721" s="1">
        <v>298.0</v>
      </c>
      <c r="U2721" s="1">
        <v>1852.0</v>
      </c>
      <c r="V2721" s="1">
        <v>0.0</v>
      </c>
      <c r="W2721" s="1">
        <v>541.0</v>
      </c>
      <c r="X2721" s="1">
        <v>0.0</v>
      </c>
      <c r="Y2721" s="1">
        <v>1.85</v>
      </c>
      <c r="Z2721" s="1">
        <v>6.0</v>
      </c>
    </row>
    <row r="2722" ht="14.25" customHeight="1">
      <c r="A2722" s="1" t="s">
        <v>26</v>
      </c>
      <c r="B2722" s="1" t="s">
        <v>6957</v>
      </c>
      <c r="C2722" s="1" t="s">
        <v>12984</v>
      </c>
      <c r="D2722" s="1">
        <v>4884663.0</v>
      </c>
      <c r="E2722" s="1" t="s">
        <v>9409</v>
      </c>
      <c r="F2722" s="1" t="s">
        <v>12985</v>
      </c>
      <c r="G2722" s="1" t="s">
        <v>12986</v>
      </c>
      <c r="H2722" s="1" t="s">
        <v>5851</v>
      </c>
      <c r="I2722" s="1">
        <v>5187.0</v>
      </c>
      <c r="J2722" s="1" t="s">
        <v>12987</v>
      </c>
      <c r="K2722" s="1" t="s">
        <v>12988</v>
      </c>
      <c r="L2722" s="1">
        <v>64.0</v>
      </c>
      <c r="M2722" s="1" t="s">
        <v>35</v>
      </c>
      <c r="N2722" s="1" t="s">
        <v>36</v>
      </c>
      <c r="O2722" s="1" t="s">
        <v>87</v>
      </c>
      <c r="P2722" s="1">
        <v>1.2E7</v>
      </c>
      <c r="Q2722" s="1">
        <v>1986.0</v>
      </c>
      <c r="R2722" s="1">
        <v>425.0</v>
      </c>
      <c r="S2722" s="1">
        <v>394.0</v>
      </c>
      <c r="T2722" s="1">
        <v>225.0</v>
      </c>
      <c r="U2722" s="1">
        <v>1661.0</v>
      </c>
      <c r="V2722" s="1">
        <v>365.0</v>
      </c>
      <c r="W2722" s="1">
        <v>902.0</v>
      </c>
      <c r="X2722" s="1">
        <v>0.0</v>
      </c>
      <c r="Y2722" s="1">
        <v>2.35</v>
      </c>
      <c r="Z2722" s="1">
        <v>5.5</v>
      </c>
    </row>
    <row r="2723" ht="14.25" customHeight="1">
      <c r="A2723" s="1" t="s">
        <v>26</v>
      </c>
      <c r="B2723" s="1" t="s">
        <v>12989</v>
      </c>
      <c r="C2723" s="1" t="s">
        <v>12990</v>
      </c>
      <c r="D2723" s="1">
        <v>3.8317535E7</v>
      </c>
      <c r="E2723" s="1" t="s">
        <v>206</v>
      </c>
      <c r="F2723" s="1" t="s">
        <v>391</v>
      </c>
      <c r="G2723" s="1" t="s">
        <v>12991</v>
      </c>
      <c r="H2723" s="1" t="s">
        <v>12992</v>
      </c>
      <c r="I2723" s="1">
        <v>73249.0</v>
      </c>
      <c r="J2723" s="1" t="s">
        <v>12993</v>
      </c>
      <c r="K2723" s="1" t="s">
        <v>12994</v>
      </c>
      <c r="L2723" s="1">
        <v>212.0</v>
      </c>
      <c r="M2723" s="1" t="s">
        <v>35</v>
      </c>
      <c r="N2723" s="1" t="s">
        <v>54</v>
      </c>
      <c r="O2723" s="1" t="s">
        <v>37</v>
      </c>
      <c r="P2723" s="1">
        <v>1.1E7</v>
      </c>
      <c r="Q2723" s="1">
        <v>2015.0</v>
      </c>
      <c r="R2723" s="1">
        <v>838.0</v>
      </c>
      <c r="S2723" s="1">
        <v>55.0</v>
      </c>
      <c r="T2723" s="1">
        <v>54.0</v>
      </c>
      <c r="U2723" s="1">
        <v>995.0</v>
      </c>
      <c r="V2723" s="1">
        <v>34.0</v>
      </c>
      <c r="W2723" s="1">
        <v>36000.0</v>
      </c>
      <c r="X2723" s="1">
        <v>1.0</v>
      </c>
      <c r="Y2723" s="1">
        <v>1.85</v>
      </c>
      <c r="Z2723" s="1">
        <v>7.5</v>
      </c>
    </row>
    <row r="2724" ht="14.25" customHeight="1">
      <c r="A2724" s="1" t="s">
        <v>26</v>
      </c>
      <c r="B2724" s="1" t="s">
        <v>12995</v>
      </c>
      <c r="C2724" s="1" t="s">
        <v>12996</v>
      </c>
      <c r="D2724" s="1">
        <v>1.3903262E7</v>
      </c>
      <c r="E2724" s="1" t="s">
        <v>3714</v>
      </c>
      <c r="F2724" s="1" t="s">
        <v>11505</v>
      </c>
      <c r="G2724" s="1" t="s">
        <v>9736</v>
      </c>
      <c r="H2724" s="1" t="s">
        <v>4768</v>
      </c>
      <c r="I2724" s="1">
        <v>14656.0</v>
      </c>
      <c r="J2724" s="1" t="s">
        <v>12997</v>
      </c>
      <c r="K2724" s="1" t="s">
        <v>12998</v>
      </c>
      <c r="L2724" s="1">
        <v>90.0</v>
      </c>
      <c r="M2724" s="1" t="s">
        <v>35</v>
      </c>
      <c r="N2724" s="1" t="s">
        <v>36</v>
      </c>
      <c r="O2724" s="1" t="s">
        <v>37</v>
      </c>
      <c r="P2724" s="1">
        <v>1.1E7</v>
      </c>
      <c r="Q2724" s="1">
        <v>2001.0</v>
      </c>
      <c r="R2724" s="1">
        <v>799.0</v>
      </c>
      <c r="S2724" s="1">
        <v>711.0</v>
      </c>
      <c r="T2724" s="1">
        <v>651.0</v>
      </c>
      <c r="U2724" s="1">
        <v>4291.0</v>
      </c>
      <c r="V2724" s="1">
        <v>2.0</v>
      </c>
      <c r="W2724" s="1">
        <v>0.0</v>
      </c>
      <c r="X2724" s="1">
        <v>0.0</v>
      </c>
      <c r="Y2724" s="1">
        <v>1.85</v>
      </c>
      <c r="Z2724" s="1">
        <v>6.3</v>
      </c>
    </row>
    <row r="2725" ht="14.25" customHeight="1">
      <c r="A2725" s="1" t="s">
        <v>26</v>
      </c>
      <c r="B2725" s="1" t="s">
        <v>5727</v>
      </c>
      <c r="C2725" s="1" t="s">
        <v>12999</v>
      </c>
      <c r="D2725" s="1">
        <v>1.3592872E7</v>
      </c>
      <c r="E2725" s="1" t="s">
        <v>1885</v>
      </c>
      <c r="F2725" s="1" t="s">
        <v>1197</v>
      </c>
      <c r="G2725" s="1" t="s">
        <v>3683</v>
      </c>
      <c r="H2725" s="1" t="s">
        <v>2790</v>
      </c>
      <c r="I2725" s="1">
        <v>10777.0</v>
      </c>
      <c r="J2725" s="1" t="s">
        <v>13000</v>
      </c>
      <c r="K2725" s="1" t="s">
        <v>13001</v>
      </c>
      <c r="L2725" s="1">
        <v>79.0</v>
      </c>
      <c r="M2725" s="1" t="s">
        <v>35</v>
      </c>
      <c r="N2725" s="1" t="s">
        <v>36</v>
      </c>
      <c r="O2725" s="1" t="s">
        <v>628</v>
      </c>
      <c r="P2725" s="1">
        <v>1.1E7</v>
      </c>
      <c r="Q2725" s="1">
        <v>2000.0</v>
      </c>
      <c r="R2725" s="1">
        <v>8000.0</v>
      </c>
      <c r="S2725" s="1">
        <v>723.0</v>
      </c>
      <c r="T2725" s="1">
        <v>553.0</v>
      </c>
      <c r="U2725" s="1">
        <v>10982.0</v>
      </c>
      <c r="V2725" s="1">
        <v>71.0</v>
      </c>
      <c r="W2725" s="1">
        <v>671.0</v>
      </c>
      <c r="X2725" s="1">
        <v>1.0</v>
      </c>
      <c r="Y2725" s="1">
        <v>1.85</v>
      </c>
      <c r="Z2725" s="1">
        <v>5.1</v>
      </c>
    </row>
    <row r="2726" ht="14.25" customHeight="1">
      <c r="A2726" s="1" t="s">
        <v>26</v>
      </c>
      <c r="B2726" s="1" t="s">
        <v>13002</v>
      </c>
      <c r="C2726" s="1" t="s">
        <v>13003</v>
      </c>
      <c r="D2726" s="1">
        <v>1.8381787E7</v>
      </c>
      <c r="E2726" s="1" t="s">
        <v>2422</v>
      </c>
      <c r="F2726" s="1" t="s">
        <v>3354</v>
      </c>
      <c r="G2726" s="1" t="s">
        <v>13004</v>
      </c>
      <c r="H2726" s="1" t="s">
        <v>13005</v>
      </c>
      <c r="I2726" s="1">
        <v>15684.0</v>
      </c>
      <c r="J2726" s="1" t="s">
        <v>13006</v>
      </c>
      <c r="K2726" s="1" t="s">
        <v>13007</v>
      </c>
      <c r="L2726" s="1">
        <v>126.0</v>
      </c>
      <c r="M2726" s="1" t="s">
        <v>35</v>
      </c>
      <c r="N2726" s="1" t="s">
        <v>54</v>
      </c>
      <c r="O2726" s="1" t="s">
        <v>37</v>
      </c>
      <c r="P2726" s="1">
        <v>1.1E7</v>
      </c>
      <c r="Q2726" s="1">
        <v>2012.0</v>
      </c>
      <c r="R2726" s="1">
        <v>358.0</v>
      </c>
      <c r="S2726" s="1">
        <v>156.0</v>
      </c>
      <c r="T2726" s="1">
        <v>123.0</v>
      </c>
      <c r="U2726" s="1">
        <v>1114.0</v>
      </c>
      <c r="V2726" s="1">
        <v>0.0</v>
      </c>
      <c r="W2726" s="1">
        <v>13000.0</v>
      </c>
      <c r="X2726" s="1">
        <v>4.0</v>
      </c>
      <c r="Y2726" s="1">
        <v>2.35</v>
      </c>
      <c r="Z2726" s="1">
        <v>6.8</v>
      </c>
    </row>
    <row r="2727" ht="14.25" customHeight="1">
      <c r="A2727" s="1" t="s">
        <v>26</v>
      </c>
      <c r="B2727" s="1" t="s">
        <v>13008</v>
      </c>
      <c r="C2727" s="1" t="s">
        <v>13009</v>
      </c>
      <c r="D2727" s="1">
        <v>1.3558739E7</v>
      </c>
      <c r="E2727" s="1" t="s">
        <v>1885</v>
      </c>
      <c r="F2727" s="1" t="s">
        <v>7115</v>
      </c>
      <c r="G2727" s="1" t="s">
        <v>1759</v>
      </c>
      <c r="H2727" s="1" t="s">
        <v>2452</v>
      </c>
      <c r="I2727" s="1">
        <v>15427.0</v>
      </c>
      <c r="J2727" s="1" t="s">
        <v>13010</v>
      </c>
      <c r="K2727" s="1" t="s">
        <v>13011</v>
      </c>
      <c r="L2727" s="1">
        <v>121.0</v>
      </c>
      <c r="M2727" s="1" t="s">
        <v>35</v>
      </c>
      <c r="N2727" s="1" t="s">
        <v>36</v>
      </c>
      <c r="O2727" s="1" t="s">
        <v>628</v>
      </c>
      <c r="P2727" s="1">
        <v>1.1E7</v>
      </c>
      <c r="Q2727" s="1">
        <v>2001.0</v>
      </c>
      <c r="R2727" s="1">
        <v>1000.0</v>
      </c>
      <c r="S2727" s="1">
        <v>660.0</v>
      </c>
      <c r="T2727" s="1">
        <v>443.0</v>
      </c>
      <c r="U2727" s="1">
        <v>2729.0</v>
      </c>
      <c r="V2727" s="1">
        <v>5.0</v>
      </c>
      <c r="W2727" s="1">
        <v>449.0</v>
      </c>
      <c r="X2727" s="1">
        <v>0.0</v>
      </c>
      <c r="Y2727" s="1">
        <v>1.85</v>
      </c>
      <c r="Z2727" s="1">
        <v>5.3</v>
      </c>
    </row>
    <row r="2728" ht="14.25" customHeight="1">
      <c r="A2728" s="1" t="s">
        <v>26</v>
      </c>
      <c r="B2728" s="1" t="s">
        <v>13012</v>
      </c>
      <c r="C2728" s="1" t="s">
        <v>13013</v>
      </c>
      <c r="D2728" s="1">
        <v>1.3103828E7</v>
      </c>
      <c r="E2728" s="1" t="s">
        <v>2045</v>
      </c>
      <c r="F2728" s="1" t="s">
        <v>637</v>
      </c>
      <c r="G2728" s="1" t="s">
        <v>5976</v>
      </c>
      <c r="H2728" s="1" t="s">
        <v>4619</v>
      </c>
      <c r="I2728" s="1">
        <v>59982.0</v>
      </c>
      <c r="J2728" s="1" t="s">
        <v>13014</v>
      </c>
      <c r="K2728" s="1" t="s">
        <v>13015</v>
      </c>
      <c r="L2728" s="1">
        <v>463.0</v>
      </c>
      <c r="M2728" s="1" t="s">
        <v>35</v>
      </c>
      <c r="N2728" s="1" t="s">
        <v>36</v>
      </c>
      <c r="O2728" s="1" t="s">
        <v>628</v>
      </c>
      <c r="P2728" s="1">
        <v>1.1E7</v>
      </c>
      <c r="Q2728" s="1">
        <v>2001.0</v>
      </c>
      <c r="R2728" s="1">
        <v>11000.0</v>
      </c>
      <c r="S2728" s="1">
        <v>472.0</v>
      </c>
      <c r="T2728" s="1">
        <v>303.0</v>
      </c>
      <c r="U2728" s="1">
        <v>12237.0</v>
      </c>
      <c r="V2728" s="1">
        <v>0.0</v>
      </c>
      <c r="W2728" s="1">
        <v>5000.0</v>
      </c>
      <c r="X2728" s="1">
        <v>0.0</v>
      </c>
      <c r="Y2728" s="1">
        <v>1.85</v>
      </c>
      <c r="Z2728" s="1">
        <v>7.3</v>
      </c>
    </row>
    <row r="2729" ht="14.25" customHeight="1">
      <c r="A2729" s="1" t="s">
        <v>26</v>
      </c>
      <c r="B2729" s="1" t="s">
        <v>13016</v>
      </c>
      <c r="C2729" s="1" t="s">
        <v>13017</v>
      </c>
      <c r="D2729" s="1">
        <v>3.3305037E7</v>
      </c>
      <c r="E2729" s="1" t="s">
        <v>5578</v>
      </c>
      <c r="F2729" s="1" t="s">
        <v>307</v>
      </c>
      <c r="G2729" s="1" t="s">
        <v>3058</v>
      </c>
      <c r="H2729" s="1" t="s">
        <v>8301</v>
      </c>
      <c r="I2729" s="1">
        <v>33856.0</v>
      </c>
      <c r="J2729" s="1" t="s">
        <v>13018</v>
      </c>
      <c r="K2729" s="1" t="s">
        <v>13019</v>
      </c>
      <c r="L2729" s="1">
        <v>147.0</v>
      </c>
      <c r="M2729" s="1" t="s">
        <v>35</v>
      </c>
      <c r="N2729" s="1" t="s">
        <v>54</v>
      </c>
      <c r="O2729" s="1" t="s">
        <v>37</v>
      </c>
      <c r="P2729" s="1">
        <v>1.1E7</v>
      </c>
      <c r="Q2729" s="1">
        <v>2015.0</v>
      </c>
      <c r="R2729" s="1">
        <v>16000.0</v>
      </c>
      <c r="S2729" s="1">
        <v>638.0</v>
      </c>
      <c r="T2729" s="1">
        <v>553.0</v>
      </c>
      <c r="U2729" s="1">
        <v>17866.0</v>
      </c>
      <c r="V2729" s="1">
        <v>64.0</v>
      </c>
      <c r="W2729" s="1">
        <v>34000.0</v>
      </c>
      <c r="X2729" s="1">
        <v>2.0</v>
      </c>
      <c r="Y2729" s="1">
        <v>2.35</v>
      </c>
      <c r="Z2729" s="1">
        <v>7.3</v>
      </c>
    </row>
    <row r="2730" ht="14.25" customHeight="1">
      <c r="A2730" s="1" t="s">
        <v>710</v>
      </c>
      <c r="B2730" s="1" t="s">
        <v>1067</v>
      </c>
      <c r="C2730" s="1" t="s">
        <v>13020</v>
      </c>
      <c r="D2730" s="1">
        <v>1.0214647E7</v>
      </c>
      <c r="E2730" s="1" t="s">
        <v>1474</v>
      </c>
      <c r="F2730" s="1" t="s">
        <v>220</v>
      </c>
      <c r="G2730" s="1" t="s">
        <v>415</v>
      </c>
      <c r="H2730" s="1" t="s">
        <v>4388</v>
      </c>
      <c r="I2730" s="1">
        <v>42689.0</v>
      </c>
      <c r="J2730" s="1" t="s">
        <v>13021</v>
      </c>
      <c r="K2730" s="1" t="s">
        <v>13022</v>
      </c>
      <c r="L2730" s="1">
        <v>204.0</v>
      </c>
      <c r="M2730" s="1" t="s">
        <v>35</v>
      </c>
      <c r="N2730" s="1" t="s">
        <v>36</v>
      </c>
      <c r="O2730" s="1" t="s">
        <v>628</v>
      </c>
      <c r="P2730" s="1">
        <v>1.1E7</v>
      </c>
      <c r="Q2730" s="1">
        <v>2004.0</v>
      </c>
      <c r="R2730" s="1">
        <v>14000.0</v>
      </c>
      <c r="S2730" s="1">
        <v>1000.0</v>
      </c>
      <c r="T2730" s="1">
        <v>812.0</v>
      </c>
      <c r="U2730" s="1">
        <v>17490.0</v>
      </c>
      <c r="V2730" s="1">
        <v>386.0</v>
      </c>
      <c r="W2730" s="1">
        <v>0.0</v>
      </c>
      <c r="X2730" s="1">
        <v>0.0</v>
      </c>
      <c r="Y2730" s="1">
        <v>2.35</v>
      </c>
      <c r="Z2730" s="1">
        <v>7.1</v>
      </c>
    </row>
    <row r="2731" ht="14.25" customHeight="1">
      <c r="A2731" s="1" t="s">
        <v>26</v>
      </c>
      <c r="B2731" s="1" t="s">
        <v>71</v>
      </c>
      <c r="C2731" s="1" t="s">
        <v>13023</v>
      </c>
      <c r="D2731" s="1">
        <v>1.1501093E7</v>
      </c>
      <c r="E2731" s="1" t="s">
        <v>846</v>
      </c>
      <c r="F2731" s="1" t="s">
        <v>13024</v>
      </c>
      <c r="G2731" s="1" t="s">
        <v>3012</v>
      </c>
      <c r="H2731" s="1" t="s">
        <v>8714</v>
      </c>
      <c r="I2731" s="1">
        <v>128850.0</v>
      </c>
      <c r="J2731" s="1" t="s">
        <v>13025</v>
      </c>
      <c r="K2731" s="1" t="s">
        <v>13026</v>
      </c>
      <c r="L2731" s="1">
        <v>604.0</v>
      </c>
      <c r="M2731" s="1" t="s">
        <v>35</v>
      </c>
      <c r="N2731" s="1" t="s">
        <v>36</v>
      </c>
      <c r="O2731" s="1" t="s">
        <v>628</v>
      </c>
      <c r="P2731" s="1">
        <v>1.3E7</v>
      </c>
      <c r="Q2731" s="1">
        <v>1992.0</v>
      </c>
      <c r="R2731" s="1">
        <v>901.0</v>
      </c>
      <c r="S2731" s="1">
        <v>888.0</v>
      </c>
      <c r="T2731" s="1">
        <v>795.0</v>
      </c>
      <c r="U2731" s="1">
        <v>3913.0</v>
      </c>
      <c r="V2731" s="1">
        <v>0.0</v>
      </c>
      <c r="W2731" s="1">
        <v>10000.0</v>
      </c>
      <c r="X2731" s="1">
        <v>0.0</v>
      </c>
      <c r="Y2731" s="1">
        <v>1.85</v>
      </c>
      <c r="Z2731" s="1">
        <v>7.6</v>
      </c>
    </row>
    <row r="2732" ht="14.25" customHeight="1">
      <c r="A2732" s="1" t="s">
        <v>26</v>
      </c>
      <c r="B2732" s="1" t="s">
        <v>13027</v>
      </c>
      <c r="C2732" s="1" t="s">
        <v>13028</v>
      </c>
      <c r="D2732" s="1">
        <v>4814244.0</v>
      </c>
      <c r="E2732" s="1" t="s">
        <v>1598</v>
      </c>
      <c r="F2732" s="1" t="s">
        <v>714</v>
      </c>
      <c r="G2732" s="1" t="s">
        <v>8776</v>
      </c>
      <c r="H2732" s="1" t="s">
        <v>13029</v>
      </c>
      <c r="I2732" s="1">
        <v>12437.0</v>
      </c>
      <c r="J2732" s="1" t="s">
        <v>13030</v>
      </c>
      <c r="K2732" s="1" t="s">
        <v>13031</v>
      </c>
      <c r="L2732" s="1">
        <v>107.0</v>
      </c>
      <c r="M2732" s="1" t="s">
        <v>35</v>
      </c>
      <c r="N2732" s="1" t="s">
        <v>260</v>
      </c>
      <c r="O2732" s="1" t="s">
        <v>628</v>
      </c>
      <c r="P2732" s="1">
        <v>1.1E7</v>
      </c>
      <c r="Q2732" s="1">
        <v>2002.0</v>
      </c>
      <c r="R2732" s="1">
        <v>960.0</v>
      </c>
      <c r="S2732" s="1">
        <v>448.0</v>
      </c>
      <c r="T2732" s="1">
        <v>424.0</v>
      </c>
      <c r="U2732" s="1">
        <v>2415.0</v>
      </c>
      <c r="V2732" s="1">
        <v>4.0</v>
      </c>
      <c r="W2732" s="1">
        <v>405.0</v>
      </c>
      <c r="X2732" s="1">
        <v>4.0</v>
      </c>
      <c r="Y2732" s="1">
        <v>1.85</v>
      </c>
      <c r="Z2732" s="1">
        <v>5.3</v>
      </c>
    </row>
    <row r="2733" ht="14.25" customHeight="1">
      <c r="A2733" s="1" t="s">
        <v>26</v>
      </c>
      <c r="B2733" s="1" t="s">
        <v>7160</v>
      </c>
      <c r="C2733" s="1" t="s">
        <v>13032</v>
      </c>
      <c r="D2733" s="1">
        <v>9170214.0</v>
      </c>
      <c r="E2733" s="1" t="s">
        <v>206</v>
      </c>
      <c r="F2733" s="1" t="s">
        <v>41</v>
      </c>
      <c r="G2733" s="1" t="s">
        <v>207</v>
      </c>
      <c r="H2733" s="1" t="s">
        <v>13033</v>
      </c>
      <c r="I2733" s="1">
        <v>171882.0</v>
      </c>
      <c r="J2733" s="1" t="s">
        <v>13034</v>
      </c>
      <c r="K2733" s="1" t="s">
        <v>13035</v>
      </c>
      <c r="L2733" s="1">
        <v>292.0</v>
      </c>
      <c r="M2733" s="1" t="s">
        <v>35</v>
      </c>
      <c r="N2733" s="1" t="s">
        <v>36</v>
      </c>
      <c r="O2733" s="1" t="s">
        <v>37</v>
      </c>
      <c r="P2733" s="1">
        <v>1.1E7</v>
      </c>
      <c r="Q2733" s="1">
        <v>1993.0</v>
      </c>
      <c r="R2733" s="1">
        <v>40000.0</v>
      </c>
      <c r="S2733" s="1">
        <v>29000.0</v>
      </c>
      <c r="T2733" s="1">
        <v>472.0</v>
      </c>
      <c r="U2733" s="1">
        <v>69746.0</v>
      </c>
      <c r="V2733" s="1">
        <v>529.0</v>
      </c>
      <c r="W2733" s="1">
        <v>14000.0</v>
      </c>
      <c r="X2733" s="1">
        <v>1.0</v>
      </c>
      <c r="Y2733" s="1">
        <v>1.85</v>
      </c>
      <c r="Z2733" s="1">
        <v>7.8</v>
      </c>
    </row>
    <row r="2734" ht="14.25" customHeight="1">
      <c r="A2734" s="1" t="s">
        <v>26</v>
      </c>
      <c r="B2734" s="1" t="s">
        <v>13036</v>
      </c>
      <c r="C2734" s="1" t="s">
        <v>13037</v>
      </c>
      <c r="D2734" s="1">
        <v>4068087.0</v>
      </c>
      <c r="E2734" s="1" t="s">
        <v>5578</v>
      </c>
      <c r="F2734" s="1" t="s">
        <v>10976</v>
      </c>
      <c r="G2734" s="1" t="s">
        <v>13038</v>
      </c>
      <c r="H2734" s="1" t="s">
        <v>13039</v>
      </c>
      <c r="I2734" s="1">
        <v>2164.0</v>
      </c>
      <c r="J2734" s="1" t="s">
        <v>13040</v>
      </c>
      <c r="K2734" s="1" t="s">
        <v>13041</v>
      </c>
      <c r="L2734" s="1">
        <v>74.0</v>
      </c>
      <c r="M2734" s="1" t="s">
        <v>35</v>
      </c>
      <c r="N2734" s="1" t="s">
        <v>260</v>
      </c>
      <c r="O2734" s="1" t="s">
        <v>37</v>
      </c>
      <c r="P2734" s="1">
        <v>1.7E7</v>
      </c>
      <c r="Q2734" s="1">
        <v>2003.0</v>
      </c>
      <c r="R2734" s="1">
        <v>866.0</v>
      </c>
      <c r="S2734" s="1">
        <v>147.0</v>
      </c>
      <c r="T2734" s="1">
        <v>109.0</v>
      </c>
      <c r="U2734" s="1">
        <v>1281.0</v>
      </c>
      <c r="V2734" s="1">
        <v>10.0</v>
      </c>
      <c r="W2734" s="1">
        <v>0.0</v>
      </c>
      <c r="X2734" s="1">
        <v>1.0</v>
      </c>
      <c r="Y2734" s="1">
        <v>1.85</v>
      </c>
      <c r="Z2734" s="1">
        <v>7.7</v>
      </c>
    </row>
    <row r="2735" ht="14.25" customHeight="1">
      <c r="A2735" s="1" t="s">
        <v>26</v>
      </c>
      <c r="B2735" s="1" t="s">
        <v>10383</v>
      </c>
      <c r="C2735" s="1" t="s">
        <v>13042</v>
      </c>
      <c r="D2735" s="1">
        <v>3753806.0</v>
      </c>
      <c r="E2735" s="1" t="s">
        <v>1854</v>
      </c>
      <c r="F2735" s="1" t="s">
        <v>351</v>
      </c>
      <c r="G2735" s="1" t="s">
        <v>4467</v>
      </c>
      <c r="H2735" s="1" t="s">
        <v>2334</v>
      </c>
      <c r="I2735" s="1">
        <v>20307.0</v>
      </c>
      <c r="J2735" s="1" t="s">
        <v>13043</v>
      </c>
      <c r="K2735" s="1" t="s">
        <v>13044</v>
      </c>
      <c r="L2735" s="1">
        <v>165.0</v>
      </c>
      <c r="M2735" s="1" t="s">
        <v>35</v>
      </c>
      <c r="N2735" s="1" t="s">
        <v>54</v>
      </c>
      <c r="O2735" s="1" t="s">
        <v>628</v>
      </c>
      <c r="P2735" s="1">
        <v>1.1E7</v>
      </c>
      <c r="Q2735" s="1">
        <v>2004.0</v>
      </c>
      <c r="R2735" s="1">
        <v>979.0</v>
      </c>
      <c r="S2735" s="1">
        <v>594.0</v>
      </c>
      <c r="T2735" s="1">
        <v>579.0</v>
      </c>
      <c r="U2735" s="1">
        <v>3133.0</v>
      </c>
      <c r="V2735" s="1">
        <v>608.0</v>
      </c>
      <c r="W2735" s="1">
        <v>0.0</v>
      </c>
      <c r="X2735" s="1">
        <v>1.0</v>
      </c>
      <c r="Y2735" s="1">
        <v>1.85</v>
      </c>
      <c r="Z2735" s="1">
        <v>7.7</v>
      </c>
    </row>
    <row r="2736" ht="14.25" customHeight="1">
      <c r="A2736" s="1" t="s">
        <v>26</v>
      </c>
      <c r="B2736" s="1" t="s">
        <v>13045</v>
      </c>
      <c r="C2736" s="1" t="s">
        <v>13046</v>
      </c>
      <c r="D2736" s="1">
        <v>3034181.0</v>
      </c>
      <c r="E2736" s="1" t="s">
        <v>11050</v>
      </c>
      <c r="F2736" s="1" t="s">
        <v>2658</v>
      </c>
      <c r="G2736" s="1" t="s">
        <v>4678</v>
      </c>
      <c r="H2736" s="1" t="s">
        <v>13047</v>
      </c>
      <c r="I2736" s="1">
        <v>13622.0</v>
      </c>
      <c r="J2736" s="1" t="s">
        <v>13048</v>
      </c>
      <c r="K2736" s="1" t="s">
        <v>13049</v>
      </c>
      <c r="L2736" s="1">
        <v>128.0</v>
      </c>
      <c r="M2736" s="1" t="s">
        <v>35</v>
      </c>
      <c r="N2736" s="1" t="s">
        <v>54</v>
      </c>
      <c r="O2736" s="1" t="s">
        <v>628</v>
      </c>
      <c r="P2736" s="1">
        <v>1.1E7</v>
      </c>
      <c r="Q2736" s="1">
        <v>2002.0</v>
      </c>
      <c r="R2736" s="1">
        <v>658.0</v>
      </c>
      <c r="S2736" s="1">
        <v>463.0</v>
      </c>
      <c r="T2736" s="1">
        <v>183.0</v>
      </c>
      <c r="U2736" s="1">
        <v>1559.0</v>
      </c>
      <c r="V2736" s="1">
        <v>18.0</v>
      </c>
      <c r="W2736" s="1">
        <v>550.0</v>
      </c>
      <c r="X2736" s="1">
        <v>3.0</v>
      </c>
      <c r="Y2736" s="1">
        <v>1.85</v>
      </c>
      <c r="Z2736" s="1">
        <v>5.4</v>
      </c>
    </row>
    <row r="2737" ht="14.25" customHeight="1">
      <c r="A2737" s="1" t="s">
        <v>26</v>
      </c>
      <c r="B2737" s="1" t="s">
        <v>9482</v>
      </c>
      <c r="C2737" s="1" t="s">
        <v>13050</v>
      </c>
      <c r="D2737" s="1">
        <v>2832826.0</v>
      </c>
      <c r="E2737" s="1" t="s">
        <v>1359</v>
      </c>
      <c r="F2737" s="1" t="s">
        <v>3774</v>
      </c>
      <c r="G2737" s="1" t="s">
        <v>1576</v>
      </c>
      <c r="H2737" s="1" t="s">
        <v>12513</v>
      </c>
      <c r="I2737" s="1">
        <v>1761.0</v>
      </c>
      <c r="J2737" s="1" t="s">
        <v>13051</v>
      </c>
      <c r="K2737" s="1" t="s">
        <v>13052</v>
      </c>
      <c r="L2737" s="1">
        <v>19.0</v>
      </c>
      <c r="M2737" s="1" t="s">
        <v>35</v>
      </c>
      <c r="N2737" s="1" t="s">
        <v>36</v>
      </c>
      <c r="O2737" s="1" t="s">
        <v>628</v>
      </c>
      <c r="P2737" s="1">
        <v>1.1E7</v>
      </c>
      <c r="Q2737" s="1">
        <v>1995.0</v>
      </c>
      <c r="R2737" s="1">
        <v>1000.0</v>
      </c>
      <c r="S2737" s="1">
        <v>979.0</v>
      </c>
      <c r="T2737" s="1">
        <v>787.0</v>
      </c>
      <c r="U2737" s="1">
        <v>3072.0</v>
      </c>
      <c r="V2737" s="1">
        <v>300.0</v>
      </c>
      <c r="W2737" s="1">
        <v>174.0</v>
      </c>
      <c r="X2737" s="1">
        <v>2.0</v>
      </c>
      <c r="Y2737" s="1">
        <v>1.85</v>
      </c>
      <c r="Z2737" s="1">
        <v>6.2</v>
      </c>
    </row>
    <row r="2738" ht="14.25" customHeight="1">
      <c r="A2738" s="1" t="s">
        <v>26</v>
      </c>
      <c r="B2738" s="1" t="s">
        <v>6676</v>
      </c>
      <c r="C2738" s="1" t="s">
        <v>13053</v>
      </c>
      <c r="D2738" s="1">
        <v>1.3214255E7</v>
      </c>
      <c r="E2738" s="1" t="s">
        <v>5819</v>
      </c>
      <c r="F2738" s="1" t="s">
        <v>686</v>
      </c>
      <c r="G2738" s="1" t="s">
        <v>6546</v>
      </c>
      <c r="H2738" s="1" t="s">
        <v>13054</v>
      </c>
      <c r="I2738" s="1">
        <v>96233.0</v>
      </c>
      <c r="J2738" s="1" t="s">
        <v>13055</v>
      </c>
      <c r="K2738" s="1" t="s">
        <v>13056</v>
      </c>
      <c r="L2738" s="1">
        <v>313.0</v>
      </c>
      <c r="M2738" s="1" t="s">
        <v>35</v>
      </c>
      <c r="N2738" s="1" t="s">
        <v>36</v>
      </c>
      <c r="O2738" s="1" t="s">
        <v>628</v>
      </c>
      <c r="P2738" s="1">
        <v>1.1E7</v>
      </c>
      <c r="Q2738" s="1">
        <v>2013.0</v>
      </c>
      <c r="R2738" s="1">
        <v>3000.0</v>
      </c>
      <c r="S2738" s="1">
        <v>275.0</v>
      </c>
      <c r="T2738" s="1">
        <v>272.0</v>
      </c>
      <c r="U2738" s="1">
        <v>4082.0</v>
      </c>
      <c r="V2738" s="1">
        <v>1000.0</v>
      </c>
      <c r="W2738" s="1">
        <v>26000.0</v>
      </c>
      <c r="X2738" s="1">
        <v>1.0</v>
      </c>
      <c r="Y2738" s="1">
        <v>1.85</v>
      </c>
      <c r="Z2738" s="1">
        <v>7.4</v>
      </c>
    </row>
    <row r="2739" ht="14.25" customHeight="1">
      <c r="A2739" s="1" t="s">
        <v>26</v>
      </c>
      <c r="B2739" s="1" t="s">
        <v>1432</v>
      </c>
      <c r="C2739" s="1" t="s">
        <v>13057</v>
      </c>
      <c r="D2739" s="1">
        <v>1.6017403E7</v>
      </c>
      <c r="E2739" s="1" t="s">
        <v>8285</v>
      </c>
      <c r="F2739" s="1" t="s">
        <v>1470</v>
      </c>
      <c r="G2739" s="1" t="s">
        <v>12258</v>
      </c>
      <c r="H2739" s="1" t="s">
        <v>3032</v>
      </c>
      <c r="I2739" s="1">
        <v>17333.0</v>
      </c>
      <c r="J2739" s="1" t="s">
        <v>13058</v>
      </c>
      <c r="K2739" s="1" t="s">
        <v>13059</v>
      </c>
      <c r="L2739" s="1">
        <v>153.0</v>
      </c>
      <c r="M2739" s="1" t="s">
        <v>35</v>
      </c>
      <c r="N2739" s="1" t="s">
        <v>36</v>
      </c>
      <c r="O2739" s="1" t="s">
        <v>628</v>
      </c>
      <c r="P2739" s="1">
        <v>5000000.0</v>
      </c>
      <c r="Q2739" s="1">
        <v>2001.0</v>
      </c>
      <c r="R2739" s="1">
        <v>1000.0</v>
      </c>
      <c r="S2739" s="1">
        <v>835.0</v>
      </c>
      <c r="T2739" s="1">
        <v>697.0</v>
      </c>
      <c r="U2739" s="1">
        <v>3300.0</v>
      </c>
      <c r="V2739" s="1">
        <v>596.0</v>
      </c>
      <c r="W2739" s="1">
        <v>0.0</v>
      </c>
      <c r="X2739" s="1">
        <v>2.0</v>
      </c>
      <c r="Y2739" s="1">
        <v>1.85</v>
      </c>
      <c r="Z2739" s="1">
        <v>6.2</v>
      </c>
    </row>
    <row r="2740" ht="14.25" customHeight="1">
      <c r="A2740" s="1" t="s">
        <v>26</v>
      </c>
      <c r="B2740" s="1" t="s">
        <v>13060</v>
      </c>
      <c r="C2740" s="1" t="s">
        <v>13061</v>
      </c>
      <c r="D2740" s="1">
        <v>2807854.0</v>
      </c>
      <c r="E2740" s="1" t="s">
        <v>2223</v>
      </c>
      <c r="F2740" s="1" t="s">
        <v>1892</v>
      </c>
      <c r="G2740" s="1" t="s">
        <v>13062</v>
      </c>
      <c r="H2740" s="1" t="s">
        <v>13063</v>
      </c>
      <c r="I2740" s="1">
        <v>14129.0</v>
      </c>
      <c r="J2740" s="1" t="s">
        <v>13064</v>
      </c>
      <c r="K2740" s="1" t="s">
        <v>13065</v>
      </c>
      <c r="L2740" s="1">
        <v>39.0</v>
      </c>
      <c r="M2740" s="1" t="s">
        <v>35</v>
      </c>
      <c r="N2740" s="1" t="s">
        <v>36</v>
      </c>
      <c r="O2740" s="1" t="s">
        <v>37</v>
      </c>
      <c r="P2740" s="1">
        <v>1.1E7</v>
      </c>
      <c r="Q2740" s="1">
        <v>1991.0</v>
      </c>
      <c r="R2740" s="1">
        <v>14000.0</v>
      </c>
      <c r="S2740" s="1">
        <v>163.0</v>
      </c>
      <c r="T2740" s="1">
        <v>40.0</v>
      </c>
      <c r="U2740" s="1">
        <v>14281.0</v>
      </c>
      <c r="V2740" s="1">
        <v>8.0</v>
      </c>
      <c r="W2740" s="1">
        <v>967.0</v>
      </c>
      <c r="X2740" s="1">
        <v>1.0</v>
      </c>
      <c r="Y2740" s="1">
        <v>1.85</v>
      </c>
      <c r="Z2740" s="1">
        <v>5.1</v>
      </c>
    </row>
    <row r="2741" ht="14.25" customHeight="1">
      <c r="A2741" s="1" t="s">
        <v>26</v>
      </c>
      <c r="B2741" s="1" t="s">
        <v>13066</v>
      </c>
      <c r="C2741" s="1" t="s">
        <v>13067</v>
      </c>
      <c r="D2741" s="1">
        <v>352786.0</v>
      </c>
      <c r="E2741" s="1" t="s">
        <v>4075</v>
      </c>
      <c r="F2741" s="1" t="s">
        <v>13068</v>
      </c>
      <c r="G2741" s="1" t="s">
        <v>13069</v>
      </c>
      <c r="H2741" s="1" t="s">
        <v>13070</v>
      </c>
      <c r="I2741" s="1">
        <v>11132.0</v>
      </c>
      <c r="J2741" s="1" t="s">
        <v>13071</v>
      </c>
      <c r="K2741" s="1" t="s">
        <v>13072</v>
      </c>
      <c r="L2741" s="1">
        <v>86.0</v>
      </c>
      <c r="M2741" s="1" t="s">
        <v>35</v>
      </c>
      <c r="N2741" s="1" t="s">
        <v>36</v>
      </c>
      <c r="O2741" s="1" t="s">
        <v>37</v>
      </c>
      <c r="P2741" s="1">
        <v>1.1E7</v>
      </c>
      <c r="Q2741" s="1">
        <v>2006.0</v>
      </c>
      <c r="R2741" s="1">
        <v>60.0</v>
      </c>
      <c r="S2741" s="1">
        <v>35.0</v>
      </c>
      <c r="T2741" s="1">
        <v>22.0</v>
      </c>
      <c r="U2741" s="1">
        <v>150.0</v>
      </c>
      <c r="V2741" s="1">
        <v>238.0</v>
      </c>
      <c r="W2741" s="1">
        <v>0.0</v>
      </c>
      <c r="X2741" s="1">
        <v>0.0</v>
      </c>
      <c r="Y2741" s="1">
        <v>2.35</v>
      </c>
      <c r="Z2741" s="1">
        <v>6.8</v>
      </c>
    </row>
    <row r="2742" ht="14.25" customHeight="1">
      <c r="A2742" s="1" t="s">
        <v>26</v>
      </c>
      <c r="B2742" s="1" t="s">
        <v>6957</v>
      </c>
      <c r="C2742" s="1" t="s">
        <v>6958</v>
      </c>
      <c r="D2742" s="1">
        <v>7.66E7</v>
      </c>
      <c r="E2742" s="1" t="s">
        <v>6959</v>
      </c>
      <c r="F2742" s="1" t="s">
        <v>6960</v>
      </c>
      <c r="G2742" s="1" t="s">
        <v>6961</v>
      </c>
      <c r="H2742" s="1" t="s">
        <v>1981</v>
      </c>
      <c r="I2742" s="1">
        <v>105448.0</v>
      </c>
      <c r="J2742" s="1" t="s">
        <v>6962</v>
      </c>
      <c r="K2742" s="1" t="s">
        <v>6963</v>
      </c>
      <c r="L2742" s="1">
        <v>321.0</v>
      </c>
      <c r="M2742" s="1" t="s">
        <v>35</v>
      </c>
      <c r="N2742" s="1" t="s">
        <v>36</v>
      </c>
      <c r="O2742" s="1" t="s">
        <v>87</v>
      </c>
      <c r="P2742" s="1">
        <v>1.07E7</v>
      </c>
      <c r="Q2742" s="1">
        <v>1982.0</v>
      </c>
      <c r="R2742" s="1">
        <v>887.0</v>
      </c>
      <c r="S2742" s="1">
        <v>770.0</v>
      </c>
      <c r="T2742" s="1">
        <v>723.0</v>
      </c>
      <c r="U2742" s="1">
        <v>3876.0</v>
      </c>
      <c r="V2742" s="1">
        <v>365.0</v>
      </c>
      <c r="W2742" s="1">
        <v>11000.0</v>
      </c>
      <c r="X2742" s="1">
        <v>0.0</v>
      </c>
      <c r="Y2742" s="1">
        <v>2.35</v>
      </c>
      <c r="Z2742" s="1">
        <v>7.4</v>
      </c>
    </row>
    <row r="2743" ht="14.25" customHeight="1">
      <c r="A2743" s="1" t="s">
        <v>26</v>
      </c>
      <c r="B2743" s="1" t="s">
        <v>13073</v>
      </c>
      <c r="C2743" s="1" t="s">
        <v>13074</v>
      </c>
      <c r="D2743" s="1">
        <v>5.6729973E7</v>
      </c>
      <c r="E2743" s="1" t="s">
        <v>5924</v>
      </c>
      <c r="F2743" s="1" t="s">
        <v>7200</v>
      </c>
      <c r="G2743" s="1" t="s">
        <v>5557</v>
      </c>
      <c r="H2743" s="1" t="s">
        <v>13075</v>
      </c>
      <c r="I2743" s="1">
        <v>88529.0</v>
      </c>
      <c r="J2743" s="1" t="s">
        <v>13076</v>
      </c>
      <c r="K2743" s="1" t="s">
        <v>13077</v>
      </c>
      <c r="L2743" s="1">
        <v>262.0</v>
      </c>
      <c r="M2743" s="1" t="s">
        <v>35</v>
      </c>
      <c r="N2743" s="1" t="s">
        <v>36</v>
      </c>
      <c r="O2743" s="1" t="s">
        <v>628</v>
      </c>
      <c r="P2743" s="1">
        <v>1.08E7</v>
      </c>
      <c r="Q2743" s="1">
        <v>2008.0</v>
      </c>
      <c r="R2743" s="1">
        <v>3000.0</v>
      </c>
      <c r="S2743" s="1">
        <v>723.0</v>
      </c>
      <c r="T2743" s="1">
        <v>357.0</v>
      </c>
      <c r="U2743" s="1">
        <v>5286.0</v>
      </c>
      <c r="V2743" s="1">
        <v>43.0</v>
      </c>
      <c r="W2743" s="1">
        <v>0.0</v>
      </c>
      <c r="X2743" s="1">
        <v>0.0</v>
      </c>
      <c r="Y2743" s="1">
        <v>1.85</v>
      </c>
      <c r="Z2743" s="1">
        <v>5.8</v>
      </c>
    </row>
    <row r="2744" ht="14.25" customHeight="1">
      <c r="A2744" s="1" t="s">
        <v>26</v>
      </c>
      <c r="B2744" s="1" t="s">
        <v>13078</v>
      </c>
      <c r="C2744" s="1" t="s">
        <v>13079</v>
      </c>
      <c r="D2744" s="1">
        <v>399879.0</v>
      </c>
      <c r="E2744" s="1" t="s">
        <v>2061</v>
      </c>
      <c r="F2744" s="1" t="s">
        <v>13080</v>
      </c>
      <c r="G2744" s="1" t="s">
        <v>13081</v>
      </c>
      <c r="H2744" s="1" t="s">
        <v>13082</v>
      </c>
      <c r="I2744" s="1">
        <v>5772.0</v>
      </c>
      <c r="J2744" s="1" t="s">
        <v>13083</v>
      </c>
      <c r="K2744" s="1" t="s">
        <v>13084</v>
      </c>
      <c r="L2744" s="1">
        <v>115.0</v>
      </c>
      <c r="M2744" s="1" t="s">
        <v>35</v>
      </c>
      <c r="N2744" s="1" t="s">
        <v>362</v>
      </c>
      <c r="O2744" s="1" t="s">
        <v>628</v>
      </c>
      <c r="P2744" s="1">
        <v>1.5E7</v>
      </c>
      <c r="Q2744" s="1">
        <v>2006.0</v>
      </c>
      <c r="R2744" s="1">
        <v>172.0</v>
      </c>
      <c r="S2744" s="1">
        <v>71.0</v>
      </c>
      <c r="T2744" s="1">
        <v>48.0</v>
      </c>
      <c r="U2744" s="1">
        <v>378.0</v>
      </c>
      <c r="V2744" s="1">
        <v>10.0</v>
      </c>
      <c r="W2744" s="1">
        <v>302.0</v>
      </c>
      <c r="X2744" s="1">
        <v>2.0</v>
      </c>
      <c r="Y2744" s="1">
        <v>2.35</v>
      </c>
      <c r="Z2744" s="1">
        <v>6.4</v>
      </c>
    </row>
    <row r="2745" ht="14.25" customHeight="1">
      <c r="A2745" s="1" t="s">
        <v>26</v>
      </c>
      <c r="B2745" s="1" t="s">
        <v>13085</v>
      </c>
      <c r="C2745" s="1" t="s">
        <v>13086</v>
      </c>
      <c r="D2745" s="1">
        <v>3275443.0</v>
      </c>
      <c r="E2745" s="1" t="s">
        <v>3238</v>
      </c>
      <c r="F2745" s="1" t="s">
        <v>13087</v>
      </c>
      <c r="G2745" s="1" t="s">
        <v>13088</v>
      </c>
      <c r="H2745" s="1" t="s">
        <v>13089</v>
      </c>
      <c r="I2745" s="1">
        <v>13998.0</v>
      </c>
      <c r="J2745" s="1" t="s">
        <v>13090</v>
      </c>
      <c r="K2745" s="1" t="s">
        <v>13091</v>
      </c>
      <c r="L2745" s="1">
        <v>264.0</v>
      </c>
      <c r="M2745" s="1" t="s">
        <v>13092</v>
      </c>
      <c r="N2745" s="1" t="s">
        <v>13093</v>
      </c>
      <c r="O2745" s="1" t="s">
        <v>628</v>
      </c>
      <c r="P2745" s="1">
        <v>7.0E8</v>
      </c>
      <c r="Q2745" s="1">
        <v>2006.0</v>
      </c>
      <c r="R2745" s="1">
        <v>8000.0</v>
      </c>
      <c r="S2745" s="1">
        <v>1000.0</v>
      </c>
      <c r="T2745" s="1">
        <v>860.0</v>
      </c>
      <c r="U2745" s="1">
        <v>10822.0</v>
      </c>
      <c r="V2745" s="1">
        <v>160.0</v>
      </c>
      <c r="W2745" s="1">
        <v>659.0</v>
      </c>
      <c r="X2745" s="1">
        <v>2.0</v>
      </c>
      <c r="Y2745" s="1">
        <v>2.35</v>
      </c>
      <c r="Z2745" s="1">
        <v>6.0</v>
      </c>
    </row>
    <row r="2746" ht="14.25" customHeight="1">
      <c r="A2746" s="1" t="s">
        <v>26</v>
      </c>
      <c r="B2746" s="1" t="s">
        <v>5620</v>
      </c>
      <c r="C2746" s="1" t="s">
        <v>13094</v>
      </c>
      <c r="D2746" s="1">
        <v>1.8535191E7</v>
      </c>
      <c r="E2746" s="1" t="s">
        <v>1598</v>
      </c>
      <c r="F2746" s="1" t="s">
        <v>3319</v>
      </c>
      <c r="G2746" s="1" t="s">
        <v>688</v>
      </c>
      <c r="H2746" s="1" t="s">
        <v>2806</v>
      </c>
      <c r="I2746" s="1">
        <v>12980.0</v>
      </c>
      <c r="J2746" s="1" t="s">
        <v>13095</v>
      </c>
      <c r="K2746" s="1" t="s">
        <v>13096</v>
      </c>
      <c r="L2746" s="1">
        <v>132.0</v>
      </c>
      <c r="M2746" s="1" t="s">
        <v>35</v>
      </c>
      <c r="N2746" s="1" t="s">
        <v>54</v>
      </c>
      <c r="O2746" s="1" t="s">
        <v>37</v>
      </c>
      <c r="P2746" s="1">
        <v>1.4E7</v>
      </c>
      <c r="Q2746" s="1">
        <v>1999.0</v>
      </c>
      <c r="R2746" s="1">
        <v>893.0</v>
      </c>
      <c r="S2746" s="1">
        <v>692.0</v>
      </c>
      <c r="T2746" s="1">
        <v>327.0</v>
      </c>
      <c r="U2746" s="1">
        <v>2640.0</v>
      </c>
      <c r="V2746" s="1">
        <v>32.0</v>
      </c>
      <c r="W2746" s="1">
        <v>646.0</v>
      </c>
      <c r="X2746" s="1">
        <v>3.0</v>
      </c>
      <c r="Y2746" s="1">
        <v>1.85</v>
      </c>
      <c r="Z2746" s="1">
        <v>6.9</v>
      </c>
    </row>
    <row r="2747" ht="14.25" customHeight="1">
      <c r="A2747" s="1" t="s">
        <v>26</v>
      </c>
      <c r="B2747" s="1" t="s">
        <v>13097</v>
      </c>
      <c r="C2747" s="1" t="s">
        <v>13098</v>
      </c>
      <c r="D2747" s="1">
        <v>23838.0</v>
      </c>
      <c r="E2747" s="1" t="s">
        <v>4107</v>
      </c>
      <c r="F2747" s="1" t="s">
        <v>9484</v>
      </c>
      <c r="G2747" s="1" t="s">
        <v>1938</v>
      </c>
      <c r="H2747" s="1" t="s">
        <v>13099</v>
      </c>
      <c r="I2747" s="1">
        <v>28570.0</v>
      </c>
      <c r="J2747" s="1" t="s">
        <v>13100</v>
      </c>
      <c r="K2747" s="1" t="s">
        <v>13101</v>
      </c>
      <c r="L2747" s="1">
        <v>160.0</v>
      </c>
      <c r="M2747" s="1" t="s">
        <v>35</v>
      </c>
      <c r="N2747" s="1" t="s">
        <v>54</v>
      </c>
      <c r="O2747" s="1" t="s">
        <v>628</v>
      </c>
      <c r="P2747" s="1">
        <v>7000000.0</v>
      </c>
      <c r="Q2747" s="1">
        <v>2013.0</v>
      </c>
      <c r="R2747" s="1">
        <v>805.0</v>
      </c>
      <c r="S2747" s="1">
        <v>766.0</v>
      </c>
      <c r="T2747" s="1">
        <v>507.0</v>
      </c>
      <c r="U2747" s="1">
        <v>2271.0</v>
      </c>
      <c r="V2747" s="1">
        <v>7.0</v>
      </c>
      <c r="W2747" s="1">
        <v>0.0</v>
      </c>
      <c r="X2747" s="1">
        <v>0.0</v>
      </c>
      <c r="Y2747" s="1">
        <v>2.35</v>
      </c>
      <c r="Z2747" s="1">
        <v>5.5</v>
      </c>
    </row>
    <row r="2748" ht="14.25" customHeight="1">
      <c r="A2748" s="1" t="s">
        <v>26</v>
      </c>
      <c r="B2748" s="1" t="s">
        <v>13102</v>
      </c>
      <c r="C2748" s="1" t="s">
        <v>13103</v>
      </c>
      <c r="D2748" s="1">
        <v>2.2160085E7</v>
      </c>
      <c r="E2748" s="1" t="s">
        <v>6019</v>
      </c>
      <c r="F2748" s="1" t="s">
        <v>3001</v>
      </c>
      <c r="G2748" s="1" t="s">
        <v>120</v>
      </c>
      <c r="H2748" s="1" t="s">
        <v>13104</v>
      </c>
      <c r="I2748" s="1">
        <v>16747.0</v>
      </c>
      <c r="J2748" s="1" t="s">
        <v>13105</v>
      </c>
      <c r="K2748" s="1" t="s">
        <v>13106</v>
      </c>
      <c r="L2748" s="1">
        <v>349.0</v>
      </c>
      <c r="M2748" s="1" t="s">
        <v>35</v>
      </c>
      <c r="N2748" s="1" t="s">
        <v>36</v>
      </c>
      <c r="O2748" s="1" t="s">
        <v>37</v>
      </c>
      <c r="P2748" s="1">
        <v>1.06E7</v>
      </c>
      <c r="Q2748" s="1">
        <v>2002.0</v>
      </c>
      <c r="R2748" s="1">
        <v>541.0</v>
      </c>
      <c r="S2748" s="1">
        <v>451.0</v>
      </c>
      <c r="T2748" s="1">
        <v>132.0</v>
      </c>
      <c r="U2748" s="1">
        <v>1228.0</v>
      </c>
      <c r="V2748" s="1">
        <v>57.0</v>
      </c>
      <c r="W2748" s="1">
        <v>1000.0</v>
      </c>
      <c r="X2748" s="1">
        <v>0.0</v>
      </c>
      <c r="Y2748" s="1">
        <v>2.35</v>
      </c>
      <c r="Z2748" s="1">
        <v>5.4</v>
      </c>
    </row>
    <row r="2749" ht="14.25" customHeight="1">
      <c r="A2749" s="1" t="s">
        <v>26</v>
      </c>
      <c r="B2749" s="1" t="s">
        <v>3536</v>
      </c>
      <c r="C2749" s="1" t="s">
        <v>13107</v>
      </c>
      <c r="D2749" s="1">
        <v>5.6715371E7</v>
      </c>
      <c r="E2749" s="1" t="s">
        <v>1325</v>
      </c>
      <c r="F2749" s="1" t="s">
        <v>13108</v>
      </c>
      <c r="G2749" s="1" t="s">
        <v>13109</v>
      </c>
      <c r="H2749" s="1" t="s">
        <v>13110</v>
      </c>
      <c r="I2749" s="1">
        <v>427357.0</v>
      </c>
      <c r="J2749" s="1" t="s">
        <v>13111</v>
      </c>
      <c r="K2749" s="1" t="s">
        <v>13112</v>
      </c>
      <c r="L2749" s="1">
        <v>1736.0</v>
      </c>
      <c r="M2749" s="1" t="s">
        <v>35</v>
      </c>
      <c r="N2749" s="1" t="s">
        <v>54</v>
      </c>
      <c r="O2749" s="1" t="s">
        <v>269</v>
      </c>
      <c r="P2749" s="1">
        <v>1.2E7</v>
      </c>
      <c r="Q2749" s="1">
        <v>1968.0</v>
      </c>
      <c r="R2749" s="1">
        <v>273.0</v>
      </c>
      <c r="S2749" s="1">
        <v>117.0</v>
      </c>
      <c r="T2749" s="1">
        <v>73.0</v>
      </c>
      <c r="U2749" s="1">
        <v>727.0</v>
      </c>
      <c r="V2749" s="1">
        <v>0.0</v>
      </c>
      <c r="W2749" s="1">
        <v>24000.0</v>
      </c>
      <c r="X2749" s="1">
        <v>0.0</v>
      </c>
      <c r="Y2749" s="1">
        <v>2.2</v>
      </c>
      <c r="Z2749" s="1">
        <v>8.3</v>
      </c>
    </row>
    <row r="2750" ht="14.25" customHeight="1">
      <c r="A2750" s="1" t="s">
        <v>26</v>
      </c>
      <c r="B2750" s="1" t="s">
        <v>381</v>
      </c>
      <c r="C2750" s="1" t="s">
        <v>13113</v>
      </c>
      <c r="D2750" s="1">
        <v>4.34949459E8</v>
      </c>
      <c r="E2750" s="1" t="s">
        <v>13114</v>
      </c>
      <c r="F2750" s="1" t="s">
        <v>5574</v>
      </c>
      <c r="G2750" s="1" t="s">
        <v>13115</v>
      </c>
      <c r="H2750" s="1" t="s">
        <v>3036</v>
      </c>
      <c r="I2750" s="1">
        <v>281842.0</v>
      </c>
      <c r="J2750" s="1" t="s">
        <v>13116</v>
      </c>
      <c r="K2750" s="1" t="s">
        <v>13117</v>
      </c>
      <c r="L2750" s="1">
        <v>515.0</v>
      </c>
      <c r="M2750" s="1" t="s">
        <v>35</v>
      </c>
      <c r="N2750" s="1" t="s">
        <v>36</v>
      </c>
      <c r="O2750" s="1" t="s">
        <v>87</v>
      </c>
      <c r="P2750" s="1">
        <v>1.05E7</v>
      </c>
      <c r="Q2750" s="1">
        <v>1982.0</v>
      </c>
      <c r="R2750" s="1">
        <v>861.0</v>
      </c>
      <c r="S2750" s="1">
        <v>725.0</v>
      </c>
      <c r="T2750" s="1">
        <v>548.0</v>
      </c>
      <c r="U2750" s="1">
        <v>2811.0</v>
      </c>
      <c r="V2750" s="1">
        <v>14000.0</v>
      </c>
      <c r="W2750" s="1">
        <v>34000.0</v>
      </c>
      <c r="X2750" s="1">
        <v>0.0</v>
      </c>
      <c r="Y2750" s="1">
        <v>1.85</v>
      </c>
      <c r="Z2750" s="1">
        <v>7.9</v>
      </c>
    </row>
    <row r="2751" ht="14.25" customHeight="1">
      <c r="A2751" s="1" t="s">
        <v>26</v>
      </c>
      <c r="B2751" s="1" t="s">
        <v>13118</v>
      </c>
      <c r="C2751" s="1" t="s">
        <v>13119</v>
      </c>
      <c r="D2751" s="1">
        <v>1.1043445E7</v>
      </c>
      <c r="E2751" s="1" t="s">
        <v>1359</v>
      </c>
      <c r="F2751" s="1" t="s">
        <v>544</v>
      </c>
      <c r="G2751" s="1" t="s">
        <v>13120</v>
      </c>
      <c r="H2751" s="1" t="s">
        <v>11407</v>
      </c>
      <c r="I2751" s="1">
        <v>27689.0</v>
      </c>
      <c r="J2751" s="1" t="s">
        <v>13121</v>
      </c>
      <c r="K2751" s="1" t="s">
        <v>13122</v>
      </c>
      <c r="L2751" s="1">
        <v>74.0</v>
      </c>
      <c r="M2751" s="1" t="s">
        <v>35</v>
      </c>
      <c r="N2751" s="1" t="s">
        <v>36</v>
      </c>
      <c r="O2751" s="1" t="s">
        <v>37</v>
      </c>
      <c r="P2751" s="1">
        <v>1.0E7</v>
      </c>
      <c r="Q2751" s="1">
        <v>2007.0</v>
      </c>
      <c r="R2751" s="1">
        <v>17000.0</v>
      </c>
      <c r="S2751" s="1">
        <v>1000.0</v>
      </c>
      <c r="T2751" s="1">
        <v>499.0</v>
      </c>
      <c r="U2751" s="1">
        <v>20312.0</v>
      </c>
      <c r="V2751" s="1">
        <v>21.0</v>
      </c>
      <c r="W2751" s="1">
        <v>1000.0</v>
      </c>
      <c r="X2751" s="1">
        <v>0.0</v>
      </c>
      <c r="Y2751" s="1">
        <v>2.35</v>
      </c>
      <c r="Z2751" s="1">
        <v>6.5</v>
      </c>
    </row>
    <row r="2752" ht="14.25" customHeight="1">
      <c r="A2752" s="1" t="s">
        <v>26</v>
      </c>
      <c r="B2752" s="1" t="s">
        <v>13123</v>
      </c>
      <c r="C2752" s="1" t="s">
        <v>13124</v>
      </c>
      <c r="D2752" s="1">
        <v>5669081.0</v>
      </c>
      <c r="E2752" s="1" t="s">
        <v>1880</v>
      </c>
      <c r="F2752" s="1" t="s">
        <v>13125</v>
      </c>
      <c r="G2752" s="1" t="s">
        <v>6582</v>
      </c>
      <c r="H2752" s="1" t="s">
        <v>12390</v>
      </c>
      <c r="I2752" s="1">
        <v>3665.0</v>
      </c>
      <c r="J2752" s="1" t="s">
        <v>13126</v>
      </c>
      <c r="K2752" s="1" t="s">
        <v>13127</v>
      </c>
      <c r="L2752" s="1">
        <v>57.0</v>
      </c>
      <c r="M2752" s="1" t="s">
        <v>2648</v>
      </c>
      <c r="N2752" s="1" t="s">
        <v>13128</v>
      </c>
      <c r="O2752" s="1" t="s">
        <v>628</v>
      </c>
      <c r="P2752" s="1">
        <v>1.0818775E7</v>
      </c>
      <c r="Q2752" s="1">
        <v>2012.0</v>
      </c>
      <c r="R2752" s="1">
        <v>639.0</v>
      </c>
      <c r="S2752" s="1">
        <v>377.0</v>
      </c>
      <c r="T2752" s="1">
        <v>280.0</v>
      </c>
      <c r="U2752" s="1">
        <v>1807.0</v>
      </c>
      <c r="V2752" s="1">
        <v>0.0</v>
      </c>
      <c r="W2752" s="1">
        <v>0.0</v>
      </c>
      <c r="X2752" s="1">
        <v>1.0</v>
      </c>
      <c r="Y2752" s="1">
        <v>2.35</v>
      </c>
      <c r="Z2752" s="1">
        <v>6.6</v>
      </c>
    </row>
    <row r="2753" ht="14.25" customHeight="1">
      <c r="A2753" s="1" t="s">
        <v>26</v>
      </c>
      <c r="B2753" s="1" t="s">
        <v>5676</v>
      </c>
      <c r="C2753" s="1" t="s">
        <v>13129</v>
      </c>
      <c r="D2753" s="1">
        <v>1.38339411E8</v>
      </c>
      <c r="E2753" s="1" t="s">
        <v>3238</v>
      </c>
      <c r="F2753" s="1" t="s">
        <v>774</v>
      </c>
      <c r="G2753" s="1" t="s">
        <v>1113</v>
      </c>
      <c r="H2753" s="1" t="s">
        <v>3319</v>
      </c>
      <c r="I2753" s="1">
        <v>604904.0</v>
      </c>
      <c r="J2753" s="1" t="s">
        <v>13130</v>
      </c>
      <c r="K2753" s="1" t="s">
        <v>13131</v>
      </c>
      <c r="L2753" s="1">
        <v>682.0</v>
      </c>
      <c r="M2753" s="1" t="s">
        <v>35</v>
      </c>
      <c r="N2753" s="1" t="s">
        <v>36</v>
      </c>
      <c r="O2753" s="1" t="s">
        <v>628</v>
      </c>
      <c r="P2753" s="1">
        <v>1.0E7</v>
      </c>
      <c r="Q2753" s="1">
        <v>1997.0</v>
      </c>
      <c r="R2753" s="1">
        <v>49000.0</v>
      </c>
      <c r="S2753" s="1">
        <v>13000.0</v>
      </c>
      <c r="T2753" s="1">
        <v>893.0</v>
      </c>
      <c r="U2753" s="1">
        <v>63710.0</v>
      </c>
      <c r="V2753" s="1">
        <v>835.0</v>
      </c>
      <c r="W2753" s="1">
        <v>31000.0</v>
      </c>
      <c r="X2753" s="1">
        <v>2.0</v>
      </c>
      <c r="Y2753" s="1">
        <v>1.85</v>
      </c>
      <c r="Z2753" s="1">
        <v>8.3</v>
      </c>
    </row>
    <row r="2754" ht="14.25" customHeight="1">
      <c r="A2754" s="1" t="s">
        <v>26</v>
      </c>
      <c r="B2754" s="1" t="s">
        <v>13132</v>
      </c>
      <c r="C2754" s="1" t="s">
        <v>13133</v>
      </c>
      <c r="D2754" s="1">
        <v>8.0150343E7</v>
      </c>
      <c r="E2754" s="1" t="s">
        <v>5924</v>
      </c>
      <c r="F2754" s="1" t="s">
        <v>5557</v>
      </c>
      <c r="G2754" s="1" t="s">
        <v>12967</v>
      </c>
      <c r="H2754" s="1" t="s">
        <v>13134</v>
      </c>
      <c r="I2754" s="1">
        <v>142115.0</v>
      </c>
      <c r="J2754" s="1" t="s">
        <v>13135</v>
      </c>
      <c r="K2754" s="1" t="s">
        <v>13136</v>
      </c>
      <c r="L2754" s="1">
        <v>614.0</v>
      </c>
      <c r="M2754" s="1" t="s">
        <v>35</v>
      </c>
      <c r="N2754" s="1" t="s">
        <v>36</v>
      </c>
      <c r="O2754" s="1" t="s">
        <v>628</v>
      </c>
      <c r="P2754" s="1">
        <v>1.0E7</v>
      </c>
      <c r="Q2754" s="1">
        <v>2006.0</v>
      </c>
      <c r="R2754" s="1">
        <v>723.0</v>
      </c>
      <c r="S2754" s="1">
        <v>651.0</v>
      </c>
      <c r="T2754" s="1">
        <v>482.0</v>
      </c>
      <c r="U2754" s="1">
        <v>3189.0</v>
      </c>
      <c r="V2754" s="1">
        <v>163.0</v>
      </c>
      <c r="W2754" s="1">
        <v>0.0</v>
      </c>
      <c r="X2754" s="1">
        <v>0.0</v>
      </c>
      <c r="Y2754" s="1">
        <v>1.85</v>
      </c>
      <c r="Z2754" s="1">
        <v>6.2</v>
      </c>
    </row>
    <row r="2755" ht="14.25" customHeight="1">
      <c r="A2755" s="1" t="s">
        <v>26</v>
      </c>
      <c r="B2755" s="1" t="s">
        <v>2580</v>
      </c>
      <c r="C2755" s="1" t="s">
        <v>13137</v>
      </c>
      <c r="D2755" s="1">
        <v>8.53E7</v>
      </c>
      <c r="E2755" s="1" t="s">
        <v>13138</v>
      </c>
      <c r="F2755" s="1" t="s">
        <v>534</v>
      </c>
      <c r="G2755" s="1" t="s">
        <v>4006</v>
      </c>
      <c r="H2755" s="1" t="s">
        <v>3468</v>
      </c>
      <c r="I2755" s="1">
        <v>48629.0</v>
      </c>
      <c r="J2755" s="1" t="s">
        <v>13139</v>
      </c>
      <c r="K2755" s="1" t="s">
        <v>13140</v>
      </c>
      <c r="L2755" s="1">
        <v>134.0</v>
      </c>
      <c r="M2755" s="1" t="s">
        <v>35</v>
      </c>
      <c r="N2755" s="1" t="s">
        <v>36</v>
      </c>
      <c r="O2755" s="1" t="s">
        <v>628</v>
      </c>
      <c r="P2755" s="1">
        <v>1.0E7</v>
      </c>
      <c r="Q2755" s="1">
        <v>1981.0</v>
      </c>
      <c r="R2755" s="1">
        <v>13000.0</v>
      </c>
      <c r="S2755" s="1">
        <v>11000.0</v>
      </c>
      <c r="T2755" s="1">
        <v>901.0</v>
      </c>
      <c r="U2755" s="1">
        <v>27378.0</v>
      </c>
      <c r="V2755" s="1">
        <v>425.0</v>
      </c>
      <c r="W2755" s="1">
        <v>0.0</v>
      </c>
      <c r="X2755" s="1">
        <v>1.0</v>
      </c>
      <c r="Y2755" s="1">
        <v>1.85</v>
      </c>
      <c r="Z2755" s="1">
        <v>6.9</v>
      </c>
    </row>
    <row r="2756" ht="14.25" customHeight="1">
      <c r="A2756" s="1" t="s">
        <v>26</v>
      </c>
      <c r="B2756" s="1" t="s">
        <v>1120</v>
      </c>
      <c r="C2756" s="1" t="s">
        <v>13141</v>
      </c>
      <c r="D2756" s="1">
        <v>6.835355E7</v>
      </c>
      <c r="E2756" s="1" t="s">
        <v>3714</v>
      </c>
      <c r="F2756" s="1" t="s">
        <v>76</v>
      </c>
      <c r="G2756" s="1" t="s">
        <v>6063</v>
      </c>
      <c r="H2756" s="1" t="s">
        <v>13142</v>
      </c>
      <c r="I2756" s="1">
        <v>70141.0</v>
      </c>
      <c r="J2756" s="1" t="s">
        <v>13143</v>
      </c>
      <c r="K2756" s="1" t="s">
        <v>13144</v>
      </c>
      <c r="L2756" s="1">
        <v>385.0</v>
      </c>
      <c r="M2756" s="1" t="s">
        <v>35</v>
      </c>
      <c r="N2756" s="1" t="s">
        <v>36</v>
      </c>
      <c r="O2756" s="1" t="s">
        <v>37</v>
      </c>
      <c r="P2756" s="1">
        <v>1.0E7</v>
      </c>
      <c r="Q2756" s="1">
        <v>2000.0</v>
      </c>
      <c r="R2756" s="1">
        <v>4000.0</v>
      </c>
      <c r="S2756" s="1">
        <v>464.0</v>
      </c>
      <c r="T2756" s="1">
        <v>229.0</v>
      </c>
      <c r="U2756" s="1">
        <v>5270.0</v>
      </c>
      <c r="V2756" s="1">
        <v>235.0</v>
      </c>
      <c r="W2756" s="1">
        <v>0.0</v>
      </c>
      <c r="X2756" s="1">
        <v>1.0</v>
      </c>
      <c r="Y2756" s="1">
        <v>1.85</v>
      </c>
      <c r="Z2756" s="1">
        <v>5.9</v>
      </c>
    </row>
    <row r="2757" ht="14.25" customHeight="1">
      <c r="A2757" s="1" t="s">
        <v>26</v>
      </c>
      <c r="B2757" s="1" t="s">
        <v>13145</v>
      </c>
      <c r="C2757" s="1" t="s">
        <v>13146</v>
      </c>
      <c r="D2757" s="1">
        <v>7.884513E7</v>
      </c>
      <c r="E2757" s="1" t="s">
        <v>2123</v>
      </c>
      <c r="F2757" s="1" t="s">
        <v>1616</v>
      </c>
      <c r="G2757" s="1" t="s">
        <v>9923</v>
      </c>
      <c r="H2757" s="1" t="s">
        <v>5227</v>
      </c>
      <c r="I2757" s="1">
        <v>17596.0</v>
      </c>
      <c r="J2757" s="1" t="s">
        <v>13147</v>
      </c>
      <c r="K2757" s="1" t="s">
        <v>13148</v>
      </c>
      <c r="L2757" s="1">
        <v>94.0</v>
      </c>
      <c r="M2757" s="1" t="s">
        <v>35</v>
      </c>
      <c r="N2757" s="1" t="s">
        <v>1832</v>
      </c>
      <c r="O2757" s="1" t="s">
        <v>628</v>
      </c>
      <c r="P2757" s="1">
        <v>1.0E7</v>
      </c>
      <c r="Q2757" s="1">
        <v>2016.0</v>
      </c>
      <c r="R2757" s="1">
        <v>798.0</v>
      </c>
      <c r="S2757" s="1">
        <v>465.0</v>
      </c>
      <c r="T2757" s="1">
        <v>393.0</v>
      </c>
      <c r="U2757" s="1">
        <v>2480.0</v>
      </c>
      <c r="V2757" s="1">
        <v>65.0</v>
      </c>
      <c r="W2757" s="1">
        <v>0.0</v>
      </c>
      <c r="X2757" s="1">
        <v>1.0</v>
      </c>
      <c r="Y2757" s="1">
        <v>2.35</v>
      </c>
      <c r="Z2757" s="1">
        <v>6.1</v>
      </c>
    </row>
    <row r="2758" ht="14.25" customHeight="1">
      <c r="A2758" s="1" t="s">
        <v>26</v>
      </c>
      <c r="B2758" s="1" t="s">
        <v>11282</v>
      </c>
      <c r="C2758" s="1" t="s">
        <v>13149</v>
      </c>
      <c r="D2758" s="1">
        <v>6.3319509E7</v>
      </c>
      <c r="E2758" s="1" t="s">
        <v>1598</v>
      </c>
      <c r="F2758" s="1" t="s">
        <v>328</v>
      </c>
      <c r="G2758" s="1" t="s">
        <v>5630</v>
      </c>
      <c r="H2758" s="1" t="s">
        <v>2358</v>
      </c>
      <c r="I2758" s="1">
        <v>67115.0</v>
      </c>
      <c r="J2758" s="1" t="s">
        <v>13150</v>
      </c>
      <c r="K2758" s="1" t="s">
        <v>13151</v>
      </c>
      <c r="L2758" s="1">
        <v>389.0</v>
      </c>
      <c r="M2758" s="1" t="s">
        <v>35</v>
      </c>
      <c r="N2758" s="1" t="s">
        <v>36</v>
      </c>
      <c r="O2758" s="1" t="s">
        <v>37</v>
      </c>
      <c r="P2758" s="1">
        <v>1.0E7</v>
      </c>
      <c r="Q2758" s="1">
        <v>1999.0</v>
      </c>
      <c r="R2758" s="1">
        <v>23000.0</v>
      </c>
      <c r="S2758" s="1">
        <v>1000.0</v>
      </c>
      <c r="T2758" s="1">
        <v>1000.0</v>
      </c>
      <c r="U2758" s="1">
        <v>28734.0</v>
      </c>
      <c r="V2758" s="1">
        <v>7.0</v>
      </c>
      <c r="W2758" s="1">
        <v>0.0</v>
      </c>
      <c r="X2758" s="1">
        <v>2.0</v>
      </c>
      <c r="Y2758" s="1">
        <v>1.85</v>
      </c>
      <c r="Z2758" s="1">
        <v>5.8</v>
      </c>
    </row>
    <row r="2759" ht="14.25" customHeight="1">
      <c r="A2759" s="1" t="s">
        <v>26</v>
      </c>
      <c r="B2759" s="1" t="s">
        <v>6607</v>
      </c>
      <c r="C2759" s="1" t="s">
        <v>6608</v>
      </c>
      <c r="D2759" s="1">
        <v>4.7536959E7</v>
      </c>
      <c r="E2759" s="1" t="s">
        <v>3238</v>
      </c>
      <c r="F2759" s="1" t="s">
        <v>5151</v>
      </c>
      <c r="G2759" s="1" t="s">
        <v>2272</v>
      </c>
      <c r="H2759" s="1" t="s">
        <v>6609</v>
      </c>
      <c r="I2759" s="1">
        <v>86956.0</v>
      </c>
      <c r="J2759" s="1" t="s">
        <v>6610</v>
      </c>
      <c r="K2759" s="1" t="s">
        <v>6611</v>
      </c>
      <c r="L2759" s="1">
        <v>275.0</v>
      </c>
      <c r="M2759" s="1" t="s">
        <v>35</v>
      </c>
      <c r="N2759" s="1" t="s">
        <v>36</v>
      </c>
      <c r="O2759" s="1" t="s">
        <v>628</v>
      </c>
      <c r="P2759" s="1">
        <v>1.0E7</v>
      </c>
      <c r="Q2759" s="1">
        <v>2009.0</v>
      </c>
      <c r="R2759" s="1">
        <v>939.0</v>
      </c>
      <c r="S2759" s="1">
        <v>906.0</v>
      </c>
      <c r="T2759" s="1">
        <v>736.0</v>
      </c>
      <c r="U2759" s="1">
        <v>3276.0</v>
      </c>
      <c r="V2759" s="1">
        <v>304.0</v>
      </c>
      <c r="W2759" s="1">
        <v>12000.0</v>
      </c>
      <c r="X2759" s="1">
        <v>0.0</v>
      </c>
      <c r="Y2759" s="1">
        <v>1.85</v>
      </c>
      <c r="Z2759" s="1">
        <v>7.3</v>
      </c>
    </row>
    <row r="2760" ht="14.25" customHeight="1">
      <c r="A2760" s="1" t="s">
        <v>26</v>
      </c>
      <c r="B2760" s="1" t="s">
        <v>13132</v>
      </c>
      <c r="C2760" s="1" t="s">
        <v>13152</v>
      </c>
      <c r="D2760" s="1">
        <v>6.3270259E7</v>
      </c>
      <c r="E2760" s="1" t="s">
        <v>5924</v>
      </c>
      <c r="F2760" s="1" t="s">
        <v>5557</v>
      </c>
      <c r="G2760" s="1" t="s">
        <v>12967</v>
      </c>
      <c r="H2760" s="1" t="s">
        <v>7217</v>
      </c>
      <c r="I2760" s="1">
        <v>111087.0</v>
      </c>
      <c r="J2760" s="1" t="s">
        <v>13153</v>
      </c>
      <c r="K2760" s="1" t="s">
        <v>13154</v>
      </c>
      <c r="L2760" s="1">
        <v>319.0</v>
      </c>
      <c r="M2760" s="1" t="s">
        <v>35</v>
      </c>
      <c r="N2760" s="1" t="s">
        <v>36</v>
      </c>
      <c r="O2760" s="1" t="s">
        <v>628</v>
      </c>
      <c r="P2760" s="1">
        <v>1.0E7</v>
      </c>
      <c r="Q2760" s="1">
        <v>2007.0</v>
      </c>
      <c r="R2760" s="1">
        <v>723.0</v>
      </c>
      <c r="S2760" s="1">
        <v>651.0</v>
      </c>
      <c r="T2760" s="1">
        <v>448.0</v>
      </c>
      <c r="U2760" s="1">
        <v>3492.0</v>
      </c>
      <c r="V2760" s="1">
        <v>163.0</v>
      </c>
      <c r="W2760" s="1">
        <v>0.0</v>
      </c>
      <c r="X2760" s="1">
        <v>0.0</v>
      </c>
      <c r="Y2760" s="1">
        <v>1.85</v>
      </c>
      <c r="Z2760" s="1">
        <v>5.9</v>
      </c>
    </row>
    <row r="2761" ht="14.25" customHeight="1">
      <c r="A2761" s="1" t="s">
        <v>26</v>
      </c>
      <c r="B2761" s="1" t="s">
        <v>6455</v>
      </c>
      <c r="C2761" s="1" t="s">
        <v>13155</v>
      </c>
      <c r="D2761" s="1">
        <v>5.5865715E7</v>
      </c>
      <c r="E2761" s="1" t="s">
        <v>5758</v>
      </c>
      <c r="F2761" s="1" t="s">
        <v>4809</v>
      </c>
      <c r="G2761" s="1" t="s">
        <v>8589</v>
      </c>
      <c r="H2761" s="1" t="s">
        <v>4184</v>
      </c>
      <c r="I2761" s="1">
        <v>41763.0</v>
      </c>
      <c r="J2761" s="1" t="s">
        <v>13156</v>
      </c>
      <c r="K2761" s="1" t="s">
        <v>13157</v>
      </c>
      <c r="L2761" s="1">
        <v>403.0</v>
      </c>
      <c r="M2761" s="1" t="s">
        <v>35</v>
      </c>
      <c r="N2761" s="1" t="s">
        <v>54</v>
      </c>
      <c r="O2761" s="1" t="s">
        <v>37</v>
      </c>
      <c r="P2761" s="1">
        <v>1.0E7</v>
      </c>
      <c r="Q2761" s="1">
        <v>2005.0</v>
      </c>
      <c r="R2761" s="1">
        <v>494.0</v>
      </c>
      <c r="S2761" s="1">
        <v>392.0</v>
      </c>
      <c r="T2761" s="1">
        <v>368.0</v>
      </c>
      <c r="U2761" s="1">
        <v>2013.0</v>
      </c>
      <c r="V2761" s="1">
        <v>13.0</v>
      </c>
      <c r="W2761" s="1">
        <v>0.0</v>
      </c>
      <c r="X2761" s="1">
        <v>0.0</v>
      </c>
      <c r="Y2761" s="1">
        <v>2.35</v>
      </c>
      <c r="Z2761" s="1">
        <v>5.5</v>
      </c>
    </row>
    <row r="2762" ht="14.25" customHeight="1">
      <c r="A2762" s="1" t="s">
        <v>26</v>
      </c>
      <c r="B2762" s="1" t="s">
        <v>8809</v>
      </c>
      <c r="C2762" s="1" t="s">
        <v>13158</v>
      </c>
      <c r="D2762" s="1">
        <v>6.3231524E7</v>
      </c>
      <c r="E2762" s="1" t="s">
        <v>1359</v>
      </c>
      <c r="F2762" s="1" t="s">
        <v>2672</v>
      </c>
      <c r="G2762" s="1" t="s">
        <v>7052</v>
      </c>
      <c r="H2762" s="1" t="s">
        <v>6770</v>
      </c>
      <c r="I2762" s="1">
        <v>8962.0</v>
      </c>
      <c r="J2762" s="1" t="s">
        <v>13159</v>
      </c>
      <c r="K2762" s="1" t="s">
        <v>13160</v>
      </c>
      <c r="L2762" s="1">
        <v>137.0</v>
      </c>
      <c r="M2762" s="1" t="s">
        <v>35</v>
      </c>
      <c r="N2762" s="1" t="s">
        <v>36</v>
      </c>
      <c r="O2762" s="1" t="s">
        <v>37</v>
      </c>
      <c r="P2762" s="1">
        <v>6000000.0</v>
      </c>
      <c r="Q2762" s="1">
        <v>2006.0</v>
      </c>
      <c r="R2762" s="1">
        <v>1000.0</v>
      </c>
      <c r="S2762" s="1">
        <v>907.0</v>
      </c>
      <c r="T2762" s="1">
        <v>685.0</v>
      </c>
      <c r="U2762" s="1">
        <v>5264.0</v>
      </c>
      <c r="V2762" s="1">
        <v>0.0</v>
      </c>
      <c r="W2762" s="1">
        <v>676.0</v>
      </c>
      <c r="X2762" s="1">
        <v>4.0</v>
      </c>
      <c r="Y2762" s="1">
        <v>1.85</v>
      </c>
      <c r="Z2762" s="1">
        <v>5.0</v>
      </c>
    </row>
    <row r="2763" ht="14.25" customHeight="1">
      <c r="A2763" s="1" t="s">
        <v>26</v>
      </c>
      <c r="B2763" s="1" t="s">
        <v>472</v>
      </c>
      <c r="C2763" s="1" t="s">
        <v>13161</v>
      </c>
      <c r="D2763" s="1">
        <v>5.2293982E7</v>
      </c>
      <c r="E2763" s="1" t="s">
        <v>3598</v>
      </c>
      <c r="F2763" s="1" t="s">
        <v>508</v>
      </c>
      <c r="G2763" s="1" t="s">
        <v>3633</v>
      </c>
      <c r="H2763" s="1" t="s">
        <v>1291</v>
      </c>
      <c r="I2763" s="1">
        <v>57831.0</v>
      </c>
      <c r="J2763" s="1" t="s">
        <v>13162</v>
      </c>
      <c r="K2763" s="1" t="s">
        <v>13163</v>
      </c>
      <c r="L2763" s="1">
        <v>115.0</v>
      </c>
      <c r="M2763" s="1" t="s">
        <v>35</v>
      </c>
      <c r="N2763" s="1" t="s">
        <v>36</v>
      </c>
      <c r="O2763" s="1" t="s">
        <v>628</v>
      </c>
      <c r="P2763" s="1">
        <v>1.38E7</v>
      </c>
      <c r="Q2763" s="1">
        <v>1986.0</v>
      </c>
      <c r="R2763" s="1">
        <v>10000.0</v>
      </c>
      <c r="S2763" s="1">
        <v>970.0</v>
      </c>
      <c r="T2763" s="1">
        <v>638.0</v>
      </c>
      <c r="U2763" s="1">
        <v>11895.0</v>
      </c>
      <c r="V2763" s="1">
        <v>17000.0</v>
      </c>
      <c r="W2763" s="1">
        <v>0.0</v>
      </c>
      <c r="X2763" s="1">
        <v>1.0</v>
      </c>
      <c r="Y2763" s="1">
        <v>1.85</v>
      </c>
      <c r="Z2763" s="1">
        <v>7.0</v>
      </c>
    </row>
    <row r="2764" ht="14.25" customHeight="1">
      <c r="A2764" s="1" t="s">
        <v>26</v>
      </c>
      <c r="B2764" s="1" t="s">
        <v>4205</v>
      </c>
      <c r="C2764" s="1" t="s">
        <v>13164</v>
      </c>
      <c r="D2764" s="1">
        <v>5.0752337E7</v>
      </c>
      <c r="E2764" s="1" t="s">
        <v>12543</v>
      </c>
      <c r="F2764" s="1" t="s">
        <v>12938</v>
      </c>
      <c r="G2764" s="1" t="s">
        <v>6210</v>
      </c>
      <c r="H2764" s="1" t="s">
        <v>7913</v>
      </c>
      <c r="I2764" s="1">
        <v>44502.0</v>
      </c>
      <c r="J2764" s="1" t="s">
        <v>13165</v>
      </c>
      <c r="K2764" s="1" t="s">
        <v>13166</v>
      </c>
      <c r="L2764" s="1">
        <v>46.0</v>
      </c>
      <c r="M2764" s="1" t="s">
        <v>35</v>
      </c>
      <c r="N2764" s="1" t="s">
        <v>36</v>
      </c>
      <c r="O2764" s="1" t="s">
        <v>87</v>
      </c>
      <c r="P2764" s="1">
        <v>1.0E7</v>
      </c>
      <c r="Q2764" s="1">
        <v>1992.0</v>
      </c>
      <c r="R2764" s="1">
        <v>633.0</v>
      </c>
      <c r="S2764" s="1">
        <v>613.0</v>
      </c>
      <c r="T2764" s="1">
        <v>577.0</v>
      </c>
      <c r="U2764" s="1">
        <v>3362.0</v>
      </c>
      <c r="V2764" s="1">
        <v>65.0</v>
      </c>
      <c r="W2764" s="1">
        <v>0.0</v>
      </c>
      <c r="X2764" s="1">
        <v>8.0</v>
      </c>
      <c r="Y2764" s="1">
        <v>1.85</v>
      </c>
      <c r="Z2764" s="1">
        <v>6.4</v>
      </c>
    </row>
    <row r="2765" ht="14.25" customHeight="1">
      <c r="A2765" s="1" t="s">
        <v>26</v>
      </c>
      <c r="B2765" s="1" t="s">
        <v>9938</v>
      </c>
      <c r="C2765" s="1" t="s">
        <v>13167</v>
      </c>
      <c r="D2765" s="1">
        <v>1.10175871E8</v>
      </c>
      <c r="E2765" s="1" t="s">
        <v>2882</v>
      </c>
      <c r="F2765" s="1" t="s">
        <v>2378</v>
      </c>
      <c r="G2765" s="1" t="s">
        <v>5630</v>
      </c>
      <c r="H2765" s="1" t="s">
        <v>13168</v>
      </c>
      <c r="I2765" s="1">
        <v>115050.0</v>
      </c>
      <c r="J2765" s="1" t="s">
        <v>13169</v>
      </c>
      <c r="K2765" s="1" t="s">
        <v>13170</v>
      </c>
      <c r="L2765" s="1">
        <v>911.0</v>
      </c>
      <c r="M2765" s="1" t="s">
        <v>35</v>
      </c>
      <c r="N2765" s="1" t="s">
        <v>36</v>
      </c>
      <c r="O2765" s="1" t="s">
        <v>37</v>
      </c>
      <c r="P2765" s="1">
        <v>1.0E7</v>
      </c>
      <c r="Q2765" s="1">
        <v>2004.0</v>
      </c>
      <c r="R2765" s="1">
        <v>4000.0</v>
      </c>
      <c r="S2765" s="1">
        <v>1000.0</v>
      </c>
      <c r="T2765" s="1">
        <v>634.0</v>
      </c>
      <c r="U2765" s="1">
        <v>7461.0</v>
      </c>
      <c r="V2765" s="1">
        <v>70.0</v>
      </c>
      <c r="W2765" s="1">
        <v>4000.0</v>
      </c>
      <c r="X2765" s="1">
        <v>0.0</v>
      </c>
      <c r="Y2765" s="1">
        <v>1.85</v>
      </c>
      <c r="Z2765" s="1">
        <v>5.9</v>
      </c>
    </row>
    <row r="2766" ht="14.25" customHeight="1">
      <c r="A2766" s="1" t="s">
        <v>26</v>
      </c>
      <c r="B2766" s="1" t="s">
        <v>2093</v>
      </c>
      <c r="C2766" s="1" t="s">
        <v>13171</v>
      </c>
      <c r="D2766" s="1">
        <v>3.8624E7</v>
      </c>
      <c r="E2766" s="1" t="s">
        <v>3714</v>
      </c>
      <c r="F2766" s="1" t="s">
        <v>2095</v>
      </c>
      <c r="G2766" s="1" t="s">
        <v>2097</v>
      </c>
      <c r="H2766" s="1" t="s">
        <v>13172</v>
      </c>
      <c r="I2766" s="1">
        <v>156143.0</v>
      </c>
      <c r="J2766" s="1" t="s">
        <v>13173</v>
      </c>
      <c r="K2766" s="1" t="s">
        <v>13174</v>
      </c>
      <c r="L2766" s="1">
        <v>289.0</v>
      </c>
      <c r="M2766" s="1" t="s">
        <v>35</v>
      </c>
      <c r="N2766" s="1" t="s">
        <v>36</v>
      </c>
      <c r="O2766" s="1" t="s">
        <v>37</v>
      </c>
      <c r="P2766" s="1">
        <v>1.2E7</v>
      </c>
      <c r="Q2766" s="1">
        <v>1996.0</v>
      </c>
      <c r="R2766" s="1">
        <v>11000.0</v>
      </c>
      <c r="S2766" s="1">
        <v>503.0</v>
      </c>
      <c r="T2766" s="1">
        <v>491.0</v>
      </c>
      <c r="U2766" s="1">
        <v>13162.0</v>
      </c>
      <c r="V2766" s="1">
        <v>221.0</v>
      </c>
      <c r="W2766" s="1">
        <v>0.0</v>
      </c>
      <c r="X2766" s="1">
        <v>1.0</v>
      </c>
      <c r="Y2766" s="1">
        <v>1.85</v>
      </c>
      <c r="Z2766" s="1">
        <v>7.0</v>
      </c>
    </row>
    <row r="2767" ht="14.25" customHeight="1">
      <c r="A2767" s="1" t="s">
        <v>26</v>
      </c>
      <c r="B2767" s="1" t="s">
        <v>8898</v>
      </c>
      <c r="C2767" s="1" t="s">
        <v>13175</v>
      </c>
      <c r="D2767" s="1">
        <v>3.7470017E7</v>
      </c>
      <c r="E2767" s="1" t="s">
        <v>5924</v>
      </c>
      <c r="F2767" s="1" t="s">
        <v>3993</v>
      </c>
      <c r="G2767" s="1" t="s">
        <v>13176</v>
      </c>
      <c r="H2767" s="1" t="s">
        <v>8900</v>
      </c>
      <c r="I2767" s="1">
        <v>86890.0</v>
      </c>
      <c r="J2767" s="1" t="s">
        <v>13177</v>
      </c>
      <c r="K2767" s="1" t="s">
        <v>13178</v>
      </c>
      <c r="L2767" s="1">
        <v>985.0</v>
      </c>
      <c r="M2767" s="1" t="s">
        <v>35</v>
      </c>
      <c r="N2767" s="1" t="s">
        <v>730</v>
      </c>
      <c r="O2767" s="1" t="s">
        <v>628</v>
      </c>
      <c r="P2767" s="1">
        <v>1.0E7</v>
      </c>
      <c r="Q2767" s="1">
        <v>2001.0</v>
      </c>
      <c r="R2767" s="1">
        <v>1000.0</v>
      </c>
      <c r="S2767" s="1">
        <v>322.0</v>
      </c>
      <c r="T2767" s="1">
        <v>270.0</v>
      </c>
      <c r="U2767" s="1">
        <v>1982.0</v>
      </c>
      <c r="V2767" s="1">
        <v>108.0</v>
      </c>
      <c r="W2767" s="1">
        <v>0.0</v>
      </c>
      <c r="X2767" s="1">
        <v>0.0</v>
      </c>
      <c r="Y2767" s="1">
        <v>1.85</v>
      </c>
      <c r="Z2767" s="1">
        <v>6.1</v>
      </c>
    </row>
    <row r="2768" ht="14.25" customHeight="1">
      <c r="A2768" s="1" t="s">
        <v>26</v>
      </c>
      <c r="B2768" s="1" t="s">
        <v>4205</v>
      </c>
      <c r="C2768" s="1" t="s">
        <v>13179</v>
      </c>
      <c r="D2768" s="1">
        <v>4.0485039E7</v>
      </c>
      <c r="E2768" s="1" t="s">
        <v>13180</v>
      </c>
      <c r="F2768" s="1" t="s">
        <v>563</v>
      </c>
      <c r="G2768" s="1" t="s">
        <v>3135</v>
      </c>
      <c r="H2768" s="1" t="s">
        <v>13181</v>
      </c>
      <c r="I2768" s="1">
        <v>85362.0</v>
      </c>
      <c r="J2768" s="1" t="s">
        <v>13182</v>
      </c>
      <c r="K2768" s="1" t="s">
        <v>13183</v>
      </c>
      <c r="L2768" s="1">
        <v>181.0</v>
      </c>
      <c r="M2768" s="1" t="s">
        <v>35</v>
      </c>
      <c r="N2768" s="1" t="s">
        <v>36</v>
      </c>
      <c r="O2768" s="1" t="s">
        <v>87</v>
      </c>
      <c r="P2768" s="1">
        <v>1.0E7</v>
      </c>
      <c r="Q2768" s="1">
        <v>1989.0</v>
      </c>
      <c r="R2768" s="1">
        <v>18000.0</v>
      </c>
      <c r="S2768" s="1">
        <v>769.0</v>
      </c>
      <c r="T2768" s="1">
        <v>730.0</v>
      </c>
      <c r="U2768" s="1">
        <v>20795.0</v>
      </c>
      <c r="V2768" s="1">
        <v>65.0</v>
      </c>
      <c r="W2768" s="1">
        <v>0.0</v>
      </c>
      <c r="X2768" s="1">
        <v>6.0</v>
      </c>
      <c r="Y2768" s="1">
        <v>2.35</v>
      </c>
      <c r="Z2768" s="1">
        <v>6.9</v>
      </c>
    </row>
    <row r="2769" ht="14.25" customHeight="1">
      <c r="A2769" s="1" t="s">
        <v>26</v>
      </c>
      <c r="B2769" s="1" t="s">
        <v>13184</v>
      </c>
      <c r="C2769" s="1" t="s">
        <v>13185</v>
      </c>
      <c r="D2769" s="1">
        <v>1.68E7</v>
      </c>
      <c r="E2769" s="1" t="s">
        <v>13186</v>
      </c>
      <c r="F2769" s="1" t="s">
        <v>1612</v>
      </c>
      <c r="G2769" s="1" t="s">
        <v>13187</v>
      </c>
      <c r="H2769" s="1" t="s">
        <v>13188</v>
      </c>
      <c r="I2769" s="1">
        <v>25303.0</v>
      </c>
      <c r="J2769" s="1" t="s">
        <v>13189</v>
      </c>
      <c r="K2769" s="1" t="s">
        <v>13190</v>
      </c>
      <c r="L2769" s="1">
        <v>138.0</v>
      </c>
      <c r="M2769" s="1" t="s">
        <v>35</v>
      </c>
      <c r="N2769" s="1" t="s">
        <v>54</v>
      </c>
      <c r="O2769" s="1" t="s">
        <v>269</v>
      </c>
      <c r="P2769" s="1">
        <v>1.0E7</v>
      </c>
      <c r="Q2769" s="1">
        <v>1968.0</v>
      </c>
      <c r="R2769" s="1">
        <v>695.0</v>
      </c>
      <c r="S2769" s="1">
        <v>275.0</v>
      </c>
      <c r="T2769" s="1">
        <v>139.0</v>
      </c>
      <c r="U2769" s="1">
        <v>1593.0</v>
      </c>
      <c r="V2769" s="1">
        <v>82.0</v>
      </c>
      <c r="W2769" s="1">
        <v>0.0</v>
      </c>
      <c r="X2769" s="1">
        <v>1.0</v>
      </c>
      <c r="Y2769" s="1">
        <v>2.35</v>
      </c>
      <c r="Z2769" s="1">
        <v>7.5</v>
      </c>
    </row>
    <row r="2770" ht="14.25" customHeight="1">
      <c r="A2770" s="1" t="s">
        <v>26</v>
      </c>
      <c r="B2770" s="1" t="s">
        <v>4291</v>
      </c>
      <c r="C2770" s="1" t="s">
        <v>13191</v>
      </c>
      <c r="D2770" s="1">
        <v>4.6377022E7</v>
      </c>
      <c r="E2770" s="1" t="s">
        <v>2422</v>
      </c>
      <c r="F2770" s="1" t="s">
        <v>130</v>
      </c>
      <c r="G2770" s="1" t="s">
        <v>1084</v>
      </c>
      <c r="H2770" s="1" t="s">
        <v>4982</v>
      </c>
      <c r="I2770" s="1">
        <v>75306.0</v>
      </c>
      <c r="J2770" s="1" t="s">
        <v>13192</v>
      </c>
      <c r="K2770" s="1" t="s">
        <v>13193</v>
      </c>
      <c r="L2770" s="1">
        <v>266.0</v>
      </c>
      <c r="M2770" s="1" t="s">
        <v>35</v>
      </c>
      <c r="N2770" s="1" t="s">
        <v>54</v>
      </c>
      <c r="O2770" s="1" t="s">
        <v>37</v>
      </c>
      <c r="P2770" s="1">
        <v>1.0E7</v>
      </c>
      <c r="Q2770" s="1">
        <v>2011.0</v>
      </c>
      <c r="R2770" s="1">
        <v>1000.0</v>
      </c>
      <c r="S2770" s="1">
        <v>400.0</v>
      </c>
      <c r="T2770" s="1">
        <v>186.0</v>
      </c>
      <c r="U2770" s="1">
        <v>1898.0</v>
      </c>
      <c r="V2770" s="1">
        <v>108.0</v>
      </c>
      <c r="W2770" s="1">
        <v>48000.0</v>
      </c>
      <c r="X2770" s="1">
        <v>3.0</v>
      </c>
      <c r="Y2770" s="1">
        <v>2.35</v>
      </c>
      <c r="Z2770" s="1">
        <v>7.3</v>
      </c>
    </row>
    <row r="2771" ht="14.25" customHeight="1">
      <c r="A2771" s="1" t="s">
        <v>26</v>
      </c>
      <c r="B2771" s="1" t="s">
        <v>13194</v>
      </c>
      <c r="C2771" s="1" t="s">
        <v>13195</v>
      </c>
      <c r="D2771" s="1">
        <v>3.6696761E7</v>
      </c>
      <c r="E2771" s="1" t="s">
        <v>7772</v>
      </c>
      <c r="F2771" s="1" t="s">
        <v>827</v>
      </c>
      <c r="G2771" s="1" t="s">
        <v>13196</v>
      </c>
      <c r="H2771" s="1" t="s">
        <v>13197</v>
      </c>
      <c r="I2771" s="1">
        <v>6808.0</v>
      </c>
      <c r="J2771" s="1" t="s">
        <v>13198</v>
      </c>
      <c r="K2771" s="1" t="s">
        <v>13199</v>
      </c>
      <c r="L2771" s="1">
        <v>38.0</v>
      </c>
      <c r="M2771" s="1" t="s">
        <v>35</v>
      </c>
      <c r="N2771" s="1" t="s">
        <v>36</v>
      </c>
      <c r="O2771" s="1" t="s">
        <v>269</v>
      </c>
      <c r="P2771" s="1">
        <v>2.3E7</v>
      </c>
      <c r="Q2771" s="1">
        <v>2001.0</v>
      </c>
      <c r="R2771" s="1">
        <v>759.0</v>
      </c>
      <c r="S2771" s="1">
        <v>563.0</v>
      </c>
      <c r="T2771" s="1">
        <v>345.0</v>
      </c>
      <c r="U2771" s="1">
        <v>2197.0</v>
      </c>
      <c r="V2771" s="1">
        <v>6.0</v>
      </c>
      <c r="W2771" s="1">
        <v>227.0</v>
      </c>
      <c r="X2771" s="1">
        <v>0.0</v>
      </c>
      <c r="Y2771" s="1">
        <v>1.85</v>
      </c>
      <c r="Z2771" s="1">
        <v>6.5</v>
      </c>
    </row>
    <row r="2772" ht="14.25" customHeight="1">
      <c r="A2772" s="1" t="s">
        <v>26</v>
      </c>
      <c r="B2772" s="1" t="s">
        <v>808</v>
      </c>
      <c r="C2772" s="1" t="s">
        <v>13200</v>
      </c>
      <c r="D2772" s="1">
        <v>3.62E7</v>
      </c>
      <c r="E2772" s="1" t="s">
        <v>219</v>
      </c>
      <c r="F2772" s="1" t="s">
        <v>13201</v>
      </c>
      <c r="G2772" s="1" t="s">
        <v>706</v>
      </c>
      <c r="H2772" s="1" t="s">
        <v>13202</v>
      </c>
      <c r="I2772" s="1">
        <v>101840.0</v>
      </c>
      <c r="J2772" s="1" t="s">
        <v>13203</v>
      </c>
      <c r="K2772" s="1" t="s">
        <v>13204</v>
      </c>
      <c r="L2772" s="1">
        <v>193.0</v>
      </c>
      <c r="M2772" s="1" t="s">
        <v>35</v>
      </c>
      <c r="N2772" s="1" t="s">
        <v>362</v>
      </c>
      <c r="O2772" s="1" t="s">
        <v>37</v>
      </c>
      <c r="P2772" s="1">
        <v>1.2305523E7</v>
      </c>
      <c r="Q2772" s="1">
        <v>1985.0</v>
      </c>
      <c r="R2772" s="1">
        <v>794.0</v>
      </c>
      <c r="S2772" s="1">
        <v>531.0</v>
      </c>
      <c r="T2772" s="1">
        <v>60.0</v>
      </c>
      <c r="U2772" s="1">
        <v>1529.0</v>
      </c>
      <c r="V2772" s="1">
        <v>750.0</v>
      </c>
      <c r="W2772" s="1">
        <v>0.0</v>
      </c>
      <c r="X2772" s="1">
        <v>2.0</v>
      </c>
      <c r="Y2772" s="1">
        <v>2.35</v>
      </c>
      <c r="Z2772" s="1">
        <v>6.2</v>
      </c>
    </row>
    <row r="2773" ht="14.25" customHeight="1">
      <c r="A2773" s="1" t="s">
        <v>26</v>
      </c>
      <c r="B2773" s="1" t="s">
        <v>10087</v>
      </c>
      <c r="C2773" s="1" t="s">
        <v>13205</v>
      </c>
      <c r="D2773" s="1">
        <v>3.5794166E7</v>
      </c>
      <c r="E2773" s="1" t="s">
        <v>2882</v>
      </c>
      <c r="F2773" s="1" t="s">
        <v>106</v>
      </c>
      <c r="G2773" s="1" t="s">
        <v>3390</v>
      </c>
      <c r="H2773" s="1" t="s">
        <v>13206</v>
      </c>
      <c r="I2773" s="1">
        <v>35654.0</v>
      </c>
      <c r="J2773" s="1" t="s">
        <v>13207</v>
      </c>
      <c r="K2773" s="1" t="s">
        <v>13208</v>
      </c>
      <c r="L2773" s="1">
        <v>155.0</v>
      </c>
      <c r="M2773" s="1" t="s">
        <v>35</v>
      </c>
      <c r="N2773" s="1" t="s">
        <v>36</v>
      </c>
      <c r="O2773" s="1" t="s">
        <v>37</v>
      </c>
      <c r="P2773" s="1">
        <v>1.0E7</v>
      </c>
      <c r="Q2773" s="1">
        <v>2016.0</v>
      </c>
      <c r="R2773" s="1">
        <v>4000.0</v>
      </c>
      <c r="S2773" s="1">
        <v>334.0</v>
      </c>
      <c r="T2773" s="1">
        <v>130.0</v>
      </c>
      <c r="U2773" s="1">
        <v>4687.0</v>
      </c>
      <c r="V2773" s="1">
        <v>19.0</v>
      </c>
      <c r="W2773" s="1">
        <v>20000.0</v>
      </c>
      <c r="X2773" s="1">
        <v>0.0</v>
      </c>
      <c r="Y2773" s="1">
        <v>2.35</v>
      </c>
      <c r="Z2773" s="1">
        <v>6.0</v>
      </c>
    </row>
    <row r="2774" ht="14.25" customHeight="1">
      <c r="A2774" s="1" t="s">
        <v>26</v>
      </c>
      <c r="B2774" s="1" t="s">
        <v>12644</v>
      </c>
      <c r="C2774" s="1" t="s">
        <v>13209</v>
      </c>
      <c r="D2774" s="1">
        <v>3.3583175E7</v>
      </c>
      <c r="E2774" s="1" t="s">
        <v>2882</v>
      </c>
      <c r="F2774" s="1" t="s">
        <v>4051</v>
      </c>
      <c r="G2774" s="1" t="s">
        <v>2861</v>
      </c>
      <c r="H2774" s="1" t="s">
        <v>10365</v>
      </c>
      <c r="I2774" s="1">
        <v>104089.0</v>
      </c>
      <c r="J2774" s="1" t="s">
        <v>13210</v>
      </c>
      <c r="K2774" s="1" t="s">
        <v>13211</v>
      </c>
      <c r="L2774" s="1">
        <v>319.0</v>
      </c>
      <c r="M2774" s="1" t="s">
        <v>35</v>
      </c>
      <c r="N2774" s="1" t="s">
        <v>36</v>
      </c>
      <c r="O2774" s="1" t="s">
        <v>37</v>
      </c>
      <c r="P2774" s="1">
        <v>1.0E7</v>
      </c>
      <c r="Q2774" s="1">
        <v>2010.0</v>
      </c>
      <c r="R2774" s="1">
        <v>2000.0</v>
      </c>
      <c r="S2774" s="1">
        <v>904.0</v>
      </c>
      <c r="T2774" s="1">
        <v>816.0</v>
      </c>
      <c r="U2774" s="1">
        <v>5628.0</v>
      </c>
      <c r="V2774" s="1">
        <v>66.0</v>
      </c>
      <c r="W2774" s="1">
        <v>16000.0</v>
      </c>
      <c r="X2774" s="1">
        <v>0.0</v>
      </c>
      <c r="Y2774" s="1">
        <v>2.35</v>
      </c>
      <c r="Z2774" s="1">
        <v>6.3</v>
      </c>
    </row>
    <row r="2775" ht="14.25" customHeight="1">
      <c r="A2775" s="1" t="s">
        <v>26</v>
      </c>
      <c r="B2775" s="1" t="s">
        <v>13212</v>
      </c>
      <c r="C2775" s="1" t="s">
        <v>13213</v>
      </c>
      <c r="D2775" s="1">
        <v>3.2983713E7</v>
      </c>
      <c r="E2775" s="1" t="s">
        <v>2422</v>
      </c>
      <c r="F2775" s="1" t="s">
        <v>3683</v>
      </c>
      <c r="G2775" s="1" t="s">
        <v>4977</v>
      </c>
      <c r="H2775" s="1" t="s">
        <v>2398</v>
      </c>
      <c r="I2775" s="1">
        <v>19284.0</v>
      </c>
      <c r="J2775" s="1" t="s">
        <v>13214</v>
      </c>
      <c r="K2775" s="1" t="s">
        <v>13215</v>
      </c>
      <c r="L2775" s="1">
        <v>66.0</v>
      </c>
      <c r="M2775" s="1" t="s">
        <v>35</v>
      </c>
      <c r="N2775" s="1" t="s">
        <v>36</v>
      </c>
      <c r="O2775" s="1" t="s">
        <v>628</v>
      </c>
      <c r="P2775" s="1">
        <v>2.0E7</v>
      </c>
      <c r="Q2775" s="1">
        <v>2002.0</v>
      </c>
      <c r="R2775" s="1">
        <v>723.0</v>
      </c>
      <c r="S2775" s="1">
        <v>706.0</v>
      </c>
      <c r="T2775" s="1">
        <v>615.0</v>
      </c>
      <c r="U2775" s="1">
        <v>3712.0</v>
      </c>
      <c r="V2775" s="1">
        <v>7.0</v>
      </c>
      <c r="W2775" s="1">
        <v>981.0</v>
      </c>
      <c r="X2775" s="1">
        <v>0.0</v>
      </c>
      <c r="Y2775" s="1">
        <v>1.85</v>
      </c>
      <c r="Z2775" s="1">
        <v>5.8</v>
      </c>
    </row>
    <row r="2776" ht="14.25" customHeight="1">
      <c r="A2776" s="1" t="s">
        <v>26</v>
      </c>
      <c r="B2776" s="1" t="s">
        <v>13134</v>
      </c>
      <c r="C2776" s="1" t="s">
        <v>13216</v>
      </c>
      <c r="D2776" s="1">
        <v>5.2200504E7</v>
      </c>
      <c r="E2776" s="1" t="s">
        <v>9021</v>
      </c>
      <c r="F2776" s="1" t="s">
        <v>6882</v>
      </c>
      <c r="G2776" s="1" t="s">
        <v>13217</v>
      </c>
      <c r="H2776" s="1" t="s">
        <v>13134</v>
      </c>
      <c r="I2776" s="1">
        <v>54190.0</v>
      </c>
      <c r="J2776" s="1" t="s">
        <v>13218</v>
      </c>
      <c r="K2776" s="1" t="s">
        <v>13219</v>
      </c>
      <c r="L2776" s="1">
        <v>183.0</v>
      </c>
      <c r="M2776" s="1" t="s">
        <v>35</v>
      </c>
      <c r="N2776" s="1" t="s">
        <v>260</v>
      </c>
      <c r="O2776" s="1" t="s">
        <v>37</v>
      </c>
      <c r="P2776" s="1">
        <v>1.0E7</v>
      </c>
      <c r="Q2776" s="1">
        <v>2015.0</v>
      </c>
      <c r="R2776" s="1">
        <v>852.0</v>
      </c>
      <c r="S2776" s="1">
        <v>542.0</v>
      </c>
      <c r="T2776" s="1">
        <v>482.0</v>
      </c>
      <c r="U2776" s="1">
        <v>2426.0</v>
      </c>
      <c r="V2776" s="1">
        <v>482.0</v>
      </c>
      <c r="W2776" s="1">
        <v>29000.0</v>
      </c>
      <c r="X2776" s="1">
        <v>0.0</v>
      </c>
      <c r="Y2776" s="1">
        <v>2.35</v>
      </c>
      <c r="Z2776" s="1">
        <v>6.1</v>
      </c>
    </row>
    <row r="2777" ht="14.25" customHeight="1">
      <c r="A2777" s="1" t="s">
        <v>26</v>
      </c>
      <c r="B2777" s="1" t="s">
        <v>13220</v>
      </c>
      <c r="C2777" s="1" t="s">
        <v>13221</v>
      </c>
      <c r="D2777" s="1">
        <v>3.3E7</v>
      </c>
      <c r="E2777" s="1" t="s">
        <v>13222</v>
      </c>
      <c r="F2777" s="1" t="s">
        <v>3031</v>
      </c>
      <c r="G2777" s="1" t="s">
        <v>13223</v>
      </c>
      <c r="H2777" s="1" t="s">
        <v>13224</v>
      </c>
      <c r="I2777" s="1">
        <v>9424.0</v>
      </c>
      <c r="J2777" s="1" t="s">
        <v>13225</v>
      </c>
      <c r="K2777" s="1" t="s">
        <v>13226</v>
      </c>
      <c r="L2777" s="1">
        <v>109.0</v>
      </c>
      <c r="M2777" s="1" t="s">
        <v>35</v>
      </c>
      <c r="N2777" s="1" t="s">
        <v>36</v>
      </c>
      <c r="O2777" s="1" t="s">
        <v>37</v>
      </c>
      <c r="P2777" s="1">
        <v>1.0E7</v>
      </c>
      <c r="Q2777" s="1">
        <v>1985.0</v>
      </c>
      <c r="R2777" s="1">
        <v>854.0</v>
      </c>
      <c r="S2777" s="1">
        <v>841.0</v>
      </c>
      <c r="T2777" s="1">
        <v>619.0</v>
      </c>
      <c r="U2777" s="1">
        <v>3394.0</v>
      </c>
      <c r="V2777" s="1">
        <v>78.0</v>
      </c>
      <c r="W2777" s="1">
        <v>0.0</v>
      </c>
      <c r="X2777" s="1">
        <v>1.0</v>
      </c>
      <c r="Y2777" s="1">
        <v>1.85</v>
      </c>
      <c r="Z2777" s="1">
        <v>6.9</v>
      </c>
    </row>
    <row r="2778" ht="14.25" customHeight="1">
      <c r="A2778" s="1" t="s">
        <v>26</v>
      </c>
      <c r="B2778" s="1" t="s">
        <v>1238</v>
      </c>
      <c r="C2778" s="1" t="s">
        <v>12905</v>
      </c>
      <c r="D2778" s="1">
        <v>3.0093107E7</v>
      </c>
      <c r="E2778" s="1" t="s">
        <v>972</v>
      </c>
      <c r="F2778" s="1" t="s">
        <v>327</v>
      </c>
      <c r="G2778" s="1" t="s">
        <v>335</v>
      </c>
      <c r="H2778" s="1" t="s">
        <v>651</v>
      </c>
      <c r="I2778" s="1">
        <v>600996.0</v>
      </c>
      <c r="J2778" s="1" t="s">
        <v>12906</v>
      </c>
      <c r="K2778" s="1" t="s">
        <v>12907</v>
      </c>
      <c r="L2778" s="1">
        <v>726.0</v>
      </c>
      <c r="M2778" s="1" t="s">
        <v>35</v>
      </c>
      <c r="N2778" s="1" t="s">
        <v>54</v>
      </c>
      <c r="O2778" s="1" t="s">
        <v>628</v>
      </c>
      <c r="P2778" s="1">
        <v>6000000.0</v>
      </c>
      <c r="Q2778" s="1">
        <v>2000.0</v>
      </c>
      <c r="R2778" s="1">
        <v>26000.0</v>
      </c>
      <c r="S2778" s="1">
        <v>11000.0</v>
      </c>
      <c r="T2778" s="1">
        <v>1000.0</v>
      </c>
      <c r="U2778" s="1">
        <v>39175.0</v>
      </c>
      <c r="V2778" s="1">
        <v>0.0</v>
      </c>
      <c r="W2778" s="1">
        <v>27000.0</v>
      </c>
      <c r="X2778" s="1">
        <v>6.0</v>
      </c>
      <c r="Y2778" s="1">
        <v>1.85</v>
      </c>
      <c r="Z2778" s="1">
        <v>8.3</v>
      </c>
    </row>
    <row r="2779" ht="14.25" customHeight="1">
      <c r="A2779" s="1" t="s">
        <v>26</v>
      </c>
      <c r="B2779" s="1" t="s">
        <v>7931</v>
      </c>
      <c r="C2779" s="1" t="s">
        <v>13227</v>
      </c>
      <c r="D2779" s="1">
        <v>3.2101E7</v>
      </c>
      <c r="E2779" s="1" t="s">
        <v>9409</v>
      </c>
      <c r="F2779" s="1" t="s">
        <v>13228</v>
      </c>
      <c r="G2779" s="1" t="s">
        <v>13229</v>
      </c>
      <c r="H2779" s="1" t="s">
        <v>1727</v>
      </c>
      <c r="I2779" s="1">
        <v>27800.0</v>
      </c>
      <c r="J2779" s="1" t="s">
        <v>13230</v>
      </c>
      <c r="K2779" s="1" t="s">
        <v>13231</v>
      </c>
      <c r="L2779" s="1">
        <v>96.0</v>
      </c>
      <c r="M2779" s="1" t="s">
        <v>35</v>
      </c>
      <c r="N2779" s="1" t="s">
        <v>54</v>
      </c>
      <c r="O2779" s="1" t="s">
        <v>628</v>
      </c>
      <c r="P2779" s="1">
        <v>1.0E7</v>
      </c>
      <c r="Q2779" s="1">
        <v>1992.0</v>
      </c>
      <c r="R2779" s="1">
        <v>535.0</v>
      </c>
      <c r="S2779" s="1">
        <v>211.0</v>
      </c>
      <c r="T2779" s="1">
        <v>120.0</v>
      </c>
      <c r="U2779" s="1">
        <v>1109.0</v>
      </c>
      <c r="V2779" s="1">
        <v>32.0</v>
      </c>
      <c r="W2779" s="1">
        <v>0.0</v>
      </c>
      <c r="X2779" s="1">
        <v>0.0</v>
      </c>
      <c r="Y2779" s="1">
        <v>1.85</v>
      </c>
      <c r="Z2779" s="1">
        <v>5.4</v>
      </c>
    </row>
    <row r="2780" ht="14.25" customHeight="1">
      <c r="A2780" s="1" t="s">
        <v>26</v>
      </c>
      <c r="B2780" s="1" t="s">
        <v>13232</v>
      </c>
      <c r="C2780" s="1" t="s">
        <v>13233</v>
      </c>
      <c r="D2780" s="1">
        <v>3.1487293E7</v>
      </c>
      <c r="E2780" s="1" t="s">
        <v>5429</v>
      </c>
      <c r="F2780" s="1" t="s">
        <v>10228</v>
      </c>
      <c r="G2780" s="1" t="s">
        <v>3049</v>
      </c>
      <c r="H2780" s="1" t="s">
        <v>6463</v>
      </c>
      <c r="I2780" s="1">
        <v>74887.0</v>
      </c>
      <c r="J2780" s="1" t="s">
        <v>13234</v>
      </c>
      <c r="K2780" s="1" t="s">
        <v>13235</v>
      </c>
      <c r="L2780" s="1">
        <v>129.0</v>
      </c>
      <c r="M2780" s="1" t="s">
        <v>35</v>
      </c>
      <c r="N2780" s="1" t="s">
        <v>36</v>
      </c>
      <c r="O2780" s="1" t="s">
        <v>37</v>
      </c>
      <c r="P2780" s="1">
        <v>9000000.0</v>
      </c>
      <c r="Q2780" s="1">
        <v>2008.0</v>
      </c>
      <c r="R2780" s="1">
        <v>904.0</v>
      </c>
      <c r="S2780" s="1">
        <v>715.0</v>
      </c>
      <c r="T2780" s="1">
        <v>617.0</v>
      </c>
      <c r="U2780" s="1">
        <v>2807.0</v>
      </c>
      <c r="V2780" s="1">
        <v>6.0</v>
      </c>
      <c r="W2780" s="1">
        <v>0.0</v>
      </c>
      <c r="X2780" s="1">
        <v>2.0</v>
      </c>
      <c r="Y2780" s="1">
        <v>1.85</v>
      </c>
      <c r="Z2780" s="1">
        <v>6.7</v>
      </c>
    </row>
    <row r="2781" ht="14.25" customHeight="1">
      <c r="A2781" s="1" t="s">
        <v>26</v>
      </c>
      <c r="B2781" s="1" t="s">
        <v>6697</v>
      </c>
      <c r="C2781" s="1" t="s">
        <v>13236</v>
      </c>
      <c r="D2781" s="1">
        <v>3.0651422E7</v>
      </c>
      <c r="E2781" s="1" t="s">
        <v>13237</v>
      </c>
      <c r="F2781" s="1" t="s">
        <v>1113</v>
      </c>
      <c r="G2781" s="1" t="s">
        <v>757</v>
      </c>
      <c r="H2781" s="1" t="s">
        <v>3135</v>
      </c>
      <c r="I2781" s="1">
        <v>181737.0</v>
      </c>
      <c r="J2781" s="1" t="s">
        <v>13238</v>
      </c>
      <c r="K2781" s="1" t="s">
        <v>13239</v>
      </c>
      <c r="L2781" s="1">
        <v>1015.0</v>
      </c>
      <c r="M2781" s="1" t="s">
        <v>35</v>
      </c>
      <c r="N2781" s="1" t="s">
        <v>36</v>
      </c>
      <c r="O2781" s="1" t="s">
        <v>628</v>
      </c>
      <c r="P2781" s="1">
        <v>1.0E7</v>
      </c>
      <c r="Q2781" s="1">
        <v>1999.0</v>
      </c>
      <c r="R2781" s="1">
        <v>13000.0</v>
      </c>
      <c r="S2781" s="1">
        <v>1000.0</v>
      </c>
      <c r="T2781" s="1">
        <v>769.0</v>
      </c>
      <c r="U2781" s="1">
        <v>16693.0</v>
      </c>
      <c r="V2781" s="1">
        <v>0.0</v>
      </c>
      <c r="W2781" s="1">
        <v>10000.0</v>
      </c>
      <c r="X2781" s="1">
        <v>8.0</v>
      </c>
      <c r="Y2781" s="1">
        <v>2.35</v>
      </c>
      <c r="Z2781" s="1">
        <v>7.4</v>
      </c>
    </row>
    <row r="2782" ht="14.25" customHeight="1">
      <c r="A2782" s="1" t="s">
        <v>26</v>
      </c>
      <c r="B2782" s="1" t="s">
        <v>13240</v>
      </c>
      <c r="C2782" s="1" t="s">
        <v>13241</v>
      </c>
      <c r="D2782" s="1">
        <v>3.0306281E7</v>
      </c>
      <c r="E2782" s="1" t="s">
        <v>2422</v>
      </c>
      <c r="F2782" s="1" t="s">
        <v>4383</v>
      </c>
      <c r="G2782" s="1" t="s">
        <v>9433</v>
      </c>
      <c r="H2782" s="1" t="s">
        <v>13242</v>
      </c>
      <c r="I2782" s="1">
        <v>12388.0</v>
      </c>
      <c r="J2782" s="1" t="s">
        <v>13243</v>
      </c>
      <c r="K2782" s="1" t="s">
        <v>13244</v>
      </c>
      <c r="L2782" s="1">
        <v>147.0</v>
      </c>
      <c r="M2782" s="1" t="s">
        <v>35</v>
      </c>
      <c r="N2782" s="1" t="s">
        <v>36</v>
      </c>
      <c r="O2782" s="1" t="s">
        <v>628</v>
      </c>
      <c r="P2782" s="1">
        <v>1.0E7</v>
      </c>
      <c r="Q2782" s="1">
        <v>2002.0</v>
      </c>
      <c r="R2782" s="1">
        <v>931.0</v>
      </c>
      <c r="S2782" s="1">
        <v>797.0</v>
      </c>
      <c r="T2782" s="1">
        <v>73.0</v>
      </c>
      <c r="U2782" s="1">
        <v>1917.0</v>
      </c>
      <c r="V2782" s="1">
        <v>7.0</v>
      </c>
      <c r="W2782" s="1">
        <v>744.0</v>
      </c>
      <c r="X2782" s="1">
        <v>2.0</v>
      </c>
      <c r="Y2782" s="1">
        <v>2.35</v>
      </c>
      <c r="Z2782" s="1">
        <v>5.6</v>
      </c>
    </row>
    <row r="2783" ht="14.25" customHeight="1">
      <c r="A2783" s="1" t="s">
        <v>26</v>
      </c>
      <c r="B2783" s="1" t="s">
        <v>2700</v>
      </c>
      <c r="C2783" s="1" t="s">
        <v>13245</v>
      </c>
      <c r="D2783" s="1">
        <v>2.95E7</v>
      </c>
      <c r="E2783" s="1" t="s">
        <v>13246</v>
      </c>
      <c r="F2783" s="1" t="s">
        <v>2818</v>
      </c>
      <c r="G2783" s="1" t="s">
        <v>13181</v>
      </c>
      <c r="H2783" s="1" t="s">
        <v>13247</v>
      </c>
      <c r="I2783" s="1">
        <v>25613.0</v>
      </c>
      <c r="J2783" s="1" t="s">
        <v>13248</v>
      </c>
      <c r="K2783" s="1" t="s">
        <v>13249</v>
      </c>
      <c r="L2783" s="1">
        <v>121.0</v>
      </c>
      <c r="M2783" s="1" t="s">
        <v>35</v>
      </c>
      <c r="N2783" s="1" t="s">
        <v>36</v>
      </c>
      <c r="O2783" s="1" t="s">
        <v>87</v>
      </c>
      <c r="P2783" s="1">
        <v>1.0E7</v>
      </c>
      <c r="Q2783" s="1">
        <v>1983.0</v>
      </c>
      <c r="R2783" s="1">
        <v>745.0</v>
      </c>
      <c r="S2783" s="1">
        <v>730.0</v>
      </c>
      <c r="T2783" s="1">
        <v>257.0</v>
      </c>
      <c r="U2783" s="1">
        <v>1954.0</v>
      </c>
      <c r="V2783" s="1">
        <v>287.0</v>
      </c>
      <c r="W2783" s="1">
        <v>0.0</v>
      </c>
      <c r="X2783" s="1">
        <v>0.0</v>
      </c>
      <c r="Y2783" s="1">
        <v>1.85</v>
      </c>
      <c r="Z2783" s="1">
        <v>6.5</v>
      </c>
    </row>
    <row r="2784" ht="14.25" customHeight="1">
      <c r="A2784" s="1" t="s">
        <v>26</v>
      </c>
      <c r="B2784" s="1" t="s">
        <v>13250</v>
      </c>
      <c r="C2784" s="1" t="s">
        <v>13251</v>
      </c>
      <c r="D2784" s="1">
        <v>3.0050028E7</v>
      </c>
      <c r="E2784" s="1" t="s">
        <v>57</v>
      </c>
      <c r="F2784" s="1" t="s">
        <v>1843</v>
      </c>
      <c r="G2784" s="1" t="s">
        <v>13033</v>
      </c>
      <c r="H2784" s="1" t="s">
        <v>2041</v>
      </c>
      <c r="I2784" s="1">
        <v>42987.0</v>
      </c>
      <c r="J2784" s="1" t="s">
        <v>13252</v>
      </c>
      <c r="K2784" s="1" t="s">
        <v>13253</v>
      </c>
      <c r="L2784" s="1">
        <v>201.0</v>
      </c>
      <c r="M2784" s="1" t="s">
        <v>35</v>
      </c>
      <c r="N2784" s="1" t="s">
        <v>36</v>
      </c>
      <c r="O2784" s="1" t="s">
        <v>628</v>
      </c>
      <c r="P2784" s="1">
        <v>1.7E7</v>
      </c>
      <c r="Q2784" s="1">
        <v>1989.0</v>
      </c>
      <c r="R2784" s="1">
        <v>623.0</v>
      </c>
      <c r="S2784" s="1">
        <v>472.0</v>
      </c>
      <c r="T2784" s="1">
        <v>466.0</v>
      </c>
      <c r="U2784" s="1">
        <v>2484.0</v>
      </c>
      <c r="V2784" s="1">
        <v>9.0</v>
      </c>
      <c r="W2784" s="1">
        <v>0.0</v>
      </c>
      <c r="X2784" s="1">
        <v>1.0</v>
      </c>
      <c r="Y2784" s="1">
        <v>2.35</v>
      </c>
      <c r="Z2784" s="1">
        <v>6.5</v>
      </c>
    </row>
    <row r="2785" ht="14.25" customHeight="1">
      <c r="A2785" s="1" t="s">
        <v>26</v>
      </c>
      <c r="B2785" s="1" t="s">
        <v>3680</v>
      </c>
      <c r="C2785" s="1" t="s">
        <v>13254</v>
      </c>
      <c r="D2785" s="1">
        <v>2.9392418E7</v>
      </c>
      <c r="E2785" s="1" t="s">
        <v>1670</v>
      </c>
      <c r="F2785" s="1" t="s">
        <v>768</v>
      </c>
      <c r="G2785" s="1" t="s">
        <v>8930</v>
      </c>
      <c r="H2785" s="1" t="s">
        <v>4441</v>
      </c>
      <c r="I2785" s="1">
        <v>3924.0</v>
      </c>
      <c r="J2785" s="1" t="s">
        <v>13255</v>
      </c>
      <c r="K2785" s="1" t="s">
        <v>13256</v>
      </c>
      <c r="L2785" s="1">
        <v>26.0</v>
      </c>
      <c r="M2785" s="1" t="s">
        <v>35</v>
      </c>
      <c r="N2785" s="1" t="s">
        <v>36</v>
      </c>
      <c r="O2785" s="1" t="s">
        <v>628</v>
      </c>
      <c r="P2785" s="1">
        <v>1.0E7</v>
      </c>
      <c r="Q2785" s="1">
        <v>1994.0</v>
      </c>
      <c r="R2785" s="1">
        <v>851.0</v>
      </c>
      <c r="S2785" s="1">
        <v>543.0</v>
      </c>
      <c r="T2785" s="1">
        <v>534.0</v>
      </c>
      <c r="U2785" s="1">
        <v>3190.0</v>
      </c>
      <c r="V2785" s="1">
        <v>322.0</v>
      </c>
      <c r="W2785" s="1">
        <v>368.0</v>
      </c>
      <c r="X2785" s="1">
        <v>2.0</v>
      </c>
      <c r="Y2785" s="1">
        <v>1.85</v>
      </c>
      <c r="Z2785" s="1">
        <v>5.8</v>
      </c>
    </row>
    <row r="2786" ht="14.25" customHeight="1">
      <c r="A2786" s="1" t="s">
        <v>26</v>
      </c>
      <c r="B2786" s="1" t="s">
        <v>8818</v>
      </c>
      <c r="C2786" s="1" t="s">
        <v>13257</v>
      </c>
      <c r="D2786" s="1">
        <v>2.8563926E7</v>
      </c>
      <c r="E2786" s="1" t="s">
        <v>3868</v>
      </c>
      <c r="F2786" s="1" t="s">
        <v>4383</v>
      </c>
      <c r="G2786" s="1" t="s">
        <v>13258</v>
      </c>
      <c r="H2786" s="1" t="s">
        <v>8731</v>
      </c>
      <c r="I2786" s="1">
        <v>16300.0</v>
      </c>
      <c r="J2786" s="1" t="s">
        <v>13259</v>
      </c>
      <c r="K2786" s="1" t="s">
        <v>13260</v>
      </c>
      <c r="L2786" s="1">
        <v>217.0</v>
      </c>
      <c r="M2786" s="1" t="s">
        <v>35</v>
      </c>
      <c r="N2786" s="1" t="s">
        <v>36</v>
      </c>
      <c r="O2786" s="1" t="s">
        <v>37</v>
      </c>
      <c r="P2786" s="1">
        <v>8500000.0</v>
      </c>
      <c r="Q2786" s="1">
        <v>2002.0</v>
      </c>
      <c r="R2786" s="1">
        <v>931.0</v>
      </c>
      <c r="S2786" s="1">
        <v>855.0</v>
      </c>
      <c r="T2786" s="1">
        <v>782.0</v>
      </c>
      <c r="U2786" s="1">
        <v>3819.0</v>
      </c>
      <c r="V2786" s="1">
        <v>21.0</v>
      </c>
      <c r="W2786" s="1">
        <v>720.0</v>
      </c>
      <c r="X2786" s="1">
        <v>0.0</v>
      </c>
      <c r="Y2786" s="1">
        <v>2.35</v>
      </c>
      <c r="Z2786" s="1">
        <v>5.0</v>
      </c>
    </row>
    <row r="2787" ht="14.25" customHeight="1">
      <c r="A2787" s="1" t="s">
        <v>26</v>
      </c>
      <c r="B2787" s="1" t="s">
        <v>13261</v>
      </c>
      <c r="C2787" s="1" t="s">
        <v>13262</v>
      </c>
      <c r="D2787" s="1">
        <v>2.8435406E7</v>
      </c>
      <c r="E2787" s="1" t="s">
        <v>1598</v>
      </c>
      <c r="F2787" s="1" t="s">
        <v>6315</v>
      </c>
      <c r="G2787" s="1" t="s">
        <v>1413</v>
      </c>
      <c r="H2787" s="1" t="s">
        <v>4672</v>
      </c>
      <c r="I2787" s="1">
        <v>37681.0</v>
      </c>
      <c r="J2787" s="1" t="s">
        <v>13263</v>
      </c>
      <c r="K2787" s="1" t="s">
        <v>13264</v>
      </c>
      <c r="L2787" s="1">
        <v>151.0</v>
      </c>
      <c r="M2787" s="1" t="s">
        <v>35</v>
      </c>
      <c r="N2787" s="1" t="s">
        <v>36</v>
      </c>
      <c r="O2787" s="1" t="s">
        <v>37</v>
      </c>
      <c r="P2787" s="1">
        <v>1.2E7</v>
      </c>
      <c r="Q2787" s="1">
        <v>2006.0</v>
      </c>
      <c r="R2787" s="1">
        <v>1000.0</v>
      </c>
      <c r="S2787" s="1">
        <v>809.0</v>
      </c>
      <c r="T2787" s="1">
        <v>534.0</v>
      </c>
      <c r="U2787" s="1">
        <v>4441.0</v>
      </c>
      <c r="V2787" s="1">
        <v>27.0</v>
      </c>
      <c r="W2787" s="1">
        <v>0.0</v>
      </c>
      <c r="X2787" s="1">
        <v>2.0</v>
      </c>
      <c r="Y2787" s="1">
        <v>1.85</v>
      </c>
      <c r="Z2787" s="1">
        <v>5.5</v>
      </c>
    </row>
    <row r="2788" ht="14.25" customHeight="1">
      <c r="A2788" s="1" t="s">
        <v>26</v>
      </c>
      <c r="B2788" s="1" t="s">
        <v>9603</v>
      </c>
      <c r="C2788" s="1" t="s">
        <v>13265</v>
      </c>
      <c r="D2788" s="1">
        <v>2.5339117E7</v>
      </c>
      <c r="E2788" s="1" t="s">
        <v>1598</v>
      </c>
      <c r="F2788" s="1" t="s">
        <v>2525</v>
      </c>
      <c r="G2788" s="1" t="s">
        <v>6872</v>
      </c>
      <c r="H2788" s="1" t="s">
        <v>5281</v>
      </c>
      <c r="I2788" s="1">
        <v>37885.0</v>
      </c>
      <c r="J2788" s="1" t="s">
        <v>13266</v>
      </c>
      <c r="K2788" s="1" t="s">
        <v>13267</v>
      </c>
      <c r="L2788" s="1">
        <v>247.0</v>
      </c>
      <c r="M2788" s="1" t="s">
        <v>35</v>
      </c>
      <c r="N2788" s="1" t="s">
        <v>36</v>
      </c>
      <c r="O2788" s="1" t="s">
        <v>37</v>
      </c>
      <c r="P2788" s="1">
        <v>1.0E7</v>
      </c>
      <c r="Q2788" s="1">
        <v>1998.0</v>
      </c>
      <c r="R2788" s="1">
        <v>982.0</v>
      </c>
      <c r="S2788" s="1">
        <v>945.0</v>
      </c>
      <c r="T2788" s="1">
        <v>678.0</v>
      </c>
      <c r="U2788" s="1">
        <v>4259.0</v>
      </c>
      <c r="V2788" s="1">
        <v>4.0</v>
      </c>
      <c r="W2788" s="1">
        <v>0.0</v>
      </c>
      <c r="X2788" s="1">
        <v>4.0</v>
      </c>
      <c r="Y2788" s="1">
        <v>1.85</v>
      </c>
      <c r="Z2788" s="1">
        <v>6.5</v>
      </c>
    </row>
    <row r="2789" ht="14.25" customHeight="1">
      <c r="A2789" s="1" t="s">
        <v>26</v>
      </c>
      <c r="B2789" s="1" t="s">
        <v>4578</v>
      </c>
      <c r="C2789" s="1" t="s">
        <v>13268</v>
      </c>
      <c r="D2789" s="1">
        <v>2.56E7</v>
      </c>
      <c r="E2789" s="1" t="s">
        <v>1854</v>
      </c>
      <c r="F2789" s="1" t="s">
        <v>508</v>
      </c>
      <c r="G2789" s="1" t="s">
        <v>2194</v>
      </c>
      <c r="H2789" s="1" t="s">
        <v>13269</v>
      </c>
      <c r="I2789" s="1">
        <v>57363.0</v>
      </c>
      <c r="J2789" s="1" t="s">
        <v>13270</v>
      </c>
      <c r="K2789" s="1" t="s">
        <v>13271</v>
      </c>
      <c r="L2789" s="1">
        <v>308.0</v>
      </c>
      <c r="M2789" s="1" t="s">
        <v>35</v>
      </c>
      <c r="N2789" s="1" t="s">
        <v>36</v>
      </c>
      <c r="O2789" s="1" t="s">
        <v>37</v>
      </c>
      <c r="P2789" s="1">
        <v>1.0E7</v>
      </c>
      <c r="Q2789" s="1">
        <v>1983.0</v>
      </c>
      <c r="R2789" s="1">
        <v>10000.0</v>
      </c>
      <c r="S2789" s="1">
        <v>919.0</v>
      </c>
      <c r="T2789" s="1">
        <v>699.0</v>
      </c>
      <c r="U2789" s="1">
        <v>12097.0</v>
      </c>
      <c r="V2789" s="1">
        <v>0.0</v>
      </c>
      <c r="W2789" s="1">
        <v>10000.0</v>
      </c>
      <c r="X2789" s="1">
        <v>0.0</v>
      </c>
      <c r="Y2789" s="1">
        <v>2.35</v>
      </c>
      <c r="Z2789" s="1">
        <v>7.2</v>
      </c>
    </row>
    <row r="2790" ht="14.25" customHeight="1">
      <c r="A2790" s="1" t="s">
        <v>26</v>
      </c>
      <c r="B2790" s="1" t="s">
        <v>13272</v>
      </c>
      <c r="C2790" s="1" t="s">
        <v>13273</v>
      </c>
      <c r="D2790" s="1">
        <v>2.7736779E7</v>
      </c>
      <c r="E2790" s="1" t="s">
        <v>2882</v>
      </c>
      <c r="F2790" s="1" t="s">
        <v>13274</v>
      </c>
      <c r="G2790" s="1" t="s">
        <v>4803</v>
      </c>
      <c r="H2790" s="1" t="s">
        <v>13275</v>
      </c>
      <c r="I2790" s="1">
        <v>25210.0</v>
      </c>
      <c r="J2790" s="1" t="s">
        <v>13276</v>
      </c>
      <c r="K2790" s="1" t="s">
        <v>13277</v>
      </c>
      <c r="L2790" s="1">
        <v>126.0</v>
      </c>
      <c r="M2790" s="1" t="s">
        <v>35</v>
      </c>
      <c r="N2790" s="1" t="s">
        <v>36</v>
      </c>
      <c r="O2790" s="1" t="s">
        <v>628</v>
      </c>
      <c r="P2790" s="1">
        <v>1.0E7</v>
      </c>
      <c r="Q2790" s="1">
        <v>2015.0</v>
      </c>
      <c r="R2790" s="1">
        <v>1000.0</v>
      </c>
      <c r="S2790" s="1">
        <v>412.0</v>
      </c>
      <c r="T2790" s="1">
        <v>220.0</v>
      </c>
      <c r="U2790" s="1">
        <v>2403.0</v>
      </c>
      <c r="V2790" s="1">
        <v>11.0</v>
      </c>
      <c r="W2790" s="1">
        <v>13000.0</v>
      </c>
      <c r="X2790" s="1">
        <v>0.0</v>
      </c>
      <c r="Y2790" s="1">
        <v>2.35</v>
      </c>
      <c r="Z2790" s="1">
        <v>5.2</v>
      </c>
    </row>
    <row r="2791" ht="14.25" customHeight="1">
      <c r="A2791" s="1" t="s">
        <v>26</v>
      </c>
      <c r="B2791" s="1" t="s">
        <v>13278</v>
      </c>
      <c r="C2791" s="1" t="s">
        <v>13279</v>
      </c>
      <c r="D2791" s="1">
        <v>2.4397469E7</v>
      </c>
      <c r="E2791" s="1" t="s">
        <v>5819</v>
      </c>
      <c r="F2791" s="1" t="s">
        <v>5589</v>
      </c>
      <c r="G2791" s="1" t="s">
        <v>5972</v>
      </c>
      <c r="H2791" s="1" t="s">
        <v>4977</v>
      </c>
      <c r="I2791" s="1">
        <v>5161.0</v>
      </c>
      <c r="J2791" s="1" t="s">
        <v>13280</v>
      </c>
      <c r="K2791" s="1" t="s">
        <v>13281</v>
      </c>
      <c r="L2791" s="1">
        <v>48.0</v>
      </c>
      <c r="M2791" s="1" t="s">
        <v>35</v>
      </c>
      <c r="N2791" s="1" t="s">
        <v>36</v>
      </c>
      <c r="O2791" s="1" t="s">
        <v>37</v>
      </c>
      <c r="P2791" s="1">
        <v>1.7E7</v>
      </c>
      <c r="Q2791" s="1">
        <v>2012.0</v>
      </c>
      <c r="R2791" s="1">
        <v>1000.0</v>
      </c>
      <c r="S2791" s="1">
        <v>876.0</v>
      </c>
      <c r="T2791" s="1">
        <v>706.0</v>
      </c>
      <c r="U2791" s="1">
        <v>5804.0</v>
      </c>
      <c r="V2791" s="1">
        <v>70.0</v>
      </c>
      <c r="W2791" s="1">
        <v>0.0</v>
      </c>
      <c r="X2791" s="1">
        <v>7.0</v>
      </c>
      <c r="Y2791" s="1">
        <v>2.35</v>
      </c>
      <c r="Z2791" s="1">
        <v>5.7</v>
      </c>
    </row>
    <row r="2792" ht="14.25" customHeight="1">
      <c r="A2792" s="1" t="s">
        <v>26</v>
      </c>
      <c r="B2792" s="1" t="s">
        <v>12030</v>
      </c>
      <c r="C2792" s="1" t="s">
        <v>13282</v>
      </c>
      <c r="D2792" s="1">
        <v>2.0384136E7</v>
      </c>
      <c r="E2792" s="1" t="s">
        <v>2882</v>
      </c>
      <c r="F2792" s="1" t="s">
        <v>7215</v>
      </c>
      <c r="G2792" s="1" t="s">
        <v>1617</v>
      </c>
      <c r="H2792" s="1" t="s">
        <v>13283</v>
      </c>
      <c r="I2792" s="1">
        <v>20467.0</v>
      </c>
      <c r="J2792" s="1" t="s">
        <v>13284</v>
      </c>
      <c r="K2792" s="1" t="s">
        <v>13285</v>
      </c>
      <c r="L2792" s="1">
        <v>371.0</v>
      </c>
      <c r="M2792" s="1" t="s">
        <v>35</v>
      </c>
      <c r="N2792" s="1" t="s">
        <v>36</v>
      </c>
      <c r="O2792" s="1" t="s">
        <v>628</v>
      </c>
      <c r="P2792" s="1">
        <v>1.0E7</v>
      </c>
      <c r="Q2792" s="1">
        <v>2001.0</v>
      </c>
      <c r="R2792" s="1">
        <v>690.0</v>
      </c>
      <c r="S2792" s="1">
        <v>533.0</v>
      </c>
      <c r="T2792" s="1">
        <v>448.0</v>
      </c>
      <c r="U2792" s="1">
        <v>2402.0</v>
      </c>
      <c r="V2792" s="1">
        <v>9.0</v>
      </c>
      <c r="W2792" s="1">
        <v>0.0</v>
      </c>
      <c r="X2792" s="1">
        <v>1.0</v>
      </c>
      <c r="Y2792" s="1">
        <v>2.35</v>
      </c>
      <c r="Z2792" s="1">
        <v>4.7</v>
      </c>
    </row>
    <row r="2793" ht="14.25" customHeight="1">
      <c r="A2793" s="1" t="s">
        <v>26</v>
      </c>
      <c r="B2793" s="1" t="s">
        <v>13286</v>
      </c>
      <c r="C2793" s="1" t="s">
        <v>13287</v>
      </c>
      <c r="D2793" s="1">
        <v>2.546448E7</v>
      </c>
      <c r="E2793" s="1" t="s">
        <v>4758</v>
      </c>
      <c r="F2793" s="1" t="s">
        <v>1892</v>
      </c>
      <c r="G2793" s="1" t="s">
        <v>942</v>
      </c>
      <c r="H2793" s="1" t="s">
        <v>10971</v>
      </c>
      <c r="I2793" s="1">
        <v>63108.0</v>
      </c>
      <c r="J2793" s="1" t="s">
        <v>13288</v>
      </c>
      <c r="K2793" s="1" t="s">
        <v>13289</v>
      </c>
      <c r="L2793" s="1">
        <v>330.0</v>
      </c>
      <c r="M2793" s="1" t="s">
        <v>35</v>
      </c>
      <c r="N2793" s="1" t="s">
        <v>36</v>
      </c>
      <c r="O2793" s="1" t="s">
        <v>37</v>
      </c>
      <c r="P2793" s="1">
        <v>1.0E7</v>
      </c>
      <c r="Q2793" s="1">
        <v>2009.0</v>
      </c>
      <c r="R2793" s="1">
        <v>14000.0</v>
      </c>
      <c r="S2793" s="1">
        <v>537.0</v>
      </c>
      <c r="T2793" s="1">
        <v>242.0</v>
      </c>
      <c r="U2793" s="1">
        <v>15251.0</v>
      </c>
      <c r="V2793" s="1">
        <v>58.0</v>
      </c>
      <c r="W2793" s="1">
        <v>15000.0</v>
      </c>
      <c r="X2793" s="1">
        <v>0.0</v>
      </c>
      <c r="Y2793" s="1">
        <v>2.35</v>
      </c>
      <c r="Z2793" s="1">
        <v>5.9</v>
      </c>
    </row>
    <row r="2794" ht="14.25" customHeight="1">
      <c r="A2794" s="1" t="s">
        <v>26</v>
      </c>
      <c r="B2794" s="1" t="s">
        <v>10622</v>
      </c>
      <c r="C2794" s="1" t="s">
        <v>13290</v>
      </c>
      <c r="D2794" s="1">
        <v>2.0338609E7</v>
      </c>
      <c r="E2794" s="1" t="s">
        <v>8240</v>
      </c>
      <c r="F2794" s="1" t="s">
        <v>2286</v>
      </c>
      <c r="G2794" s="1" t="s">
        <v>2548</v>
      </c>
      <c r="H2794" s="1" t="s">
        <v>3519</v>
      </c>
      <c r="I2794" s="1">
        <v>19655.0</v>
      </c>
      <c r="J2794" s="1" t="s">
        <v>13291</v>
      </c>
      <c r="K2794" s="1" t="s">
        <v>13292</v>
      </c>
      <c r="L2794" s="1">
        <v>280.0</v>
      </c>
      <c r="M2794" s="1" t="s">
        <v>35</v>
      </c>
      <c r="N2794" s="1" t="s">
        <v>36</v>
      </c>
      <c r="O2794" s="1" t="s">
        <v>37</v>
      </c>
      <c r="P2794" s="1">
        <v>1.0E7</v>
      </c>
      <c r="Q2794" s="1">
        <v>2006.0</v>
      </c>
      <c r="R2794" s="1">
        <v>11000.0</v>
      </c>
      <c r="S2794" s="1">
        <v>912.0</v>
      </c>
      <c r="T2794" s="1">
        <v>718.0</v>
      </c>
      <c r="U2794" s="1">
        <v>12946.0</v>
      </c>
      <c r="V2794" s="1">
        <v>500.0</v>
      </c>
      <c r="W2794" s="1">
        <v>683.0</v>
      </c>
      <c r="X2794" s="1">
        <v>8.0</v>
      </c>
      <c r="Y2794" s="1">
        <v>2.35</v>
      </c>
      <c r="Z2794" s="1">
        <v>6.8</v>
      </c>
    </row>
    <row r="2795" ht="14.25" customHeight="1">
      <c r="A2795" s="1" t="s">
        <v>710</v>
      </c>
      <c r="B2795" s="1" t="s">
        <v>13293</v>
      </c>
      <c r="C2795" s="1" t="s">
        <v>13294</v>
      </c>
      <c r="D2795" s="1">
        <v>1.8272447E7</v>
      </c>
      <c r="E2795" s="1" t="s">
        <v>3868</v>
      </c>
      <c r="F2795" s="1" t="s">
        <v>11810</v>
      </c>
      <c r="G2795" s="1" t="s">
        <v>3759</v>
      </c>
      <c r="H2795" s="1" t="s">
        <v>9792</v>
      </c>
      <c r="I2795" s="1">
        <v>3119.0</v>
      </c>
      <c r="J2795" s="1" t="s">
        <v>13295</v>
      </c>
      <c r="K2795" s="1" t="s">
        <v>13296</v>
      </c>
      <c r="L2795" s="1">
        <v>35.0</v>
      </c>
      <c r="M2795" s="1" t="s">
        <v>35</v>
      </c>
      <c r="N2795" s="1" t="s">
        <v>36</v>
      </c>
      <c r="O2795" s="1" t="s">
        <v>628</v>
      </c>
      <c r="P2795" s="1">
        <v>1.0E7</v>
      </c>
      <c r="Q2795" s="1">
        <v>1993.0</v>
      </c>
      <c r="R2795" s="1">
        <v>556.0</v>
      </c>
      <c r="S2795" s="1">
        <v>475.0</v>
      </c>
      <c r="T2795" s="1">
        <v>338.0</v>
      </c>
      <c r="U2795" s="1">
        <v>2149.0</v>
      </c>
      <c r="V2795" s="1">
        <v>5.0</v>
      </c>
      <c r="W2795" s="1">
        <v>331.0</v>
      </c>
      <c r="X2795" s="1">
        <v>1.0</v>
      </c>
      <c r="Y2795" s="1">
        <v>1.85</v>
      </c>
      <c r="Z2795" s="1">
        <v>5.9</v>
      </c>
    </row>
    <row r="2796" ht="14.25" customHeight="1">
      <c r="A2796" s="1" t="s">
        <v>26</v>
      </c>
      <c r="B2796" s="1" t="s">
        <v>5083</v>
      </c>
      <c r="C2796" s="1" t="s">
        <v>13297</v>
      </c>
      <c r="D2796" s="1">
        <v>1.7096053E7</v>
      </c>
      <c r="E2796" s="1" t="s">
        <v>2422</v>
      </c>
      <c r="F2796" s="1" t="s">
        <v>534</v>
      </c>
      <c r="G2796" s="1" t="s">
        <v>1611</v>
      </c>
      <c r="H2796" s="1" t="s">
        <v>1938</v>
      </c>
      <c r="I2796" s="1">
        <v>134458.0</v>
      </c>
      <c r="J2796" s="1" t="s">
        <v>13298</v>
      </c>
      <c r="K2796" s="1" t="s">
        <v>13299</v>
      </c>
      <c r="L2796" s="1">
        <v>640.0</v>
      </c>
      <c r="M2796" s="1" t="s">
        <v>35</v>
      </c>
      <c r="N2796" s="1" t="s">
        <v>36</v>
      </c>
      <c r="O2796" s="1" t="s">
        <v>628</v>
      </c>
      <c r="P2796" s="1">
        <v>9000000.0</v>
      </c>
      <c r="Q2796" s="1">
        <v>1998.0</v>
      </c>
      <c r="R2796" s="1">
        <v>13000.0</v>
      </c>
      <c r="S2796" s="1">
        <v>933.0</v>
      </c>
      <c r="T2796" s="1">
        <v>766.0</v>
      </c>
      <c r="U2796" s="1">
        <v>15716.0</v>
      </c>
      <c r="V2796" s="1">
        <v>0.0</v>
      </c>
      <c r="W2796" s="1">
        <v>5000.0</v>
      </c>
      <c r="X2796" s="1">
        <v>2.0</v>
      </c>
      <c r="Y2796" s="1">
        <v>2.35</v>
      </c>
      <c r="Z2796" s="1">
        <v>7.7</v>
      </c>
    </row>
    <row r="2797" ht="14.25" customHeight="1">
      <c r="A2797" s="1" t="s">
        <v>26</v>
      </c>
      <c r="B2797" s="1" t="s">
        <v>6139</v>
      </c>
      <c r="C2797" s="1" t="s">
        <v>13300</v>
      </c>
      <c r="D2797" s="1">
        <v>2.1371425E7</v>
      </c>
      <c r="E2797" s="1" t="s">
        <v>2670</v>
      </c>
      <c r="F2797" s="1" t="s">
        <v>3545</v>
      </c>
      <c r="G2797" s="1" t="s">
        <v>8395</v>
      </c>
      <c r="H2797" s="1" t="s">
        <v>3682</v>
      </c>
      <c r="I2797" s="1">
        <v>76199.0</v>
      </c>
      <c r="J2797" s="1" t="s">
        <v>13301</v>
      </c>
      <c r="K2797" s="1" t="s">
        <v>13302</v>
      </c>
      <c r="L2797" s="1">
        <v>944.0</v>
      </c>
      <c r="M2797" s="1" t="s">
        <v>35</v>
      </c>
      <c r="N2797" s="1" t="s">
        <v>36</v>
      </c>
      <c r="O2797" s="1" t="s">
        <v>37</v>
      </c>
      <c r="P2797" s="1">
        <v>1.0E7</v>
      </c>
      <c r="Q2797" s="1">
        <v>2010.0</v>
      </c>
      <c r="R2797" s="1">
        <v>929.0</v>
      </c>
      <c r="S2797" s="1">
        <v>927.0</v>
      </c>
      <c r="T2797" s="1">
        <v>861.0</v>
      </c>
      <c r="U2797" s="1">
        <v>3679.0</v>
      </c>
      <c r="V2797" s="1">
        <v>25.0</v>
      </c>
      <c r="W2797" s="1">
        <v>13000.0</v>
      </c>
      <c r="X2797" s="1">
        <v>0.0</v>
      </c>
      <c r="Y2797" s="1">
        <v>2.35</v>
      </c>
      <c r="Z2797" s="1">
        <v>4.4</v>
      </c>
    </row>
    <row r="2798" ht="14.25" customHeight="1">
      <c r="A2798" s="1" t="s">
        <v>26</v>
      </c>
      <c r="B2798" s="1" t="s">
        <v>4291</v>
      </c>
      <c r="C2798" s="1" t="s">
        <v>13303</v>
      </c>
      <c r="D2798" s="1">
        <v>3.3071558E7</v>
      </c>
      <c r="E2798" s="1" t="s">
        <v>2422</v>
      </c>
      <c r="F2798" s="1" t="s">
        <v>13304</v>
      </c>
      <c r="G2798" s="1" t="s">
        <v>4982</v>
      </c>
      <c r="H2798" s="1" t="s">
        <v>13305</v>
      </c>
      <c r="I2798" s="1">
        <v>22369.0</v>
      </c>
      <c r="J2798" s="1" t="s">
        <v>13306</v>
      </c>
      <c r="K2798" s="1" t="s">
        <v>13307</v>
      </c>
      <c r="L2798" s="1">
        <v>100.0</v>
      </c>
      <c r="M2798" s="1" t="s">
        <v>35</v>
      </c>
      <c r="N2798" s="1" t="s">
        <v>54</v>
      </c>
      <c r="O2798" s="1" t="s">
        <v>87</v>
      </c>
      <c r="P2798" s="1">
        <v>1.0E7</v>
      </c>
      <c r="Q2798" s="1">
        <v>2015.0</v>
      </c>
      <c r="R2798" s="1">
        <v>220.0</v>
      </c>
      <c r="S2798" s="1">
        <v>186.0</v>
      </c>
      <c r="T2798" s="1">
        <v>111.0</v>
      </c>
      <c r="U2798" s="1">
        <v>583.0</v>
      </c>
      <c r="V2798" s="1">
        <v>108.0</v>
      </c>
      <c r="W2798" s="1">
        <v>21000.0</v>
      </c>
      <c r="X2798" s="1">
        <v>6.0</v>
      </c>
      <c r="Y2798" s="1">
        <v>2.35</v>
      </c>
      <c r="Z2798" s="1">
        <v>6.6</v>
      </c>
    </row>
    <row r="2799" ht="14.25" customHeight="1">
      <c r="A2799" s="1" t="s">
        <v>26</v>
      </c>
      <c r="B2799" s="1" t="s">
        <v>13308</v>
      </c>
      <c r="C2799" s="1" t="s">
        <v>13309</v>
      </c>
      <c r="D2799" s="1">
        <v>1.7655201E7</v>
      </c>
      <c r="E2799" s="1" t="s">
        <v>6707</v>
      </c>
      <c r="F2799" s="1" t="s">
        <v>652</v>
      </c>
      <c r="G2799" s="1" t="s">
        <v>2298</v>
      </c>
      <c r="H2799" s="1" t="s">
        <v>747</v>
      </c>
      <c r="I2799" s="1">
        <v>4719.0</v>
      </c>
      <c r="J2799" s="1" t="s">
        <v>13310</v>
      </c>
      <c r="K2799" s="1" t="s">
        <v>13311</v>
      </c>
      <c r="L2799" s="1">
        <v>24.0</v>
      </c>
      <c r="M2799" s="1" t="s">
        <v>35</v>
      </c>
      <c r="N2799" s="1" t="s">
        <v>36</v>
      </c>
      <c r="O2799" s="1" t="s">
        <v>269</v>
      </c>
      <c r="P2799" s="1">
        <v>1.0E7</v>
      </c>
      <c r="Q2799" s="1">
        <v>2008.0</v>
      </c>
      <c r="R2799" s="1">
        <v>918.0</v>
      </c>
      <c r="S2799" s="1">
        <v>624.0</v>
      </c>
      <c r="T2799" s="1">
        <v>558.0</v>
      </c>
      <c r="U2799" s="1">
        <v>3317.0</v>
      </c>
      <c r="V2799" s="1">
        <v>22.0</v>
      </c>
      <c r="W2799" s="1">
        <v>851.0</v>
      </c>
      <c r="X2799" s="1">
        <v>1.0</v>
      </c>
      <c r="Y2799" s="1">
        <v>1.85</v>
      </c>
      <c r="Z2799" s="1">
        <v>6.7</v>
      </c>
    </row>
    <row r="2800" ht="14.25" customHeight="1">
      <c r="A2800" s="1" t="s">
        <v>26</v>
      </c>
      <c r="B2800" s="1" t="s">
        <v>10537</v>
      </c>
      <c r="C2800" s="1" t="s">
        <v>13312</v>
      </c>
      <c r="D2800" s="1">
        <v>1.6247775E7</v>
      </c>
      <c r="E2800" s="1" t="s">
        <v>2599</v>
      </c>
      <c r="F2800" s="1" t="s">
        <v>8738</v>
      </c>
      <c r="G2800" s="1" t="s">
        <v>1897</v>
      </c>
      <c r="H2800" s="1" t="s">
        <v>13313</v>
      </c>
      <c r="I2800" s="1">
        <v>23527.0</v>
      </c>
      <c r="J2800" s="1" t="s">
        <v>13314</v>
      </c>
      <c r="K2800" s="1" t="s">
        <v>13315</v>
      </c>
      <c r="L2800" s="1">
        <v>104.0</v>
      </c>
      <c r="M2800" s="1" t="s">
        <v>35</v>
      </c>
      <c r="N2800" s="1" t="s">
        <v>36</v>
      </c>
      <c r="O2800" s="1" t="s">
        <v>87</v>
      </c>
      <c r="P2800" s="1">
        <v>2.5E7</v>
      </c>
      <c r="Q2800" s="1">
        <v>2005.0</v>
      </c>
      <c r="R2800" s="1">
        <v>1000.0</v>
      </c>
      <c r="S2800" s="1">
        <v>962.0</v>
      </c>
      <c r="T2800" s="1">
        <v>804.0</v>
      </c>
      <c r="U2800" s="1">
        <v>4789.0</v>
      </c>
      <c r="V2800" s="1">
        <v>15.0</v>
      </c>
      <c r="W2800" s="1">
        <v>767.0</v>
      </c>
      <c r="X2800" s="1">
        <v>3.0</v>
      </c>
      <c r="Y2800" s="1">
        <v>1.85</v>
      </c>
      <c r="Z2800" s="1">
        <v>5.5</v>
      </c>
    </row>
    <row r="2801" ht="14.25" customHeight="1">
      <c r="A2801" s="1" t="s">
        <v>26</v>
      </c>
      <c r="B2801" s="1" t="s">
        <v>4801</v>
      </c>
      <c r="C2801" s="1" t="s">
        <v>13316</v>
      </c>
      <c r="D2801" s="1">
        <v>1.61536E7</v>
      </c>
      <c r="E2801" s="1" t="s">
        <v>7326</v>
      </c>
      <c r="F2801" s="1" t="s">
        <v>1644</v>
      </c>
      <c r="G2801" s="1" t="s">
        <v>2601</v>
      </c>
      <c r="H2801" s="1" t="s">
        <v>13317</v>
      </c>
      <c r="I2801" s="1">
        <v>8295.0</v>
      </c>
      <c r="J2801" s="1" t="s">
        <v>13318</v>
      </c>
      <c r="K2801" s="1" t="s">
        <v>13319</v>
      </c>
      <c r="L2801" s="1">
        <v>30.0</v>
      </c>
      <c r="M2801" s="1" t="s">
        <v>35</v>
      </c>
      <c r="N2801" s="1" t="s">
        <v>36</v>
      </c>
      <c r="O2801" s="1" t="s">
        <v>628</v>
      </c>
      <c r="P2801" s="1">
        <v>1.0E7</v>
      </c>
      <c r="Q2801" s="1">
        <v>1990.0</v>
      </c>
      <c r="R2801" s="1">
        <v>18000.0</v>
      </c>
      <c r="S2801" s="1">
        <v>269.0</v>
      </c>
      <c r="T2801" s="1">
        <v>203.0</v>
      </c>
      <c r="U2801" s="1">
        <v>19065.0</v>
      </c>
      <c r="V2801" s="1">
        <v>0.0</v>
      </c>
      <c r="W2801" s="1">
        <v>720.0</v>
      </c>
      <c r="X2801" s="1">
        <v>1.0</v>
      </c>
      <c r="Y2801" s="1">
        <v>1.85</v>
      </c>
      <c r="Z2801" s="1">
        <v>6.5</v>
      </c>
    </row>
    <row r="2802" ht="14.25" customHeight="1">
      <c r="A2802" s="1" t="s">
        <v>26</v>
      </c>
      <c r="B2802" s="1" t="s">
        <v>4713</v>
      </c>
      <c r="C2802" s="1" t="s">
        <v>13320</v>
      </c>
      <c r="D2802" s="1">
        <v>1.6033556E7</v>
      </c>
      <c r="E2802" s="1" t="s">
        <v>2056</v>
      </c>
      <c r="F2802" s="1" t="s">
        <v>4713</v>
      </c>
      <c r="G2802" s="1" t="s">
        <v>13321</v>
      </c>
      <c r="H2802" s="1" t="s">
        <v>13322</v>
      </c>
      <c r="I2802" s="1">
        <v>37901.0</v>
      </c>
      <c r="J2802" s="1" t="s">
        <v>13323</v>
      </c>
      <c r="K2802" s="1" t="s">
        <v>13324</v>
      </c>
      <c r="L2802" s="1">
        <v>518.0</v>
      </c>
      <c r="M2802" s="1" t="s">
        <v>35</v>
      </c>
      <c r="N2802" s="1" t="s">
        <v>36</v>
      </c>
      <c r="O2802" s="1" t="s">
        <v>37</v>
      </c>
      <c r="P2802" s="1">
        <v>1.0E7</v>
      </c>
      <c r="Q2802" s="1">
        <v>2002.0</v>
      </c>
      <c r="R2802" s="1">
        <v>176.0</v>
      </c>
      <c r="S2802" s="1">
        <v>67.0</v>
      </c>
      <c r="T2802" s="1">
        <v>39.0</v>
      </c>
      <c r="U2802" s="1">
        <v>361.0</v>
      </c>
      <c r="V2802" s="1">
        <v>176.0</v>
      </c>
      <c r="W2802" s="1">
        <v>0.0</v>
      </c>
      <c r="X2802" s="1">
        <v>1.0</v>
      </c>
      <c r="Y2802" s="1">
        <v>2.35</v>
      </c>
      <c r="Z2802" s="1">
        <v>6.2</v>
      </c>
    </row>
    <row r="2803" ht="14.25" customHeight="1">
      <c r="A2803" s="1" t="s">
        <v>26</v>
      </c>
      <c r="B2803" s="1" t="s">
        <v>1819</v>
      </c>
      <c r="C2803" s="1" t="s">
        <v>13325</v>
      </c>
      <c r="D2803" s="1">
        <v>1.6667084E7</v>
      </c>
      <c r="E2803" s="1" t="s">
        <v>11406</v>
      </c>
      <c r="F2803" s="1" t="s">
        <v>13326</v>
      </c>
      <c r="G2803" s="1" t="s">
        <v>2837</v>
      </c>
      <c r="H2803" s="1" t="s">
        <v>13327</v>
      </c>
      <c r="I2803" s="1">
        <v>90070.0</v>
      </c>
      <c r="J2803" s="1" t="s">
        <v>13328</v>
      </c>
      <c r="K2803" s="1" t="s">
        <v>13329</v>
      </c>
      <c r="L2803" s="1">
        <v>248.0</v>
      </c>
      <c r="M2803" s="1" t="s">
        <v>35</v>
      </c>
      <c r="N2803" s="1" t="s">
        <v>36</v>
      </c>
      <c r="O2803" s="1" t="s">
        <v>37</v>
      </c>
      <c r="P2803" s="1">
        <v>1.1E7</v>
      </c>
      <c r="Q2803" s="1">
        <v>1990.0</v>
      </c>
      <c r="R2803" s="1">
        <v>651.0</v>
      </c>
      <c r="S2803" s="1">
        <v>610.0</v>
      </c>
      <c r="T2803" s="1">
        <v>536.0</v>
      </c>
      <c r="U2803" s="1">
        <v>3119.0</v>
      </c>
      <c r="V2803" s="1">
        <v>31.0</v>
      </c>
      <c r="W2803" s="1">
        <v>11000.0</v>
      </c>
      <c r="X2803" s="1">
        <v>0.0</v>
      </c>
      <c r="Y2803" s="1">
        <v>1.85</v>
      </c>
      <c r="Z2803" s="1">
        <v>7.1</v>
      </c>
    </row>
    <row r="2804" ht="14.25" customHeight="1">
      <c r="A2804" s="1" t="s">
        <v>26</v>
      </c>
      <c r="B2804" s="1" t="s">
        <v>13330</v>
      </c>
      <c r="C2804" s="1" t="s">
        <v>13331</v>
      </c>
      <c r="D2804" s="1">
        <v>1.5417771E7</v>
      </c>
      <c r="E2804" s="1" t="s">
        <v>6278</v>
      </c>
      <c r="F2804" s="1" t="s">
        <v>4147</v>
      </c>
      <c r="G2804" s="1" t="s">
        <v>13332</v>
      </c>
      <c r="H2804" s="1" t="s">
        <v>7441</v>
      </c>
      <c r="I2804" s="1">
        <v>87494.0</v>
      </c>
      <c r="J2804" s="1" t="s">
        <v>13333</v>
      </c>
      <c r="K2804" s="1" t="s">
        <v>13334</v>
      </c>
      <c r="L2804" s="1">
        <v>540.0</v>
      </c>
      <c r="M2804" s="1" t="s">
        <v>35</v>
      </c>
      <c r="N2804" s="1" t="s">
        <v>36</v>
      </c>
      <c r="O2804" s="1" t="s">
        <v>628</v>
      </c>
      <c r="P2804" s="1">
        <v>1.26E7</v>
      </c>
      <c r="Q2804" s="1">
        <v>2003.0</v>
      </c>
      <c r="R2804" s="1">
        <v>2000.0</v>
      </c>
      <c r="S2804" s="1">
        <v>683.0</v>
      </c>
      <c r="T2804" s="1">
        <v>648.0</v>
      </c>
      <c r="U2804" s="1">
        <v>3416.0</v>
      </c>
      <c r="V2804" s="1">
        <v>36.0</v>
      </c>
      <c r="W2804" s="1">
        <v>0.0</v>
      </c>
      <c r="X2804" s="1">
        <v>1.0</v>
      </c>
      <c r="Y2804" s="1">
        <v>1.85</v>
      </c>
      <c r="Z2804" s="1">
        <v>6.1</v>
      </c>
    </row>
    <row r="2805" ht="14.25" customHeight="1">
      <c r="A2805" s="1" t="s">
        <v>26</v>
      </c>
      <c r="B2805" s="1" t="s">
        <v>11760</v>
      </c>
      <c r="C2805" s="1" t="s">
        <v>13335</v>
      </c>
      <c r="D2805" s="1">
        <v>1.51562E7</v>
      </c>
      <c r="E2805" s="1" t="s">
        <v>2281</v>
      </c>
      <c r="F2805" s="1" t="s">
        <v>13336</v>
      </c>
      <c r="G2805" s="1" t="s">
        <v>9091</v>
      </c>
      <c r="H2805" s="1" t="s">
        <v>10874</v>
      </c>
      <c r="I2805" s="1">
        <v>15358.0</v>
      </c>
      <c r="J2805" s="1" t="s">
        <v>13337</v>
      </c>
      <c r="K2805" s="1" t="s">
        <v>13338</v>
      </c>
      <c r="L2805" s="1">
        <v>131.0</v>
      </c>
      <c r="M2805" s="1" t="s">
        <v>35</v>
      </c>
      <c r="N2805" s="1" t="s">
        <v>36</v>
      </c>
      <c r="O2805" s="1" t="s">
        <v>628</v>
      </c>
      <c r="P2805" s="1">
        <v>3.0E7</v>
      </c>
      <c r="Q2805" s="1">
        <v>1999.0</v>
      </c>
      <c r="R2805" s="1">
        <v>258.0</v>
      </c>
      <c r="S2805" s="1">
        <v>218.0</v>
      </c>
      <c r="T2805" s="1">
        <v>45.0</v>
      </c>
      <c r="U2805" s="1">
        <v>571.0</v>
      </c>
      <c r="V2805" s="1">
        <v>164.0</v>
      </c>
      <c r="W2805" s="1">
        <v>328.0</v>
      </c>
      <c r="X2805" s="1">
        <v>2.0</v>
      </c>
      <c r="Y2805" s="1">
        <v>2.35</v>
      </c>
      <c r="Z2805" s="1">
        <v>6.0</v>
      </c>
    </row>
    <row r="2806" ht="14.25" customHeight="1">
      <c r="A2806" s="1" t="s">
        <v>26</v>
      </c>
      <c r="B2806" s="1" t="s">
        <v>10913</v>
      </c>
      <c r="C2806" s="1" t="s">
        <v>13339</v>
      </c>
      <c r="D2806" s="1">
        <v>2.1589307E7</v>
      </c>
      <c r="E2806" s="1" t="s">
        <v>3238</v>
      </c>
      <c r="F2806" s="1" t="s">
        <v>637</v>
      </c>
      <c r="G2806" s="1" t="s">
        <v>445</v>
      </c>
      <c r="H2806" s="1" t="s">
        <v>1009</v>
      </c>
      <c r="I2806" s="1">
        <v>135286.0</v>
      </c>
      <c r="J2806" s="1" t="s">
        <v>13340</v>
      </c>
      <c r="K2806" s="1" t="s">
        <v>13341</v>
      </c>
      <c r="L2806" s="1">
        <v>261.0</v>
      </c>
      <c r="M2806" s="1" t="s">
        <v>35</v>
      </c>
      <c r="N2806" s="1" t="s">
        <v>36</v>
      </c>
      <c r="O2806" s="1" t="s">
        <v>37</v>
      </c>
      <c r="P2806" s="1">
        <v>1.0E7</v>
      </c>
      <c r="Q2806" s="1">
        <v>2012.0</v>
      </c>
      <c r="R2806" s="1">
        <v>11000.0</v>
      </c>
      <c r="S2806" s="1">
        <v>1000.0</v>
      </c>
      <c r="T2806" s="1">
        <v>820.0</v>
      </c>
      <c r="U2806" s="1">
        <v>13960.0</v>
      </c>
      <c r="V2806" s="1">
        <v>337.0</v>
      </c>
      <c r="W2806" s="1">
        <v>27000.0</v>
      </c>
      <c r="X2806" s="1">
        <v>1.0</v>
      </c>
      <c r="Y2806" s="1">
        <v>2.35</v>
      </c>
      <c r="Z2806" s="1">
        <v>7.4</v>
      </c>
    </row>
    <row r="2807" ht="14.25" customHeight="1">
      <c r="A2807" s="1" t="s">
        <v>26</v>
      </c>
      <c r="B2807" s="1" t="s">
        <v>13342</v>
      </c>
      <c r="C2807" s="1" t="s">
        <v>13343</v>
      </c>
      <c r="D2807" s="1">
        <v>2.0339754E7</v>
      </c>
      <c r="E2807" s="1" t="s">
        <v>972</v>
      </c>
      <c r="F2807" s="1" t="s">
        <v>7398</v>
      </c>
      <c r="G2807" s="1" t="s">
        <v>4768</v>
      </c>
      <c r="H2807" s="1" t="s">
        <v>13344</v>
      </c>
      <c r="I2807" s="1">
        <v>23928.0</v>
      </c>
      <c r="J2807" s="1" t="s">
        <v>13345</v>
      </c>
      <c r="K2807" s="1" t="s">
        <v>13346</v>
      </c>
      <c r="L2807" s="1">
        <v>73.0</v>
      </c>
      <c r="M2807" s="1" t="s">
        <v>35</v>
      </c>
      <c r="N2807" s="1" t="s">
        <v>36</v>
      </c>
      <c r="O2807" s="1" t="s">
        <v>628</v>
      </c>
      <c r="P2807" s="1">
        <v>1.0E7</v>
      </c>
      <c r="Q2807" s="1">
        <v>2007.0</v>
      </c>
      <c r="R2807" s="1">
        <v>655.0</v>
      </c>
      <c r="S2807" s="1">
        <v>651.0</v>
      </c>
      <c r="T2807" s="1">
        <v>307.0</v>
      </c>
      <c r="U2807" s="1">
        <v>2737.0</v>
      </c>
      <c r="V2807" s="1">
        <v>134.0</v>
      </c>
      <c r="W2807" s="1">
        <v>441.0</v>
      </c>
      <c r="X2807" s="1">
        <v>2.0</v>
      </c>
      <c r="Y2807" s="1">
        <v>1.85</v>
      </c>
      <c r="Z2807" s="1">
        <v>5.9</v>
      </c>
    </row>
    <row r="2808" ht="14.25" customHeight="1">
      <c r="A2808" s="1" t="s">
        <v>26</v>
      </c>
      <c r="B2808" s="1" t="s">
        <v>13347</v>
      </c>
      <c r="C2808" s="1" t="s">
        <v>13348</v>
      </c>
      <c r="D2808" s="1">
        <v>2.8873374E7</v>
      </c>
      <c r="E2808" s="1" t="s">
        <v>3861</v>
      </c>
      <c r="F2808" s="1" t="s">
        <v>13349</v>
      </c>
      <c r="G2808" s="1" t="s">
        <v>13350</v>
      </c>
      <c r="H2808" s="1" t="s">
        <v>13351</v>
      </c>
      <c r="I2808" s="1">
        <v>22161.0</v>
      </c>
      <c r="J2808" s="1" t="s">
        <v>13352</v>
      </c>
      <c r="K2808" s="1" t="s">
        <v>13353</v>
      </c>
      <c r="L2808" s="1">
        <v>68.0</v>
      </c>
      <c r="M2808" s="1" t="s">
        <v>35</v>
      </c>
      <c r="N2808" s="1" t="s">
        <v>36</v>
      </c>
      <c r="O2808" s="1" t="s">
        <v>87</v>
      </c>
      <c r="P2808" s="1">
        <v>1.0E7</v>
      </c>
      <c r="Q2808" s="1">
        <v>2013.0</v>
      </c>
      <c r="R2808" s="1">
        <v>773.0</v>
      </c>
      <c r="S2808" s="1">
        <v>734.0</v>
      </c>
      <c r="T2808" s="1">
        <v>547.0</v>
      </c>
      <c r="U2808" s="1">
        <v>2787.0</v>
      </c>
      <c r="V2808" s="1">
        <v>293.0</v>
      </c>
      <c r="W2808" s="1">
        <v>0.0</v>
      </c>
      <c r="X2808" s="1">
        <v>11.0</v>
      </c>
      <c r="Y2808" s="1">
        <v>1.85</v>
      </c>
      <c r="Z2808" s="1">
        <v>4.1</v>
      </c>
    </row>
    <row r="2809" ht="14.25" customHeight="1">
      <c r="A2809" s="1" t="s">
        <v>26</v>
      </c>
      <c r="B2809" s="1" t="s">
        <v>13354</v>
      </c>
      <c r="C2809" s="1" t="s">
        <v>13355</v>
      </c>
      <c r="D2809" s="1">
        <v>1.3684949E7</v>
      </c>
      <c r="E2809" s="1" t="s">
        <v>456</v>
      </c>
      <c r="F2809" s="1" t="s">
        <v>2510</v>
      </c>
      <c r="G2809" s="1" t="s">
        <v>1448</v>
      </c>
      <c r="H2809" s="1" t="s">
        <v>7184</v>
      </c>
      <c r="I2809" s="1">
        <v>4564.0</v>
      </c>
      <c r="J2809" s="1" t="s">
        <v>13356</v>
      </c>
      <c r="K2809" s="1" t="s">
        <v>13357</v>
      </c>
      <c r="L2809" s="1">
        <v>43.0</v>
      </c>
      <c r="M2809" s="1" t="s">
        <v>35</v>
      </c>
      <c r="N2809" s="1" t="s">
        <v>36</v>
      </c>
      <c r="O2809" s="1" t="s">
        <v>87</v>
      </c>
      <c r="P2809" s="1">
        <v>3000000.0</v>
      </c>
      <c r="Q2809" s="1">
        <v>2002.0</v>
      </c>
      <c r="R2809" s="1">
        <v>1000.0</v>
      </c>
      <c r="S2809" s="1">
        <v>811.0</v>
      </c>
      <c r="T2809" s="1">
        <v>636.0</v>
      </c>
      <c r="U2809" s="1">
        <v>3752.0</v>
      </c>
      <c r="V2809" s="1">
        <v>14.0</v>
      </c>
      <c r="W2809" s="1">
        <v>227.0</v>
      </c>
      <c r="X2809" s="1">
        <v>0.0</v>
      </c>
      <c r="Y2809" s="1">
        <v>1.85</v>
      </c>
      <c r="Z2809" s="1">
        <v>5.9</v>
      </c>
    </row>
    <row r="2810" ht="14.25" customHeight="1">
      <c r="A2810" s="1" t="s">
        <v>26</v>
      </c>
      <c r="B2810" s="1" t="s">
        <v>13016</v>
      </c>
      <c r="C2810" s="1" t="s">
        <v>13358</v>
      </c>
      <c r="D2810" s="1">
        <v>1.4597405E7</v>
      </c>
      <c r="E2810" s="1" t="s">
        <v>1474</v>
      </c>
      <c r="F2810" s="1" t="s">
        <v>431</v>
      </c>
      <c r="G2810" s="1" t="s">
        <v>1167</v>
      </c>
      <c r="H2810" s="1" t="s">
        <v>652</v>
      </c>
      <c r="I2810" s="1">
        <v>71679.0</v>
      </c>
      <c r="J2810" s="1" t="s">
        <v>13359</v>
      </c>
      <c r="K2810" s="1" t="s">
        <v>13360</v>
      </c>
      <c r="L2810" s="1">
        <v>216.0</v>
      </c>
      <c r="M2810" s="1" t="s">
        <v>35</v>
      </c>
      <c r="N2810" s="1" t="s">
        <v>54</v>
      </c>
      <c r="O2810" s="1" t="s">
        <v>628</v>
      </c>
      <c r="P2810" s="1">
        <v>6400000.0</v>
      </c>
      <c r="Q2810" s="1">
        <v>2011.0</v>
      </c>
      <c r="R2810" s="1">
        <v>13000.0</v>
      </c>
      <c r="S2810" s="1">
        <v>2000.0</v>
      </c>
      <c r="T2810" s="1">
        <v>918.0</v>
      </c>
      <c r="U2810" s="1">
        <v>17204.0</v>
      </c>
      <c r="V2810" s="1">
        <v>64.0</v>
      </c>
      <c r="W2810" s="1">
        <v>17000.0</v>
      </c>
      <c r="X2810" s="1">
        <v>1.0</v>
      </c>
      <c r="Y2810" s="1">
        <v>2.35</v>
      </c>
      <c r="Z2810" s="1">
        <v>7.0</v>
      </c>
    </row>
    <row r="2811" ht="14.25" customHeight="1">
      <c r="A2811" s="1" t="s">
        <v>26</v>
      </c>
      <c r="B2811" s="1" t="s">
        <v>6469</v>
      </c>
      <c r="C2811" s="1" t="s">
        <v>13361</v>
      </c>
      <c r="D2811" s="1">
        <v>1.2570442E7</v>
      </c>
      <c r="E2811" s="1" t="s">
        <v>5022</v>
      </c>
      <c r="F2811" s="1" t="s">
        <v>1475</v>
      </c>
      <c r="G2811" s="1" t="s">
        <v>3360</v>
      </c>
      <c r="H2811" s="1" t="s">
        <v>7541</v>
      </c>
      <c r="I2811" s="1">
        <v>40514.0</v>
      </c>
      <c r="J2811" s="1" t="s">
        <v>13362</v>
      </c>
      <c r="K2811" s="1" t="s">
        <v>13363</v>
      </c>
      <c r="L2811" s="1">
        <v>234.0</v>
      </c>
      <c r="M2811" s="1" t="s">
        <v>35</v>
      </c>
      <c r="N2811" s="1" t="s">
        <v>36</v>
      </c>
      <c r="O2811" s="1" t="s">
        <v>628</v>
      </c>
      <c r="P2811" s="1">
        <v>1.0E7</v>
      </c>
      <c r="Q2811" s="1">
        <v>2005.0</v>
      </c>
      <c r="R2811" s="1">
        <v>3000.0</v>
      </c>
      <c r="S2811" s="1">
        <v>497.0</v>
      </c>
      <c r="T2811" s="1">
        <v>442.0</v>
      </c>
      <c r="U2811" s="1">
        <v>4053.0</v>
      </c>
      <c r="V2811" s="1">
        <v>47.0</v>
      </c>
      <c r="W2811" s="1">
        <v>808.0</v>
      </c>
      <c r="X2811" s="1">
        <v>0.0</v>
      </c>
      <c r="Y2811" s="1">
        <v>2.35</v>
      </c>
      <c r="Z2811" s="1">
        <v>6.8</v>
      </c>
    </row>
    <row r="2812" ht="14.25" customHeight="1">
      <c r="A2812" s="1" t="s">
        <v>26</v>
      </c>
      <c r="B2812" s="1" t="s">
        <v>13364</v>
      </c>
      <c r="C2812" s="1" t="s">
        <v>13365</v>
      </c>
      <c r="D2812" s="1">
        <v>1.2514138E7</v>
      </c>
      <c r="E2812" s="1" t="s">
        <v>206</v>
      </c>
      <c r="F2812" s="1" t="s">
        <v>4213</v>
      </c>
      <c r="G2812" s="1" t="s">
        <v>5999</v>
      </c>
      <c r="H2812" s="1" t="s">
        <v>2719</v>
      </c>
      <c r="I2812" s="1">
        <v>2801.0</v>
      </c>
      <c r="J2812" s="1" t="s">
        <v>13366</v>
      </c>
      <c r="K2812" s="1" t="s">
        <v>13367</v>
      </c>
      <c r="L2812" s="1">
        <v>28.0</v>
      </c>
      <c r="M2812" s="1" t="s">
        <v>35</v>
      </c>
      <c r="N2812" s="1" t="s">
        <v>36</v>
      </c>
      <c r="O2812" s="1" t="s">
        <v>628</v>
      </c>
      <c r="P2812" s="1">
        <v>1.0E7</v>
      </c>
      <c r="Q2812" s="1">
        <v>1997.0</v>
      </c>
      <c r="R2812" s="1">
        <v>962.0</v>
      </c>
      <c r="S2812" s="1">
        <v>826.0</v>
      </c>
      <c r="T2812" s="1">
        <v>582.0</v>
      </c>
      <c r="U2812" s="1">
        <v>3871.0</v>
      </c>
      <c r="V2812" s="1">
        <v>28.0</v>
      </c>
      <c r="W2812" s="1">
        <v>1000.0</v>
      </c>
      <c r="X2812" s="1">
        <v>0.0</v>
      </c>
      <c r="Y2812" s="1">
        <v>1.85</v>
      </c>
      <c r="Z2812" s="1">
        <v>7.4</v>
      </c>
    </row>
    <row r="2813" ht="14.25" customHeight="1">
      <c r="A2813" s="1" t="s">
        <v>26</v>
      </c>
      <c r="B2813" s="1" t="s">
        <v>13368</v>
      </c>
      <c r="C2813" s="1" t="s">
        <v>13369</v>
      </c>
      <c r="D2813" s="1">
        <v>4.3771291E7</v>
      </c>
      <c r="E2813" s="1" t="s">
        <v>815</v>
      </c>
      <c r="F2813" s="1" t="s">
        <v>6112</v>
      </c>
      <c r="G2813" s="1" t="s">
        <v>11524</v>
      </c>
      <c r="H2813" s="1" t="s">
        <v>7134</v>
      </c>
      <c r="I2813" s="1">
        <v>79909.0</v>
      </c>
      <c r="J2813" s="1" t="s">
        <v>13370</v>
      </c>
      <c r="K2813" s="1" t="s">
        <v>13371</v>
      </c>
      <c r="L2813" s="1">
        <v>279.0</v>
      </c>
      <c r="M2813" s="1" t="s">
        <v>35</v>
      </c>
      <c r="N2813" s="1" t="s">
        <v>36</v>
      </c>
      <c r="O2813" s="1" t="s">
        <v>628</v>
      </c>
      <c r="P2813" s="1">
        <v>5000000.0</v>
      </c>
      <c r="Q2813" s="1">
        <v>2015.0</v>
      </c>
      <c r="R2813" s="1">
        <v>1000.0</v>
      </c>
      <c r="S2813" s="1">
        <v>562.0</v>
      </c>
      <c r="T2813" s="1">
        <v>458.0</v>
      </c>
      <c r="U2813" s="1">
        <v>3215.0</v>
      </c>
      <c r="V2813" s="1">
        <v>0.0</v>
      </c>
      <c r="W2813" s="1">
        <v>15000.0</v>
      </c>
      <c r="X2813" s="1">
        <v>1.0</v>
      </c>
      <c r="Y2813" s="1">
        <v>2.35</v>
      </c>
      <c r="Z2813" s="1">
        <v>7.1</v>
      </c>
    </row>
    <row r="2814" ht="14.25" customHeight="1">
      <c r="A2814" s="1" t="s">
        <v>26</v>
      </c>
      <c r="B2814" s="1" t="s">
        <v>13372</v>
      </c>
      <c r="C2814" s="1" t="s">
        <v>13373</v>
      </c>
      <c r="D2814" s="1">
        <v>1.1703287E7</v>
      </c>
      <c r="E2814" s="1" t="s">
        <v>6613</v>
      </c>
      <c r="F2814" s="1" t="s">
        <v>13374</v>
      </c>
      <c r="G2814" s="1" t="s">
        <v>13375</v>
      </c>
      <c r="H2814" s="1" t="s">
        <v>13376</v>
      </c>
      <c r="I2814" s="1">
        <v>4360.0</v>
      </c>
      <c r="J2814" s="1" t="s">
        <v>13377</v>
      </c>
      <c r="K2814" s="1" t="s">
        <v>13378</v>
      </c>
      <c r="L2814" s="1">
        <v>148.0</v>
      </c>
      <c r="M2814" s="1" t="s">
        <v>35</v>
      </c>
      <c r="N2814" s="1" t="s">
        <v>36</v>
      </c>
      <c r="O2814" s="1" t="s">
        <v>37</v>
      </c>
      <c r="P2814" s="1">
        <v>1.0E7</v>
      </c>
      <c r="Q2814" s="1">
        <v>2005.0</v>
      </c>
      <c r="R2814" s="1">
        <v>772.0</v>
      </c>
      <c r="S2814" s="1">
        <v>232.0</v>
      </c>
      <c r="T2814" s="1">
        <v>30.0</v>
      </c>
      <c r="U2814" s="1">
        <v>1058.0</v>
      </c>
      <c r="V2814" s="1">
        <v>2.0</v>
      </c>
      <c r="W2814" s="1">
        <v>1000.0</v>
      </c>
      <c r="X2814" s="1">
        <v>3.0</v>
      </c>
      <c r="Y2814" s="1">
        <v>2.35</v>
      </c>
      <c r="Z2814" s="1">
        <v>7.0</v>
      </c>
    </row>
    <row r="2815" ht="14.25" customHeight="1">
      <c r="A2815" s="1" t="s">
        <v>26</v>
      </c>
      <c r="B2815" s="1" t="s">
        <v>7075</v>
      </c>
      <c r="C2815" s="1" t="s">
        <v>13379</v>
      </c>
      <c r="D2815" s="1">
        <v>1.1560259E7</v>
      </c>
      <c r="E2815" s="1" t="s">
        <v>1598</v>
      </c>
      <c r="F2815" s="1" t="s">
        <v>284</v>
      </c>
      <c r="G2815" s="1" t="s">
        <v>76</v>
      </c>
      <c r="H2815" s="1" t="s">
        <v>2505</v>
      </c>
      <c r="I2815" s="1">
        <v>15617.0</v>
      </c>
      <c r="J2815" s="1" t="s">
        <v>13380</v>
      </c>
      <c r="K2815" s="1" t="s">
        <v>13381</v>
      </c>
      <c r="L2815" s="1">
        <v>180.0</v>
      </c>
      <c r="M2815" s="1" t="s">
        <v>35</v>
      </c>
      <c r="N2815" s="1" t="s">
        <v>36</v>
      </c>
      <c r="O2815" s="1" t="s">
        <v>37</v>
      </c>
      <c r="P2815" s="1">
        <v>2.2E7</v>
      </c>
      <c r="Q2815" s="1">
        <v>2001.0</v>
      </c>
      <c r="R2815" s="1">
        <v>15000.0</v>
      </c>
      <c r="S2815" s="1">
        <v>4000.0</v>
      </c>
      <c r="T2815" s="1">
        <v>869.0</v>
      </c>
      <c r="U2815" s="1">
        <v>22485.0</v>
      </c>
      <c r="V2815" s="1">
        <v>13.0</v>
      </c>
      <c r="W2815" s="1">
        <v>0.0</v>
      </c>
      <c r="X2815" s="1">
        <v>1.0</v>
      </c>
      <c r="Y2815" s="1">
        <v>2.35</v>
      </c>
      <c r="Z2815" s="1">
        <v>5.8</v>
      </c>
    </row>
    <row r="2816" ht="14.25" customHeight="1">
      <c r="A2816" s="1" t="s">
        <v>26</v>
      </c>
      <c r="B2816" s="1" t="s">
        <v>12603</v>
      </c>
      <c r="C2816" s="1" t="s">
        <v>13382</v>
      </c>
      <c r="D2816" s="1">
        <v>1.0824921E7</v>
      </c>
      <c r="E2816" s="1" t="s">
        <v>1885</v>
      </c>
      <c r="F2816" s="1" t="s">
        <v>3064</v>
      </c>
      <c r="G2816" s="1" t="s">
        <v>1102</v>
      </c>
      <c r="H2816" s="1" t="s">
        <v>827</v>
      </c>
      <c r="I2816" s="1">
        <v>200293.0</v>
      </c>
      <c r="J2816" s="1" t="s">
        <v>13383</v>
      </c>
      <c r="K2816" s="1" t="s">
        <v>13384</v>
      </c>
      <c r="L2816" s="1">
        <v>621.0</v>
      </c>
      <c r="M2816" s="1" t="s">
        <v>35</v>
      </c>
      <c r="N2816" s="1" t="s">
        <v>36</v>
      </c>
      <c r="O2816" s="1" t="s">
        <v>628</v>
      </c>
      <c r="P2816" s="1">
        <v>1.0E7</v>
      </c>
      <c r="Q2816" s="1">
        <v>1999.0</v>
      </c>
      <c r="R2816" s="1">
        <v>989.0</v>
      </c>
      <c r="S2816" s="1">
        <v>939.0</v>
      </c>
      <c r="T2816" s="1">
        <v>759.0</v>
      </c>
      <c r="U2816" s="1">
        <v>3462.0</v>
      </c>
      <c r="V2816" s="1">
        <v>406.0</v>
      </c>
      <c r="W2816" s="1">
        <v>16000.0</v>
      </c>
      <c r="X2816" s="1">
        <v>0.0</v>
      </c>
      <c r="Y2816" s="1">
        <v>1.85</v>
      </c>
      <c r="Z2816" s="1">
        <v>7.8</v>
      </c>
    </row>
    <row r="2817" ht="14.25" customHeight="1">
      <c r="A2817" s="1" t="s">
        <v>26</v>
      </c>
      <c r="B2817" s="1" t="s">
        <v>13385</v>
      </c>
      <c r="C2817" s="1" t="s">
        <v>13386</v>
      </c>
      <c r="D2817" s="1">
        <v>1.0561238E7</v>
      </c>
      <c r="E2817" s="1" t="s">
        <v>13387</v>
      </c>
      <c r="F2817" s="1" t="s">
        <v>76</v>
      </c>
      <c r="G2817" s="1" t="s">
        <v>12576</v>
      </c>
      <c r="H2817" s="1" t="s">
        <v>4507</v>
      </c>
      <c r="I2817" s="1">
        <v>27265.0</v>
      </c>
      <c r="J2817" s="1" t="s">
        <v>13388</v>
      </c>
      <c r="K2817" s="1" t="s">
        <v>13389</v>
      </c>
      <c r="L2817" s="1">
        <v>321.0</v>
      </c>
      <c r="M2817" s="1" t="s">
        <v>35</v>
      </c>
      <c r="N2817" s="1" t="s">
        <v>730</v>
      </c>
      <c r="O2817" s="1" t="s">
        <v>37</v>
      </c>
      <c r="P2817" s="1">
        <v>1.0E7</v>
      </c>
      <c r="Q2817" s="1">
        <v>1999.0</v>
      </c>
      <c r="R2817" s="1">
        <v>4000.0</v>
      </c>
      <c r="S2817" s="1">
        <v>980.0</v>
      </c>
      <c r="T2817" s="1">
        <v>551.0</v>
      </c>
      <c r="U2817" s="1">
        <v>6388.0</v>
      </c>
      <c r="V2817" s="1">
        <v>31.0</v>
      </c>
      <c r="W2817" s="1">
        <v>0.0</v>
      </c>
      <c r="X2817" s="1">
        <v>0.0</v>
      </c>
      <c r="Y2817" s="1">
        <v>1.85</v>
      </c>
      <c r="Z2817" s="1">
        <v>6.5</v>
      </c>
    </row>
    <row r="2818" ht="14.25" customHeight="1">
      <c r="A2818" s="1" t="s">
        <v>26</v>
      </c>
      <c r="B2818" s="1" t="s">
        <v>247</v>
      </c>
      <c r="C2818" s="1" t="s">
        <v>13390</v>
      </c>
      <c r="D2818" s="1">
        <v>1.4479776E7</v>
      </c>
      <c r="E2818" s="1" t="s">
        <v>13391</v>
      </c>
      <c r="F2818" s="1" t="s">
        <v>49</v>
      </c>
      <c r="G2818" s="1" t="s">
        <v>2846</v>
      </c>
      <c r="H2818" s="1" t="s">
        <v>11340</v>
      </c>
      <c r="I2818" s="1">
        <v>55539.0</v>
      </c>
      <c r="J2818" s="1" t="s">
        <v>13392</v>
      </c>
      <c r="K2818" s="1" t="s">
        <v>13393</v>
      </c>
      <c r="L2818" s="1">
        <v>147.0</v>
      </c>
      <c r="M2818" s="1" t="s">
        <v>35</v>
      </c>
      <c r="N2818" s="1" t="s">
        <v>36</v>
      </c>
      <c r="O2818" s="1" t="s">
        <v>37</v>
      </c>
      <c r="P2818" s="1">
        <v>1.0E7</v>
      </c>
      <c r="Q2818" s="1">
        <v>2014.0</v>
      </c>
      <c r="R2818" s="1">
        <v>11000.0</v>
      </c>
      <c r="S2818" s="1">
        <v>430.0</v>
      </c>
      <c r="T2818" s="1">
        <v>309.0</v>
      </c>
      <c r="U2818" s="1">
        <v>12418.0</v>
      </c>
      <c r="V2818" s="1">
        <v>13000.0</v>
      </c>
      <c r="W2818" s="1">
        <v>20000.0</v>
      </c>
      <c r="X2818" s="1">
        <v>3.0</v>
      </c>
      <c r="Y2818" s="1">
        <v>1.85</v>
      </c>
      <c r="Z2818" s="1">
        <v>7.0</v>
      </c>
    </row>
    <row r="2819" ht="14.25" customHeight="1">
      <c r="A2819" s="1" t="s">
        <v>26</v>
      </c>
      <c r="B2819" s="1" t="s">
        <v>217</v>
      </c>
      <c r="C2819" s="1" t="s">
        <v>13394</v>
      </c>
      <c r="D2819" s="1">
        <v>9801782.0</v>
      </c>
      <c r="E2819" s="1" t="s">
        <v>5605</v>
      </c>
      <c r="F2819" s="1" t="s">
        <v>243</v>
      </c>
      <c r="G2819" s="1" t="s">
        <v>7961</v>
      </c>
      <c r="H2819" s="1" t="s">
        <v>515</v>
      </c>
      <c r="I2819" s="1">
        <v>39331.0</v>
      </c>
      <c r="J2819" s="1" t="s">
        <v>13395</v>
      </c>
      <c r="K2819" s="1" t="s">
        <v>13396</v>
      </c>
      <c r="L2819" s="1">
        <v>481.0</v>
      </c>
      <c r="M2819" s="1" t="s">
        <v>35</v>
      </c>
      <c r="N2819" s="1" t="s">
        <v>36</v>
      </c>
      <c r="O2819" s="1" t="s">
        <v>628</v>
      </c>
      <c r="P2819" s="1">
        <v>1.0E7</v>
      </c>
      <c r="Q2819" s="1">
        <v>1998.0</v>
      </c>
      <c r="R2819" s="1">
        <v>4000.0</v>
      </c>
      <c r="S2819" s="1">
        <v>796.0</v>
      </c>
      <c r="T2819" s="1">
        <v>711.0</v>
      </c>
      <c r="U2819" s="1">
        <v>6046.0</v>
      </c>
      <c r="V2819" s="1">
        <v>532.0</v>
      </c>
      <c r="W2819" s="1">
        <v>0.0</v>
      </c>
      <c r="X2819" s="1">
        <v>0.0</v>
      </c>
      <c r="Y2819" s="1">
        <v>1.85</v>
      </c>
      <c r="Z2819" s="1">
        <v>6.3</v>
      </c>
    </row>
    <row r="2820" ht="14.25" customHeight="1">
      <c r="A2820" s="1" t="s">
        <v>26</v>
      </c>
      <c r="B2820" s="1" t="s">
        <v>11180</v>
      </c>
      <c r="C2820" s="1" t="s">
        <v>13397</v>
      </c>
      <c r="D2820" s="1">
        <v>8070311.0</v>
      </c>
      <c r="E2820" s="1" t="s">
        <v>1598</v>
      </c>
      <c r="F2820" s="1" t="s">
        <v>503</v>
      </c>
      <c r="G2820" s="1" t="s">
        <v>5540</v>
      </c>
      <c r="H2820" s="1" t="s">
        <v>2287</v>
      </c>
      <c r="I2820" s="1">
        <v>12706.0</v>
      </c>
      <c r="J2820" s="1" t="s">
        <v>13398</v>
      </c>
      <c r="K2820" s="1" t="s">
        <v>13399</v>
      </c>
      <c r="L2820" s="1">
        <v>75.0</v>
      </c>
      <c r="M2820" s="1" t="s">
        <v>35</v>
      </c>
      <c r="N2820" s="1" t="s">
        <v>36</v>
      </c>
      <c r="O2820" s="1" t="s">
        <v>87</v>
      </c>
      <c r="P2820" s="1">
        <v>1.0E7</v>
      </c>
      <c r="Q2820" s="1">
        <v>2004.0</v>
      </c>
      <c r="R2820" s="1">
        <v>7000.0</v>
      </c>
      <c r="S2820" s="1">
        <v>2000.0</v>
      </c>
      <c r="T2820" s="1">
        <v>2000.0</v>
      </c>
      <c r="U2820" s="1">
        <v>13626.0</v>
      </c>
      <c r="V2820" s="1">
        <v>18.0</v>
      </c>
      <c r="W2820" s="1">
        <v>0.0</v>
      </c>
      <c r="X2820" s="1">
        <v>9.0</v>
      </c>
      <c r="Y2820" s="1">
        <v>1.85</v>
      </c>
      <c r="Z2820" s="1">
        <v>5.3</v>
      </c>
    </row>
    <row r="2821" ht="14.25" customHeight="1">
      <c r="A2821" s="1" t="s">
        <v>26</v>
      </c>
      <c r="B2821" s="1" t="s">
        <v>13400</v>
      </c>
      <c r="C2821" s="1" t="s">
        <v>13401</v>
      </c>
      <c r="D2821" s="1">
        <v>8460995.0</v>
      </c>
      <c r="E2821" s="1" t="s">
        <v>1367</v>
      </c>
      <c r="F2821" s="1" t="s">
        <v>13402</v>
      </c>
      <c r="G2821" s="1" t="s">
        <v>2021</v>
      </c>
      <c r="H2821" s="1" t="s">
        <v>5976</v>
      </c>
      <c r="I2821" s="1">
        <v>35888.0</v>
      </c>
      <c r="J2821" s="1" t="s">
        <v>13403</v>
      </c>
      <c r="K2821" s="1" t="s">
        <v>13404</v>
      </c>
      <c r="L2821" s="1">
        <v>125.0</v>
      </c>
      <c r="M2821" s="1" t="s">
        <v>35</v>
      </c>
      <c r="N2821" s="1" t="s">
        <v>36</v>
      </c>
      <c r="O2821" s="1" t="s">
        <v>628</v>
      </c>
      <c r="P2821" s="1">
        <v>1.0E7</v>
      </c>
      <c r="Q2821" s="1">
        <v>2010.0</v>
      </c>
      <c r="R2821" s="1">
        <v>1000.0</v>
      </c>
      <c r="S2821" s="1">
        <v>622.0</v>
      </c>
      <c r="T2821" s="1">
        <v>472.0</v>
      </c>
      <c r="U2821" s="1">
        <v>2618.0</v>
      </c>
      <c r="V2821" s="1">
        <v>434.0</v>
      </c>
      <c r="W2821" s="1">
        <v>0.0</v>
      </c>
      <c r="X2821" s="1">
        <v>3.0</v>
      </c>
      <c r="Y2821" s="1">
        <v>2.35</v>
      </c>
      <c r="Z2821" s="1">
        <v>5.5</v>
      </c>
    </row>
    <row r="2822" ht="14.25" customHeight="1">
      <c r="A2822" s="1" t="s">
        <v>26</v>
      </c>
      <c r="B2822" s="1" t="s">
        <v>5299</v>
      </c>
      <c r="C2822" s="1" t="s">
        <v>13405</v>
      </c>
      <c r="D2822" s="1">
        <v>8111360.0</v>
      </c>
      <c r="E2822" s="1" t="s">
        <v>2045</v>
      </c>
      <c r="F2822" s="1" t="s">
        <v>3922</v>
      </c>
      <c r="G2822" s="1" t="s">
        <v>1589</v>
      </c>
      <c r="H2822" s="1" t="s">
        <v>11244</v>
      </c>
      <c r="I2822" s="1">
        <v>34848.0</v>
      </c>
      <c r="J2822" s="1" t="s">
        <v>13406</v>
      </c>
      <c r="K2822" s="1" t="s">
        <v>13407</v>
      </c>
      <c r="L2822" s="1">
        <v>203.0</v>
      </c>
      <c r="M2822" s="1" t="s">
        <v>35</v>
      </c>
      <c r="N2822" s="1" t="s">
        <v>54</v>
      </c>
      <c r="O2822" s="1" t="s">
        <v>628</v>
      </c>
      <c r="P2822" s="1">
        <v>1.0E7</v>
      </c>
      <c r="Q2822" s="1">
        <v>2002.0</v>
      </c>
      <c r="R2822" s="1">
        <v>460.0</v>
      </c>
      <c r="S2822" s="1">
        <v>372.0</v>
      </c>
      <c r="T2822" s="1">
        <v>250.0</v>
      </c>
      <c r="U2822" s="1">
        <v>1334.0</v>
      </c>
      <c r="V2822" s="1">
        <v>350.0</v>
      </c>
      <c r="W2822" s="1">
        <v>0.0</v>
      </c>
      <c r="X2822" s="1">
        <v>1.0</v>
      </c>
      <c r="Y2822" s="1">
        <v>1.85</v>
      </c>
      <c r="Z2822" s="1">
        <v>7.4</v>
      </c>
    </row>
    <row r="2823" ht="14.25" customHeight="1">
      <c r="A2823" s="1" t="s">
        <v>26</v>
      </c>
      <c r="B2823" s="1" t="s">
        <v>8151</v>
      </c>
      <c r="C2823" s="1" t="s">
        <v>13408</v>
      </c>
      <c r="D2823" s="1">
        <v>8828771.0</v>
      </c>
      <c r="E2823" s="1" t="s">
        <v>1885</v>
      </c>
      <c r="F2823" s="1" t="s">
        <v>255</v>
      </c>
      <c r="G2823" s="1" t="s">
        <v>208</v>
      </c>
      <c r="H2823" s="1" t="s">
        <v>2407</v>
      </c>
      <c r="I2823" s="1">
        <v>79146.0</v>
      </c>
      <c r="J2823" s="1" t="s">
        <v>13409</v>
      </c>
      <c r="K2823" s="1" t="s">
        <v>13410</v>
      </c>
      <c r="L2823" s="1">
        <v>352.0</v>
      </c>
      <c r="M2823" s="1" t="s">
        <v>35</v>
      </c>
      <c r="N2823" s="1" t="s">
        <v>36</v>
      </c>
      <c r="O2823" s="1" t="s">
        <v>628</v>
      </c>
      <c r="P2823" s="1">
        <v>6000000.0</v>
      </c>
      <c r="Q2823" s="1">
        <v>2013.0</v>
      </c>
      <c r="R2823" s="1">
        <v>20000.0</v>
      </c>
      <c r="S2823" s="1">
        <v>14000.0</v>
      </c>
      <c r="T2823" s="1">
        <v>3000.0</v>
      </c>
      <c r="U2823" s="1">
        <v>41059.0</v>
      </c>
      <c r="V2823" s="1">
        <v>0.0</v>
      </c>
      <c r="W2823" s="1">
        <v>25000.0</v>
      </c>
      <c r="X2823" s="1">
        <v>10.0</v>
      </c>
      <c r="Y2823" s="1">
        <v>1.85</v>
      </c>
      <c r="Z2823" s="1">
        <v>4.3</v>
      </c>
    </row>
    <row r="2824" ht="14.25" customHeight="1">
      <c r="A2824" s="1" t="s">
        <v>26</v>
      </c>
      <c r="B2824" s="1" t="s">
        <v>1730</v>
      </c>
      <c r="C2824" s="1" t="s">
        <v>1731</v>
      </c>
      <c r="D2824" s="1">
        <v>6.7631157E7</v>
      </c>
      <c r="E2824" s="1" t="s">
        <v>1732</v>
      </c>
      <c r="F2824" s="1" t="s">
        <v>41</v>
      </c>
      <c r="G2824" s="1" t="s">
        <v>550</v>
      </c>
      <c r="H2824" s="1" t="s">
        <v>1733</v>
      </c>
      <c r="I2824" s="1">
        <v>176606.0</v>
      </c>
      <c r="J2824" s="1" t="s">
        <v>1734</v>
      </c>
      <c r="K2824" s="1" t="s">
        <v>1735</v>
      </c>
      <c r="L2824" s="1">
        <v>374.0</v>
      </c>
      <c r="M2824" s="1" t="s">
        <v>35</v>
      </c>
      <c r="N2824" s="1" t="s">
        <v>36</v>
      </c>
      <c r="O2824" s="1" t="s">
        <v>37</v>
      </c>
      <c r="P2824" s="1">
        <v>1.0E8</v>
      </c>
      <c r="Q2824" s="1">
        <v>2010.0</v>
      </c>
      <c r="R2824" s="1">
        <v>40000.0</v>
      </c>
      <c r="S2824" s="1">
        <v>11000.0</v>
      </c>
      <c r="T2824" s="1">
        <v>3000.0</v>
      </c>
      <c r="U2824" s="1">
        <v>55175.0</v>
      </c>
      <c r="V2824" s="1">
        <v>207.0</v>
      </c>
      <c r="W2824" s="1">
        <v>25000.0</v>
      </c>
      <c r="X2824" s="1">
        <v>0.0</v>
      </c>
      <c r="Y2824" s="1">
        <v>2.35</v>
      </c>
      <c r="Z2824" s="1">
        <v>6.0</v>
      </c>
    </row>
    <row r="2825" ht="14.25" customHeight="1">
      <c r="A2825" s="1" t="s">
        <v>26</v>
      </c>
      <c r="B2825" s="1" t="s">
        <v>13411</v>
      </c>
      <c r="C2825" s="1" t="s">
        <v>13412</v>
      </c>
      <c r="D2825" s="1">
        <v>7563670.0</v>
      </c>
      <c r="E2825" s="1" t="s">
        <v>3439</v>
      </c>
      <c r="F2825" s="1" t="s">
        <v>1102</v>
      </c>
      <c r="G2825" s="1" t="s">
        <v>9141</v>
      </c>
      <c r="H2825" s="1" t="s">
        <v>7398</v>
      </c>
      <c r="I2825" s="1">
        <v>21268.0</v>
      </c>
      <c r="J2825" s="1" t="s">
        <v>13413</v>
      </c>
      <c r="K2825" s="1" t="s">
        <v>13414</v>
      </c>
      <c r="L2825" s="1">
        <v>53.0</v>
      </c>
      <c r="M2825" s="1" t="s">
        <v>35</v>
      </c>
      <c r="N2825" s="1" t="s">
        <v>36</v>
      </c>
      <c r="O2825" s="1" t="s">
        <v>37</v>
      </c>
      <c r="P2825" s="1">
        <v>1.0E7</v>
      </c>
      <c r="Q2825" s="1">
        <v>2008.0</v>
      </c>
      <c r="R2825" s="1">
        <v>939.0</v>
      </c>
      <c r="S2825" s="1">
        <v>702.0</v>
      </c>
      <c r="T2825" s="1">
        <v>655.0</v>
      </c>
      <c r="U2825" s="1">
        <v>3651.0</v>
      </c>
      <c r="V2825" s="1">
        <v>4.0</v>
      </c>
      <c r="W2825" s="1">
        <v>518.0</v>
      </c>
      <c r="X2825" s="1">
        <v>0.0</v>
      </c>
      <c r="Y2825" s="1">
        <v>2.35</v>
      </c>
      <c r="Z2825" s="1">
        <v>5.2</v>
      </c>
    </row>
    <row r="2826" ht="14.25" customHeight="1">
      <c r="A2826" s="1" t="s">
        <v>710</v>
      </c>
      <c r="B2826" s="1" t="s">
        <v>13415</v>
      </c>
      <c r="C2826" s="1" t="s">
        <v>13416</v>
      </c>
      <c r="D2826" s="1">
        <v>6619173.0</v>
      </c>
      <c r="E2826" s="1" t="s">
        <v>13417</v>
      </c>
      <c r="F2826" s="1" t="s">
        <v>503</v>
      </c>
      <c r="G2826" s="1" t="s">
        <v>10946</v>
      </c>
      <c r="H2826" s="1" t="s">
        <v>13418</v>
      </c>
      <c r="I2826" s="1">
        <v>87203.0</v>
      </c>
      <c r="J2826" s="1" t="s">
        <v>13419</v>
      </c>
      <c r="K2826" s="1" t="s">
        <v>13420</v>
      </c>
      <c r="L2826" s="1">
        <v>221.0</v>
      </c>
      <c r="M2826" s="1" t="s">
        <v>35</v>
      </c>
      <c r="N2826" s="1" t="s">
        <v>36</v>
      </c>
      <c r="O2826" s="1" t="s">
        <v>628</v>
      </c>
      <c r="P2826" s="1">
        <v>1.0E7</v>
      </c>
      <c r="Q2826" s="1">
        <v>2012.0</v>
      </c>
      <c r="R2826" s="1">
        <v>7000.0</v>
      </c>
      <c r="S2826" s="1">
        <v>353.0</v>
      </c>
      <c r="T2826" s="1">
        <v>172.0</v>
      </c>
      <c r="U2826" s="1">
        <v>7747.0</v>
      </c>
      <c r="V2826" s="1">
        <v>63.0</v>
      </c>
      <c r="W2826" s="1">
        <v>25000.0</v>
      </c>
      <c r="X2826" s="1">
        <v>2.0</v>
      </c>
      <c r="Y2826" s="1">
        <v>2.35</v>
      </c>
      <c r="Z2826" s="1">
        <v>6.7</v>
      </c>
    </row>
    <row r="2827" ht="14.25" customHeight="1">
      <c r="A2827" s="1" t="s">
        <v>710</v>
      </c>
      <c r="B2827" s="1" t="s">
        <v>13421</v>
      </c>
      <c r="C2827" s="1" t="s">
        <v>13422</v>
      </c>
      <c r="D2827" s="1">
        <v>6712241.0</v>
      </c>
      <c r="E2827" s="1" t="s">
        <v>1854</v>
      </c>
      <c r="F2827" s="1" t="s">
        <v>2003</v>
      </c>
      <c r="G2827" s="1" t="s">
        <v>7556</v>
      </c>
      <c r="H2827" s="1" t="s">
        <v>1265</v>
      </c>
      <c r="I2827" s="1">
        <v>782437.0</v>
      </c>
      <c r="J2827" s="1" t="s">
        <v>13423</v>
      </c>
      <c r="K2827" s="1" t="s">
        <v>13424</v>
      </c>
      <c r="L2827" s="1">
        <v>1420.0</v>
      </c>
      <c r="M2827" s="1" t="s">
        <v>35</v>
      </c>
      <c r="N2827" s="1" t="s">
        <v>36</v>
      </c>
      <c r="O2827" s="1" t="s">
        <v>628</v>
      </c>
      <c r="P2827" s="1">
        <v>7500000.0</v>
      </c>
      <c r="Q2827" s="1">
        <v>1998.0</v>
      </c>
      <c r="R2827" s="1">
        <v>1000.0</v>
      </c>
      <c r="S2827" s="1">
        <v>816.0</v>
      </c>
      <c r="T2827" s="1">
        <v>602.0</v>
      </c>
      <c r="U2827" s="1">
        <v>3858.0</v>
      </c>
      <c r="V2827" s="1">
        <v>194.0</v>
      </c>
      <c r="W2827" s="1">
        <v>35000.0</v>
      </c>
      <c r="X2827" s="1">
        <v>2.0</v>
      </c>
      <c r="Y2827" s="1">
        <v>1.85</v>
      </c>
      <c r="Z2827" s="1">
        <v>8.6</v>
      </c>
    </row>
    <row r="2828" ht="14.25" customHeight="1">
      <c r="A2828" s="1" t="s">
        <v>26</v>
      </c>
      <c r="B2828" s="1" t="s">
        <v>13425</v>
      </c>
      <c r="C2828" s="1" t="s">
        <v>13426</v>
      </c>
      <c r="D2828" s="1">
        <v>6842058.0</v>
      </c>
      <c r="E2828" s="1" t="s">
        <v>4634</v>
      </c>
      <c r="F2828" s="1" t="s">
        <v>2985</v>
      </c>
      <c r="G2828" s="1" t="s">
        <v>13427</v>
      </c>
      <c r="H2828" s="1" t="s">
        <v>13428</v>
      </c>
      <c r="I2828" s="1">
        <v>36029.0</v>
      </c>
      <c r="J2828" s="1" t="s">
        <v>13429</v>
      </c>
      <c r="K2828" s="1" t="s">
        <v>13430</v>
      </c>
      <c r="L2828" s="1">
        <v>99.0</v>
      </c>
      <c r="M2828" s="1" t="s">
        <v>35</v>
      </c>
      <c r="N2828" s="1" t="s">
        <v>36</v>
      </c>
      <c r="O2828" s="1" t="s">
        <v>628</v>
      </c>
      <c r="P2828" s="1">
        <v>1.0E7</v>
      </c>
      <c r="Q2828" s="1">
        <v>2012.0</v>
      </c>
      <c r="R2828" s="1">
        <v>1000.0</v>
      </c>
      <c r="S2828" s="1">
        <v>581.0</v>
      </c>
      <c r="T2828" s="1">
        <v>444.0</v>
      </c>
      <c r="U2828" s="1">
        <v>3818.0</v>
      </c>
      <c r="V2828" s="1">
        <v>87.0</v>
      </c>
      <c r="W2828" s="1">
        <v>14000.0</v>
      </c>
      <c r="X2828" s="1">
        <v>0.0</v>
      </c>
      <c r="Y2828" s="1">
        <v>2.35</v>
      </c>
      <c r="Z2828" s="1">
        <v>6.1</v>
      </c>
    </row>
    <row r="2829" ht="14.25" customHeight="1">
      <c r="A2829" s="1" t="s">
        <v>26</v>
      </c>
      <c r="B2829" s="1" t="s">
        <v>13431</v>
      </c>
      <c r="C2829" s="1" t="s">
        <v>13432</v>
      </c>
      <c r="D2829" s="1">
        <v>6491350.0</v>
      </c>
      <c r="E2829" s="1" t="s">
        <v>7495</v>
      </c>
      <c r="F2829" s="1" t="s">
        <v>1329</v>
      </c>
      <c r="G2829" s="1" t="s">
        <v>256</v>
      </c>
      <c r="H2829" s="1" t="s">
        <v>2876</v>
      </c>
      <c r="I2829" s="1">
        <v>1231.0</v>
      </c>
      <c r="J2829" s="1" t="s">
        <v>13433</v>
      </c>
      <c r="K2829" s="1" t="s">
        <v>13434</v>
      </c>
      <c r="L2829" s="1">
        <v>26.0</v>
      </c>
      <c r="M2829" s="1" t="s">
        <v>35</v>
      </c>
      <c r="N2829" s="1" t="s">
        <v>36</v>
      </c>
      <c r="O2829" s="1" t="s">
        <v>87</v>
      </c>
      <c r="P2829" s="1">
        <v>1.0E7</v>
      </c>
      <c r="Q2829" s="1">
        <v>2004.0</v>
      </c>
      <c r="R2829" s="1">
        <v>886.0</v>
      </c>
      <c r="S2829" s="1">
        <v>808.0</v>
      </c>
      <c r="T2829" s="1">
        <v>719.0</v>
      </c>
      <c r="U2829" s="1">
        <v>5139.0</v>
      </c>
      <c r="V2829" s="1">
        <v>0.0</v>
      </c>
      <c r="W2829" s="1">
        <v>49.0</v>
      </c>
      <c r="X2829" s="1">
        <v>0.0</v>
      </c>
      <c r="Y2829" s="1">
        <v>1.85</v>
      </c>
      <c r="Z2829" s="1">
        <v>5.8</v>
      </c>
    </row>
    <row r="2830" ht="14.25" customHeight="1">
      <c r="A2830" s="1" t="s">
        <v>26</v>
      </c>
      <c r="B2830" s="1" t="s">
        <v>13435</v>
      </c>
      <c r="C2830" s="1" t="s">
        <v>13436</v>
      </c>
      <c r="D2830" s="1">
        <v>9473382.0</v>
      </c>
      <c r="E2830" s="1" t="s">
        <v>13437</v>
      </c>
      <c r="F2830" s="1" t="s">
        <v>13438</v>
      </c>
      <c r="G2830" s="1" t="s">
        <v>13439</v>
      </c>
      <c r="H2830" s="1" t="s">
        <v>13440</v>
      </c>
      <c r="I2830" s="1">
        <v>26832.0</v>
      </c>
      <c r="J2830" s="1" t="s">
        <v>13441</v>
      </c>
      <c r="K2830" s="1" t="s">
        <v>13442</v>
      </c>
      <c r="L2830" s="1">
        <v>247.0</v>
      </c>
      <c r="M2830" s="1" t="s">
        <v>2752</v>
      </c>
      <c r="N2830" s="1" t="s">
        <v>260</v>
      </c>
      <c r="O2830" s="1" t="s">
        <v>628</v>
      </c>
      <c r="P2830" s="1">
        <v>1.0E7</v>
      </c>
      <c r="Q2830" s="1">
        <v>1998.0</v>
      </c>
      <c r="R2830" s="1">
        <v>24.0</v>
      </c>
      <c r="S2830" s="1">
        <v>3.0</v>
      </c>
      <c r="T2830" s="1">
        <v>2.0</v>
      </c>
      <c r="U2830" s="1">
        <v>29.0</v>
      </c>
      <c r="V2830" s="1">
        <v>63.0</v>
      </c>
      <c r="W2830" s="1">
        <v>0.0</v>
      </c>
      <c r="X2830" s="1">
        <v>3.0</v>
      </c>
      <c r="Y2830" s="1">
        <v>1.85</v>
      </c>
      <c r="Z2830" s="1">
        <v>7.7</v>
      </c>
    </row>
    <row r="2831" ht="14.25" customHeight="1">
      <c r="A2831" s="1" t="s">
        <v>26</v>
      </c>
      <c r="B2831" s="1" t="s">
        <v>5514</v>
      </c>
      <c r="C2831" s="1" t="s">
        <v>13443</v>
      </c>
      <c r="D2831" s="1">
        <v>6197866.0</v>
      </c>
      <c r="E2831" s="1" t="s">
        <v>1474</v>
      </c>
      <c r="F2831" s="1" t="s">
        <v>7044</v>
      </c>
      <c r="G2831" s="1" t="s">
        <v>10838</v>
      </c>
      <c r="H2831" s="1" t="s">
        <v>13444</v>
      </c>
      <c r="I2831" s="1">
        <v>63733.0</v>
      </c>
      <c r="J2831" s="1" t="s">
        <v>13445</v>
      </c>
      <c r="K2831" s="1" t="s">
        <v>13446</v>
      </c>
      <c r="L2831" s="1">
        <v>414.0</v>
      </c>
      <c r="M2831" s="1" t="s">
        <v>35</v>
      </c>
      <c r="N2831" s="1" t="s">
        <v>1832</v>
      </c>
      <c r="O2831" s="1" t="s">
        <v>269</v>
      </c>
      <c r="P2831" s="1">
        <v>1.0E7</v>
      </c>
      <c r="Q2831" s="1">
        <v>1999.0</v>
      </c>
      <c r="R2831" s="1">
        <v>874.0</v>
      </c>
      <c r="S2831" s="1">
        <v>262.0</v>
      </c>
      <c r="T2831" s="1">
        <v>201.0</v>
      </c>
      <c r="U2831" s="1">
        <v>1351.0</v>
      </c>
      <c r="V2831" s="1">
        <v>0.0</v>
      </c>
      <c r="W2831" s="1">
        <v>0.0</v>
      </c>
      <c r="X2831" s="1">
        <v>0.0</v>
      </c>
      <c r="Y2831" s="1">
        <v>2.35</v>
      </c>
      <c r="Z2831" s="1">
        <v>8.0</v>
      </c>
    </row>
    <row r="2832" ht="14.25" customHeight="1">
      <c r="A2832" s="1" t="s">
        <v>26</v>
      </c>
      <c r="B2832" s="1" t="s">
        <v>13447</v>
      </c>
      <c r="C2832" s="1" t="s">
        <v>13448</v>
      </c>
      <c r="D2832" s="1">
        <v>6044618.0</v>
      </c>
      <c r="E2832" s="1" t="s">
        <v>13449</v>
      </c>
      <c r="F2832" s="1" t="s">
        <v>4566</v>
      </c>
      <c r="G2832" s="1" t="s">
        <v>75</v>
      </c>
      <c r="H2832" s="1" t="s">
        <v>8625</v>
      </c>
      <c r="I2832" s="1">
        <v>6200.0</v>
      </c>
      <c r="J2832" s="1" t="s">
        <v>13450</v>
      </c>
      <c r="K2832" s="1" t="s">
        <v>13451</v>
      </c>
      <c r="L2832" s="1">
        <v>92.0</v>
      </c>
      <c r="M2832" s="1" t="s">
        <v>35</v>
      </c>
      <c r="N2832" s="1" t="s">
        <v>36</v>
      </c>
      <c r="O2832" s="1" t="s">
        <v>628</v>
      </c>
      <c r="P2832" s="1">
        <v>1.0E7</v>
      </c>
      <c r="Q2832" s="1">
        <v>2002.0</v>
      </c>
      <c r="R2832" s="1">
        <v>12000.0</v>
      </c>
      <c r="S2832" s="1">
        <v>11000.0</v>
      </c>
      <c r="T2832" s="1">
        <v>934.0</v>
      </c>
      <c r="U2832" s="1">
        <v>26961.0</v>
      </c>
      <c r="V2832" s="1">
        <v>9.0</v>
      </c>
      <c r="W2832" s="1">
        <v>398.0</v>
      </c>
      <c r="X2832" s="1">
        <v>1.0</v>
      </c>
      <c r="Y2832" s="1">
        <v>2.35</v>
      </c>
      <c r="Z2832" s="1">
        <v>5.6</v>
      </c>
    </row>
    <row r="2833" ht="14.25" customHeight="1">
      <c r="A2833" s="1" t="s">
        <v>26</v>
      </c>
      <c r="B2833" s="1" t="s">
        <v>13452</v>
      </c>
      <c r="C2833" s="1" t="s">
        <v>13453</v>
      </c>
      <c r="D2833" s="1">
        <v>7764027.0</v>
      </c>
      <c r="E2833" s="1" t="s">
        <v>2422</v>
      </c>
      <c r="F2833" s="1" t="s">
        <v>6602</v>
      </c>
      <c r="G2833" s="1" t="s">
        <v>3360</v>
      </c>
      <c r="H2833" s="1" t="s">
        <v>13176</v>
      </c>
      <c r="I2833" s="1">
        <v>38459.0</v>
      </c>
      <c r="J2833" s="1" t="s">
        <v>13454</v>
      </c>
      <c r="K2833" s="1" t="s">
        <v>13455</v>
      </c>
      <c r="L2833" s="1">
        <v>119.0</v>
      </c>
      <c r="M2833" s="1" t="s">
        <v>35</v>
      </c>
      <c r="N2833" s="1" t="s">
        <v>36</v>
      </c>
      <c r="O2833" s="1" t="s">
        <v>628</v>
      </c>
      <c r="P2833" s="1">
        <v>1.0E7</v>
      </c>
      <c r="Q2833" s="1">
        <v>2013.0</v>
      </c>
      <c r="R2833" s="1">
        <v>628.0</v>
      </c>
      <c r="S2833" s="1">
        <v>497.0</v>
      </c>
      <c r="T2833" s="1">
        <v>322.0</v>
      </c>
      <c r="U2833" s="1">
        <v>2061.0</v>
      </c>
      <c r="V2833" s="1">
        <v>0.0</v>
      </c>
      <c r="W2833" s="1">
        <v>0.0</v>
      </c>
      <c r="X2833" s="1">
        <v>0.0</v>
      </c>
      <c r="Y2833" s="1">
        <v>2.35</v>
      </c>
      <c r="Z2833" s="1">
        <v>6.7</v>
      </c>
    </row>
    <row r="2834" ht="14.25" customHeight="1">
      <c r="A2834" s="1" t="s">
        <v>26</v>
      </c>
      <c r="B2834" s="1" t="s">
        <v>10142</v>
      </c>
      <c r="C2834" s="1" t="s">
        <v>13456</v>
      </c>
      <c r="D2834" s="1">
        <v>2.1569041E7</v>
      </c>
      <c r="E2834" s="1" t="s">
        <v>3238</v>
      </c>
      <c r="F2834" s="1" t="s">
        <v>1347</v>
      </c>
      <c r="G2834" s="1" t="s">
        <v>9064</v>
      </c>
      <c r="H2834" s="1" t="s">
        <v>13457</v>
      </c>
      <c r="I2834" s="1">
        <v>8058.0</v>
      </c>
      <c r="J2834" s="1" t="s">
        <v>13458</v>
      </c>
      <c r="K2834" s="1" t="s">
        <v>13459</v>
      </c>
      <c r="L2834" s="1">
        <v>57.0</v>
      </c>
      <c r="M2834" s="1" t="s">
        <v>35</v>
      </c>
      <c r="N2834" s="1" t="s">
        <v>36</v>
      </c>
      <c r="O2834" s="1" t="s">
        <v>37</v>
      </c>
      <c r="P2834" s="1">
        <v>9000000.0</v>
      </c>
      <c r="Q2834" s="1">
        <v>2014.0</v>
      </c>
      <c r="R2834" s="1">
        <v>1000.0</v>
      </c>
      <c r="S2834" s="1">
        <v>837.0</v>
      </c>
      <c r="T2834" s="1">
        <v>664.0</v>
      </c>
      <c r="U2834" s="1">
        <v>3745.0</v>
      </c>
      <c r="V2834" s="1">
        <v>57.0</v>
      </c>
      <c r="W2834" s="1">
        <v>0.0</v>
      </c>
      <c r="X2834" s="1">
        <v>2.0</v>
      </c>
      <c r="Y2834" s="1">
        <v>2.35</v>
      </c>
      <c r="Z2834" s="1">
        <v>6.6</v>
      </c>
    </row>
    <row r="2835" ht="14.25" customHeight="1">
      <c r="A2835" s="1" t="s">
        <v>26</v>
      </c>
      <c r="B2835" s="1" t="s">
        <v>13460</v>
      </c>
      <c r="C2835" s="1" t="s">
        <v>13461</v>
      </c>
      <c r="D2835" s="1">
        <v>4356743.0</v>
      </c>
      <c r="E2835" s="1" t="s">
        <v>2599</v>
      </c>
      <c r="F2835" s="1" t="s">
        <v>2876</v>
      </c>
      <c r="G2835" s="1" t="s">
        <v>6719</v>
      </c>
      <c r="H2835" s="1" t="s">
        <v>9967</v>
      </c>
      <c r="I2835" s="1">
        <v>3662.0</v>
      </c>
      <c r="J2835" s="1" t="s">
        <v>13462</v>
      </c>
      <c r="K2835" s="1" t="s">
        <v>13463</v>
      </c>
      <c r="L2835" s="1">
        <v>79.0</v>
      </c>
      <c r="M2835" s="1" t="s">
        <v>35</v>
      </c>
      <c r="N2835" s="1" t="s">
        <v>36</v>
      </c>
      <c r="O2835" s="1" t="s">
        <v>87</v>
      </c>
      <c r="P2835" s="1">
        <v>1.6E7</v>
      </c>
      <c r="Q2835" s="1">
        <v>2001.0</v>
      </c>
      <c r="R2835" s="1">
        <v>719.0</v>
      </c>
      <c r="S2835" s="1">
        <v>405.0</v>
      </c>
      <c r="T2835" s="1">
        <v>401.0</v>
      </c>
      <c r="U2835" s="1">
        <v>2446.0</v>
      </c>
      <c r="V2835" s="1">
        <v>49.0</v>
      </c>
      <c r="W2835" s="1">
        <v>0.0</v>
      </c>
      <c r="X2835" s="1">
        <v>2.0</v>
      </c>
      <c r="Y2835" s="1">
        <v>1.85</v>
      </c>
      <c r="Z2835" s="1">
        <v>4.1</v>
      </c>
    </row>
    <row r="2836" ht="14.25" customHeight="1">
      <c r="A2836" s="1" t="s">
        <v>26</v>
      </c>
      <c r="B2836" s="1" t="s">
        <v>9241</v>
      </c>
      <c r="C2836" s="1" t="s">
        <v>13464</v>
      </c>
      <c r="D2836" s="1">
        <v>5484375.0</v>
      </c>
      <c r="E2836" s="1" t="s">
        <v>13465</v>
      </c>
      <c r="F2836" s="1" t="s">
        <v>59</v>
      </c>
      <c r="G2836" s="1" t="s">
        <v>13466</v>
      </c>
      <c r="H2836" s="1" t="s">
        <v>13467</v>
      </c>
      <c r="I2836" s="1">
        <v>84641.0</v>
      </c>
      <c r="J2836" s="1" t="s">
        <v>13468</v>
      </c>
      <c r="K2836" s="1" t="s">
        <v>13469</v>
      </c>
      <c r="L2836" s="1">
        <v>205.0</v>
      </c>
      <c r="M2836" s="1" t="s">
        <v>35</v>
      </c>
      <c r="N2836" s="1" t="s">
        <v>36</v>
      </c>
      <c r="O2836" s="1" t="s">
        <v>37</v>
      </c>
      <c r="P2836" s="1">
        <v>1.0E7</v>
      </c>
      <c r="Q2836" s="1">
        <v>2006.0</v>
      </c>
      <c r="R2836" s="1">
        <v>23000.0</v>
      </c>
      <c r="S2836" s="1">
        <v>342.0</v>
      </c>
      <c r="T2836" s="1">
        <v>294.0</v>
      </c>
      <c r="U2836" s="1">
        <v>24270.0</v>
      </c>
      <c r="V2836" s="1">
        <v>0.0</v>
      </c>
      <c r="W2836" s="1">
        <v>0.0</v>
      </c>
      <c r="X2836" s="1">
        <v>0.0</v>
      </c>
      <c r="Y2836" s="1">
        <v>1.85</v>
      </c>
      <c r="Z2836" s="1">
        <v>7.3</v>
      </c>
    </row>
    <row r="2837" ht="14.25" customHeight="1">
      <c r="A2837" s="1" t="s">
        <v>26</v>
      </c>
      <c r="B2837" s="1" t="s">
        <v>13470</v>
      </c>
      <c r="C2837" s="1" t="s">
        <v>13471</v>
      </c>
      <c r="D2837" s="1">
        <v>4244155.0</v>
      </c>
      <c r="E2837" s="1" t="s">
        <v>2422</v>
      </c>
      <c r="F2837" s="1" t="s">
        <v>228</v>
      </c>
      <c r="G2837" s="1" t="s">
        <v>13472</v>
      </c>
      <c r="H2837" s="1" t="s">
        <v>11449</v>
      </c>
      <c r="I2837" s="1">
        <v>56005.0</v>
      </c>
      <c r="J2837" s="1" t="s">
        <v>13473</v>
      </c>
      <c r="K2837" s="1" t="s">
        <v>13474</v>
      </c>
      <c r="L2837" s="1">
        <v>112.0</v>
      </c>
      <c r="M2837" s="1" t="s">
        <v>35</v>
      </c>
      <c r="N2837" s="1" t="s">
        <v>36</v>
      </c>
      <c r="O2837" s="1" t="s">
        <v>628</v>
      </c>
      <c r="P2837" s="1">
        <v>1.0E7</v>
      </c>
      <c r="Q2837" s="1">
        <v>2011.0</v>
      </c>
      <c r="R2837" s="1">
        <v>2000.0</v>
      </c>
      <c r="S2837" s="1">
        <v>616.0</v>
      </c>
      <c r="T2837" s="1">
        <v>581.0</v>
      </c>
      <c r="U2837" s="1">
        <v>3374.0</v>
      </c>
      <c r="V2837" s="1">
        <v>157.0</v>
      </c>
      <c r="W2837" s="1">
        <v>0.0</v>
      </c>
      <c r="X2837" s="1">
        <v>5.0</v>
      </c>
      <c r="Y2837" s="1">
        <v>1.85</v>
      </c>
      <c r="Z2837" s="1">
        <v>6.5</v>
      </c>
    </row>
    <row r="2838" ht="14.25" customHeight="1">
      <c r="A2838" s="1" t="s">
        <v>26</v>
      </c>
      <c r="B2838" s="1" t="s">
        <v>13475</v>
      </c>
      <c r="C2838" s="1" t="s">
        <v>13476</v>
      </c>
      <c r="D2838" s="1">
        <v>5004648.0</v>
      </c>
      <c r="E2838" s="1" t="s">
        <v>206</v>
      </c>
      <c r="F2838" s="1" t="s">
        <v>13477</v>
      </c>
      <c r="G2838" s="1" t="s">
        <v>13478</v>
      </c>
      <c r="H2838" s="1" t="s">
        <v>13479</v>
      </c>
      <c r="I2838" s="1">
        <v>14031.0</v>
      </c>
      <c r="J2838" s="1" t="s">
        <v>13480</v>
      </c>
      <c r="K2838" s="1" t="s">
        <v>13481</v>
      </c>
      <c r="L2838" s="1">
        <v>114.0</v>
      </c>
      <c r="M2838" s="1" t="s">
        <v>9061</v>
      </c>
      <c r="N2838" s="1" t="s">
        <v>8105</v>
      </c>
      <c r="O2838" s="1" t="s">
        <v>628</v>
      </c>
      <c r="P2838" s="1">
        <v>1.0E7</v>
      </c>
      <c r="Q2838" s="1">
        <v>2009.0</v>
      </c>
      <c r="R2838" s="1">
        <v>144.0</v>
      </c>
      <c r="S2838" s="1">
        <v>110.0</v>
      </c>
      <c r="T2838" s="1">
        <v>72.0</v>
      </c>
      <c r="U2838" s="1">
        <v>474.0</v>
      </c>
      <c r="V2838" s="1">
        <v>64.0</v>
      </c>
      <c r="W2838" s="1">
        <v>0.0</v>
      </c>
      <c r="X2838" s="1">
        <v>1.0</v>
      </c>
      <c r="Y2838" s="1">
        <v>1.85</v>
      </c>
      <c r="Z2838" s="1">
        <v>7.0</v>
      </c>
    </row>
    <row r="2839" ht="14.25" customHeight="1">
      <c r="A2839" s="1" t="s">
        <v>26</v>
      </c>
      <c r="B2839" s="1" t="s">
        <v>13482</v>
      </c>
      <c r="C2839" s="1" t="s">
        <v>13483</v>
      </c>
      <c r="D2839" s="1">
        <v>3333823.0</v>
      </c>
      <c r="E2839" s="1" t="s">
        <v>5243</v>
      </c>
      <c r="F2839" s="1" t="s">
        <v>4964</v>
      </c>
      <c r="G2839" s="1" t="s">
        <v>827</v>
      </c>
      <c r="H2839" s="1" t="s">
        <v>10500</v>
      </c>
      <c r="I2839" s="1">
        <v>5612.0</v>
      </c>
      <c r="J2839" s="1" t="s">
        <v>13484</v>
      </c>
      <c r="K2839" s="1" t="s">
        <v>13485</v>
      </c>
      <c r="L2839" s="1">
        <v>122.0</v>
      </c>
      <c r="M2839" s="1" t="s">
        <v>35</v>
      </c>
      <c r="N2839" s="1" t="s">
        <v>36</v>
      </c>
      <c r="O2839" s="1" t="s">
        <v>37</v>
      </c>
      <c r="P2839" s="1">
        <v>1.0E7</v>
      </c>
      <c r="Q2839" s="1">
        <v>2012.0</v>
      </c>
      <c r="R2839" s="1">
        <v>823.0</v>
      </c>
      <c r="S2839" s="1">
        <v>759.0</v>
      </c>
      <c r="T2839" s="1">
        <v>699.0</v>
      </c>
      <c r="U2839" s="1">
        <v>5262.0</v>
      </c>
      <c r="V2839" s="1">
        <v>60.0</v>
      </c>
      <c r="W2839" s="1">
        <v>0.0</v>
      </c>
      <c r="X2839" s="1">
        <v>0.0</v>
      </c>
      <c r="Y2839" s="1">
        <v>2.35</v>
      </c>
      <c r="Z2839" s="1">
        <v>5.5</v>
      </c>
    </row>
    <row r="2840" ht="14.25" customHeight="1">
      <c r="A2840" s="1" t="s">
        <v>26</v>
      </c>
      <c r="B2840" s="1" t="s">
        <v>13486</v>
      </c>
      <c r="C2840" s="1" t="s">
        <v>13487</v>
      </c>
      <c r="D2840" s="1">
        <v>3275585.0</v>
      </c>
      <c r="E2840" s="1" t="s">
        <v>449</v>
      </c>
      <c r="F2840" s="1" t="s">
        <v>425</v>
      </c>
      <c r="G2840" s="1" t="s">
        <v>1787</v>
      </c>
      <c r="H2840" s="1" t="s">
        <v>3001</v>
      </c>
      <c r="I2840" s="1">
        <v>10735.0</v>
      </c>
      <c r="J2840" s="1" t="s">
        <v>13488</v>
      </c>
      <c r="K2840" s="1" t="s">
        <v>13489</v>
      </c>
      <c r="L2840" s="1">
        <v>88.0</v>
      </c>
      <c r="M2840" s="1" t="s">
        <v>35</v>
      </c>
      <c r="N2840" s="1" t="s">
        <v>54</v>
      </c>
      <c r="O2840" s="1" t="s">
        <v>628</v>
      </c>
      <c r="P2840" s="1">
        <v>1.15E7</v>
      </c>
      <c r="Q2840" s="1">
        <v>1993.0</v>
      </c>
      <c r="R2840" s="1">
        <v>10000.0</v>
      </c>
      <c r="S2840" s="1">
        <v>721.0</v>
      </c>
      <c r="T2840" s="1">
        <v>541.0</v>
      </c>
      <c r="U2840" s="1">
        <v>13160.0</v>
      </c>
      <c r="V2840" s="1">
        <v>34.0</v>
      </c>
      <c r="W2840" s="1">
        <v>561.0</v>
      </c>
      <c r="X2840" s="1">
        <v>1.0</v>
      </c>
      <c r="Y2840" s="1">
        <v>1.85</v>
      </c>
      <c r="Z2840" s="1">
        <v>6.6</v>
      </c>
    </row>
    <row r="2841" ht="14.25" customHeight="1">
      <c r="A2841" s="1" t="s">
        <v>26</v>
      </c>
      <c r="B2841" s="1" t="s">
        <v>1456</v>
      </c>
      <c r="C2841" s="1" t="s">
        <v>13490</v>
      </c>
      <c r="D2841" s="1">
        <v>3193102.0</v>
      </c>
      <c r="E2841" s="1" t="s">
        <v>2061</v>
      </c>
      <c r="F2841" s="1" t="s">
        <v>1310</v>
      </c>
      <c r="G2841" s="1" t="s">
        <v>13491</v>
      </c>
      <c r="H2841" s="1" t="s">
        <v>5484</v>
      </c>
      <c r="I2841" s="1">
        <v>24412.0</v>
      </c>
      <c r="J2841" s="1" t="s">
        <v>13492</v>
      </c>
      <c r="K2841" s="1" t="s">
        <v>13493</v>
      </c>
      <c r="L2841" s="1">
        <v>240.0</v>
      </c>
      <c r="M2841" s="1" t="s">
        <v>35</v>
      </c>
      <c r="N2841" s="1" t="s">
        <v>36</v>
      </c>
      <c r="O2841" s="1" t="s">
        <v>628</v>
      </c>
      <c r="P2841" s="1">
        <v>9000000.0</v>
      </c>
      <c r="Q2841" s="1">
        <v>1999.0</v>
      </c>
      <c r="R2841" s="1">
        <v>402.0</v>
      </c>
      <c r="S2841" s="1">
        <v>296.0</v>
      </c>
      <c r="T2841" s="1">
        <v>132.0</v>
      </c>
      <c r="U2841" s="1">
        <v>1335.0</v>
      </c>
      <c r="V2841" s="1">
        <v>0.0</v>
      </c>
      <c r="W2841" s="1">
        <v>944.0</v>
      </c>
      <c r="X2841" s="1">
        <v>0.0</v>
      </c>
      <c r="Y2841" s="1">
        <v>1.85</v>
      </c>
      <c r="Z2841" s="1">
        <v>7.1</v>
      </c>
    </row>
    <row r="2842" ht="14.25" customHeight="1">
      <c r="A2842" s="1" t="s">
        <v>26</v>
      </c>
      <c r="B2842" s="1" t="s">
        <v>7959</v>
      </c>
      <c r="C2842" s="1" t="s">
        <v>13494</v>
      </c>
      <c r="D2842" s="1">
        <v>5.4557348E7</v>
      </c>
      <c r="E2842" s="1" t="s">
        <v>2045</v>
      </c>
      <c r="F2842" s="1" t="s">
        <v>244</v>
      </c>
      <c r="G2842" s="1" t="s">
        <v>2924</v>
      </c>
      <c r="H2842" s="1" t="s">
        <v>4878</v>
      </c>
      <c r="I2842" s="1">
        <v>361169.0</v>
      </c>
      <c r="J2842" s="1" t="s">
        <v>13495</v>
      </c>
      <c r="K2842" s="1" t="s">
        <v>13496</v>
      </c>
      <c r="L2842" s="1">
        <v>1624.0</v>
      </c>
      <c r="M2842" s="1" t="s">
        <v>35</v>
      </c>
      <c r="N2842" s="1" t="s">
        <v>730</v>
      </c>
      <c r="O2842" s="1" t="s">
        <v>628</v>
      </c>
      <c r="P2842" s="1">
        <v>6500000.0</v>
      </c>
      <c r="Q2842" s="1">
        <v>2004.0</v>
      </c>
      <c r="R2842" s="1">
        <v>3000.0</v>
      </c>
      <c r="S2842" s="1">
        <v>912.0</v>
      </c>
      <c r="T2842" s="1">
        <v>911.0</v>
      </c>
      <c r="U2842" s="1">
        <v>5732.0</v>
      </c>
      <c r="V2842" s="1">
        <v>549.0</v>
      </c>
      <c r="W2842" s="1">
        <v>18000.0</v>
      </c>
      <c r="X2842" s="1">
        <v>0.0</v>
      </c>
      <c r="Y2842" s="1">
        <v>2.35</v>
      </c>
      <c r="Z2842" s="1">
        <v>7.9</v>
      </c>
    </row>
    <row r="2843" ht="14.25" customHeight="1">
      <c r="A2843" s="1" t="s">
        <v>26</v>
      </c>
      <c r="B2843" s="1" t="s">
        <v>13497</v>
      </c>
      <c r="C2843" s="1" t="s">
        <v>13498</v>
      </c>
      <c r="D2843" s="1">
        <v>3041803.0</v>
      </c>
      <c r="E2843" s="1" t="s">
        <v>206</v>
      </c>
      <c r="F2843" s="1" t="s">
        <v>5424</v>
      </c>
      <c r="G2843" s="1" t="s">
        <v>1772</v>
      </c>
      <c r="H2843" s="1" t="s">
        <v>8301</v>
      </c>
      <c r="I2843" s="1">
        <v>6377.0</v>
      </c>
      <c r="J2843" s="1" t="s">
        <v>13499</v>
      </c>
      <c r="K2843" s="1" t="s">
        <v>13500</v>
      </c>
      <c r="L2843" s="1">
        <v>181.0</v>
      </c>
      <c r="M2843" s="1" t="s">
        <v>35</v>
      </c>
      <c r="N2843" s="1" t="s">
        <v>54</v>
      </c>
      <c r="O2843" s="1" t="s">
        <v>87</v>
      </c>
      <c r="P2843" s="1">
        <v>1.0E7</v>
      </c>
      <c r="Q2843" s="1">
        <v>2000.0</v>
      </c>
      <c r="R2843" s="1">
        <v>902.0</v>
      </c>
      <c r="S2843" s="1">
        <v>576.0</v>
      </c>
      <c r="T2843" s="1">
        <v>553.0</v>
      </c>
      <c r="U2843" s="1">
        <v>2735.0</v>
      </c>
      <c r="V2843" s="1">
        <v>25.0</v>
      </c>
      <c r="W2843" s="1">
        <v>345.0</v>
      </c>
      <c r="X2843" s="1">
        <v>0.0</v>
      </c>
      <c r="Y2843" s="1">
        <v>2.35</v>
      </c>
      <c r="Z2843" s="1">
        <v>7.1</v>
      </c>
    </row>
    <row r="2844" ht="14.25" customHeight="1">
      <c r="A2844" s="1" t="s">
        <v>26</v>
      </c>
      <c r="B2844" s="1" t="s">
        <v>13501</v>
      </c>
      <c r="C2844" s="1" t="s">
        <v>13502</v>
      </c>
      <c r="D2844" s="1">
        <v>3060858.0</v>
      </c>
      <c r="E2844" s="1" t="s">
        <v>886</v>
      </c>
      <c r="F2844" s="1" t="s">
        <v>6288</v>
      </c>
      <c r="G2844" s="1" t="s">
        <v>11298</v>
      </c>
      <c r="H2844" s="1" t="s">
        <v>13503</v>
      </c>
      <c r="I2844" s="1">
        <v>1768.0</v>
      </c>
      <c r="J2844" s="1" t="s">
        <v>13504</v>
      </c>
      <c r="K2844" s="1" t="s">
        <v>13505</v>
      </c>
      <c r="L2844" s="1">
        <v>37.0</v>
      </c>
      <c r="M2844" s="1" t="s">
        <v>35</v>
      </c>
      <c r="N2844" s="1" t="s">
        <v>36</v>
      </c>
      <c r="O2844" s="1" t="s">
        <v>628</v>
      </c>
      <c r="P2844" s="1">
        <v>1.0E7</v>
      </c>
      <c r="Q2844" s="1">
        <v>1987.0</v>
      </c>
      <c r="R2844" s="1">
        <v>754.0</v>
      </c>
      <c r="S2844" s="1">
        <v>324.0</v>
      </c>
      <c r="T2844" s="1">
        <v>311.0</v>
      </c>
      <c r="U2844" s="1">
        <v>1891.0</v>
      </c>
      <c r="V2844" s="1">
        <v>4.0</v>
      </c>
      <c r="W2844" s="1">
        <v>208.0</v>
      </c>
      <c r="X2844" s="1">
        <v>4.0</v>
      </c>
      <c r="Y2844" s="1">
        <v>1.85</v>
      </c>
      <c r="Z2844" s="1">
        <v>5.6</v>
      </c>
    </row>
    <row r="2845" ht="14.25" customHeight="1">
      <c r="A2845" s="1" t="s">
        <v>26</v>
      </c>
      <c r="B2845" s="1" t="s">
        <v>8898</v>
      </c>
      <c r="C2845" s="1" t="s">
        <v>13506</v>
      </c>
      <c r="D2845" s="1">
        <v>1055654.0</v>
      </c>
      <c r="E2845" s="1" t="s">
        <v>4645</v>
      </c>
      <c r="F2845" s="1" t="s">
        <v>9035</v>
      </c>
      <c r="G2845" s="1" t="s">
        <v>13507</v>
      </c>
      <c r="H2845" s="1" t="s">
        <v>5036</v>
      </c>
      <c r="I2845" s="1">
        <v>20426.0</v>
      </c>
      <c r="J2845" s="1" t="s">
        <v>13508</v>
      </c>
      <c r="K2845" s="1" t="s">
        <v>13509</v>
      </c>
      <c r="L2845" s="1">
        <v>175.0</v>
      </c>
      <c r="M2845" s="1" t="s">
        <v>35</v>
      </c>
      <c r="N2845" s="1" t="s">
        <v>730</v>
      </c>
      <c r="O2845" s="1" t="s">
        <v>37</v>
      </c>
      <c r="P2845" s="1">
        <v>1.0E7</v>
      </c>
      <c r="Q2845" s="1">
        <v>2006.0</v>
      </c>
      <c r="R2845" s="1">
        <v>634.0</v>
      </c>
      <c r="S2845" s="1">
        <v>436.0</v>
      </c>
      <c r="T2845" s="1">
        <v>400.0</v>
      </c>
      <c r="U2845" s="1">
        <v>2673.0</v>
      </c>
      <c r="V2845" s="1">
        <v>108.0</v>
      </c>
      <c r="W2845" s="1">
        <v>0.0</v>
      </c>
      <c r="X2845" s="1">
        <v>1.0</v>
      </c>
      <c r="Y2845" s="1">
        <v>2.35</v>
      </c>
      <c r="Z2845" s="1">
        <v>7.3</v>
      </c>
    </row>
    <row r="2846" ht="14.25" customHeight="1">
      <c r="A2846" s="1" t="s">
        <v>26</v>
      </c>
      <c r="B2846" s="1" t="s">
        <v>13510</v>
      </c>
      <c r="C2846" s="1" t="s">
        <v>13511</v>
      </c>
      <c r="D2846" s="1">
        <v>2331318.0</v>
      </c>
      <c r="E2846" s="1" t="s">
        <v>1885</v>
      </c>
      <c r="F2846" s="1" t="s">
        <v>5455</v>
      </c>
      <c r="G2846" s="1" t="s">
        <v>2097</v>
      </c>
      <c r="H2846" s="1" t="s">
        <v>2601</v>
      </c>
      <c r="I2846" s="1">
        <v>9541.0</v>
      </c>
      <c r="J2846" s="1" t="s">
        <v>13512</v>
      </c>
      <c r="K2846" s="1" t="s">
        <v>13513</v>
      </c>
      <c r="L2846" s="1">
        <v>64.0</v>
      </c>
      <c r="M2846" s="1" t="s">
        <v>35</v>
      </c>
      <c r="N2846" s="1" t="s">
        <v>36</v>
      </c>
      <c r="O2846" s="1" t="s">
        <v>628</v>
      </c>
      <c r="P2846" s="1">
        <v>1.0E7</v>
      </c>
      <c r="Q2846" s="1">
        <v>2011.0</v>
      </c>
      <c r="R2846" s="1">
        <v>982.0</v>
      </c>
      <c r="S2846" s="1">
        <v>503.0</v>
      </c>
      <c r="T2846" s="1">
        <v>269.0</v>
      </c>
      <c r="U2846" s="1">
        <v>2603.0</v>
      </c>
      <c r="V2846" s="1">
        <v>105.0</v>
      </c>
      <c r="W2846" s="1">
        <v>0.0</v>
      </c>
      <c r="X2846" s="1">
        <v>1.0</v>
      </c>
      <c r="Y2846" s="1">
        <v>1.85</v>
      </c>
      <c r="Z2846" s="1">
        <v>3.3</v>
      </c>
    </row>
    <row r="2847" ht="14.25" customHeight="1">
      <c r="A2847" s="1" t="s">
        <v>26</v>
      </c>
      <c r="B2847" s="1" t="s">
        <v>4801</v>
      </c>
      <c r="C2847" s="1" t="s">
        <v>13514</v>
      </c>
      <c r="D2847" s="1">
        <v>2185266.0</v>
      </c>
      <c r="E2847" s="1" t="s">
        <v>8240</v>
      </c>
      <c r="F2847" s="1" t="s">
        <v>13515</v>
      </c>
      <c r="G2847" s="1" t="s">
        <v>2418</v>
      </c>
      <c r="H2847" s="1" t="s">
        <v>768</v>
      </c>
      <c r="I2847" s="1">
        <v>8720.0</v>
      </c>
      <c r="J2847" s="1" t="s">
        <v>13516</v>
      </c>
      <c r="K2847" s="1" t="s">
        <v>13517</v>
      </c>
      <c r="L2847" s="1">
        <v>186.0</v>
      </c>
      <c r="M2847" s="1" t="s">
        <v>35</v>
      </c>
      <c r="N2847" s="1" t="s">
        <v>36</v>
      </c>
      <c r="O2847" s="1" t="s">
        <v>628</v>
      </c>
      <c r="P2847" s="1">
        <v>1.0E7</v>
      </c>
      <c r="Q2847" s="1">
        <v>2000.0</v>
      </c>
      <c r="R2847" s="1">
        <v>1000.0</v>
      </c>
      <c r="S2847" s="1">
        <v>975.0</v>
      </c>
      <c r="T2847" s="1">
        <v>851.0</v>
      </c>
      <c r="U2847" s="1">
        <v>4266.0</v>
      </c>
      <c r="V2847" s="1">
        <v>0.0</v>
      </c>
      <c r="W2847" s="1">
        <v>1000.0</v>
      </c>
      <c r="X2847" s="1">
        <v>0.0</v>
      </c>
      <c r="Y2847" s="1">
        <v>1.85</v>
      </c>
      <c r="Z2847" s="1">
        <v>6.5</v>
      </c>
    </row>
    <row r="2848" ht="14.25" customHeight="1">
      <c r="A2848" s="1" t="s">
        <v>26</v>
      </c>
      <c r="B2848" s="1" t="s">
        <v>13518</v>
      </c>
      <c r="C2848" s="1" t="s">
        <v>13519</v>
      </c>
      <c r="D2848" s="1">
        <v>2.6583369E7</v>
      </c>
      <c r="E2848" s="1" t="s">
        <v>2882</v>
      </c>
      <c r="F2848" s="1" t="s">
        <v>13520</v>
      </c>
      <c r="G2848" s="1" t="s">
        <v>13521</v>
      </c>
      <c r="H2848" s="1" t="s">
        <v>13522</v>
      </c>
      <c r="I2848" s="1">
        <v>20837.0</v>
      </c>
      <c r="J2848" s="1" t="s">
        <v>13523</v>
      </c>
      <c r="K2848" s="1" t="s">
        <v>13524</v>
      </c>
      <c r="L2848" s="1">
        <v>127.0</v>
      </c>
      <c r="M2848" s="1" t="s">
        <v>35</v>
      </c>
      <c r="N2848" s="1" t="s">
        <v>36</v>
      </c>
      <c r="O2848" s="1" t="s">
        <v>37</v>
      </c>
      <c r="P2848" s="1">
        <v>1.0E7</v>
      </c>
      <c r="Q2848" s="1">
        <v>2016.0</v>
      </c>
      <c r="R2848" s="1">
        <v>533.0</v>
      </c>
      <c r="S2848" s="1">
        <v>35.0</v>
      </c>
      <c r="T2848" s="1">
        <v>4.0</v>
      </c>
      <c r="U2848" s="1">
        <v>578.0</v>
      </c>
      <c r="V2848" s="1">
        <v>4.0</v>
      </c>
      <c r="W2848" s="1">
        <v>10000.0</v>
      </c>
      <c r="X2848" s="1">
        <v>1.0</v>
      </c>
      <c r="Y2848" s="1">
        <v>1.85</v>
      </c>
      <c r="Z2848" s="1">
        <v>4.8</v>
      </c>
    </row>
    <row r="2849" ht="14.25" customHeight="1">
      <c r="A2849" s="1" t="s">
        <v>26</v>
      </c>
      <c r="B2849" s="1" t="s">
        <v>13525</v>
      </c>
      <c r="C2849" s="1" t="s">
        <v>13526</v>
      </c>
      <c r="D2849" s="1">
        <v>800000.0</v>
      </c>
      <c r="E2849" s="1" t="s">
        <v>12070</v>
      </c>
      <c r="F2849" s="1" t="s">
        <v>114</v>
      </c>
      <c r="G2849" s="1" t="s">
        <v>6802</v>
      </c>
      <c r="H2849" s="1" t="s">
        <v>2973</v>
      </c>
      <c r="I2849" s="1">
        <v>892.0</v>
      </c>
      <c r="J2849" s="1" t="s">
        <v>13527</v>
      </c>
      <c r="K2849" s="1" t="s">
        <v>13528</v>
      </c>
      <c r="L2849" s="1">
        <v>21.0</v>
      </c>
      <c r="M2849" s="1" t="s">
        <v>35</v>
      </c>
      <c r="N2849" s="1" t="s">
        <v>36</v>
      </c>
      <c r="O2849" s="1" t="s">
        <v>87</v>
      </c>
      <c r="P2849" s="1">
        <v>1.4E7</v>
      </c>
      <c r="Q2849" s="1">
        <v>1981.0</v>
      </c>
      <c r="R2849" s="1">
        <v>902.0</v>
      </c>
      <c r="S2849" s="1">
        <v>488.0</v>
      </c>
      <c r="T2849" s="1">
        <v>249.0</v>
      </c>
      <c r="U2849" s="1">
        <v>2079.0</v>
      </c>
      <c r="V2849" s="1">
        <v>76.0</v>
      </c>
      <c r="W2849" s="1">
        <v>106.0</v>
      </c>
      <c r="X2849" s="1">
        <v>0.0</v>
      </c>
      <c r="Y2849" s="1">
        <v>2.35</v>
      </c>
      <c r="Z2849" s="1">
        <v>5.2</v>
      </c>
    </row>
    <row r="2850" ht="14.25" customHeight="1">
      <c r="A2850" s="1" t="s">
        <v>26</v>
      </c>
      <c r="B2850" s="1" t="s">
        <v>13529</v>
      </c>
      <c r="C2850" s="1" t="s">
        <v>13530</v>
      </c>
      <c r="D2850" s="1">
        <v>7574066.0</v>
      </c>
      <c r="E2850" s="1" t="s">
        <v>2422</v>
      </c>
      <c r="F2850" s="1" t="s">
        <v>200</v>
      </c>
      <c r="G2850" s="1" t="s">
        <v>13531</v>
      </c>
      <c r="H2850" s="1" t="s">
        <v>13532</v>
      </c>
      <c r="I2850" s="1">
        <v>30325.0</v>
      </c>
      <c r="J2850" s="1" t="s">
        <v>13533</v>
      </c>
      <c r="K2850" s="1" t="s">
        <v>13534</v>
      </c>
      <c r="L2850" s="1">
        <v>96.0</v>
      </c>
      <c r="M2850" s="1" t="s">
        <v>35</v>
      </c>
      <c r="N2850" s="1" t="s">
        <v>36</v>
      </c>
      <c r="O2850" s="1" t="s">
        <v>628</v>
      </c>
      <c r="P2850" s="1">
        <v>1.0E7</v>
      </c>
      <c r="Q2850" s="1">
        <v>2014.0</v>
      </c>
      <c r="R2850" s="1">
        <v>6000.0</v>
      </c>
      <c r="S2850" s="1">
        <v>139.0</v>
      </c>
      <c r="T2850" s="1">
        <v>64.0</v>
      </c>
      <c r="U2850" s="1">
        <v>6322.0</v>
      </c>
      <c r="V2850" s="1">
        <v>387.0</v>
      </c>
      <c r="W2850" s="1">
        <v>0.0</v>
      </c>
      <c r="X2850" s="1">
        <v>2.0</v>
      </c>
      <c r="Y2850" s="1">
        <v>1.85</v>
      </c>
      <c r="Z2850" s="1">
        <v>6.3</v>
      </c>
    </row>
    <row r="2851" ht="14.25" customHeight="1">
      <c r="A2851" s="1" t="s">
        <v>26</v>
      </c>
      <c r="B2851" s="1" t="s">
        <v>190</v>
      </c>
      <c r="C2851" s="1" t="s">
        <v>13535</v>
      </c>
      <c r="D2851" s="1">
        <v>1754319.0</v>
      </c>
      <c r="E2851" s="1" t="s">
        <v>206</v>
      </c>
      <c r="F2851" s="1" t="s">
        <v>5493</v>
      </c>
      <c r="G2851" s="1" t="s">
        <v>13536</v>
      </c>
      <c r="H2851" s="1" t="s">
        <v>13537</v>
      </c>
      <c r="I2851" s="1">
        <v>13174.0</v>
      </c>
      <c r="J2851" s="1" t="s">
        <v>13538</v>
      </c>
      <c r="K2851" s="1" t="s">
        <v>13539</v>
      </c>
      <c r="L2851" s="1">
        <v>81.0</v>
      </c>
      <c r="M2851" s="1" t="s">
        <v>35</v>
      </c>
      <c r="N2851" s="1" t="s">
        <v>36</v>
      </c>
      <c r="O2851" s="1" t="s">
        <v>37</v>
      </c>
      <c r="P2851" s="1">
        <v>1.0E7</v>
      </c>
      <c r="Q2851" s="1">
        <v>2011.0</v>
      </c>
      <c r="R2851" s="1">
        <v>749.0</v>
      </c>
      <c r="S2851" s="1">
        <v>252.0</v>
      </c>
      <c r="T2851" s="1">
        <v>221.0</v>
      </c>
      <c r="U2851" s="1">
        <v>2214.0</v>
      </c>
      <c r="V2851" s="1">
        <v>129.0</v>
      </c>
      <c r="W2851" s="1">
        <v>0.0</v>
      </c>
      <c r="X2851" s="1">
        <v>0.0</v>
      </c>
      <c r="Y2851" s="1">
        <v>1.85</v>
      </c>
      <c r="Z2851" s="1">
        <v>7.2</v>
      </c>
    </row>
    <row r="2852" ht="14.25" customHeight="1">
      <c r="A2852" s="1" t="s">
        <v>26</v>
      </c>
      <c r="B2852" s="1" t="s">
        <v>5104</v>
      </c>
      <c r="C2852" s="1" t="s">
        <v>13540</v>
      </c>
      <c r="D2852" s="1">
        <v>1641788.0</v>
      </c>
      <c r="E2852" s="1" t="s">
        <v>1842</v>
      </c>
      <c r="F2852" s="1" t="s">
        <v>4512</v>
      </c>
      <c r="G2852" s="1" t="s">
        <v>8532</v>
      </c>
      <c r="H2852" s="1" t="s">
        <v>11359</v>
      </c>
      <c r="I2852" s="1">
        <v>30096.0</v>
      </c>
      <c r="J2852" s="1" t="s">
        <v>13541</v>
      </c>
      <c r="K2852" s="1" t="s">
        <v>13542</v>
      </c>
      <c r="L2852" s="1">
        <v>213.0</v>
      </c>
      <c r="M2852" s="1" t="s">
        <v>35</v>
      </c>
      <c r="N2852" s="1" t="s">
        <v>260</v>
      </c>
      <c r="O2852" s="1" t="s">
        <v>628</v>
      </c>
      <c r="P2852" s="1">
        <v>8000000.0</v>
      </c>
      <c r="Q2852" s="1">
        <v>2002.0</v>
      </c>
      <c r="R2852" s="1">
        <v>530.0</v>
      </c>
      <c r="S2852" s="1">
        <v>387.0</v>
      </c>
      <c r="T2852" s="1">
        <v>258.0</v>
      </c>
      <c r="U2852" s="1">
        <v>1381.0</v>
      </c>
      <c r="V2852" s="1">
        <v>0.0</v>
      </c>
      <c r="W2852" s="1">
        <v>0.0</v>
      </c>
      <c r="X2852" s="1">
        <v>0.0</v>
      </c>
      <c r="Y2852" s="1">
        <v>1.78</v>
      </c>
      <c r="Z2852" s="1">
        <v>6.8</v>
      </c>
    </row>
    <row r="2853" ht="14.25" customHeight="1">
      <c r="A2853" s="1" t="s">
        <v>26</v>
      </c>
      <c r="B2853" s="1" t="s">
        <v>13543</v>
      </c>
      <c r="C2853" s="1" t="s">
        <v>13544</v>
      </c>
      <c r="D2853" s="1">
        <v>1631839.0</v>
      </c>
      <c r="E2853" s="1" t="s">
        <v>4045</v>
      </c>
      <c r="F2853" s="1" t="s">
        <v>220</v>
      </c>
      <c r="G2853" s="1" t="s">
        <v>415</v>
      </c>
      <c r="H2853" s="1" t="s">
        <v>3422</v>
      </c>
      <c r="I2853" s="1">
        <v>5936.0</v>
      </c>
      <c r="J2853" s="1" t="s">
        <v>13545</v>
      </c>
      <c r="K2853" s="1" t="s">
        <v>13546</v>
      </c>
      <c r="L2853" s="1">
        <v>91.0</v>
      </c>
      <c r="M2853" s="1" t="s">
        <v>35</v>
      </c>
      <c r="N2853" s="1" t="s">
        <v>36</v>
      </c>
      <c r="O2853" s="1" t="s">
        <v>628</v>
      </c>
      <c r="P2853" s="1">
        <v>1.0E7</v>
      </c>
      <c r="Q2853" s="1">
        <v>2000.0</v>
      </c>
      <c r="R2853" s="1">
        <v>14000.0</v>
      </c>
      <c r="S2853" s="1">
        <v>1000.0</v>
      </c>
      <c r="T2853" s="1">
        <v>826.0</v>
      </c>
      <c r="U2853" s="1">
        <v>17665.0</v>
      </c>
      <c r="V2853" s="1">
        <v>3.0</v>
      </c>
      <c r="W2853" s="1">
        <v>242.0</v>
      </c>
      <c r="X2853" s="1">
        <v>0.0</v>
      </c>
      <c r="Y2853" s="1">
        <v>1.85</v>
      </c>
      <c r="Z2853" s="1">
        <v>5.7</v>
      </c>
    </row>
    <row r="2854" ht="14.25" customHeight="1">
      <c r="A2854" s="1" t="s">
        <v>26</v>
      </c>
      <c r="B2854" s="1" t="s">
        <v>9351</v>
      </c>
      <c r="C2854" s="1" t="s">
        <v>13547</v>
      </c>
      <c r="D2854" s="1">
        <v>1309849.0</v>
      </c>
      <c r="E2854" s="1" t="s">
        <v>206</v>
      </c>
      <c r="F2854" s="1" t="s">
        <v>372</v>
      </c>
      <c r="G2854" s="1" t="s">
        <v>249</v>
      </c>
      <c r="H2854" s="1" t="s">
        <v>385</v>
      </c>
      <c r="I2854" s="1">
        <v>9395.0</v>
      </c>
      <c r="J2854" s="1" t="s">
        <v>13548</v>
      </c>
      <c r="K2854" s="1" t="s">
        <v>13549</v>
      </c>
      <c r="L2854" s="1">
        <v>103.0</v>
      </c>
      <c r="M2854" s="1" t="s">
        <v>35</v>
      </c>
      <c r="N2854" s="1" t="s">
        <v>54</v>
      </c>
      <c r="O2854" s="1" t="s">
        <v>87</v>
      </c>
      <c r="P2854" s="1">
        <v>1.0E7</v>
      </c>
      <c r="Q2854" s="1">
        <v>2002.0</v>
      </c>
      <c r="R2854" s="1">
        <v>16000.0</v>
      </c>
      <c r="S2854" s="1">
        <v>11000.0</v>
      </c>
      <c r="T2854" s="1">
        <v>1000.0</v>
      </c>
      <c r="U2854" s="1">
        <v>29177.0</v>
      </c>
      <c r="V2854" s="1">
        <v>41.0</v>
      </c>
      <c r="W2854" s="1">
        <v>0.0</v>
      </c>
      <c r="X2854" s="1">
        <v>1.0</v>
      </c>
      <c r="Y2854" s="1">
        <v>2.35</v>
      </c>
      <c r="Z2854" s="1">
        <v>7.2</v>
      </c>
    </row>
    <row r="2855" ht="14.25" customHeight="1">
      <c r="A2855" s="1" t="s">
        <v>26</v>
      </c>
      <c r="B2855" s="1" t="s">
        <v>7518</v>
      </c>
      <c r="C2855" s="1" t="s">
        <v>13550</v>
      </c>
      <c r="D2855" s="1">
        <v>1939441.0</v>
      </c>
      <c r="E2855" s="1" t="s">
        <v>1643</v>
      </c>
      <c r="F2855" s="1" t="s">
        <v>214</v>
      </c>
      <c r="G2855" s="1" t="s">
        <v>75</v>
      </c>
      <c r="H2855" s="1" t="s">
        <v>5769</v>
      </c>
      <c r="I2855" s="1">
        <v>55567.0</v>
      </c>
      <c r="J2855" s="1" t="s">
        <v>13551</v>
      </c>
      <c r="K2855" s="1" t="s">
        <v>13552</v>
      </c>
      <c r="L2855" s="1">
        <v>144.0</v>
      </c>
      <c r="M2855" s="1" t="s">
        <v>35</v>
      </c>
      <c r="N2855" s="1" t="s">
        <v>36</v>
      </c>
      <c r="O2855" s="1" t="s">
        <v>628</v>
      </c>
      <c r="P2855" s="1">
        <v>1.0E7</v>
      </c>
      <c r="Q2855" s="1">
        <v>2012.0</v>
      </c>
      <c r="R2855" s="1">
        <v>11000.0</v>
      </c>
      <c r="S2855" s="1">
        <v>11000.0</v>
      </c>
      <c r="T2855" s="1">
        <v>683.0</v>
      </c>
      <c r="U2855" s="1">
        <v>23187.0</v>
      </c>
      <c r="V2855" s="1">
        <v>34.0</v>
      </c>
      <c r="W2855" s="1">
        <v>20000.0</v>
      </c>
      <c r="X2855" s="1">
        <v>1.0</v>
      </c>
      <c r="Y2855" s="1">
        <v>1.85</v>
      </c>
      <c r="Z2855" s="1">
        <v>6.9</v>
      </c>
    </row>
    <row r="2856" ht="14.25" customHeight="1">
      <c r="A2856" s="1" t="s">
        <v>26</v>
      </c>
      <c r="B2856" s="1" t="s">
        <v>12358</v>
      </c>
      <c r="C2856" s="1" t="s">
        <v>13553</v>
      </c>
      <c r="D2856" s="1">
        <v>1276984.0</v>
      </c>
      <c r="E2856" s="1" t="s">
        <v>5605</v>
      </c>
      <c r="F2856" s="1" t="s">
        <v>3793</v>
      </c>
      <c r="G2856" s="1" t="s">
        <v>1330</v>
      </c>
      <c r="H2856" s="1" t="s">
        <v>2097</v>
      </c>
      <c r="I2856" s="1">
        <v>11403.0</v>
      </c>
      <c r="J2856" s="1" t="s">
        <v>13554</v>
      </c>
      <c r="K2856" s="1" t="s">
        <v>13555</v>
      </c>
      <c r="L2856" s="1">
        <v>150.0</v>
      </c>
      <c r="M2856" s="1" t="s">
        <v>35</v>
      </c>
      <c r="N2856" s="1" t="s">
        <v>1832</v>
      </c>
      <c r="O2856" s="1" t="s">
        <v>628</v>
      </c>
      <c r="P2856" s="1">
        <v>1.0E7</v>
      </c>
      <c r="Q2856" s="1">
        <v>2000.0</v>
      </c>
      <c r="R2856" s="1">
        <v>975.0</v>
      </c>
      <c r="S2856" s="1">
        <v>537.0</v>
      </c>
      <c r="T2856" s="1">
        <v>503.0</v>
      </c>
      <c r="U2856" s="1">
        <v>3059.0</v>
      </c>
      <c r="V2856" s="1">
        <v>0.0</v>
      </c>
      <c r="W2856" s="1">
        <v>795.0</v>
      </c>
      <c r="X2856" s="1">
        <v>2.0</v>
      </c>
      <c r="Y2856" s="1">
        <v>1.85</v>
      </c>
      <c r="Z2856" s="1">
        <v>6.2</v>
      </c>
    </row>
    <row r="2857" ht="14.25" customHeight="1">
      <c r="A2857" s="1" t="s">
        <v>26</v>
      </c>
      <c r="B2857" s="1" t="s">
        <v>4475</v>
      </c>
      <c r="C2857" s="1" t="s">
        <v>13556</v>
      </c>
      <c r="D2857" s="1">
        <v>1987762.0</v>
      </c>
      <c r="E2857" s="1" t="s">
        <v>4987</v>
      </c>
      <c r="F2857" s="1" t="s">
        <v>637</v>
      </c>
      <c r="G2857" s="1" t="s">
        <v>13557</v>
      </c>
      <c r="H2857" s="1" t="s">
        <v>13558</v>
      </c>
      <c r="I2857" s="1">
        <v>59297.0</v>
      </c>
      <c r="J2857" s="1" t="s">
        <v>13559</v>
      </c>
      <c r="K2857" s="1" t="s">
        <v>13560</v>
      </c>
      <c r="L2857" s="1">
        <v>216.0</v>
      </c>
      <c r="M2857" s="1" t="s">
        <v>35</v>
      </c>
      <c r="N2857" s="1" t="s">
        <v>36</v>
      </c>
      <c r="O2857" s="1" t="s">
        <v>628</v>
      </c>
      <c r="P2857" s="1">
        <v>1.1E7</v>
      </c>
      <c r="Q2857" s="1">
        <v>2011.0</v>
      </c>
      <c r="R2857" s="1">
        <v>11000.0</v>
      </c>
      <c r="S2857" s="1">
        <v>414.0</v>
      </c>
      <c r="T2857" s="1">
        <v>251.0</v>
      </c>
      <c r="U2857" s="1">
        <v>11853.0</v>
      </c>
      <c r="V2857" s="1">
        <v>607.0</v>
      </c>
      <c r="W2857" s="1">
        <v>12000.0</v>
      </c>
      <c r="X2857" s="1">
        <v>0.0</v>
      </c>
      <c r="Y2857" s="1">
        <v>1.85</v>
      </c>
      <c r="Z2857" s="1">
        <v>6.7</v>
      </c>
    </row>
    <row r="2858" ht="14.25" customHeight="1">
      <c r="A2858" s="1" t="s">
        <v>26</v>
      </c>
      <c r="B2858" s="1" t="s">
        <v>13561</v>
      </c>
      <c r="C2858" s="1" t="s">
        <v>13562</v>
      </c>
      <c r="D2858" s="1">
        <v>1474508.0</v>
      </c>
      <c r="E2858" s="1" t="s">
        <v>2422</v>
      </c>
      <c r="F2858" s="1" t="s">
        <v>1320</v>
      </c>
      <c r="G2858" s="1" t="s">
        <v>3064</v>
      </c>
      <c r="H2858" s="1" t="s">
        <v>13563</v>
      </c>
      <c r="I2858" s="1">
        <v>33473.0</v>
      </c>
      <c r="J2858" s="1" t="s">
        <v>13564</v>
      </c>
      <c r="K2858" s="1" t="s">
        <v>13565</v>
      </c>
      <c r="L2858" s="1">
        <v>88.0</v>
      </c>
      <c r="M2858" s="1" t="s">
        <v>35</v>
      </c>
      <c r="N2858" s="1" t="s">
        <v>36</v>
      </c>
      <c r="O2858" s="1" t="s">
        <v>628</v>
      </c>
      <c r="P2858" s="1">
        <v>5000000.0</v>
      </c>
      <c r="Q2858" s="1">
        <v>2009.0</v>
      </c>
      <c r="R2858" s="1">
        <v>2000.0</v>
      </c>
      <c r="S2858" s="1">
        <v>989.0</v>
      </c>
      <c r="T2858" s="1">
        <v>688.0</v>
      </c>
      <c r="U2858" s="1">
        <v>4607.0</v>
      </c>
      <c r="V2858" s="1">
        <v>17.0</v>
      </c>
      <c r="W2858" s="1">
        <v>0.0</v>
      </c>
      <c r="X2858" s="1">
        <v>4.0</v>
      </c>
      <c r="Y2858" s="1">
        <v>2.35</v>
      </c>
      <c r="Z2858" s="1">
        <v>6.5</v>
      </c>
    </row>
    <row r="2859" ht="14.25" customHeight="1">
      <c r="A2859" s="1" t="s">
        <v>26</v>
      </c>
      <c r="B2859" s="1" t="s">
        <v>13566</v>
      </c>
      <c r="C2859" s="1" t="s">
        <v>13567</v>
      </c>
      <c r="D2859" s="1">
        <v>1011054.0</v>
      </c>
      <c r="E2859" s="1" t="s">
        <v>2045</v>
      </c>
      <c r="F2859" s="1" t="s">
        <v>662</v>
      </c>
      <c r="G2859" s="1" t="s">
        <v>3319</v>
      </c>
      <c r="H2859" s="1" t="s">
        <v>3417</v>
      </c>
      <c r="I2859" s="1">
        <v>10585.0</v>
      </c>
      <c r="J2859" s="1" t="s">
        <v>13568</v>
      </c>
      <c r="K2859" s="1" t="s">
        <v>13569</v>
      </c>
      <c r="L2859" s="1">
        <v>83.0</v>
      </c>
      <c r="M2859" s="1" t="s">
        <v>35</v>
      </c>
      <c r="N2859" s="1" t="s">
        <v>260</v>
      </c>
      <c r="O2859" s="1" t="s">
        <v>628</v>
      </c>
      <c r="P2859" s="1">
        <v>1.0E7</v>
      </c>
      <c r="Q2859" s="1">
        <v>2003.0</v>
      </c>
      <c r="R2859" s="1">
        <v>22000.0</v>
      </c>
      <c r="S2859" s="1">
        <v>893.0</v>
      </c>
      <c r="T2859" s="1">
        <v>232.0</v>
      </c>
      <c r="U2859" s="1">
        <v>23513.0</v>
      </c>
      <c r="V2859" s="1">
        <v>23.0</v>
      </c>
      <c r="W2859" s="1">
        <v>0.0</v>
      </c>
      <c r="X2859" s="1">
        <v>1.0</v>
      </c>
      <c r="Y2859" s="1">
        <v>2.35</v>
      </c>
      <c r="Z2859" s="1">
        <v>7.2</v>
      </c>
    </row>
    <row r="2860" ht="14.25" customHeight="1">
      <c r="A2860" s="1" t="s">
        <v>26</v>
      </c>
      <c r="B2860" s="1" t="s">
        <v>13570</v>
      </c>
      <c r="C2860" s="1" t="s">
        <v>13571</v>
      </c>
      <c r="D2860" s="1">
        <v>900926.0</v>
      </c>
      <c r="E2860" s="1" t="s">
        <v>1885</v>
      </c>
      <c r="F2860" s="1" t="s">
        <v>3399</v>
      </c>
      <c r="G2860" s="1" t="s">
        <v>11505</v>
      </c>
      <c r="H2860" s="1" t="s">
        <v>2021</v>
      </c>
      <c r="I2860" s="1">
        <v>9517.0</v>
      </c>
      <c r="J2860" s="1" t="s">
        <v>13572</v>
      </c>
      <c r="K2860" s="1" t="s">
        <v>13573</v>
      </c>
      <c r="L2860" s="1">
        <v>46.0</v>
      </c>
      <c r="M2860" s="1" t="s">
        <v>35</v>
      </c>
      <c r="N2860" s="1" t="s">
        <v>36</v>
      </c>
      <c r="O2860" s="1" t="s">
        <v>628</v>
      </c>
      <c r="P2860" s="1">
        <v>1.0E7</v>
      </c>
      <c r="Q2860" s="1">
        <v>2007.0</v>
      </c>
      <c r="R2860" s="1">
        <v>966.0</v>
      </c>
      <c r="S2860" s="1">
        <v>799.0</v>
      </c>
      <c r="T2860" s="1">
        <v>622.0</v>
      </c>
      <c r="U2860" s="1">
        <v>3307.0</v>
      </c>
      <c r="V2860" s="1">
        <v>0.0</v>
      </c>
      <c r="W2860" s="1">
        <v>319.0</v>
      </c>
      <c r="X2860" s="1">
        <v>2.0</v>
      </c>
      <c r="Y2860" s="1">
        <v>1.85</v>
      </c>
      <c r="Z2860" s="1">
        <v>5.3</v>
      </c>
    </row>
    <row r="2861" ht="14.25" customHeight="1">
      <c r="A2861" s="1" t="s">
        <v>26</v>
      </c>
      <c r="B2861" s="1" t="s">
        <v>6557</v>
      </c>
      <c r="C2861" s="1" t="s">
        <v>13574</v>
      </c>
      <c r="D2861" s="1">
        <v>866778.0</v>
      </c>
      <c r="E2861" s="1" t="s">
        <v>206</v>
      </c>
      <c r="F2861" s="1" t="s">
        <v>805</v>
      </c>
      <c r="G2861" s="1" t="s">
        <v>13575</v>
      </c>
      <c r="H2861" s="1" t="s">
        <v>13576</v>
      </c>
      <c r="I2861" s="1">
        <v>44208.0</v>
      </c>
      <c r="J2861" s="1" t="s">
        <v>13577</v>
      </c>
      <c r="K2861" s="1" t="s">
        <v>13578</v>
      </c>
      <c r="L2861" s="1">
        <v>117.0</v>
      </c>
      <c r="M2861" s="1" t="s">
        <v>35</v>
      </c>
      <c r="N2861" s="1" t="s">
        <v>3659</v>
      </c>
      <c r="O2861" s="1" t="s">
        <v>37</v>
      </c>
      <c r="P2861" s="1">
        <v>1.0E7</v>
      </c>
      <c r="Q2861" s="1">
        <v>2007.0</v>
      </c>
      <c r="R2861" s="1">
        <v>20000.0</v>
      </c>
      <c r="S2861" s="1">
        <v>329.0</v>
      </c>
      <c r="T2861" s="1">
        <v>20.0</v>
      </c>
      <c r="U2861" s="1">
        <v>20364.0</v>
      </c>
      <c r="V2861" s="1">
        <v>0.0</v>
      </c>
      <c r="W2861" s="1">
        <v>0.0</v>
      </c>
      <c r="X2861" s="1">
        <v>3.0</v>
      </c>
      <c r="Y2861" s="1">
        <v>2.35</v>
      </c>
      <c r="Z2861" s="1">
        <v>6.7</v>
      </c>
    </row>
    <row r="2862" ht="14.25" customHeight="1">
      <c r="A2862" s="1" t="s">
        <v>26</v>
      </c>
      <c r="B2862" s="1" t="s">
        <v>1238</v>
      </c>
      <c r="C2862" s="1" t="s">
        <v>13579</v>
      </c>
      <c r="D2862" s="1">
        <v>598645.0</v>
      </c>
      <c r="E2862" s="1" t="s">
        <v>1598</v>
      </c>
      <c r="F2862" s="1" t="s">
        <v>346</v>
      </c>
      <c r="G2862" s="1" t="s">
        <v>515</v>
      </c>
      <c r="H2862" s="1" t="s">
        <v>6015</v>
      </c>
      <c r="I2862" s="1">
        <v>13145.0</v>
      </c>
      <c r="J2862" s="1" t="s">
        <v>13580</v>
      </c>
      <c r="K2862" s="1" t="s">
        <v>13581</v>
      </c>
      <c r="L2862" s="1">
        <v>215.0</v>
      </c>
      <c r="M2862" s="1" t="s">
        <v>35</v>
      </c>
      <c r="N2862" s="1" t="s">
        <v>54</v>
      </c>
      <c r="O2862" s="1" t="s">
        <v>628</v>
      </c>
      <c r="P2862" s="1">
        <v>1.0E7</v>
      </c>
      <c r="Q2862" s="1">
        <v>2002.0</v>
      </c>
      <c r="R2862" s="1">
        <v>990.0</v>
      </c>
      <c r="S2862" s="1">
        <v>711.0</v>
      </c>
      <c r="T2862" s="1">
        <v>119.0</v>
      </c>
      <c r="U2862" s="1">
        <v>2006.0</v>
      </c>
      <c r="V2862" s="1">
        <v>0.0</v>
      </c>
      <c r="W2862" s="1">
        <v>725.0</v>
      </c>
      <c r="X2862" s="1">
        <v>0.0</v>
      </c>
      <c r="Y2862" s="1">
        <v>1.85</v>
      </c>
      <c r="Z2862" s="1">
        <v>3.6</v>
      </c>
    </row>
    <row r="2863" ht="14.25" customHeight="1">
      <c r="A2863" s="1" t="s">
        <v>26</v>
      </c>
      <c r="B2863" s="1" t="s">
        <v>13582</v>
      </c>
      <c r="C2863" s="1" t="s">
        <v>13583</v>
      </c>
      <c r="D2863" s="1">
        <v>578527.0</v>
      </c>
      <c r="E2863" s="1" t="s">
        <v>1650</v>
      </c>
      <c r="F2863" s="1" t="s">
        <v>7175</v>
      </c>
      <c r="G2863" s="1" t="s">
        <v>13584</v>
      </c>
      <c r="H2863" s="1" t="s">
        <v>8095</v>
      </c>
      <c r="I2863" s="1">
        <v>20008.0</v>
      </c>
      <c r="J2863" s="1" t="s">
        <v>13585</v>
      </c>
      <c r="K2863" s="1" t="s">
        <v>13586</v>
      </c>
      <c r="L2863" s="1">
        <v>112.0</v>
      </c>
      <c r="M2863" s="1" t="s">
        <v>35</v>
      </c>
      <c r="N2863" s="1" t="s">
        <v>36</v>
      </c>
      <c r="O2863" s="1" t="s">
        <v>628</v>
      </c>
      <c r="P2863" s="1">
        <v>1.0E7</v>
      </c>
      <c r="Q2863" s="1">
        <v>2008.0</v>
      </c>
      <c r="R2863" s="1">
        <v>603.0</v>
      </c>
      <c r="S2863" s="1">
        <v>175.0</v>
      </c>
      <c r="T2863" s="1">
        <v>91.0</v>
      </c>
      <c r="U2863" s="1">
        <v>988.0</v>
      </c>
      <c r="V2863" s="1">
        <v>0.0</v>
      </c>
      <c r="W2863" s="1">
        <v>883.0</v>
      </c>
      <c r="X2863" s="1">
        <v>3.0</v>
      </c>
      <c r="Y2863" s="1">
        <v>1.78</v>
      </c>
      <c r="Z2863" s="1">
        <v>5.7</v>
      </c>
    </row>
    <row r="2864" ht="14.25" customHeight="1">
      <c r="A2864" s="1" t="s">
        <v>710</v>
      </c>
      <c r="B2864" s="1" t="s">
        <v>10171</v>
      </c>
      <c r="C2864" s="1" t="s">
        <v>13587</v>
      </c>
      <c r="D2864" s="1">
        <v>488872.0</v>
      </c>
      <c r="E2864" s="1" t="s">
        <v>3063</v>
      </c>
      <c r="F2864" s="1" t="s">
        <v>6532</v>
      </c>
      <c r="G2864" s="1" t="s">
        <v>13588</v>
      </c>
      <c r="H2864" s="1" t="s">
        <v>6794</v>
      </c>
      <c r="I2864" s="1">
        <v>56923.0</v>
      </c>
      <c r="J2864" s="1" t="s">
        <v>13589</v>
      </c>
      <c r="K2864" s="1" t="s">
        <v>13590</v>
      </c>
      <c r="L2864" s="1">
        <v>243.0</v>
      </c>
      <c r="M2864" s="1" t="s">
        <v>6797</v>
      </c>
      <c r="N2864" s="1" t="s">
        <v>3659</v>
      </c>
      <c r="O2864" s="1" t="s">
        <v>87</v>
      </c>
      <c r="P2864" s="1">
        <v>1.0E7</v>
      </c>
      <c r="Q2864" s="1">
        <v>2001.0</v>
      </c>
      <c r="R2864" s="1">
        <v>478.0</v>
      </c>
      <c r="S2864" s="1">
        <v>83.0</v>
      </c>
      <c r="T2864" s="1">
        <v>51.0</v>
      </c>
      <c r="U2864" s="1">
        <v>700.0</v>
      </c>
      <c r="V2864" s="1">
        <v>0.0</v>
      </c>
      <c r="W2864" s="1">
        <v>0.0</v>
      </c>
      <c r="X2864" s="1">
        <v>2.0</v>
      </c>
      <c r="Y2864" s="1">
        <v>1.85</v>
      </c>
      <c r="Z2864" s="1">
        <v>7.3</v>
      </c>
    </row>
    <row r="2865" ht="14.25" customHeight="1">
      <c r="A2865" s="1" t="s">
        <v>26</v>
      </c>
      <c r="B2865" s="1" t="s">
        <v>12513</v>
      </c>
      <c r="C2865" s="1" t="s">
        <v>13591</v>
      </c>
      <c r="D2865" s="1">
        <v>365734.0</v>
      </c>
      <c r="E2865" s="1" t="s">
        <v>3238</v>
      </c>
      <c r="F2865" s="1" t="s">
        <v>12513</v>
      </c>
      <c r="G2865" s="1" t="s">
        <v>13592</v>
      </c>
      <c r="H2865" s="1" t="s">
        <v>13593</v>
      </c>
      <c r="I2865" s="1">
        <v>11487.0</v>
      </c>
      <c r="J2865" s="1" t="s">
        <v>13594</v>
      </c>
      <c r="K2865" s="1" t="s">
        <v>13595</v>
      </c>
      <c r="L2865" s="1">
        <v>226.0</v>
      </c>
      <c r="M2865" s="1" t="s">
        <v>35</v>
      </c>
      <c r="N2865" s="1" t="s">
        <v>36</v>
      </c>
      <c r="O2865" s="1" t="s">
        <v>9252</v>
      </c>
      <c r="P2865" s="1">
        <v>1.0E7</v>
      </c>
      <c r="Q2865" s="1">
        <v>2003.0</v>
      </c>
      <c r="R2865" s="1">
        <v>787.0</v>
      </c>
      <c r="S2865" s="1">
        <v>96.0</v>
      </c>
      <c r="T2865" s="1">
        <v>0.0</v>
      </c>
      <c r="U2865" s="1">
        <v>883.0</v>
      </c>
      <c r="V2865" s="1">
        <v>787.0</v>
      </c>
      <c r="W2865" s="1">
        <v>952.0</v>
      </c>
      <c r="X2865" s="1">
        <v>0.0</v>
      </c>
      <c r="Y2865" s="1">
        <v>1.66</v>
      </c>
      <c r="Z2865" s="1">
        <v>5.0</v>
      </c>
    </row>
    <row r="2866" ht="14.25" customHeight="1">
      <c r="A2866" s="1" t="s">
        <v>26</v>
      </c>
      <c r="B2866" s="1" t="s">
        <v>4729</v>
      </c>
      <c r="C2866" s="1" t="s">
        <v>13596</v>
      </c>
      <c r="D2866" s="1">
        <v>3093491.0</v>
      </c>
      <c r="E2866" s="1" t="s">
        <v>1474</v>
      </c>
      <c r="F2866" s="1" t="s">
        <v>13597</v>
      </c>
      <c r="G2866" s="1" t="s">
        <v>13598</v>
      </c>
      <c r="H2866" s="1" t="s">
        <v>13599</v>
      </c>
      <c r="I2866" s="1">
        <v>8307.0</v>
      </c>
      <c r="J2866" s="1" t="s">
        <v>13600</v>
      </c>
      <c r="K2866" s="1" t="s">
        <v>13601</v>
      </c>
      <c r="L2866" s="1">
        <v>37.0</v>
      </c>
      <c r="M2866" s="1" t="s">
        <v>35</v>
      </c>
      <c r="N2866" s="1" t="s">
        <v>36</v>
      </c>
      <c r="O2866" s="1" t="s">
        <v>628</v>
      </c>
      <c r="P2866" s="1">
        <v>5000000.0</v>
      </c>
      <c r="Q2866" s="1">
        <v>2014.0</v>
      </c>
      <c r="R2866" s="1">
        <v>374.0</v>
      </c>
      <c r="S2866" s="1">
        <v>362.0</v>
      </c>
      <c r="T2866" s="1">
        <v>241.0</v>
      </c>
      <c r="U2866" s="1">
        <v>1283.0</v>
      </c>
      <c r="V2866" s="1">
        <v>593.0</v>
      </c>
      <c r="W2866" s="1">
        <v>5000.0</v>
      </c>
      <c r="X2866" s="1">
        <v>0.0</v>
      </c>
      <c r="Y2866" s="1">
        <v>1.85</v>
      </c>
      <c r="Z2866" s="1">
        <v>6.6</v>
      </c>
    </row>
    <row r="2867" ht="14.25" customHeight="1">
      <c r="A2867" s="1" t="s">
        <v>26</v>
      </c>
      <c r="B2867" s="1" t="s">
        <v>13602</v>
      </c>
      <c r="C2867" s="1" t="s">
        <v>13603</v>
      </c>
      <c r="D2867" s="1">
        <v>228524.0</v>
      </c>
      <c r="E2867" s="1" t="s">
        <v>2422</v>
      </c>
      <c r="F2867" s="1" t="s">
        <v>13604</v>
      </c>
      <c r="G2867" s="1" t="s">
        <v>10407</v>
      </c>
      <c r="H2867" s="1" t="s">
        <v>13605</v>
      </c>
      <c r="I2867" s="1">
        <v>8708.0</v>
      </c>
      <c r="J2867" s="1" t="s">
        <v>13606</v>
      </c>
      <c r="K2867" s="1" t="s">
        <v>13607</v>
      </c>
      <c r="L2867" s="1">
        <v>56.0</v>
      </c>
      <c r="M2867" s="1" t="s">
        <v>35</v>
      </c>
      <c r="N2867" s="1" t="s">
        <v>36</v>
      </c>
      <c r="O2867" s="1" t="s">
        <v>628</v>
      </c>
      <c r="P2867" s="1">
        <v>4000000.0</v>
      </c>
      <c r="Q2867" s="1">
        <v>2004.0</v>
      </c>
      <c r="R2867" s="1">
        <v>374.0</v>
      </c>
      <c r="S2867" s="1">
        <v>181.0</v>
      </c>
      <c r="T2867" s="1">
        <v>83.0</v>
      </c>
      <c r="U2867" s="1">
        <v>768.0</v>
      </c>
      <c r="V2867" s="1">
        <v>24.0</v>
      </c>
      <c r="W2867" s="1">
        <v>345.0</v>
      </c>
      <c r="X2867" s="1">
        <v>2.0</v>
      </c>
      <c r="Y2867" s="1">
        <v>2.35</v>
      </c>
      <c r="Z2867" s="1">
        <v>7.3</v>
      </c>
    </row>
    <row r="2868" ht="14.25" customHeight="1">
      <c r="A2868" s="1" t="s">
        <v>26</v>
      </c>
      <c r="B2868" s="1" t="s">
        <v>13608</v>
      </c>
      <c r="C2868" s="1" t="s">
        <v>13609</v>
      </c>
      <c r="D2868" s="1">
        <v>226792.0</v>
      </c>
      <c r="E2868" s="1" t="s">
        <v>13610</v>
      </c>
      <c r="F2868" s="1" t="s">
        <v>3319</v>
      </c>
      <c r="G2868" s="1" t="s">
        <v>13611</v>
      </c>
      <c r="H2868" s="1" t="s">
        <v>8354</v>
      </c>
      <c r="I2868" s="1">
        <v>3080.0</v>
      </c>
      <c r="J2868" s="1" t="s">
        <v>13612</v>
      </c>
      <c r="K2868" s="1" t="s">
        <v>13613</v>
      </c>
      <c r="L2868" s="1">
        <v>44.0</v>
      </c>
      <c r="M2868" s="1" t="s">
        <v>35</v>
      </c>
      <c r="N2868" s="1" t="s">
        <v>54</v>
      </c>
      <c r="O2868" s="1" t="s">
        <v>628</v>
      </c>
      <c r="P2868" s="1">
        <v>1.0E7</v>
      </c>
      <c r="Q2868" s="1">
        <v>2001.0</v>
      </c>
      <c r="R2868" s="1">
        <v>893.0</v>
      </c>
      <c r="S2868" s="1">
        <v>798.0</v>
      </c>
      <c r="T2868" s="1">
        <v>428.0</v>
      </c>
      <c r="U2868" s="1">
        <v>3049.0</v>
      </c>
      <c r="V2868" s="1">
        <v>302.0</v>
      </c>
      <c r="W2868" s="1">
        <v>117.0</v>
      </c>
      <c r="X2868" s="1">
        <v>2.0</v>
      </c>
      <c r="Y2868" s="1">
        <v>1.85</v>
      </c>
      <c r="Z2868" s="1">
        <v>6.2</v>
      </c>
    </row>
    <row r="2869" ht="14.25" customHeight="1">
      <c r="A2869" s="1" t="s">
        <v>26</v>
      </c>
      <c r="B2869" s="1" t="s">
        <v>13614</v>
      </c>
      <c r="C2869" s="1" t="s">
        <v>13615</v>
      </c>
      <c r="D2869" s="1">
        <v>136432.0</v>
      </c>
      <c r="E2869" s="1" t="s">
        <v>11578</v>
      </c>
      <c r="F2869" s="1" t="s">
        <v>13611</v>
      </c>
      <c r="G2869" s="1" t="s">
        <v>927</v>
      </c>
      <c r="H2869" s="1" t="s">
        <v>13616</v>
      </c>
      <c r="I2869" s="1">
        <v>31890.0</v>
      </c>
      <c r="J2869" s="1" t="s">
        <v>13617</v>
      </c>
      <c r="K2869" s="1" t="s">
        <v>13618</v>
      </c>
      <c r="L2869" s="1">
        <v>194.0</v>
      </c>
      <c r="M2869" s="1" t="s">
        <v>35</v>
      </c>
      <c r="N2869" s="1" t="s">
        <v>54</v>
      </c>
      <c r="O2869" s="1" t="s">
        <v>628</v>
      </c>
      <c r="P2869" s="1">
        <v>5000000.0</v>
      </c>
      <c r="Q2869" s="1">
        <v>2006.0</v>
      </c>
      <c r="R2869" s="1">
        <v>798.0</v>
      </c>
      <c r="S2869" s="1">
        <v>769.0</v>
      </c>
      <c r="T2869" s="1">
        <v>345.0</v>
      </c>
      <c r="U2869" s="1">
        <v>2217.0</v>
      </c>
      <c r="V2869" s="1">
        <v>76.0</v>
      </c>
      <c r="W2869" s="1">
        <v>0.0</v>
      </c>
      <c r="X2869" s="1">
        <v>0.0</v>
      </c>
      <c r="Y2869" s="1">
        <v>1.85</v>
      </c>
      <c r="Z2869" s="1">
        <v>6.6</v>
      </c>
    </row>
    <row r="2870" ht="14.25" customHeight="1">
      <c r="A2870" s="1" t="s">
        <v>26</v>
      </c>
      <c r="B2870" s="1" t="s">
        <v>12773</v>
      </c>
      <c r="C2870" s="1" t="s">
        <v>13619</v>
      </c>
      <c r="D2870" s="1">
        <v>131617.0</v>
      </c>
      <c r="E2870" s="1" t="s">
        <v>3868</v>
      </c>
      <c r="F2870" s="1" t="s">
        <v>301</v>
      </c>
      <c r="G2870" s="1" t="s">
        <v>13620</v>
      </c>
      <c r="H2870" s="1" t="s">
        <v>6396</v>
      </c>
      <c r="I2870" s="1">
        <v>9971.0</v>
      </c>
      <c r="J2870" s="1" t="s">
        <v>13621</v>
      </c>
      <c r="K2870" s="1" t="s">
        <v>13622</v>
      </c>
      <c r="L2870" s="1">
        <v>119.0</v>
      </c>
      <c r="M2870" s="1" t="s">
        <v>35</v>
      </c>
      <c r="N2870" s="1" t="s">
        <v>36</v>
      </c>
      <c r="O2870" s="1" t="s">
        <v>628</v>
      </c>
      <c r="P2870" s="1">
        <v>1.0E7</v>
      </c>
      <c r="Q2870" s="1">
        <v>2005.0</v>
      </c>
      <c r="R2870" s="1">
        <v>1000.0</v>
      </c>
      <c r="S2870" s="1">
        <v>922.0</v>
      </c>
      <c r="T2870" s="1">
        <v>885.0</v>
      </c>
      <c r="U2870" s="1">
        <v>5761.0</v>
      </c>
      <c r="V2870" s="1">
        <v>216.0</v>
      </c>
      <c r="W2870" s="1">
        <v>661.0</v>
      </c>
      <c r="X2870" s="1">
        <v>1.0</v>
      </c>
      <c r="Y2870" s="1">
        <v>1.85</v>
      </c>
      <c r="Z2870" s="1">
        <v>6.3</v>
      </c>
    </row>
    <row r="2871" ht="14.25" customHeight="1">
      <c r="A2871" s="1" t="s">
        <v>26</v>
      </c>
      <c r="B2871" s="1" t="s">
        <v>13623</v>
      </c>
      <c r="C2871" s="1" t="s">
        <v>13624</v>
      </c>
      <c r="D2871" s="1">
        <v>126247.0</v>
      </c>
      <c r="E2871" s="1" t="s">
        <v>972</v>
      </c>
      <c r="F2871" s="1" t="s">
        <v>193</v>
      </c>
      <c r="G2871" s="1" t="s">
        <v>9498</v>
      </c>
      <c r="H2871" s="1" t="s">
        <v>1508</v>
      </c>
      <c r="I2871" s="1">
        <v>24958.0</v>
      </c>
      <c r="J2871" s="1" t="s">
        <v>13625</v>
      </c>
      <c r="K2871" s="1" t="s">
        <v>13626</v>
      </c>
      <c r="L2871" s="1">
        <v>103.0</v>
      </c>
      <c r="M2871" s="1" t="s">
        <v>35</v>
      </c>
      <c r="N2871" s="1" t="s">
        <v>36</v>
      </c>
      <c r="O2871" s="1" t="s">
        <v>87</v>
      </c>
      <c r="P2871" s="1">
        <v>6200000.0</v>
      </c>
      <c r="Q2871" s="1">
        <v>1994.0</v>
      </c>
      <c r="R2871" s="1">
        <v>16000.0</v>
      </c>
      <c r="S2871" s="1">
        <v>542.0</v>
      </c>
      <c r="T2871" s="1">
        <v>421.0</v>
      </c>
      <c r="U2871" s="1">
        <v>17469.0</v>
      </c>
      <c r="V2871" s="1">
        <v>3.0</v>
      </c>
      <c r="W2871" s="1">
        <v>321.0</v>
      </c>
      <c r="X2871" s="1">
        <v>0.0</v>
      </c>
      <c r="Y2871" s="1">
        <v>1.85</v>
      </c>
      <c r="Z2871" s="1">
        <v>3.3</v>
      </c>
    </row>
    <row r="2872" ht="14.25" customHeight="1">
      <c r="A2872" s="1" t="s">
        <v>26</v>
      </c>
      <c r="B2872" s="1" t="s">
        <v>13627</v>
      </c>
      <c r="C2872" s="1" t="s">
        <v>13628</v>
      </c>
      <c r="D2872" s="1">
        <v>15447.0</v>
      </c>
      <c r="E2872" s="1" t="s">
        <v>1885</v>
      </c>
      <c r="F2872" s="1" t="s">
        <v>687</v>
      </c>
      <c r="G2872" s="1" t="s">
        <v>13629</v>
      </c>
      <c r="H2872" s="1" t="s">
        <v>8576</v>
      </c>
      <c r="I2872" s="1">
        <v>2971.0</v>
      </c>
      <c r="J2872" s="1" t="s">
        <v>13630</v>
      </c>
      <c r="K2872" s="1" t="s">
        <v>13631</v>
      </c>
      <c r="L2872" s="1">
        <v>85.0</v>
      </c>
      <c r="M2872" s="1" t="s">
        <v>35</v>
      </c>
      <c r="N2872" s="1" t="s">
        <v>36</v>
      </c>
      <c r="O2872" s="1" t="s">
        <v>628</v>
      </c>
      <c r="P2872" s="1">
        <v>1.0E7</v>
      </c>
      <c r="Q2872" s="1">
        <v>1997.0</v>
      </c>
      <c r="R2872" s="1">
        <v>795.0</v>
      </c>
      <c r="S2872" s="1">
        <v>474.0</v>
      </c>
      <c r="T2872" s="1">
        <v>385.0</v>
      </c>
      <c r="U2872" s="1">
        <v>2655.0</v>
      </c>
      <c r="V2872" s="1">
        <v>71.0</v>
      </c>
      <c r="W2872" s="1">
        <v>89.0</v>
      </c>
      <c r="X2872" s="1">
        <v>0.0</v>
      </c>
      <c r="Y2872" s="1">
        <v>1.85</v>
      </c>
      <c r="Z2872" s="1">
        <v>3.5</v>
      </c>
    </row>
    <row r="2873" ht="14.25" customHeight="1">
      <c r="A2873" s="1" t="s">
        <v>26</v>
      </c>
      <c r="B2873" s="1" t="s">
        <v>13632</v>
      </c>
      <c r="C2873" s="1" t="s">
        <v>13633</v>
      </c>
      <c r="D2873" s="1">
        <v>19348.0</v>
      </c>
      <c r="E2873" s="1" t="s">
        <v>2422</v>
      </c>
      <c r="F2873" s="1" t="s">
        <v>293</v>
      </c>
      <c r="G2873" s="1" t="s">
        <v>686</v>
      </c>
      <c r="H2873" s="1" t="s">
        <v>6384</v>
      </c>
      <c r="I2873" s="1">
        <v>2941.0</v>
      </c>
      <c r="J2873" s="1" t="s">
        <v>13634</v>
      </c>
      <c r="K2873" s="1" t="s">
        <v>13635</v>
      </c>
      <c r="L2873" s="1">
        <v>11.0</v>
      </c>
      <c r="M2873" s="1" t="s">
        <v>35</v>
      </c>
      <c r="N2873" s="1" t="s">
        <v>36</v>
      </c>
      <c r="O2873" s="1" t="s">
        <v>37</v>
      </c>
      <c r="P2873" s="1">
        <v>1.0E7</v>
      </c>
      <c r="Q2873" s="1">
        <v>2009.0</v>
      </c>
      <c r="R2873" s="1">
        <v>12000.0</v>
      </c>
      <c r="S2873" s="1">
        <v>3000.0</v>
      </c>
      <c r="T2873" s="1">
        <v>875.0</v>
      </c>
      <c r="U2873" s="1">
        <v>16118.0</v>
      </c>
      <c r="V2873" s="1">
        <v>7.0</v>
      </c>
      <c r="W2873" s="1">
        <v>370.0</v>
      </c>
      <c r="X2873" s="1">
        <v>2.0</v>
      </c>
      <c r="Y2873" s="1">
        <v>2.35</v>
      </c>
      <c r="Z2873" s="1">
        <v>5.5</v>
      </c>
    </row>
    <row r="2874" ht="14.25" customHeight="1">
      <c r="A2874" s="1" t="s">
        <v>26</v>
      </c>
      <c r="B2874" s="1" t="s">
        <v>13636</v>
      </c>
      <c r="C2874" s="1" t="s">
        <v>13637</v>
      </c>
      <c r="D2874" s="1">
        <v>100503.0</v>
      </c>
      <c r="E2874" s="1" t="s">
        <v>1598</v>
      </c>
      <c r="F2874" s="1" t="s">
        <v>2034</v>
      </c>
      <c r="G2874" s="1" t="s">
        <v>1352</v>
      </c>
      <c r="H2874" s="1" t="s">
        <v>6463</v>
      </c>
      <c r="I2874" s="1">
        <v>7759.0</v>
      </c>
      <c r="J2874" s="1" t="s">
        <v>13638</v>
      </c>
      <c r="K2874" s="1" t="s">
        <v>13639</v>
      </c>
      <c r="L2874" s="1">
        <v>20.0</v>
      </c>
      <c r="M2874" s="1" t="s">
        <v>35</v>
      </c>
      <c r="N2874" s="1" t="s">
        <v>36</v>
      </c>
      <c r="O2874" s="1" t="s">
        <v>628</v>
      </c>
      <c r="P2874" s="1">
        <v>8000000.0</v>
      </c>
      <c r="Q2874" s="1">
        <v>2009.0</v>
      </c>
      <c r="R2874" s="1">
        <v>806.0</v>
      </c>
      <c r="S2874" s="1">
        <v>690.0</v>
      </c>
      <c r="T2874" s="1">
        <v>617.0</v>
      </c>
      <c r="U2874" s="1">
        <v>3124.0</v>
      </c>
      <c r="V2874" s="1">
        <v>0.0</v>
      </c>
      <c r="W2874" s="1">
        <v>1000.0</v>
      </c>
      <c r="X2874" s="1">
        <v>2.0</v>
      </c>
      <c r="Y2874" s="1">
        <v>1.85</v>
      </c>
      <c r="Z2874" s="1">
        <v>5.9</v>
      </c>
    </row>
    <row r="2875" ht="14.25" customHeight="1">
      <c r="A2875" s="1" t="s">
        <v>26</v>
      </c>
      <c r="B2875" s="1" t="s">
        <v>13640</v>
      </c>
      <c r="C2875" s="1" t="s">
        <v>13641</v>
      </c>
      <c r="D2875" s="1">
        <v>92900.0</v>
      </c>
      <c r="E2875" s="1" t="s">
        <v>2422</v>
      </c>
      <c r="F2875" s="1" t="s">
        <v>1208</v>
      </c>
      <c r="G2875" s="1" t="s">
        <v>3319</v>
      </c>
      <c r="H2875" s="1" t="s">
        <v>2414</v>
      </c>
      <c r="I2875" s="1">
        <v>3662.0</v>
      </c>
      <c r="J2875" s="1" t="s">
        <v>13642</v>
      </c>
      <c r="K2875" s="1" t="s">
        <v>13643</v>
      </c>
      <c r="L2875" s="1">
        <v>23.0</v>
      </c>
      <c r="M2875" s="1" t="s">
        <v>35</v>
      </c>
      <c r="N2875" s="1" t="s">
        <v>36</v>
      </c>
      <c r="O2875" s="1" t="s">
        <v>37</v>
      </c>
      <c r="P2875" s="1">
        <v>5000000.0</v>
      </c>
      <c r="Q2875" s="1">
        <v>2009.0</v>
      </c>
      <c r="R2875" s="1">
        <v>1000.0</v>
      </c>
      <c r="S2875" s="1">
        <v>893.0</v>
      </c>
      <c r="T2875" s="1">
        <v>495.0</v>
      </c>
      <c r="U2875" s="1">
        <v>3146.0</v>
      </c>
      <c r="V2875" s="1">
        <v>8.0</v>
      </c>
      <c r="W2875" s="1">
        <v>546.0</v>
      </c>
      <c r="X2875" s="1">
        <v>1.0</v>
      </c>
      <c r="Y2875" s="1">
        <v>1.85</v>
      </c>
      <c r="Z2875" s="1">
        <v>4.7</v>
      </c>
    </row>
    <row r="2876" ht="14.25" customHeight="1">
      <c r="A2876" s="1" t="s">
        <v>26</v>
      </c>
      <c r="B2876" s="1" t="s">
        <v>13644</v>
      </c>
      <c r="C2876" s="1" t="s">
        <v>13645</v>
      </c>
      <c r="D2876" s="1">
        <v>5561.0</v>
      </c>
      <c r="E2876" s="1" t="s">
        <v>1598</v>
      </c>
      <c r="F2876" s="1" t="s">
        <v>13646</v>
      </c>
      <c r="G2876" s="1" t="s">
        <v>13647</v>
      </c>
      <c r="H2876" s="1" t="s">
        <v>2371</v>
      </c>
      <c r="I2876" s="1">
        <v>4995.0</v>
      </c>
      <c r="J2876" s="1" t="s">
        <v>13648</v>
      </c>
      <c r="K2876" s="1" t="s">
        <v>13649</v>
      </c>
      <c r="L2876" s="1">
        <v>34.0</v>
      </c>
      <c r="M2876" s="1" t="s">
        <v>35</v>
      </c>
      <c r="N2876" s="1" t="s">
        <v>36</v>
      </c>
      <c r="O2876" s="1" t="s">
        <v>37</v>
      </c>
      <c r="P2876" s="1">
        <v>1.0E7</v>
      </c>
      <c r="Q2876" s="1">
        <v>2007.0</v>
      </c>
      <c r="R2876" s="1">
        <v>906.0</v>
      </c>
      <c r="S2876" s="1">
        <v>848.0</v>
      </c>
      <c r="T2876" s="1">
        <v>611.0</v>
      </c>
      <c r="U2876" s="1">
        <v>4725.0</v>
      </c>
      <c r="V2876" s="1">
        <v>7.0</v>
      </c>
      <c r="W2876" s="1">
        <v>160.0</v>
      </c>
      <c r="X2876" s="1">
        <v>1.0</v>
      </c>
      <c r="Y2876" s="1">
        <v>1.85</v>
      </c>
      <c r="Z2876" s="1">
        <v>3.9</v>
      </c>
    </row>
    <row r="2877" ht="14.25" customHeight="1">
      <c r="A2877" s="1" t="s">
        <v>26</v>
      </c>
      <c r="B2877" s="1" t="s">
        <v>13650</v>
      </c>
      <c r="C2877" s="1" t="s">
        <v>13651</v>
      </c>
      <c r="D2877" s="1">
        <v>3607.0</v>
      </c>
      <c r="E2877" s="1" t="s">
        <v>2130</v>
      </c>
      <c r="F2877" s="1" t="s">
        <v>2268</v>
      </c>
      <c r="G2877" s="1" t="s">
        <v>13652</v>
      </c>
      <c r="H2877" s="1" t="s">
        <v>13653</v>
      </c>
      <c r="I2877" s="1">
        <v>22753.0</v>
      </c>
      <c r="J2877" s="1" t="s">
        <v>13654</v>
      </c>
      <c r="K2877" s="1" t="s">
        <v>13655</v>
      </c>
      <c r="L2877" s="1">
        <v>94.0</v>
      </c>
      <c r="M2877" s="1" t="s">
        <v>35</v>
      </c>
      <c r="N2877" s="1" t="s">
        <v>3393</v>
      </c>
      <c r="O2877" s="1" t="s">
        <v>628</v>
      </c>
      <c r="P2877" s="1">
        <v>1.0E7</v>
      </c>
      <c r="Q2877" s="1">
        <v>2008.0</v>
      </c>
      <c r="R2877" s="1">
        <v>439.0</v>
      </c>
      <c r="S2877" s="1">
        <v>161.0</v>
      </c>
      <c r="T2877" s="1">
        <v>102.0</v>
      </c>
      <c r="U2877" s="1">
        <v>940.0</v>
      </c>
      <c r="V2877" s="1">
        <v>275.0</v>
      </c>
      <c r="W2877" s="1">
        <v>0.0</v>
      </c>
      <c r="X2877" s="1">
        <v>4.0</v>
      </c>
      <c r="Y2877" s="1">
        <v>2.35</v>
      </c>
      <c r="Z2877" s="1">
        <v>6.1</v>
      </c>
    </row>
    <row r="2878" ht="14.25" customHeight="1">
      <c r="A2878" s="1" t="s">
        <v>26</v>
      </c>
      <c r="B2878" s="1" t="s">
        <v>13656</v>
      </c>
      <c r="C2878" s="1" t="s">
        <v>13657</v>
      </c>
      <c r="D2878" s="1">
        <v>70527.0</v>
      </c>
      <c r="E2878" s="1" t="s">
        <v>2422</v>
      </c>
      <c r="F2878" s="1" t="s">
        <v>1868</v>
      </c>
      <c r="G2878" s="1" t="s">
        <v>867</v>
      </c>
      <c r="H2878" s="1" t="s">
        <v>1562</v>
      </c>
      <c r="I2878" s="1">
        <v>7690.0</v>
      </c>
      <c r="J2878" s="1" t="s">
        <v>13658</v>
      </c>
      <c r="K2878" s="1" t="s">
        <v>13659</v>
      </c>
      <c r="L2878" s="1">
        <v>68.0</v>
      </c>
      <c r="M2878" s="1" t="s">
        <v>35</v>
      </c>
      <c r="N2878" s="1" t="s">
        <v>36</v>
      </c>
      <c r="O2878" s="1" t="s">
        <v>628</v>
      </c>
      <c r="P2878" s="1">
        <v>6500000.0</v>
      </c>
      <c r="Q2878" s="1">
        <v>2004.0</v>
      </c>
      <c r="R2878" s="1">
        <v>11000.0</v>
      </c>
      <c r="S2878" s="1">
        <v>826.0</v>
      </c>
      <c r="T2878" s="1">
        <v>742.0</v>
      </c>
      <c r="U2878" s="1">
        <v>14656.0</v>
      </c>
      <c r="V2878" s="1">
        <v>0.0</v>
      </c>
      <c r="W2878" s="1">
        <v>376.0</v>
      </c>
      <c r="X2878" s="1">
        <v>6.0</v>
      </c>
      <c r="Y2878" s="1">
        <v>1.85</v>
      </c>
      <c r="Z2878" s="1">
        <v>6.7</v>
      </c>
    </row>
    <row r="2879" ht="14.25" customHeight="1">
      <c r="A2879" s="1" t="s">
        <v>26</v>
      </c>
      <c r="B2879" s="1" t="s">
        <v>8059</v>
      </c>
      <c r="C2879" s="1" t="s">
        <v>13660</v>
      </c>
      <c r="D2879" s="1">
        <v>128486.0</v>
      </c>
      <c r="E2879" s="1" t="s">
        <v>4417</v>
      </c>
      <c r="F2879" s="1" t="s">
        <v>6494</v>
      </c>
      <c r="G2879" s="1" t="s">
        <v>13661</v>
      </c>
      <c r="H2879" s="1" t="s">
        <v>13662</v>
      </c>
      <c r="I2879" s="1">
        <v>26156.0</v>
      </c>
      <c r="J2879" s="1" t="s">
        <v>13663</v>
      </c>
      <c r="K2879" s="1" t="s">
        <v>13664</v>
      </c>
      <c r="L2879" s="1">
        <v>74.0</v>
      </c>
      <c r="M2879" s="1" t="s">
        <v>12540</v>
      </c>
      <c r="N2879" s="1" t="s">
        <v>6497</v>
      </c>
      <c r="O2879" s="1" t="s">
        <v>628</v>
      </c>
      <c r="P2879" s="1">
        <v>1.0E7</v>
      </c>
      <c r="Q2879" s="1">
        <v>2008.0</v>
      </c>
      <c r="R2879" s="1">
        <v>398.0</v>
      </c>
      <c r="S2879" s="1">
        <v>149.0</v>
      </c>
      <c r="T2879" s="1">
        <v>7.0</v>
      </c>
      <c r="U2879" s="1">
        <v>569.0</v>
      </c>
      <c r="V2879" s="1">
        <v>419.0</v>
      </c>
      <c r="W2879" s="1">
        <v>0.0</v>
      </c>
      <c r="X2879" s="1">
        <v>0.0</v>
      </c>
      <c r="Y2879" s="1">
        <v>2.35</v>
      </c>
      <c r="Z2879" s="1">
        <v>7.3</v>
      </c>
    </row>
    <row r="2880" ht="14.25" customHeight="1">
      <c r="A2880" s="1" t="s">
        <v>26</v>
      </c>
      <c r="B2880" s="1" t="s">
        <v>13665</v>
      </c>
      <c r="C2880" s="1" t="s">
        <v>13666</v>
      </c>
      <c r="D2880" s="1">
        <v>2483955.0</v>
      </c>
      <c r="E2880" s="1" t="s">
        <v>206</v>
      </c>
      <c r="F2880" s="1" t="s">
        <v>11665</v>
      </c>
      <c r="G2880" s="1" t="s">
        <v>13667</v>
      </c>
      <c r="H2880" s="1" t="s">
        <v>13668</v>
      </c>
      <c r="I2880" s="1">
        <v>8369.0</v>
      </c>
      <c r="J2880" s="1" t="s">
        <v>13669</v>
      </c>
      <c r="K2880" s="1" t="s">
        <v>13670</v>
      </c>
      <c r="L2880" s="1">
        <v>165.0</v>
      </c>
      <c r="M2880" s="1" t="s">
        <v>35</v>
      </c>
      <c r="N2880" s="1" t="s">
        <v>36</v>
      </c>
      <c r="O2880" s="1" t="s">
        <v>628</v>
      </c>
      <c r="P2880" s="1">
        <v>9600000.0</v>
      </c>
      <c r="Q2880" s="1">
        <v>2005.0</v>
      </c>
      <c r="R2880" s="1">
        <v>786.0</v>
      </c>
      <c r="S2880" s="1">
        <v>228.0</v>
      </c>
      <c r="T2880" s="1">
        <v>195.0</v>
      </c>
      <c r="U2880" s="1">
        <v>1674.0</v>
      </c>
      <c r="V2880" s="1">
        <v>0.0</v>
      </c>
      <c r="W2880" s="1">
        <v>957.0</v>
      </c>
      <c r="X2880" s="1">
        <v>0.0</v>
      </c>
      <c r="Y2880" s="1">
        <v>1.85</v>
      </c>
      <c r="Z2880" s="1">
        <v>6.7</v>
      </c>
    </row>
    <row r="2881" ht="14.25" customHeight="1">
      <c r="A2881" s="1" t="s">
        <v>26</v>
      </c>
      <c r="B2881" s="1" t="s">
        <v>3067</v>
      </c>
      <c r="C2881" s="1" t="s">
        <v>13671</v>
      </c>
      <c r="D2881" s="1">
        <v>5.7176582E7</v>
      </c>
      <c r="E2881" s="1" t="s">
        <v>1885</v>
      </c>
      <c r="F2881" s="1" t="s">
        <v>3683</v>
      </c>
      <c r="G2881" s="1" t="s">
        <v>4977</v>
      </c>
      <c r="H2881" s="1" t="s">
        <v>12338</v>
      </c>
      <c r="I2881" s="1">
        <v>27492.0</v>
      </c>
      <c r="J2881" s="1" t="s">
        <v>13672</v>
      </c>
      <c r="K2881" s="1" t="s">
        <v>13673</v>
      </c>
      <c r="L2881" s="1">
        <v>84.0</v>
      </c>
      <c r="M2881" s="1" t="s">
        <v>35</v>
      </c>
      <c r="N2881" s="1" t="s">
        <v>36</v>
      </c>
      <c r="O2881" s="1" t="s">
        <v>628</v>
      </c>
      <c r="P2881" s="1">
        <v>9500000.0</v>
      </c>
      <c r="Q2881" s="1">
        <v>2000.0</v>
      </c>
      <c r="R2881" s="1">
        <v>723.0</v>
      </c>
      <c r="S2881" s="1">
        <v>706.0</v>
      </c>
      <c r="T2881" s="1">
        <v>525.0</v>
      </c>
      <c r="U2881" s="1">
        <v>3939.0</v>
      </c>
      <c r="V2881" s="1">
        <v>41.0</v>
      </c>
      <c r="W2881" s="1">
        <v>0.0</v>
      </c>
      <c r="X2881" s="1">
        <v>1.0</v>
      </c>
      <c r="Y2881" s="1">
        <v>1.85</v>
      </c>
      <c r="Z2881" s="1">
        <v>6.1</v>
      </c>
    </row>
    <row r="2882" ht="14.25" customHeight="1">
      <c r="A2882" s="1" t="s">
        <v>26</v>
      </c>
      <c r="B2882" s="1" t="s">
        <v>7530</v>
      </c>
      <c r="C2882" s="1" t="s">
        <v>13674</v>
      </c>
      <c r="D2882" s="1">
        <v>4.31E7</v>
      </c>
      <c r="E2882" s="1" t="s">
        <v>48</v>
      </c>
      <c r="F2882" s="1" t="s">
        <v>9365</v>
      </c>
      <c r="G2882" s="1" t="s">
        <v>13675</v>
      </c>
      <c r="H2882" s="1" t="s">
        <v>1056</v>
      </c>
      <c r="I2882" s="1">
        <v>75280.0</v>
      </c>
      <c r="J2882" s="1" t="s">
        <v>13676</v>
      </c>
      <c r="K2882" s="1" t="s">
        <v>13677</v>
      </c>
      <c r="L2882" s="1">
        <v>267.0</v>
      </c>
      <c r="M2882" s="1" t="s">
        <v>35</v>
      </c>
      <c r="N2882" s="1" t="s">
        <v>54</v>
      </c>
      <c r="O2882" s="1" t="s">
        <v>5661</v>
      </c>
      <c r="P2882" s="1">
        <v>9500000.0</v>
      </c>
      <c r="Q2882" s="1">
        <v>1967.0</v>
      </c>
      <c r="R2882" s="1">
        <v>742.0</v>
      </c>
      <c r="S2882" s="1">
        <v>462.0</v>
      </c>
      <c r="T2882" s="1">
        <v>244.0</v>
      </c>
      <c r="U2882" s="1">
        <v>2127.0</v>
      </c>
      <c r="V2882" s="1">
        <v>43.0</v>
      </c>
      <c r="W2882" s="1">
        <v>0.0</v>
      </c>
      <c r="X2882" s="1">
        <v>0.0</v>
      </c>
      <c r="Y2882" s="1">
        <v>2.35</v>
      </c>
      <c r="Z2882" s="1">
        <v>6.9</v>
      </c>
    </row>
    <row r="2883" ht="14.25" customHeight="1">
      <c r="A2883" s="1" t="s">
        <v>26</v>
      </c>
      <c r="B2883" s="1" t="s">
        <v>10928</v>
      </c>
      <c r="C2883" s="1" t="s">
        <v>13678</v>
      </c>
      <c r="D2883" s="1">
        <v>225377.0</v>
      </c>
      <c r="E2883" s="1" t="s">
        <v>206</v>
      </c>
      <c r="F2883" s="1" t="s">
        <v>5665</v>
      </c>
      <c r="G2883" s="1" t="s">
        <v>13679</v>
      </c>
      <c r="H2883" s="1" t="s">
        <v>13680</v>
      </c>
      <c r="I2883" s="1">
        <v>70382.0</v>
      </c>
      <c r="J2883" s="1" t="s">
        <v>13681</v>
      </c>
      <c r="K2883" s="1" t="s">
        <v>13682</v>
      </c>
      <c r="L2883" s="1">
        <v>190.0</v>
      </c>
      <c r="M2883" s="1" t="s">
        <v>2752</v>
      </c>
      <c r="N2883" s="1" t="s">
        <v>1832</v>
      </c>
      <c r="O2883" s="1" t="s">
        <v>37</v>
      </c>
      <c r="P2883" s="1">
        <v>8900000.0</v>
      </c>
      <c r="Q2883" s="1">
        <v>2012.0</v>
      </c>
      <c r="R2883" s="1">
        <v>678.0</v>
      </c>
      <c r="S2883" s="1">
        <v>432.0</v>
      </c>
      <c r="T2883" s="1">
        <v>319.0</v>
      </c>
      <c r="U2883" s="1">
        <v>1557.0</v>
      </c>
      <c r="V2883" s="1">
        <v>0.0</v>
      </c>
      <c r="W2883" s="1">
        <v>33000.0</v>
      </c>
      <c r="X2883" s="1">
        <v>1.0</v>
      </c>
      <c r="Y2883" s="1">
        <v>1.85</v>
      </c>
      <c r="Z2883" s="1">
        <v>7.9</v>
      </c>
    </row>
    <row r="2884" ht="14.25" customHeight="1">
      <c r="A2884" s="1" t="s">
        <v>26</v>
      </c>
      <c r="B2884" s="1" t="s">
        <v>13683</v>
      </c>
      <c r="C2884" s="1" t="s">
        <v>13684</v>
      </c>
      <c r="D2884" s="1">
        <v>1.4114488E7</v>
      </c>
      <c r="E2884" s="1" t="s">
        <v>6278</v>
      </c>
      <c r="F2884" s="1" t="s">
        <v>2118</v>
      </c>
      <c r="G2884" s="1" t="s">
        <v>6960</v>
      </c>
      <c r="H2884" s="1" t="s">
        <v>6961</v>
      </c>
      <c r="I2884" s="1">
        <v>13190.0</v>
      </c>
      <c r="J2884" s="1" t="s">
        <v>13685</v>
      </c>
      <c r="K2884" s="1" t="s">
        <v>13686</v>
      </c>
      <c r="L2884" s="1">
        <v>114.0</v>
      </c>
      <c r="M2884" s="1" t="s">
        <v>35</v>
      </c>
      <c r="N2884" s="1" t="s">
        <v>36</v>
      </c>
      <c r="O2884" s="1" t="s">
        <v>37</v>
      </c>
      <c r="P2884" s="1">
        <v>1.05E7</v>
      </c>
      <c r="Q2884" s="1">
        <v>1988.0</v>
      </c>
      <c r="R2884" s="1">
        <v>1000.0</v>
      </c>
      <c r="S2884" s="1">
        <v>887.0</v>
      </c>
      <c r="T2884" s="1">
        <v>770.0</v>
      </c>
      <c r="U2884" s="1">
        <v>3827.0</v>
      </c>
      <c r="V2884" s="1">
        <v>17.0</v>
      </c>
      <c r="W2884" s="1">
        <v>616.0</v>
      </c>
      <c r="X2884" s="1">
        <v>0.0</v>
      </c>
      <c r="Y2884" s="1">
        <v>1.85</v>
      </c>
      <c r="Z2884" s="1">
        <v>4.5</v>
      </c>
    </row>
    <row r="2885" ht="14.25" customHeight="1">
      <c r="A2885" s="1" t="s">
        <v>26</v>
      </c>
      <c r="B2885" s="1" t="s">
        <v>13687</v>
      </c>
      <c r="C2885" s="1" t="s">
        <v>13688</v>
      </c>
      <c r="D2885" s="1">
        <v>4.63E7</v>
      </c>
      <c r="E2885" s="1" t="s">
        <v>1319</v>
      </c>
      <c r="F2885" s="1" t="s">
        <v>2811</v>
      </c>
      <c r="G2885" s="1" t="s">
        <v>13689</v>
      </c>
      <c r="H2885" s="1" t="s">
        <v>13690</v>
      </c>
      <c r="I2885" s="1">
        <v>29323.0</v>
      </c>
      <c r="J2885" s="1" t="s">
        <v>13691</v>
      </c>
      <c r="K2885" s="1" t="s">
        <v>13692</v>
      </c>
      <c r="L2885" s="1">
        <v>344.0</v>
      </c>
      <c r="M2885" s="1" t="s">
        <v>35</v>
      </c>
      <c r="N2885" s="1" t="s">
        <v>36</v>
      </c>
      <c r="O2885" s="1" t="s">
        <v>5661</v>
      </c>
      <c r="P2885" s="1">
        <v>9400000.0</v>
      </c>
      <c r="Q2885" s="1">
        <v>1963.0</v>
      </c>
      <c r="R2885" s="1">
        <v>924.0</v>
      </c>
      <c r="S2885" s="1">
        <v>898.0</v>
      </c>
      <c r="T2885" s="1">
        <v>760.0</v>
      </c>
      <c r="U2885" s="1">
        <v>4109.0</v>
      </c>
      <c r="V2885" s="1">
        <v>176.0</v>
      </c>
      <c r="W2885" s="1">
        <v>0.0</v>
      </c>
      <c r="X2885" s="1">
        <v>0.0</v>
      </c>
      <c r="Y2885" s="1">
        <v>2.76</v>
      </c>
      <c r="Z2885" s="1">
        <v>7.6</v>
      </c>
    </row>
    <row r="2886" ht="14.25" customHeight="1">
      <c r="A2886" s="1" t="s">
        <v>26</v>
      </c>
      <c r="B2886" s="1" t="s">
        <v>4916</v>
      </c>
      <c r="C2886" s="1" t="s">
        <v>13693</v>
      </c>
      <c r="D2886" s="1">
        <v>2600000.0</v>
      </c>
      <c r="E2886" s="1" t="s">
        <v>3225</v>
      </c>
      <c r="F2886" s="1" t="s">
        <v>91</v>
      </c>
      <c r="G2886" s="1" t="s">
        <v>385</v>
      </c>
      <c r="H2886" s="1" t="s">
        <v>195</v>
      </c>
      <c r="I2886" s="1">
        <v>11612.0</v>
      </c>
      <c r="J2886" s="1" t="s">
        <v>13694</v>
      </c>
      <c r="K2886" s="1" t="s">
        <v>13695</v>
      </c>
      <c r="L2886" s="1">
        <v>88.0</v>
      </c>
      <c r="M2886" s="1" t="s">
        <v>35</v>
      </c>
      <c r="N2886" s="1" t="s">
        <v>54</v>
      </c>
      <c r="O2886" s="1" t="s">
        <v>628</v>
      </c>
      <c r="P2886" s="1">
        <v>6000000.0</v>
      </c>
      <c r="Q2886" s="1">
        <v>1995.0</v>
      </c>
      <c r="R2886" s="1">
        <v>21000.0</v>
      </c>
      <c r="S2886" s="1">
        <v>1000.0</v>
      </c>
      <c r="T2886" s="1">
        <v>1000.0</v>
      </c>
      <c r="U2886" s="1">
        <v>23962.0</v>
      </c>
      <c r="V2886" s="1">
        <v>12.0</v>
      </c>
      <c r="W2886" s="1">
        <v>0.0</v>
      </c>
      <c r="X2886" s="1">
        <v>3.0</v>
      </c>
      <c r="Y2886" s="1">
        <v>2.35</v>
      </c>
      <c r="Z2886" s="1">
        <v>7.5</v>
      </c>
    </row>
    <row r="2887" ht="14.25" customHeight="1">
      <c r="A2887" s="1" t="s">
        <v>26</v>
      </c>
      <c r="B2887" s="1" t="s">
        <v>11987</v>
      </c>
      <c r="C2887" s="1" t="s">
        <v>13696</v>
      </c>
      <c r="D2887" s="1">
        <v>3029870.0</v>
      </c>
      <c r="E2887" s="1" t="s">
        <v>1766</v>
      </c>
      <c r="F2887" s="1" t="s">
        <v>221</v>
      </c>
      <c r="G2887" s="1" t="s">
        <v>76</v>
      </c>
      <c r="H2887" s="1" t="s">
        <v>3340</v>
      </c>
      <c r="I2887" s="1">
        <v>128729.0</v>
      </c>
      <c r="J2887" s="1" t="s">
        <v>13697</v>
      </c>
      <c r="K2887" s="1" t="s">
        <v>13698</v>
      </c>
      <c r="L2887" s="1">
        <v>551.0</v>
      </c>
      <c r="M2887" s="1" t="s">
        <v>35</v>
      </c>
      <c r="N2887" s="1" t="s">
        <v>7233</v>
      </c>
      <c r="O2887" s="1" t="s">
        <v>628</v>
      </c>
      <c r="P2887" s="1">
        <v>7400000.0</v>
      </c>
      <c r="Q2887" s="1">
        <v>2011.0</v>
      </c>
      <c r="R2887" s="1">
        <v>10000.0</v>
      </c>
      <c r="S2887" s="1">
        <v>4000.0</v>
      </c>
      <c r="T2887" s="1">
        <v>844.0</v>
      </c>
      <c r="U2887" s="1">
        <v>15835.0</v>
      </c>
      <c r="V2887" s="1">
        <v>3000.0</v>
      </c>
      <c r="W2887" s="1">
        <v>50000.0</v>
      </c>
      <c r="X2887" s="1">
        <v>1.0</v>
      </c>
      <c r="Y2887" s="1">
        <v>2.35</v>
      </c>
      <c r="Z2887" s="1">
        <v>7.1</v>
      </c>
    </row>
    <row r="2888" ht="14.25" customHeight="1">
      <c r="A2888" s="1" t="s">
        <v>26</v>
      </c>
      <c r="B2888" s="1" t="s">
        <v>13699</v>
      </c>
      <c r="C2888" s="1" t="s">
        <v>13700</v>
      </c>
      <c r="D2888" s="1">
        <v>3047539.0</v>
      </c>
      <c r="E2888" s="1" t="s">
        <v>206</v>
      </c>
      <c r="F2888" s="1" t="s">
        <v>13087</v>
      </c>
      <c r="G2888" s="1" t="s">
        <v>13701</v>
      </c>
      <c r="H2888" s="1" t="s">
        <v>13702</v>
      </c>
      <c r="I2888" s="1">
        <v>42296.0</v>
      </c>
      <c r="J2888" s="1" t="s">
        <v>13703</v>
      </c>
      <c r="K2888" s="1" t="s">
        <v>13704</v>
      </c>
      <c r="L2888" s="1">
        <v>286.0</v>
      </c>
      <c r="M2888" s="1" t="s">
        <v>13092</v>
      </c>
      <c r="N2888" s="1" t="s">
        <v>13093</v>
      </c>
      <c r="O2888" s="1" t="s">
        <v>9252</v>
      </c>
      <c r="P2888" s="1">
        <v>7217600.0</v>
      </c>
      <c r="Q2888" s="1">
        <v>2012.0</v>
      </c>
      <c r="R2888" s="1">
        <v>8000.0</v>
      </c>
      <c r="S2888" s="1">
        <v>3000.0</v>
      </c>
      <c r="T2888" s="1">
        <v>1000.0</v>
      </c>
      <c r="U2888" s="1">
        <v>13762.0</v>
      </c>
      <c r="V2888" s="1">
        <v>147.0</v>
      </c>
      <c r="W2888" s="1">
        <v>12000.0</v>
      </c>
      <c r="X2888" s="1">
        <v>4.0</v>
      </c>
      <c r="Y2888" s="1">
        <v>2.35</v>
      </c>
      <c r="Z2888" s="1">
        <v>6.9</v>
      </c>
    </row>
    <row r="2889" ht="14.25" customHeight="1">
      <c r="A2889" s="1" t="s">
        <v>26</v>
      </c>
      <c r="B2889" s="1" t="s">
        <v>179</v>
      </c>
      <c r="C2889" s="1" t="s">
        <v>13705</v>
      </c>
      <c r="D2889" s="1">
        <v>7.89E7</v>
      </c>
      <c r="E2889" s="1" t="s">
        <v>9409</v>
      </c>
      <c r="F2889" s="1" t="s">
        <v>2118</v>
      </c>
      <c r="G2889" s="1" t="s">
        <v>7850</v>
      </c>
      <c r="H2889" s="1" t="s">
        <v>13706</v>
      </c>
      <c r="I2889" s="1">
        <v>563827.0</v>
      </c>
      <c r="J2889" s="1" t="s">
        <v>13707</v>
      </c>
      <c r="K2889" s="1" t="s">
        <v>13708</v>
      </c>
      <c r="L2889" s="1">
        <v>1110.0</v>
      </c>
      <c r="M2889" s="1" t="s">
        <v>35</v>
      </c>
      <c r="N2889" s="1" t="s">
        <v>54</v>
      </c>
      <c r="O2889" s="1" t="s">
        <v>628</v>
      </c>
      <c r="P2889" s="1">
        <v>1.1E7</v>
      </c>
      <c r="Q2889" s="1">
        <v>1979.0</v>
      </c>
      <c r="R2889" s="1">
        <v>1000.0</v>
      </c>
      <c r="S2889" s="1">
        <v>581.0</v>
      </c>
      <c r="T2889" s="1">
        <v>513.0</v>
      </c>
      <c r="U2889" s="1">
        <v>2524.0</v>
      </c>
      <c r="V2889" s="1">
        <v>0.0</v>
      </c>
      <c r="W2889" s="1">
        <v>23000.0</v>
      </c>
      <c r="X2889" s="1">
        <v>0.0</v>
      </c>
      <c r="Y2889" s="1">
        <v>2.35</v>
      </c>
      <c r="Z2889" s="1">
        <v>8.5</v>
      </c>
    </row>
    <row r="2890" ht="14.25" customHeight="1">
      <c r="A2890" s="1" t="s">
        <v>26</v>
      </c>
      <c r="B2890" s="1" t="s">
        <v>6957</v>
      </c>
      <c r="C2890" s="1" t="s">
        <v>13709</v>
      </c>
      <c r="D2890" s="1">
        <v>3.0859E7</v>
      </c>
      <c r="E2890" s="1" t="s">
        <v>6278</v>
      </c>
      <c r="F2890" s="1" t="s">
        <v>9988</v>
      </c>
      <c r="G2890" s="1" t="s">
        <v>13710</v>
      </c>
      <c r="H2890" s="1" t="s">
        <v>13711</v>
      </c>
      <c r="I2890" s="1">
        <v>96410.0</v>
      </c>
      <c r="J2890" s="1" t="s">
        <v>13712</v>
      </c>
      <c r="K2890" s="1" t="s">
        <v>13713</v>
      </c>
      <c r="L2890" s="1">
        <v>826.0</v>
      </c>
      <c r="M2890" s="1" t="s">
        <v>35</v>
      </c>
      <c r="N2890" s="1" t="s">
        <v>36</v>
      </c>
      <c r="O2890" s="1" t="s">
        <v>628</v>
      </c>
      <c r="P2890" s="1">
        <v>83532.0</v>
      </c>
      <c r="Q2890" s="1">
        <v>1974.0</v>
      </c>
      <c r="R2890" s="1">
        <v>383.0</v>
      </c>
      <c r="S2890" s="1">
        <v>371.0</v>
      </c>
      <c r="T2890" s="1">
        <v>177.0</v>
      </c>
      <c r="U2890" s="1">
        <v>1094.0</v>
      </c>
      <c r="V2890" s="1">
        <v>365.0</v>
      </c>
      <c r="W2890" s="1">
        <v>0.0</v>
      </c>
      <c r="X2890" s="1">
        <v>0.0</v>
      </c>
      <c r="Y2890" s="1">
        <v>1.85</v>
      </c>
      <c r="Z2890" s="1">
        <v>7.5</v>
      </c>
    </row>
    <row r="2891" ht="14.25" customHeight="1">
      <c r="A2891" s="1" t="s">
        <v>26</v>
      </c>
      <c r="B2891" s="1" t="s">
        <v>13714</v>
      </c>
      <c r="C2891" s="1" t="s">
        <v>13715</v>
      </c>
      <c r="D2891" s="1">
        <v>3571735.0</v>
      </c>
      <c r="E2891" s="1" t="s">
        <v>4075</v>
      </c>
      <c r="F2891" s="1" t="s">
        <v>544</v>
      </c>
      <c r="G2891" s="1" t="s">
        <v>9254</v>
      </c>
      <c r="H2891" s="1" t="s">
        <v>6142</v>
      </c>
      <c r="I2891" s="1">
        <v>39260.0</v>
      </c>
      <c r="J2891" s="1" t="s">
        <v>13716</v>
      </c>
      <c r="K2891" s="1" t="s">
        <v>13717</v>
      </c>
      <c r="L2891" s="1">
        <v>129.0</v>
      </c>
      <c r="M2891" s="1" t="s">
        <v>35</v>
      </c>
      <c r="N2891" s="1" t="s">
        <v>36</v>
      </c>
      <c r="O2891" s="1" t="s">
        <v>628</v>
      </c>
      <c r="P2891" s="1">
        <v>1.0E7</v>
      </c>
      <c r="Q2891" s="1">
        <v>2010.0</v>
      </c>
      <c r="R2891" s="1">
        <v>17000.0</v>
      </c>
      <c r="S2891" s="1">
        <v>908.0</v>
      </c>
      <c r="T2891" s="1">
        <v>741.0</v>
      </c>
      <c r="U2891" s="1">
        <v>21711.0</v>
      </c>
      <c r="V2891" s="1">
        <v>50.0</v>
      </c>
      <c r="W2891" s="1">
        <v>0.0</v>
      </c>
      <c r="X2891" s="1">
        <v>2.0</v>
      </c>
      <c r="Y2891" s="1">
        <v>2.35</v>
      </c>
      <c r="Z2891" s="1">
        <v>6.6</v>
      </c>
    </row>
    <row r="2892" ht="14.25" customHeight="1">
      <c r="A2892" s="1" t="s">
        <v>26</v>
      </c>
      <c r="B2892" s="1" t="s">
        <v>6567</v>
      </c>
      <c r="C2892" s="1" t="s">
        <v>13718</v>
      </c>
      <c r="D2892" s="1">
        <v>5.0E7</v>
      </c>
      <c r="E2892" s="1" t="s">
        <v>11003</v>
      </c>
      <c r="F2892" s="1" t="s">
        <v>8267</v>
      </c>
      <c r="G2892" s="1" t="s">
        <v>2481</v>
      </c>
      <c r="H2892" s="1" t="s">
        <v>13719</v>
      </c>
      <c r="I2892" s="1">
        <v>29839.0</v>
      </c>
      <c r="J2892" s="1" t="s">
        <v>13720</v>
      </c>
      <c r="K2892" s="1" t="s">
        <v>13721</v>
      </c>
      <c r="L2892" s="1">
        <v>150.0</v>
      </c>
      <c r="M2892" s="1" t="s">
        <v>35</v>
      </c>
      <c r="N2892" s="1" t="s">
        <v>36</v>
      </c>
      <c r="O2892" s="1" t="s">
        <v>269</v>
      </c>
      <c r="P2892" s="1">
        <v>9000000.0</v>
      </c>
      <c r="Q2892" s="1">
        <v>1971.0</v>
      </c>
      <c r="R2892" s="1">
        <v>402.0</v>
      </c>
      <c r="S2892" s="1">
        <v>343.0</v>
      </c>
      <c r="T2892" s="1">
        <v>51.0</v>
      </c>
      <c r="U2892" s="1">
        <v>934.0</v>
      </c>
      <c r="V2892" s="1">
        <v>278.0</v>
      </c>
      <c r="W2892" s="1">
        <v>0.0</v>
      </c>
      <c r="X2892" s="1">
        <v>0.0</v>
      </c>
      <c r="Y2892" s="1">
        <v>2.35</v>
      </c>
      <c r="Z2892" s="1">
        <v>8.0</v>
      </c>
    </row>
    <row r="2893" ht="14.25" customHeight="1">
      <c r="A2893" s="1" t="s">
        <v>26</v>
      </c>
      <c r="B2893" s="1" t="s">
        <v>13722</v>
      </c>
      <c r="C2893" s="1" t="s">
        <v>13723</v>
      </c>
      <c r="D2893" s="1">
        <v>6.36E7</v>
      </c>
      <c r="E2893" s="1" t="s">
        <v>48</v>
      </c>
      <c r="F2893" s="1" t="s">
        <v>1056</v>
      </c>
      <c r="G2893" s="1" t="s">
        <v>13724</v>
      </c>
      <c r="H2893" s="1" t="s">
        <v>7532</v>
      </c>
      <c r="I2893" s="1">
        <v>82073.0</v>
      </c>
      <c r="J2893" s="1" t="s">
        <v>13725</v>
      </c>
      <c r="K2893" s="1" t="s">
        <v>13726</v>
      </c>
      <c r="L2893" s="1">
        <v>275.0</v>
      </c>
      <c r="M2893" s="1" t="s">
        <v>35</v>
      </c>
      <c r="N2893" s="1" t="s">
        <v>54</v>
      </c>
      <c r="O2893" s="1" t="s">
        <v>5661</v>
      </c>
      <c r="P2893" s="1">
        <v>9000000.0</v>
      </c>
      <c r="Q2893" s="1">
        <v>1965.0</v>
      </c>
      <c r="R2893" s="1">
        <v>244.0</v>
      </c>
      <c r="S2893" s="1">
        <v>189.0</v>
      </c>
      <c r="T2893" s="1">
        <v>177.0</v>
      </c>
      <c r="U2893" s="1">
        <v>1164.0</v>
      </c>
      <c r="V2893" s="1">
        <v>92.0</v>
      </c>
      <c r="W2893" s="1">
        <v>0.0</v>
      </c>
      <c r="X2893" s="1">
        <v>1.0</v>
      </c>
      <c r="Y2893" s="1">
        <v>2.35</v>
      </c>
      <c r="Z2893" s="1">
        <v>7.0</v>
      </c>
    </row>
    <row r="2894" ht="14.25" customHeight="1">
      <c r="A2894" s="1" t="s">
        <v>26</v>
      </c>
      <c r="B2894" s="1" t="s">
        <v>2928</v>
      </c>
      <c r="C2894" s="1" t="s">
        <v>13727</v>
      </c>
      <c r="D2894" s="1">
        <v>3.6049108E7</v>
      </c>
      <c r="E2894" s="1" t="s">
        <v>5448</v>
      </c>
      <c r="F2894" s="1" t="s">
        <v>609</v>
      </c>
      <c r="G2894" s="1" t="s">
        <v>768</v>
      </c>
      <c r="H2894" s="1" t="s">
        <v>6770</v>
      </c>
      <c r="I2894" s="1">
        <v>10139.0</v>
      </c>
      <c r="J2894" s="1" t="s">
        <v>13728</v>
      </c>
      <c r="K2894" s="1" t="s">
        <v>13729</v>
      </c>
      <c r="L2894" s="1">
        <v>70.0</v>
      </c>
      <c r="M2894" s="1" t="s">
        <v>35</v>
      </c>
      <c r="N2894" s="1" t="s">
        <v>36</v>
      </c>
      <c r="O2894" s="1" t="s">
        <v>628</v>
      </c>
      <c r="P2894" s="1">
        <v>9000000.0</v>
      </c>
      <c r="Q2894" s="1">
        <v>1996.0</v>
      </c>
      <c r="R2894" s="1">
        <v>890.0</v>
      </c>
      <c r="S2894" s="1">
        <v>851.0</v>
      </c>
      <c r="T2894" s="1">
        <v>685.0</v>
      </c>
      <c r="U2894" s="1">
        <v>3661.0</v>
      </c>
      <c r="V2894" s="1">
        <v>473.0</v>
      </c>
      <c r="W2894" s="1">
        <v>0.0</v>
      </c>
      <c r="X2894" s="1">
        <v>4.0</v>
      </c>
      <c r="Y2894" s="1">
        <v>2.35</v>
      </c>
      <c r="Z2894" s="1">
        <v>6.8</v>
      </c>
    </row>
    <row r="2895" ht="14.25" customHeight="1">
      <c r="A2895" s="1" t="s">
        <v>26</v>
      </c>
      <c r="B2895" s="1" t="s">
        <v>8417</v>
      </c>
      <c r="C2895" s="1" t="s">
        <v>13730</v>
      </c>
      <c r="D2895" s="1">
        <v>3.4074895E7</v>
      </c>
      <c r="E2895" s="1" t="s">
        <v>2422</v>
      </c>
      <c r="F2895" s="1" t="s">
        <v>4653</v>
      </c>
      <c r="G2895" s="1" t="s">
        <v>2147</v>
      </c>
      <c r="H2895" s="1" t="s">
        <v>13731</v>
      </c>
      <c r="I2895" s="1">
        <v>6525.0</v>
      </c>
      <c r="J2895" s="1" t="s">
        <v>13732</v>
      </c>
      <c r="K2895" s="1" t="s">
        <v>13733</v>
      </c>
      <c r="L2895" s="1">
        <v>79.0</v>
      </c>
      <c r="M2895" s="1" t="s">
        <v>35</v>
      </c>
      <c r="N2895" s="1" t="s">
        <v>36</v>
      </c>
      <c r="O2895" s="1" t="s">
        <v>628</v>
      </c>
      <c r="P2895" s="1">
        <v>9000000.0</v>
      </c>
      <c r="Q2895" s="1">
        <v>1999.0</v>
      </c>
      <c r="R2895" s="1">
        <v>1000.0</v>
      </c>
      <c r="S2895" s="1">
        <v>886.0</v>
      </c>
      <c r="T2895" s="1">
        <v>862.0</v>
      </c>
      <c r="U2895" s="1">
        <v>5420.0</v>
      </c>
      <c r="V2895" s="1">
        <v>92.0</v>
      </c>
      <c r="W2895" s="1">
        <v>0.0</v>
      </c>
      <c r="X2895" s="1">
        <v>6.0</v>
      </c>
      <c r="Y2895" s="1">
        <v>1.85</v>
      </c>
      <c r="Z2895" s="1">
        <v>6.7</v>
      </c>
    </row>
    <row r="2896" ht="14.25" customHeight="1">
      <c r="A2896" s="1" t="s">
        <v>26</v>
      </c>
      <c r="B2896" s="1" t="s">
        <v>12089</v>
      </c>
      <c r="C2896" s="1" t="s">
        <v>13734</v>
      </c>
      <c r="D2896" s="1">
        <v>3.3244684E7</v>
      </c>
      <c r="E2896" s="1" t="s">
        <v>6959</v>
      </c>
      <c r="F2896" s="1" t="s">
        <v>13735</v>
      </c>
      <c r="G2896" s="1" t="s">
        <v>13736</v>
      </c>
      <c r="H2896" s="1" t="s">
        <v>13737</v>
      </c>
      <c r="I2896" s="1">
        <v>62038.0</v>
      </c>
      <c r="J2896" s="1" t="s">
        <v>13738</v>
      </c>
      <c r="K2896" s="1" t="s">
        <v>13739</v>
      </c>
      <c r="L2896" s="1">
        <v>281.0</v>
      </c>
      <c r="M2896" s="1" t="s">
        <v>35</v>
      </c>
      <c r="N2896" s="1" t="s">
        <v>36</v>
      </c>
      <c r="O2896" s="1" t="s">
        <v>628</v>
      </c>
      <c r="P2896" s="1">
        <v>9000000.0</v>
      </c>
      <c r="Q2896" s="1">
        <v>1988.0</v>
      </c>
      <c r="R2896" s="1">
        <v>311.0</v>
      </c>
      <c r="S2896" s="1">
        <v>189.0</v>
      </c>
      <c r="T2896" s="1">
        <v>118.0</v>
      </c>
      <c r="U2896" s="1">
        <v>760.0</v>
      </c>
      <c r="V2896" s="1">
        <v>85.0</v>
      </c>
      <c r="W2896" s="1">
        <v>0.0</v>
      </c>
      <c r="X2896" s="1">
        <v>0.0</v>
      </c>
      <c r="Y2896" s="1">
        <v>1.85</v>
      </c>
      <c r="Z2896" s="1">
        <v>6.5</v>
      </c>
    </row>
    <row r="2897" ht="14.25" customHeight="1">
      <c r="A2897" s="1" t="s">
        <v>26</v>
      </c>
      <c r="B2897" s="1" t="s">
        <v>3607</v>
      </c>
      <c r="C2897" s="1" t="s">
        <v>13740</v>
      </c>
      <c r="D2897" s="1">
        <v>2.4530513E7</v>
      </c>
      <c r="E2897" s="1" t="s">
        <v>2747</v>
      </c>
      <c r="F2897" s="1" t="s">
        <v>3607</v>
      </c>
      <c r="G2897" s="1" t="s">
        <v>13741</v>
      </c>
      <c r="H2897" s="1" t="s">
        <v>13742</v>
      </c>
      <c r="I2897" s="1">
        <v>66610.0</v>
      </c>
      <c r="J2897" s="1" t="s">
        <v>13743</v>
      </c>
      <c r="K2897" s="1" t="s">
        <v>13744</v>
      </c>
      <c r="L2897" s="1">
        <v>429.0</v>
      </c>
      <c r="M2897" s="1" t="s">
        <v>35</v>
      </c>
      <c r="N2897" s="1" t="s">
        <v>36</v>
      </c>
      <c r="O2897" s="1" t="s">
        <v>37</v>
      </c>
      <c r="P2897" s="1">
        <v>9000000.0</v>
      </c>
      <c r="Q2897" s="1">
        <v>2007.0</v>
      </c>
      <c r="R2897" s="1">
        <v>909.0</v>
      </c>
      <c r="S2897" s="1">
        <v>203.0</v>
      </c>
      <c r="T2897" s="1">
        <v>184.0</v>
      </c>
      <c r="U2897" s="1">
        <v>1633.0</v>
      </c>
      <c r="V2897" s="1">
        <v>909.0</v>
      </c>
      <c r="W2897" s="1">
        <v>0.0</v>
      </c>
      <c r="X2897" s="1">
        <v>1.0</v>
      </c>
      <c r="Y2897" s="1">
        <v>1.85</v>
      </c>
      <c r="Z2897" s="1">
        <v>8.0</v>
      </c>
    </row>
    <row r="2898" ht="14.25" customHeight="1">
      <c r="A2898" s="1" t="s">
        <v>26</v>
      </c>
      <c r="B2898" s="1" t="s">
        <v>13145</v>
      </c>
      <c r="C2898" s="1" t="s">
        <v>13745</v>
      </c>
      <c r="D2898" s="1">
        <v>7.151923E7</v>
      </c>
      <c r="E2898" s="1" t="s">
        <v>2123</v>
      </c>
      <c r="F2898" s="1" t="s">
        <v>5372</v>
      </c>
      <c r="G2898" s="1" t="s">
        <v>8061</v>
      </c>
      <c r="H2898" s="1" t="s">
        <v>13746</v>
      </c>
      <c r="I2898" s="1">
        <v>92364.0</v>
      </c>
      <c r="J2898" s="1" t="s">
        <v>13747</v>
      </c>
      <c r="K2898" s="1" t="s">
        <v>13748</v>
      </c>
      <c r="L2898" s="1">
        <v>244.0</v>
      </c>
      <c r="M2898" s="1" t="s">
        <v>35</v>
      </c>
      <c r="N2898" s="1" t="s">
        <v>36</v>
      </c>
      <c r="O2898" s="1" t="s">
        <v>628</v>
      </c>
      <c r="P2898" s="1">
        <v>9000000.0</v>
      </c>
      <c r="Q2898" s="1">
        <v>2014.0</v>
      </c>
      <c r="R2898" s="1">
        <v>2000.0</v>
      </c>
      <c r="S2898" s="1">
        <v>971.0</v>
      </c>
      <c r="T2898" s="1">
        <v>908.0</v>
      </c>
      <c r="U2898" s="1">
        <v>6807.0</v>
      </c>
      <c r="V2898" s="1">
        <v>65.0</v>
      </c>
      <c r="W2898" s="1">
        <v>15000.0</v>
      </c>
      <c r="X2898" s="1">
        <v>0.0</v>
      </c>
      <c r="Y2898" s="1">
        <v>2.35</v>
      </c>
      <c r="Z2898" s="1">
        <v>6.5</v>
      </c>
    </row>
    <row r="2899" ht="14.25" customHeight="1">
      <c r="A2899" s="1" t="s">
        <v>26</v>
      </c>
      <c r="B2899" s="1" t="s">
        <v>13749</v>
      </c>
      <c r="C2899" s="1" t="s">
        <v>13750</v>
      </c>
      <c r="D2899" s="1">
        <v>2.003531E7</v>
      </c>
      <c r="E2899" s="1" t="s">
        <v>1359</v>
      </c>
      <c r="F2899" s="1" t="s">
        <v>947</v>
      </c>
      <c r="G2899" s="1" t="s">
        <v>12955</v>
      </c>
      <c r="H2899" s="1" t="s">
        <v>9243</v>
      </c>
      <c r="I2899" s="1">
        <v>12324.0</v>
      </c>
      <c r="J2899" s="1" t="s">
        <v>13751</v>
      </c>
      <c r="K2899" s="1" t="s">
        <v>13752</v>
      </c>
      <c r="L2899" s="1">
        <v>173.0</v>
      </c>
      <c r="M2899" s="1" t="s">
        <v>35</v>
      </c>
      <c r="N2899" s="1" t="s">
        <v>36</v>
      </c>
      <c r="O2899" s="1" t="s">
        <v>37</v>
      </c>
      <c r="P2899" s="1">
        <v>9000000.0</v>
      </c>
      <c r="Q2899" s="1">
        <v>2000.0</v>
      </c>
      <c r="R2899" s="1">
        <v>3000.0</v>
      </c>
      <c r="S2899" s="1">
        <v>683.0</v>
      </c>
      <c r="T2899" s="1">
        <v>407.0</v>
      </c>
      <c r="U2899" s="1">
        <v>4409.0</v>
      </c>
      <c r="V2899" s="1">
        <v>0.0</v>
      </c>
      <c r="W2899" s="1">
        <v>580.0</v>
      </c>
      <c r="X2899" s="1">
        <v>1.0</v>
      </c>
      <c r="Y2899" s="1">
        <v>1.85</v>
      </c>
      <c r="Z2899" s="1">
        <v>4.9</v>
      </c>
    </row>
    <row r="2900" ht="14.25" customHeight="1">
      <c r="A2900" s="1" t="s">
        <v>26</v>
      </c>
      <c r="B2900" s="1" t="s">
        <v>12240</v>
      </c>
      <c r="C2900" s="1" t="s">
        <v>13753</v>
      </c>
      <c r="D2900" s="1">
        <v>1.8225165E7</v>
      </c>
      <c r="E2900" s="1" t="s">
        <v>4008</v>
      </c>
      <c r="F2900" s="1" t="s">
        <v>2525</v>
      </c>
      <c r="G2900" s="1" t="s">
        <v>403</v>
      </c>
      <c r="H2900" s="1" t="s">
        <v>8609</v>
      </c>
      <c r="I2900" s="1">
        <v>155262.0</v>
      </c>
      <c r="J2900" s="1" t="s">
        <v>13754</v>
      </c>
      <c r="K2900" s="1" t="s">
        <v>13755</v>
      </c>
      <c r="L2900" s="1">
        <v>316.0</v>
      </c>
      <c r="M2900" s="1" t="s">
        <v>35</v>
      </c>
      <c r="N2900" s="1" t="s">
        <v>36</v>
      </c>
      <c r="O2900" s="1" t="s">
        <v>628</v>
      </c>
      <c r="P2900" s="1">
        <v>9000000.0</v>
      </c>
      <c r="Q2900" s="1">
        <v>2004.0</v>
      </c>
      <c r="R2900" s="1">
        <v>982.0</v>
      </c>
      <c r="S2900" s="1">
        <v>729.0</v>
      </c>
      <c r="T2900" s="1">
        <v>587.0</v>
      </c>
      <c r="U2900" s="1">
        <v>3114.0</v>
      </c>
      <c r="V2900" s="1">
        <v>8.0</v>
      </c>
      <c r="W2900" s="1">
        <v>0.0</v>
      </c>
      <c r="X2900" s="1">
        <v>2.0</v>
      </c>
      <c r="Y2900" s="1">
        <v>1.85</v>
      </c>
      <c r="Z2900" s="1">
        <v>7.1</v>
      </c>
    </row>
    <row r="2901" ht="14.25" customHeight="1">
      <c r="A2901" s="1" t="s">
        <v>26</v>
      </c>
      <c r="B2901" s="1" t="s">
        <v>4125</v>
      </c>
      <c r="C2901" s="1" t="s">
        <v>13756</v>
      </c>
      <c r="D2901" s="1">
        <v>1.7804273E7</v>
      </c>
      <c r="E2901" s="1" t="s">
        <v>3868</v>
      </c>
      <c r="F2901" s="1" t="s">
        <v>293</v>
      </c>
      <c r="G2901" s="1" t="s">
        <v>425</v>
      </c>
      <c r="H2901" s="1" t="s">
        <v>11542</v>
      </c>
      <c r="I2901" s="1">
        <v>20449.0</v>
      </c>
      <c r="J2901" s="1" t="s">
        <v>13757</v>
      </c>
      <c r="K2901" s="1" t="s">
        <v>13758</v>
      </c>
      <c r="L2901" s="1">
        <v>370.0</v>
      </c>
      <c r="M2901" s="1" t="s">
        <v>35</v>
      </c>
      <c r="N2901" s="1" t="s">
        <v>36</v>
      </c>
      <c r="O2901" s="1" t="s">
        <v>628</v>
      </c>
      <c r="P2901" s="1">
        <v>2.0E7</v>
      </c>
      <c r="Q2901" s="1">
        <v>2000.0</v>
      </c>
      <c r="R2901" s="1">
        <v>12000.0</v>
      </c>
      <c r="S2901" s="1">
        <v>10000.0</v>
      </c>
      <c r="T2901" s="1">
        <v>883.0</v>
      </c>
      <c r="U2901" s="1">
        <v>25660.0</v>
      </c>
      <c r="V2901" s="1">
        <v>37.0</v>
      </c>
      <c r="W2901" s="1">
        <v>1000.0</v>
      </c>
      <c r="X2901" s="1">
        <v>0.0</v>
      </c>
      <c r="Y2901" s="1">
        <v>1.85</v>
      </c>
      <c r="Z2901" s="1">
        <v>7.0</v>
      </c>
    </row>
    <row r="2902" ht="14.25" customHeight="1">
      <c r="A2902" s="1" t="s">
        <v>26</v>
      </c>
      <c r="B2902" s="1" t="s">
        <v>13759</v>
      </c>
      <c r="C2902" s="1" t="s">
        <v>13760</v>
      </c>
      <c r="D2902" s="1">
        <v>1.6938179E7</v>
      </c>
      <c r="E2902" s="1" t="s">
        <v>2045</v>
      </c>
      <c r="F2902" s="1" t="s">
        <v>329</v>
      </c>
      <c r="G2902" s="1" t="s">
        <v>5999</v>
      </c>
      <c r="H2902" s="1" t="s">
        <v>4790</v>
      </c>
      <c r="I2902" s="1">
        <v>41313.0</v>
      </c>
      <c r="J2902" s="1" t="s">
        <v>13761</v>
      </c>
      <c r="K2902" s="1" t="s">
        <v>13762</v>
      </c>
      <c r="L2902" s="1">
        <v>246.0</v>
      </c>
      <c r="M2902" s="1" t="s">
        <v>35</v>
      </c>
      <c r="N2902" s="1" t="s">
        <v>36</v>
      </c>
      <c r="O2902" s="1" t="s">
        <v>628</v>
      </c>
      <c r="P2902" s="1">
        <v>8000000.0</v>
      </c>
      <c r="Q2902" s="1">
        <v>2000.0</v>
      </c>
      <c r="R2902" s="1">
        <v>14000.0</v>
      </c>
      <c r="S2902" s="1">
        <v>826.0</v>
      </c>
      <c r="T2902" s="1">
        <v>701.0</v>
      </c>
      <c r="U2902" s="1">
        <v>17336.0</v>
      </c>
      <c r="V2902" s="1">
        <v>46.0</v>
      </c>
      <c r="W2902" s="1">
        <v>0.0</v>
      </c>
      <c r="X2902" s="1">
        <v>3.0</v>
      </c>
      <c r="Y2902" s="1">
        <v>1.85</v>
      </c>
      <c r="Z2902" s="1">
        <v>7.0</v>
      </c>
    </row>
    <row r="2903" ht="14.25" customHeight="1">
      <c r="A2903" s="1" t="s">
        <v>26</v>
      </c>
      <c r="B2903" s="1" t="s">
        <v>10374</v>
      </c>
      <c r="C2903" s="1" t="s">
        <v>13763</v>
      </c>
      <c r="D2903" s="1">
        <v>1.6235293E7</v>
      </c>
      <c r="E2903" s="1" t="s">
        <v>6019</v>
      </c>
      <c r="F2903" s="1" t="s">
        <v>6255</v>
      </c>
      <c r="G2903" s="1" t="s">
        <v>5313</v>
      </c>
      <c r="H2903" s="1" t="s">
        <v>7487</v>
      </c>
      <c r="I2903" s="1">
        <v>19918.0</v>
      </c>
      <c r="J2903" s="1" t="s">
        <v>13764</v>
      </c>
      <c r="K2903" s="1" t="s">
        <v>13765</v>
      </c>
      <c r="L2903" s="1">
        <v>278.0</v>
      </c>
      <c r="M2903" s="1" t="s">
        <v>35</v>
      </c>
      <c r="N2903" s="1" t="s">
        <v>36</v>
      </c>
      <c r="O2903" s="1" t="s">
        <v>628</v>
      </c>
      <c r="P2903" s="1">
        <v>9000000.0</v>
      </c>
      <c r="Q2903" s="1">
        <v>2006.0</v>
      </c>
      <c r="R2903" s="1">
        <v>607.0</v>
      </c>
      <c r="S2903" s="1">
        <v>318.0</v>
      </c>
      <c r="T2903" s="1">
        <v>179.0</v>
      </c>
      <c r="U2903" s="1">
        <v>1611.0</v>
      </c>
      <c r="V2903" s="1">
        <v>17.0</v>
      </c>
      <c r="W2903" s="1">
        <v>0.0</v>
      </c>
      <c r="X2903" s="1">
        <v>0.0</v>
      </c>
      <c r="Y2903" s="1">
        <v>2.35</v>
      </c>
      <c r="Z2903" s="1">
        <v>4.5</v>
      </c>
    </row>
    <row r="2904" ht="14.25" customHeight="1">
      <c r="A2904" s="1" t="s">
        <v>26</v>
      </c>
      <c r="B2904" s="1" t="s">
        <v>820</v>
      </c>
      <c r="C2904" s="1" t="s">
        <v>13766</v>
      </c>
      <c r="D2904" s="1">
        <v>1.0161099E7</v>
      </c>
      <c r="E2904" s="1" t="s">
        <v>13767</v>
      </c>
      <c r="F2904" s="1" t="s">
        <v>727</v>
      </c>
      <c r="G2904" s="1" t="s">
        <v>1916</v>
      </c>
      <c r="H2904" s="1" t="s">
        <v>13768</v>
      </c>
      <c r="I2904" s="1">
        <v>23441.0</v>
      </c>
      <c r="J2904" s="1" t="s">
        <v>13769</v>
      </c>
      <c r="K2904" s="1" t="s">
        <v>13770</v>
      </c>
      <c r="L2904" s="1">
        <v>108.0</v>
      </c>
      <c r="M2904" s="1" t="s">
        <v>35</v>
      </c>
      <c r="N2904" s="1" t="s">
        <v>54</v>
      </c>
      <c r="O2904" s="1" t="s">
        <v>37</v>
      </c>
      <c r="P2904" s="1">
        <v>9000000.0</v>
      </c>
      <c r="Q2904" s="1">
        <v>1989.0</v>
      </c>
      <c r="R2904" s="1">
        <v>591.0</v>
      </c>
      <c r="S2904" s="1">
        <v>520.0</v>
      </c>
      <c r="T2904" s="1">
        <v>130.0</v>
      </c>
      <c r="U2904" s="1">
        <v>1341.0</v>
      </c>
      <c r="V2904" s="1">
        <v>0.0</v>
      </c>
      <c r="W2904" s="1">
        <v>0.0</v>
      </c>
      <c r="X2904" s="1">
        <v>1.0</v>
      </c>
      <c r="Y2904" s="1">
        <v>1.85</v>
      </c>
      <c r="Z2904" s="1">
        <v>7.7</v>
      </c>
    </row>
    <row r="2905" ht="14.25" customHeight="1">
      <c r="A2905" s="1" t="s">
        <v>26</v>
      </c>
      <c r="B2905" s="1" t="s">
        <v>849</v>
      </c>
      <c r="C2905" s="1" t="s">
        <v>13771</v>
      </c>
      <c r="D2905" s="1">
        <v>6047856.0</v>
      </c>
      <c r="E2905" s="1" t="s">
        <v>449</v>
      </c>
      <c r="F2905" s="1" t="s">
        <v>13772</v>
      </c>
      <c r="G2905" s="1" t="s">
        <v>13773</v>
      </c>
      <c r="H2905" s="1" t="s">
        <v>13774</v>
      </c>
      <c r="I2905" s="1">
        <v>27536.0</v>
      </c>
      <c r="J2905" s="1" t="s">
        <v>13775</v>
      </c>
      <c r="K2905" s="1" t="s">
        <v>13776</v>
      </c>
      <c r="L2905" s="1">
        <v>327.0</v>
      </c>
      <c r="M2905" s="1" t="s">
        <v>35</v>
      </c>
      <c r="N2905" s="1" t="s">
        <v>36</v>
      </c>
      <c r="O2905" s="1" t="s">
        <v>628</v>
      </c>
      <c r="P2905" s="1">
        <v>8500000.0</v>
      </c>
      <c r="Q2905" s="1">
        <v>2000.0</v>
      </c>
      <c r="R2905" s="1">
        <v>187.0</v>
      </c>
      <c r="S2905" s="1">
        <v>127.0</v>
      </c>
      <c r="T2905" s="1">
        <v>35.0</v>
      </c>
      <c r="U2905" s="1">
        <v>358.0</v>
      </c>
      <c r="V2905" s="1">
        <v>188.0</v>
      </c>
      <c r="W2905" s="1">
        <v>1000.0</v>
      </c>
      <c r="X2905" s="1">
        <v>4.0</v>
      </c>
      <c r="Y2905" s="1">
        <v>1.85</v>
      </c>
      <c r="Z2905" s="1">
        <v>6.7</v>
      </c>
    </row>
    <row r="2906" ht="14.25" customHeight="1">
      <c r="A2906" s="1" t="s">
        <v>26</v>
      </c>
      <c r="B2906" s="1" t="s">
        <v>5699</v>
      </c>
      <c r="C2906" s="1" t="s">
        <v>13777</v>
      </c>
      <c r="D2906" s="1">
        <v>4681503.0</v>
      </c>
      <c r="E2906" s="1" t="s">
        <v>2422</v>
      </c>
      <c r="F2906" s="1" t="s">
        <v>2358</v>
      </c>
      <c r="G2906" s="1" t="s">
        <v>3122</v>
      </c>
      <c r="H2906" s="1" t="s">
        <v>13778</v>
      </c>
      <c r="I2906" s="1">
        <v>29058.0</v>
      </c>
      <c r="J2906" s="1" t="s">
        <v>13779</v>
      </c>
      <c r="K2906" s="1" t="s">
        <v>13780</v>
      </c>
      <c r="L2906" s="1">
        <v>238.0</v>
      </c>
      <c r="M2906" s="1" t="s">
        <v>35</v>
      </c>
      <c r="N2906" s="1" t="s">
        <v>36</v>
      </c>
      <c r="O2906" s="1" t="s">
        <v>628</v>
      </c>
      <c r="P2906" s="1">
        <v>9000000.0</v>
      </c>
      <c r="Q2906" s="1">
        <v>2002.0</v>
      </c>
      <c r="R2906" s="1">
        <v>1000.0</v>
      </c>
      <c r="S2906" s="1">
        <v>710.0</v>
      </c>
      <c r="T2906" s="1">
        <v>471.0</v>
      </c>
      <c r="U2906" s="1">
        <v>2478.0</v>
      </c>
      <c r="V2906" s="1">
        <v>23.0</v>
      </c>
      <c r="W2906" s="1">
        <v>838.0</v>
      </c>
      <c r="X2906" s="1">
        <v>1.0</v>
      </c>
      <c r="Y2906" s="1">
        <v>2.35</v>
      </c>
      <c r="Z2906" s="1">
        <v>7.0</v>
      </c>
    </row>
    <row r="2907" ht="14.25" customHeight="1">
      <c r="A2907" s="1" t="s">
        <v>26</v>
      </c>
      <c r="B2907" s="1" t="s">
        <v>13781</v>
      </c>
      <c r="C2907" s="1" t="s">
        <v>13782</v>
      </c>
      <c r="D2907" s="1">
        <v>4350774.0</v>
      </c>
      <c r="E2907" s="1" t="s">
        <v>1885</v>
      </c>
      <c r="F2907" s="1" t="s">
        <v>243</v>
      </c>
      <c r="G2907" s="1" t="s">
        <v>6431</v>
      </c>
      <c r="H2907" s="1" t="s">
        <v>13783</v>
      </c>
      <c r="I2907" s="1">
        <v>10476.0</v>
      </c>
      <c r="J2907" s="1" t="s">
        <v>13784</v>
      </c>
      <c r="K2907" s="1" t="s">
        <v>13785</v>
      </c>
      <c r="L2907" s="1">
        <v>52.0</v>
      </c>
      <c r="M2907" s="1" t="s">
        <v>35</v>
      </c>
      <c r="N2907" s="1" t="s">
        <v>36</v>
      </c>
      <c r="O2907" s="1" t="s">
        <v>37</v>
      </c>
      <c r="P2907" s="1">
        <v>8000000.0</v>
      </c>
      <c r="Q2907" s="1">
        <v>1994.0</v>
      </c>
      <c r="R2907" s="1">
        <v>4000.0</v>
      </c>
      <c r="S2907" s="1">
        <v>248.0</v>
      </c>
      <c r="T2907" s="1">
        <v>219.0</v>
      </c>
      <c r="U2907" s="1">
        <v>4908.0</v>
      </c>
      <c r="V2907" s="1">
        <v>157.0</v>
      </c>
      <c r="W2907" s="1">
        <v>0.0</v>
      </c>
      <c r="X2907" s="1">
        <v>3.0</v>
      </c>
      <c r="Y2907" s="1">
        <v>1.85</v>
      </c>
      <c r="Z2907" s="1">
        <v>6.5</v>
      </c>
    </row>
    <row r="2908" ht="14.25" customHeight="1">
      <c r="A2908" s="1" t="s">
        <v>26</v>
      </c>
      <c r="B2908" s="1" t="s">
        <v>12122</v>
      </c>
      <c r="C2908" s="1" t="s">
        <v>13786</v>
      </c>
      <c r="D2908" s="1">
        <v>2955039.0</v>
      </c>
      <c r="E2908" s="1" t="s">
        <v>1557</v>
      </c>
      <c r="F2908" s="1" t="s">
        <v>6191</v>
      </c>
      <c r="G2908" s="1" t="s">
        <v>6304</v>
      </c>
      <c r="H2908" s="1" t="s">
        <v>13787</v>
      </c>
      <c r="I2908" s="1">
        <v>3624.0</v>
      </c>
      <c r="J2908" s="1" t="s">
        <v>13788</v>
      </c>
      <c r="K2908" s="1" t="s">
        <v>13789</v>
      </c>
      <c r="L2908" s="1">
        <v>27.0</v>
      </c>
      <c r="M2908" s="1" t="s">
        <v>35</v>
      </c>
      <c r="N2908" s="1" t="s">
        <v>36</v>
      </c>
      <c r="O2908" s="1" t="s">
        <v>37</v>
      </c>
      <c r="P2908" s="1">
        <v>9000000.0</v>
      </c>
      <c r="Q2908" s="1">
        <v>2007.0</v>
      </c>
      <c r="R2908" s="1">
        <v>702.0</v>
      </c>
      <c r="S2908" s="1">
        <v>616.0</v>
      </c>
      <c r="T2908" s="1">
        <v>261.0</v>
      </c>
      <c r="U2908" s="1">
        <v>2007.0</v>
      </c>
      <c r="V2908" s="1">
        <v>49.0</v>
      </c>
      <c r="W2908" s="1">
        <v>313.0</v>
      </c>
      <c r="X2908" s="1">
        <v>1.0</v>
      </c>
      <c r="Y2908" s="1">
        <v>2.35</v>
      </c>
      <c r="Z2908" s="1">
        <v>6.2</v>
      </c>
    </row>
    <row r="2909" ht="14.25" customHeight="1">
      <c r="A2909" s="1" t="s">
        <v>26</v>
      </c>
      <c r="B2909" s="1" t="s">
        <v>10817</v>
      </c>
      <c r="C2909" s="1" t="s">
        <v>13790</v>
      </c>
      <c r="D2909" s="1">
        <v>1530535.0</v>
      </c>
      <c r="E2909" s="1" t="s">
        <v>1359</v>
      </c>
      <c r="F2909" s="1" t="s">
        <v>1017</v>
      </c>
      <c r="G2909" s="1" t="s">
        <v>535</v>
      </c>
      <c r="H2909" s="1" t="s">
        <v>6603</v>
      </c>
      <c r="I2909" s="1">
        <v>7833.0</v>
      </c>
      <c r="J2909" s="1" t="s">
        <v>13791</v>
      </c>
      <c r="K2909" s="1" t="s">
        <v>13792</v>
      </c>
      <c r="L2909" s="1">
        <v>63.0</v>
      </c>
      <c r="M2909" s="1" t="s">
        <v>35</v>
      </c>
      <c r="N2909" s="1" t="s">
        <v>36</v>
      </c>
      <c r="O2909" s="1" t="s">
        <v>628</v>
      </c>
      <c r="P2909" s="1">
        <v>9000000.0</v>
      </c>
      <c r="Q2909" s="1">
        <v>2005.0</v>
      </c>
      <c r="R2909" s="1">
        <v>745.0</v>
      </c>
      <c r="S2909" s="1">
        <v>591.0</v>
      </c>
      <c r="T2909" s="1">
        <v>316.0</v>
      </c>
      <c r="U2909" s="1">
        <v>1721.0</v>
      </c>
      <c r="V2909" s="1">
        <v>38.0</v>
      </c>
      <c r="W2909" s="1">
        <v>215.0</v>
      </c>
      <c r="X2909" s="1">
        <v>3.0</v>
      </c>
      <c r="Y2909" s="1">
        <v>2.35</v>
      </c>
      <c r="Z2909" s="1">
        <v>5.7</v>
      </c>
    </row>
    <row r="2910" ht="14.25" customHeight="1">
      <c r="A2910" s="1" t="s">
        <v>26</v>
      </c>
      <c r="B2910" s="1" t="s">
        <v>10063</v>
      </c>
      <c r="C2910" s="1" t="s">
        <v>13793</v>
      </c>
      <c r="D2910" s="1">
        <v>4881867.0</v>
      </c>
      <c r="E2910" s="1" t="s">
        <v>7157</v>
      </c>
      <c r="F2910" s="1" t="s">
        <v>776</v>
      </c>
      <c r="G2910" s="1" t="s">
        <v>464</v>
      </c>
      <c r="H2910" s="1" t="s">
        <v>9332</v>
      </c>
      <c r="I2910" s="1">
        <v>15200.0</v>
      </c>
      <c r="J2910" s="1" t="s">
        <v>13794</v>
      </c>
      <c r="K2910" s="1" t="s">
        <v>13795</v>
      </c>
      <c r="L2910" s="1">
        <v>76.0</v>
      </c>
      <c r="M2910" s="1" t="s">
        <v>35</v>
      </c>
      <c r="N2910" s="1" t="s">
        <v>36</v>
      </c>
      <c r="O2910" s="1" t="s">
        <v>628</v>
      </c>
      <c r="P2910" s="1">
        <v>9000000.0</v>
      </c>
      <c r="Q2910" s="1">
        <v>2008.0</v>
      </c>
      <c r="R2910" s="1">
        <v>1000.0</v>
      </c>
      <c r="S2910" s="1">
        <v>1000.0</v>
      </c>
      <c r="T2910" s="1">
        <v>611.0</v>
      </c>
      <c r="U2910" s="1">
        <v>3767.0</v>
      </c>
      <c r="V2910" s="1">
        <v>26.0</v>
      </c>
      <c r="W2910" s="1">
        <v>1000.0</v>
      </c>
      <c r="X2910" s="1">
        <v>1.0</v>
      </c>
      <c r="Y2910" s="1">
        <v>1.85</v>
      </c>
      <c r="Z2910" s="1">
        <v>6.4</v>
      </c>
    </row>
    <row r="2911" ht="14.25" customHeight="1">
      <c r="A2911" s="1" t="s">
        <v>26</v>
      </c>
      <c r="B2911" s="1" t="s">
        <v>10796</v>
      </c>
      <c r="C2911" s="1" t="s">
        <v>13796</v>
      </c>
      <c r="D2911" s="1">
        <v>1.1860839E7</v>
      </c>
      <c r="E2911" s="1" t="s">
        <v>3861</v>
      </c>
      <c r="F2911" s="1" t="s">
        <v>13797</v>
      </c>
      <c r="G2911" s="1" t="s">
        <v>13798</v>
      </c>
      <c r="H2911" s="1" t="s">
        <v>13799</v>
      </c>
      <c r="I2911" s="1">
        <v>5156.0</v>
      </c>
      <c r="J2911" s="1" t="s">
        <v>13800</v>
      </c>
      <c r="K2911" s="1" t="s">
        <v>13801</v>
      </c>
      <c r="L2911" s="1">
        <v>21.0</v>
      </c>
      <c r="M2911" s="1" t="s">
        <v>35</v>
      </c>
      <c r="N2911" s="1" t="s">
        <v>36</v>
      </c>
      <c r="O2911" s="1" t="s">
        <v>87</v>
      </c>
      <c r="P2911" s="1">
        <v>9000000.0</v>
      </c>
      <c r="Q2911" s="1">
        <v>2011.0</v>
      </c>
      <c r="R2911" s="1">
        <v>2000.0</v>
      </c>
      <c r="S2911" s="1">
        <v>892.0</v>
      </c>
      <c r="T2911" s="1">
        <v>748.0</v>
      </c>
      <c r="U2911" s="1">
        <v>4617.0</v>
      </c>
      <c r="V2911" s="1">
        <v>64.0</v>
      </c>
      <c r="W2911" s="1">
        <v>0.0</v>
      </c>
      <c r="X2911" s="1">
        <v>0.0</v>
      </c>
      <c r="Y2911" s="1">
        <v>1.85</v>
      </c>
      <c r="Z2911" s="1">
        <v>5.4</v>
      </c>
    </row>
    <row r="2912" ht="14.25" customHeight="1">
      <c r="A2912" s="1" t="s">
        <v>26</v>
      </c>
      <c r="B2912" s="1" t="s">
        <v>13802</v>
      </c>
      <c r="C2912" s="1" t="s">
        <v>13803</v>
      </c>
      <c r="D2912" s="1">
        <v>454255.0</v>
      </c>
      <c r="E2912" s="1" t="s">
        <v>1061</v>
      </c>
      <c r="F2912" s="1" t="s">
        <v>11943</v>
      </c>
      <c r="G2912" s="1" t="s">
        <v>13804</v>
      </c>
      <c r="H2912" s="1" t="s">
        <v>13805</v>
      </c>
      <c r="I2912" s="1">
        <v>1666.0</v>
      </c>
      <c r="J2912" s="1" t="s">
        <v>13806</v>
      </c>
      <c r="K2912" s="1" t="s">
        <v>13807</v>
      </c>
      <c r="L2912" s="1">
        <v>47.0</v>
      </c>
      <c r="M2912" s="1" t="s">
        <v>11946</v>
      </c>
      <c r="N2912" s="1" t="s">
        <v>11947</v>
      </c>
      <c r="O2912" s="1" t="s">
        <v>628</v>
      </c>
      <c r="P2912" s="1">
        <v>4.0E8</v>
      </c>
      <c r="Q2912" s="1">
        <v>2001.0</v>
      </c>
      <c r="R2912" s="1">
        <v>7.0</v>
      </c>
      <c r="S2912" s="1">
        <v>6.0</v>
      </c>
      <c r="T2912" s="1">
        <v>6.0</v>
      </c>
      <c r="U2912" s="1">
        <v>32.0</v>
      </c>
      <c r="V2912" s="1">
        <v>6.0</v>
      </c>
      <c r="W2912" s="1">
        <v>124.0</v>
      </c>
      <c r="X2912" s="1">
        <v>3.0</v>
      </c>
      <c r="Y2912" s="1">
        <v>1.85</v>
      </c>
      <c r="Z2912" s="1">
        <v>6.6</v>
      </c>
    </row>
    <row r="2913" ht="14.25" customHeight="1">
      <c r="A2913" s="1" t="s">
        <v>26</v>
      </c>
      <c r="B2913" s="1" t="s">
        <v>13808</v>
      </c>
      <c r="C2913" s="1" t="s">
        <v>13809</v>
      </c>
      <c r="D2913" s="1">
        <v>349618.0</v>
      </c>
      <c r="E2913" s="1" t="s">
        <v>6019</v>
      </c>
      <c r="F2913" s="1" t="s">
        <v>3165</v>
      </c>
      <c r="G2913" s="1" t="s">
        <v>13810</v>
      </c>
      <c r="H2913" s="1" t="s">
        <v>5992</v>
      </c>
      <c r="I2913" s="1">
        <v>4302.0</v>
      </c>
      <c r="J2913" s="1" t="s">
        <v>13811</v>
      </c>
      <c r="K2913" s="1" t="s">
        <v>13812</v>
      </c>
      <c r="L2913" s="1">
        <v>45.0</v>
      </c>
      <c r="M2913" s="1" t="s">
        <v>35</v>
      </c>
      <c r="N2913" s="1" t="s">
        <v>8105</v>
      </c>
      <c r="O2913" s="1" t="s">
        <v>628</v>
      </c>
      <c r="P2913" s="1">
        <v>9000000.0</v>
      </c>
      <c r="Q2913" s="1">
        <v>1990.0</v>
      </c>
      <c r="R2913" s="1">
        <v>982.0</v>
      </c>
      <c r="S2913" s="1">
        <v>602.0</v>
      </c>
      <c r="T2913" s="1">
        <v>433.0</v>
      </c>
      <c r="U2913" s="1">
        <v>2942.0</v>
      </c>
      <c r="V2913" s="1">
        <v>930.0</v>
      </c>
      <c r="W2913" s="1">
        <v>375.0</v>
      </c>
      <c r="X2913" s="1">
        <v>1.0</v>
      </c>
      <c r="Y2913" s="1">
        <v>1.85</v>
      </c>
      <c r="Z2913" s="1">
        <v>6.1</v>
      </c>
    </row>
    <row r="2914" ht="14.25" customHeight="1">
      <c r="A2914" s="1" t="s">
        <v>26</v>
      </c>
      <c r="B2914" s="1" t="s">
        <v>10383</v>
      </c>
      <c r="C2914" s="1" t="s">
        <v>13813</v>
      </c>
      <c r="D2914" s="1">
        <v>112935.0</v>
      </c>
      <c r="E2914" s="1" t="s">
        <v>3238</v>
      </c>
      <c r="F2914" s="1" t="s">
        <v>10386</v>
      </c>
      <c r="G2914" s="1" t="s">
        <v>12155</v>
      </c>
      <c r="H2914" s="1" t="s">
        <v>13814</v>
      </c>
      <c r="I2914" s="1">
        <v>8161.0</v>
      </c>
      <c r="J2914" s="1" t="s">
        <v>13815</v>
      </c>
      <c r="K2914" s="1" t="s">
        <v>13816</v>
      </c>
      <c r="L2914" s="1">
        <v>94.0</v>
      </c>
      <c r="M2914" s="1" t="s">
        <v>35</v>
      </c>
      <c r="N2914" s="1" t="s">
        <v>54</v>
      </c>
      <c r="O2914" s="1" t="s">
        <v>628</v>
      </c>
      <c r="P2914" s="1">
        <v>9000000.0</v>
      </c>
      <c r="Q2914" s="1">
        <v>2002.0</v>
      </c>
      <c r="R2914" s="1">
        <v>149.0</v>
      </c>
      <c r="S2914" s="1">
        <v>44.0</v>
      </c>
      <c r="T2914" s="1">
        <v>25.0</v>
      </c>
      <c r="U2914" s="1">
        <v>251.0</v>
      </c>
      <c r="V2914" s="1">
        <v>608.0</v>
      </c>
      <c r="W2914" s="1">
        <v>484.0</v>
      </c>
      <c r="X2914" s="1">
        <v>0.0</v>
      </c>
      <c r="Y2914" s="1">
        <v>1.85</v>
      </c>
      <c r="Z2914" s="1">
        <v>7.6</v>
      </c>
    </row>
    <row r="2915" ht="14.25" customHeight="1">
      <c r="A2915" s="1" t="s">
        <v>26</v>
      </c>
      <c r="B2915" s="1" t="s">
        <v>13817</v>
      </c>
      <c r="C2915" s="1" t="s">
        <v>13818</v>
      </c>
      <c r="D2915" s="1">
        <v>883887.0</v>
      </c>
      <c r="E2915" s="1" t="s">
        <v>3238</v>
      </c>
      <c r="F2915" s="1" t="s">
        <v>13819</v>
      </c>
      <c r="G2915" s="1" t="s">
        <v>942</v>
      </c>
      <c r="H2915" s="1" t="s">
        <v>10868</v>
      </c>
      <c r="I2915" s="1">
        <v>1201.0</v>
      </c>
      <c r="J2915" s="1" t="s">
        <v>13820</v>
      </c>
      <c r="K2915" s="1" t="s">
        <v>13821</v>
      </c>
      <c r="L2915" s="1">
        <v>14.0</v>
      </c>
      <c r="M2915" s="1" t="s">
        <v>35</v>
      </c>
      <c r="N2915" s="1" t="s">
        <v>36</v>
      </c>
      <c r="O2915" s="1" t="s">
        <v>87</v>
      </c>
      <c r="P2915" s="1">
        <v>9000000.0</v>
      </c>
      <c r="Q2915" s="1">
        <v>2009.0</v>
      </c>
      <c r="R2915" s="1">
        <v>679.0</v>
      </c>
      <c r="S2915" s="1">
        <v>537.0</v>
      </c>
      <c r="T2915" s="1">
        <v>204.0</v>
      </c>
      <c r="U2915" s="1">
        <v>1426.0</v>
      </c>
      <c r="V2915" s="1">
        <v>3.0</v>
      </c>
      <c r="W2915" s="1">
        <v>0.0</v>
      </c>
      <c r="X2915" s="1">
        <v>3.0</v>
      </c>
      <c r="Y2915" s="1">
        <v>2.35</v>
      </c>
      <c r="Z2915" s="1">
        <v>6.2</v>
      </c>
    </row>
    <row r="2916" ht="14.25" customHeight="1">
      <c r="A2916" s="1" t="s">
        <v>26</v>
      </c>
      <c r="B2916" s="1" t="s">
        <v>11849</v>
      </c>
      <c r="C2916" s="1" t="s">
        <v>13822</v>
      </c>
      <c r="D2916" s="1">
        <v>13751.0</v>
      </c>
      <c r="E2916" s="1" t="s">
        <v>6707</v>
      </c>
      <c r="F2916" s="1" t="s">
        <v>13823</v>
      </c>
      <c r="G2916" s="1" t="s">
        <v>13824</v>
      </c>
      <c r="H2916" s="1" t="s">
        <v>13825</v>
      </c>
      <c r="I2916" s="1">
        <v>813.0</v>
      </c>
      <c r="J2916" s="1" t="s">
        <v>13826</v>
      </c>
      <c r="K2916" s="1" t="s">
        <v>13827</v>
      </c>
      <c r="L2916" s="1">
        <v>6.0</v>
      </c>
      <c r="M2916" s="1" t="s">
        <v>35</v>
      </c>
      <c r="N2916" s="1" t="s">
        <v>362</v>
      </c>
      <c r="O2916" s="1" t="s">
        <v>87</v>
      </c>
      <c r="P2916" s="1">
        <v>1.14E7</v>
      </c>
      <c r="Q2916" s="1">
        <v>2006.0</v>
      </c>
      <c r="R2916" s="1">
        <v>185.0</v>
      </c>
      <c r="S2916" s="1">
        <v>62.0</v>
      </c>
      <c r="T2916" s="1">
        <v>18.0</v>
      </c>
      <c r="U2916" s="1">
        <v>299.0</v>
      </c>
      <c r="V2916" s="1">
        <v>11.0</v>
      </c>
      <c r="W2916" s="1">
        <v>135.0</v>
      </c>
      <c r="X2916" s="1">
        <v>0.0</v>
      </c>
      <c r="Y2916" s="1">
        <v>1.85</v>
      </c>
      <c r="Z2916" s="1">
        <v>6.6</v>
      </c>
    </row>
    <row r="2917" ht="14.25" customHeight="1">
      <c r="A2917" s="1" t="s">
        <v>26</v>
      </c>
      <c r="B2917" s="1" t="s">
        <v>13828</v>
      </c>
      <c r="C2917" s="1" t="s">
        <v>13829</v>
      </c>
      <c r="D2917" s="1">
        <v>145109.0</v>
      </c>
      <c r="E2917" s="1" t="s">
        <v>2090</v>
      </c>
      <c r="F2917" s="1" t="s">
        <v>13830</v>
      </c>
      <c r="G2917" s="1" t="s">
        <v>13831</v>
      </c>
      <c r="H2917" s="1" t="s">
        <v>2949</v>
      </c>
      <c r="I2917" s="1">
        <v>14247.0</v>
      </c>
      <c r="J2917" s="1" t="s">
        <v>13832</v>
      </c>
      <c r="K2917" s="1" t="s">
        <v>13833</v>
      </c>
      <c r="L2917" s="1">
        <v>44.0</v>
      </c>
      <c r="M2917" s="1" t="s">
        <v>13834</v>
      </c>
      <c r="N2917" s="1" t="s">
        <v>7233</v>
      </c>
      <c r="O2917" s="1" t="s">
        <v>9252</v>
      </c>
      <c r="P2917" s="1">
        <v>4.5E7</v>
      </c>
      <c r="Q2917" s="1">
        <v>2008.0</v>
      </c>
      <c r="R2917" s="1">
        <v>573.0</v>
      </c>
      <c r="S2917" s="1">
        <v>197.0</v>
      </c>
      <c r="T2917" s="1">
        <v>104.0</v>
      </c>
      <c r="U2917" s="1">
        <v>1098.0</v>
      </c>
      <c r="V2917" s="1">
        <v>28.0</v>
      </c>
      <c r="W2917" s="1">
        <v>0.0</v>
      </c>
      <c r="X2917" s="1">
        <v>1.0</v>
      </c>
      <c r="Y2917" s="1">
        <v>2.35</v>
      </c>
      <c r="Z2917" s="1">
        <v>7.3</v>
      </c>
    </row>
    <row r="2918" ht="14.25" customHeight="1">
      <c r="A2918" s="1" t="s">
        <v>26</v>
      </c>
      <c r="B2918" s="1" t="s">
        <v>13835</v>
      </c>
      <c r="C2918" s="1" t="s">
        <v>13836</v>
      </c>
      <c r="D2918" s="1">
        <v>1046166.0</v>
      </c>
      <c r="E2918" s="1" t="s">
        <v>11050</v>
      </c>
      <c r="F2918" s="1" t="s">
        <v>5783</v>
      </c>
      <c r="G2918" s="1" t="s">
        <v>13604</v>
      </c>
      <c r="H2918" s="1" t="s">
        <v>13837</v>
      </c>
      <c r="I2918" s="1">
        <v>2599.0</v>
      </c>
      <c r="J2918" s="1" t="s">
        <v>13838</v>
      </c>
      <c r="K2918" s="1" t="s">
        <v>13839</v>
      </c>
      <c r="L2918" s="1">
        <v>45.0</v>
      </c>
      <c r="M2918" s="1" t="s">
        <v>35</v>
      </c>
      <c r="N2918" s="1" t="s">
        <v>730</v>
      </c>
      <c r="O2918" s="1" t="s">
        <v>37</v>
      </c>
      <c r="P2918" s="1">
        <v>9000000.0</v>
      </c>
      <c r="Q2918" s="1">
        <v>2005.0</v>
      </c>
      <c r="R2918" s="1">
        <v>922.0</v>
      </c>
      <c r="S2918" s="1">
        <v>374.0</v>
      </c>
      <c r="T2918" s="1">
        <v>230.0</v>
      </c>
      <c r="U2918" s="1">
        <v>1835.0</v>
      </c>
      <c r="V2918" s="1">
        <v>0.0</v>
      </c>
      <c r="W2918" s="1">
        <v>128.0</v>
      </c>
      <c r="X2918" s="1">
        <v>4.0</v>
      </c>
      <c r="Y2918" s="1">
        <v>2.35</v>
      </c>
      <c r="Z2918" s="1">
        <v>4.2</v>
      </c>
    </row>
    <row r="2919" ht="14.25" customHeight="1">
      <c r="A2919" s="1" t="s">
        <v>26</v>
      </c>
      <c r="B2919" s="1" t="s">
        <v>13840</v>
      </c>
      <c r="C2919" s="1" t="s">
        <v>13841</v>
      </c>
      <c r="D2919" s="1">
        <v>1.74635E8</v>
      </c>
      <c r="E2919" s="1" t="s">
        <v>4008</v>
      </c>
      <c r="F2919" s="1" t="s">
        <v>8663</v>
      </c>
      <c r="G2919" s="1" t="s">
        <v>8981</v>
      </c>
      <c r="H2919" s="1" t="s">
        <v>13842</v>
      </c>
      <c r="I2919" s="1">
        <v>74743.0</v>
      </c>
      <c r="J2919" s="1" t="s">
        <v>13843</v>
      </c>
      <c r="K2919" s="1" t="s">
        <v>13844</v>
      </c>
      <c r="L2919" s="1">
        <v>93.0</v>
      </c>
      <c r="M2919" s="1" t="s">
        <v>35</v>
      </c>
      <c r="N2919" s="1" t="s">
        <v>362</v>
      </c>
      <c r="O2919" s="1" t="s">
        <v>37</v>
      </c>
      <c r="P2919" s="1">
        <v>8800000.0</v>
      </c>
      <c r="Q2919" s="1">
        <v>1986.0</v>
      </c>
      <c r="R2919" s="1">
        <v>442.0</v>
      </c>
      <c r="S2919" s="1">
        <v>162.0</v>
      </c>
      <c r="T2919" s="1">
        <v>93.0</v>
      </c>
      <c r="U2919" s="1">
        <v>822.0</v>
      </c>
      <c r="V2919" s="1">
        <v>4.0</v>
      </c>
      <c r="W2919" s="1">
        <v>0.0</v>
      </c>
      <c r="X2919" s="1">
        <v>1.0</v>
      </c>
      <c r="Y2919" s="1">
        <v>2.35</v>
      </c>
      <c r="Z2919" s="1">
        <v>6.5</v>
      </c>
    </row>
    <row r="2920" ht="14.25" customHeight="1">
      <c r="A2920" s="1" t="s">
        <v>26</v>
      </c>
      <c r="B2920" s="1" t="s">
        <v>13845</v>
      </c>
      <c r="C2920" s="1" t="s">
        <v>13846</v>
      </c>
      <c r="D2920" s="1">
        <v>1.4373825E7</v>
      </c>
      <c r="E2920" s="1" t="s">
        <v>2130</v>
      </c>
      <c r="F2920" s="1" t="s">
        <v>1378</v>
      </c>
      <c r="G2920" s="1" t="s">
        <v>5783</v>
      </c>
      <c r="H2920" s="1" t="s">
        <v>4019</v>
      </c>
      <c r="I2920" s="1">
        <v>63216.0</v>
      </c>
      <c r="J2920" s="1" t="s">
        <v>13847</v>
      </c>
      <c r="K2920" s="1" t="s">
        <v>13848</v>
      </c>
      <c r="L2920" s="1">
        <v>196.0</v>
      </c>
      <c r="M2920" s="1" t="s">
        <v>35</v>
      </c>
      <c r="N2920" s="1" t="s">
        <v>36</v>
      </c>
      <c r="O2920" s="1" t="s">
        <v>628</v>
      </c>
      <c r="P2920" s="1">
        <v>8600000.0</v>
      </c>
      <c r="Q2920" s="1">
        <v>2007.0</v>
      </c>
      <c r="R2920" s="1">
        <v>4000.0</v>
      </c>
      <c r="S2920" s="1">
        <v>922.0</v>
      </c>
      <c r="T2920" s="1">
        <v>896.0</v>
      </c>
      <c r="U2920" s="1">
        <v>6954.0</v>
      </c>
      <c r="V2920" s="1">
        <v>8.0</v>
      </c>
      <c r="W2920" s="1">
        <v>0.0</v>
      </c>
      <c r="X2920" s="1">
        <v>0.0</v>
      </c>
      <c r="Y2920" s="1">
        <v>2.35</v>
      </c>
      <c r="Z2920" s="1">
        <v>6.5</v>
      </c>
    </row>
    <row r="2921" ht="14.25" customHeight="1">
      <c r="A2921" s="1" t="s">
        <v>26</v>
      </c>
      <c r="B2921" s="1" t="s">
        <v>13849</v>
      </c>
      <c r="C2921" s="1" t="s">
        <v>13850</v>
      </c>
      <c r="D2921" s="1">
        <v>162.0</v>
      </c>
      <c r="E2921" s="1" t="s">
        <v>326</v>
      </c>
      <c r="F2921" s="1" t="s">
        <v>6043</v>
      </c>
      <c r="G2921" s="1" t="s">
        <v>4184</v>
      </c>
      <c r="H2921" s="1" t="s">
        <v>13851</v>
      </c>
      <c r="I2921" s="1">
        <v>5228.0</v>
      </c>
      <c r="J2921" s="1" t="s">
        <v>13852</v>
      </c>
      <c r="K2921" s="1" t="s">
        <v>13853</v>
      </c>
      <c r="L2921" s="1">
        <v>38.0</v>
      </c>
      <c r="M2921" s="1" t="s">
        <v>35</v>
      </c>
      <c r="N2921" s="1" t="s">
        <v>11947</v>
      </c>
      <c r="O2921" s="1" t="s">
        <v>628</v>
      </c>
      <c r="P2921" s="1">
        <v>9000000.0</v>
      </c>
      <c r="Q2921" s="1">
        <v>2014.0</v>
      </c>
      <c r="R2921" s="1">
        <v>2000.0</v>
      </c>
      <c r="S2921" s="1">
        <v>368.0</v>
      </c>
      <c r="T2921" s="1">
        <v>305.0</v>
      </c>
      <c r="U2921" s="1">
        <v>2802.0</v>
      </c>
      <c r="V2921" s="1">
        <v>3.0</v>
      </c>
      <c r="W2921" s="1">
        <v>0.0</v>
      </c>
      <c r="X2921" s="1">
        <v>5.0</v>
      </c>
      <c r="Y2921" s="1">
        <v>2.35</v>
      </c>
      <c r="Z2921" s="1">
        <v>5.7</v>
      </c>
    </row>
    <row r="2922" ht="14.25" customHeight="1">
      <c r="A2922" s="1" t="s">
        <v>26</v>
      </c>
      <c r="B2922" s="1" t="s">
        <v>4622</v>
      </c>
      <c r="C2922" s="1" t="s">
        <v>13854</v>
      </c>
      <c r="D2922" s="1">
        <v>3.9462438E7</v>
      </c>
      <c r="E2922" s="1" t="s">
        <v>7326</v>
      </c>
      <c r="F2922" s="1" t="s">
        <v>293</v>
      </c>
      <c r="G2922" s="1" t="s">
        <v>6602</v>
      </c>
      <c r="H2922" s="1" t="s">
        <v>13855</v>
      </c>
      <c r="I2922" s="1">
        <v>67760.0</v>
      </c>
      <c r="J2922" s="1" t="s">
        <v>13856</v>
      </c>
      <c r="K2922" s="1" t="s">
        <v>13857</v>
      </c>
      <c r="L2922" s="1">
        <v>226.0</v>
      </c>
      <c r="M2922" s="1" t="s">
        <v>35</v>
      </c>
      <c r="N2922" s="1" t="s">
        <v>36</v>
      </c>
      <c r="O2922" s="1" t="s">
        <v>628</v>
      </c>
      <c r="P2922" s="1">
        <v>7000000.0</v>
      </c>
      <c r="Q2922" s="1">
        <v>2009.0</v>
      </c>
      <c r="R2922" s="1">
        <v>12000.0</v>
      </c>
      <c r="S2922" s="1">
        <v>628.0</v>
      </c>
      <c r="T2922" s="1">
        <v>175.0</v>
      </c>
      <c r="U2922" s="1">
        <v>13172.0</v>
      </c>
      <c r="V2922" s="1">
        <v>108.0</v>
      </c>
      <c r="W2922" s="1">
        <v>0.0</v>
      </c>
      <c r="X2922" s="1">
        <v>0.0</v>
      </c>
      <c r="Y2922" s="1">
        <v>2.35</v>
      </c>
      <c r="Z2922" s="1">
        <v>7.3</v>
      </c>
    </row>
    <row r="2923" ht="14.25" customHeight="1">
      <c r="A2923" s="1" t="s">
        <v>26</v>
      </c>
      <c r="B2923" s="1" t="s">
        <v>13858</v>
      </c>
      <c r="C2923" s="1" t="s">
        <v>13859</v>
      </c>
      <c r="D2923" s="1">
        <v>2.92E7</v>
      </c>
      <c r="E2923" s="1" t="s">
        <v>7326</v>
      </c>
      <c r="F2923" s="1" t="s">
        <v>3688</v>
      </c>
      <c r="G2923" s="1" t="s">
        <v>13860</v>
      </c>
      <c r="H2923" s="1" t="s">
        <v>13861</v>
      </c>
      <c r="I2923" s="1">
        <v>6142.0</v>
      </c>
      <c r="J2923" s="1" t="s">
        <v>13862</v>
      </c>
      <c r="K2923" s="1" t="s">
        <v>13863</v>
      </c>
      <c r="L2923" s="1">
        <v>52.0</v>
      </c>
      <c r="M2923" s="1" t="s">
        <v>35</v>
      </c>
      <c r="N2923" s="1" t="s">
        <v>36</v>
      </c>
      <c r="O2923" s="1" t="s">
        <v>628</v>
      </c>
      <c r="P2923" s="1">
        <v>8500000.0</v>
      </c>
      <c r="Q2923" s="1">
        <v>1979.0</v>
      </c>
      <c r="R2923" s="1">
        <v>563.0</v>
      </c>
      <c r="S2923" s="1">
        <v>236.0</v>
      </c>
      <c r="T2923" s="1">
        <v>122.0</v>
      </c>
      <c r="U2923" s="1">
        <v>1097.0</v>
      </c>
      <c r="V2923" s="1">
        <v>43.0</v>
      </c>
      <c r="W2923" s="1">
        <v>1000.0</v>
      </c>
      <c r="X2923" s="1">
        <v>0.0</v>
      </c>
      <c r="Y2923" s="1">
        <v>1.85</v>
      </c>
      <c r="Z2923" s="1">
        <v>6.9</v>
      </c>
    </row>
    <row r="2924" ht="14.25" customHeight="1">
      <c r="A2924" s="1" t="s">
        <v>26</v>
      </c>
      <c r="B2924" s="1" t="s">
        <v>13864</v>
      </c>
      <c r="C2924" s="1" t="s">
        <v>13865</v>
      </c>
      <c r="D2924" s="1">
        <v>2.1564616E7</v>
      </c>
      <c r="E2924" s="1" t="s">
        <v>1885</v>
      </c>
      <c r="F2924" s="1" t="s">
        <v>632</v>
      </c>
      <c r="G2924" s="1" t="s">
        <v>2931</v>
      </c>
      <c r="H2924" s="1" t="s">
        <v>2672</v>
      </c>
      <c r="I2924" s="1">
        <v>7098.0</v>
      </c>
      <c r="J2924" s="1" t="s">
        <v>13866</v>
      </c>
      <c r="K2924" s="1" t="s">
        <v>13867</v>
      </c>
      <c r="L2924" s="1">
        <v>41.0</v>
      </c>
      <c r="M2924" s="1" t="s">
        <v>35</v>
      </c>
      <c r="N2924" s="1" t="s">
        <v>36</v>
      </c>
      <c r="O2924" s="1" t="s">
        <v>37</v>
      </c>
      <c r="P2924" s="1">
        <v>8500000.0</v>
      </c>
      <c r="Q2924" s="1">
        <v>2013.0</v>
      </c>
      <c r="R2924" s="1">
        <v>3000.0</v>
      </c>
      <c r="S2924" s="1">
        <v>1000.0</v>
      </c>
      <c r="T2924" s="1">
        <v>1000.0</v>
      </c>
      <c r="U2924" s="1">
        <v>8097.0</v>
      </c>
      <c r="V2924" s="1">
        <v>68.0</v>
      </c>
      <c r="W2924" s="1">
        <v>0.0</v>
      </c>
      <c r="X2924" s="1">
        <v>9.0</v>
      </c>
      <c r="Y2924" s="1">
        <v>1.85</v>
      </c>
      <c r="Z2924" s="1">
        <v>5.0</v>
      </c>
    </row>
    <row r="2925" ht="14.25" customHeight="1">
      <c r="A2925" s="1" t="s">
        <v>26</v>
      </c>
      <c r="B2925" s="1" t="s">
        <v>7671</v>
      </c>
      <c r="C2925" s="1" t="s">
        <v>13868</v>
      </c>
      <c r="D2925" s="1">
        <v>1.4879556E7</v>
      </c>
      <c r="E2925" s="1" t="s">
        <v>2422</v>
      </c>
      <c r="F2925" s="1" t="s">
        <v>865</v>
      </c>
      <c r="G2925" s="1" t="s">
        <v>3197</v>
      </c>
      <c r="H2925" s="1" t="s">
        <v>13869</v>
      </c>
      <c r="I2925" s="1">
        <v>73640.0</v>
      </c>
      <c r="J2925" s="1" t="s">
        <v>13870</v>
      </c>
      <c r="K2925" s="1" t="s">
        <v>13871</v>
      </c>
      <c r="L2925" s="1">
        <v>441.0</v>
      </c>
      <c r="M2925" s="1" t="s">
        <v>35</v>
      </c>
      <c r="N2925" s="1" t="s">
        <v>36</v>
      </c>
      <c r="O2925" s="1" t="s">
        <v>628</v>
      </c>
      <c r="P2925" s="1">
        <v>8000000.0</v>
      </c>
      <c r="Q2925" s="1">
        <v>1999.0</v>
      </c>
      <c r="R2925" s="1">
        <v>2000.0</v>
      </c>
      <c r="S2925" s="1">
        <v>841.0</v>
      </c>
      <c r="T2925" s="1">
        <v>133.0</v>
      </c>
      <c r="U2925" s="1">
        <v>3516.0</v>
      </c>
      <c r="V2925" s="1">
        <v>729.0</v>
      </c>
      <c r="W2925" s="1">
        <v>0.0</v>
      </c>
      <c r="X2925" s="1">
        <v>0.0</v>
      </c>
      <c r="Y2925" s="1">
        <v>2.35</v>
      </c>
      <c r="Z2925" s="1">
        <v>7.3</v>
      </c>
    </row>
    <row r="2926" ht="14.25" customHeight="1">
      <c r="A2926" s="1" t="s">
        <v>26</v>
      </c>
      <c r="B2926" s="1" t="s">
        <v>13872</v>
      </c>
      <c r="C2926" s="1" t="s">
        <v>13873</v>
      </c>
      <c r="D2926" s="1">
        <v>3.4017854E7</v>
      </c>
      <c r="E2926" s="1" t="s">
        <v>1885</v>
      </c>
      <c r="F2926" s="1" t="s">
        <v>2084</v>
      </c>
      <c r="G2926" s="1" t="s">
        <v>3699</v>
      </c>
      <c r="H2926" s="1" t="s">
        <v>13874</v>
      </c>
      <c r="I2926" s="1">
        <v>51326.0</v>
      </c>
      <c r="J2926" s="1" t="s">
        <v>13875</v>
      </c>
      <c r="K2926" s="1" t="s">
        <v>13876</v>
      </c>
      <c r="L2926" s="1">
        <v>116.0</v>
      </c>
      <c r="M2926" s="1" t="s">
        <v>35</v>
      </c>
      <c r="N2926" s="1" t="s">
        <v>36</v>
      </c>
      <c r="O2926" s="1" t="s">
        <v>37</v>
      </c>
      <c r="P2926" s="1">
        <v>8500000.0</v>
      </c>
      <c r="Q2926" s="1">
        <v>2015.0</v>
      </c>
      <c r="R2926" s="1">
        <v>35000.0</v>
      </c>
      <c r="S2926" s="1">
        <v>966.0</v>
      </c>
      <c r="T2926" s="1">
        <v>429.0</v>
      </c>
      <c r="U2926" s="1">
        <v>36892.0</v>
      </c>
      <c r="V2926" s="1">
        <v>17.0</v>
      </c>
      <c r="W2926" s="1">
        <v>8000.0</v>
      </c>
      <c r="X2926" s="1">
        <v>4.0</v>
      </c>
      <c r="Y2926" s="1">
        <v>2.35</v>
      </c>
      <c r="Z2926" s="1">
        <v>6.5</v>
      </c>
    </row>
    <row r="2927" ht="14.25" customHeight="1">
      <c r="A2927" s="1" t="s">
        <v>26</v>
      </c>
      <c r="B2927" s="1" t="s">
        <v>10982</v>
      </c>
      <c r="C2927" s="1" t="s">
        <v>13877</v>
      </c>
      <c r="D2927" s="1">
        <v>4273372.0</v>
      </c>
      <c r="E2927" s="1" t="s">
        <v>7326</v>
      </c>
      <c r="F2927" s="1" t="s">
        <v>6609</v>
      </c>
      <c r="G2927" s="1" t="s">
        <v>13878</v>
      </c>
      <c r="H2927" s="1" t="s">
        <v>13879</v>
      </c>
      <c r="I2927" s="1">
        <v>19412.0</v>
      </c>
      <c r="J2927" s="1" t="s">
        <v>13880</v>
      </c>
      <c r="K2927" s="1" t="s">
        <v>13881</v>
      </c>
      <c r="L2927" s="1">
        <v>308.0</v>
      </c>
      <c r="M2927" s="1" t="s">
        <v>35</v>
      </c>
      <c r="N2927" s="1" t="s">
        <v>36</v>
      </c>
      <c r="O2927" s="1" t="s">
        <v>37</v>
      </c>
      <c r="P2927" s="1">
        <v>2.2E7</v>
      </c>
      <c r="Q2927" s="1">
        <v>2001.0</v>
      </c>
      <c r="R2927" s="1">
        <v>736.0</v>
      </c>
      <c r="S2927" s="1">
        <v>218.0</v>
      </c>
      <c r="T2927" s="1">
        <v>202.0</v>
      </c>
      <c r="U2927" s="1">
        <v>1854.0</v>
      </c>
      <c r="V2927" s="1">
        <v>170.0</v>
      </c>
      <c r="W2927" s="1">
        <v>0.0</v>
      </c>
      <c r="X2927" s="1">
        <v>1.0</v>
      </c>
      <c r="Y2927" s="1">
        <v>2.35</v>
      </c>
      <c r="Z2927" s="1">
        <v>2.1</v>
      </c>
    </row>
    <row r="2928" ht="14.25" customHeight="1">
      <c r="A2928" s="1" t="s">
        <v>26</v>
      </c>
      <c r="B2928" s="1" t="s">
        <v>12796</v>
      </c>
      <c r="C2928" s="1" t="s">
        <v>13882</v>
      </c>
      <c r="D2928" s="1">
        <v>4440055.0</v>
      </c>
      <c r="E2928" s="1" t="s">
        <v>5942</v>
      </c>
      <c r="F2928" s="1" t="s">
        <v>1346</v>
      </c>
      <c r="G2928" s="1" t="s">
        <v>10685</v>
      </c>
      <c r="H2928" s="1" t="s">
        <v>13883</v>
      </c>
      <c r="I2928" s="1">
        <v>21360.0</v>
      </c>
      <c r="J2928" s="1" t="s">
        <v>13884</v>
      </c>
      <c r="K2928" s="1" t="s">
        <v>13885</v>
      </c>
      <c r="L2928" s="1">
        <v>110.0</v>
      </c>
      <c r="M2928" s="1" t="s">
        <v>35</v>
      </c>
      <c r="N2928" s="1" t="s">
        <v>54</v>
      </c>
      <c r="O2928" s="1" t="s">
        <v>87</v>
      </c>
      <c r="P2928" s="1">
        <v>8500000.0</v>
      </c>
      <c r="Q2928" s="1">
        <v>2009.0</v>
      </c>
      <c r="R2928" s="1">
        <v>2000.0</v>
      </c>
      <c r="S2928" s="1">
        <v>552.0</v>
      </c>
      <c r="T2928" s="1">
        <v>179.0</v>
      </c>
      <c r="U2928" s="1">
        <v>3279.0</v>
      </c>
      <c r="V2928" s="1">
        <v>319.0</v>
      </c>
      <c r="W2928" s="1">
        <v>0.0</v>
      </c>
      <c r="X2928" s="1">
        <v>0.0</v>
      </c>
      <c r="Y2928" s="1">
        <v>1.85</v>
      </c>
      <c r="Z2928" s="1">
        <v>7.0</v>
      </c>
    </row>
    <row r="2929" ht="14.25" customHeight="1">
      <c r="A2929" s="1" t="s">
        <v>26</v>
      </c>
      <c r="B2929" s="1" t="s">
        <v>13085</v>
      </c>
      <c r="C2929" s="1" t="s">
        <v>13886</v>
      </c>
      <c r="D2929" s="1">
        <v>4018695.0</v>
      </c>
      <c r="E2929" s="1" t="s">
        <v>1744</v>
      </c>
      <c r="F2929" s="1" t="s">
        <v>13087</v>
      </c>
      <c r="G2929" s="1" t="s">
        <v>13887</v>
      </c>
      <c r="H2929" s="1" t="s">
        <v>13888</v>
      </c>
      <c r="I2929" s="1">
        <v>69759.0</v>
      </c>
      <c r="J2929" s="1" t="s">
        <v>13889</v>
      </c>
      <c r="K2929" s="1" t="s">
        <v>13890</v>
      </c>
      <c r="L2929" s="1">
        <v>235.0</v>
      </c>
      <c r="M2929" s="1" t="s">
        <v>13092</v>
      </c>
      <c r="N2929" s="1" t="s">
        <v>13093</v>
      </c>
      <c r="O2929" s="1" t="s">
        <v>37</v>
      </c>
      <c r="P2929" s="1">
        <v>1.2E7</v>
      </c>
      <c r="Q2929" s="1">
        <v>2010.0</v>
      </c>
      <c r="R2929" s="1">
        <v>8000.0</v>
      </c>
      <c r="S2929" s="1">
        <v>327.0</v>
      </c>
      <c r="T2929" s="1">
        <v>81.0</v>
      </c>
      <c r="U2929" s="1">
        <v>8532.0</v>
      </c>
      <c r="V2929" s="1">
        <v>160.0</v>
      </c>
      <c r="W2929" s="1">
        <v>27000.0</v>
      </c>
      <c r="X2929" s="1">
        <v>2.0</v>
      </c>
      <c r="Y2929" s="1">
        <v>2.35</v>
      </c>
      <c r="Z2929" s="1">
        <v>8.0</v>
      </c>
    </row>
    <row r="2930" ht="14.25" customHeight="1">
      <c r="A2930" s="1" t="s">
        <v>26</v>
      </c>
      <c r="B2930" s="1" t="s">
        <v>9287</v>
      </c>
      <c r="C2930" s="1" t="s">
        <v>9288</v>
      </c>
      <c r="D2930" s="1">
        <v>8.0E7</v>
      </c>
      <c r="E2930" s="1" t="s">
        <v>7326</v>
      </c>
      <c r="F2930" s="1" t="s">
        <v>3984</v>
      </c>
      <c r="G2930" s="1" t="s">
        <v>4282</v>
      </c>
      <c r="H2930" s="1" t="s">
        <v>9289</v>
      </c>
      <c r="I2930" s="1">
        <v>51459.0</v>
      </c>
      <c r="J2930" s="1" t="s">
        <v>9290</v>
      </c>
      <c r="K2930" s="1" t="s">
        <v>9291</v>
      </c>
      <c r="L2930" s="1">
        <v>113.0</v>
      </c>
      <c r="M2930" s="1" t="s">
        <v>35</v>
      </c>
      <c r="N2930" s="1" t="s">
        <v>36</v>
      </c>
      <c r="O2930" s="1" t="s">
        <v>87</v>
      </c>
      <c r="P2930" s="1">
        <v>8200000.0</v>
      </c>
      <c r="Q2930" s="1">
        <v>1984.0</v>
      </c>
      <c r="R2930" s="1">
        <v>967.0</v>
      </c>
      <c r="S2930" s="1">
        <v>455.0</v>
      </c>
      <c r="T2930" s="1">
        <v>304.0</v>
      </c>
      <c r="U2930" s="1">
        <v>1962.0</v>
      </c>
      <c r="V2930" s="1">
        <v>71.0</v>
      </c>
      <c r="W2930" s="1">
        <v>0.0</v>
      </c>
      <c r="X2930" s="1">
        <v>0.0</v>
      </c>
      <c r="Y2930" s="1">
        <v>1.85</v>
      </c>
      <c r="Z2930" s="1">
        <v>6.5</v>
      </c>
    </row>
    <row r="2931" ht="14.25" customHeight="1">
      <c r="A2931" s="1" t="s">
        <v>26</v>
      </c>
      <c r="B2931" s="1" t="s">
        <v>13891</v>
      </c>
      <c r="C2931" s="1" t="s">
        <v>13892</v>
      </c>
      <c r="D2931" s="1">
        <v>1997807.0</v>
      </c>
      <c r="E2931" s="1" t="s">
        <v>1744</v>
      </c>
      <c r="F2931" s="1" t="s">
        <v>1291</v>
      </c>
      <c r="G2931" s="1" t="s">
        <v>13893</v>
      </c>
      <c r="H2931" s="1" t="s">
        <v>13894</v>
      </c>
      <c r="I2931" s="1">
        <v>5158.0</v>
      </c>
      <c r="J2931" s="1" t="s">
        <v>13895</v>
      </c>
      <c r="K2931" s="1" t="s">
        <v>13896</v>
      </c>
      <c r="L2931" s="1">
        <v>140.0</v>
      </c>
      <c r="M2931" s="1" t="s">
        <v>35</v>
      </c>
      <c r="N2931" s="1" t="s">
        <v>36</v>
      </c>
      <c r="O2931" s="1" t="s">
        <v>628</v>
      </c>
      <c r="P2931" s="1">
        <v>8000000.0</v>
      </c>
      <c r="Q2931" s="1">
        <v>1999.0</v>
      </c>
      <c r="R2931" s="1">
        <v>638.0</v>
      </c>
      <c r="S2931" s="1">
        <v>107.0</v>
      </c>
      <c r="T2931" s="1">
        <v>39.0</v>
      </c>
      <c r="U2931" s="1">
        <v>823.0</v>
      </c>
      <c r="V2931" s="1">
        <v>407.0</v>
      </c>
      <c r="W2931" s="1">
        <v>196.0</v>
      </c>
      <c r="X2931" s="1">
        <v>0.0</v>
      </c>
      <c r="Y2931" s="1">
        <v>1.85</v>
      </c>
      <c r="Z2931" s="1">
        <v>7.1</v>
      </c>
    </row>
    <row r="2932" ht="14.25" customHeight="1">
      <c r="A2932" s="1" t="s">
        <v>26</v>
      </c>
      <c r="B2932" s="1" t="s">
        <v>5847</v>
      </c>
      <c r="C2932" s="1" t="s">
        <v>5848</v>
      </c>
      <c r="D2932" s="1">
        <v>9.08E7</v>
      </c>
      <c r="E2932" s="1" t="s">
        <v>5849</v>
      </c>
      <c r="F2932" s="1" t="s">
        <v>5646</v>
      </c>
      <c r="G2932" s="1" t="s">
        <v>5850</v>
      </c>
      <c r="H2932" s="1" t="s">
        <v>5851</v>
      </c>
      <c r="I2932" s="1">
        <v>126916.0</v>
      </c>
      <c r="J2932" s="1" t="s">
        <v>5852</v>
      </c>
      <c r="K2932" s="1" t="s">
        <v>5853</v>
      </c>
      <c r="L2932" s="1">
        <v>235.0</v>
      </c>
      <c r="M2932" s="1" t="s">
        <v>35</v>
      </c>
      <c r="N2932" s="1" t="s">
        <v>36</v>
      </c>
      <c r="O2932" s="1" t="s">
        <v>87</v>
      </c>
      <c r="P2932" s="1">
        <v>8000000.0</v>
      </c>
      <c r="Q2932" s="1">
        <v>1984.0</v>
      </c>
      <c r="R2932" s="1">
        <v>668.0</v>
      </c>
      <c r="S2932" s="1">
        <v>641.0</v>
      </c>
      <c r="T2932" s="1">
        <v>225.0</v>
      </c>
      <c r="U2932" s="1">
        <v>2004.0</v>
      </c>
      <c r="V2932" s="1">
        <v>80.0</v>
      </c>
      <c r="W2932" s="1">
        <v>0.0</v>
      </c>
      <c r="X2932" s="1">
        <v>0.0</v>
      </c>
      <c r="Y2932" s="1">
        <v>1.85</v>
      </c>
      <c r="Z2932" s="1">
        <v>7.2</v>
      </c>
    </row>
    <row r="2933" ht="14.25" customHeight="1">
      <c r="A2933" s="1" t="s">
        <v>26</v>
      </c>
      <c r="B2933" s="1" t="s">
        <v>13132</v>
      </c>
      <c r="C2933" s="1" t="s">
        <v>13897</v>
      </c>
      <c r="D2933" s="1">
        <v>140244.0</v>
      </c>
      <c r="E2933" s="1" t="s">
        <v>13898</v>
      </c>
      <c r="F2933" s="1" t="s">
        <v>5540</v>
      </c>
      <c r="G2933" s="1" t="s">
        <v>7011</v>
      </c>
      <c r="H2933" s="1" t="s">
        <v>7184</v>
      </c>
      <c r="I2933" s="1">
        <v>20419.0</v>
      </c>
      <c r="J2933" s="1" t="s">
        <v>13899</v>
      </c>
      <c r="K2933" s="1" t="s">
        <v>13900</v>
      </c>
      <c r="L2933" s="1">
        <v>259.0</v>
      </c>
      <c r="M2933" s="1" t="s">
        <v>35</v>
      </c>
      <c r="N2933" s="1" t="s">
        <v>36</v>
      </c>
      <c r="O2933" s="1" t="s">
        <v>628</v>
      </c>
      <c r="P2933" s="1">
        <v>8500000.0</v>
      </c>
      <c r="Q2933" s="1">
        <v>2008.0</v>
      </c>
      <c r="R2933" s="1">
        <v>2000.0</v>
      </c>
      <c r="S2933" s="1">
        <v>716.0</v>
      </c>
      <c r="T2933" s="1">
        <v>636.0</v>
      </c>
      <c r="U2933" s="1">
        <v>4168.0</v>
      </c>
      <c r="V2933" s="1">
        <v>163.0</v>
      </c>
      <c r="W2933" s="1">
        <v>8000.0</v>
      </c>
      <c r="X2933" s="1">
        <v>1.0</v>
      </c>
      <c r="Y2933" s="1">
        <v>1.85</v>
      </c>
      <c r="Z2933" s="1">
        <v>6.7</v>
      </c>
    </row>
    <row r="2934" ht="14.25" customHeight="1">
      <c r="A2934" s="1" t="s">
        <v>26</v>
      </c>
      <c r="B2934" s="1" t="s">
        <v>1681</v>
      </c>
      <c r="C2934" s="1" t="s">
        <v>13901</v>
      </c>
      <c r="D2934" s="1">
        <v>1.0793E8</v>
      </c>
      <c r="E2934" s="1" t="s">
        <v>1854</v>
      </c>
      <c r="F2934" s="1" t="s">
        <v>941</v>
      </c>
      <c r="G2934" s="1" t="s">
        <v>5424</v>
      </c>
      <c r="H2934" s="1" t="s">
        <v>8079</v>
      </c>
      <c r="I2934" s="1">
        <v>1324680.0</v>
      </c>
      <c r="J2934" s="1" t="s">
        <v>13902</v>
      </c>
      <c r="K2934" s="1" t="s">
        <v>13903</v>
      </c>
      <c r="L2934" s="1">
        <v>2195.0</v>
      </c>
      <c r="M2934" s="1" t="s">
        <v>35</v>
      </c>
      <c r="N2934" s="1" t="s">
        <v>36</v>
      </c>
      <c r="O2934" s="1" t="s">
        <v>628</v>
      </c>
      <c r="P2934" s="1">
        <v>8000000.0</v>
      </c>
      <c r="Q2934" s="1">
        <v>1994.0</v>
      </c>
      <c r="R2934" s="1">
        <v>13000.0</v>
      </c>
      <c r="S2934" s="1">
        <v>902.0</v>
      </c>
      <c r="T2934" s="1">
        <v>857.0</v>
      </c>
      <c r="U2934" s="1">
        <v>16557.0</v>
      </c>
      <c r="V2934" s="1">
        <v>16000.0</v>
      </c>
      <c r="W2934" s="1">
        <v>45000.0</v>
      </c>
      <c r="X2934" s="1">
        <v>1.0</v>
      </c>
      <c r="Y2934" s="1">
        <v>2.35</v>
      </c>
      <c r="Z2934" s="1">
        <v>8.9</v>
      </c>
    </row>
    <row r="2935" ht="14.25" customHeight="1">
      <c r="A2935" s="1" t="s">
        <v>26</v>
      </c>
      <c r="B2935" s="1" t="s">
        <v>13904</v>
      </c>
      <c r="C2935" s="1" t="s">
        <v>13905</v>
      </c>
      <c r="D2935" s="1">
        <v>3.2279955E7</v>
      </c>
      <c r="E2935" s="1" t="s">
        <v>2045</v>
      </c>
      <c r="F2935" s="1" t="s">
        <v>365</v>
      </c>
      <c r="G2935" s="1" t="s">
        <v>9529</v>
      </c>
      <c r="H2935" s="1" t="s">
        <v>13906</v>
      </c>
      <c r="I2935" s="1">
        <v>293304.0</v>
      </c>
      <c r="J2935" s="1" t="s">
        <v>13907</v>
      </c>
      <c r="K2935" s="1" t="s">
        <v>13908</v>
      </c>
      <c r="L2935" s="1">
        <v>552.0</v>
      </c>
      <c r="M2935" s="1" t="s">
        <v>35</v>
      </c>
      <c r="N2935" s="1" t="s">
        <v>36</v>
      </c>
      <c r="O2935" s="1" t="s">
        <v>628</v>
      </c>
      <c r="P2935" s="1">
        <v>8500000.0</v>
      </c>
      <c r="Q2935" s="1">
        <v>2014.0</v>
      </c>
      <c r="R2935" s="1">
        <v>15000.0</v>
      </c>
      <c r="S2935" s="1">
        <v>241.0</v>
      </c>
      <c r="T2935" s="1">
        <v>85.0</v>
      </c>
      <c r="U2935" s="1">
        <v>15554.0</v>
      </c>
      <c r="V2935" s="1">
        <v>66.0</v>
      </c>
      <c r="W2935" s="1">
        <v>65000.0</v>
      </c>
      <c r="X2935" s="1">
        <v>1.0</v>
      </c>
      <c r="Y2935" s="1">
        <v>2.35</v>
      </c>
      <c r="Z2935" s="1">
        <v>7.9</v>
      </c>
    </row>
    <row r="2936" ht="14.25" customHeight="1">
      <c r="A2936" s="1" t="s">
        <v>26</v>
      </c>
      <c r="B2936" s="1" t="s">
        <v>4669</v>
      </c>
      <c r="C2936" s="1" t="s">
        <v>13909</v>
      </c>
      <c r="D2936" s="1">
        <v>4992159.0</v>
      </c>
      <c r="E2936" s="1" t="s">
        <v>11578</v>
      </c>
      <c r="F2936" s="1" t="s">
        <v>3682</v>
      </c>
      <c r="G2936" s="1" t="s">
        <v>13910</v>
      </c>
      <c r="H2936" s="1" t="s">
        <v>4669</v>
      </c>
      <c r="I2936" s="1">
        <v>23823.0</v>
      </c>
      <c r="J2936" s="1" t="s">
        <v>13911</v>
      </c>
      <c r="K2936" s="1" t="s">
        <v>13912</v>
      </c>
      <c r="L2936" s="1">
        <v>201.0</v>
      </c>
      <c r="M2936" s="1" t="s">
        <v>35</v>
      </c>
      <c r="N2936" s="1" t="s">
        <v>36</v>
      </c>
      <c r="O2936" s="1" t="s">
        <v>628</v>
      </c>
      <c r="P2936" s="1">
        <v>8550000.0</v>
      </c>
      <c r="Q2936" s="1">
        <v>2004.0</v>
      </c>
      <c r="R2936" s="1">
        <v>861.0</v>
      </c>
      <c r="S2936" s="1">
        <v>499.0</v>
      </c>
      <c r="T2936" s="1">
        <v>422.0</v>
      </c>
      <c r="U2936" s="1">
        <v>3306.0</v>
      </c>
      <c r="V2936" s="1">
        <v>422.0</v>
      </c>
      <c r="W2936" s="1">
        <v>713.0</v>
      </c>
      <c r="X2936" s="1">
        <v>2.0</v>
      </c>
      <c r="Y2936" s="1">
        <v>2.35</v>
      </c>
      <c r="Z2936" s="1">
        <v>5.6</v>
      </c>
    </row>
    <row r="2937" ht="14.25" customHeight="1">
      <c r="A2937" s="1" t="s">
        <v>26</v>
      </c>
      <c r="B2937" s="1" t="s">
        <v>6833</v>
      </c>
      <c r="C2937" s="1" t="s">
        <v>13913</v>
      </c>
      <c r="D2937" s="1">
        <v>1.63214286E8</v>
      </c>
      <c r="E2937" s="1" t="s">
        <v>13914</v>
      </c>
      <c r="F2937" s="1" t="s">
        <v>13915</v>
      </c>
      <c r="G2937" s="1" t="s">
        <v>13916</v>
      </c>
      <c r="H2937" s="1" t="s">
        <v>13917</v>
      </c>
      <c r="I2937" s="1">
        <v>148172.0</v>
      </c>
      <c r="J2937" s="1" t="s">
        <v>13918</v>
      </c>
      <c r="K2937" s="1" t="s">
        <v>13919</v>
      </c>
      <c r="L2937" s="1">
        <v>406.0</v>
      </c>
      <c r="M2937" s="1" t="s">
        <v>35</v>
      </c>
      <c r="N2937" s="1" t="s">
        <v>36</v>
      </c>
      <c r="O2937" s="1" t="s">
        <v>269</v>
      </c>
      <c r="P2937" s="1">
        <v>8200000.0</v>
      </c>
      <c r="Q2937" s="1">
        <v>1965.0</v>
      </c>
      <c r="R2937" s="1">
        <v>354.0</v>
      </c>
      <c r="S2937" s="1">
        <v>209.0</v>
      </c>
      <c r="T2937" s="1">
        <v>195.0</v>
      </c>
      <c r="U2937" s="1">
        <v>1495.0</v>
      </c>
      <c r="V2937" s="1">
        <v>338.0</v>
      </c>
      <c r="W2937" s="1">
        <v>15000.0</v>
      </c>
      <c r="X2937" s="1">
        <v>3.0</v>
      </c>
      <c r="Y2937" s="1">
        <v>2.35</v>
      </c>
      <c r="Z2937" s="1">
        <v>8.0</v>
      </c>
    </row>
    <row r="2938" ht="14.25" customHeight="1">
      <c r="A2938" s="1" t="s">
        <v>26</v>
      </c>
      <c r="B2938" s="1" t="s">
        <v>813</v>
      </c>
      <c r="C2938" s="1" t="s">
        <v>13920</v>
      </c>
      <c r="D2938" s="1">
        <v>6.98E7</v>
      </c>
      <c r="E2938" s="1" t="s">
        <v>3439</v>
      </c>
      <c r="F2938" s="1" t="s">
        <v>314</v>
      </c>
      <c r="G2938" s="1" t="s">
        <v>13921</v>
      </c>
      <c r="H2938" s="1" t="s">
        <v>13922</v>
      </c>
      <c r="I2938" s="1">
        <v>54723.0</v>
      </c>
      <c r="J2938" s="1" t="s">
        <v>13923</v>
      </c>
      <c r="K2938" s="1" t="s">
        <v>13924</v>
      </c>
      <c r="L2938" s="1">
        <v>99.0</v>
      </c>
      <c r="M2938" s="1" t="s">
        <v>35</v>
      </c>
      <c r="N2938" s="1" t="s">
        <v>36</v>
      </c>
      <c r="O2938" s="1" t="s">
        <v>87</v>
      </c>
      <c r="P2938" s="1">
        <v>8000000.0</v>
      </c>
      <c r="Q2938" s="1">
        <v>1984.0</v>
      </c>
      <c r="R2938" s="1">
        <v>15000.0</v>
      </c>
      <c r="S2938" s="1">
        <v>161.0</v>
      </c>
      <c r="T2938" s="1">
        <v>51.0</v>
      </c>
      <c r="U2938" s="1">
        <v>15361.0</v>
      </c>
      <c r="V2938" s="1">
        <v>2000.0</v>
      </c>
      <c r="W2938" s="1">
        <v>0.0</v>
      </c>
      <c r="X2938" s="1">
        <v>2.0</v>
      </c>
      <c r="Y2938" s="1">
        <v>1.85</v>
      </c>
      <c r="Z2938" s="1">
        <v>6.2</v>
      </c>
    </row>
    <row r="2939" ht="14.25" customHeight="1">
      <c r="A2939" s="1" t="s">
        <v>26</v>
      </c>
      <c r="B2939" s="1" t="s">
        <v>13925</v>
      </c>
      <c r="C2939" s="1" t="s">
        <v>13926</v>
      </c>
      <c r="D2939" s="1">
        <v>5.9889948E7</v>
      </c>
      <c r="E2939" s="1" t="s">
        <v>2422</v>
      </c>
      <c r="F2939" s="1" t="s">
        <v>503</v>
      </c>
      <c r="G2939" s="1" t="s">
        <v>13927</v>
      </c>
      <c r="H2939" s="1" t="s">
        <v>13928</v>
      </c>
      <c r="I2939" s="1">
        <v>355810.0</v>
      </c>
      <c r="J2939" s="1" t="s">
        <v>13929</v>
      </c>
      <c r="K2939" s="1" t="s">
        <v>13930</v>
      </c>
      <c r="L2939" s="1">
        <v>889.0</v>
      </c>
      <c r="M2939" s="1" t="s">
        <v>35</v>
      </c>
      <c r="N2939" s="1" t="s">
        <v>36</v>
      </c>
      <c r="O2939" s="1" t="s">
        <v>628</v>
      </c>
      <c r="P2939" s="1">
        <v>8000000.0</v>
      </c>
      <c r="Q2939" s="1">
        <v>2006.0</v>
      </c>
      <c r="R2939" s="1">
        <v>7000.0</v>
      </c>
      <c r="S2939" s="1">
        <v>150.0</v>
      </c>
      <c r="T2939" s="1">
        <v>27.0</v>
      </c>
      <c r="U2939" s="1">
        <v>7227.0</v>
      </c>
      <c r="V2939" s="1">
        <v>36.0</v>
      </c>
      <c r="W2939" s="1">
        <v>15000.0</v>
      </c>
      <c r="X2939" s="1">
        <v>1.0</v>
      </c>
      <c r="Y2939" s="1">
        <v>2.35</v>
      </c>
      <c r="Z2939" s="1">
        <v>7.9</v>
      </c>
    </row>
    <row r="2940" ht="14.25" customHeight="1">
      <c r="A2940" s="1" t="s">
        <v>26</v>
      </c>
      <c r="B2940" s="1" t="s">
        <v>3691</v>
      </c>
      <c r="C2940" s="1" t="s">
        <v>13931</v>
      </c>
      <c r="D2940" s="1">
        <v>5.2287414E7</v>
      </c>
      <c r="E2940" s="1" t="s">
        <v>6613</v>
      </c>
      <c r="F2940" s="1" t="s">
        <v>1252</v>
      </c>
      <c r="G2940" s="1" t="s">
        <v>13932</v>
      </c>
      <c r="H2940" s="1" t="s">
        <v>13893</v>
      </c>
      <c r="I2940" s="1">
        <v>271794.0</v>
      </c>
      <c r="J2940" s="1" t="s">
        <v>13933</v>
      </c>
      <c r="K2940" s="1" t="s">
        <v>13934</v>
      </c>
      <c r="L2940" s="1">
        <v>584.0</v>
      </c>
      <c r="M2940" s="1" t="s">
        <v>35</v>
      </c>
      <c r="N2940" s="1" t="s">
        <v>36</v>
      </c>
      <c r="O2940" s="1" t="s">
        <v>628</v>
      </c>
      <c r="P2940" s="1">
        <v>8000000.0</v>
      </c>
      <c r="Q2940" s="1">
        <v>1986.0</v>
      </c>
      <c r="R2940" s="1">
        <v>217.0</v>
      </c>
      <c r="S2940" s="1">
        <v>107.0</v>
      </c>
      <c r="T2940" s="1">
        <v>107.0</v>
      </c>
      <c r="U2940" s="1">
        <v>644.0</v>
      </c>
      <c r="V2940" s="1">
        <v>0.0</v>
      </c>
      <c r="W2940" s="1">
        <v>24000.0</v>
      </c>
      <c r="X2940" s="1">
        <v>2.0</v>
      </c>
      <c r="Y2940" s="1">
        <v>1.85</v>
      </c>
      <c r="Z2940" s="1">
        <v>8.1</v>
      </c>
    </row>
    <row r="2941" ht="14.25" customHeight="1">
      <c r="A2941" s="1" t="s">
        <v>26</v>
      </c>
      <c r="B2941" s="1" t="s">
        <v>5001</v>
      </c>
      <c r="C2941" s="1" t="s">
        <v>13935</v>
      </c>
      <c r="D2941" s="1">
        <v>4.5063889E7</v>
      </c>
      <c r="E2941" s="1" t="s">
        <v>3448</v>
      </c>
      <c r="F2941" s="1" t="s">
        <v>13936</v>
      </c>
      <c r="G2941" s="1" t="s">
        <v>13937</v>
      </c>
      <c r="H2941" s="1" t="s">
        <v>13938</v>
      </c>
      <c r="I2941" s="1">
        <v>297250.0</v>
      </c>
      <c r="J2941" s="1" t="s">
        <v>13939</v>
      </c>
      <c r="K2941" s="1" t="s">
        <v>13940</v>
      </c>
      <c r="L2941" s="1">
        <v>1441.0</v>
      </c>
      <c r="M2941" s="1" t="s">
        <v>35</v>
      </c>
      <c r="N2941" s="1" t="s">
        <v>54</v>
      </c>
      <c r="O2941" s="1" t="s">
        <v>628</v>
      </c>
      <c r="P2941" s="1">
        <v>8000000.0</v>
      </c>
      <c r="Q2941" s="1">
        <v>2002.0</v>
      </c>
      <c r="R2941" s="1">
        <v>133.0</v>
      </c>
      <c r="S2941" s="1">
        <v>32.0</v>
      </c>
      <c r="T2941" s="1">
        <v>27.0</v>
      </c>
      <c r="U2941" s="1">
        <v>241.0</v>
      </c>
      <c r="V2941" s="1">
        <v>0.0</v>
      </c>
      <c r="W2941" s="1">
        <v>11000.0</v>
      </c>
      <c r="X2941" s="1">
        <v>0.0</v>
      </c>
      <c r="Y2941" s="1">
        <v>1.85</v>
      </c>
      <c r="Z2941" s="1">
        <v>7.6</v>
      </c>
    </row>
    <row r="2942" ht="14.25" customHeight="1">
      <c r="A2942" s="1" t="s">
        <v>26</v>
      </c>
      <c r="B2942" s="1" t="s">
        <v>13941</v>
      </c>
      <c r="C2942" s="1" t="s">
        <v>13942</v>
      </c>
      <c r="D2942" s="1">
        <v>4.0066497E7</v>
      </c>
      <c r="E2942" s="1" t="s">
        <v>5819</v>
      </c>
      <c r="F2942" s="1" t="s">
        <v>13943</v>
      </c>
      <c r="G2942" s="1" t="s">
        <v>13944</v>
      </c>
      <c r="H2942" s="1" t="s">
        <v>13945</v>
      </c>
      <c r="I2942" s="1">
        <v>23671.0</v>
      </c>
      <c r="J2942" s="1" t="s">
        <v>13946</v>
      </c>
      <c r="K2942" s="1" t="s">
        <v>13947</v>
      </c>
      <c r="L2942" s="1">
        <v>247.0</v>
      </c>
      <c r="M2942" s="1" t="s">
        <v>35</v>
      </c>
      <c r="N2942" s="1" t="s">
        <v>36</v>
      </c>
      <c r="O2942" s="1" t="s">
        <v>37</v>
      </c>
      <c r="P2942" s="1">
        <v>8000000.0</v>
      </c>
      <c r="Q2942" s="1">
        <v>2004.0</v>
      </c>
      <c r="R2942" s="1">
        <v>389.0</v>
      </c>
      <c r="S2942" s="1">
        <v>363.0</v>
      </c>
      <c r="T2942" s="1">
        <v>360.0</v>
      </c>
      <c r="U2942" s="1">
        <v>1792.0</v>
      </c>
      <c r="V2942" s="1">
        <v>548.0</v>
      </c>
      <c r="W2942" s="1">
        <v>0.0</v>
      </c>
      <c r="X2942" s="1">
        <v>0.0</v>
      </c>
      <c r="Y2942" s="1">
        <v>1.85</v>
      </c>
      <c r="Z2942" s="1">
        <v>3.5</v>
      </c>
    </row>
    <row r="2943" ht="14.25" customHeight="1">
      <c r="A2943" s="1" t="s">
        <v>26</v>
      </c>
      <c r="B2943" s="1" t="s">
        <v>13948</v>
      </c>
      <c r="C2943" s="1" t="s">
        <v>13949</v>
      </c>
      <c r="D2943" s="1">
        <v>3.65E7</v>
      </c>
      <c r="E2943" s="1" t="s">
        <v>1643</v>
      </c>
      <c r="F2943" s="1" t="s">
        <v>3503</v>
      </c>
      <c r="G2943" s="1" t="s">
        <v>3077</v>
      </c>
      <c r="H2943" s="1" t="s">
        <v>3779</v>
      </c>
      <c r="I2943" s="1">
        <v>87090.0</v>
      </c>
      <c r="J2943" s="1" t="s">
        <v>13950</v>
      </c>
      <c r="K2943" s="1" t="s">
        <v>13951</v>
      </c>
      <c r="L2943" s="1">
        <v>142.0</v>
      </c>
      <c r="M2943" s="1" t="s">
        <v>35</v>
      </c>
      <c r="N2943" s="1" t="s">
        <v>36</v>
      </c>
      <c r="O2943" s="1" t="s">
        <v>87</v>
      </c>
      <c r="P2943" s="1">
        <v>8000000.0</v>
      </c>
      <c r="Q2943" s="1">
        <v>1979.0</v>
      </c>
      <c r="R2943" s="1">
        <v>16000.0</v>
      </c>
      <c r="S2943" s="1">
        <v>466.0</v>
      </c>
      <c r="T2943" s="1">
        <v>459.0</v>
      </c>
      <c r="U2943" s="1">
        <v>17568.0</v>
      </c>
      <c r="V2943" s="1">
        <v>152.0</v>
      </c>
      <c r="W2943" s="1">
        <v>0.0</v>
      </c>
      <c r="X2943" s="1">
        <v>0.0</v>
      </c>
      <c r="Y2943" s="1">
        <v>1.85</v>
      </c>
      <c r="Z2943" s="1">
        <v>7.6</v>
      </c>
    </row>
    <row r="2944" ht="14.25" customHeight="1">
      <c r="A2944" s="1" t="s">
        <v>26</v>
      </c>
      <c r="B2944" s="1" t="s">
        <v>12073</v>
      </c>
      <c r="C2944" s="1" t="s">
        <v>13952</v>
      </c>
      <c r="D2944" s="1">
        <v>2.7362712E7</v>
      </c>
      <c r="E2944" s="1" t="s">
        <v>5429</v>
      </c>
      <c r="F2944" s="1" t="s">
        <v>2672</v>
      </c>
      <c r="G2944" s="1" t="s">
        <v>2147</v>
      </c>
      <c r="H2944" s="1" t="s">
        <v>7134</v>
      </c>
      <c r="I2944" s="1">
        <v>5971.0</v>
      </c>
      <c r="J2944" s="1" t="s">
        <v>13953</v>
      </c>
      <c r="K2944" s="1" t="s">
        <v>13954</v>
      </c>
      <c r="L2944" s="1">
        <v>60.0</v>
      </c>
      <c r="M2944" s="1" t="s">
        <v>35</v>
      </c>
      <c r="N2944" s="1" t="s">
        <v>36</v>
      </c>
      <c r="O2944" s="1" t="s">
        <v>37</v>
      </c>
      <c r="P2944" s="1">
        <v>8000000.0</v>
      </c>
      <c r="Q2944" s="1">
        <v>2002.0</v>
      </c>
      <c r="R2944" s="1">
        <v>1000.0</v>
      </c>
      <c r="S2944" s="1">
        <v>886.0</v>
      </c>
      <c r="T2944" s="1">
        <v>458.0</v>
      </c>
      <c r="U2944" s="1">
        <v>3199.0</v>
      </c>
      <c r="V2944" s="1">
        <v>44.0</v>
      </c>
      <c r="W2944" s="1">
        <v>0.0</v>
      </c>
      <c r="X2944" s="1">
        <v>1.0</v>
      </c>
      <c r="Y2944" s="1">
        <v>1.85</v>
      </c>
      <c r="Z2944" s="1">
        <v>6.5</v>
      </c>
    </row>
    <row r="2945" ht="14.25" customHeight="1">
      <c r="A2945" s="1" t="s">
        <v>26</v>
      </c>
      <c r="B2945" s="1" t="s">
        <v>13955</v>
      </c>
      <c r="C2945" s="1" t="s">
        <v>13956</v>
      </c>
      <c r="D2945" s="1">
        <v>3.4746109E7</v>
      </c>
      <c r="E2945" s="1" t="s">
        <v>13957</v>
      </c>
      <c r="F2945" s="1" t="s">
        <v>4939</v>
      </c>
      <c r="G2945" s="1" t="s">
        <v>9448</v>
      </c>
      <c r="H2945" s="1" t="s">
        <v>1188</v>
      </c>
      <c r="I2945" s="1">
        <v>3122.0</v>
      </c>
      <c r="J2945" s="1" t="s">
        <v>13958</v>
      </c>
      <c r="K2945" s="1" t="s">
        <v>13959</v>
      </c>
      <c r="L2945" s="1">
        <v>14.0</v>
      </c>
      <c r="M2945" s="1" t="s">
        <v>35</v>
      </c>
      <c r="N2945" s="1" t="s">
        <v>36</v>
      </c>
      <c r="O2945" s="1" t="s">
        <v>628</v>
      </c>
      <c r="P2945" s="1">
        <v>8000000.0</v>
      </c>
      <c r="Q2945" s="1">
        <v>1996.0</v>
      </c>
      <c r="R2945" s="1">
        <v>585.0</v>
      </c>
      <c r="S2945" s="1">
        <v>434.0</v>
      </c>
      <c r="T2945" s="1">
        <v>388.0</v>
      </c>
      <c r="U2945" s="1">
        <v>3023.0</v>
      </c>
      <c r="V2945" s="1">
        <v>0.0</v>
      </c>
      <c r="W2945" s="1">
        <v>559.0</v>
      </c>
      <c r="X2945" s="1">
        <v>2.0</v>
      </c>
      <c r="Y2945" s="1">
        <v>2.35</v>
      </c>
      <c r="Z2945" s="1">
        <v>5.6</v>
      </c>
    </row>
    <row r="2946" ht="14.25" customHeight="1">
      <c r="A2946" s="1" t="s">
        <v>26</v>
      </c>
      <c r="B2946" s="1" t="s">
        <v>7677</v>
      </c>
      <c r="C2946" s="1" t="s">
        <v>13960</v>
      </c>
      <c r="D2946" s="1">
        <v>3.4963967E7</v>
      </c>
      <c r="E2946" s="1" t="s">
        <v>1359</v>
      </c>
      <c r="F2946" s="1" t="s">
        <v>60</v>
      </c>
      <c r="G2946" s="1" t="s">
        <v>2357</v>
      </c>
      <c r="H2946" s="1" t="s">
        <v>227</v>
      </c>
      <c r="I2946" s="1">
        <v>270441.0</v>
      </c>
      <c r="J2946" s="1" t="s">
        <v>13961</v>
      </c>
      <c r="K2946" s="1" t="s">
        <v>13962</v>
      </c>
      <c r="L2946" s="1">
        <v>378.0</v>
      </c>
      <c r="M2946" s="1" t="s">
        <v>35</v>
      </c>
      <c r="N2946" s="1" t="s">
        <v>36</v>
      </c>
      <c r="O2946" s="1" t="s">
        <v>628</v>
      </c>
      <c r="P2946" s="1">
        <v>8000000.0</v>
      </c>
      <c r="Q2946" s="1">
        <v>2011.0</v>
      </c>
      <c r="R2946" s="1">
        <v>23000.0</v>
      </c>
      <c r="S2946" s="1">
        <v>10000.0</v>
      </c>
      <c r="T2946" s="1">
        <v>3000.0</v>
      </c>
      <c r="U2946" s="1">
        <v>39807.0</v>
      </c>
      <c r="V2946" s="1">
        <v>129.0</v>
      </c>
      <c r="W2946" s="1">
        <v>40000.0</v>
      </c>
      <c r="X2946" s="1">
        <v>2.0</v>
      </c>
      <c r="Y2946" s="1">
        <v>1.85</v>
      </c>
      <c r="Z2946" s="1">
        <v>7.7</v>
      </c>
    </row>
    <row r="2947" ht="14.25" customHeight="1">
      <c r="A2947" s="1" t="s">
        <v>26</v>
      </c>
      <c r="B2947" s="1" t="s">
        <v>13963</v>
      </c>
      <c r="C2947" s="1" t="s">
        <v>13964</v>
      </c>
      <c r="D2947" s="1">
        <v>2.5926543E7</v>
      </c>
      <c r="E2947" s="1" t="s">
        <v>2882</v>
      </c>
      <c r="F2947" s="1" t="s">
        <v>13965</v>
      </c>
      <c r="G2947" s="1" t="s">
        <v>13966</v>
      </c>
      <c r="H2947" s="1" t="s">
        <v>13967</v>
      </c>
      <c r="I2947" s="1">
        <v>26609.0</v>
      </c>
      <c r="J2947" s="1" t="s">
        <v>13968</v>
      </c>
      <c r="K2947" s="1" t="s">
        <v>13969</v>
      </c>
      <c r="L2947" s="1">
        <v>148.0</v>
      </c>
      <c r="M2947" s="1" t="s">
        <v>35</v>
      </c>
      <c r="N2947" s="1" t="s">
        <v>36</v>
      </c>
      <c r="O2947" s="1" t="s">
        <v>37</v>
      </c>
      <c r="P2947" s="1">
        <v>8000000.0</v>
      </c>
      <c r="Q2947" s="1">
        <v>2008.0</v>
      </c>
      <c r="R2947" s="1">
        <v>449.0</v>
      </c>
      <c r="S2947" s="1">
        <v>332.0</v>
      </c>
      <c r="T2947" s="1">
        <v>297.0</v>
      </c>
      <c r="U2947" s="1">
        <v>1534.0</v>
      </c>
      <c r="V2947" s="1">
        <v>5.0</v>
      </c>
      <c r="W2947" s="1">
        <v>0.0</v>
      </c>
      <c r="X2947" s="1">
        <v>1.0</v>
      </c>
      <c r="Y2947" s="1">
        <v>1.85</v>
      </c>
      <c r="Z2947" s="1">
        <v>5.2</v>
      </c>
    </row>
    <row r="2948" ht="14.25" customHeight="1">
      <c r="A2948" s="1" t="s">
        <v>26</v>
      </c>
      <c r="B2948" s="1" t="s">
        <v>13970</v>
      </c>
      <c r="C2948" s="1" t="s">
        <v>13971</v>
      </c>
      <c r="D2948" s="1">
        <v>2.6049082E7</v>
      </c>
      <c r="E2948" s="1" t="s">
        <v>1598</v>
      </c>
      <c r="F2948" s="1" t="s">
        <v>13972</v>
      </c>
      <c r="G2948" s="1" t="s">
        <v>13973</v>
      </c>
      <c r="H2948" s="1" t="s">
        <v>13974</v>
      </c>
      <c r="I2948" s="1">
        <v>76791.0</v>
      </c>
      <c r="J2948" s="1" t="s">
        <v>13975</v>
      </c>
      <c r="K2948" s="1" t="s">
        <v>13976</v>
      </c>
      <c r="L2948" s="1">
        <v>100.0</v>
      </c>
      <c r="M2948" s="1" t="s">
        <v>35</v>
      </c>
      <c r="N2948" s="1" t="s">
        <v>36</v>
      </c>
      <c r="O2948" s="1" t="s">
        <v>628</v>
      </c>
      <c r="P2948" s="1">
        <v>8000000.0</v>
      </c>
      <c r="Q2948" s="1">
        <v>2014.0</v>
      </c>
      <c r="R2948" s="1">
        <v>363.0</v>
      </c>
      <c r="S2948" s="1">
        <v>342.0</v>
      </c>
      <c r="T2948" s="1">
        <v>117.0</v>
      </c>
      <c r="U2948" s="1">
        <v>1024.0</v>
      </c>
      <c r="V2948" s="1">
        <v>19.0</v>
      </c>
      <c r="W2948" s="1">
        <v>0.0</v>
      </c>
      <c r="X2948" s="1">
        <v>3.0</v>
      </c>
      <c r="Y2948" s="1">
        <v>2.35</v>
      </c>
      <c r="Z2948" s="1">
        <v>6.1</v>
      </c>
    </row>
    <row r="2949" ht="14.25" customHeight="1">
      <c r="A2949" s="1" t="s">
        <v>26</v>
      </c>
      <c r="B2949" s="1" t="s">
        <v>820</v>
      </c>
      <c r="C2949" s="1" t="s">
        <v>13977</v>
      </c>
      <c r="D2949" s="1">
        <v>2.2551E7</v>
      </c>
      <c r="E2949" s="1" t="s">
        <v>1359</v>
      </c>
      <c r="F2949" s="1" t="s">
        <v>563</v>
      </c>
      <c r="G2949" s="1" t="s">
        <v>1644</v>
      </c>
      <c r="H2949" s="1" t="s">
        <v>727</v>
      </c>
      <c r="I2949" s="1">
        <v>37269.0</v>
      </c>
      <c r="J2949" s="1" t="s">
        <v>13978</v>
      </c>
      <c r="K2949" s="1" t="s">
        <v>13979</v>
      </c>
      <c r="L2949" s="1">
        <v>165.0</v>
      </c>
      <c r="M2949" s="1" t="s">
        <v>35</v>
      </c>
      <c r="N2949" s="1" t="s">
        <v>54</v>
      </c>
      <c r="O2949" s="1" t="s">
        <v>37</v>
      </c>
      <c r="P2949" s="1">
        <v>8000000.0</v>
      </c>
      <c r="Q2949" s="1">
        <v>1993.0</v>
      </c>
      <c r="R2949" s="1">
        <v>18000.0</v>
      </c>
      <c r="S2949" s="1">
        <v>18000.0</v>
      </c>
      <c r="T2949" s="1">
        <v>591.0</v>
      </c>
      <c r="U2949" s="1">
        <v>37645.0</v>
      </c>
      <c r="V2949" s="1">
        <v>0.0</v>
      </c>
      <c r="W2949" s="1">
        <v>0.0</v>
      </c>
      <c r="X2949" s="1">
        <v>0.0</v>
      </c>
      <c r="Y2949" s="1">
        <v>1.85</v>
      </c>
      <c r="Z2949" s="1">
        <v>7.4</v>
      </c>
    </row>
    <row r="2950" ht="14.25" customHeight="1">
      <c r="A2950" s="1" t="s">
        <v>26</v>
      </c>
      <c r="B2950" s="1" t="s">
        <v>13980</v>
      </c>
      <c r="C2950" s="1" t="s">
        <v>13981</v>
      </c>
      <c r="D2950" s="1">
        <v>2.28E7</v>
      </c>
      <c r="E2950" s="1" t="s">
        <v>48</v>
      </c>
      <c r="F2950" s="1" t="s">
        <v>13982</v>
      </c>
      <c r="G2950" s="1" t="s">
        <v>13983</v>
      </c>
      <c r="H2950" s="1" t="s">
        <v>1056</v>
      </c>
      <c r="I2950" s="1">
        <v>59941.0</v>
      </c>
      <c r="J2950" s="1" t="s">
        <v>13984</v>
      </c>
      <c r="K2950" s="1" t="s">
        <v>13985</v>
      </c>
      <c r="L2950" s="1">
        <v>452.0</v>
      </c>
      <c r="M2950" s="1" t="s">
        <v>35</v>
      </c>
      <c r="N2950" s="1" t="s">
        <v>54</v>
      </c>
      <c r="O2950" s="1" t="s">
        <v>13986</v>
      </c>
      <c r="P2950" s="1">
        <v>7000000.0</v>
      </c>
      <c r="Q2950" s="1">
        <v>1969.0</v>
      </c>
      <c r="R2950" s="1">
        <v>803.0</v>
      </c>
      <c r="S2950" s="1">
        <v>314.0</v>
      </c>
      <c r="T2950" s="1">
        <v>244.0</v>
      </c>
      <c r="U2950" s="1">
        <v>1769.0</v>
      </c>
      <c r="V2950" s="1">
        <v>13.0</v>
      </c>
      <c r="W2950" s="1">
        <v>0.0</v>
      </c>
      <c r="X2950" s="1">
        <v>2.0</v>
      </c>
      <c r="Y2950" s="1">
        <v>2.35</v>
      </c>
      <c r="Z2950" s="1">
        <v>6.8</v>
      </c>
    </row>
    <row r="2951" ht="14.25" customHeight="1">
      <c r="A2951" s="1" t="s">
        <v>26</v>
      </c>
      <c r="B2951" s="1" t="s">
        <v>5922</v>
      </c>
      <c r="C2951" s="1" t="s">
        <v>13987</v>
      </c>
      <c r="D2951" s="1">
        <v>1.8090181E7</v>
      </c>
      <c r="E2951" s="1" t="s">
        <v>2546</v>
      </c>
      <c r="F2951" s="1" t="s">
        <v>3462</v>
      </c>
      <c r="G2951" s="1" t="s">
        <v>13988</v>
      </c>
      <c r="H2951" s="1" t="s">
        <v>13989</v>
      </c>
      <c r="I2951" s="1">
        <v>38191.0</v>
      </c>
      <c r="J2951" s="1" t="s">
        <v>13990</v>
      </c>
      <c r="K2951" s="1" t="s">
        <v>13991</v>
      </c>
      <c r="L2951" s="1">
        <v>271.0</v>
      </c>
      <c r="M2951" s="1" t="s">
        <v>35</v>
      </c>
      <c r="N2951" s="1" t="s">
        <v>36</v>
      </c>
      <c r="O2951" s="1" t="s">
        <v>628</v>
      </c>
      <c r="P2951" s="1">
        <v>8000000.0</v>
      </c>
      <c r="Q2951" s="1">
        <v>1994.0</v>
      </c>
      <c r="R2951" s="1">
        <v>969.0</v>
      </c>
      <c r="S2951" s="1">
        <v>449.0</v>
      </c>
      <c r="T2951" s="1">
        <v>112.0</v>
      </c>
      <c r="U2951" s="1">
        <v>1775.0</v>
      </c>
      <c r="V2951" s="1">
        <v>0.0</v>
      </c>
      <c r="W2951" s="1">
        <v>0.0</v>
      </c>
      <c r="X2951" s="1">
        <v>0.0</v>
      </c>
      <c r="Y2951" s="1">
        <v>1.85</v>
      </c>
      <c r="Z2951" s="1">
        <v>6.4</v>
      </c>
    </row>
    <row r="2952" ht="14.25" customHeight="1">
      <c r="A2952" s="1" t="s">
        <v>26</v>
      </c>
      <c r="B2952" s="1" t="s">
        <v>5548</v>
      </c>
      <c r="C2952" s="1" t="s">
        <v>13992</v>
      </c>
      <c r="D2952" s="1">
        <v>1.7843379E7</v>
      </c>
      <c r="E2952" s="1" t="s">
        <v>1359</v>
      </c>
      <c r="F2952" s="1" t="s">
        <v>1745</v>
      </c>
      <c r="G2952" s="1" t="s">
        <v>10511</v>
      </c>
      <c r="H2952" s="1" t="s">
        <v>13993</v>
      </c>
      <c r="I2952" s="1">
        <v>14904.0</v>
      </c>
      <c r="J2952" s="1" t="s">
        <v>13994</v>
      </c>
      <c r="K2952" s="1" t="s">
        <v>13995</v>
      </c>
      <c r="L2952" s="1">
        <v>147.0</v>
      </c>
      <c r="M2952" s="1" t="s">
        <v>35</v>
      </c>
      <c r="N2952" s="1" t="s">
        <v>36</v>
      </c>
      <c r="O2952" s="1" t="s">
        <v>37</v>
      </c>
      <c r="P2952" s="1">
        <v>8000000.0</v>
      </c>
      <c r="Q2952" s="1">
        <v>1999.0</v>
      </c>
      <c r="R2952" s="1">
        <v>452.0</v>
      </c>
      <c r="S2952" s="1">
        <v>442.0</v>
      </c>
      <c r="T2952" s="1">
        <v>292.0</v>
      </c>
      <c r="U2952" s="1">
        <v>1760.0</v>
      </c>
      <c r="V2952" s="1">
        <v>13.0</v>
      </c>
      <c r="W2952" s="1">
        <v>0.0</v>
      </c>
      <c r="X2952" s="1">
        <v>2.0</v>
      </c>
      <c r="Y2952" s="1">
        <v>1.85</v>
      </c>
      <c r="Z2952" s="1">
        <v>5.7</v>
      </c>
    </row>
    <row r="2953" ht="14.25" customHeight="1">
      <c r="A2953" s="1" t="s">
        <v>26</v>
      </c>
      <c r="B2953" s="1" t="s">
        <v>12628</v>
      </c>
      <c r="C2953" s="1" t="s">
        <v>13996</v>
      </c>
      <c r="D2953" s="1">
        <v>1.727898E7</v>
      </c>
      <c r="E2953" s="1" t="s">
        <v>972</v>
      </c>
      <c r="F2953" s="1" t="s">
        <v>2520</v>
      </c>
      <c r="G2953" s="1" t="s">
        <v>11110</v>
      </c>
      <c r="H2953" s="1" t="s">
        <v>3759</v>
      </c>
      <c r="I2953" s="1">
        <v>48225.0</v>
      </c>
      <c r="J2953" s="1" t="s">
        <v>13997</v>
      </c>
      <c r="K2953" s="1" t="s">
        <v>13998</v>
      </c>
      <c r="L2953" s="1">
        <v>164.0</v>
      </c>
      <c r="M2953" s="1" t="s">
        <v>35</v>
      </c>
      <c r="N2953" s="1" t="s">
        <v>36</v>
      </c>
      <c r="O2953" s="1" t="s">
        <v>628</v>
      </c>
      <c r="P2953" s="1">
        <v>8000000.0</v>
      </c>
      <c r="Q2953" s="1">
        <v>1998.0</v>
      </c>
      <c r="R2953" s="1">
        <v>744.0</v>
      </c>
      <c r="S2953" s="1">
        <v>503.0</v>
      </c>
      <c r="T2953" s="1">
        <v>475.0</v>
      </c>
      <c r="U2953" s="1">
        <v>2400.0</v>
      </c>
      <c r="V2953" s="1">
        <v>33.0</v>
      </c>
      <c r="W2953" s="1">
        <v>0.0</v>
      </c>
      <c r="X2953" s="1">
        <v>0.0</v>
      </c>
      <c r="Y2953" s="1">
        <v>1.85</v>
      </c>
      <c r="Z2953" s="1">
        <v>6.7</v>
      </c>
    </row>
    <row r="2954" ht="14.25" customHeight="1">
      <c r="A2954" s="1" t="s">
        <v>26</v>
      </c>
      <c r="B2954" s="1" t="s">
        <v>13999</v>
      </c>
      <c r="C2954" s="1" t="s">
        <v>14000</v>
      </c>
      <c r="D2954" s="1">
        <v>1.6699684E7</v>
      </c>
      <c r="E2954" s="1" t="s">
        <v>1598</v>
      </c>
      <c r="F2954" s="1" t="s">
        <v>74</v>
      </c>
      <c r="G2954" s="1" t="s">
        <v>1476</v>
      </c>
      <c r="H2954" s="1" t="s">
        <v>5062</v>
      </c>
      <c r="I2954" s="1">
        <v>17461.0</v>
      </c>
      <c r="J2954" s="1" t="s">
        <v>14001</v>
      </c>
      <c r="K2954" s="1" t="s">
        <v>14002</v>
      </c>
      <c r="L2954" s="1">
        <v>78.0</v>
      </c>
      <c r="M2954" s="1" t="s">
        <v>35</v>
      </c>
      <c r="N2954" s="1" t="s">
        <v>36</v>
      </c>
      <c r="O2954" s="1" t="s">
        <v>87</v>
      </c>
      <c r="P2954" s="1">
        <v>8000000.0</v>
      </c>
      <c r="Q2954" s="1">
        <v>2009.0</v>
      </c>
      <c r="R2954" s="1">
        <v>24000.0</v>
      </c>
      <c r="S2954" s="1">
        <v>827.0</v>
      </c>
      <c r="T2954" s="1">
        <v>631.0</v>
      </c>
      <c r="U2954" s="1">
        <v>25792.0</v>
      </c>
      <c r="V2954" s="1">
        <v>3.0</v>
      </c>
      <c r="W2954" s="1">
        <v>0.0</v>
      </c>
      <c r="X2954" s="1">
        <v>1.0</v>
      </c>
      <c r="Y2954" s="1">
        <v>1.85</v>
      </c>
      <c r="Z2954" s="1">
        <v>5.6</v>
      </c>
    </row>
    <row r="2955" ht="14.25" customHeight="1">
      <c r="A2955" s="1" t="s">
        <v>26</v>
      </c>
      <c r="B2955" s="1" t="s">
        <v>4900</v>
      </c>
      <c r="C2955" s="1" t="s">
        <v>4901</v>
      </c>
      <c r="D2955" s="1">
        <v>5.0815288E7</v>
      </c>
      <c r="E2955" s="1" t="s">
        <v>3868</v>
      </c>
      <c r="F2955" s="1" t="s">
        <v>1113</v>
      </c>
      <c r="G2955" s="1" t="s">
        <v>4902</v>
      </c>
      <c r="H2955" s="1" t="s">
        <v>4903</v>
      </c>
      <c r="I2955" s="1">
        <v>109191.0</v>
      </c>
      <c r="J2955" s="1" t="s">
        <v>4904</v>
      </c>
      <c r="K2955" s="1" t="s">
        <v>4905</v>
      </c>
      <c r="L2955" s="1">
        <v>625.0</v>
      </c>
      <c r="M2955" s="1" t="s">
        <v>35</v>
      </c>
      <c r="N2955" s="1" t="s">
        <v>36</v>
      </c>
      <c r="O2955" s="1" t="s">
        <v>628</v>
      </c>
      <c r="P2955" s="1">
        <v>5.0E7</v>
      </c>
      <c r="Q2955" s="1">
        <v>2005.0</v>
      </c>
      <c r="R2955" s="1">
        <v>13000.0</v>
      </c>
      <c r="S2955" s="1">
        <v>903.0</v>
      </c>
      <c r="T2955" s="1">
        <v>414.0</v>
      </c>
      <c r="U2955" s="1">
        <v>14747.0</v>
      </c>
      <c r="V2955" s="1">
        <v>79.0</v>
      </c>
      <c r="W2955" s="1">
        <v>0.0</v>
      </c>
      <c r="X2955" s="1">
        <v>0.0</v>
      </c>
      <c r="Y2955" s="1">
        <v>2.35</v>
      </c>
      <c r="Z2955" s="1">
        <v>7.0</v>
      </c>
    </row>
    <row r="2956" ht="14.25" customHeight="1">
      <c r="A2956" s="1" t="s">
        <v>26</v>
      </c>
      <c r="B2956" s="1" t="s">
        <v>14003</v>
      </c>
      <c r="C2956" s="1" t="s">
        <v>14004</v>
      </c>
      <c r="D2956" s="1">
        <v>1.5047419E7</v>
      </c>
      <c r="E2956" s="1" t="s">
        <v>1854</v>
      </c>
      <c r="F2956" s="1" t="s">
        <v>59</v>
      </c>
      <c r="G2956" s="1" t="s">
        <v>1321</v>
      </c>
      <c r="H2956" s="1" t="s">
        <v>3515</v>
      </c>
      <c r="I2956" s="1">
        <v>357275.0</v>
      </c>
      <c r="J2956" s="1" t="s">
        <v>14005</v>
      </c>
      <c r="K2956" s="1" t="s">
        <v>14006</v>
      </c>
      <c r="L2956" s="1">
        <v>1061.0</v>
      </c>
      <c r="M2956" s="1" t="s">
        <v>35</v>
      </c>
      <c r="N2956" s="1" t="s">
        <v>36</v>
      </c>
      <c r="O2956" s="1" t="s">
        <v>628</v>
      </c>
      <c r="P2956" s="1">
        <v>7000000.0</v>
      </c>
      <c r="Q2956" s="1">
        <v>2000.0</v>
      </c>
      <c r="R2956" s="1">
        <v>23000.0</v>
      </c>
      <c r="S2956" s="1">
        <v>1000.0</v>
      </c>
      <c r="T2956" s="1">
        <v>517.0</v>
      </c>
      <c r="U2956" s="1">
        <v>25462.0</v>
      </c>
      <c r="V2956" s="1">
        <v>126.0</v>
      </c>
      <c r="W2956" s="1">
        <v>18000.0</v>
      </c>
      <c r="X2956" s="1">
        <v>1.0</v>
      </c>
      <c r="Y2956" s="1">
        <v>2.35</v>
      </c>
      <c r="Z2956" s="1">
        <v>7.6</v>
      </c>
    </row>
    <row r="2957" ht="14.25" customHeight="1">
      <c r="A2957" s="1" t="s">
        <v>26</v>
      </c>
      <c r="B2957" s="1" t="s">
        <v>8315</v>
      </c>
      <c r="C2957" s="1" t="s">
        <v>14007</v>
      </c>
      <c r="D2957" s="1">
        <v>1.4015786E7</v>
      </c>
      <c r="E2957" s="1" t="s">
        <v>206</v>
      </c>
      <c r="F2957" s="1" t="s">
        <v>365</v>
      </c>
      <c r="G2957" s="1" t="s">
        <v>1868</v>
      </c>
      <c r="H2957" s="1" t="s">
        <v>1432</v>
      </c>
      <c r="I2957" s="1">
        <v>37952.0</v>
      </c>
      <c r="J2957" s="1" t="s">
        <v>14008</v>
      </c>
      <c r="K2957" s="1" t="s">
        <v>14009</v>
      </c>
      <c r="L2957" s="1">
        <v>298.0</v>
      </c>
      <c r="M2957" s="1" t="s">
        <v>35</v>
      </c>
      <c r="N2957" s="1" t="s">
        <v>36</v>
      </c>
      <c r="O2957" s="1" t="s">
        <v>628</v>
      </c>
      <c r="P2957" s="1">
        <v>5000000.0</v>
      </c>
      <c r="Q2957" s="1">
        <v>2002.0</v>
      </c>
      <c r="R2957" s="1">
        <v>15000.0</v>
      </c>
      <c r="S2957" s="1">
        <v>11000.0</v>
      </c>
      <c r="T2957" s="1">
        <v>596.0</v>
      </c>
      <c r="U2957" s="1">
        <v>27646.0</v>
      </c>
      <c r="V2957" s="1">
        <v>44.0</v>
      </c>
      <c r="W2957" s="1">
        <v>938.0</v>
      </c>
      <c r="X2957" s="1">
        <v>3.0</v>
      </c>
      <c r="Y2957" s="1">
        <v>1.85</v>
      </c>
      <c r="Z2957" s="1">
        <v>6.5</v>
      </c>
    </row>
    <row r="2958" ht="14.25" customHeight="1">
      <c r="A2958" s="1" t="s">
        <v>26</v>
      </c>
      <c r="B2958" s="1" t="s">
        <v>14010</v>
      </c>
      <c r="C2958" s="1" t="s">
        <v>14011</v>
      </c>
      <c r="D2958" s="1">
        <v>1.0269307E7</v>
      </c>
      <c r="E2958" s="1" t="s">
        <v>326</v>
      </c>
      <c r="F2958" s="1" t="s">
        <v>4566</v>
      </c>
      <c r="G2958" s="1" t="s">
        <v>7200</v>
      </c>
      <c r="H2958" s="1" t="s">
        <v>373</v>
      </c>
      <c r="I2958" s="1">
        <v>53251.0</v>
      </c>
      <c r="J2958" s="1" t="s">
        <v>14012</v>
      </c>
      <c r="K2958" s="1" t="s">
        <v>14013</v>
      </c>
      <c r="L2958" s="1">
        <v>188.0</v>
      </c>
      <c r="M2958" s="1" t="s">
        <v>35</v>
      </c>
      <c r="N2958" s="1" t="s">
        <v>36</v>
      </c>
      <c r="O2958" s="1" t="s">
        <v>628</v>
      </c>
      <c r="P2958" s="1">
        <v>8000000.0</v>
      </c>
      <c r="Q2958" s="1">
        <v>2009.0</v>
      </c>
      <c r="R2958" s="1">
        <v>12000.0</v>
      </c>
      <c r="S2958" s="1">
        <v>3000.0</v>
      </c>
      <c r="T2958" s="1">
        <v>968.0</v>
      </c>
      <c r="U2958" s="1">
        <v>17524.0</v>
      </c>
      <c r="V2958" s="1">
        <v>78.0</v>
      </c>
      <c r="W2958" s="1">
        <v>0.0</v>
      </c>
      <c r="X2958" s="1">
        <v>0.0</v>
      </c>
      <c r="Y2958" s="1">
        <v>2.35</v>
      </c>
      <c r="Z2958" s="1">
        <v>6.3</v>
      </c>
    </row>
    <row r="2959" ht="14.25" customHeight="1">
      <c r="A2959" s="1" t="s">
        <v>26</v>
      </c>
      <c r="B2959" s="1" t="s">
        <v>14014</v>
      </c>
      <c r="C2959" s="1" t="s">
        <v>14015</v>
      </c>
      <c r="D2959" s="1">
        <v>1.7536788E7</v>
      </c>
      <c r="E2959" s="1" t="s">
        <v>1359</v>
      </c>
      <c r="F2959" s="1" t="s">
        <v>14016</v>
      </c>
      <c r="G2959" s="1" t="s">
        <v>8178</v>
      </c>
      <c r="H2959" s="1" t="s">
        <v>14017</v>
      </c>
      <c r="I2959" s="1">
        <v>49240.0</v>
      </c>
      <c r="J2959" s="1" t="s">
        <v>14018</v>
      </c>
      <c r="K2959" s="1" t="s">
        <v>14019</v>
      </c>
      <c r="L2959" s="1">
        <v>142.0</v>
      </c>
      <c r="M2959" s="1" t="s">
        <v>35</v>
      </c>
      <c r="N2959" s="1" t="s">
        <v>36</v>
      </c>
      <c r="O2959" s="1" t="s">
        <v>37</v>
      </c>
      <c r="P2959" s="1">
        <v>8000000.0</v>
      </c>
      <c r="Q2959" s="1">
        <v>2013.0</v>
      </c>
      <c r="R2959" s="1">
        <v>434.0</v>
      </c>
      <c r="S2959" s="1">
        <v>265.0</v>
      </c>
      <c r="T2959" s="1">
        <v>216.0</v>
      </c>
      <c r="U2959" s="1">
        <v>1183.0</v>
      </c>
      <c r="V2959" s="1">
        <v>132.0</v>
      </c>
      <c r="W2959" s="1">
        <v>12000.0</v>
      </c>
      <c r="X2959" s="1">
        <v>2.0</v>
      </c>
      <c r="Y2959" s="1">
        <v>1.85</v>
      </c>
      <c r="Z2959" s="1">
        <v>7.1</v>
      </c>
    </row>
    <row r="2960" ht="14.25" customHeight="1">
      <c r="A2960" s="1" t="s">
        <v>26</v>
      </c>
      <c r="B2960" s="1" t="s">
        <v>3541</v>
      </c>
      <c r="C2960" s="1" t="s">
        <v>14020</v>
      </c>
      <c r="D2960" s="1">
        <v>5.8401464E7</v>
      </c>
      <c r="E2960" s="1" t="s">
        <v>1598</v>
      </c>
      <c r="F2960" s="1" t="s">
        <v>174</v>
      </c>
      <c r="G2960" s="1" t="s">
        <v>10539</v>
      </c>
      <c r="H2960" s="1" t="s">
        <v>14021</v>
      </c>
      <c r="I2960" s="1">
        <v>276746.0</v>
      </c>
      <c r="J2960" s="1" t="s">
        <v>14022</v>
      </c>
      <c r="K2960" s="1" t="s">
        <v>14023</v>
      </c>
      <c r="L2960" s="1">
        <v>264.0</v>
      </c>
      <c r="M2960" s="1" t="s">
        <v>35</v>
      </c>
      <c r="N2960" s="1" t="s">
        <v>36</v>
      </c>
      <c r="O2960" s="1" t="s">
        <v>37</v>
      </c>
      <c r="P2960" s="1">
        <v>8000000.0</v>
      </c>
      <c r="Q2960" s="1">
        <v>2010.0</v>
      </c>
      <c r="R2960" s="1">
        <v>15000.0</v>
      </c>
      <c r="S2960" s="1">
        <v>1000.0</v>
      </c>
      <c r="T2960" s="1">
        <v>424.0</v>
      </c>
      <c r="U2960" s="1">
        <v>16982.0</v>
      </c>
      <c r="V2960" s="1">
        <v>87.0</v>
      </c>
      <c r="W2960" s="1">
        <v>19000.0</v>
      </c>
      <c r="X2960" s="1">
        <v>1.0</v>
      </c>
      <c r="Y2960" s="1">
        <v>1.85</v>
      </c>
      <c r="Z2960" s="1">
        <v>7.1</v>
      </c>
    </row>
    <row r="2961" ht="14.25" customHeight="1">
      <c r="A2961" s="1" t="s">
        <v>710</v>
      </c>
      <c r="B2961" s="1" t="s">
        <v>8499</v>
      </c>
      <c r="C2961" s="1" t="s">
        <v>14024</v>
      </c>
      <c r="D2961" s="1">
        <v>8279017.0</v>
      </c>
      <c r="E2961" s="1" t="s">
        <v>14025</v>
      </c>
      <c r="F2961" s="1" t="s">
        <v>302</v>
      </c>
      <c r="G2961" s="1" t="s">
        <v>1740</v>
      </c>
      <c r="H2961" s="1" t="s">
        <v>2158</v>
      </c>
      <c r="I2961" s="1">
        <v>34191.0</v>
      </c>
      <c r="J2961" s="1" t="s">
        <v>14026</v>
      </c>
      <c r="K2961" s="1" t="s">
        <v>14027</v>
      </c>
      <c r="L2961" s="1">
        <v>339.0</v>
      </c>
      <c r="M2961" s="1" t="s">
        <v>35</v>
      </c>
      <c r="N2961" s="1" t="s">
        <v>54</v>
      </c>
      <c r="O2961" s="1" t="s">
        <v>628</v>
      </c>
      <c r="P2961" s="1">
        <v>8000000.0</v>
      </c>
      <c r="Q2961" s="1">
        <v>2000.0</v>
      </c>
      <c r="R2961" s="1">
        <v>776.0</v>
      </c>
      <c r="S2961" s="1">
        <v>595.0</v>
      </c>
      <c r="T2961" s="1">
        <v>306.0</v>
      </c>
      <c r="U2961" s="1">
        <v>1761.0</v>
      </c>
      <c r="V2961" s="1">
        <v>54.0</v>
      </c>
      <c r="W2961" s="1">
        <v>0.0</v>
      </c>
      <c r="X2961" s="1">
        <v>1.0</v>
      </c>
      <c r="Y2961" s="1">
        <v>2.35</v>
      </c>
      <c r="Z2961" s="1">
        <v>6.9</v>
      </c>
    </row>
    <row r="2962" ht="14.25" customHeight="1">
      <c r="A2962" s="1" t="s">
        <v>26</v>
      </c>
      <c r="B2962" s="1" t="s">
        <v>11180</v>
      </c>
      <c r="C2962" s="1" t="s">
        <v>14028</v>
      </c>
      <c r="D2962" s="1">
        <v>1.0106233E7</v>
      </c>
      <c r="E2962" s="1" t="s">
        <v>2422</v>
      </c>
      <c r="F2962" s="1" t="s">
        <v>2392</v>
      </c>
      <c r="G2962" s="1" t="s">
        <v>4432</v>
      </c>
      <c r="H2962" s="1" t="s">
        <v>6168</v>
      </c>
      <c r="I2962" s="1">
        <v>12702.0</v>
      </c>
      <c r="J2962" s="1" t="s">
        <v>14029</v>
      </c>
      <c r="K2962" s="1" t="s">
        <v>14030</v>
      </c>
      <c r="L2962" s="1">
        <v>32.0</v>
      </c>
      <c r="M2962" s="1" t="s">
        <v>35</v>
      </c>
      <c r="N2962" s="1" t="s">
        <v>36</v>
      </c>
      <c r="O2962" s="1" t="s">
        <v>87</v>
      </c>
      <c r="P2962" s="1">
        <v>8000000.0</v>
      </c>
      <c r="Q2962" s="1">
        <v>2011.0</v>
      </c>
      <c r="R2962" s="1">
        <v>1000.0</v>
      </c>
      <c r="S2962" s="1">
        <v>962.0</v>
      </c>
      <c r="T2962" s="1">
        <v>741.0</v>
      </c>
      <c r="U2962" s="1">
        <v>5190.0</v>
      </c>
      <c r="V2962" s="1">
        <v>18.0</v>
      </c>
      <c r="W2962" s="1">
        <v>0.0</v>
      </c>
      <c r="X2962" s="1">
        <v>0.0</v>
      </c>
      <c r="Y2962" s="1">
        <v>1.85</v>
      </c>
      <c r="Z2962" s="1">
        <v>5.4</v>
      </c>
    </row>
    <row r="2963" ht="14.25" customHeight="1">
      <c r="A2963" s="1" t="s">
        <v>26</v>
      </c>
      <c r="B2963" s="1" t="s">
        <v>10133</v>
      </c>
      <c r="C2963" s="1" t="s">
        <v>14031</v>
      </c>
      <c r="D2963" s="1">
        <v>4692814.0</v>
      </c>
      <c r="E2963" s="1" t="s">
        <v>1885</v>
      </c>
      <c r="F2963" s="1" t="s">
        <v>8754</v>
      </c>
      <c r="G2963" s="1" t="s">
        <v>5999</v>
      </c>
      <c r="H2963" s="1" t="s">
        <v>1759</v>
      </c>
      <c r="I2963" s="1">
        <v>2870.0</v>
      </c>
      <c r="J2963" s="1" t="s">
        <v>14032</v>
      </c>
      <c r="K2963" s="1" t="s">
        <v>14033</v>
      </c>
      <c r="L2963" s="1">
        <v>34.0</v>
      </c>
      <c r="M2963" s="1" t="s">
        <v>35</v>
      </c>
      <c r="N2963" s="1" t="s">
        <v>36</v>
      </c>
      <c r="O2963" s="1" t="s">
        <v>37</v>
      </c>
      <c r="P2963" s="1">
        <v>8000000.0</v>
      </c>
      <c r="Q2963" s="1">
        <v>1999.0</v>
      </c>
      <c r="R2963" s="1">
        <v>883.0</v>
      </c>
      <c r="S2963" s="1">
        <v>826.0</v>
      </c>
      <c r="T2963" s="1">
        <v>660.0</v>
      </c>
      <c r="U2963" s="1">
        <v>3291.0</v>
      </c>
      <c r="V2963" s="1">
        <v>15.0</v>
      </c>
      <c r="W2963" s="1">
        <v>77.0</v>
      </c>
      <c r="X2963" s="1">
        <v>2.0</v>
      </c>
      <c r="Y2963" s="1">
        <v>1.85</v>
      </c>
      <c r="Z2963" s="1">
        <v>5.1</v>
      </c>
    </row>
    <row r="2964" ht="14.25" customHeight="1">
      <c r="A2964" s="1" t="s">
        <v>26</v>
      </c>
      <c r="B2964" s="1" t="s">
        <v>14034</v>
      </c>
      <c r="C2964" s="1" t="s">
        <v>14035</v>
      </c>
      <c r="D2964" s="1">
        <v>5018450.0</v>
      </c>
      <c r="E2964" s="1" t="s">
        <v>3439</v>
      </c>
      <c r="F2964" s="1" t="s">
        <v>4653</v>
      </c>
      <c r="G2964" s="1" t="s">
        <v>5544</v>
      </c>
      <c r="H2964" s="1" t="s">
        <v>14036</v>
      </c>
      <c r="I2964" s="1">
        <v>8546.0</v>
      </c>
      <c r="J2964" s="1" t="s">
        <v>14037</v>
      </c>
      <c r="K2964" s="1" t="s">
        <v>14038</v>
      </c>
      <c r="L2964" s="1">
        <v>86.0</v>
      </c>
      <c r="M2964" s="1" t="s">
        <v>35</v>
      </c>
      <c r="N2964" s="1" t="s">
        <v>36</v>
      </c>
      <c r="O2964" s="1" t="s">
        <v>628</v>
      </c>
      <c r="P2964" s="1">
        <v>8000000.0</v>
      </c>
      <c r="Q2964" s="1">
        <v>2000.0</v>
      </c>
      <c r="R2964" s="1">
        <v>1000.0</v>
      </c>
      <c r="S2964" s="1">
        <v>905.0</v>
      </c>
      <c r="T2964" s="1">
        <v>417.0</v>
      </c>
      <c r="U2964" s="1">
        <v>2687.0</v>
      </c>
      <c r="V2964" s="1">
        <v>26.0</v>
      </c>
      <c r="W2964" s="1">
        <v>859.0</v>
      </c>
      <c r="X2964" s="1">
        <v>0.0</v>
      </c>
      <c r="Y2964" s="1">
        <v>2.35</v>
      </c>
      <c r="Z2964" s="1">
        <v>5.3</v>
      </c>
    </row>
    <row r="2965" ht="14.25" customHeight="1">
      <c r="A2965" s="1" t="s">
        <v>26</v>
      </c>
      <c r="B2965" s="1" t="s">
        <v>14039</v>
      </c>
      <c r="C2965" s="1" t="s">
        <v>14040</v>
      </c>
      <c r="D2965" s="1">
        <v>3442820.0</v>
      </c>
      <c r="E2965" s="1" t="s">
        <v>14041</v>
      </c>
      <c r="F2965" s="1" t="s">
        <v>2510</v>
      </c>
      <c r="G2965" s="1" t="s">
        <v>2318</v>
      </c>
      <c r="H2965" s="1" t="s">
        <v>14042</v>
      </c>
      <c r="I2965" s="1">
        <v>31489.0</v>
      </c>
      <c r="J2965" s="1" t="s">
        <v>14043</v>
      </c>
      <c r="K2965" s="1" t="s">
        <v>14044</v>
      </c>
      <c r="L2965" s="1">
        <v>140.0</v>
      </c>
      <c r="M2965" s="1" t="s">
        <v>35</v>
      </c>
      <c r="N2965" s="1" t="s">
        <v>36</v>
      </c>
      <c r="O2965" s="1" t="s">
        <v>628</v>
      </c>
      <c r="P2965" s="1">
        <v>8000000.0</v>
      </c>
      <c r="Q2965" s="1">
        <v>2015.0</v>
      </c>
      <c r="R2965" s="1">
        <v>1000.0</v>
      </c>
      <c r="S2965" s="1">
        <v>442.0</v>
      </c>
      <c r="T2965" s="1">
        <v>0.0</v>
      </c>
      <c r="U2965" s="1">
        <v>1442.0</v>
      </c>
      <c r="V2965" s="1">
        <v>26.0</v>
      </c>
      <c r="W2965" s="1">
        <v>0.0</v>
      </c>
      <c r="X2965" s="1">
        <v>0.0</v>
      </c>
      <c r="Y2965" s="1">
        <v>2.35</v>
      </c>
      <c r="Z2965" s="1">
        <v>7.3</v>
      </c>
    </row>
    <row r="2966" ht="14.25" customHeight="1">
      <c r="A2966" s="1" t="s">
        <v>26</v>
      </c>
      <c r="B2966" s="1" t="s">
        <v>10383</v>
      </c>
      <c r="C2966" s="1" t="s">
        <v>14045</v>
      </c>
      <c r="D2966" s="1">
        <v>3205244.0</v>
      </c>
      <c r="E2966" s="1" t="s">
        <v>2422</v>
      </c>
      <c r="F2966" s="1" t="s">
        <v>385</v>
      </c>
      <c r="G2966" s="1" t="s">
        <v>2334</v>
      </c>
      <c r="H2966" s="1" t="s">
        <v>8428</v>
      </c>
      <c r="I2966" s="1">
        <v>23629.0</v>
      </c>
      <c r="J2966" s="1" t="s">
        <v>14046</v>
      </c>
      <c r="K2966" s="1" t="s">
        <v>14047</v>
      </c>
      <c r="L2966" s="1">
        <v>141.0</v>
      </c>
      <c r="M2966" s="1" t="s">
        <v>35</v>
      </c>
      <c r="N2966" s="1" t="s">
        <v>54</v>
      </c>
      <c r="O2966" s="1" t="s">
        <v>37</v>
      </c>
      <c r="P2966" s="1">
        <v>1.0E7</v>
      </c>
      <c r="Q2966" s="1">
        <v>2010.0</v>
      </c>
      <c r="R2966" s="1">
        <v>1000.0</v>
      </c>
      <c r="S2966" s="1">
        <v>579.0</v>
      </c>
      <c r="T2966" s="1">
        <v>386.0</v>
      </c>
      <c r="U2966" s="1">
        <v>2265.0</v>
      </c>
      <c r="V2966" s="1">
        <v>608.0</v>
      </c>
      <c r="W2966" s="1">
        <v>0.0</v>
      </c>
      <c r="X2966" s="1">
        <v>0.0</v>
      </c>
      <c r="Y2966" s="1">
        <v>2.35</v>
      </c>
      <c r="Z2966" s="1">
        <v>7.3</v>
      </c>
    </row>
    <row r="2967" ht="14.25" customHeight="1">
      <c r="A2967" s="1" t="s">
        <v>26</v>
      </c>
      <c r="B2967" s="1" t="s">
        <v>14048</v>
      </c>
      <c r="C2967" s="1" t="s">
        <v>14049</v>
      </c>
      <c r="D2967" s="1">
        <v>3076425.0</v>
      </c>
      <c r="E2967" s="1" t="s">
        <v>14050</v>
      </c>
      <c r="F2967" s="1" t="s">
        <v>6265</v>
      </c>
      <c r="G2967" s="1" t="s">
        <v>5665</v>
      </c>
      <c r="H2967" s="1" t="s">
        <v>14051</v>
      </c>
      <c r="I2967" s="1">
        <v>23660.0</v>
      </c>
      <c r="J2967" s="1" t="s">
        <v>14052</v>
      </c>
      <c r="K2967" s="1" t="s">
        <v>14053</v>
      </c>
      <c r="L2967" s="1">
        <v>162.0</v>
      </c>
      <c r="M2967" s="1" t="s">
        <v>2752</v>
      </c>
      <c r="N2967" s="1" t="s">
        <v>1832</v>
      </c>
      <c r="O2967" s="1" t="s">
        <v>628</v>
      </c>
      <c r="P2967" s="1">
        <v>8000000.0</v>
      </c>
      <c r="Q2967" s="1">
        <v>2002.0</v>
      </c>
      <c r="R2967" s="1">
        <v>963.0</v>
      </c>
      <c r="S2967" s="1">
        <v>678.0</v>
      </c>
      <c r="T2967" s="1">
        <v>569.0</v>
      </c>
      <c r="U2967" s="1">
        <v>3543.0</v>
      </c>
      <c r="V2967" s="1">
        <v>341.0</v>
      </c>
      <c r="W2967" s="1">
        <v>0.0</v>
      </c>
      <c r="X2967" s="1">
        <v>1.0</v>
      </c>
      <c r="Y2967" s="1">
        <v>1.85</v>
      </c>
      <c r="Z2967" s="1">
        <v>7.1</v>
      </c>
    </row>
    <row r="2968" ht="14.25" customHeight="1">
      <c r="A2968" s="1" t="s">
        <v>26</v>
      </c>
      <c r="B2968" s="1" t="s">
        <v>11716</v>
      </c>
      <c r="C2968" s="1" t="s">
        <v>14054</v>
      </c>
      <c r="D2968" s="1">
        <v>2275557.0</v>
      </c>
      <c r="E2968" s="1" t="s">
        <v>408</v>
      </c>
      <c r="F2968" s="1" t="s">
        <v>564</v>
      </c>
      <c r="G2968" s="1" t="s">
        <v>1652</v>
      </c>
      <c r="H2968" s="1" t="s">
        <v>14055</v>
      </c>
      <c r="I2968" s="1">
        <v>12561.0</v>
      </c>
      <c r="J2968" s="1" t="s">
        <v>14056</v>
      </c>
      <c r="K2968" s="1" t="s">
        <v>14057</v>
      </c>
      <c r="L2968" s="1">
        <v>102.0</v>
      </c>
      <c r="M2968" s="1" t="s">
        <v>35</v>
      </c>
      <c r="N2968" s="1" t="s">
        <v>36</v>
      </c>
      <c r="O2968" s="1" t="s">
        <v>628</v>
      </c>
      <c r="P2968" s="1">
        <v>8000000.0</v>
      </c>
      <c r="Q2968" s="1">
        <v>1991.0</v>
      </c>
      <c r="R2968" s="1">
        <v>1000.0</v>
      </c>
      <c r="S2968" s="1">
        <v>1000.0</v>
      </c>
      <c r="T2968" s="1">
        <v>112.0</v>
      </c>
      <c r="U2968" s="1">
        <v>2404.0</v>
      </c>
      <c r="V2968" s="1">
        <v>73.0</v>
      </c>
      <c r="W2968" s="1">
        <v>0.0</v>
      </c>
      <c r="X2968" s="1">
        <v>2.0</v>
      </c>
      <c r="Y2968" s="1">
        <v>1.85</v>
      </c>
      <c r="Z2968" s="1">
        <v>6.0</v>
      </c>
    </row>
    <row r="2969" ht="14.25" customHeight="1">
      <c r="A2969" s="1" t="s">
        <v>26</v>
      </c>
      <c r="B2969" s="1" t="s">
        <v>4681</v>
      </c>
      <c r="C2969" s="1" t="s">
        <v>14058</v>
      </c>
      <c r="D2969" s="1">
        <v>1789892.0</v>
      </c>
      <c r="E2969" s="1" t="s">
        <v>972</v>
      </c>
      <c r="F2969" s="1" t="s">
        <v>757</v>
      </c>
      <c r="G2969" s="1" t="s">
        <v>5239</v>
      </c>
      <c r="H2969" s="1" t="s">
        <v>14059</v>
      </c>
      <c r="I2969" s="1">
        <v>9494.0</v>
      </c>
      <c r="J2969" s="1" t="s">
        <v>14060</v>
      </c>
      <c r="K2969" s="1" t="s">
        <v>14061</v>
      </c>
      <c r="L2969" s="1">
        <v>109.0</v>
      </c>
      <c r="M2969" s="1" t="s">
        <v>35</v>
      </c>
      <c r="N2969" s="1" t="s">
        <v>730</v>
      </c>
      <c r="O2969" s="1" t="s">
        <v>628</v>
      </c>
      <c r="P2969" s="1">
        <v>8000000.0</v>
      </c>
      <c r="Q2969" s="1">
        <v>1998.0</v>
      </c>
      <c r="R2969" s="1">
        <v>1000.0</v>
      </c>
      <c r="S2969" s="1">
        <v>261.0</v>
      </c>
      <c r="T2969" s="1">
        <v>168.0</v>
      </c>
      <c r="U2969" s="1">
        <v>1795.0</v>
      </c>
      <c r="V2969" s="1">
        <v>71.0</v>
      </c>
      <c r="W2969" s="1">
        <v>515.0</v>
      </c>
      <c r="X2969" s="1">
        <v>1.0</v>
      </c>
      <c r="Y2969" s="1">
        <v>1.85</v>
      </c>
      <c r="Z2969" s="1">
        <v>6.6</v>
      </c>
    </row>
    <row r="2970" ht="14.25" customHeight="1">
      <c r="A2970" s="1" t="s">
        <v>26</v>
      </c>
      <c r="B2970" s="1" t="s">
        <v>14062</v>
      </c>
      <c r="C2970" s="1" t="s">
        <v>14063</v>
      </c>
      <c r="D2970" s="1">
        <v>6350058.0</v>
      </c>
      <c r="E2970" s="1" t="s">
        <v>1359</v>
      </c>
      <c r="F2970" s="1" t="s">
        <v>810</v>
      </c>
      <c r="G2970" s="1" t="s">
        <v>11989</v>
      </c>
      <c r="H2970" s="1" t="s">
        <v>7123</v>
      </c>
      <c r="I2970" s="1">
        <v>106098.0</v>
      </c>
      <c r="J2970" s="1" t="s">
        <v>14064</v>
      </c>
      <c r="K2970" s="1" t="s">
        <v>14065</v>
      </c>
      <c r="L2970" s="1">
        <v>150.0</v>
      </c>
      <c r="M2970" s="1" t="s">
        <v>35</v>
      </c>
      <c r="N2970" s="1" t="s">
        <v>36</v>
      </c>
      <c r="O2970" s="1" t="s">
        <v>37</v>
      </c>
      <c r="P2970" s="1">
        <v>8000000.0</v>
      </c>
      <c r="Q2970" s="1">
        <v>2010.0</v>
      </c>
      <c r="R2970" s="1">
        <v>943.0</v>
      </c>
      <c r="S2970" s="1">
        <v>769.0</v>
      </c>
      <c r="T2970" s="1">
        <v>472.0</v>
      </c>
      <c r="U2970" s="1">
        <v>2786.0</v>
      </c>
      <c r="V2970" s="1">
        <v>16.0</v>
      </c>
      <c r="W2970" s="1">
        <v>20000.0</v>
      </c>
      <c r="X2970" s="1">
        <v>3.0</v>
      </c>
      <c r="Y2970" s="1">
        <v>1.85</v>
      </c>
      <c r="Z2970" s="1">
        <v>7.2</v>
      </c>
    </row>
    <row r="2971" ht="14.25" customHeight="1">
      <c r="A2971" s="1" t="s">
        <v>26</v>
      </c>
      <c r="B2971" s="1" t="s">
        <v>8996</v>
      </c>
      <c r="C2971" s="1" t="s">
        <v>14066</v>
      </c>
      <c r="D2971" s="1">
        <v>1094798.0</v>
      </c>
      <c r="E2971" s="1" t="s">
        <v>2915</v>
      </c>
      <c r="F2971" s="1" t="s">
        <v>2307</v>
      </c>
      <c r="G2971" s="1" t="s">
        <v>14067</v>
      </c>
      <c r="H2971" s="1" t="s">
        <v>4467</v>
      </c>
      <c r="I2971" s="1">
        <v>11158.0</v>
      </c>
      <c r="J2971" s="1" t="s">
        <v>14068</v>
      </c>
      <c r="K2971" s="1" t="s">
        <v>14069</v>
      </c>
      <c r="L2971" s="1">
        <v>73.0</v>
      </c>
      <c r="M2971" s="1" t="s">
        <v>35</v>
      </c>
      <c r="N2971" s="1" t="s">
        <v>54</v>
      </c>
      <c r="O2971" s="1" t="s">
        <v>628</v>
      </c>
      <c r="P2971" s="1">
        <v>7200000.0</v>
      </c>
      <c r="Q2971" s="1">
        <v>2010.0</v>
      </c>
      <c r="R2971" s="1">
        <v>5000.0</v>
      </c>
      <c r="S2971" s="1">
        <v>629.0</v>
      </c>
      <c r="T2971" s="1">
        <v>594.0</v>
      </c>
      <c r="U2971" s="1">
        <v>7692.0</v>
      </c>
      <c r="V2971" s="1">
        <v>13.0</v>
      </c>
      <c r="W2971" s="1">
        <v>0.0</v>
      </c>
      <c r="X2971" s="1">
        <v>6.0</v>
      </c>
      <c r="Y2971" s="1">
        <v>2.35</v>
      </c>
      <c r="Z2971" s="1">
        <v>7.2</v>
      </c>
    </row>
    <row r="2972" ht="14.25" customHeight="1">
      <c r="A2972" s="1" t="s">
        <v>26</v>
      </c>
      <c r="B2972" s="1" t="s">
        <v>10604</v>
      </c>
      <c r="C2972" s="1" t="s">
        <v>14070</v>
      </c>
      <c r="D2972" s="1">
        <v>1071240.0</v>
      </c>
      <c r="E2972" s="1" t="s">
        <v>1474</v>
      </c>
      <c r="F2972" s="1" t="s">
        <v>424</v>
      </c>
      <c r="G2972" s="1" t="s">
        <v>385</v>
      </c>
      <c r="H2972" s="1" t="s">
        <v>14071</v>
      </c>
      <c r="I2972" s="1">
        <v>3571.0</v>
      </c>
      <c r="J2972" s="1" t="s">
        <v>14072</v>
      </c>
      <c r="K2972" s="1" t="s">
        <v>14073</v>
      </c>
      <c r="L2972" s="1">
        <v>34.0</v>
      </c>
      <c r="M2972" s="1" t="s">
        <v>35</v>
      </c>
      <c r="N2972" s="1" t="s">
        <v>54</v>
      </c>
      <c r="O2972" s="1" t="s">
        <v>37</v>
      </c>
      <c r="P2972" s="1">
        <v>8000000.0</v>
      </c>
      <c r="Q2972" s="1">
        <v>2007.0</v>
      </c>
      <c r="R2972" s="1">
        <v>14000.0</v>
      </c>
      <c r="S2972" s="1">
        <v>1000.0</v>
      </c>
      <c r="T2972" s="1">
        <v>291.0</v>
      </c>
      <c r="U2972" s="1">
        <v>15848.0</v>
      </c>
      <c r="V2972" s="1">
        <v>14.0</v>
      </c>
      <c r="W2972" s="1">
        <v>429.0</v>
      </c>
      <c r="X2972" s="1">
        <v>2.0</v>
      </c>
      <c r="Y2972" s="1">
        <v>2.35</v>
      </c>
      <c r="Z2972" s="1">
        <v>6.9</v>
      </c>
    </row>
    <row r="2973" ht="14.25" customHeight="1">
      <c r="A2973" s="1" t="s">
        <v>26</v>
      </c>
      <c r="B2973" s="1" t="s">
        <v>14074</v>
      </c>
      <c r="C2973" s="1" t="s">
        <v>14075</v>
      </c>
      <c r="D2973" s="1">
        <v>532190.0</v>
      </c>
      <c r="E2973" s="1" t="s">
        <v>6520</v>
      </c>
      <c r="F2973" s="1" t="s">
        <v>4236</v>
      </c>
      <c r="G2973" s="1" t="s">
        <v>14076</v>
      </c>
      <c r="H2973" s="1" t="s">
        <v>14077</v>
      </c>
      <c r="I2973" s="1">
        <v>5673.0</v>
      </c>
      <c r="J2973" s="1" t="s">
        <v>14078</v>
      </c>
      <c r="K2973" s="1" t="s">
        <v>14079</v>
      </c>
      <c r="L2973" s="1">
        <v>37.0</v>
      </c>
      <c r="M2973" s="1" t="s">
        <v>35</v>
      </c>
      <c r="N2973" s="1" t="s">
        <v>36</v>
      </c>
      <c r="O2973" s="1" t="s">
        <v>37</v>
      </c>
      <c r="P2973" s="1">
        <v>8000000.0</v>
      </c>
      <c r="Q2973" s="1">
        <v>1997.0</v>
      </c>
      <c r="R2973" s="1">
        <v>1000.0</v>
      </c>
      <c r="S2973" s="1">
        <v>273.0</v>
      </c>
      <c r="T2973" s="1">
        <v>200.0</v>
      </c>
      <c r="U2973" s="1">
        <v>1610.0</v>
      </c>
      <c r="V2973" s="1">
        <v>23.0</v>
      </c>
      <c r="W2973" s="1">
        <v>0.0</v>
      </c>
      <c r="X2973" s="1">
        <v>2.0</v>
      </c>
      <c r="Y2973" s="1">
        <v>1.66</v>
      </c>
      <c r="Z2973" s="1">
        <v>6.8</v>
      </c>
    </row>
    <row r="2974" ht="14.25" customHeight="1">
      <c r="A2974" s="1" t="s">
        <v>26</v>
      </c>
      <c r="B2974" s="1" t="s">
        <v>14080</v>
      </c>
      <c r="C2974" s="1" t="s">
        <v>14081</v>
      </c>
      <c r="D2974" s="1">
        <v>686383.0</v>
      </c>
      <c r="E2974" s="1" t="s">
        <v>603</v>
      </c>
      <c r="F2974" s="1" t="s">
        <v>14082</v>
      </c>
      <c r="G2974" s="1" t="s">
        <v>14083</v>
      </c>
      <c r="H2974" s="1" t="s">
        <v>14084</v>
      </c>
      <c r="I2974" s="1">
        <v>22811.0</v>
      </c>
      <c r="J2974" s="1" t="s">
        <v>14085</v>
      </c>
      <c r="K2974" s="1" t="s">
        <v>14086</v>
      </c>
      <c r="L2974" s="1">
        <v>71.0</v>
      </c>
      <c r="M2974" s="1" t="s">
        <v>35</v>
      </c>
      <c r="N2974" s="1" t="s">
        <v>1832</v>
      </c>
      <c r="O2974" s="1" t="s">
        <v>9252</v>
      </c>
      <c r="P2974" s="1">
        <v>6500000.0</v>
      </c>
      <c r="Q2974" s="1">
        <v>2009.0</v>
      </c>
      <c r="R2974" s="1">
        <v>61.0</v>
      </c>
      <c r="S2974" s="1">
        <v>5.0</v>
      </c>
      <c r="T2974" s="1">
        <v>4.0</v>
      </c>
      <c r="U2974" s="1">
        <v>75.0</v>
      </c>
      <c r="V2974" s="1">
        <v>45.0</v>
      </c>
      <c r="W2974" s="1">
        <v>11000.0</v>
      </c>
      <c r="X2974" s="1">
        <v>0.0</v>
      </c>
      <c r="Y2974" s="1">
        <v>1.85</v>
      </c>
      <c r="Z2974" s="1">
        <v>7.7</v>
      </c>
    </row>
    <row r="2975" ht="14.25" customHeight="1">
      <c r="A2975" s="1" t="s">
        <v>26</v>
      </c>
      <c r="B2975" s="1" t="s">
        <v>14087</v>
      </c>
      <c r="C2975" s="1" t="s">
        <v>14088</v>
      </c>
      <c r="D2975" s="1">
        <v>1.6168741E7</v>
      </c>
      <c r="E2975" s="1" t="s">
        <v>5819</v>
      </c>
      <c r="F2975" s="1" t="s">
        <v>1480</v>
      </c>
      <c r="G2975" s="1" t="s">
        <v>14089</v>
      </c>
      <c r="H2975" s="1" t="s">
        <v>14090</v>
      </c>
      <c r="I2975" s="1">
        <v>99430.0</v>
      </c>
      <c r="J2975" s="1" t="s">
        <v>14091</v>
      </c>
      <c r="K2975" s="1" t="s">
        <v>14092</v>
      </c>
      <c r="L2975" s="1">
        <v>182.0</v>
      </c>
      <c r="M2975" s="1" t="s">
        <v>35</v>
      </c>
      <c r="N2975" s="1" t="s">
        <v>36</v>
      </c>
      <c r="O2975" s="1" t="s">
        <v>628</v>
      </c>
      <c r="P2975" s="1">
        <v>8000000.0</v>
      </c>
      <c r="Q2975" s="1">
        <v>2013.0</v>
      </c>
      <c r="R2975" s="1">
        <v>480.0</v>
      </c>
      <c r="S2975" s="1">
        <v>12.0</v>
      </c>
      <c r="T2975" s="1">
        <v>7.0</v>
      </c>
      <c r="U2975" s="1">
        <v>517.0</v>
      </c>
      <c r="V2975" s="1">
        <v>109.0</v>
      </c>
      <c r="W2975" s="1">
        <v>43000.0</v>
      </c>
      <c r="X2975" s="1">
        <v>1.0</v>
      </c>
      <c r="Y2975" s="1">
        <v>1.85</v>
      </c>
      <c r="Z2975" s="1">
        <v>7.4</v>
      </c>
    </row>
    <row r="2976" ht="14.25" customHeight="1">
      <c r="A2976" s="1" t="s">
        <v>26</v>
      </c>
      <c r="B2976" s="1" t="s">
        <v>14093</v>
      </c>
      <c r="C2976" s="1" t="s">
        <v>14094</v>
      </c>
      <c r="D2976" s="1">
        <v>568695.0</v>
      </c>
      <c r="E2976" s="1" t="s">
        <v>8285</v>
      </c>
      <c r="F2976" s="1" t="s">
        <v>2287</v>
      </c>
      <c r="G2976" s="1" t="s">
        <v>9596</v>
      </c>
      <c r="H2976" s="1" t="s">
        <v>3122</v>
      </c>
      <c r="I2976" s="1">
        <v>16617.0</v>
      </c>
      <c r="J2976" s="1" t="s">
        <v>14095</v>
      </c>
      <c r="K2976" s="1" t="s">
        <v>14096</v>
      </c>
      <c r="L2976" s="1">
        <v>110.0</v>
      </c>
      <c r="M2976" s="1" t="s">
        <v>35</v>
      </c>
      <c r="N2976" s="1" t="s">
        <v>36</v>
      </c>
      <c r="O2976" s="1" t="s">
        <v>628</v>
      </c>
      <c r="P2976" s="1">
        <v>8000000.0</v>
      </c>
      <c r="Q2976" s="1">
        <v>2005.0</v>
      </c>
      <c r="R2976" s="1">
        <v>2000.0</v>
      </c>
      <c r="S2976" s="1">
        <v>844.0</v>
      </c>
      <c r="T2976" s="1">
        <v>710.0</v>
      </c>
      <c r="U2976" s="1">
        <v>3921.0</v>
      </c>
      <c r="V2976" s="1">
        <v>12.0</v>
      </c>
      <c r="W2976" s="1">
        <v>412.0</v>
      </c>
      <c r="X2976" s="1">
        <v>2.0</v>
      </c>
      <c r="Y2976" s="1">
        <v>2.35</v>
      </c>
      <c r="Z2976" s="1">
        <v>6.5</v>
      </c>
    </row>
    <row r="2977" ht="14.25" customHeight="1">
      <c r="A2977" s="1" t="s">
        <v>26</v>
      </c>
      <c r="B2977" s="1" t="s">
        <v>14097</v>
      </c>
      <c r="C2977" s="1" t="s">
        <v>14098</v>
      </c>
      <c r="D2977" s="1">
        <v>398420.0</v>
      </c>
      <c r="E2977" s="1" t="s">
        <v>1854</v>
      </c>
      <c r="F2977" s="1" t="s">
        <v>5891</v>
      </c>
      <c r="G2977" s="1" t="s">
        <v>14099</v>
      </c>
      <c r="H2977" s="1" t="s">
        <v>14100</v>
      </c>
      <c r="I2977" s="1">
        <v>5049.0</v>
      </c>
      <c r="J2977" s="1" t="s">
        <v>14101</v>
      </c>
      <c r="K2977" s="1" t="s">
        <v>14102</v>
      </c>
      <c r="L2977" s="1">
        <v>48.0</v>
      </c>
      <c r="M2977" s="1" t="s">
        <v>35</v>
      </c>
      <c r="N2977" s="1" t="s">
        <v>36</v>
      </c>
      <c r="O2977" s="1" t="s">
        <v>628</v>
      </c>
      <c r="P2977" s="1">
        <v>8000000.0</v>
      </c>
      <c r="Q2977" s="1">
        <v>2007.0</v>
      </c>
      <c r="R2977" s="1">
        <v>480.0</v>
      </c>
      <c r="S2977" s="1">
        <v>257.0</v>
      </c>
      <c r="T2977" s="1">
        <v>209.0</v>
      </c>
      <c r="U2977" s="1">
        <v>1234.0</v>
      </c>
      <c r="V2977" s="1">
        <v>30.0</v>
      </c>
      <c r="W2977" s="1">
        <v>226.0</v>
      </c>
      <c r="X2977" s="1">
        <v>3.0</v>
      </c>
      <c r="Y2977" s="1">
        <v>2.35</v>
      </c>
      <c r="Z2977" s="1">
        <v>6.4</v>
      </c>
    </row>
    <row r="2978" ht="14.25" customHeight="1">
      <c r="A2978" s="1" t="s">
        <v>26</v>
      </c>
      <c r="B2978" s="1" t="s">
        <v>14103</v>
      </c>
      <c r="C2978" s="1" t="s">
        <v>14104</v>
      </c>
      <c r="D2978" s="1">
        <v>336456.0</v>
      </c>
      <c r="E2978" s="1" t="s">
        <v>14105</v>
      </c>
      <c r="F2978" s="1" t="s">
        <v>91</v>
      </c>
      <c r="G2978" s="1" t="s">
        <v>423</v>
      </c>
      <c r="H2978" s="1" t="s">
        <v>1186</v>
      </c>
      <c r="I2978" s="1">
        <v>7116.0</v>
      </c>
      <c r="J2978" s="1" t="s">
        <v>14106</v>
      </c>
      <c r="K2978" s="1" t="s">
        <v>14107</v>
      </c>
      <c r="L2978" s="1">
        <v>79.0</v>
      </c>
      <c r="M2978" s="1" t="s">
        <v>35</v>
      </c>
      <c r="N2978" s="1" t="s">
        <v>36</v>
      </c>
      <c r="O2978" s="1" t="s">
        <v>628</v>
      </c>
      <c r="P2978" s="1">
        <v>8000000.0</v>
      </c>
      <c r="Q2978" s="1">
        <v>2003.0</v>
      </c>
      <c r="R2978" s="1">
        <v>21000.0</v>
      </c>
      <c r="S2978" s="1">
        <v>18000.0</v>
      </c>
      <c r="T2978" s="1">
        <v>1000.0</v>
      </c>
      <c r="U2978" s="1">
        <v>41645.0</v>
      </c>
      <c r="V2978" s="1">
        <v>200.0</v>
      </c>
      <c r="W2978" s="1">
        <v>494.0</v>
      </c>
      <c r="X2978" s="1">
        <v>2.0</v>
      </c>
      <c r="Y2978" s="1">
        <v>1.85</v>
      </c>
      <c r="Z2978" s="1">
        <v>5.6</v>
      </c>
    </row>
    <row r="2979" ht="14.25" customHeight="1">
      <c r="A2979" s="1" t="s">
        <v>710</v>
      </c>
      <c r="B2979" s="1" t="s">
        <v>14108</v>
      </c>
      <c r="C2979" s="1" t="s">
        <v>14109</v>
      </c>
      <c r="D2979" s="1">
        <v>298110.0</v>
      </c>
      <c r="E2979" s="1" t="s">
        <v>12811</v>
      </c>
      <c r="F2979" s="1" t="s">
        <v>14110</v>
      </c>
      <c r="G2979" s="1" t="s">
        <v>2560</v>
      </c>
      <c r="H2979" s="1" t="s">
        <v>14111</v>
      </c>
      <c r="I2979" s="1">
        <v>25055.0</v>
      </c>
      <c r="J2979" s="1" t="s">
        <v>14112</v>
      </c>
      <c r="K2979" s="1" t="s">
        <v>14113</v>
      </c>
      <c r="L2979" s="1">
        <v>98.0</v>
      </c>
      <c r="M2979" s="1" t="s">
        <v>35</v>
      </c>
      <c r="N2979" s="1" t="s">
        <v>260</v>
      </c>
      <c r="O2979" s="1" t="s">
        <v>628</v>
      </c>
      <c r="P2979" s="1">
        <v>8000000.0</v>
      </c>
      <c r="Q2979" s="1">
        <v>2006.0</v>
      </c>
      <c r="R2979" s="1">
        <v>553.0</v>
      </c>
      <c r="S2979" s="1">
        <v>177.0</v>
      </c>
      <c r="T2979" s="1">
        <v>33.0</v>
      </c>
      <c r="U2979" s="1">
        <v>786.0</v>
      </c>
      <c r="V2979" s="1">
        <v>8.0</v>
      </c>
      <c r="W2979" s="1">
        <v>0.0</v>
      </c>
      <c r="X2979" s="1">
        <v>1.0</v>
      </c>
      <c r="Y2979" s="1">
        <v>2.35</v>
      </c>
      <c r="Z2979" s="1">
        <v>6.8</v>
      </c>
    </row>
    <row r="2980" ht="14.25" customHeight="1">
      <c r="A2980" s="1" t="s">
        <v>26</v>
      </c>
      <c r="B2980" s="1" t="s">
        <v>5176</v>
      </c>
      <c r="C2980" s="1" t="s">
        <v>14114</v>
      </c>
      <c r="D2980" s="1">
        <v>127144.0</v>
      </c>
      <c r="E2980" s="1" t="s">
        <v>1359</v>
      </c>
      <c r="F2980" s="1" t="s">
        <v>1197</v>
      </c>
      <c r="G2980" s="1" t="s">
        <v>8871</v>
      </c>
      <c r="H2980" s="1" t="s">
        <v>5204</v>
      </c>
      <c r="I2980" s="1">
        <v>5159.0</v>
      </c>
      <c r="J2980" s="1" t="s">
        <v>14115</v>
      </c>
      <c r="K2980" s="1" t="s">
        <v>14116</v>
      </c>
      <c r="L2980" s="1">
        <v>27.0</v>
      </c>
      <c r="M2980" s="1" t="s">
        <v>35</v>
      </c>
      <c r="N2980" s="1" t="s">
        <v>36</v>
      </c>
      <c r="O2980" s="1" t="s">
        <v>37</v>
      </c>
      <c r="P2980" s="1">
        <v>8000000.0</v>
      </c>
      <c r="Q2980" s="1">
        <v>2005.0</v>
      </c>
      <c r="R2980" s="1">
        <v>8000.0</v>
      </c>
      <c r="S2980" s="1">
        <v>489.0</v>
      </c>
      <c r="T2980" s="1">
        <v>399.0</v>
      </c>
      <c r="U2980" s="1">
        <v>9608.0</v>
      </c>
      <c r="V2980" s="1">
        <v>387.0</v>
      </c>
      <c r="W2980" s="1">
        <v>143.0</v>
      </c>
      <c r="X2980" s="1">
        <v>4.0</v>
      </c>
      <c r="Y2980" s="1">
        <v>2.35</v>
      </c>
      <c r="Z2980" s="1">
        <v>5.5</v>
      </c>
    </row>
    <row r="2981" ht="14.25" customHeight="1">
      <c r="A2981" s="1" t="s">
        <v>26</v>
      </c>
      <c r="B2981" s="1" t="s">
        <v>6543</v>
      </c>
      <c r="C2981" s="1" t="s">
        <v>14117</v>
      </c>
      <c r="D2981" s="1">
        <v>117190.0</v>
      </c>
      <c r="E2981" s="1" t="s">
        <v>1670</v>
      </c>
      <c r="F2981" s="1" t="s">
        <v>100</v>
      </c>
      <c r="G2981" s="1" t="s">
        <v>688</v>
      </c>
      <c r="H2981" s="1" t="s">
        <v>14118</v>
      </c>
      <c r="I2981" s="1">
        <v>29994.0</v>
      </c>
      <c r="J2981" s="1" t="s">
        <v>14119</v>
      </c>
      <c r="K2981" s="1" t="s">
        <v>14120</v>
      </c>
      <c r="L2981" s="1">
        <v>86.0</v>
      </c>
      <c r="M2981" s="1" t="s">
        <v>35</v>
      </c>
      <c r="N2981" s="1" t="s">
        <v>54</v>
      </c>
      <c r="O2981" s="1" t="s">
        <v>37</v>
      </c>
      <c r="P2981" s="1">
        <v>8000000.0</v>
      </c>
      <c r="Q2981" s="1">
        <v>2010.0</v>
      </c>
      <c r="R2981" s="1">
        <v>10000.0</v>
      </c>
      <c r="S2981" s="1">
        <v>692.0</v>
      </c>
      <c r="T2981" s="1">
        <v>405.0</v>
      </c>
      <c r="U2981" s="1">
        <v>11770.0</v>
      </c>
      <c r="V2981" s="1">
        <v>36.0</v>
      </c>
      <c r="W2981" s="1">
        <v>0.0</v>
      </c>
      <c r="X2981" s="1">
        <v>4.0</v>
      </c>
      <c r="Y2981" s="1">
        <v>2.35</v>
      </c>
      <c r="Z2981" s="1">
        <v>6.9</v>
      </c>
    </row>
    <row r="2982" ht="14.25" customHeight="1">
      <c r="A2982" s="1" t="s">
        <v>26</v>
      </c>
      <c r="B2982" s="1" t="s">
        <v>14121</v>
      </c>
      <c r="C2982" s="1" t="s">
        <v>14122</v>
      </c>
      <c r="D2982" s="1">
        <v>108662.0</v>
      </c>
      <c r="E2982" s="1" t="s">
        <v>6395</v>
      </c>
      <c r="F2982" s="1" t="s">
        <v>5544</v>
      </c>
      <c r="G2982" s="1" t="s">
        <v>14123</v>
      </c>
      <c r="H2982" s="1" t="s">
        <v>13283</v>
      </c>
      <c r="I2982" s="1">
        <v>26849.0</v>
      </c>
      <c r="J2982" s="1" t="s">
        <v>14124</v>
      </c>
      <c r="K2982" s="1" t="s">
        <v>14125</v>
      </c>
      <c r="L2982" s="1">
        <v>107.0</v>
      </c>
      <c r="M2982" s="1" t="s">
        <v>35</v>
      </c>
      <c r="N2982" s="1" t="s">
        <v>36</v>
      </c>
      <c r="O2982" s="1" t="s">
        <v>628</v>
      </c>
      <c r="P2982" s="1">
        <v>8000000.0</v>
      </c>
      <c r="Q2982" s="1">
        <v>2008.0</v>
      </c>
      <c r="R2982" s="1">
        <v>905.0</v>
      </c>
      <c r="S2982" s="1">
        <v>513.0</v>
      </c>
      <c r="T2982" s="1">
        <v>448.0</v>
      </c>
      <c r="U2982" s="1">
        <v>3185.0</v>
      </c>
      <c r="V2982" s="1">
        <v>3.0</v>
      </c>
      <c r="W2982" s="1">
        <v>3000.0</v>
      </c>
      <c r="X2982" s="1">
        <v>0.0</v>
      </c>
      <c r="Y2982" s="1">
        <v>2.35</v>
      </c>
      <c r="Z2982" s="1">
        <v>6.0</v>
      </c>
    </row>
    <row r="2983" ht="14.25" customHeight="1">
      <c r="A2983" s="1" t="s">
        <v>26</v>
      </c>
      <c r="B2983" s="1" t="s">
        <v>14126</v>
      </c>
      <c r="C2983" s="1" t="s">
        <v>14127</v>
      </c>
      <c r="D2983" s="1">
        <v>53481.0</v>
      </c>
      <c r="E2983" s="1" t="s">
        <v>2045</v>
      </c>
      <c r="F2983" s="1" t="s">
        <v>758</v>
      </c>
      <c r="G2983" s="1" t="s">
        <v>5368</v>
      </c>
      <c r="H2983" s="1" t="s">
        <v>4678</v>
      </c>
      <c r="I2983" s="1">
        <v>5557.0</v>
      </c>
      <c r="J2983" s="1" t="s">
        <v>14128</v>
      </c>
      <c r="K2983" s="1" t="s">
        <v>14129</v>
      </c>
      <c r="L2983" s="1">
        <v>34.0</v>
      </c>
      <c r="M2983" s="1" t="s">
        <v>35</v>
      </c>
      <c r="N2983" s="1" t="s">
        <v>36</v>
      </c>
      <c r="O2983" s="1" t="s">
        <v>628</v>
      </c>
      <c r="P2983" s="1">
        <v>8000000.0</v>
      </c>
      <c r="Q2983" s="1">
        <v>2006.0</v>
      </c>
      <c r="R2983" s="1">
        <v>954.0</v>
      </c>
      <c r="S2983" s="1">
        <v>551.0</v>
      </c>
      <c r="T2983" s="1">
        <v>463.0</v>
      </c>
      <c r="U2983" s="1">
        <v>2512.0</v>
      </c>
      <c r="V2983" s="1">
        <v>53.0</v>
      </c>
      <c r="W2983" s="1">
        <v>294.0</v>
      </c>
      <c r="X2983" s="1">
        <v>5.0</v>
      </c>
      <c r="Y2983" s="1">
        <v>2.35</v>
      </c>
      <c r="Z2983" s="1">
        <v>6.4</v>
      </c>
    </row>
    <row r="2984" ht="14.25" customHeight="1">
      <c r="A2984" s="1" t="s">
        <v>26</v>
      </c>
      <c r="B2984" s="1" t="s">
        <v>14130</v>
      </c>
      <c r="C2984" s="1" t="s">
        <v>14131</v>
      </c>
      <c r="D2984" s="1">
        <v>23106.0</v>
      </c>
      <c r="E2984" s="1" t="s">
        <v>2964</v>
      </c>
      <c r="F2984" s="1" t="s">
        <v>2214</v>
      </c>
      <c r="G2984" s="1" t="s">
        <v>14132</v>
      </c>
      <c r="H2984" s="1" t="s">
        <v>6802</v>
      </c>
      <c r="I2984" s="1">
        <v>9003.0</v>
      </c>
      <c r="J2984" s="1" t="s">
        <v>14133</v>
      </c>
      <c r="K2984" s="1" t="s">
        <v>14134</v>
      </c>
      <c r="L2984" s="1">
        <v>58.0</v>
      </c>
      <c r="M2984" s="1" t="s">
        <v>35</v>
      </c>
      <c r="N2984" s="1" t="s">
        <v>8105</v>
      </c>
      <c r="O2984" s="1" t="s">
        <v>12164</v>
      </c>
      <c r="P2984" s="1">
        <v>5.0E7</v>
      </c>
      <c r="Q2984" s="1">
        <v>2004.0</v>
      </c>
      <c r="R2984" s="1">
        <v>947.0</v>
      </c>
      <c r="S2984" s="1">
        <v>526.0</v>
      </c>
      <c r="T2984" s="1">
        <v>488.0</v>
      </c>
      <c r="U2984" s="1">
        <v>2572.0</v>
      </c>
      <c r="V2984" s="1">
        <v>346.0</v>
      </c>
      <c r="W2984" s="1">
        <v>532.0</v>
      </c>
      <c r="X2984" s="1">
        <v>0.0</v>
      </c>
      <c r="Y2984" s="1">
        <v>1.66</v>
      </c>
      <c r="Z2984" s="1">
        <v>6.6</v>
      </c>
    </row>
    <row r="2985" ht="14.25" customHeight="1">
      <c r="A2985" s="1" t="s">
        <v>26</v>
      </c>
      <c r="B2985" s="1" t="s">
        <v>10488</v>
      </c>
      <c r="C2985" s="1" t="s">
        <v>14135</v>
      </c>
      <c r="D2985" s="1">
        <v>439162.0</v>
      </c>
      <c r="E2985" s="1" t="s">
        <v>14136</v>
      </c>
      <c r="F2985" s="1" t="s">
        <v>14137</v>
      </c>
      <c r="G2985" s="1" t="s">
        <v>14138</v>
      </c>
      <c r="H2985" s="1" t="s">
        <v>14139</v>
      </c>
      <c r="I2985" s="1">
        <v>106160.0</v>
      </c>
      <c r="J2985" s="1" t="s">
        <v>14140</v>
      </c>
      <c r="K2985" s="1" t="s">
        <v>14141</v>
      </c>
      <c r="L2985" s="1">
        <v>430.0</v>
      </c>
      <c r="M2985" s="1" t="s">
        <v>7281</v>
      </c>
      <c r="N2985" s="1" t="s">
        <v>2821</v>
      </c>
      <c r="O2985" s="1" t="s">
        <v>628</v>
      </c>
      <c r="P2985" s="1">
        <v>1.1E9</v>
      </c>
      <c r="Q2985" s="1">
        <v>1988.0</v>
      </c>
      <c r="R2985" s="1">
        <v>6.0</v>
      </c>
      <c r="S2985" s="1">
        <v>5.0</v>
      </c>
      <c r="T2985" s="1">
        <v>4.0</v>
      </c>
      <c r="U2985" s="1">
        <v>28.0</v>
      </c>
      <c r="V2985" s="1">
        <v>78.0</v>
      </c>
      <c r="W2985" s="1">
        <v>0.0</v>
      </c>
      <c r="X2985" s="1">
        <v>0.0</v>
      </c>
      <c r="Y2985" s="1">
        <v>1.85</v>
      </c>
      <c r="Z2985" s="1">
        <v>8.1</v>
      </c>
    </row>
    <row r="2986" ht="14.25" customHeight="1">
      <c r="A2986" s="1" t="s">
        <v>26</v>
      </c>
      <c r="B2986" s="1" t="s">
        <v>14142</v>
      </c>
      <c r="C2986" s="1" t="s">
        <v>14143</v>
      </c>
      <c r="D2986" s="1">
        <v>671240.0</v>
      </c>
      <c r="E2986" s="1" t="s">
        <v>1359</v>
      </c>
      <c r="F2986" s="1" t="s">
        <v>4982</v>
      </c>
      <c r="G2986" s="1" t="s">
        <v>5012</v>
      </c>
      <c r="H2986" s="1" t="s">
        <v>14144</v>
      </c>
      <c r="I2986" s="1">
        <v>23023.0</v>
      </c>
      <c r="J2986" s="1" t="s">
        <v>14145</v>
      </c>
      <c r="K2986" s="1" t="s">
        <v>14146</v>
      </c>
      <c r="L2986" s="1">
        <v>149.0</v>
      </c>
      <c r="M2986" s="1" t="s">
        <v>35</v>
      </c>
      <c r="N2986" s="1" t="s">
        <v>54</v>
      </c>
      <c r="O2986" s="1" t="s">
        <v>628</v>
      </c>
      <c r="P2986" s="1">
        <v>7900000.0</v>
      </c>
      <c r="Q2986" s="1">
        <v>2005.0</v>
      </c>
      <c r="R2986" s="1">
        <v>186.0</v>
      </c>
      <c r="S2986" s="1">
        <v>119.0</v>
      </c>
      <c r="T2986" s="1">
        <v>112.0</v>
      </c>
      <c r="U2986" s="1">
        <v>619.0</v>
      </c>
      <c r="V2986" s="1">
        <v>21.0</v>
      </c>
      <c r="W2986" s="1">
        <v>0.0</v>
      </c>
      <c r="X2986" s="1">
        <v>0.0</v>
      </c>
      <c r="Y2986" s="1">
        <v>2.35</v>
      </c>
      <c r="Z2986" s="1">
        <v>6.9</v>
      </c>
    </row>
    <row r="2987" ht="14.25" customHeight="1">
      <c r="A2987" s="1" t="s">
        <v>26</v>
      </c>
      <c r="B2987" s="1" t="s">
        <v>14147</v>
      </c>
      <c r="C2987" s="1" t="s">
        <v>14148</v>
      </c>
      <c r="D2987" s="1">
        <v>882290.0</v>
      </c>
      <c r="E2987" s="1" t="s">
        <v>3308</v>
      </c>
      <c r="F2987" s="1" t="s">
        <v>457</v>
      </c>
      <c r="G2987" s="1" t="s">
        <v>4993</v>
      </c>
      <c r="H2987" s="1" t="s">
        <v>14149</v>
      </c>
      <c r="I2987" s="1">
        <v>4792.0</v>
      </c>
      <c r="J2987" s="1" t="s">
        <v>14150</v>
      </c>
      <c r="K2987" s="1" t="s">
        <v>14151</v>
      </c>
      <c r="L2987" s="1">
        <v>43.0</v>
      </c>
      <c r="M2987" s="1" t="s">
        <v>35</v>
      </c>
      <c r="N2987" s="1" t="s">
        <v>362</v>
      </c>
      <c r="O2987" s="1" t="s">
        <v>628</v>
      </c>
      <c r="P2987" s="1">
        <v>1.0E7</v>
      </c>
      <c r="Q2987" s="1">
        <v>1989.0</v>
      </c>
      <c r="R2987" s="1">
        <v>848.0</v>
      </c>
      <c r="S2987" s="1">
        <v>643.0</v>
      </c>
      <c r="T2987" s="1">
        <v>26.0</v>
      </c>
      <c r="U2987" s="1">
        <v>1526.0</v>
      </c>
      <c r="V2987" s="1">
        <v>73.0</v>
      </c>
      <c r="W2987" s="1">
        <v>999.0</v>
      </c>
      <c r="X2987" s="1">
        <v>2.0</v>
      </c>
      <c r="Y2987" s="1">
        <v>1.33</v>
      </c>
      <c r="Z2987" s="1">
        <v>6.5</v>
      </c>
    </row>
    <row r="2988" ht="14.25" customHeight="1">
      <c r="A2988" s="1" t="s">
        <v>26</v>
      </c>
      <c r="B2988" s="1" t="s">
        <v>5861</v>
      </c>
      <c r="C2988" s="1" t="s">
        <v>14152</v>
      </c>
      <c r="D2988" s="1">
        <v>1.06593296E8</v>
      </c>
      <c r="E2988" s="1" t="s">
        <v>3731</v>
      </c>
      <c r="F2988" s="1" t="s">
        <v>451</v>
      </c>
      <c r="G2988" s="1" t="s">
        <v>14153</v>
      </c>
      <c r="H2988" s="1" t="s">
        <v>14154</v>
      </c>
      <c r="I2988" s="1">
        <v>72324.0</v>
      </c>
      <c r="J2988" s="1" t="s">
        <v>14155</v>
      </c>
      <c r="K2988" s="1" t="s">
        <v>14156</v>
      </c>
      <c r="L2988" s="1">
        <v>134.0</v>
      </c>
      <c r="M2988" s="1" t="s">
        <v>35</v>
      </c>
      <c r="N2988" s="1" t="s">
        <v>36</v>
      </c>
      <c r="O2988" s="1" t="s">
        <v>87</v>
      </c>
      <c r="P2988" s="1">
        <v>7500000.0</v>
      </c>
      <c r="Q2988" s="1">
        <v>1989.0</v>
      </c>
      <c r="R2988" s="1">
        <v>11000.0</v>
      </c>
      <c r="S2988" s="1">
        <v>509.0</v>
      </c>
      <c r="T2988" s="1">
        <v>325.0</v>
      </c>
      <c r="U2988" s="1">
        <v>12619.0</v>
      </c>
      <c r="V2988" s="1">
        <v>78.0</v>
      </c>
      <c r="W2988" s="1">
        <v>3000.0</v>
      </c>
      <c r="X2988" s="1">
        <v>1.0</v>
      </c>
      <c r="Y2988" s="1">
        <v>1.85</v>
      </c>
      <c r="Z2988" s="1">
        <v>7.4</v>
      </c>
    </row>
    <row r="2989" ht="14.25" customHeight="1">
      <c r="A2989" s="1" t="s">
        <v>26</v>
      </c>
      <c r="B2989" s="1" t="s">
        <v>7282</v>
      </c>
      <c r="C2989" s="1" t="s">
        <v>14157</v>
      </c>
      <c r="D2989" s="1">
        <v>4.3490057E7</v>
      </c>
      <c r="E2989" s="1" t="s">
        <v>2422</v>
      </c>
      <c r="F2989" s="1" t="s">
        <v>1677</v>
      </c>
      <c r="G2989" s="1" t="s">
        <v>1470</v>
      </c>
      <c r="H2989" s="1" t="s">
        <v>609</v>
      </c>
      <c r="I2989" s="1">
        <v>5275.0</v>
      </c>
      <c r="J2989" s="1" t="s">
        <v>14158</v>
      </c>
      <c r="K2989" s="1" t="s">
        <v>14159</v>
      </c>
      <c r="L2989" s="1">
        <v>30.0</v>
      </c>
      <c r="M2989" s="1" t="s">
        <v>35</v>
      </c>
      <c r="N2989" s="1" t="s">
        <v>36</v>
      </c>
      <c r="O2989" s="1" t="s">
        <v>628</v>
      </c>
      <c r="P2989" s="1">
        <v>7500000.0</v>
      </c>
      <c r="Q2989" s="1">
        <v>1997.0</v>
      </c>
      <c r="R2989" s="1">
        <v>1000.0</v>
      </c>
      <c r="S2989" s="1">
        <v>1000.0</v>
      </c>
      <c r="T2989" s="1">
        <v>890.0</v>
      </c>
      <c r="U2989" s="1">
        <v>4737.0</v>
      </c>
      <c r="V2989" s="1">
        <v>88.0</v>
      </c>
      <c r="W2989" s="1">
        <v>508.0</v>
      </c>
      <c r="X2989" s="1">
        <v>6.0</v>
      </c>
      <c r="Y2989" s="1">
        <v>1.85</v>
      </c>
      <c r="Z2989" s="1">
        <v>6.9</v>
      </c>
    </row>
    <row r="2990" ht="14.25" customHeight="1">
      <c r="A2990" s="1" t="s">
        <v>26</v>
      </c>
      <c r="B2990" s="1" t="s">
        <v>14160</v>
      </c>
      <c r="C2990" s="1" t="s">
        <v>14161</v>
      </c>
      <c r="D2990" s="1">
        <v>3.233386E7</v>
      </c>
      <c r="E2990" s="1" t="s">
        <v>2056</v>
      </c>
      <c r="F2990" s="1" t="s">
        <v>14162</v>
      </c>
      <c r="G2990" s="1" t="s">
        <v>14163</v>
      </c>
      <c r="H2990" s="1" t="s">
        <v>14164</v>
      </c>
      <c r="I2990" s="1">
        <v>29843.0</v>
      </c>
      <c r="J2990" s="1" t="s">
        <v>14165</v>
      </c>
      <c r="K2990" s="1" t="s">
        <v>14166</v>
      </c>
      <c r="L2990" s="1">
        <v>81.0</v>
      </c>
      <c r="M2990" s="1" t="s">
        <v>6797</v>
      </c>
      <c r="N2990" s="1" t="s">
        <v>3659</v>
      </c>
      <c r="O2990" s="1" t="s">
        <v>628</v>
      </c>
      <c r="P2990" s="1">
        <v>7500000.0</v>
      </c>
      <c r="Q2990" s="1">
        <v>1995.0</v>
      </c>
      <c r="R2990" s="1">
        <v>186.0</v>
      </c>
      <c r="S2990" s="1">
        <v>147.0</v>
      </c>
      <c r="T2990" s="1">
        <v>36.0</v>
      </c>
      <c r="U2990" s="1">
        <v>407.0</v>
      </c>
      <c r="V2990" s="1">
        <v>7.0</v>
      </c>
      <c r="W2990" s="1">
        <v>0.0</v>
      </c>
      <c r="X2990" s="1">
        <v>1.0</v>
      </c>
      <c r="Y2990" s="1">
        <v>2.35</v>
      </c>
      <c r="Z2990" s="1">
        <v>6.7</v>
      </c>
    </row>
    <row r="2991" ht="14.25" customHeight="1">
      <c r="A2991" s="1" t="s">
        <v>26</v>
      </c>
      <c r="B2991" s="1" t="s">
        <v>7666</v>
      </c>
      <c r="C2991" s="1" t="s">
        <v>14167</v>
      </c>
      <c r="D2991" s="1">
        <v>2.4792061E7</v>
      </c>
      <c r="E2991" s="1" t="s">
        <v>2422</v>
      </c>
      <c r="F2991" s="1" t="s">
        <v>74</v>
      </c>
      <c r="G2991" s="1" t="s">
        <v>7967</v>
      </c>
      <c r="H2991" s="1" t="s">
        <v>14168</v>
      </c>
      <c r="I2991" s="1">
        <v>191998.0</v>
      </c>
      <c r="J2991" s="1" t="s">
        <v>14169</v>
      </c>
      <c r="K2991" s="1" t="s">
        <v>14170</v>
      </c>
      <c r="L2991" s="1">
        <v>323.0</v>
      </c>
      <c r="M2991" s="1" t="s">
        <v>35</v>
      </c>
      <c r="N2991" s="1" t="s">
        <v>36</v>
      </c>
      <c r="O2991" s="1" t="s">
        <v>628</v>
      </c>
      <c r="P2991" s="1">
        <v>6500000.0</v>
      </c>
      <c r="Q2991" s="1">
        <v>2005.0</v>
      </c>
      <c r="R2991" s="1">
        <v>24000.0</v>
      </c>
      <c r="S2991" s="1">
        <v>829.0</v>
      </c>
      <c r="T2991" s="1">
        <v>88.0</v>
      </c>
      <c r="U2991" s="1">
        <v>25092.0</v>
      </c>
      <c r="V2991" s="1">
        <v>655.0</v>
      </c>
      <c r="W2991" s="1">
        <v>0.0</v>
      </c>
      <c r="X2991" s="1">
        <v>0.0</v>
      </c>
      <c r="Y2991" s="1">
        <v>2.35</v>
      </c>
      <c r="Z2991" s="1">
        <v>7.6</v>
      </c>
    </row>
    <row r="2992" ht="14.25" customHeight="1">
      <c r="A2992" s="1" t="s">
        <v>26</v>
      </c>
      <c r="B2992" s="1" t="s">
        <v>14171</v>
      </c>
      <c r="C2992" s="1" t="s">
        <v>14172</v>
      </c>
      <c r="D2992" s="1">
        <v>1.7544812E7</v>
      </c>
      <c r="E2992" s="1" t="s">
        <v>6019</v>
      </c>
      <c r="F2992" s="1" t="s">
        <v>3524</v>
      </c>
      <c r="G2992" s="1" t="s">
        <v>12955</v>
      </c>
      <c r="H2992" s="1" t="s">
        <v>14173</v>
      </c>
      <c r="I2992" s="1">
        <v>69989.0</v>
      </c>
      <c r="J2992" s="1" t="s">
        <v>14174</v>
      </c>
      <c r="K2992" s="1" t="s">
        <v>14175</v>
      </c>
      <c r="L2992" s="1">
        <v>384.0</v>
      </c>
      <c r="M2992" s="1" t="s">
        <v>35</v>
      </c>
      <c r="N2992" s="1" t="s">
        <v>36</v>
      </c>
      <c r="O2992" s="1" t="s">
        <v>628</v>
      </c>
      <c r="P2992" s="1">
        <v>1.0E7</v>
      </c>
      <c r="Q2992" s="1">
        <v>2007.0</v>
      </c>
      <c r="R2992" s="1">
        <v>1000.0</v>
      </c>
      <c r="S2992" s="1">
        <v>683.0</v>
      </c>
      <c r="T2992" s="1">
        <v>658.0</v>
      </c>
      <c r="U2992" s="1">
        <v>4707.0</v>
      </c>
      <c r="V2992" s="1">
        <v>0.0</v>
      </c>
      <c r="W2992" s="1">
        <v>0.0</v>
      </c>
      <c r="X2992" s="1">
        <v>0.0</v>
      </c>
      <c r="Y2992" s="1">
        <v>2.35</v>
      </c>
      <c r="Z2992" s="1">
        <v>5.4</v>
      </c>
    </row>
    <row r="2993" ht="14.25" customHeight="1">
      <c r="A2993" s="1" t="s">
        <v>26</v>
      </c>
      <c r="B2993" s="1" t="s">
        <v>11751</v>
      </c>
      <c r="C2993" s="1" t="s">
        <v>14176</v>
      </c>
      <c r="D2993" s="1">
        <v>1.2574715E7</v>
      </c>
      <c r="E2993" s="1" t="s">
        <v>3238</v>
      </c>
      <c r="F2993" s="1" t="s">
        <v>693</v>
      </c>
      <c r="G2993" s="1" t="s">
        <v>1938</v>
      </c>
      <c r="H2993" s="1" t="s">
        <v>14177</v>
      </c>
      <c r="I2993" s="1">
        <v>112138.0</v>
      </c>
      <c r="J2993" s="1" t="s">
        <v>14178</v>
      </c>
      <c r="K2993" s="1" t="s">
        <v>14179</v>
      </c>
      <c r="L2993" s="1">
        <v>237.0</v>
      </c>
      <c r="M2993" s="1" t="s">
        <v>35</v>
      </c>
      <c r="N2993" s="1" t="s">
        <v>54</v>
      </c>
      <c r="O2993" s="1" t="s">
        <v>37</v>
      </c>
      <c r="P2993" s="1">
        <v>4500000.0</v>
      </c>
      <c r="Q2993" s="1">
        <v>2009.0</v>
      </c>
      <c r="R2993" s="1">
        <v>3000.0</v>
      </c>
      <c r="S2993" s="1">
        <v>766.0</v>
      </c>
      <c r="T2993" s="1">
        <v>221.0</v>
      </c>
      <c r="U2993" s="1">
        <v>4198.0</v>
      </c>
      <c r="V2993" s="1">
        <v>92.0</v>
      </c>
      <c r="W2993" s="1">
        <v>12000.0</v>
      </c>
      <c r="X2993" s="1">
        <v>0.0</v>
      </c>
      <c r="Y2993" s="1">
        <v>2.35</v>
      </c>
      <c r="Z2993" s="1">
        <v>7.3</v>
      </c>
    </row>
    <row r="2994" ht="14.25" customHeight="1">
      <c r="A2994" s="1" t="s">
        <v>26</v>
      </c>
      <c r="B2994" s="1" t="s">
        <v>14180</v>
      </c>
      <c r="C2994" s="1" t="s">
        <v>14181</v>
      </c>
      <c r="D2994" s="1">
        <v>5100000.0</v>
      </c>
      <c r="E2994" s="1" t="s">
        <v>1359</v>
      </c>
      <c r="F2994" s="1" t="s">
        <v>2063</v>
      </c>
      <c r="G2994" s="1" t="s">
        <v>6968</v>
      </c>
      <c r="H2994" s="1" t="s">
        <v>14182</v>
      </c>
      <c r="I2994" s="1">
        <v>6595.0</v>
      </c>
      <c r="J2994" s="1" t="s">
        <v>14183</v>
      </c>
      <c r="K2994" s="1" t="s">
        <v>14184</v>
      </c>
      <c r="L2994" s="1">
        <v>61.0</v>
      </c>
      <c r="M2994" s="1" t="s">
        <v>35</v>
      </c>
      <c r="N2994" s="1" t="s">
        <v>54</v>
      </c>
      <c r="O2994" s="1" t="s">
        <v>628</v>
      </c>
      <c r="P2994" s="1">
        <v>7500000.0</v>
      </c>
      <c r="Q2994" s="1">
        <v>1984.0</v>
      </c>
      <c r="R2994" s="1">
        <v>584.0</v>
      </c>
      <c r="S2994" s="1">
        <v>552.0</v>
      </c>
      <c r="T2994" s="1">
        <v>518.0</v>
      </c>
      <c r="U2994" s="1">
        <v>2024.0</v>
      </c>
      <c r="V2994" s="1">
        <v>62.0</v>
      </c>
      <c r="W2994" s="1">
        <v>345.0</v>
      </c>
      <c r="X2994" s="1">
        <v>0.0</v>
      </c>
      <c r="Y2994" s="1">
        <v>1.85</v>
      </c>
      <c r="Z2994" s="1">
        <v>6.0</v>
      </c>
    </row>
    <row r="2995" ht="14.25" customHeight="1">
      <c r="A2995" s="1" t="s">
        <v>26</v>
      </c>
      <c r="B2995" s="1" t="s">
        <v>8814</v>
      </c>
      <c r="C2995" s="1" t="s">
        <v>14185</v>
      </c>
      <c r="D2995" s="1">
        <v>1.0460089E7</v>
      </c>
      <c r="E2995" s="1" t="s">
        <v>2061</v>
      </c>
      <c r="F2995" s="1" t="s">
        <v>1530</v>
      </c>
      <c r="G2995" s="1" t="s">
        <v>1568</v>
      </c>
      <c r="H2995" s="1" t="s">
        <v>13038</v>
      </c>
      <c r="I2995" s="1">
        <v>34098.0</v>
      </c>
      <c r="J2995" s="1" t="s">
        <v>14186</v>
      </c>
      <c r="K2995" s="1" t="s">
        <v>14187</v>
      </c>
      <c r="L2995" s="1">
        <v>214.0</v>
      </c>
      <c r="M2995" s="1" t="s">
        <v>35</v>
      </c>
      <c r="N2995" s="1" t="s">
        <v>36</v>
      </c>
      <c r="O2995" s="1" t="s">
        <v>628</v>
      </c>
      <c r="P2995" s="1">
        <v>7500000.0</v>
      </c>
      <c r="Q2995" s="1">
        <v>2002.0</v>
      </c>
      <c r="R2995" s="1">
        <v>673.0</v>
      </c>
      <c r="S2995" s="1">
        <v>466.0</v>
      </c>
      <c r="T2995" s="1">
        <v>147.0</v>
      </c>
      <c r="U2995" s="1">
        <v>1442.0</v>
      </c>
      <c r="V2995" s="1">
        <v>248.0</v>
      </c>
      <c r="W2995" s="1">
        <v>1000.0</v>
      </c>
      <c r="X2995" s="1">
        <v>1.0</v>
      </c>
      <c r="Y2995" s="1">
        <v>1.85</v>
      </c>
      <c r="Z2995" s="1">
        <v>7.2</v>
      </c>
    </row>
    <row r="2996" ht="14.25" customHeight="1">
      <c r="A2996" s="1" t="s">
        <v>26</v>
      </c>
      <c r="B2996" s="1" t="s">
        <v>14188</v>
      </c>
      <c r="C2996" s="1" t="s">
        <v>14189</v>
      </c>
      <c r="D2996" s="1">
        <v>4239767.0</v>
      </c>
      <c r="E2996" s="1" t="s">
        <v>4241</v>
      </c>
      <c r="F2996" s="1" t="s">
        <v>14190</v>
      </c>
      <c r="G2996" s="1" t="s">
        <v>14188</v>
      </c>
      <c r="H2996" s="1" t="s">
        <v>6588</v>
      </c>
      <c r="I2996" s="1">
        <v>3709.0</v>
      </c>
      <c r="J2996" s="1" t="s">
        <v>14191</v>
      </c>
      <c r="K2996" s="1" t="s">
        <v>14192</v>
      </c>
      <c r="L2996" s="1">
        <v>83.0</v>
      </c>
      <c r="M2996" s="1" t="s">
        <v>35</v>
      </c>
      <c r="N2996" s="1" t="s">
        <v>260</v>
      </c>
      <c r="O2996" s="1" t="s">
        <v>628</v>
      </c>
      <c r="P2996" s="1">
        <v>7500000.0</v>
      </c>
      <c r="Q2996" s="1">
        <v>2002.0</v>
      </c>
      <c r="R2996" s="1">
        <v>611.0</v>
      </c>
      <c r="S2996" s="1">
        <v>329.0</v>
      </c>
      <c r="T2996" s="1">
        <v>280.0</v>
      </c>
      <c r="U2996" s="1">
        <v>1834.0</v>
      </c>
      <c r="V2996" s="1">
        <v>329.0</v>
      </c>
      <c r="W2996" s="1">
        <v>0.0</v>
      </c>
      <c r="X2996" s="1">
        <v>3.0</v>
      </c>
      <c r="Y2996" s="1">
        <v>1.85</v>
      </c>
      <c r="Z2996" s="1">
        <v>6.0</v>
      </c>
    </row>
    <row r="2997" ht="14.25" customHeight="1">
      <c r="A2997" s="1" t="s">
        <v>26</v>
      </c>
      <c r="B2997" s="1" t="s">
        <v>14193</v>
      </c>
      <c r="C2997" s="1" t="s">
        <v>14194</v>
      </c>
      <c r="D2997" s="1">
        <v>4131640.0</v>
      </c>
      <c r="E2997" s="1" t="s">
        <v>972</v>
      </c>
      <c r="F2997" s="1" t="s">
        <v>1625</v>
      </c>
      <c r="G2997" s="1" t="s">
        <v>5346</v>
      </c>
      <c r="H2997" s="1" t="s">
        <v>14195</v>
      </c>
      <c r="I2997" s="1">
        <v>5463.0</v>
      </c>
      <c r="J2997" s="1" t="s">
        <v>14196</v>
      </c>
      <c r="K2997" s="1" t="s">
        <v>14197</v>
      </c>
      <c r="L2997" s="1">
        <v>20.0</v>
      </c>
      <c r="M2997" s="1" t="s">
        <v>35</v>
      </c>
      <c r="N2997" s="1" t="s">
        <v>36</v>
      </c>
      <c r="O2997" s="1" t="s">
        <v>37</v>
      </c>
      <c r="P2997" s="1">
        <v>7500000.0</v>
      </c>
      <c r="Q2997" s="1">
        <v>2008.0</v>
      </c>
      <c r="R2997" s="1">
        <v>834.0</v>
      </c>
      <c r="S2997" s="1">
        <v>749.0</v>
      </c>
      <c r="T2997" s="1">
        <v>742.0</v>
      </c>
      <c r="U2997" s="1">
        <v>4091.0</v>
      </c>
      <c r="V2997" s="1">
        <v>18.0</v>
      </c>
      <c r="W2997" s="1">
        <v>140.0</v>
      </c>
      <c r="X2997" s="1">
        <v>2.0</v>
      </c>
      <c r="Y2997" s="1">
        <v>1.85</v>
      </c>
      <c r="Z2997" s="1">
        <v>3.1</v>
      </c>
    </row>
    <row r="2998" ht="14.25" customHeight="1">
      <c r="A2998" s="1" t="s">
        <v>26</v>
      </c>
      <c r="B2998" s="1" t="s">
        <v>12603</v>
      </c>
      <c r="C2998" s="1" t="s">
        <v>14198</v>
      </c>
      <c r="D2998" s="1">
        <v>1.0814185E7</v>
      </c>
      <c r="E2998" s="1" t="s">
        <v>4045</v>
      </c>
      <c r="F2998" s="1" t="s">
        <v>74</v>
      </c>
      <c r="G2998" s="1" t="s">
        <v>284</v>
      </c>
      <c r="H2998" s="1" t="s">
        <v>373</v>
      </c>
      <c r="I2998" s="1">
        <v>37530.0</v>
      </c>
      <c r="J2998" s="1" t="s">
        <v>14199</v>
      </c>
      <c r="K2998" s="1" t="s">
        <v>14200</v>
      </c>
      <c r="L2998" s="1">
        <v>106.0</v>
      </c>
      <c r="M2998" s="1" t="s">
        <v>35</v>
      </c>
      <c r="N2998" s="1" t="s">
        <v>36</v>
      </c>
      <c r="O2998" s="1" t="s">
        <v>628</v>
      </c>
      <c r="P2998" s="1">
        <v>8000000.0</v>
      </c>
      <c r="Q2998" s="1">
        <v>2009.0</v>
      </c>
      <c r="R2998" s="1">
        <v>24000.0</v>
      </c>
      <c r="S2998" s="1">
        <v>15000.0</v>
      </c>
      <c r="T2998" s="1">
        <v>968.0</v>
      </c>
      <c r="U2998" s="1">
        <v>41867.0</v>
      </c>
      <c r="V2998" s="1">
        <v>406.0</v>
      </c>
      <c r="W2998" s="1">
        <v>0.0</v>
      </c>
      <c r="X2998" s="1">
        <v>6.0</v>
      </c>
      <c r="Y2998" s="1">
        <v>1.85</v>
      </c>
      <c r="Z2998" s="1">
        <v>6.2</v>
      </c>
    </row>
    <row r="2999" ht="14.25" customHeight="1">
      <c r="A2999" s="1" t="s">
        <v>26</v>
      </c>
      <c r="B2999" s="1" t="s">
        <v>11814</v>
      </c>
      <c r="C2999" s="1" t="s">
        <v>14201</v>
      </c>
      <c r="D2999" s="1">
        <v>197148.0</v>
      </c>
      <c r="E2999" s="1" t="s">
        <v>14202</v>
      </c>
      <c r="F2999" s="1" t="s">
        <v>67</v>
      </c>
      <c r="G2999" s="1" t="s">
        <v>4461</v>
      </c>
      <c r="H2999" s="1" t="s">
        <v>14203</v>
      </c>
      <c r="I2999" s="1">
        <v>18109.0</v>
      </c>
      <c r="J2999" s="1" t="s">
        <v>14204</v>
      </c>
      <c r="K2999" s="1" t="s">
        <v>14205</v>
      </c>
      <c r="L2999" s="1">
        <v>150.0</v>
      </c>
      <c r="M2999" s="1" t="s">
        <v>35</v>
      </c>
      <c r="N2999" s="1" t="s">
        <v>54</v>
      </c>
      <c r="O2999" s="1" t="s">
        <v>628</v>
      </c>
      <c r="P2999" s="1">
        <v>7500000.0</v>
      </c>
      <c r="Q2999" s="1">
        <v>2003.0</v>
      </c>
      <c r="R2999" s="1">
        <v>631.0</v>
      </c>
      <c r="S2999" s="1">
        <v>163.0</v>
      </c>
      <c r="T2999" s="1">
        <v>158.0</v>
      </c>
      <c r="U2999" s="1">
        <v>1176.0</v>
      </c>
      <c r="V2999" s="1">
        <v>187.0</v>
      </c>
      <c r="W2999" s="1">
        <v>0.0</v>
      </c>
      <c r="X2999" s="1">
        <v>0.0</v>
      </c>
      <c r="Y2999" s="1">
        <v>2.35</v>
      </c>
      <c r="Z2999" s="1">
        <v>6.3</v>
      </c>
    </row>
    <row r="3000" ht="14.25" customHeight="1">
      <c r="A3000" s="1" t="s">
        <v>26</v>
      </c>
      <c r="B3000" s="1" t="s">
        <v>7959</v>
      </c>
      <c r="C3000" s="1" t="s">
        <v>13494</v>
      </c>
      <c r="D3000" s="1">
        <v>5.4557348E7</v>
      </c>
      <c r="E3000" s="1" t="s">
        <v>2045</v>
      </c>
      <c r="F3000" s="1" t="s">
        <v>244</v>
      </c>
      <c r="G3000" s="1" t="s">
        <v>2924</v>
      </c>
      <c r="H3000" s="1" t="s">
        <v>4878</v>
      </c>
      <c r="I3000" s="1">
        <v>361169.0</v>
      </c>
      <c r="J3000" s="1" t="s">
        <v>13495</v>
      </c>
      <c r="K3000" s="1" t="s">
        <v>13496</v>
      </c>
      <c r="L3000" s="1">
        <v>1624.0</v>
      </c>
      <c r="M3000" s="1" t="s">
        <v>35</v>
      </c>
      <c r="N3000" s="1" t="s">
        <v>730</v>
      </c>
      <c r="O3000" s="1" t="s">
        <v>628</v>
      </c>
      <c r="P3000" s="1">
        <v>6500000.0</v>
      </c>
      <c r="Q3000" s="1">
        <v>2004.0</v>
      </c>
      <c r="R3000" s="1">
        <v>3000.0</v>
      </c>
      <c r="S3000" s="1">
        <v>912.0</v>
      </c>
      <c r="T3000" s="1">
        <v>911.0</v>
      </c>
      <c r="U3000" s="1">
        <v>5732.0</v>
      </c>
      <c r="V3000" s="1">
        <v>549.0</v>
      </c>
      <c r="W3000" s="1">
        <v>18000.0</v>
      </c>
      <c r="X3000" s="1">
        <v>0.0</v>
      </c>
      <c r="Y3000" s="1">
        <v>2.35</v>
      </c>
      <c r="Z3000" s="1">
        <v>7.9</v>
      </c>
    </row>
    <row r="3001" ht="14.25" customHeight="1">
      <c r="A3001" s="1" t="s">
        <v>26</v>
      </c>
      <c r="B3001" s="1" t="s">
        <v>14206</v>
      </c>
      <c r="C3001" s="1" t="s">
        <v>14207</v>
      </c>
      <c r="D3001" s="1">
        <v>3014541.0</v>
      </c>
      <c r="E3001" s="1" t="s">
        <v>3238</v>
      </c>
      <c r="F3001" s="1" t="s">
        <v>12839</v>
      </c>
      <c r="G3001" s="1" t="s">
        <v>14208</v>
      </c>
      <c r="H3001" s="1" t="s">
        <v>8169</v>
      </c>
      <c r="I3001" s="1">
        <v>19616.0</v>
      </c>
      <c r="J3001" s="1" t="s">
        <v>14209</v>
      </c>
      <c r="K3001" s="1" t="s">
        <v>14210</v>
      </c>
      <c r="L3001" s="1">
        <v>98.0</v>
      </c>
      <c r="M3001" s="1" t="s">
        <v>35</v>
      </c>
      <c r="N3001" s="1" t="s">
        <v>54</v>
      </c>
      <c r="O3001" s="1" t="s">
        <v>628</v>
      </c>
      <c r="P3001" s="1">
        <v>8000000.0</v>
      </c>
      <c r="Q3001" s="1">
        <v>2011.0</v>
      </c>
      <c r="R3001" s="1">
        <v>3000.0</v>
      </c>
      <c r="S3001" s="1">
        <v>415.0</v>
      </c>
      <c r="T3001" s="1">
        <v>373.0</v>
      </c>
      <c r="U3001" s="1">
        <v>4370.0</v>
      </c>
      <c r="V3001" s="1">
        <v>127.0</v>
      </c>
      <c r="W3001" s="1">
        <v>0.0</v>
      </c>
      <c r="X3001" s="1">
        <v>3.0</v>
      </c>
      <c r="Y3001" s="1">
        <v>2.35</v>
      </c>
      <c r="Z3001" s="1">
        <v>6.7</v>
      </c>
    </row>
    <row r="3002" ht="14.25" customHeight="1">
      <c r="A3002" s="1" t="s">
        <v>26</v>
      </c>
      <c r="B3002" s="1" t="s">
        <v>14211</v>
      </c>
      <c r="C3002" s="1" t="s">
        <v>14212</v>
      </c>
      <c r="D3002" s="1">
        <v>4443403.0</v>
      </c>
      <c r="E3002" s="1" t="s">
        <v>14213</v>
      </c>
      <c r="F3002" s="1" t="s">
        <v>6265</v>
      </c>
      <c r="G3002" s="1" t="s">
        <v>6101</v>
      </c>
      <c r="H3002" s="1" t="s">
        <v>14214</v>
      </c>
      <c r="I3002" s="1">
        <v>70194.0</v>
      </c>
      <c r="J3002" s="1" t="s">
        <v>14215</v>
      </c>
      <c r="K3002" s="1" t="s">
        <v>14216</v>
      </c>
      <c r="L3002" s="1">
        <v>158.0</v>
      </c>
      <c r="M3002" s="1" t="s">
        <v>2752</v>
      </c>
      <c r="N3002" s="1" t="s">
        <v>1832</v>
      </c>
      <c r="O3002" s="1" t="s">
        <v>37</v>
      </c>
      <c r="P3002" s="1">
        <v>7300000.0</v>
      </c>
      <c r="Q3002" s="1">
        <v>2007.0</v>
      </c>
      <c r="R3002" s="1">
        <v>963.0</v>
      </c>
      <c r="S3002" s="1">
        <v>545.0</v>
      </c>
      <c r="T3002" s="1">
        <v>106.0</v>
      </c>
      <c r="U3002" s="1">
        <v>1754.0</v>
      </c>
      <c r="V3002" s="1">
        <v>10.0</v>
      </c>
      <c r="W3002" s="1">
        <v>14000.0</v>
      </c>
      <c r="X3002" s="1">
        <v>0.0</v>
      </c>
      <c r="Y3002" s="1">
        <v>1.85</v>
      </c>
      <c r="Z3002" s="1">
        <v>8.0</v>
      </c>
    </row>
    <row r="3003" ht="14.25" customHeight="1">
      <c r="A3003" s="1" t="s">
        <v>26</v>
      </c>
      <c r="B3003" s="1" t="s">
        <v>11588</v>
      </c>
      <c r="C3003" s="1" t="s">
        <v>14217</v>
      </c>
      <c r="D3003" s="1">
        <v>1330827.0</v>
      </c>
      <c r="E3003" s="1" t="s">
        <v>6278</v>
      </c>
      <c r="F3003" s="1" t="s">
        <v>563</v>
      </c>
      <c r="G3003" s="1" t="s">
        <v>8378</v>
      </c>
      <c r="H3003" s="1" t="s">
        <v>14218</v>
      </c>
      <c r="I3003" s="1">
        <v>9866.0</v>
      </c>
      <c r="J3003" s="1" t="s">
        <v>14219</v>
      </c>
      <c r="K3003" s="1" t="s">
        <v>14220</v>
      </c>
      <c r="L3003" s="1">
        <v>73.0</v>
      </c>
      <c r="M3003" s="1" t="s">
        <v>35</v>
      </c>
      <c r="N3003" s="1" t="s">
        <v>1832</v>
      </c>
      <c r="O3003" s="1" t="s">
        <v>628</v>
      </c>
      <c r="P3003" s="1">
        <v>7000000.0</v>
      </c>
      <c r="Q3003" s="1">
        <v>2016.0</v>
      </c>
      <c r="R3003" s="1">
        <v>18000.0</v>
      </c>
      <c r="S3003" s="1">
        <v>860.0</v>
      </c>
      <c r="T3003" s="1">
        <v>500.0</v>
      </c>
      <c r="U3003" s="1">
        <v>19879.0</v>
      </c>
      <c r="V3003" s="1">
        <v>0.0</v>
      </c>
      <c r="W3003" s="1">
        <v>0.0</v>
      </c>
      <c r="X3003" s="1">
        <v>2.0</v>
      </c>
      <c r="Y3003" s="1">
        <v>2.35</v>
      </c>
      <c r="Z3003" s="1">
        <v>7.0</v>
      </c>
    </row>
    <row r="3004" ht="14.25" customHeight="1">
      <c r="A3004" s="1" t="s">
        <v>26</v>
      </c>
      <c r="B3004" s="1" t="s">
        <v>14221</v>
      </c>
      <c r="C3004" s="1" t="s">
        <v>14222</v>
      </c>
      <c r="D3004" s="1">
        <v>1818681.0</v>
      </c>
      <c r="E3004" s="1" t="s">
        <v>449</v>
      </c>
      <c r="F3004" s="1" t="s">
        <v>2728</v>
      </c>
      <c r="G3004" s="1" t="s">
        <v>3499</v>
      </c>
      <c r="H3004" s="1" t="s">
        <v>852</v>
      </c>
      <c r="I3004" s="1">
        <v>74435.0</v>
      </c>
      <c r="J3004" s="1" t="s">
        <v>14223</v>
      </c>
      <c r="K3004" s="1" t="s">
        <v>14224</v>
      </c>
      <c r="L3004" s="1">
        <v>224.0</v>
      </c>
      <c r="M3004" s="1" t="s">
        <v>35</v>
      </c>
      <c r="N3004" s="1" t="s">
        <v>54</v>
      </c>
      <c r="O3004" s="1" t="s">
        <v>628</v>
      </c>
      <c r="P3004" s="1">
        <v>7300000.0</v>
      </c>
      <c r="Q3004" s="1">
        <v>2009.0</v>
      </c>
      <c r="R3004" s="1">
        <v>788.0</v>
      </c>
      <c r="S3004" s="1">
        <v>698.0</v>
      </c>
      <c r="T3004" s="1">
        <v>641.0</v>
      </c>
      <c r="U3004" s="1">
        <v>2486.0</v>
      </c>
      <c r="V3004" s="1">
        <v>12.0</v>
      </c>
      <c r="W3004" s="1">
        <v>0.0</v>
      </c>
      <c r="X3004" s="1">
        <v>1.0</v>
      </c>
      <c r="Y3004" s="1">
        <v>2.35</v>
      </c>
      <c r="Z3004" s="1">
        <v>7.2</v>
      </c>
    </row>
    <row r="3005" ht="14.25" customHeight="1">
      <c r="A3005" s="1" t="s">
        <v>26</v>
      </c>
      <c r="B3005" s="1" t="s">
        <v>71</v>
      </c>
      <c r="C3005" s="1" t="s">
        <v>72</v>
      </c>
      <c r="D3005" s="1">
        <v>3.36530303E8</v>
      </c>
      <c r="E3005" s="1" t="s">
        <v>73</v>
      </c>
      <c r="F3005" s="1" t="s">
        <v>74</v>
      </c>
      <c r="G3005" s="1" t="s">
        <v>75</v>
      </c>
      <c r="H3005" s="1" t="s">
        <v>76</v>
      </c>
      <c r="I3005" s="1">
        <v>383071.0</v>
      </c>
      <c r="J3005" s="1" t="s">
        <v>77</v>
      </c>
      <c r="K3005" s="1" t="s">
        <v>78</v>
      </c>
      <c r="L3005" s="1">
        <v>1902.0</v>
      </c>
      <c r="M3005" s="1" t="s">
        <v>35</v>
      </c>
      <c r="N3005" s="1" t="s">
        <v>36</v>
      </c>
      <c r="O3005" s="1" t="s">
        <v>37</v>
      </c>
      <c r="P3005" s="1">
        <v>2.58E8</v>
      </c>
      <c r="Q3005" s="1">
        <v>2007.0</v>
      </c>
      <c r="R3005" s="1">
        <v>24000.0</v>
      </c>
      <c r="S3005" s="1">
        <v>11000.0</v>
      </c>
      <c r="T3005" s="1">
        <v>4000.0</v>
      </c>
      <c r="U3005" s="1">
        <v>46055.0</v>
      </c>
      <c r="V3005" s="1">
        <v>0.0</v>
      </c>
      <c r="W3005" s="1">
        <v>0.0</v>
      </c>
      <c r="X3005" s="1">
        <v>0.0</v>
      </c>
      <c r="Y3005" s="1">
        <v>2.35</v>
      </c>
      <c r="Z3005" s="1">
        <v>6.2</v>
      </c>
    </row>
    <row r="3006" ht="14.25" customHeight="1">
      <c r="A3006" s="1" t="s">
        <v>26</v>
      </c>
      <c r="B3006" s="1" t="s">
        <v>14225</v>
      </c>
      <c r="C3006" s="1" t="s">
        <v>14226</v>
      </c>
      <c r="D3006" s="1">
        <v>1.2610552E7</v>
      </c>
      <c r="E3006" s="1" t="s">
        <v>254</v>
      </c>
      <c r="F3006" s="1" t="s">
        <v>14227</v>
      </c>
      <c r="G3006" s="1" t="s">
        <v>6802</v>
      </c>
      <c r="H3006" s="1" t="s">
        <v>14228</v>
      </c>
      <c r="I3006" s="1">
        <v>4682.0</v>
      </c>
      <c r="J3006" s="1" t="s">
        <v>14229</v>
      </c>
      <c r="K3006" s="1" t="s">
        <v>14230</v>
      </c>
      <c r="L3006" s="1">
        <v>206.0</v>
      </c>
      <c r="M3006" s="1" t="s">
        <v>35</v>
      </c>
      <c r="N3006" s="1" t="s">
        <v>36</v>
      </c>
      <c r="O3006" s="1" t="s">
        <v>37</v>
      </c>
      <c r="P3006" s="1">
        <v>7500000.0</v>
      </c>
      <c r="Q3006" s="1">
        <v>1999.0</v>
      </c>
      <c r="R3006" s="1">
        <v>488.0</v>
      </c>
      <c r="S3006" s="1">
        <v>488.0</v>
      </c>
      <c r="T3006" s="1">
        <v>440.0</v>
      </c>
      <c r="U3006" s="1">
        <v>2428.0</v>
      </c>
      <c r="V3006" s="1">
        <v>0.0</v>
      </c>
      <c r="W3006" s="1">
        <v>129.0</v>
      </c>
      <c r="X3006" s="1">
        <v>0.0</v>
      </c>
      <c r="Y3006" s="1">
        <v>1.37</v>
      </c>
      <c r="Z3006" s="1">
        <v>3.5</v>
      </c>
    </row>
    <row r="3007" ht="14.25" customHeight="1">
      <c r="A3007" s="1" t="s">
        <v>26</v>
      </c>
      <c r="B3007" s="1" t="s">
        <v>7666</v>
      </c>
      <c r="C3007" s="1" t="s">
        <v>14231</v>
      </c>
      <c r="D3007" s="1">
        <v>1.4349284E8</v>
      </c>
      <c r="E3007" s="1" t="s">
        <v>1359</v>
      </c>
      <c r="F3007" s="1" t="s">
        <v>74</v>
      </c>
      <c r="G3007" s="1" t="s">
        <v>713</v>
      </c>
      <c r="H3007" s="1" t="s">
        <v>465</v>
      </c>
      <c r="I3007" s="1">
        <v>414335.0</v>
      </c>
      <c r="J3007" s="1" t="s">
        <v>14232</v>
      </c>
      <c r="K3007" s="1" t="s">
        <v>14233</v>
      </c>
      <c r="L3007" s="1">
        <v>881.0</v>
      </c>
      <c r="M3007" s="1" t="s">
        <v>35</v>
      </c>
      <c r="N3007" s="1" t="s">
        <v>36</v>
      </c>
      <c r="O3007" s="1" t="s">
        <v>37</v>
      </c>
      <c r="P3007" s="1">
        <v>7500000.0</v>
      </c>
      <c r="Q3007" s="1">
        <v>2007.0</v>
      </c>
      <c r="R3007" s="1">
        <v>24000.0</v>
      </c>
      <c r="S3007" s="1">
        <v>3000.0</v>
      </c>
      <c r="T3007" s="1">
        <v>973.0</v>
      </c>
      <c r="U3007" s="1">
        <v>28817.0</v>
      </c>
      <c r="V3007" s="1">
        <v>655.0</v>
      </c>
      <c r="W3007" s="1">
        <v>10000.0</v>
      </c>
      <c r="X3007" s="1">
        <v>0.0</v>
      </c>
      <c r="Y3007" s="1">
        <v>1.85</v>
      </c>
      <c r="Z3007" s="1">
        <v>7.5</v>
      </c>
    </row>
    <row r="3008" ht="14.25" customHeight="1">
      <c r="A3008" s="1" t="s">
        <v>26</v>
      </c>
      <c r="B3008" s="1" t="s">
        <v>14234</v>
      </c>
      <c r="C3008" s="1" t="s">
        <v>14235</v>
      </c>
      <c r="D3008" s="1">
        <v>4.38E7</v>
      </c>
      <c r="E3008" s="1" t="s">
        <v>48</v>
      </c>
      <c r="F3008" s="1" t="s">
        <v>1056</v>
      </c>
      <c r="G3008" s="1" t="s">
        <v>7532</v>
      </c>
      <c r="H3008" s="1" t="s">
        <v>14236</v>
      </c>
      <c r="I3008" s="1">
        <v>74249.0</v>
      </c>
      <c r="J3008" s="1" t="s">
        <v>14237</v>
      </c>
      <c r="K3008" s="1" t="s">
        <v>14238</v>
      </c>
      <c r="L3008" s="1">
        <v>276.0</v>
      </c>
      <c r="M3008" s="1" t="s">
        <v>35</v>
      </c>
      <c r="N3008" s="1" t="s">
        <v>54</v>
      </c>
      <c r="O3008" s="1" t="s">
        <v>14239</v>
      </c>
      <c r="P3008" s="1">
        <v>7200000.0</v>
      </c>
      <c r="Q3008" s="1">
        <v>1971.0</v>
      </c>
      <c r="R3008" s="1">
        <v>244.0</v>
      </c>
      <c r="S3008" s="1">
        <v>177.0</v>
      </c>
      <c r="T3008" s="1">
        <v>175.0</v>
      </c>
      <c r="U3008" s="1">
        <v>1105.0</v>
      </c>
      <c r="V3008" s="1">
        <v>82.0</v>
      </c>
      <c r="W3008" s="1">
        <v>0.0</v>
      </c>
      <c r="X3008" s="1">
        <v>2.0</v>
      </c>
      <c r="Y3008" s="1">
        <v>2.35</v>
      </c>
      <c r="Z3008" s="1">
        <v>6.7</v>
      </c>
    </row>
    <row r="3009" ht="14.25" customHeight="1">
      <c r="A3009" s="1" t="s">
        <v>26</v>
      </c>
      <c r="B3009" s="1" t="s">
        <v>4578</v>
      </c>
      <c r="C3009" s="1" t="s">
        <v>14240</v>
      </c>
      <c r="D3009" s="1">
        <v>1.34821952E8</v>
      </c>
      <c r="E3009" s="1" t="s">
        <v>1854</v>
      </c>
      <c r="F3009" s="1" t="s">
        <v>2292</v>
      </c>
      <c r="G3009" s="1" t="s">
        <v>113</v>
      </c>
      <c r="H3009" s="1" t="s">
        <v>1606</v>
      </c>
      <c r="I3009" s="1">
        <v>1155770.0</v>
      </c>
      <c r="J3009" s="1" t="s">
        <v>14241</v>
      </c>
      <c r="K3009" s="1" t="s">
        <v>14242</v>
      </c>
      <c r="L3009" s="1">
        <v>2238.0</v>
      </c>
      <c r="M3009" s="1" t="s">
        <v>35</v>
      </c>
      <c r="N3009" s="1" t="s">
        <v>36</v>
      </c>
      <c r="O3009" s="1" t="s">
        <v>628</v>
      </c>
      <c r="P3009" s="1">
        <v>6000000.0</v>
      </c>
      <c r="Q3009" s="1">
        <v>1972.0</v>
      </c>
      <c r="R3009" s="1">
        <v>14000.0</v>
      </c>
      <c r="S3009" s="1">
        <v>10000.0</v>
      </c>
      <c r="T3009" s="1">
        <v>3000.0</v>
      </c>
      <c r="U3009" s="1">
        <v>28122.0</v>
      </c>
      <c r="V3009" s="1">
        <v>0.0</v>
      </c>
      <c r="W3009" s="1">
        <v>43000.0</v>
      </c>
      <c r="X3009" s="1">
        <v>1.0</v>
      </c>
      <c r="Y3009" s="1">
        <v>1.85</v>
      </c>
      <c r="Z3009" s="1">
        <v>9.2</v>
      </c>
    </row>
    <row r="3010" ht="14.25" customHeight="1">
      <c r="A3010" s="1" t="s">
        <v>26</v>
      </c>
      <c r="B3010" s="1" t="s">
        <v>4887</v>
      </c>
      <c r="C3010" s="1" t="s">
        <v>14243</v>
      </c>
      <c r="D3010" s="1">
        <v>9.49E7</v>
      </c>
      <c r="E3010" s="1" t="s">
        <v>7326</v>
      </c>
      <c r="F3010" s="1" t="s">
        <v>5679</v>
      </c>
      <c r="G3010" s="1" t="s">
        <v>14244</v>
      </c>
      <c r="H3010" s="1" t="s">
        <v>14245</v>
      </c>
      <c r="I3010" s="1">
        <v>35172.0</v>
      </c>
      <c r="J3010" s="1" t="s">
        <v>14246</v>
      </c>
      <c r="K3010" s="1" t="s">
        <v>14247</v>
      </c>
      <c r="L3010" s="1">
        <v>128.0</v>
      </c>
      <c r="M3010" s="1" t="s">
        <v>35</v>
      </c>
      <c r="N3010" s="1" t="s">
        <v>36</v>
      </c>
      <c r="O3010" s="1" t="s">
        <v>628</v>
      </c>
      <c r="P3010" s="1">
        <v>4000000.0</v>
      </c>
      <c r="Q3010" s="1">
        <v>1983.0</v>
      </c>
      <c r="R3010" s="1">
        <v>225.0</v>
      </c>
      <c r="S3010" s="1">
        <v>174.0</v>
      </c>
      <c r="T3010" s="1">
        <v>92.0</v>
      </c>
      <c r="U3010" s="1">
        <v>791.0</v>
      </c>
      <c r="V3010" s="1">
        <v>213.0</v>
      </c>
      <c r="W3010" s="1">
        <v>0.0</v>
      </c>
      <c r="X3010" s="1">
        <v>0.0</v>
      </c>
      <c r="Y3010" s="1">
        <v>1.85</v>
      </c>
      <c r="Z3010" s="1">
        <v>6.1</v>
      </c>
    </row>
    <row r="3011" ht="14.25" customHeight="1">
      <c r="A3011" s="1" t="s">
        <v>26</v>
      </c>
      <c r="B3011" s="1" t="s">
        <v>172</v>
      </c>
      <c r="C3011" s="1" t="s">
        <v>14248</v>
      </c>
      <c r="D3011" s="1">
        <v>3.2391374E7</v>
      </c>
      <c r="E3011" s="1" t="s">
        <v>1359</v>
      </c>
      <c r="F3011" s="1" t="s">
        <v>60</v>
      </c>
      <c r="G3011" s="1" t="s">
        <v>475</v>
      </c>
      <c r="H3011" s="1" t="s">
        <v>1868</v>
      </c>
      <c r="I3011" s="1">
        <v>376600.0</v>
      </c>
      <c r="J3011" s="1" t="s">
        <v>14249</v>
      </c>
      <c r="K3011" s="1" t="s">
        <v>14250</v>
      </c>
      <c r="L3011" s="1">
        <v>494.0</v>
      </c>
      <c r="M3011" s="1" t="s">
        <v>35</v>
      </c>
      <c r="N3011" s="1" t="s">
        <v>36</v>
      </c>
      <c r="O3011" s="1" t="s">
        <v>37</v>
      </c>
      <c r="P3011" s="1">
        <v>7500000.0</v>
      </c>
      <c r="Q3011" s="1">
        <v>2009.0</v>
      </c>
      <c r="R3011" s="1">
        <v>23000.0</v>
      </c>
      <c r="S3011" s="1">
        <v>17000.0</v>
      </c>
      <c r="T3011" s="1">
        <v>11000.0</v>
      </c>
      <c r="U3011" s="1">
        <v>54075.0</v>
      </c>
      <c r="V3011" s="1">
        <v>464.0</v>
      </c>
      <c r="W3011" s="1">
        <v>40000.0</v>
      </c>
      <c r="X3011" s="1">
        <v>43.0</v>
      </c>
      <c r="Y3011" s="1">
        <v>2.35</v>
      </c>
      <c r="Z3011" s="1">
        <v>7.7</v>
      </c>
    </row>
    <row r="3012" ht="14.25" customHeight="1">
      <c r="A3012" s="1" t="s">
        <v>26</v>
      </c>
      <c r="B3012" s="1" t="s">
        <v>12796</v>
      </c>
      <c r="C3012" s="1" t="s">
        <v>14251</v>
      </c>
      <c r="D3012" s="1">
        <v>4.0158E7</v>
      </c>
      <c r="E3012" s="1" t="s">
        <v>7326</v>
      </c>
      <c r="F3012" s="1" t="s">
        <v>1980</v>
      </c>
      <c r="G3012" s="1" t="s">
        <v>14252</v>
      </c>
      <c r="H3012" s="1" t="s">
        <v>14253</v>
      </c>
      <c r="I3012" s="1">
        <v>63931.0</v>
      </c>
      <c r="J3012" s="1" t="s">
        <v>14254</v>
      </c>
      <c r="K3012" s="1" t="s">
        <v>14255</v>
      </c>
      <c r="L3012" s="1">
        <v>241.0</v>
      </c>
      <c r="M3012" s="1" t="s">
        <v>35</v>
      </c>
      <c r="N3012" s="1" t="s">
        <v>171</v>
      </c>
      <c r="O3012" s="1" t="s">
        <v>628</v>
      </c>
      <c r="P3012" s="1">
        <v>7000000.0</v>
      </c>
      <c r="Q3012" s="1">
        <v>1993.0</v>
      </c>
      <c r="R3012" s="1">
        <v>1000.0</v>
      </c>
      <c r="S3012" s="1">
        <v>18.0</v>
      </c>
      <c r="T3012" s="1">
        <v>11.0</v>
      </c>
      <c r="U3012" s="1">
        <v>1051.0</v>
      </c>
      <c r="V3012" s="1">
        <v>319.0</v>
      </c>
      <c r="W3012" s="1">
        <v>0.0</v>
      </c>
      <c r="X3012" s="1">
        <v>1.0</v>
      </c>
      <c r="Y3012" s="1">
        <v>1.85</v>
      </c>
      <c r="Z3012" s="1">
        <v>7.6</v>
      </c>
    </row>
    <row r="3013" ht="14.25" customHeight="1">
      <c r="A3013" s="1" t="s">
        <v>26</v>
      </c>
      <c r="B3013" s="1" t="s">
        <v>1456</v>
      </c>
      <c r="C3013" s="1" t="s">
        <v>14256</v>
      </c>
      <c r="D3013" s="1">
        <v>1.13709992E8</v>
      </c>
      <c r="E3013" s="1" t="s">
        <v>2422</v>
      </c>
      <c r="F3013" s="1" t="s">
        <v>430</v>
      </c>
      <c r="G3013" s="1" t="s">
        <v>4895</v>
      </c>
      <c r="H3013" s="1" t="s">
        <v>637</v>
      </c>
      <c r="I3013" s="1">
        <v>108843.0</v>
      </c>
      <c r="J3013" s="1" t="s">
        <v>14257</v>
      </c>
      <c r="K3013" s="1" t="s">
        <v>14258</v>
      </c>
      <c r="L3013" s="1">
        <v>281.0</v>
      </c>
      <c r="M3013" s="1" t="s">
        <v>35</v>
      </c>
      <c r="N3013" s="1" t="s">
        <v>36</v>
      </c>
      <c r="O3013" s="1" t="s">
        <v>628</v>
      </c>
      <c r="P3013" s="1">
        <v>7000000.0</v>
      </c>
      <c r="Q3013" s="1">
        <v>2012.0</v>
      </c>
      <c r="R3013" s="1">
        <v>17000.0</v>
      </c>
      <c r="S3013" s="1">
        <v>15000.0</v>
      </c>
      <c r="T3013" s="1">
        <v>11000.0</v>
      </c>
      <c r="U3013" s="1">
        <v>46646.0</v>
      </c>
      <c r="V3013" s="1">
        <v>0.0</v>
      </c>
      <c r="W3013" s="1">
        <v>54000.0</v>
      </c>
      <c r="X3013" s="1">
        <v>1.0</v>
      </c>
      <c r="Y3013" s="1">
        <v>2.35</v>
      </c>
      <c r="Z3013" s="1">
        <v>6.1</v>
      </c>
    </row>
    <row r="3014" ht="14.25" customHeight="1">
      <c r="A3014" s="1" t="s">
        <v>26</v>
      </c>
      <c r="B3014" s="1" t="s">
        <v>839</v>
      </c>
      <c r="C3014" s="1" t="s">
        <v>14259</v>
      </c>
      <c r="D3014" s="1">
        <v>3.2131483E7</v>
      </c>
      <c r="E3014" s="1" t="s">
        <v>2882</v>
      </c>
      <c r="F3014" s="1" t="s">
        <v>1494</v>
      </c>
      <c r="G3014" s="1" t="s">
        <v>14260</v>
      </c>
      <c r="H3014" s="1" t="s">
        <v>14261</v>
      </c>
      <c r="I3014" s="1">
        <v>25870.0</v>
      </c>
      <c r="J3014" s="1" t="s">
        <v>14262</v>
      </c>
      <c r="K3014" s="1" t="s">
        <v>14263</v>
      </c>
      <c r="L3014" s="1">
        <v>369.0</v>
      </c>
      <c r="M3014" s="1" t="s">
        <v>35</v>
      </c>
      <c r="N3014" s="1" t="s">
        <v>36</v>
      </c>
      <c r="O3014" s="1" t="s">
        <v>37</v>
      </c>
      <c r="P3014" s="1">
        <v>1.1E7</v>
      </c>
      <c r="Q3014" s="1">
        <v>2003.0</v>
      </c>
      <c r="R3014" s="1">
        <v>1000.0</v>
      </c>
      <c r="S3014" s="1">
        <v>970.0</v>
      </c>
      <c r="T3014" s="1">
        <v>82.0</v>
      </c>
      <c r="U3014" s="1">
        <v>2212.0</v>
      </c>
      <c r="V3014" s="1">
        <v>474.0</v>
      </c>
      <c r="W3014" s="1">
        <v>2000.0</v>
      </c>
      <c r="X3014" s="1">
        <v>0.0</v>
      </c>
      <c r="Y3014" s="1">
        <v>2.35</v>
      </c>
      <c r="Z3014" s="1">
        <v>4.9</v>
      </c>
    </row>
    <row r="3015" ht="14.25" customHeight="1">
      <c r="A3015" s="1" t="s">
        <v>26</v>
      </c>
      <c r="B3015" s="1" t="s">
        <v>14234</v>
      </c>
      <c r="C3015" s="1" t="s">
        <v>14264</v>
      </c>
      <c r="D3015" s="1">
        <v>3.54E7</v>
      </c>
      <c r="E3015" s="1" t="s">
        <v>48</v>
      </c>
      <c r="F3015" s="1" t="s">
        <v>7850</v>
      </c>
      <c r="G3015" s="1" t="s">
        <v>5729</v>
      </c>
      <c r="H3015" s="1" t="s">
        <v>14265</v>
      </c>
      <c r="I3015" s="1">
        <v>74957.0</v>
      </c>
      <c r="J3015" s="1" t="s">
        <v>14266</v>
      </c>
      <c r="K3015" s="1" t="s">
        <v>14267</v>
      </c>
      <c r="L3015" s="1">
        <v>251.0</v>
      </c>
      <c r="M3015" s="1" t="s">
        <v>35</v>
      </c>
      <c r="N3015" s="1" t="s">
        <v>54</v>
      </c>
      <c r="O3015" s="1" t="s">
        <v>87</v>
      </c>
      <c r="P3015" s="1">
        <v>7000000.0</v>
      </c>
      <c r="Q3015" s="1">
        <v>1973.0</v>
      </c>
      <c r="R3015" s="1">
        <v>581.0</v>
      </c>
      <c r="S3015" s="1">
        <v>547.0</v>
      </c>
      <c r="T3015" s="1">
        <v>189.0</v>
      </c>
      <c r="U3015" s="1">
        <v>1865.0</v>
      </c>
      <c r="V3015" s="1">
        <v>82.0</v>
      </c>
      <c r="W3015" s="1">
        <v>0.0</v>
      </c>
      <c r="X3015" s="1">
        <v>3.0</v>
      </c>
      <c r="Y3015" s="1">
        <v>1.66</v>
      </c>
      <c r="Z3015" s="1">
        <v>6.8</v>
      </c>
    </row>
    <row r="3016" ht="14.25" customHeight="1">
      <c r="A3016" s="1" t="s">
        <v>26</v>
      </c>
      <c r="B3016" s="1" t="s">
        <v>3846</v>
      </c>
      <c r="C3016" s="1" t="s">
        <v>14268</v>
      </c>
      <c r="D3016" s="1">
        <v>3.409964E7</v>
      </c>
      <c r="E3016" s="1" t="s">
        <v>7446</v>
      </c>
      <c r="F3016" s="1" t="s">
        <v>1276</v>
      </c>
      <c r="G3016" s="1" t="s">
        <v>8625</v>
      </c>
      <c r="H3016" s="1" t="s">
        <v>14269</v>
      </c>
      <c r="I3016" s="1">
        <v>16651.0</v>
      </c>
      <c r="J3016" s="1" t="s">
        <v>14270</v>
      </c>
      <c r="K3016" s="1" t="s">
        <v>14271</v>
      </c>
      <c r="L3016" s="1">
        <v>149.0</v>
      </c>
      <c r="M3016" s="1" t="s">
        <v>35</v>
      </c>
      <c r="N3016" s="1" t="s">
        <v>36</v>
      </c>
      <c r="O3016" s="1" t="s">
        <v>87</v>
      </c>
      <c r="P3016" s="1">
        <v>5000000.0</v>
      </c>
      <c r="Q3016" s="1">
        <v>2000.0</v>
      </c>
      <c r="R3016" s="1">
        <v>1000.0</v>
      </c>
      <c r="S3016" s="1">
        <v>934.0</v>
      </c>
      <c r="T3016" s="1">
        <v>430.0</v>
      </c>
      <c r="U3016" s="1">
        <v>2515.0</v>
      </c>
      <c r="V3016" s="1">
        <v>13.0</v>
      </c>
      <c r="W3016" s="1">
        <v>0.0</v>
      </c>
      <c r="X3016" s="1">
        <v>0.0</v>
      </c>
      <c r="Y3016" s="1">
        <v>1.37</v>
      </c>
      <c r="Z3016" s="1">
        <v>7.0</v>
      </c>
    </row>
    <row r="3017" ht="14.25" customHeight="1">
      <c r="A3017" s="1" t="s">
        <v>26</v>
      </c>
      <c r="B3017" s="1" t="s">
        <v>13278</v>
      </c>
      <c r="C3017" s="1" t="s">
        <v>14272</v>
      </c>
      <c r="D3017" s="1">
        <v>3.7295394E7</v>
      </c>
      <c r="E3017" s="1" t="s">
        <v>2422</v>
      </c>
      <c r="F3017" s="1" t="s">
        <v>3967</v>
      </c>
      <c r="G3017" s="1" t="s">
        <v>2924</v>
      </c>
      <c r="H3017" s="1" t="s">
        <v>5590</v>
      </c>
      <c r="I3017" s="1">
        <v>7973.0</v>
      </c>
      <c r="J3017" s="1" t="s">
        <v>14273</v>
      </c>
      <c r="K3017" s="1" t="s">
        <v>14274</v>
      </c>
      <c r="L3017" s="1">
        <v>59.0</v>
      </c>
      <c r="M3017" s="1" t="s">
        <v>35</v>
      </c>
      <c r="N3017" s="1" t="s">
        <v>36</v>
      </c>
      <c r="O3017" s="1" t="s">
        <v>37</v>
      </c>
      <c r="P3017" s="1">
        <v>6600000.0</v>
      </c>
      <c r="Q3017" s="1">
        <v>2011.0</v>
      </c>
      <c r="R3017" s="1">
        <v>1000.0</v>
      </c>
      <c r="S3017" s="1">
        <v>912.0</v>
      </c>
      <c r="T3017" s="1">
        <v>826.0</v>
      </c>
      <c r="U3017" s="1">
        <v>5959.0</v>
      </c>
      <c r="V3017" s="1">
        <v>70.0</v>
      </c>
      <c r="W3017" s="1">
        <v>0.0</v>
      </c>
      <c r="X3017" s="1">
        <v>8.0</v>
      </c>
      <c r="Y3017" s="1">
        <v>1.85</v>
      </c>
      <c r="Z3017" s="1">
        <v>5.7</v>
      </c>
    </row>
    <row r="3018" ht="14.25" customHeight="1">
      <c r="A3018" s="1" t="s">
        <v>26</v>
      </c>
      <c r="B3018" s="1" t="s">
        <v>356</v>
      </c>
      <c r="C3018" s="1" t="s">
        <v>357</v>
      </c>
      <c r="D3018" s="1">
        <v>1.44812796E8</v>
      </c>
      <c r="E3018" s="1" t="s">
        <v>206</v>
      </c>
      <c r="F3018" s="1" t="s">
        <v>207</v>
      </c>
      <c r="G3018" s="1" t="s">
        <v>358</v>
      </c>
      <c r="H3018" s="1" t="s">
        <v>359</v>
      </c>
      <c r="I3018" s="1">
        <v>362933.0</v>
      </c>
      <c r="J3018" s="1" t="s">
        <v>360</v>
      </c>
      <c r="K3018" s="1" t="s">
        <v>361</v>
      </c>
      <c r="L3018" s="1">
        <v>753.0</v>
      </c>
      <c r="M3018" s="1" t="s">
        <v>35</v>
      </c>
      <c r="N3018" s="1" t="s">
        <v>362</v>
      </c>
      <c r="O3018" s="1" t="s">
        <v>37</v>
      </c>
      <c r="P3018" s="1">
        <v>1.05E8</v>
      </c>
      <c r="Q3018" s="1">
        <v>2013.0</v>
      </c>
      <c r="R3018" s="1">
        <v>29000.0</v>
      </c>
      <c r="S3018" s="1">
        <v>509.0</v>
      </c>
      <c r="T3018" s="1">
        <v>76.0</v>
      </c>
      <c r="U3018" s="1">
        <v>29769.0</v>
      </c>
      <c r="V3018" s="1">
        <v>1000.0</v>
      </c>
      <c r="W3018" s="1">
        <v>115000.0</v>
      </c>
      <c r="X3018" s="1">
        <v>4.0</v>
      </c>
      <c r="Y3018" s="1">
        <v>2.35</v>
      </c>
      <c r="Z3018" s="1">
        <v>7.3</v>
      </c>
    </row>
    <row r="3019" ht="14.25" customHeight="1">
      <c r="A3019" s="1" t="s">
        <v>710</v>
      </c>
      <c r="B3019" s="1" t="s">
        <v>3229</v>
      </c>
      <c r="C3019" s="1" t="s">
        <v>14275</v>
      </c>
      <c r="D3019" s="1">
        <v>3.1501218E7</v>
      </c>
      <c r="E3019" s="1" t="s">
        <v>5578</v>
      </c>
      <c r="F3019" s="1" t="s">
        <v>91</v>
      </c>
      <c r="G3019" s="1" t="s">
        <v>3971</v>
      </c>
      <c r="H3019" s="1" t="s">
        <v>1779</v>
      </c>
      <c r="I3019" s="1">
        <v>84070.0</v>
      </c>
      <c r="J3019" s="1" t="s">
        <v>14276</v>
      </c>
      <c r="K3019" s="1" t="s">
        <v>14277</v>
      </c>
      <c r="L3019" s="1">
        <v>526.0</v>
      </c>
      <c r="M3019" s="1" t="s">
        <v>35</v>
      </c>
      <c r="N3019" s="1" t="s">
        <v>36</v>
      </c>
      <c r="O3019" s="1" t="s">
        <v>87</v>
      </c>
      <c r="P3019" s="1">
        <v>7500000.0</v>
      </c>
      <c r="Q3019" s="1">
        <v>2005.0</v>
      </c>
      <c r="R3019" s="1">
        <v>21000.0</v>
      </c>
      <c r="S3019" s="1">
        <v>650.0</v>
      </c>
      <c r="T3019" s="1">
        <v>566.0</v>
      </c>
      <c r="U3019" s="1">
        <v>22745.0</v>
      </c>
      <c r="V3019" s="1">
        <v>0.0</v>
      </c>
      <c r="W3019" s="1">
        <v>0.0</v>
      </c>
      <c r="X3019" s="1">
        <v>0.0</v>
      </c>
      <c r="Y3019" s="1">
        <v>1.85</v>
      </c>
      <c r="Z3019" s="1">
        <v>7.5</v>
      </c>
    </row>
    <row r="3020" ht="14.25" customHeight="1">
      <c r="A3020" s="1" t="s">
        <v>26</v>
      </c>
      <c r="B3020" s="1" t="s">
        <v>4837</v>
      </c>
      <c r="C3020" s="1" t="s">
        <v>14278</v>
      </c>
      <c r="D3020" s="1">
        <v>2.874757E7</v>
      </c>
      <c r="E3020" s="1" t="s">
        <v>1643</v>
      </c>
      <c r="F3020" s="1" t="s">
        <v>662</v>
      </c>
      <c r="G3020" s="1" t="s">
        <v>14279</v>
      </c>
      <c r="H3020" s="1" t="s">
        <v>14280</v>
      </c>
      <c r="I3020" s="1">
        <v>100571.0</v>
      </c>
      <c r="J3020" s="1" t="s">
        <v>14281</v>
      </c>
      <c r="K3020" s="1" t="s">
        <v>14282</v>
      </c>
      <c r="L3020" s="1">
        <v>416.0</v>
      </c>
      <c r="M3020" s="1" t="s">
        <v>35</v>
      </c>
      <c r="N3020" s="1" t="s">
        <v>260</v>
      </c>
      <c r="O3020" s="1" t="s">
        <v>628</v>
      </c>
      <c r="P3020" s="1">
        <v>7000000.0</v>
      </c>
      <c r="Q3020" s="1">
        <v>2005.0</v>
      </c>
      <c r="R3020" s="1">
        <v>22000.0</v>
      </c>
      <c r="S3020" s="1">
        <v>68.0</v>
      </c>
      <c r="T3020" s="1">
        <v>27.0</v>
      </c>
      <c r="U3020" s="1">
        <v>22140.0</v>
      </c>
      <c r="V3020" s="1">
        <v>152.0</v>
      </c>
      <c r="W3020" s="1">
        <v>0.0</v>
      </c>
      <c r="X3020" s="1">
        <v>1.0</v>
      </c>
      <c r="Y3020" s="1">
        <v>2.35</v>
      </c>
      <c r="Z3020" s="1">
        <v>7.4</v>
      </c>
    </row>
    <row r="3021" ht="14.25" customHeight="1">
      <c r="A3021" s="1" t="s">
        <v>26</v>
      </c>
      <c r="B3021" s="1" t="s">
        <v>4632</v>
      </c>
      <c r="C3021" s="1" t="s">
        <v>14283</v>
      </c>
      <c r="D3021" s="1">
        <v>2.562511E7</v>
      </c>
      <c r="E3021" s="1" t="s">
        <v>326</v>
      </c>
      <c r="F3021" s="1" t="s">
        <v>1681</v>
      </c>
      <c r="G3021" s="1" t="s">
        <v>264</v>
      </c>
      <c r="H3021" s="1" t="s">
        <v>480</v>
      </c>
      <c r="I3021" s="1">
        <v>138707.0</v>
      </c>
      <c r="J3021" s="1" t="s">
        <v>14284</v>
      </c>
      <c r="K3021" s="1" t="s">
        <v>14285</v>
      </c>
      <c r="L3021" s="1">
        <v>202.0</v>
      </c>
      <c r="M3021" s="1" t="s">
        <v>35</v>
      </c>
      <c r="N3021" s="1" t="s">
        <v>36</v>
      </c>
      <c r="O3021" s="1" t="s">
        <v>628</v>
      </c>
      <c r="P3021" s="1">
        <v>7000000.0</v>
      </c>
      <c r="Q3021" s="1">
        <v>1995.0</v>
      </c>
      <c r="R3021" s="1">
        <v>16000.0</v>
      </c>
      <c r="S3021" s="1">
        <v>12000.0</v>
      </c>
      <c r="T3021" s="1">
        <v>4000.0</v>
      </c>
      <c r="U3021" s="1">
        <v>33758.0</v>
      </c>
      <c r="V3021" s="1">
        <v>0.0</v>
      </c>
      <c r="W3021" s="1">
        <v>0.0</v>
      </c>
      <c r="X3021" s="1">
        <v>0.0</v>
      </c>
      <c r="Y3021" s="1">
        <v>1.85</v>
      </c>
      <c r="Z3021" s="1">
        <v>7.2</v>
      </c>
    </row>
    <row r="3022" ht="14.25" customHeight="1">
      <c r="A3022" s="1" t="s">
        <v>26</v>
      </c>
      <c r="B3022" s="1" t="s">
        <v>11814</v>
      </c>
      <c r="C3022" s="1" t="s">
        <v>12433</v>
      </c>
      <c r="D3022" s="1">
        <v>403932.0</v>
      </c>
      <c r="E3022" s="1" t="s">
        <v>3836</v>
      </c>
      <c r="F3022" s="1" t="s">
        <v>1892</v>
      </c>
      <c r="G3022" s="1" t="s">
        <v>8006</v>
      </c>
      <c r="H3022" s="1" t="s">
        <v>2207</v>
      </c>
      <c r="I3022" s="1">
        <v>5254.0</v>
      </c>
      <c r="J3022" s="1" t="s">
        <v>12434</v>
      </c>
      <c r="K3022" s="1" t="s">
        <v>12435</v>
      </c>
      <c r="L3022" s="1">
        <v>92.0</v>
      </c>
      <c r="M3022" s="1" t="s">
        <v>35</v>
      </c>
      <c r="N3022" s="1" t="s">
        <v>54</v>
      </c>
      <c r="O3022" s="1" t="s">
        <v>628</v>
      </c>
      <c r="P3022" s="1">
        <v>2.0E7</v>
      </c>
      <c r="Q3022" s="1">
        <v>2000.0</v>
      </c>
      <c r="R3022" s="1">
        <v>14000.0</v>
      </c>
      <c r="S3022" s="1">
        <v>900.0</v>
      </c>
      <c r="T3022" s="1">
        <v>887.0</v>
      </c>
      <c r="U3022" s="1">
        <v>17104.0</v>
      </c>
      <c r="V3022" s="1">
        <v>187.0</v>
      </c>
      <c r="W3022" s="1">
        <v>141.0</v>
      </c>
      <c r="X3022" s="1">
        <v>4.0</v>
      </c>
      <c r="Y3022" s="1">
        <v>2.35</v>
      </c>
      <c r="Z3022" s="1">
        <v>6.5</v>
      </c>
    </row>
    <row r="3023" ht="14.25" customHeight="1">
      <c r="A3023" s="1" t="s">
        <v>26</v>
      </c>
      <c r="B3023" s="1" t="s">
        <v>14286</v>
      </c>
      <c r="C3023" s="1" t="s">
        <v>14287</v>
      </c>
      <c r="D3023" s="1">
        <v>2.5E7</v>
      </c>
      <c r="E3023" s="1" t="s">
        <v>65</v>
      </c>
      <c r="F3023" s="1" t="s">
        <v>14288</v>
      </c>
      <c r="G3023" s="1" t="s">
        <v>12301</v>
      </c>
      <c r="H3023" s="1" t="s">
        <v>14289</v>
      </c>
      <c r="I3023" s="1">
        <v>39847.0</v>
      </c>
      <c r="J3023" s="1" t="s">
        <v>14290</v>
      </c>
      <c r="K3023" s="1" t="s">
        <v>14291</v>
      </c>
      <c r="L3023" s="1">
        <v>242.0</v>
      </c>
      <c r="M3023" s="1" t="s">
        <v>35</v>
      </c>
      <c r="N3023" s="1" t="s">
        <v>36</v>
      </c>
      <c r="O3023" s="1" t="s">
        <v>87</v>
      </c>
      <c r="P3023" s="1">
        <v>9000000.0</v>
      </c>
      <c r="Q3023" s="1">
        <v>1976.0</v>
      </c>
      <c r="R3023" s="1">
        <v>1000.0</v>
      </c>
      <c r="S3023" s="1">
        <v>659.0</v>
      </c>
      <c r="T3023" s="1">
        <v>440.0</v>
      </c>
      <c r="U3023" s="1">
        <v>2951.0</v>
      </c>
      <c r="V3023" s="1">
        <v>23.0</v>
      </c>
      <c r="W3023" s="1">
        <v>0.0</v>
      </c>
      <c r="X3023" s="1">
        <v>1.0</v>
      </c>
      <c r="Y3023" s="1">
        <v>2.35</v>
      </c>
      <c r="Z3023" s="1">
        <v>6.8</v>
      </c>
    </row>
    <row r="3024" ht="14.25" customHeight="1">
      <c r="A3024" s="1" t="s">
        <v>26</v>
      </c>
      <c r="B3024" s="1" t="s">
        <v>14234</v>
      </c>
      <c r="C3024" s="1" t="s">
        <v>14292</v>
      </c>
      <c r="D3024" s="1">
        <v>2.1E7</v>
      </c>
      <c r="E3024" s="1" t="s">
        <v>48</v>
      </c>
      <c r="F3024" s="1" t="s">
        <v>193</v>
      </c>
      <c r="G3024" s="1" t="s">
        <v>14293</v>
      </c>
      <c r="H3024" s="1" t="s">
        <v>1056</v>
      </c>
      <c r="I3024" s="1">
        <v>73950.0</v>
      </c>
      <c r="J3024" s="1" t="s">
        <v>14294</v>
      </c>
      <c r="K3024" s="1" t="s">
        <v>14295</v>
      </c>
      <c r="L3024" s="1">
        <v>258.0</v>
      </c>
      <c r="M3024" s="1" t="s">
        <v>35</v>
      </c>
      <c r="N3024" s="1" t="s">
        <v>54</v>
      </c>
      <c r="O3024" s="1" t="s">
        <v>87</v>
      </c>
      <c r="P3024" s="1">
        <v>1.3E7</v>
      </c>
      <c r="Q3024" s="1">
        <v>1974.0</v>
      </c>
      <c r="R3024" s="1">
        <v>16000.0</v>
      </c>
      <c r="S3024" s="1">
        <v>387.0</v>
      </c>
      <c r="T3024" s="1">
        <v>244.0</v>
      </c>
      <c r="U3024" s="1">
        <v>17611.0</v>
      </c>
      <c r="V3024" s="1">
        <v>82.0</v>
      </c>
      <c r="W3024" s="1">
        <v>2000.0</v>
      </c>
      <c r="X3024" s="1">
        <v>3.0</v>
      </c>
      <c r="Y3024" s="1">
        <v>1.66</v>
      </c>
      <c r="Z3024" s="1">
        <v>6.8</v>
      </c>
    </row>
    <row r="3025" ht="14.25" customHeight="1">
      <c r="A3025" s="1" t="s">
        <v>26</v>
      </c>
      <c r="B3025" s="1" t="s">
        <v>9178</v>
      </c>
      <c r="C3025" s="1" t="s">
        <v>14296</v>
      </c>
      <c r="D3025" s="1">
        <v>2.0257E7</v>
      </c>
      <c r="E3025" s="1" t="s">
        <v>408</v>
      </c>
      <c r="F3025" s="1" t="s">
        <v>4808</v>
      </c>
      <c r="G3025" s="1" t="s">
        <v>13223</v>
      </c>
      <c r="H3025" s="1" t="s">
        <v>10709</v>
      </c>
      <c r="I3025" s="1">
        <v>7569.0</v>
      </c>
      <c r="J3025" s="1" t="s">
        <v>14297</v>
      </c>
      <c r="K3025" s="1" t="s">
        <v>14298</v>
      </c>
      <c r="L3025" s="1">
        <v>65.0</v>
      </c>
      <c r="M3025" s="1" t="s">
        <v>35</v>
      </c>
      <c r="N3025" s="1" t="s">
        <v>36</v>
      </c>
      <c r="O3025" s="1" t="s">
        <v>628</v>
      </c>
      <c r="P3025" s="1">
        <v>7000000.0</v>
      </c>
      <c r="Q3025" s="1">
        <v>1988.0</v>
      </c>
      <c r="R3025" s="1">
        <v>1000.0</v>
      </c>
      <c r="S3025" s="1">
        <v>841.0</v>
      </c>
      <c r="T3025" s="1">
        <v>794.0</v>
      </c>
      <c r="U3025" s="1">
        <v>5282.0</v>
      </c>
      <c r="V3025" s="1">
        <v>22.0</v>
      </c>
      <c r="W3025" s="1">
        <v>978.0</v>
      </c>
      <c r="X3025" s="1">
        <v>2.0</v>
      </c>
      <c r="Y3025" s="1">
        <v>1.85</v>
      </c>
      <c r="Z3025" s="1">
        <v>5.2</v>
      </c>
    </row>
    <row r="3026" ht="14.25" customHeight="1">
      <c r="A3026" s="1" t="s">
        <v>26</v>
      </c>
      <c r="B3026" s="1" t="s">
        <v>7365</v>
      </c>
      <c r="C3026" s="1" t="s">
        <v>14299</v>
      </c>
      <c r="D3026" s="1">
        <v>2.6005908E7</v>
      </c>
      <c r="E3026" s="1" t="s">
        <v>8022</v>
      </c>
      <c r="F3026" s="1" t="s">
        <v>14300</v>
      </c>
      <c r="G3026" s="1" t="s">
        <v>14301</v>
      </c>
      <c r="H3026" s="1" t="s">
        <v>14302</v>
      </c>
      <c r="I3026" s="1">
        <v>154938.0</v>
      </c>
      <c r="J3026" s="1" t="s">
        <v>14303</v>
      </c>
      <c r="K3026" s="1" t="s">
        <v>14304</v>
      </c>
      <c r="L3026" s="1">
        <v>1100.0</v>
      </c>
      <c r="M3026" s="1" t="s">
        <v>35</v>
      </c>
      <c r="N3026" s="1" t="s">
        <v>54</v>
      </c>
      <c r="O3026" s="1" t="s">
        <v>628</v>
      </c>
      <c r="P3026" s="1">
        <v>3500000.0</v>
      </c>
      <c r="Q3026" s="1">
        <v>2005.0</v>
      </c>
      <c r="R3026" s="1">
        <v>513.0</v>
      </c>
      <c r="S3026" s="1">
        <v>239.0</v>
      </c>
      <c r="T3026" s="1">
        <v>159.0</v>
      </c>
      <c r="U3026" s="1">
        <v>1379.0</v>
      </c>
      <c r="V3026" s="1">
        <v>197.0</v>
      </c>
      <c r="W3026" s="1">
        <v>10000.0</v>
      </c>
      <c r="X3026" s="1">
        <v>0.0</v>
      </c>
      <c r="Y3026" s="1">
        <v>2.35</v>
      </c>
      <c r="Z3026" s="1">
        <v>7.2</v>
      </c>
    </row>
    <row r="3027" ht="14.25" customHeight="1">
      <c r="A3027" s="1" t="s">
        <v>26</v>
      </c>
      <c r="B3027" s="1" t="s">
        <v>14305</v>
      </c>
      <c r="C3027" s="1" t="s">
        <v>14306</v>
      </c>
      <c r="D3027" s="1">
        <v>1.5818967E7</v>
      </c>
      <c r="E3027" s="1" t="s">
        <v>5924</v>
      </c>
      <c r="F3027" s="1" t="s">
        <v>8061</v>
      </c>
      <c r="G3027" s="1" t="s">
        <v>14307</v>
      </c>
      <c r="H3027" s="1" t="s">
        <v>14308</v>
      </c>
      <c r="I3027" s="1">
        <v>13913.0</v>
      </c>
      <c r="J3027" s="1" t="s">
        <v>14309</v>
      </c>
      <c r="K3027" s="1" t="s">
        <v>14310</v>
      </c>
      <c r="L3027" s="1">
        <v>120.0</v>
      </c>
      <c r="M3027" s="1" t="s">
        <v>35</v>
      </c>
      <c r="N3027" s="1" t="s">
        <v>36</v>
      </c>
      <c r="O3027" s="1" t="s">
        <v>628</v>
      </c>
      <c r="P3027" s="1">
        <v>7000000.0</v>
      </c>
      <c r="Q3027" s="1">
        <v>2014.0</v>
      </c>
      <c r="R3027" s="1">
        <v>971.0</v>
      </c>
      <c r="S3027" s="1">
        <v>479.0</v>
      </c>
      <c r="T3027" s="1">
        <v>270.0</v>
      </c>
      <c r="U3027" s="1">
        <v>2517.0</v>
      </c>
      <c r="V3027" s="1">
        <v>14.0</v>
      </c>
      <c r="W3027" s="1">
        <v>0.0</v>
      </c>
      <c r="X3027" s="1">
        <v>0.0</v>
      </c>
      <c r="Y3027" s="1">
        <v>1.85</v>
      </c>
      <c r="Z3027" s="1">
        <v>4.0</v>
      </c>
    </row>
    <row r="3028" ht="14.25" customHeight="1">
      <c r="A3028" s="1" t="s">
        <v>26</v>
      </c>
      <c r="B3028" s="1" t="s">
        <v>3954</v>
      </c>
      <c r="C3028" s="1" t="s">
        <v>14311</v>
      </c>
      <c r="D3028" s="1">
        <v>1.4891E7</v>
      </c>
      <c r="E3028" s="1" t="s">
        <v>1885</v>
      </c>
      <c r="F3028" s="1" t="s">
        <v>3519</v>
      </c>
      <c r="G3028" s="1" t="s">
        <v>14312</v>
      </c>
      <c r="H3028" s="1" t="s">
        <v>5200</v>
      </c>
      <c r="I3028" s="1">
        <v>15088.0</v>
      </c>
      <c r="J3028" s="1" t="s">
        <v>14313</v>
      </c>
      <c r="K3028" s="1" t="s">
        <v>14314</v>
      </c>
      <c r="L3028" s="1">
        <v>105.0</v>
      </c>
      <c r="M3028" s="1" t="s">
        <v>35</v>
      </c>
      <c r="N3028" s="1" t="s">
        <v>36</v>
      </c>
      <c r="O3028" s="1" t="s">
        <v>628</v>
      </c>
      <c r="P3028" s="1">
        <v>7000000.0</v>
      </c>
      <c r="Q3028" s="1">
        <v>1996.0</v>
      </c>
      <c r="R3028" s="1">
        <v>718.0</v>
      </c>
      <c r="S3028" s="1">
        <v>524.0</v>
      </c>
      <c r="T3028" s="1">
        <v>380.0</v>
      </c>
      <c r="U3028" s="1">
        <v>2240.0</v>
      </c>
      <c r="V3028" s="1">
        <v>737.0</v>
      </c>
      <c r="W3028" s="1">
        <v>824.0</v>
      </c>
      <c r="X3028" s="1">
        <v>3.0</v>
      </c>
      <c r="Y3028" s="1">
        <v>1.85</v>
      </c>
      <c r="Z3028" s="1">
        <v>6.8</v>
      </c>
    </row>
    <row r="3029" ht="14.25" customHeight="1">
      <c r="A3029" s="1" t="s">
        <v>26</v>
      </c>
      <c r="B3029" s="1" t="s">
        <v>11561</v>
      </c>
      <c r="C3029" s="1" t="s">
        <v>14315</v>
      </c>
      <c r="D3029" s="1">
        <v>1.6901126E7</v>
      </c>
      <c r="E3029" s="1" t="s">
        <v>14316</v>
      </c>
      <c r="F3029" s="1" t="s">
        <v>12609</v>
      </c>
      <c r="G3029" s="1" t="s">
        <v>14317</v>
      </c>
      <c r="H3029" s="1" t="s">
        <v>8492</v>
      </c>
      <c r="I3029" s="1">
        <v>76267.0</v>
      </c>
      <c r="J3029" s="1" t="s">
        <v>14318</v>
      </c>
      <c r="K3029" s="1" t="s">
        <v>14319</v>
      </c>
      <c r="L3029" s="1">
        <v>687.0</v>
      </c>
      <c r="M3029" s="1" t="s">
        <v>35</v>
      </c>
      <c r="N3029" s="1" t="s">
        <v>36</v>
      </c>
      <c r="O3029" s="1" t="s">
        <v>628</v>
      </c>
      <c r="P3029" s="1">
        <v>7000000.0</v>
      </c>
      <c r="Q3029" s="1">
        <v>2005.0</v>
      </c>
      <c r="R3029" s="1">
        <v>1000.0</v>
      </c>
      <c r="S3029" s="1">
        <v>649.0</v>
      </c>
      <c r="T3029" s="1">
        <v>597.0</v>
      </c>
      <c r="U3029" s="1">
        <v>3544.0</v>
      </c>
      <c r="V3029" s="1">
        <v>0.0</v>
      </c>
      <c r="W3029" s="1">
        <v>0.0</v>
      </c>
      <c r="X3029" s="1">
        <v>0.0</v>
      </c>
      <c r="Y3029" s="1">
        <v>1.85</v>
      </c>
      <c r="Z3029" s="1">
        <v>6.9</v>
      </c>
    </row>
    <row r="3030" ht="14.25" customHeight="1">
      <c r="A3030" s="1" t="s">
        <v>26</v>
      </c>
      <c r="B3030" s="1" t="s">
        <v>12073</v>
      </c>
      <c r="C3030" s="1" t="s">
        <v>14320</v>
      </c>
      <c r="D3030" s="1">
        <v>1.7474107E7</v>
      </c>
      <c r="E3030" s="1" t="s">
        <v>8521</v>
      </c>
      <c r="F3030" s="1" t="s">
        <v>4639</v>
      </c>
      <c r="G3030" s="1" t="s">
        <v>14321</v>
      </c>
      <c r="H3030" s="1" t="s">
        <v>6913</v>
      </c>
      <c r="I3030" s="1">
        <v>56605.0</v>
      </c>
      <c r="J3030" s="1" t="s">
        <v>14322</v>
      </c>
      <c r="K3030" s="1" t="s">
        <v>14323</v>
      </c>
      <c r="L3030" s="1">
        <v>89.0</v>
      </c>
      <c r="M3030" s="1" t="s">
        <v>35</v>
      </c>
      <c r="N3030" s="1" t="s">
        <v>36</v>
      </c>
      <c r="O3030" s="1" t="s">
        <v>628</v>
      </c>
      <c r="P3030" s="1">
        <v>7000000.0</v>
      </c>
      <c r="Q3030" s="1">
        <v>2015.0</v>
      </c>
      <c r="R3030" s="1">
        <v>637.0</v>
      </c>
      <c r="S3030" s="1">
        <v>256.0</v>
      </c>
      <c r="T3030" s="1">
        <v>190.0</v>
      </c>
      <c r="U3030" s="1">
        <v>1342.0</v>
      </c>
      <c r="V3030" s="1">
        <v>44.0</v>
      </c>
      <c r="W3030" s="1">
        <v>23000.0</v>
      </c>
      <c r="X3030" s="1">
        <v>3.0</v>
      </c>
      <c r="Y3030" s="1">
        <v>2.35</v>
      </c>
      <c r="Z3030" s="1">
        <v>7.3</v>
      </c>
    </row>
    <row r="3031" ht="14.25" customHeight="1">
      <c r="A3031" s="1" t="s">
        <v>26</v>
      </c>
      <c r="B3031" s="1" t="s">
        <v>7027</v>
      </c>
      <c r="C3031" s="1" t="s">
        <v>14324</v>
      </c>
      <c r="D3031" s="1">
        <v>1.4003141E7</v>
      </c>
      <c r="E3031" s="1" t="s">
        <v>2045</v>
      </c>
      <c r="F3031" s="1" t="s">
        <v>2040</v>
      </c>
      <c r="G3031" s="1" t="s">
        <v>5606</v>
      </c>
      <c r="H3031" s="1" t="s">
        <v>5999</v>
      </c>
      <c r="I3031" s="1">
        <v>4598.0</v>
      </c>
      <c r="J3031" s="1" t="s">
        <v>14325</v>
      </c>
      <c r="K3031" s="1" t="s">
        <v>14326</v>
      </c>
      <c r="L3031" s="1">
        <v>29.0</v>
      </c>
      <c r="M3031" s="1" t="s">
        <v>35</v>
      </c>
      <c r="N3031" s="1" t="s">
        <v>36</v>
      </c>
      <c r="O3031" s="1" t="s">
        <v>628</v>
      </c>
      <c r="P3031" s="1">
        <v>7000000.0</v>
      </c>
      <c r="Q3031" s="1">
        <v>1999.0</v>
      </c>
      <c r="R3031" s="1">
        <v>1000.0</v>
      </c>
      <c r="S3031" s="1">
        <v>865.0</v>
      </c>
      <c r="T3031" s="1">
        <v>826.0</v>
      </c>
      <c r="U3031" s="1">
        <v>4837.0</v>
      </c>
      <c r="V3031" s="1">
        <v>48.0</v>
      </c>
      <c r="W3031" s="1">
        <v>375.0</v>
      </c>
      <c r="X3031" s="1">
        <v>1.0</v>
      </c>
      <c r="Y3031" s="1">
        <v>2.35</v>
      </c>
      <c r="Z3031" s="1">
        <v>6.1</v>
      </c>
    </row>
    <row r="3032" ht="14.25" customHeight="1">
      <c r="A3032" s="1" t="s">
        <v>26</v>
      </c>
      <c r="B3032" s="1" t="s">
        <v>46</v>
      </c>
      <c r="C3032" s="1" t="s">
        <v>232</v>
      </c>
      <c r="D3032" s="1">
        <v>3.04360277E8</v>
      </c>
      <c r="E3032" s="1" t="s">
        <v>48</v>
      </c>
      <c r="F3032" s="1" t="s">
        <v>233</v>
      </c>
      <c r="G3032" s="1" t="s">
        <v>234</v>
      </c>
      <c r="H3032" s="1" t="s">
        <v>50</v>
      </c>
      <c r="I3032" s="1">
        <v>522048.0</v>
      </c>
      <c r="J3032" s="1" t="s">
        <v>235</v>
      </c>
      <c r="K3032" s="1" t="s">
        <v>236</v>
      </c>
      <c r="L3032" s="1">
        <v>1498.0</v>
      </c>
      <c r="M3032" s="1" t="s">
        <v>35</v>
      </c>
      <c r="N3032" s="1" t="s">
        <v>54</v>
      </c>
      <c r="O3032" s="1" t="s">
        <v>37</v>
      </c>
      <c r="P3032" s="1">
        <v>2.0E8</v>
      </c>
      <c r="Q3032" s="1">
        <v>2012.0</v>
      </c>
      <c r="R3032" s="1">
        <v>883.0</v>
      </c>
      <c r="S3032" s="1">
        <v>563.0</v>
      </c>
      <c r="T3032" s="1">
        <v>393.0</v>
      </c>
      <c r="U3032" s="1">
        <v>2039.0</v>
      </c>
      <c r="V3032" s="1">
        <v>0.0</v>
      </c>
      <c r="W3032" s="1">
        <v>80000.0</v>
      </c>
      <c r="X3032" s="1">
        <v>0.0</v>
      </c>
      <c r="Y3032" s="1">
        <v>2.35</v>
      </c>
      <c r="Z3032" s="1">
        <v>7.8</v>
      </c>
    </row>
    <row r="3033" ht="14.25" customHeight="1">
      <c r="A3033" s="1" t="s">
        <v>710</v>
      </c>
      <c r="B3033" s="1" t="s">
        <v>11561</v>
      </c>
      <c r="C3033" s="1" t="s">
        <v>14327</v>
      </c>
      <c r="D3033" s="1">
        <v>1.258351E7</v>
      </c>
      <c r="E3033" s="1" t="s">
        <v>6019</v>
      </c>
      <c r="F3033" s="1" t="s">
        <v>12609</v>
      </c>
      <c r="G3033" s="1" t="s">
        <v>14328</v>
      </c>
      <c r="H3033" s="1" t="s">
        <v>14329</v>
      </c>
      <c r="I3033" s="1">
        <v>60709.0</v>
      </c>
      <c r="J3033" s="1" t="s">
        <v>14330</v>
      </c>
      <c r="K3033" s="1" t="s">
        <v>14331</v>
      </c>
      <c r="L3033" s="1">
        <v>922.0</v>
      </c>
      <c r="M3033" s="1" t="s">
        <v>35</v>
      </c>
      <c r="N3033" s="1" t="s">
        <v>36</v>
      </c>
      <c r="O3033" s="1" t="s">
        <v>628</v>
      </c>
      <c r="P3033" s="1">
        <v>7000000.0</v>
      </c>
      <c r="Q3033" s="1">
        <v>2003.0</v>
      </c>
      <c r="R3033" s="1">
        <v>1000.0</v>
      </c>
      <c r="S3033" s="1">
        <v>340.0</v>
      </c>
      <c r="T3033" s="1">
        <v>303.0</v>
      </c>
      <c r="U3033" s="1">
        <v>2444.0</v>
      </c>
      <c r="V3033" s="1">
        <v>0.0</v>
      </c>
      <c r="W3033" s="1">
        <v>0.0</v>
      </c>
      <c r="X3033" s="1">
        <v>0.0</v>
      </c>
      <c r="Y3033" s="1">
        <v>1.85</v>
      </c>
      <c r="Z3033" s="1">
        <v>6.0</v>
      </c>
    </row>
    <row r="3034" ht="14.25" customHeight="1">
      <c r="A3034" s="1" t="s">
        <v>26</v>
      </c>
      <c r="B3034" s="1" t="s">
        <v>6676</v>
      </c>
      <c r="C3034" s="1" t="s">
        <v>14332</v>
      </c>
      <c r="D3034" s="1">
        <v>9190525.0</v>
      </c>
      <c r="E3034" s="1" t="s">
        <v>2422</v>
      </c>
      <c r="F3034" s="1" t="s">
        <v>159</v>
      </c>
      <c r="G3034" s="1" t="s">
        <v>14333</v>
      </c>
      <c r="H3034" s="1" t="s">
        <v>14334</v>
      </c>
      <c r="I3034" s="1">
        <v>102125.0</v>
      </c>
      <c r="J3034" s="1" t="s">
        <v>14335</v>
      </c>
      <c r="K3034" s="1" t="s">
        <v>14336</v>
      </c>
      <c r="L3034" s="1">
        <v>324.0</v>
      </c>
      <c r="M3034" s="1" t="s">
        <v>35</v>
      </c>
      <c r="N3034" s="1" t="s">
        <v>36</v>
      </c>
      <c r="O3034" s="1" t="s">
        <v>628</v>
      </c>
      <c r="P3034" s="1">
        <v>7000000.0</v>
      </c>
      <c r="Q3034" s="1">
        <v>2009.0</v>
      </c>
      <c r="R3034" s="1">
        <v>816.0</v>
      </c>
      <c r="S3034" s="1">
        <v>105.0</v>
      </c>
      <c r="T3034" s="1">
        <v>98.0</v>
      </c>
      <c r="U3034" s="1">
        <v>1120.0</v>
      </c>
      <c r="V3034" s="1">
        <v>1000.0</v>
      </c>
      <c r="W3034" s="1">
        <v>10000.0</v>
      </c>
      <c r="X3034" s="1">
        <v>1.0</v>
      </c>
      <c r="Y3034" s="1">
        <v>1.85</v>
      </c>
      <c r="Z3034" s="1">
        <v>7.0</v>
      </c>
    </row>
    <row r="3035" ht="14.25" customHeight="1">
      <c r="A3035" s="1" t="s">
        <v>26</v>
      </c>
      <c r="B3035" s="1" t="s">
        <v>14337</v>
      </c>
      <c r="C3035" s="1" t="s">
        <v>14338</v>
      </c>
      <c r="D3035" s="1">
        <v>9176553.0</v>
      </c>
      <c r="E3035" s="1" t="s">
        <v>7540</v>
      </c>
      <c r="F3035" s="1" t="s">
        <v>534</v>
      </c>
      <c r="G3035" s="1" t="s">
        <v>1606</v>
      </c>
      <c r="H3035" s="1" t="s">
        <v>3633</v>
      </c>
      <c r="I3035" s="1">
        <v>19147.0</v>
      </c>
      <c r="J3035" s="1" t="s">
        <v>14339</v>
      </c>
      <c r="K3035" s="1" t="s">
        <v>14340</v>
      </c>
      <c r="L3035" s="1">
        <v>97.0</v>
      </c>
      <c r="M3035" s="1" t="s">
        <v>35</v>
      </c>
      <c r="N3035" s="1" t="s">
        <v>36</v>
      </c>
      <c r="O3035" s="1" t="s">
        <v>37</v>
      </c>
      <c r="P3035" s="1">
        <v>7500000.0</v>
      </c>
      <c r="Q3035" s="1">
        <v>2009.0</v>
      </c>
      <c r="R3035" s="1">
        <v>13000.0</v>
      </c>
      <c r="S3035" s="1">
        <v>3000.0</v>
      </c>
      <c r="T3035" s="1">
        <v>970.0</v>
      </c>
      <c r="U3035" s="1">
        <v>19330.0</v>
      </c>
      <c r="V3035" s="1">
        <v>11.0</v>
      </c>
      <c r="W3035" s="1">
        <v>0.0</v>
      </c>
      <c r="X3035" s="1">
        <v>1.0</v>
      </c>
      <c r="Y3035" s="1">
        <v>2.35</v>
      </c>
      <c r="Z3035" s="1">
        <v>7.1</v>
      </c>
    </row>
    <row r="3036" ht="14.25" customHeight="1">
      <c r="A3036" s="1" t="s">
        <v>26</v>
      </c>
      <c r="B3036" s="1" t="s">
        <v>6634</v>
      </c>
      <c r="C3036" s="1" t="s">
        <v>14341</v>
      </c>
      <c r="D3036" s="1">
        <v>9094451.0</v>
      </c>
      <c r="E3036" s="1" t="s">
        <v>8311</v>
      </c>
      <c r="F3036" s="1" t="s">
        <v>5829</v>
      </c>
      <c r="G3036" s="1" t="s">
        <v>2208</v>
      </c>
      <c r="H3036" s="1" t="s">
        <v>9289</v>
      </c>
      <c r="I3036" s="1">
        <v>11668.0</v>
      </c>
      <c r="J3036" s="1" t="s">
        <v>14342</v>
      </c>
      <c r="K3036" s="1" t="s">
        <v>14343</v>
      </c>
      <c r="L3036" s="1">
        <v>79.0</v>
      </c>
      <c r="M3036" s="1" t="s">
        <v>35</v>
      </c>
      <c r="N3036" s="1" t="s">
        <v>36</v>
      </c>
      <c r="O3036" s="1" t="s">
        <v>628</v>
      </c>
      <c r="P3036" s="1">
        <v>7000000.0</v>
      </c>
      <c r="Q3036" s="1">
        <v>1989.0</v>
      </c>
      <c r="R3036" s="1">
        <v>687.0</v>
      </c>
      <c r="S3036" s="1">
        <v>554.0</v>
      </c>
      <c r="T3036" s="1">
        <v>304.0</v>
      </c>
      <c r="U3036" s="1">
        <v>1990.0</v>
      </c>
      <c r="V3036" s="1">
        <v>49.0</v>
      </c>
      <c r="W3036" s="1">
        <v>0.0</v>
      </c>
      <c r="X3036" s="1">
        <v>0.0</v>
      </c>
      <c r="Y3036" s="1">
        <v>1.85</v>
      </c>
      <c r="Z3036" s="1">
        <v>6.2</v>
      </c>
    </row>
    <row r="3037" ht="14.25" customHeight="1">
      <c r="A3037" s="1" t="s">
        <v>26</v>
      </c>
      <c r="B3037" s="1" t="s">
        <v>14344</v>
      </c>
      <c r="C3037" s="1" t="s">
        <v>14345</v>
      </c>
      <c r="D3037" s="1">
        <v>9166863.0</v>
      </c>
      <c r="E3037" s="1" t="s">
        <v>206</v>
      </c>
      <c r="F3037" s="1" t="s">
        <v>424</v>
      </c>
      <c r="G3037" s="1" t="s">
        <v>14346</v>
      </c>
      <c r="H3037" s="1" t="s">
        <v>13993</v>
      </c>
      <c r="I3037" s="1">
        <v>83182.0</v>
      </c>
      <c r="J3037" s="1" t="s">
        <v>14347</v>
      </c>
      <c r="K3037" s="1" t="s">
        <v>14348</v>
      </c>
      <c r="L3037" s="1">
        <v>247.0</v>
      </c>
      <c r="M3037" s="1" t="s">
        <v>35</v>
      </c>
      <c r="N3037" s="1" t="s">
        <v>36</v>
      </c>
      <c r="O3037" s="1" t="s">
        <v>628</v>
      </c>
      <c r="P3037" s="1">
        <v>7000000.0</v>
      </c>
      <c r="Q3037" s="1">
        <v>2009.0</v>
      </c>
      <c r="R3037" s="1">
        <v>14000.0</v>
      </c>
      <c r="S3037" s="1">
        <v>343.0</v>
      </c>
      <c r="T3037" s="1">
        <v>292.0</v>
      </c>
      <c r="U3037" s="1">
        <v>14816.0</v>
      </c>
      <c r="V3037" s="1">
        <v>192.0</v>
      </c>
      <c r="W3037" s="1">
        <v>16000.0</v>
      </c>
      <c r="X3037" s="1">
        <v>2.0</v>
      </c>
      <c r="Y3037" s="1">
        <v>2.35</v>
      </c>
      <c r="Z3037" s="1">
        <v>7.6</v>
      </c>
    </row>
    <row r="3038" ht="14.25" customHeight="1">
      <c r="A3038" s="1" t="s">
        <v>26</v>
      </c>
      <c r="B3038" s="1" t="s">
        <v>472</v>
      </c>
      <c r="C3038" s="1" t="s">
        <v>14349</v>
      </c>
      <c r="D3038" s="1">
        <v>8373585.0</v>
      </c>
      <c r="E3038" s="1" t="s">
        <v>3238</v>
      </c>
      <c r="F3038" s="1" t="s">
        <v>6730</v>
      </c>
      <c r="G3038" s="1" t="s">
        <v>14350</v>
      </c>
      <c r="H3038" s="1" t="s">
        <v>7461</v>
      </c>
      <c r="I3038" s="1">
        <v>39680.0</v>
      </c>
      <c r="J3038" s="1" t="s">
        <v>14351</v>
      </c>
      <c r="K3038" s="1" t="s">
        <v>14352</v>
      </c>
      <c r="L3038" s="1">
        <v>308.0</v>
      </c>
      <c r="M3038" s="1" t="s">
        <v>35</v>
      </c>
      <c r="N3038" s="1" t="s">
        <v>36</v>
      </c>
      <c r="O3038" s="1" t="s">
        <v>628</v>
      </c>
      <c r="P3038" s="1">
        <v>7000000.0</v>
      </c>
      <c r="Q3038" s="1">
        <v>1988.0</v>
      </c>
      <c r="R3038" s="1">
        <v>883.0</v>
      </c>
      <c r="S3038" s="1">
        <v>618.0</v>
      </c>
      <c r="T3038" s="1">
        <v>159.0</v>
      </c>
      <c r="U3038" s="1">
        <v>1934.0</v>
      </c>
      <c r="V3038" s="1">
        <v>17000.0</v>
      </c>
      <c r="W3038" s="1">
        <v>0.0</v>
      </c>
      <c r="X3038" s="1">
        <v>0.0</v>
      </c>
      <c r="Y3038" s="1">
        <v>1.85</v>
      </c>
      <c r="Z3038" s="1">
        <v>7.6</v>
      </c>
    </row>
    <row r="3039" ht="14.25" customHeight="1">
      <c r="A3039" s="1" t="s">
        <v>26</v>
      </c>
      <c r="B3039" s="1" t="s">
        <v>14097</v>
      </c>
      <c r="C3039" s="1" t="s">
        <v>14353</v>
      </c>
      <c r="D3039" s="1">
        <v>7292175.0</v>
      </c>
      <c r="E3039" s="1" t="s">
        <v>1359</v>
      </c>
      <c r="F3039" s="1" t="s">
        <v>14354</v>
      </c>
      <c r="G3039" s="1" t="s">
        <v>14355</v>
      </c>
      <c r="H3039" s="1" t="s">
        <v>9243</v>
      </c>
      <c r="I3039" s="1">
        <v>7736.0</v>
      </c>
      <c r="J3039" s="1" t="s">
        <v>14356</v>
      </c>
      <c r="K3039" s="1" t="s">
        <v>14357</v>
      </c>
      <c r="L3039" s="1">
        <v>100.0</v>
      </c>
      <c r="M3039" s="1" t="s">
        <v>35</v>
      </c>
      <c r="N3039" s="1" t="s">
        <v>36</v>
      </c>
      <c r="O3039" s="1" t="s">
        <v>628</v>
      </c>
      <c r="P3039" s="1">
        <v>7000000.0</v>
      </c>
      <c r="Q3039" s="1">
        <v>1999.0</v>
      </c>
      <c r="R3039" s="1">
        <v>761.0</v>
      </c>
      <c r="S3039" s="1">
        <v>412.0</v>
      </c>
      <c r="T3039" s="1">
        <v>407.0</v>
      </c>
      <c r="U3039" s="1">
        <v>2018.0</v>
      </c>
      <c r="V3039" s="1">
        <v>30.0</v>
      </c>
      <c r="W3039" s="1">
        <v>0.0</v>
      </c>
      <c r="X3039" s="1">
        <v>3.0</v>
      </c>
      <c r="Y3039" s="1">
        <v>1.85</v>
      </c>
      <c r="Z3039" s="1">
        <v>6.4</v>
      </c>
    </row>
    <row r="3040" ht="14.25" customHeight="1">
      <c r="A3040" s="1" t="s">
        <v>26</v>
      </c>
      <c r="B3040" s="1" t="s">
        <v>14358</v>
      </c>
      <c r="C3040" s="1" t="s">
        <v>14359</v>
      </c>
      <c r="D3040" s="1">
        <v>6601079.0</v>
      </c>
      <c r="E3040" s="1" t="s">
        <v>3292</v>
      </c>
      <c r="F3040" s="1" t="s">
        <v>3341</v>
      </c>
      <c r="G3040" s="1" t="s">
        <v>3639</v>
      </c>
      <c r="H3040" s="1" t="s">
        <v>14360</v>
      </c>
      <c r="I3040" s="1">
        <v>17436.0</v>
      </c>
      <c r="J3040" s="1" t="s">
        <v>14361</v>
      </c>
      <c r="K3040" s="1" t="s">
        <v>14362</v>
      </c>
      <c r="L3040" s="1">
        <v>276.0</v>
      </c>
      <c r="M3040" s="1" t="s">
        <v>35</v>
      </c>
      <c r="N3040" s="1" t="s">
        <v>54</v>
      </c>
      <c r="O3040" s="1" t="s">
        <v>37</v>
      </c>
      <c r="P3040" s="1">
        <v>7000000.0</v>
      </c>
      <c r="Q3040" s="1">
        <v>2004.0</v>
      </c>
      <c r="R3040" s="1">
        <v>729.0</v>
      </c>
      <c r="S3040" s="1">
        <v>579.0</v>
      </c>
      <c r="T3040" s="1">
        <v>397.0</v>
      </c>
      <c r="U3040" s="1">
        <v>2321.0</v>
      </c>
      <c r="V3040" s="1">
        <v>98.0</v>
      </c>
      <c r="W3040" s="1">
        <v>0.0</v>
      </c>
      <c r="X3040" s="1">
        <v>1.0</v>
      </c>
      <c r="Y3040" s="1">
        <v>2.35</v>
      </c>
      <c r="Z3040" s="1">
        <v>6.2</v>
      </c>
    </row>
    <row r="3041" ht="14.25" customHeight="1">
      <c r="A3041" s="1" t="s">
        <v>26</v>
      </c>
      <c r="B3041" s="1" t="s">
        <v>1153</v>
      </c>
      <c r="C3041" s="1" t="s">
        <v>14363</v>
      </c>
      <c r="D3041" s="1">
        <v>6165429.0</v>
      </c>
      <c r="E3041" s="1" t="s">
        <v>14364</v>
      </c>
      <c r="F3041" s="1" t="s">
        <v>14365</v>
      </c>
      <c r="G3041" s="1" t="s">
        <v>13842</v>
      </c>
      <c r="H3041" s="1" t="s">
        <v>14366</v>
      </c>
      <c r="I3041" s="1">
        <v>23486.0</v>
      </c>
      <c r="J3041" s="1" t="s">
        <v>14367</v>
      </c>
      <c r="K3041" s="1" t="s">
        <v>14368</v>
      </c>
      <c r="L3041" s="1">
        <v>249.0</v>
      </c>
      <c r="M3041" s="1" t="s">
        <v>2136</v>
      </c>
      <c r="N3041" s="1" t="s">
        <v>362</v>
      </c>
      <c r="O3041" s="1" t="s">
        <v>87</v>
      </c>
      <c r="P3041" s="1">
        <v>6000000.0</v>
      </c>
      <c r="Q3041" s="1">
        <v>2002.0</v>
      </c>
      <c r="R3041" s="1">
        <v>116.0</v>
      </c>
      <c r="S3041" s="1">
        <v>93.0</v>
      </c>
      <c r="T3041" s="1">
        <v>46.0</v>
      </c>
      <c r="U3041" s="1">
        <v>312.0</v>
      </c>
      <c r="V3041" s="1">
        <v>176.0</v>
      </c>
      <c r="W3041" s="1">
        <v>0.0</v>
      </c>
      <c r="X3041" s="1">
        <v>1.0</v>
      </c>
      <c r="Y3041" s="1">
        <v>2.35</v>
      </c>
      <c r="Z3041" s="1">
        <v>7.5</v>
      </c>
    </row>
    <row r="3042" ht="14.25" customHeight="1">
      <c r="A3042" s="1" t="s">
        <v>26</v>
      </c>
      <c r="B3042" s="1" t="s">
        <v>9039</v>
      </c>
      <c r="C3042" s="1" t="s">
        <v>14369</v>
      </c>
      <c r="D3042" s="1">
        <v>5694308.0</v>
      </c>
      <c r="E3042" s="1" t="s">
        <v>3714</v>
      </c>
      <c r="F3042" s="1" t="s">
        <v>1577</v>
      </c>
      <c r="G3042" s="1" t="s">
        <v>4939</v>
      </c>
      <c r="H3042" s="1" t="s">
        <v>14370</v>
      </c>
      <c r="I3042" s="1">
        <v>13815.0</v>
      </c>
      <c r="J3042" s="1" t="s">
        <v>14371</v>
      </c>
      <c r="K3042" s="1" t="s">
        <v>14372</v>
      </c>
      <c r="L3042" s="1">
        <v>46.0</v>
      </c>
      <c r="M3042" s="1" t="s">
        <v>35</v>
      </c>
      <c r="N3042" s="1" t="s">
        <v>36</v>
      </c>
      <c r="O3042" s="1" t="s">
        <v>37</v>
      </c>
      <c r="P3042" s="1">
        <v>7000000.0</v>
      </c>
      <c r="Q3042" s="1">
        <v>2007.0</v>
      </c>
      <c r="R3042" s="1">
        <v>692.0</v>
      </c>
      <c r="S3042" s="1">
        <v>585.0</v>
      </c>
      <c r="T3042" s="1">
        <v>442.0</v>
      </c>
      <c r="U3042" s="1">
        <v>3128.0</v>
      </c>
      <c r="V3042" s="1">
        <v>70.0</v>
      </c>
      <c r="W3042" s="1">
        <v>446.0</v>
      </c>
      <c r="X3042" s="1">
        <v>0.0</v>
      </c>
      <c r="Y3042" s="1">
        <v>1.85</v>
      </c>
      <c r="Z3042" s="1">
        <v>2.0</v>
      </c>
    </row>
    <row r="3043" ht="14.25" customHeight="1">
      <c r="A3043" s="1" t="s">
        <v>26</v>
      </c>
      <c r="B3043" s="1" t="s">
        <v>14373</v>
      </c>
      <c r="C3043" s="1" t="s">
        <v>14374</v>
      </c>
      <c r="D3043" s="1">
        <v>5430822.0</v>
      </c>
      <c r="E3043" s="1" t="s">
        <v>14375</v>
      </c>
      <c r="F3043" s="1" t="s">
        <v>14376</v>
      </c>
      <c r="G3043" s="1" t="s">
        <v>2151</v>
      </c>
      <c r="H3043" s="1" t="s">
        <v>14377</v>
      </c>
      <c r="I3043" s="1">
        <v>8391.0</v>
      </c>
      <c r="J3043" s="1" t="s">
        <v>14378</v>
      </c>
      <c r="K3043" s="1" t="s">
        <v>14379</v>
      </c>
      <c r="L3043" s="1">
        <v>75.0</v>
      </c>
      <c r="M3043" s="1" t="s">
        <v>35</v>
      </c>
      <c r="N3043" s="1" t="s">
        <v>54</v>
      </c>
      <c r="O3043" s="1" t="s">
        <v>628</v>
      </c>
      <c r="P3043" s="1">
        <v>7000000.0</v>
      </c>
      <c r="Q3043" s="1">
        <v>1992.0</v>
      </c>
      <c r="R3043" s="1">
        <v>206.0</v>
      </c>
      <c r="S3043" s="1">
        <v>192.0</v>
      </c>
      <c r="T3043" s="1">
        <v>38.0</v>
      </c>
      <c r="U3043" s="1">
        <v>493.0</v>
      </c>
      <c r="V3043" s="1">
        <v>6.0</v>
      </c>
      <c r="W3043" s="1">
        <v>0.0</v>
      </c>
      <c r="X3043" s="1">
        <v>0.0</v>
      </c>
      <c r="Y3043" s="1">
        <v>1.85</v>
      </c>
      <c r="Z3043" s="1">
        <v>6.2</v>
      </c>
    </row>
    <row r="3044" ht="14.25" customHeight="1">
      <c r="A3044" s="1" t="s">
        <v>26</v>
      </c>
      <c r="B3044" s="1" t="s">
        <v>14380</v>
      </c>
      <c r="C3044" s="1" t="s">
        <v>14381</v>
      </c>
      <c r="D3044" s="1">
        <v>4720371.0</v>
      </c>
      <c r="E3044" s="1" t="s">
        <v>10147</v>
      </c>
      <c r="F3044" s="1" t="s">
        <v>249</v>
      </c>
      <c r="G3044" s="1" t="s">
        <v>14382</v>
      </c>
      <c r="H3044" s="1" t="s">
        <v>14383</v>
      </c>
      <c r="I3044" s="1">
        <v>3203.0</v>
      </c>
      <c r="J3044" s="1" t="s">
        <v>14384</v>
      </c>
      <c r="K3044" s="1" t="s">
        <v>14385</v>
      </c>
      <c r="L3044" s="1">
        <v>85.0</v>
      </c>
      <c r="M3044" s="1" t="s">
        <v>35</v>
      </c>
      <c r="N3044" s="1" t="s">
        <v>36</v>
      </c>
      <c r="O3044" s="1" t="s">
        <v>87</v>
      </c>
      <c r="P3044" s="1">
        <v>7000000.0</v>
      </c>
      <c r="Q3044" s="1">
        <v>2001.0</v>
      </c>
      <c r="R3044" s="1">
        <v>11000.0</v>
      </c>
      <c r="S3044" s="1">
        <v>43.0</v>
      </c>
      <c r="T3044" s="1">
        <v>35.0</v>
      </c>
      <c r="U3044" s="1">
        <v>11116.0</v>
      </c>
      <c r="V3044" s="1">
        <v>7.0</v>
      </c>
      <c r="W3044" s="1">
        <v>650.0</v>
      </c>
      <c r="X3044" s="1">
        <v>2.0</v>
      </c>
      <c r="Y3044" s="1">
        <v>1.85</v>
      </c>
      <c r="Z3044" s="1">
        <v>6.5</v>
      </c>
    </row>
    <row r="3045" ht="14.25" customHeight="1">
      <c r="A3045" s="1" t="s">
        <v>26</v>
      </c>
      <c r="B3045" s="1" t="s">
        <v>1840</v>
      </c>
      <c r="C3045" s="1" t="s">
        <v>14386</v>
      </c>
      <c r="D3045" s="1">
        <v>2344847.0</v>
      </c>
      <c r="E3045" s="1" t="s">
        <v>3598</v>
      </c>
      <c r="F3045" s="1" t="s">
        <v>746</v>
      </c>
      <c r="G3045" s="1" t="s">
        <v>14387</v>
      </c>
      <c r="H3045" s="1" t="s">
        <v>2613</v>
      </c>
      <c r="I3045" s="1">
        <v>18561.0</v>
      </c>
      <c r="J3045" s="1" t="s">
        <v>14388</v>
      </c>
      <c r="K3045" s="1" t="s">
        <v>14389</v>
      </c>
      <c r="L3045" s="1">
        <v>119.0</v>
      </c>
      <c r="M3045" s="1" t="s">
        <v>35</v>
      </c>
      <c r="N3045" s="1" t="s">
        <v>36</v>
      </c>
      <c r="O3045" s="1" t="s">
        <v>628</v>
      </c>
      <c r="P3045" s="1">
        <v>7000000.0</v>
      </c>
      <c r="Q3045" s="1">
        <v>2008.0</v>
      </c>
      <c r="R3045" s="1">
        <v>1000.0</v>
      </c>
      <c r="S3045" s="1">
        <v>518.0</v>
      </c>
      <c r="T3045" s="1">
        <v>501.0</v>
      </c>
      <c r="U3045" s="1">
        <v>2158.0</v>
      </c>
      <c r="V3045" s="1">
        <v>342.0</v>
      </c>
      <c r="W3045" s="1">
        <v>0.0</v>
      </c>
      <c r="X3045" s="1">
        <v>0.0</v>
      </c>
      <c r="Y3045" s="1">
        <v>2.35</v>
      </c>
      <c r="Z3045" s="1">
        <v>6.8</v>
      </c>
    </row>
    <row r="3046" ht="14.25" customHeight="1">
      <c r="A3046" s="1" t="s">
        <v>26</v>
      </c>
      <c r="B3046" s="1" t="s">
        <v>13470</v>
      </c>
      <c r="C3046" s="1" t="s">
        <v>14390</v>
      </c>
      <c r="D3046" s="1">
        <v>7455447.0</v>
      </c>
      <c r="E3046" s="1" t="s">
        <v>1359</v>
      </c>
      <c r="F3046" s="1" t="s">
        <v>3493</v>
      </c>
      <c r="G3046" s="1" t="s">
        <v>6421</v>
      </c>
      <c r="H3046" s="1" t="s">
        <v>14391</v>
      </c>
      <c r="I3046" s="1">
        <v>29967.0</v>
      </c>
      <c r="J3046" s="1" t="s">
        <v>14392</v>
      </c>
      <c r="K3046" s="1" t="s">
        <v>14393</v>
      </c>
      <c r="L3046" s="1">
        <v>126.0</v>
      </c>
      <c r="M3046" s="1" t="s">
        <v>35</v>
      </c>
      <c r="N3046" s="1" t="s">
        <v>36</v>
      </c>
      <c r="O3046" s="1" t="s">
        <v>628</v>
      </c>
      <c r="P3046" s="1">
        <v>7000000.0</v>
      </c>
      <c r="Q3046" s="1">
        <v>2010.0</v>
      </c>
      <c r="R3046" s="1">
        <v>490.0</v>
      </c>
      <c r="S3046" s="1">
        <v>259.0</v>
      </c>
      <c r="T3046" s="1">
        <v>224.0</v>
      </c>
      <c r="U3046" s="1">
        <v>1136.0</v>
      </c>
      <c r="V3046" s="1">
        <v>157.0</v>
      </c>
      <c r="W3046" s="1">
        <v>0.0</v>
      </c>
      <c r="X3046" s="1">
        <v>2.0</v>
      </c>
      <c r="Y3046" s="1">
        <v>1.85</v>
      </c>
      <c r="Z3046" s="1">
        <v>6.3</v>
      </c>
    </row>
    <row r="3047" ht="14.25" customHeight="1">
      <c r="A3047" s="1" t="s">
        <v>26</v>
      </c>
      <c r="B3047" s="1" t="s">
        <v>14394</v>
      </c>
      <c r="C3047" s="1" t="s">
        <v>14395</v>
      </c>
      <c r="D3047" s="1">
        <v>2148212.0</v>
      </c>
      <c r="E3047" s="1" t="s">
        <v>6707</v>
      </c>
      <c r="F3047" s="1" t="s">
        <v>2200</v>
      </c>
      <c r="G3047" s="1" t="s">
        <v>14396</v>
      </c>
      <c r="H3047" s="1" t="s">
        <v>11205</v>
      </c>
      <c r="I3047" s="1">
        <v>781.0</v>
      </c>
      <c r="J3047" s="1" t="s">
        <v>14397</v>
      </c>
      <c r="K3047" s="1" t="s">
        <v>14398</v>
      </c>
      <c r="L3047" s="1">
        <v>20.0</v>
      </c>
      <c r="M3047" s="1" t="s">
        <v>35</v>
      </c>
      <c r="N3047" s="1" t="s">
        <v>36</v>
      </c>
      <c r="O3047" s="1" t="s">
        <v>87</v>
      </c>
      <c r="P3047" s="1">
        <v>7000000.0</v>
      </c>
      <c r="Q3047" s="1">
        <v>1999.0</v>
      </c>
      <c r="R3047" s="1">
        <v>655.0</v>
      </c>
      <c r="S3047" s="1">
        <v>476.0</v>
      </c>
      <c r="T3047" s="1">
        <v>359.0</v>
      </c>
      <c r="U3047" s="1">
        <v>1906.0</v>
      </c>
      <c r="V3047" s="1">
        <v>0.0</v>
      </c>
      <c r="W3047" s="1">
        <v>157.0</v>
      </c>
      <c r="X3047" s="1">
        <v>0.0</v>
      </c>
      <c r="Y3047" s="1">
        <v>1.85</v>
      </c>
      <c r="Z3047" s="1">
        <v>6.3</v>
      </c>
    </row>
    <row r="3048" ht="14.25" customHeight="1">
      <c r="A3048" s="1" t="s">
        <v>26</v>
      </c>
      <c r="B3048" s="1" t="s">
        <v>14399</v>
      </c>
      <c r="C3048" s="1" t="s">
        <v>14400</v>
      </c>
      <c r="D3048" s="1">
        <v>2062066.0</v>
      </c>
      <c r="E3048" s="1" t="s">
        <v>1643</v>
      </c>
      <c r="F3048" s="1" t="s">
        <v>935</v>
      </c>
      <c r="G3048" s="1" t="s">
        <v>2658</v>
      </c>
      <c r="H3048" s="1" t="s">
        <v>4378</v>
      </c>
      <c r="I3048" s="1">
        <v>11387.0</v>
      </c>
      <c r="J3048" s="1" t="s">
        <v>14401</v>
      </c>
      <c r="K3048" s="1" t="s">
        <v>14402</v>
      </c>
      <c r="L3048" s="1">
        <v>147.0</v>
      </c>
      <c r="M3048" s="1" t="s">
        <v>35</v>
      </c>
      <c r="N3048" s="1" t="s">
        <v>36</v>
      </c>
      <c r="O3048" s="1" t="s">
        <v>628</v>
      </c>
      <c r="P3048" s="1">
        <v>7000000.0</v>
      </c>
      <c r="Q3048" s="1">
        <v>2002.0</v>
      </c>
      <c r="R3048" s="1">
        <v>783.0</v>
      </c>
      <c r="S3048" s="1">
        <v>658.0</v>
      </c>
      <c r="T3048" s="1">
        <v>617.0</v>
      </c>
      <c r="U3048" s="1">
        <v>2684.0</v>
      </c>
      <c r="V3048" s="1">
        <v>261.0</v>
      </c>
      <c r="W3048" s="1">
        <v>357.0</v>
      </c>
      <c r="X3048" s="1">
        <v>3.0</v>
      </c>
      <c r="Y3048" s="1">
        <v>1.85</v>
      </c>
      <c r="Z3048" s="1">
        <v>6.6</v>
      </c>
    </row>
    <row r="3049" ht="14.25" customHeight="1">
      <c r="A3049" s="1" t="s">
        <v>26</v>
      </c>
      <c r="B3049" s="1" t="s">
        <v>12524</v>
      </c>
      <c r="C3049" s="1" t="s">
        <v>14403</v>
      </c>
      <c r="D3049" s="1">
        <v>1654367.0</v>
      </c>
      <c r="E3049" s="1" t="s">
        <v>1474</v>
      </c>
      <c r="F3049" s="1" t="s">
        <v>1378</v>
      </c>
      <c r="G3049" s="1" t="s">
        <v>6204</v>
      </c>
      <c r="H3049" s="1" t="s">
        <v>6602</v>
      </c>
      <c r="I3049" s="1">
        <v>18355.0</v>
      </c>
      <c r="J3049" s="1" t="s">
        <v>14404</v>
      </c>
      <c r="K3049" s="1" t="s">
        <v>14405</v>
      </c>
      <c r="L3049" s="1">
        <v>106.0</v>
      </c>
      <c r="M3049" s="1" t="s">
        <v>35</v>
      </c>
      <c r="N3049" s="1" t="s">
        <v>36</v>
      </c>
      <c r="O3049" s="1" t="s">
        <v>628</v>
      </c>
      <c r="P3049" s="1">
        <v>7000000.0</v>
      </c>
      <c r="Q3049" s="1">
        <v>2006.0</v>
      </c>
      <c r="R3049" s="1">
        <v>4000.0</v>
      </c>
      <c r="S3049" s="1">
        <v>787.0</v>
      </c>
      <c r="T3049" s="1">
        <v>628.0</v>
      </c>
      <c r="U3049" s="1">
        <v>6526.0</v>
      </c>
      <c r="V3049" s="1">
        <v>60.0</v>
      </c>
      <c r="W3049" s="1">
        <v>3000.0</v>
      </c>
      <c r="X3049" s="1">
        <v>0.0</v>
      </c>
      <c r="Y3049" s="1">
        <v>1.85</v>
      </c>
      <c r="Z3049" s="1">
        <v>6.4</v>
      </c>
    </row>
    <row r="3050" ht="14.25" customHeight="1">
      <c r="A3050" s="1" t="s">
        <v>26</v>
      </c>
      <c r="B3050" s="1" t="s">
        <v>14406</v>
      </c>
      <c r="C3050" s="1" t="s">
        <v>14407</v>
      </c>
      <c r="D3050" s="1">
        <v>1738692.0</v>
      </c>
      <c r="E3050" s="1" t="s">
        <v>3868</v>
      </c>
      <c r="F3050" s="1" t="s">
        <v>12421</v>
      </c>
      <c r="G3050" s="1" t="s">
        <v>4310</v>
      </c>
      <c r="H3050" s="1" t="s">
        <v>14408</v>
      </c>
      <c r="I3050" s="1">
        <v>95529.0</v>
      </c>
      <c r="J3050" s="1" t="s">
        <v>14409</v>
      </c>
      <c r="K3050" s="1" t="s">
        <v>14410</v>
      </c>
      <c r="L3050" s="1">
        <v>301.0</v>
      </c>
      <c r="M3050" s="1" t="s">
        <v>35</v>
      </c>
      <c r="N3050" s="1" t="s">
        <v>54</v>
      </c>
      <c r="O3050" s="1" t="s">
        <v>628</v>
      </c>
      <c r="P3050" s="1">
        <v>7000000.0</v>
      </c>
      <c r="Q3050" s="1">
        <v>2011.0</v>
      </c>
      <c r="R3050" s="1">
        <v>3000.0</v>
      </c>
      <c r="S3050" s="1">
        <v>294.0</v>
      </c>
      <c r="T3050" s="1">
        <v>77.0</v>
      </c>
      <c r="U3050" s="1">
        <v>3547.0</v>
      </c>
      <c r="V3050" s="1">
        <v>159.0</v>
      </c>
      <c r="W3050" s="1">
        <v>38000.0</v>
      </c>
      <c r="X3050" s="1">
        <v>0.0</v>
      </c>
      <c r="Y3050" s="1">
        <v>2.35</v>
      </c>
      <c r="Z3050" s="1">
        <v>7.5</v>
      </c>
    </row>
    <row r="3051" ht="14.25" customHeight="1">
      <c r="A3051" s="1" t="s">
        <v>26</v>
      </c>
      <c r="B3051" s="1" t="s">
        <v>14411</v>
      </c>
      <c r="C3051" s="1" t="s">
        <v>14412</v>
      </c>
      <c r="D3051" s="1">
        <v>1889522.0</v>
      </c>
      <c r="E3051" s="1" t="s">
        <v>3598</v>
      </c>
      <c r="F3051" s="1" t="s">
        <v>7260</v>
      </c>
      <c r="G3051" s="1" t="s">
        <v>7215</v>
      </c>
      <c r="H3051" s="1" t="s">
        <v>14413</v>
      </c>
      <c r="I3051" s="1">
        <v>1119.0</v>
      </c>
      <c r="J3051" s="1" t="s">
        <v>14414</v>
      </c>
      <c r="K3051" s="1" t="s">
        <v>14415</v>
      </c>
      <c r="L3051" s="1">
        <v>12.0</v>
      </c>
      <c r="M3051" s="1" t="s">
        <v>35</v>
      </c>
      <c r="N3051" s="1" t="s">
        <v>36</v>
      </c>
      <c r="O3051" s="1" t="s">
        <v>269</v>
      </c>
      <c r="P3051" s="1">
        <v>7000000.0</v>
      </c>
      <c r="Q3051" s="1">
        <v>2009.0</v>
      </c>
      <c r="R3051" s="1">
        <v>1000.0</v>
      </c>
      <c r="S3051" s="1">
        <v>690.0</v>
      </c>
      <c r="T3051" s="1">
        <v>455.0</v>
      </c>
      <c r="U3051" s="1">
        <v>2589.0</v>
      </c>
      <c r="V3051" s="1">
        <v>2.0</v>
      </c>
      <c r="W3051" s="1">
        <v>797.0</v>
      </c>
      <c r="X3051" s="1">
        <v>2.0</v>
      </c>
      <c r="Y3051" s="1">
        <v>2.35</v>
      </c>
      <c r="Z3051" s="1">
        <v>6.5</v>
      </c>
    </row>
    <row r="3052" ht="14.25" customHeight="1">
      <c r="A3052" s="1" t="s">
        <v>26</v>
      </c>
      <c r="B3052" s="1" t="s">
        <v>14206</v>
      </c>
      <c r="C3052" s="1" t="s">
        <v>14416</v>
      </c>
      <c r="D3052" s="1">
        <v>1110286.0</v>
      </c>
      <c r="E3052" s="1" t="s">
        <v>206</v>
      </c>
      <c r="F3052" s="1" t="s">
        <v>200</v>
      </c>
      <c r="G3052" s="1" t="s">
        <v>6250</v>
      </c>
      <c r="H3052" s="1" t="s">
        <v>10647</v>
      </c>
      <c r="I3052" s="1">
        <v>9727.0</v>
      </c>
      <c r="J3052" s="1" t="s">
        <v>14417</v>
      </c>
      <c r="K3052" s="1" t="s">
        <v>14418</v>
      </c>
      <c r="L3052" s="1">
        <v>65.0</v>
      </c>
      <c r="M3052" s="1" t="s">
        <v>35</v>
      </c>
      <c r="N3052" s="1" t="s">
        <v>36</v>
      </c>
      <c r="O3052" s="1" t="s">
        <v>628</v>
      </c>
      <c r="P3052" s="1">
        <v>4825000.0</v>
      </c>
      <c r="Q3052" s="1">
        <v>2009.0</v>
      </c>
      <c r="R3052" s="1">
        <v>6000.0</v>
      </c>
      <c r="S3052" s="1">
        <v>941.0</v>
      </c>
      <c r="T3052" s="1">
        <v>798.0</v>
      </c>
      <c r="U3052" s="1">
        <v>8876.0</v>
      </c>
      <c r="V3052" s="1">
        <v>127.0</v>
      </c>
      <c r="W3052" s="1">
        <v>0.0</v>
      </c>
      <c r="X3052" s="1">
        <v>6.0</v>
      </c>
      <c r="Y3052" s="1">
        <v>2.35</v>
      </c>
      <c r="Z3052" s="1">
        <v>7.2</v>
      </c>
    </row>
    <row r="3053" ht="14.25" customHeight="1">
      <c r="A3053" s="1" t="s">
        <v>26</v>
      </c>
      <c r="B3053" s="1" t="s">
        <v>14419</v>
      </c>
      <c r="C3053" s="1" t="s">
        <v>14420</v>
      </c>
      <c r="D3053" s="1">
        <v>1000000.0</v>
      </c>
      <c r="E3053" s="1" t="s">
        <v>1176</v>
      </c>
      <c r="F3053" s="1" t="s">
        <v>6265</v>
      </c>
      <c r="G3053" s="1" t="s">
        <v>14421</v>
      </c>
      <c r="H3053" s="1" t="s">
        <v>14422</v>
      </c>
      <c r="I3053" s="1">
        <v>2215.0</v>
      </c>
      <c r="J3053" s="1" t="s">
        <v>14423</v>
      </c>
      <c r="K3053" s="1" t="s">
        <v>14424</v>
      </c>
      <c r="L3053" s="1">
        <v>26.0</v>
      </c>
      <c r="M3053" s="1" t="s">
        <v>35</v>
      </c>
      <c r="N3053" s="1" t="s">
        <v>54</v>
      </c>
      <c r="O3053" s="1" t="s">
        <v>87</v>
      </c>
      <c r="P3053" s="1">
        <v>9000000.0</v>
      </c>
      <c r="Q3053" s="1">
        <v>1977.0</v>
      </c>
      <c r="R3053" s="1">
        <v>963.0</v>
      </c>
      <c r="S3053" s="1">
        <v>750.0</v>
      </c>
      <c r="T3053" s="1">
        <v>375.0</v>
      </c>
      <c r="U3053" s="1">
        <v>2209.0</v>
      </c>
      <c r="V3053" s="1">
        <v>6.0</v>
      </c>
      <c r="W3053" s="1">
        <v>122.0</v>
      </c>
      <c r="X3053" s="1">
        <v>1.0</v>
      </c>
      <c r="Y3053" s="1">
        <v>1.85</v>
      </c>
      <c r="Z3053" s="1">
        <v>6.3</v>
      </c>
    </row>
    <row r="3054" ht="14.25" customHeight="1">
      <c r="A3054" s="1" t="s">
        <v>26</v>
      </c>
      <c r="B3054" s="1" t="s">
        <v>6428</v>
      </c>
      <c r="C3054" s="1" t="s">
        <v>14425</v>
      </c>
      <c r="D3054" s="1">
        <v>700000.0</v>
      </c>
      <c r="E3054" s="1" t="s">
        <v>6430</v>
      </c>
      <c r="F3054" s="1" t="s">
        <v>14426</v>
      </c>
      <c r="G3054" s="1" t="s">
        <v>6368</v>
      </c>
      <c r="H3054" s="1" t="s">
        <v>14427</v>
      </c>
      <c r="I3054" s="1">
        <v>24438.0</v>
      </c>
      <c r="J3054" s="1" t="s">
        <v>14428</v>
      </c>
      <c r="K3054" s="1" t="s">
        <v>14429</v>
      </c>
      <c r="L3054" s="1">
        <v>78.0</v>
      </c>
      <c r="M3054" s="1" t="s">
        <v>2752</v>
      </c>
      <c r="N3054" s="1" t="s">
        <v>1832</v>
      </c>
      <c r="O3054" s="1" t="s">
        <v>628</v>
      </c>
      <c r="P3054" s="1">
        <v>5.0E7</v>
      </c>
      <c r="Q3054" s="1">
        <v>1993.0</v>
      </c>
      <c r="R3054" s="1">
        <v>106.0</v>
      </c>
      <c r="S3054" s="1">
        <v>54.0</v>
      </c>
      <c r="T3054" s="1">
        <v>39.0</v>
      </c>
      <c r="U3054" s="1">
        <v>215.0</v>
      </c>
      <c r="V3054" s="1">
        <v>8.0</v>
      </c>
      <c r="W3054" s="1">
        <v>0.0</v>
      </c>
      <c r="X3054" s="1">
        <v>1.0</v>
      </c>
      <c r="Y3054" s="1">
        <v>2.35</v>
      </c>
      <c r="Z3054" s="1">
        <v>7.0</v>
      </c>
    </row>
    <row r="3055" ht="14.25" customHeight="1">
      <c r="A3055" s="1" t="s">
        <v>26</v>
      </c>
      <c r="B3055" s="1" t="s">
        <v>6327</v>
      </c>
      <c r="C3055" s="1" t="s">
        <v>14430</v>
      </c>
      <c r="D3055" s="1">
        <v>1768416.0</v>
      </c>
      <c r="E3055" s="1" t="s">
        <v>2422</v>
      </c>
      <c r="F3055" s="1" t="s">
        <v>14431</v>
      </c>
      <c r="G3055" s="1" t="s">
        <v>9807</v>
      </c>
      <c r="H3055" s="1" t="s">
        <v>14432</v>
      </c>
      <c r="I3055" s="1">
        <v>35848.0</v>
      </c>
      <c r="J3055" s="1" t="s">
        <v>14433</v>
      </c>
      <c r="K3055" s="1" t="s">
        <v>14434</v>
      </c>
      <c r="L3055" s="1">
        <v>198.0</v>
      </c>
      <c r="M3055" s="1" t="s">
        <v>35</v>
      </c>
      <c r="N3055" s="1" t="s">
        <v>36</v>
      </c>
      <c r="O3055" s="1" t="s">
        <v>628</v>
      </c>
      <c r="P3055" s="1">
        <v>7000000.0</v>
      </c>
      <c r="Q3055" s="1">
        <v>2010.0</v>
      </c>
      <c r="R3055" s="1">
        <v>227.0</v>
      </c>
      <c r="S3055" s="1">
        <v>218.0</v>
      </c>
      <c r="T3055" s="1">
        <v>106.0</v>
      </c>
      <c r="U3055" s="1">
        <v>684.0</v>
      </c>
      <c r="V3055" s="1">
        <v>0.0</v>
      </c>
      <c r="W3055" s="1">
        <v>0.0</v>
      </c>
      <c r="X3055" s="1">
        <v>0.0</v>
      </c>
      <c r="Y3055" s="1">
        <v>1.85</v>
      </c>
      <c r="Z3055" s="1">
        <v>6.3</v>
      </c>
    </row>
    <row r="3056" ht="14.25" customHeight="1">
      <c r="A3056" s="1" t="s">
        <v>26</v>
      </c>
      <c r="B3056" s="1" t="s">
        <v>14435</v>
      </c>
      <c r="C3056" s="1" t="s">
        <v>14436</v>
      </c>
      <c r="D3056" s="1">
        <v>306715.0</v>
      </c>
      <c r="E3056" s="1" t="s">
        <v>1885</v>
      </c>
      <c r="F3056" s="1" t="s">
        <v>4230</v>
      </c>
      <c r="G3056" s="1" t="s">
        <v>10664</v>
      </c>
      <c r="H3056" s="1" t="s">
        <v>2371</v>
      </c>
      <c r="I3056" s="1">
        <v>5143.0</v>
      </c>
      <c r="J3056" s="1" t="s">
        <v>14437</v>
      </c>
      <c r="K3056" s="1" t="s">
        <v>14438</v>
      </c>
      <c r="L3056" s="1">
        <v>62.0</v>
      </c>
      <c r="M3056" s="1" t="s">
        <v>35</v>
      </c>
      <c r="N3056" s="1" t="s">
        <v>36</v>
      </c>
      <c r="O3056" s="1" t="s">
        <v>37</v>
      </c>
      <c r="P3056" s="1">
        <v>1.0E7</v>
      </c>
      <c r="Q3056" s="1">
        <v>1998.0</v>
      </c>
      <c r="R3056" s="1">
        <v>1000.0</v>
      </c>
      <c r="S3056" s="1">
        <v>788.0</v>
      </c>
      <c r="T3056" s="1">
        <v>611.0</v>
      </c>
      <c r="U3056" s="1">
        <v>5213.0</v>
      </c>
      <c r="V3056" s="1">
        <v>43.0</v>
      </c>
      <c r="W3056" s="1">
        <v>724.0</v>
      </c>
      <c r="X3056" s="1">
        <v>1.0</v>
      </c>
      <c r="Y3056" s="1">
        <v>1.85</v>
      </c>
      <c r="Z3056" s="1">
        <v>2.3</v>
      </c>
    </row>
    <row r="3057" ht="14.25" customHeight="1">
      <c r="A3057" s="1" t="s">
        <v>26</v>
      </c>
      <c r="B3057" s="1" t="s">
        <v>14439</v>
      </c>
      <c r="C3057" s="1" t="s">
        <v>14440</v>
      </c>
      <c r="D3057" s="1">
        <v>382946.0</v>
      </c>
      <c r="E3057" s="1" t="s">
        <v>3238</v>
      </c>
      <c r="F3057" s="1" t="s">
        <v>60</v>
      </c>
      <c r="G3057" s="1" t="s">
        <v>805</v>
      </c>
      <c r="H3057" s="1" t="s">
        <v>465</v>
      </c>
      <c r="I3057" s="1">
        <v>43965.0</v>
      </c>
      <c r="J3057" s="1" t="s">
        <v>14441</v>
      </c>
      <c r="K3057" s="1" t="s">
        <v>14442</v>
      </c>
      <c r="L3057" s="1">
        <v>99.0</v>
      </c>
      <c r="M3057" s="1" t="s">
        <v>35</v>
      </c>
      <c r="N3057" s="1" t="s">
        <v>36</v>
      </c>
      <c r="O3057" s="1" t="s">
        <v>628</v>
      </c>
      <c r="P3057" s="1">
        <v>7000000.0</v>
      </c>
      <c r="Q3057" s="1">
        <v>2010.0</v>
      </c>
      <c r="R3057" s="1">
        <v>23000.0</v>
      </c>
      <c r="S3057" s="1">
        <v>20000.0</v>
      </c>
      <c r="T3057" s="1">
        <v>973.0</v>
      </c>
      <c r="U3057" s="1">
        <v>44969.0</v>
      </c>
      <c r="V3057" s="1">
        <v>58.0</v>
      </c>
      <c r="W3057" s="1">
        <v>19000.0</v>
      </c>
      <c r="X3057" s="1">
        <v>0.0</v>
      </c>
      <c r="Y3057" s="1">
        <v>2.35</v>
      </c>
      <c r="Z3057" s="1">
        <v>7.1</v>
      </c>
    </row>
    <row r="3058" ht="14.25" customHeight="1">
      <c r="A3058" s="1" t="s">
        <v>26</v>
      </c>
      <c r="B3058" s="1" t="s">
        <v>14443</v>
      </c>
      <c r="C3058" s="1" t="s">
        <v>14444</v>
      </c>
      <c r="D3058" s="1">
        <v>196067.0</v>
      </c>
      <c r="E3058" s="1" t="s">
        <v>206</v>
      </c>
      <c r="F3058" s="1" t="s">
        <v>1938</v>
      </c>
      <c r="G3058" s="1" t="s">
        <v>3354</v>
      </c>
      <c r="H3058" s="1" t="s">
        <v>14445</v>
      </c>
      <c r="I3058" s="1">
        <v>1966.0</v>
      </c>
      <c r="J3058" s="1" t="s">
        <v>14446</v>
      </c>
      <c r="K3058" s="1" t="s">
        <v>14447</v>
      </c>
      <c r="L3058" s="1">
        <v>25.0</v>
      </c>
      <c r="M3058" s="1" t="s">
        <v>35</v>
      </c>
      <c r="N3058" s="1" t="s">
        <v>54</v>
      </c>
      <c r="O3058" s="1" t="s">
        <v>628</v>
      </c>
      <c r="P3058" s="1">
        <v>7000000.0</v>
      </c>
      <c r="Q3058" s="1">
        <v>2002.0</v>
      </c>
      <c r="R3058" s="1">
        <v>766.0</v>
      </c>
      <c r="S3058" s="1">
        <v>358.0</v>
      </c>
      <c r="T3058" s="1">
        <v>52.0</v>
      </c>
      <c r="U3058" s="1">
        <v>1251.0</v>
      </c>
      <c r="V3058" s="1">
        <v>5.0</v>
      </c>
      <c r="W3058" s="1">
        <v>97.0</v>
      </c>
      <c r="X3058" s="1">
        <v>3.0</v>
      </c>
      <c r="Y3058" s="1">
        <v>1.85</v>
      </c>
      <c r="Z3058" s="1">
        <v>6.7</v>
      </c>
    </row>
    <row r="3059" ht="14.25" customHeight="1">
      <c r="A3059" s="1" t="s">
        <v>26</v>
      </c>
      <c r="B3059" s="1" t="s">
        <v>13232</v>
      </c>
      <c r="C3059" s="1" t="s">
        <v>14448</v>
      </c>
      <c r="D3059" s="1">
        <v>532988.0</v>
      </c>
      <c r="E3059" s="1" t="s">
        <v>5942</v>
      </c>
      <c r="F3059" s="1" t="s">
        <v>503</v>
      </c>
      <c r="G3059" s="1" t="s">
        <v>3172</v>
      </c>
      <c r="H3059" s="1" t="s">
        <v>5339</v>
      </c>
      <c r="I3059" s="1">
        <v>5863.0</v>
      </c>
      <c r="J3059" s="1" t="s">
        <v>14449</v>
      </c>
      <c r="K3059" s="1" t="s">
        <v>14450</v>
      </c>
      <c r="L3059" s="1">
        <v>25.0</v>
      </c>
      <c r="M3059" s="1" t="s">
        <v>35</v>
      </c>
      <c r="N3059" s="1" t="s">
        <v>36</v>
      </c>
      <c r="O3059" s="1" t="s">
        <v>37</v>
      </c>
      <c r="P3059" s="1">
        <v>7000000.0</v>
      </c>
      <c r="Q3059" s="1">
        <v>2015.0</v>
      </c>
      <c r="R3059" s="1">
        <v>7000.0</v>
      </c>
      <c r="S3059" s="1">
        <v>1000.0</v>
      </c>
      <c r="T3059" s="1">
        <v>935.0</v>
      </c>
      <c r="U3059" s="1">
        <v>9660.0</v>
      </c>
      <c r="V3059" s="1">
        <v>6.0</v>
      </c>
      <c r="W3059" s="1">
        <v>0.0</v>
      </c>
      <c r="X3059" s="1">
        <v>0.0</v>
      </c>
      <c r="Y3059" s="1">
        <v>1.85</v>
      </c>
      <c r="Z3059" s="1">
        <v>6.5</v>
      </c>
    </row>
    <row r="3060" ht="14.25" customHeight="1">
      <c r="A3060" s="1" t="s">
        <v>26</v>
      </c>
      <c r="B3060" s="1" t="s">
        <v>14451</v>
      </c>
      <c r="C3060" s="1" t="s">
        <v>14452</v>
      </c>
      <c r="D3060" s="1">
        <v>453079.0</v>
      </c>
      <c r="E3060" s="1" t="s">
        <v>1885</v>
      </c>
      <c r="F3060" s="1" t="s">
        <v>10298</v>
      </c>
      <c r="G3060" s="1" t="s">
        <v>3528</v>
      </c>
      <c r="H3060" s="1" t="s">
        <v>9438</v>
      </c>
      <c r="I3060" s="1">
        <v>4124.0</v>
      </c>
      <c r="J3060" s="1" t="s">
        <v>14453</v>
      </c>
      <c r="K3060" s="1" t="s">
        <v>14454</v>
      </c>
      <c r="L3060" s="1">
        <v>29.0</v>
      </c>
      <c r="M3060" s="1" t="s">
        <v>35</v>
      </c>
      <c r="N3060" s="1" t="s">
        <v>36</v>
      </c>
      <c r="O3060" s="1" t="s">
        <v>628</v>
      </c>
      <c r="P3060" s="1">
        <v>7000000.0</v>
      </c>
      <c r="Q3060" s="1">
        <v>2010.0</v>
      </c>
      <c r="R3060" s="1">
        <v>474.0</v>
      </c>
      <c r="S3060" s="1">
        <v>403.0</v>
      </c>
      <c r="T3060" s="1">
        <v>281.0</v>
      </c>
      <c r="U3060" s="1">
        <v>2029.0</v>
      </c>
      <c r="V3060" s="1">
        <v>30.0</v>
      </c>
      <c r="W3060" s="1">
        <v>916.0</v>
      </c>
      <c r="X3060" s="1">
        <v>4.0</v>
      </c>
      <c r="Y3060" s="1">
        <v>2.35</v>
      </c>
      <c r="Z3060" s="1">
        <v>5.9</v>
      </c>
    </row>
    <row r="3061" ht="14.25" customHeight="1">
      <c r="A3061" s="1" t="s">
        <v>26</v>
      </c>
      <c r="B3061" s="1" t="s">
        <v>14455</v>
      </c>
      <c r="C3061" s="1" t="s">
        <v>14456</v>
      </c>
      <c r="D3061" s="1">
        <v>46451.0</v>
      </c>
      <c r="E3061" s="1" t="s">
        <v>5605</v>
      </c>
      <c r="F3061" s="1" t="s">
        <v>90</v>
      </c>
      <c r="G3061" s="1" t="s">
        <v>3031</v>
      </c>
      <c r="H3061" s="1" t="s">
        <v>2224</v>
      </c>
      <c r="I3061" s="1">
        <v>7663.0</v>
      </c>
      <c r="J3061" s="1" t="s">
        <v>14457</v>
      </c>
      <c r="K3061" s="1" t="s">
        <v>14458</v>
      </c>
      <c r="L3061" s="1">
        <v>38.0</v>
      </c>
      <c r="M3061" s="1" t="s">
        <v>35</v>
      </c>
      <c r="N3061" s="1" t="s">
        <v>36</v>
      </c>
      <c r="O3061" s="1" t="s">
        <v>628</v>
      </c>
      <c r="P3061" s="1">
        <v>7000000.0</v>
      </c>
      <c r="Q3061" s="1">
        <v>2010.0</v>
      </c>
      <c r="R3061" s="1">
        <v>26000.0</v>
      </c>
      <c r="S3061" s="1">
        <v>854.0</v>
      </c>
      <c r="T3061" s="1">
        <v>410.0</v>
      </c>
      <c r="U3061" s="1">
        <v>27756.0</v>
      </c>
      <c r="V3061" s="1">
        <v>0.0</v>
      </c>
      <c r="W3061" s="1">
        <v>694.0</v>
      </c>
      <c r="X3061" s="1">
        <v>2.0</v>
      </c>
      <c r="Y3061" s="1">
        <v>1.85</v>
      </c>
      <c r="Z3061" s="1">
        <v>6.0</v>
      </c>
    </row>
    <row r="3062" ht="14.25" customHeight="1">
      <c r="A3062" s="1" t="s">
        <v>26</v>
      </c>
      <c r="B3062" s="1" t="s">
        <v>2208</v>
      </c>
      <c r="C3062" s="1" t="s">
        <v>14459</v>
      </c>
      <c r="D3062" s="1">
        <v>233103.0</v>
      </c>
      <c r="E3062" s="1" t="s">
        <v>3238</v>
      </c>
      <c r="F3062" s="1" t="s">
        <v>2783</v>
      </c>
      <c r="G3062" s="1" t="s">
        <v>391</v>
      </c>
      <c r="H3062" s="1" t="s">
        <v>4512</v>
      </c>
      <c r="I3062" s="1">
        <v>2670.0</v>
      </c>
      <c r="J3062" s="1" t="s">
        <v>14460</v>
      </c>
      <c r="K3062" s="1" t="s">
        <v>14461</v>
      </c>
      <c r="L3062" s="1">
        <v>50.0</v>
      </c>
      <c r="M3062" s="1" t="s">
        <v>35</v>
      </c>
      <c r="N3062" s="1" t="s">
        <v>54</v>
      </c>
      <c r="O3062" s="1" t="s">
        <v>628</v>
      </c>
      <c r="P3062" s="1">
        <v>7000000.0</v>
      </c>
      <c r="Q3062" s="1">
        <v>2005.0</v>
      </c>
      <c r="R3062" s="1">
        <v>876.0</v>
      </c>
      <c r="S3062" s="1">
        <v>838.0</v>
      </c>
      <c r="T3062" s="1">
        <v>530.0</v>
      </c>
      <c r="U3062" s="1">
        <v>2544.0</v>
      </c>
      <c r="V3062" s="1">
        <v>554.0</v>
      </c>
      <c r="W3062" s="1">
        <v>311.0</v>
      </c>
      <c r="X3062" s="1">
        <v>3.0</v>
      </c>
      <c r="Y3062" s="1">
        <v>2.35</v>
      </c>
      <c r="Z3062" s="1">
        <v>6.9</v>
      </c>
    </row>
    <row r="3063" ht="14.25" customHeight="1">
      <c r="A3063" s="1" t="s">
        <v>26</v>
      </c>
      <c r="B3063" s="1" t="s">
        <v>3503</v>
      </c>
      <c r="C3063" s="1" t="s">
        <v>14462</v>
      </c>
      <c r="D3063" s="1">
        <v>4.14E7</v>
      </c>
      <c r="E3063" s="1" t="s">
        <v>14463</v>
      </c>
      <c r="F3063" s="1" t="s">
        <v>3503</v>
      </c>
      <c r="G3063" s="1" t="s">
        <v>4282</v>
      </c>
      <c r="H3063" s="1" t="s">
        <v>14464</v>
      </c>
      <c r="I3063" s="1">
        <v>39451.0</v>
      </c>
      <c r="J3063" s="1" t="s">
        <v>14465</v>
      </c>
      <c r="K3063" s="1" t="s">
        <v>14466</v>
      </c>
      <c r="L3063" s="1">
        <v>138.0</v>
      </c>
      <c r="M3063" s="1" t="s">
        <v>35</v>
      </c>
      <c r="N3063" s="1" t="s">
        <v>36</v>
      </c>
      <c r="O3063" s="1" t="s">
        <v>628</v>
      </c>
      <c r="P3063" s="1">
        <v>6900000.0</v>
      </c>
      <c r="Q3063" s="1">
        <v>1985.0</v>
      </c>
      <c r="R3063" s="1">
        <v>16000.0</v>
      </c>
      <c r="S3063" s="1">
        <v>455.0</v>
      </c>
      <c r="T3063" s="1">
        <v>240.0</v>
      </c>
      <c r="U3063" s="1">
        <v>17209.0</v>
      </c>
      <c r="V3063" s="1">
        <v>16000.0</v>
      </c>
      <c r="W3063" s="1">
        <v>0.0</v>
      </c>
      <c r="X3063" s="1">
        <v>0.0</v>
      </c>
      <c r="Y3063" s="1">
        <v>2.35</v>
      </c>
      <c r="Z3063" s="1">
        <v>7.3</v>
      </c>
    </row>
    <row r="3064" ht="14.25" customHeight="1">
      <c r="A3064" s="1" t="s">
        <v>26</v>
      </c>
      <c r="B3064" s="1" t="s">
        <v>8489</v>
      </c>
      <c r="C3064" s="1" t="s">
        <v>14467</v>
      </c>
      <c r="D3064" s="1">
        <v>7993039.0</v>
      </c>
      <c r="E3064" s="1" t="s">
        <v>1885</v>
      </c>
      <c r="F3064" s="1" t="s">
        <v>1892</v>
      </c>
      <c r="G3064" s="1" t="s">
        <v>2723</v>
      </c>
      <c r="H3064" s="1" t="s">
        <v>1969</v>
      </c>
      <c r="I3064" s="1">
        <v>120036.0</v>
      </c>
      <c r="J3064" s="1" t="s">
        <v>14468</v>
      </c>
      <c r="K3064" s="1" t="s">
        <v>14469</v>
      </c>
      <c r="L3064" s="1">
        <v>408.0</v>
      </c>
      <c r="M3064" s="1" t="s">
        <v>35</v>
      </c>
      <c r="N3064" s="1" t="s">
        <v>36</v>
      </c>
      <c r="O3064" s="1" t="s">
        <v>628</v>
      </c>
      <c r="P3064" s="1">
        <v>6900000.0</v>
      </c>
      <c r="Q3064" s="1">
        <v>1993.0</v>
      </c>
      <c r="R3064" s="1">
        <v>14000.0</v>
      </c>
      <c r="S3064" s="1">
        <v>1000.0</v>
      </c>
      <c r="T3064" s="1">
        <v>787.0</v>
      </c>
      <c r="U3064" s="1">
        <v>18643.0</v>
      </c>
      <c r="V3064" s="1">
        <v>0.0</v>
      </c>
      <c r="W3064" s="1">
        <v>10000.0</v>
      </c>
      <c r="X3064" s="1">
        <v>1.0</v>
      </c>
      <c r="Y3064" s="1">
        <v>1.85</v>
      </c>
      <c r="Z3064" s="1">
        <v>7.7</v>
      </c>
    </row>
    <row r="3065" ht="14.25" customHeight="1">
      <c r="A3065" s="1" t="s">
        <v>26</v>
      </c>
      <c r="B3065" s="1" t="s">
        <v>14470</v>
      </c>
      <c r="C3065" s="1" t="s">
        <v>14471</v>
      </c>
      <c r="D3065" s="1">
        <v>49526.0</v>
      </c>
      <c r="E3065" s="1" t="s">
        <v>2422</v>
      </c>
      <c r="F3065" s="1" t="s">
        <v>3122</v>
      </c>
      <c r="G3065" s="1" t="s">
        <v>3032</v>
      </c>
      <c r="H3065" s="1" t="s">
        <v>13507</v>
      </c>
      <c r="I3065" s="1">
        <v>16299.0</v>
      </c>
      <c r="J3065" s="1" t="s">
        <v>14472</v>
      </c>
      <c r="K3065" s="1" t="s">
        <v>14473</v>
      </c>
      <c r="L3065" s="1">
        <v>129.0</v>
      </c>
      <c r="M3065" s="1" t="s">
        <v>35</v>
      </c>
      <c r="N3065" s="1" t="s">
        <v>36</v>
      </c>
      <c r="O3065" s="1" t="s">
        <v>628</v>
      </c>
      <c r="P3065" s="1">
        <v>6800000.0</v>
      </c>
      <c r="Q3065" s="1">
        <v>2005.0</v>
      </c>
      <c r="R3065" s="1">
        <v>710.0</v>
      </c>
      <c r="S3065" s="1">
        <v>697.0</v>
      </c>
      <c r="T3065" s="1">
        <v>436.0</v>
      </c>
      <c r="U3065" s="1">
        <v>2119.0</v>
      </c>
      <c r="V3065" s="1">
        <v>3.0</v>
      </c>
      <c r="W3065" s="1">
        <v>1000.0</v>
      </c>
      <c r="X3065" s="1">
        <v>1.0</v>
      </c>
      <c r="Y3065" s="1">
        <v>2.35</v>
      </c>
      <c r="Z3065" s="1">
        <v>7.0</v>
      </c>
    </row>
    <row r="3066" ht="14.25" customHeight="1">
      <c r="A3066" s="1" t="s">
        <v>26</v>
      </c>
      <c r="B3066" s="1" t="s">
        <v>14474</v>
      </c>
      <c r="C3066" s="1" t="s">
        <v>14475</v>
      </c>
      <c r="D3066" s="1">
        <v>10696.0</v>
      </c>
      <c r="E3066" s="1" t="s">
        <v>1458</v>
      </c>
      <c r="F3066" s="1" t="s">
        <v>14476</v>
      </c>
      <c r="G3066" s="1" t="s">
        <v>14477</v>
      </c>
      <c r="H3066" s="1" t="s">
        <v>14478</v>
      </c>
      <c r="I3066" s="1">
        <v>10771.0</v>
      </c>
      <c r="J3066" s="1" t="s">
        <v>14479</v>
      </c>
      <c r="K3066" s="1" t="s">
        <v>14480</v>
      </c>
      <c r="L3066" s="1">
        <v>65.0</v>
      </c>
      <c r="M3066" s="1" t="s">
        <v>35</v>
      </c>
      <c r="N3066" s="1" t="s">
        <v>36</v>
      </c>
      <c r="O3066" s="1" t="s">
        <v>628</v>
      </c>
      <c r="P3066" s="1">
        <v>6800000.0</v>
      </c>
      <c r="Q3066" s="1">
        <v>2003.0</v>
      </c>
      <c r="R3066" s="1">
        <v>240.0</v>
      </c>
      <c r="S3066" s="1">
        <v>83.0</v>
      </c>
      <c r="T3066" s="1">
        <v>83.0</v>
      </c>
      <c r="U3066" s="1">
        <v>490.0</v>
      </c>
      <c r="V3066" s="1">
        <v>0.0</v>
      </c>
      <c r="W3066" s="1">
        <v>413.0</v>
      </c>
      <c r="X3066" s="1">
        <v>8.0</v>
      </c>
      <c r="Y3066" s="1">
        <v>2.35</v>
      </c>
      <c r="Z3066" s="1">
        <v>6.4</v>
      </c>
    </row>
    <row r="3067" ht="14.25" customHeight="1">
      <c r="A3067" s="1" t="s">
        <v>26</v>
      </c>
      <c r="B3067" s="1" t="s">
        <v>14481</v>
      </c>
      <c r="C3067" s="1" t="s">
        <v>14482</v>
      </c>
      <c r="D3067" s="1">
        <v>3.1607598E7</v>
      </c>
      <c r="E3067" s="1" t="s">
        <v>4158</v>
      </c>
      <c r="F3067" s="1" t="s">
        <v>340</v>
      </c>
      <c r="G3067" s="1" t="s">
        <v>6624</v>
      </c>
      <c r="H3067" s="1" t="s">
        <v>14483</v>
      </c>
      <c r="I3067" s="1">
        <v>58366.0</v>
      </c>
      <c r="J3067" s="1" t="s">
        <v>14484</v>
      </c>
      <c r="K3067" s="1" t="s">
        <v>14485</v>
      </c>
      <c r="L3067" s="1">
        <v>160.0</v>
      </c>
      <c r="M3067" s="1" t="s">
        <v>35</v>
      </c>
      <c r="N3067" s="1" t="s">
        <v>260</v>
      </c>
      <c r="O3067" s="1" t="s">
        <v>37</v>
      </c>
      <c r="P3067" s="1">
        <v>6900000.0</v>
      </c>
      <c r="Q3067" s="1">
        <v>2012.0</v>
      </c>
      <c r="R3067" s="1">
        <v>34000.0</v>
      </c>
      <c r="S3067" s="1">
        <v>924.0</v>
      </c>
      <c r="T3067" s="1">
        <v>261.0</v>
      </c>
      <c r="U3067" s="1">
        <v>35717.0</v>
      </c>
      <c r="V3067" s="1">
        <v>13.0</v>
      </c>
      <c r="W3067" s="1">
        <v>10000.0</v>
      </c>
      <c r="X3067" s="1">
        <v>1.0</v>
      </c>
      <c r="Y3067" s="1">
        <v>2.35</v>
      </c>
      <c r="Z3067" s="1">
        <v>5.6</v>
      </c>
    </row>
    <row r="3068" ht="14.25" customHeight="1">
      <c r="A3068" s="1" t="s">
        <v>26</v>
      </c>
      <c r="B3068" s="1" t="s">
        <v>5383</v>
      </c>
      <c r="C3068" s="1" t="s">
        <v>14486</v>
      </c>
      <c r="D3068" s="1">
        <v>6857096.0</v>
      </c>
      <c r="E3068" s="1" t="s">
        <v>14487</v>
      </c>
      <c r="F3068" s="1" t="s">
        <v>14488</v>
      </c>
      <c r="G3068" s="1" t="s">
        <v>14489</v>
      </c>
      <c r="H3068" s="1" t="s">
        <v>14490</v>
      </c>
      <c r="I3068" s="1">
        <v>80429.0</v>
      </c>
      <c r="J3068" s="1" t="s">
        <v>14491</v>
      </c>
      <c r="K3068" s="1" t="s">
        <v>14492</v>
      </c>
      <c r="L3068" s="1">
        <v>156.0</v>
      </c>
      <c r="M3068" s="1" t="s">
        <v>2752</v>
      </c>
      <c r="N3068" s="1" t="s">
        <v>260</v>
      </c>
      <c r="O3068" s="1" t="s">
        <v>628</v>
      </c>
      <c r="P3068" s="1">
        <v>6800000.0</v>
      </c>
      <c r="Q3068" s="1">
        <v>2010.0</v>
      </c>
      <c r="R3068" s="1">
        <v>131.0</v>
      </c>
      <c r="S3068" s="1">
        <v>66.0</v>
      </c>
      <c r="T3068" s="1">
        <v>58.0</v>
      </c>
      <c r="U3068" s="1">
        <v>343.0</v>
      </c>
      <c r="V3068" s="1">
        <v>777.0</v>
      </c>
      <c r="W3068" s="1">
        <v>37000.0</v>
      </c>
      <c r="X3068" s="1">
        <v>0.0</v>
      </c>
      <c r="Y3068" s="1">
        <v>1.85</v>
      </c>
      <c r="Z3068" s="1">
        <v>8.2</v>
      </c>
    </row>
    <row r="3069" ht="14.25" customHeight="1">
      <c r="A3069" s="1" t="s">
        <v>26</v>
      </c>
      <c r="B3069" s="1" t="s">
        <v>4376</v>
      </c>
      <c r="C3069" s="1" t="s">
        <v>14493</v>
      </c>
      <c r="D3069" s="1">
        <v>223878.0</v>
      </c>
      <c r="E3069" s="1" t="s">
        <v>1359</v>
      </c>
      <c r="F3069" s="1" t="s">
        <v>14494</v>
      </c>
      <c r="G3069" s="1" t="s">
        <v>14495</v>
      </c>
      <c r="H3069" s="1" t="s">
        <v>14496</v>
      </c>
      <c r="I3069" s="1">
        <v>3548.0</v>
      </c>
      <c r="J3069" s="1" t="s">
        <v>14497</v>
      </c>
      <c r="K3069" s="1" t="s">
        <v>14498</v>
      </c>
      <c r="L3069" s="1">
        <v>21.0</v>
      </c>
      <c r="M3069" s="1" t="s">
        <v>9061</v>
      </c>
      <c r="N3069" s="1" t="s">
        <v>8105</v>
      </c>
      <c r="O3069" s="1" t="s">
        <v>628</v>
      </c>
      <c r="P3069" s="1">
        <v>5000000.0</v>
      </c>
      <c r="Q3069" s="1">
        <v>2003.0</v>
      </c>
      <c r="R3069" s="1">
        <v>60.0</v>
      </c>
      <c r="S3069" s="1">
        <v>29.0</v>
      </c>
      <c r="T3069" s="1">
        <v>11.0</v>
      </c>
      <c r="U3069" s="1">
        <v>132.0</v>
      </c>
      <c r="V3069" s="1">
        <v>125.0</v>
      </c>
      <c r="W3069" s="1">
        <v>282.0</v>
      </c>
      <c r="X3069" s="1">
        <v>1.0</v>
      </c>
      <c r="Y3069" s="1">
        <v>2.35</v>
      </c>
      <c r="Z3069" s="1">
        <v>6.5</v>
      </c>
    </row>
    <row r="3070" ht="14.25" customHeight="1">
      <c r="A3070" s="1" t="s">
        <v>26</v>
      </c>
      <c r="B3070" s="1" t="s">
        <v>1343</v>
      </c>
      <c r="C3070" s="1" t="s">
        <v>14499</v>
      </c>
      <c r="D3070" s="1">
        <v>8060.0</v>
      </c>
      <c r="E3070" s="1" t="s">
        <v>449</v>
      </c>
      <c r="F3070" s="1" t="s">
        <v>14500</v>
      </c>
      <c r="G3070" s="1" t="s">
        <v>14501</v>
      </c>
      <c r="H3070" s="1" t="s">
        <v>14502</v>
      </c>
      <c r="I3070" s="1">
        <v>81644.0</v>
      </c>
      <c r="J3070" s="1" t="s">
        <v>14503</v>
      </c>
      <c r="K3070" s="1" t="s">
        <v>14504</v>
      </c>
      <c r="L3070" s="1">
        <v>107.0</v>
      </c>
      <c r="M3070" s="1" t="s">
        <v>14505</v>
      </c>
      <c r="N3070" s="1" t="s">
        <v>11794</v>
      </c>
      <c r="O3070" s="1" t="s">
        <v>628</v>
      </c>
      <c r="P3070" s="1">
        <v>4000000.0</v>
      </c>
      <c r="Q3070" s="1">
        <v>2007.0</v>
      </c>
      <c r="R3070" s="1">
        <v>585.0</v>
      </c>
      <c r="S3070" s="1">
        <v>39.0</v>
      </c>
      <c r="T3070" s="1">
        <v>15.0</v>
      </c>
      <c r="U3070" s="1">
        <v>666.0</v>
      </c>
      <c r="V3070" s="1">
        <v>294.0</v>
      </c>
      <c r="W3070" s="1">
        <v>11000.0</v>
      </c>
      <c r="X3070" s="1">
        <v>1.0</v>
      </c>
      <c r="Y3070" s="1">
        <v>1.85</v>
      </c>
      <c r="Z3070" s="1">
        <v>8.1</v>
      </c>
    </row>
    <row r="3071" ht="14.25" customHeight="1">
      <c r="A3071" s="1" t="s">
        <v>26</v>
      </c>
      <c r="B3071" s="1" t="s">
        <v>7869</v>
      </c>
      <c r="C3071" s="1" t="s">
        <v>14506</v>
      </c>
      <c r="D3071" s="1">
        <v>8.4263837E7</v>
      </c>
      <c r="E3071" s="1" t="s">
        <v>5924</v>
      </c>
      <c r="F3071" s="1" t="s">
        <v>1186</v>
      </c>
      <c r="G3071" s="1" t="s">
        <v>14507</v>
      </c>
      <c r="H3071" s="1" t="s">
        <v>14508</v>
      </c>
      <c r="I3071" s="1">
        <v>81699.0</v>
      </c>
      <c r="J3071" s="1" t="s">
        <v>14509</v>
      </c>
      <c r="K3071" s="1" t="s">
        <v>14510</v>
      </c>
      <c r="L3071" s="1">
        <v>291.0</v>
      </c>
      <c r="M3071" s="1" t="s">
        <v>35</v>
      </c>
      <c r="N3071" s="1" t="s">
        <v>36</v>
      </c>
      <c r="O3071" s="1" t="s">
        <v>628</v>
      </c>
      <c r="P3071" s="1">
        <v>6500000.0</v>
      </c>
      <c r="Q3071" s="1">
        <v>2014.0</v>
      </c>
      <c r="R3071" s="1">
        <v>1000.0</v>
      </c>
      <c r="S3071" s="1">
        <v>421.0</v>
      </c>
      <c r="T3071" s="1">
        <v>300.0</v>
      </c>
      <c r="U3071" s="1">
        <v>2323.0</v>
      </c>
      <c r="V3071" s="1">
        <v>40.0</v>
      </c>
      <c r="W3071" s="1">
        <v>45000.0</v>
      </c>
      <c r="X3071" s="1">
        <v>0.0</v>
      </c>
      <c r="Y3071" s="1">
        <v>2.35</v>
      </c>
      <c r="Z3071" s="1">
        <v>5.4</v>
      </c>
    </row>
    <row r="3072" ht="14.25" customHeight="1">
      <c r="A3072" s="1" t="s">
        <v>26</v>
      </c>
      <c r="B3072" s="1" t="s">
        <v>14511</v>
      </c>
      <c r="C3072" s="1" t="s">
        <v>14512</v>
      </c>
      <c r="D3072" s="1">
        <v>110029.0</v>
      </c>
      <c r="E3072" s="1" t="s">
        <v>14513</v>
      </c>
      <c r="F3072" s="1" t="s">
        <v>14366</v>
      </c>
      <c r="G3072" s="1" t="s">
        <v>14514</v>
      </c>
      <c r="H3072" s="1" t="s">
        <v>14515</v>
      </c>
      <c r="I3072" s="1">
        <v>1388.0</v>
      </c>
      <c r="J3072" s="1" t="s">
        <v>14516</v>
      </c>
      <c r="K3072" s="1" t="s">
        <v>14517</v>
      </c>
      <c r="L3072" s="1">
        <v>31.0</v>
      </c>
      <c r="M3072" s="1" t="s">
        <v>35</v>
      </c>
      <c r="N3072" s="1" t="s">
        <v>362</v>
      </c>
      <c r="O3072" s="1" t="s">
        <v>37</v>
      </c>
      <c r="P3072" s="1">
        <v>6500000.0</v>
      </c>
      <c r="Q3072" s="1">
        <v>2009.0</v>
      </c>
      <c r="R3072" s="1">
        <v>46.0</v>
      </c>
      <c r="S3072" s="1">
        <v>46.0</v>
      </c>
      <c r="T3072" s="1">
        <v>38.0</v>
      </c>
      <c r="U3072" s="1">
        <v>225.0</v>
      </c>
      <c r="V3072" s="1">
        <v>3.0</v>
      </c>
      <c r="W3072" s="1">
        <v>479.0</v>
      </c>
      <c r="X3072" s="1">
        <v>7.0</v>
      </c>
      <c r="Y3072" s="1">
        <v>2.35</v>
      </c>
      <c r="Z3072" s="1">
        <v>6.3</v>
      </c>
    </row>
    <row r="3073" ht="14.25" customHeight="1">
      <c r="A3073" s="1" t="s">
        <v>26</v>
      </c>
      <c r="B3073" s="1" t="s">
        <v>2793</v>
      </c>
      <c r="C3073" s="1" t="s">
        <v>14518</v>
      </c>
      <c r="D3073" s="1">
        <v>5.7504069E7</v>
      </c>
      <c r="E3073" s="1" t="s">
        <v>1854</v>
      </c>
      <c r="F3073" s="1" t="s">
        <v>14519</v>
      </c>
      <c r="G3073" s="1" t="s">
        <v>14520</v>
      </c>
      <c r="H3073" s="1" t="s">
        <v>14521</v>
      </c>
      <c r="I3073" s="1">
        <v>94139.0</v>
      </c>
      <c r="J3073" s="1" t="s">
        <v>14522</v>
      </c>
      <c r="K3073" s="1" t="s">
        <v>14523</v>
      </c>
      <c r="L3073" s="1">
        <v>183.0</v>
      </c>
      <c r="M3073" s="1" t="s">
        <v>35</v>
      </c>
      <c r="N3073" s="1" t="s">
        <v>36</v>
      </c>
      <c r="O3073" s="1" t="s">
        <v>628</v>
      </c>
      <c r="P3073" s="1">
        <v>6000000.0</v>
      </c>
      <c r="Q3073" s="1">
        <v>1991.0</v>
      </c>
      <c r="R3073" s="1">
        <v>27.0</v>
      </c>
      <c r="S3073" s="1">
        <v>26.0</v>
      </c>
      <c r="T3073" s="1">
        <v>15.0</v>
      </c>
      <c r="U3073" s="1">
        <v>106.0</v>
      </c>
      <c r="V3073" s="1">
        <v>309.0</v>
      </c>
      <c r="W3073" s="1">
        <v>0.0</v>
      </c>
      <c r="X3073" s="1">
        <v>2.0</v>
      </c>
      <c r="Y3073" s="1">
        <v>1.85</v>
      </c>
      <c r="Z3073" s="1">
        <v>7.8</v>
      </c>
    </row>
    <row r="3074" ht="14.25" customHeight="1">
      <c r="A3074" s="1" t="s">
        <v>26</v>
      </c>
      <c r="B3074" s="1" t="s">
        <v>14524</v>
      </c>
      <c r="C3074" s="1" t="s">
        <v>14525</v>
      </c>
      <c r="D3074" s="1">
        <v>5.4215416E7</v>
      </c>
      <c r="E3074" s="1" t="s">
        <v>4075</v>
      </c>
      <c r="F3074" s="1" t="s">
        <v>10500</v>
      </c>
      <c r="G3074" s="1" t="s">
        <v>14526</v>
      </c>
      <c r="H3074" s="1" t="s">
        <v>14527</v>
      </c>
      <c r="I3074" s="1">
        <v>21409.0</v>
      </c>
      <c r="J3074" s="1" t="s">
        <v>14528</v>
      </c>
      <c r="K3074" s="1" t="s">
        <v>14529</v>
      </c>
      <c r="L3074" s="1">
        <v>63.0</v>
      </c>
      <c r="M3074" s="1" t="s">
        <v>35</v>
      </c>
      <c r="N3074" s="1" t="s">
        <v>36</v>
      </c>
      <c r="O3074" s="1" t="s">
        <v>37</v>
      </c>
      <c r="P3074" s="1">
        <v>6500000.0</v>
      </c>
      <c r="Q3074" s="1">
        <v>1987.0</v>
      </c>
      <c r="R3074" s="1">
        <v>699.0</v>
      </c>
      <c r="S3074" s="1">
        <v>63.0</v>
      </c>
      <c r="T3074" s="1">
        <v>51.0</v>
      </c>
      <c r="U3074" s="1">
        <v>936.0</v>
      </c>
      <c r="V3074" s="1">
        <v>7.0</v>
      </c>
      <c r="W3074" s="1">
        <v>0.0</v>
      </c>
      <c r="X3074" s="1">
        <v>1.0</v>
      </c>
      <c r="Y3074" s="1">
        <v>1.85</v>
      </c>
      <c r="Z3074" s="1">
        <v>6.8</v>
      </c>
    </row>
    <row r="3075" ht="14.25" customHeight="1">
      <c r="A3075" s="1" t="s">
        <v>26</v>
      </c>
      <c r="B3075" s="1" t="s">
        <v>2161</v>
      </c>
      <c r="C3075" s="1" t="s">
        <v>14530</v>
      </c>
      <c r="D3075" s="1">
        <v>3.1899E7</v>
      </c>
      <c r="E3075" s="1" t="s">
        <v>14531</v>
      </c>
      <c r="F3075" s="1" t="s">
        <v>6200</v>
      </c>
      <c r="G3075" s="1" t="s">
        <v>10872</v>
      </c>
      <c r="H3075" s="1" t="s">
        <v>14532</v>
      </c>
      <c r="I3075" s="1">
        <v>23986.0</v>
      </c>
      <c r="J3075" s="1" t="s">
        <v>14533</v>
      </c>
      <c r="K3075" s="1" t="s">
        <v>14534</v>
      </c>
      <c r="L3075" s="1">
        <v>201.0</v>
      </c>
      <c r="M3075" s="1" t="s">
        <v>35</v>
      </c>
      <c r="N3075" s="1" t="s">
        <v>36</v>
      </c>
      <c r="O3075" s="1" t="s">
        <v>6886</v>
      </c>
      <c r="P3075" s="1">
        <v>6500000.0</v>
      </c>
      <c r="Q3075" s="1">
        <v>1980.0</v>
      </c>
      <c r="R3075" s="1">
        <v>754.0</v>
      </c>
      <c r="S3075" s="1">
        <v>567.0</v>
      </c>
      <c r="T3075" s="1">
        <v>517.0</v>
      </c>
      <c r="U3075" s="1">
        <v>2442.0</v>
      </c>
      <c r="V3075" s="1">
        <v>0.0</v>
      </c>
      <c r="W3075" s="1">
        <v>0.0</v>
      </c>
      <c r="X3075" s="1">
        <v>0.0</v>
      </c>
      <c r="Y3075" s="1">
        <v>2.35</v>
      </c>
      <c r="Z3075" s="1">
        <v>7.1</v>
      </c>
    </row>
    <row r="3076" ht="14.25" customHeight="1">
      <c r="A3076" s="1" t="s">
        <v>26</v>
      </c>
      <c r="B3076" s="1" t="s">
        <v>520</v>
      </c>
      <c r="C3076" s="1" t="s">
        <v>14535</v>
      </c>
      <c r="D3076" s="1">
        <v>2.4103594E7</v>
      </c>
      <c r="E3076" s="1" t="s">
        <v>14536</v>
      </c>
      <c r="F3076" s="1" t="s">
        <v>5972</v>
      </c>
      <c r="G3076" s="1" t="s">
        <v>1476</v>
      </c>
      <c r="H3076" s="1" t="s">
        <v>2177</v>
      </c>
      <c r="I3076" s="1">
        <v>6384.0</v>
      </c>
      <c r="J3076" s="1" t="s">
        <v>14537</v>
      </c>
      <c r="K3076" s="1" t="s">
        <v>14538</v>
      </c>
      <c r="L3076" s="1">
        <v>54.0</v>
      </c>
      <c r="M3076" s="1" t="s">
        <v>35</v>
      </c>
      <c r="N3076" s="1" t="s">
        <v>36</v>
      </c>
      <c r="O3076" s="1" t="s">
        <v>87</v>
      </c>
      <c r="P3076" s="1">
        <v>6500000.0</v>
      </c>
      <c r="Q3076" s="1">
        <v>1993.0</v>
      </c>
      <c r="R3076" s="1">
        <v>876.0</v>
      </c>
      <c r="S3076" s="1">
        <v>827.0</v>
      </c>
      <c r="T3076" s="1">
        <v>689.0</v>
      </c>
      <c r="U3076" s="1">
        <v>4840.0</v>
      </c>
      <c r="V3076" s="1">
        <v>208.0</v>
      </c>
      <c r="W3076" s="1">
        <v>391.0</v>
      </c>
      <c r="X3076" s="1">
        <v>0.0</v>
      </c>
      <c r="Y3076" s="1">
        <v>1.85</v>
      </c>
      <c r="Z3076" s="1">
        <v>6.2</v>
      </c>
    </row>
    <row r="3077" ht="14.25" customHeight="1">
      <c r="A3077" s="1" t="s">
        <v>26</v>
      </c>
      <c r="B3077" s="1" t="s">
        <v>506</v>
      </c>
      <c r="C3077" s="1" t="s">
        <v>14539</v>
      </c>
      <c r="D3077" s="1">
        <v>1.6842303E7</v>
      </c>
      <c r="E3077" s="1" t="s">
        <v>972</v>
      </c>
      <c r="F3077" s="1" t="s">
        <v>8006</v>
      </c>
      <c r="G3077" s="1" t="s">
        <v>5031</v>
      </c>
      <c r="H3077" s="1" t="s">
        <v>14540</v>
      </c>
      <c r="I3077" s="1">
        <v>59474.0</v>
      </c>
      <c r="J3077" s="1" t="s">
        <v>14541</v>
      </c>
      <c r="K3077" s="1" t="s">
        <v>14542</v>
      </c>
      <c r="L3077" s="1">
        <v>418.0</v>
      </c>
      <c r="M3077" s="1" t="s">
        <v>35</v>
      </c>
      <c r="N3077" s="1" t="s">
        <v>36</v>
      </c>
      <c r="O3077" s="1" t="s">
        <v>628</v>
      </c>
      <c r="P3077" s="1">
        <v>6500000.0</v>
      </c>
      <c r="Q3077" s="1">
        <v>1999.0</v>
      </c>
      <c r="R3077" s="1">
        <v>900.0</v>
      </c>
      <c r="S3077" s="1">
        <v>563.0</v>
      </c>
      <c r="T3077" s="1">
        <v>376.0</v>
      </c>
      <c r="U3077" s="1">
        <v>2475.0</v>
      </c>
      <c r="V3077" s="1">
        <v>218.0</v>
      </c>
      <c r="W3077" s="1">
        <v>0.0</v>
      </c>
      <c r="X3077" s="1">
        <v>3.0</v>
      </c>
      <c r="Y3077" s="1">
        <v>2.35</v>
      </c>
      <c r="Z3077" s="1">
        <v>7.3</v>
      </c>
    </row>
    <row r="3078" ht="14.25" customHeight="1">
      <c r="A3078" s="1" t="s">
        <v>26</v>
      </c>
      <c r="B3078" s="1" t="s">
        <v>14014</v>
      </c>
      <c r="C3078" s="1" t="s">
        <v>14543</v>
      </c>
      <c r="D3078" s="1">
        <v>1.3367101E7</v>
      </c>
      <c r="E3078" s="1" t="s">
        <v>1359</v>
      </c>
      <c r="F3078" s="1" t="s">
        <v>12302</v>
      </c>
      <c r="G3078" s="1" t="s">
        <v>14544</v>
      </c>
      <c r="H3078" s="1" t="s">
        <v>14545</v>
      </c>
      <c r="I3078" s="1">
        <v>19715.0</v>
      </c>
      <c r="J3078" s="1" t="s">
        <v>14546</v>
      </c>
      <c r="K3078" s="1" t="s">
        <v>14547</v>
      </c>
      <c r="L3078" s="1">
        <v>166.0</v>
      </c>
      <c r="M3078" s="1" t="s">
        <v>35</v>
      </c>
      <c r="N3078" s="1" t="s">
        <v>36</v>
      </c>
      <c r="O3078" s="1" t="s">
        <v>628</v>
      </c>
      <c r="P3078" s="1">
        <v>6500000.0</v>
      </c>
      <c r="Q3078" s="1">
        <v>2006.0</v>
      </c>
      <c r="R3078" s="1">
        <v>435.0</v>
      </c>
      <c r="S3078" s="1">
        <v>230.0</v>
      </c>
      <c r="T3078" s="1">
        <v>180.0</v>
      </c>
      <c r="U3078" s="1">
        <v>1140.0</v>
      </c>
      <c r="V3078" s="1">
        <v>132.0</v>
      </c>
      <c r="W3078" s="1">
        <v>515.0</v>
      </c>
      <c r="X3078" s="1">
        <v>2.0</v>
      </c>
      <c r="Y3078" s="1">
        <v>2.35</v>
      </c>
      <c r="Z3078" s="1">
        <v>5.9</v>
      </c>
    </row>
    <row r="3079" ht="14.25" customHeight="1">
      <c r="A3079" s="1" t="s">
        <v>26</v>
      </c>
      <c r="B3079" s="1" t="s">
        <v>14548</v>
      </c>
      <c r="C3079" s="1" t="s">
        <v>14549</v>
      </c>
      <c r="D3079" s="1">
        <v>1.0149779E7</v>
      </c>
      <c r="E3079" s="1" t="s">
        <v>4107</v>
      </c>
      <c r="F3079" s="1" t="s">
        <v>3510</v>
      </c>
      <c r="G3079" s="1" t="s">
        <v>1292</v>
      </c>
      <c r="H3079" s="1" t="s">
        <v>8095</v>
      </c>
      <c r="I3079" s="1">
        <v>8294.0</v>
      </c>
      <c r="J3079" s="1" t="s">
        <v>14550</v>
      </c>
      <c r="K3079" s="1" t="s">
        <v>14551</v>
      </c>
      <c r="L3079" s="1">
        <v>160.0</v>
      </c>
      <c r="M3079" s="1" t="s">
        <v>35</v>
      </c>
      <c r="N3079" s="1" t="s">
        <v>36</v>
      </c>
      <c r="O3079" s="1" t="s">
        <v>37</v>
      </c>
      <c r="P3079" s="1">
        <v>6500000.0</v>
      </c>
      <c r="Q3079" s="1">
        <v>1999.0</v>
      </c>
      <c r="R3079" s="1">
        <v>730.0</v>
      </c>
      <c r="S3079" s="1">
        <v>461.0</v>
      </c>
      <c r="T3079" s="1">
        <v>91.0</v>
      </c>
      <c r="U3079" s="1">
        <v>1405.0</v>
      </c>
      <c r="V3079" s="1">
        <v>38.0</v>
      </c>
      <c r="W3079" s="1">
        <v>342.0</v>
      </c>
      <c r="X3079" s="1">
        <v>0.0</v>
      </c>
      <c r="Y3079" s="1">
        <v>2.35</v>
      </c>
      <c r="Z3079" s="1">
        <v>3.6</v>
      </c>
    </row>
    <row r="3080" ht="14.25" customHeight="1">
      <c r="A3080" s="1" t="s">
        <v>26</v>
      </c>
      <c r="B3080" s="1" t="s">
        <v>14552</v>
      </c>
      <c r="C3080" s="1" t="s">
        <v>14553</v>
      </c>
      <c r="D3080" s="1">
        <v>6173485.0</v>
      </c>
      <c r="E3080" s="1" t="s">
        <v>1474</v>
      </c>
      <c r="F3080" s="1" t="s">
        <v>14554</v>
      </c>
      <c r="G3080" s="1" t="s">
        <v>14555</v>
      </c>
      <c r="H3080" s="1" t="s">
        <v>14556</v>
      </c>
      <c r="I3080" s="1">
        <v>10672.0</v>
      </c>
      <c r="J3080" s="1" t="s">
        <v>14557</v>
      </c>
      <c r="K3080" s="1" t="s">
        <v>14558</v>
      </c>
      <c r="L3080" s="1">
        <v>84.0</v>
      </c>
      <c r="M3080" s="1" t="s">
        <v>35</v>
      </c>
      <c r="N3080" s="1" t="s">
        <v>730</v>
      </c>
      <c r="O3080" s="1" t="s">
        <v>628</v>
      </c>
      <c r="P3080" s="1">
        <v>7000000.0</v>
      </c>
      <c r="Q3080" s="1">
        <v>2001.0</v>
      </c>
      <c r="R3080" s="1">
        <v>56.0</v>
      </c>
      <c r="S3080" s="1">
        <v>36.0</v>
      </c>
      <c r="T3080" s="1">
        <v>8.0</v>
      </c>
      <c r="U3080" s="1">
        <v>105.0</v>
      </c>
      <c r="V3080" s="1">
        <v>11.0</v>
      </c>
      <c r="W3080" s="1">
        <v>802.0</v>
      </c>
      <c r="X3080" s="1">
        <v>0.0</v>
      </c>
      <c r="Y3080" s="1">
        <v>2.35</v>
      </c>
      <c r="Z3080" s="1">
        <v>7.7</v>
      </c>
    </row>
    <row r="3081" ht="14.25" customHeight="1">
      <c r="A3081" s="1" t="s">
        <v>26</v>
      </c>
      <c r="B3081" s="1" t="s">
        <v>9860</v>
      </c>
      <c r="C3081" s="1" t="s">
        <v>14559</v>
      </c>
      <c r="D3081" s="1">
        <v>4000304.0</v>
      </c>
      <c r="E3081" s="1" t="s">
        <v>3238</v>
      </c>
      <c r="F3081" s="1" t="s">
        <v>444</v>
      </c>
      <c r="G3081" s="1" t="s">
        <v>5945</v>
      </c>
      <c r="H3081" s="1" t="s">
        <v>4907</v>
      </c>
      <c r="I3081" s="1">
        <v>145395.0</v>
      </c>
      <c r="J3081" s="1" t="s">
        <v>14560</v>
      </c>
      <c r="K3081" s="1" t="s">
        <v>14561</v>
      </c>
      <c r="L3081" s="1">
        <v>375.0</v>
      </c>
      <c r="M3081" s="1" t="s">
        <v>35</v>
      </c>
      <c r="N3081" s="1" t="s">
        <v>54</v>
      </c>
      <c r="O3081" s="1" t="s">
        <v>6326</v>
      </c>
      <c r="P3081" s="1">
        <v>6500000.0</v>
      </c>
      <c r="Q3081" s="1">
        <v>2011.0</v>
      </c>
      <c r="R3081" s="1">
        <v>13000.0</v>
      </c>
      <c r="S3081" s="1">
        <v>898.0</v>
      </c>
      <c r="T3081" s="1">
        <v>726.0</v>
      </c>
      <c r="U3081" s="1">
        <v>15230.0</v>
      </c>
      <c r="V3081" s="1">
        <v>0.0</v>
      </c>
      <c r="W3081" s="1">
        <v>23000.0</v>
      </c>
      <c r="X3081" s="1">
        <v>0.0</v>
      </c>
      <c r="Y3081" s="1">
        <v>2.35</v>
      </c>
      <c r="Z3081" s="1">
        <v>7.3</v>
      </c>
    </row>
    <row r="3082" ht="14.25" customHeight="1">
      <c r="A3082" s="1" t="s">
        <v>26</v>
      </c>
      <c r="B3082" s="1" t="s">
        <v>655</v>
      </c>
      <c r="C3082" s="1" t="s">
        <v>14562</v>
      </c>
      <c r="D3082" s="1">
        <v>2338695.0</v>
      </c>
      <c r="E3082" s="1" t="s">
        <v>2045</v>
      </c>
      <c r="F3082" s="1" t="s">
        <v>58</v>
      </c>
      <c r="G3082" s="1" t="s">
        <v>4467</v>
      </c>
      <c r="H3082" s="1" t="s">
        <v>4168</v>
      </c>
      <c r="I3082" s="1">
        <v>134070.0</v>
      </c>
      <c r="J3082" s="1" t="s">
        <v>14563</v>
      </c>
      <c r="K3082" s="1" t="s">
        <v>14564</v>
      </c>
      <c r="L3082" s="1">
        <v>263.0</v>
      </c>
      <c r="M3082" s="1" t="s">
        <v>35</v>
      </c>
      <c r="N3082" s="1" t="s">
        <v>54</v>
      </c>
      <c r="O3082" s="1" t="s">
        <v>628</v>
      </c>
      <c r="P3082" s="1">
        <v>4000000.0</v>
      </c>
      <c r="Q3082" s="1">
        <v>2004.0</v>
      </c>
      <c r="R3082" s="1">
        <v>27000.0</v>
      </c>
      <c r="S3082" s="1">
        <v>594.0</v>
      </c>
      <c r="T3082" s="1">
        <v>466.0</v>
      </c>
      <c r="U3082" s="1">
        <v>29277.0</v>
      </c>
      <c r="V3082" s="1">
        <v>905.0</v>
      </c>
      <c r="W3082" s="1">
        <v>0.0</v>
      </c>
      <c r="X3082" s="1">
        <v>1.0</v>
      </c>
      <c r="Y3082" s="1">
        <v>2.35</v>
      </c>
      <c r="Z3082" s="1">
        <v>7.4</v>
      </c>
    </row>
    <row r="3083" ht="14.25" customHeight="1">
      <c r="A3083" s="1" t="s">
        <v>26</v>
      </c>
      <c r="B3083" s="1" t="s">
        <v>14565</v>
      </c>
      <c r="C3083" s="1" t="s">
        <v>14566</v>
      </c>
      <c r="D3083" s="1">
        <v>2024854.0</v>
      </c>
      <c r="E3083" s="1" t="s">
        <v>1683</v>
      </c>
      <c r="F3083" s="1" t="s">
        <v>14567</v>
      </c>
      <c r="G3083" s="1" t="s">
        <v>14568</v>
      </c>
      <c r="H3083" s="1" t="s">
        <v>11637</v>
      </c>
      <c r="I3083" s="1">
        <v>564.0</v>
      </c>
      <c r="J3083" s="1" t="s">
        <v>14569</v>
      </c>
      <c r="K3083" s="1" t="s">
        <v>14570</v>
      </c>
      <c r="L3083" s="1">
        <v>21.0</v>
      </c>
      <c r="M3083" s="1" t="s">
        <v>35</v>
      </c>
      <c r="N3083" s="1" t="s">
        <v>36</v>
      </c>
      <c r="O3083" s="1" t="s">
        <v>37</v>
      </c>
      <c r="P3083" s="1">
        <v>6500000.0</v>
      </c>
      <c r="Q3083" s="1">
        <v>2005.0</v>
      </c>
      <c r="R3083" s="1">
        <v>1000.0</v>
      </c>
      <c r="S3083" s="1">
        <v>373.0</v>
      </c>
      <c r="T3083" s="1">
        <v>266.0</v>
      </c>
      <c r="U3083" s="1">
        <v>1942.0</v>
      </c>
      <c r="V3083" s="1">
        <v>0.0</v>
      </c>
      <c r="W3083" s="1">
        <v>19.0</v>
      </c>
      <c r="X3083" s="1">
        <v>2.0</v>
      </c>
      <c r="Y3083" s="1">
        <v>2.35</v>
      </c>
      <c r="Z3083" s="1">
        <v>6.6</v>
      </c>
    </row>
    <row r="3084" ht="14.25" customHeight="1">
      <c r="A3084" s="1" t="s">
        <v>26</v>
      </c>
      <c r="B3084" s="1" t="s">
        <v>14571</v>
      </c>
      <c r="C3084" s="1" t="s">
        <v>14572</v>
      </c>
      <c r="D3084" s="1">
        <v>2268296.0</v>
      </c>
      <c r="E3084" s="1" t="s">
        <v>3868</v>
      </c>
      <c r="F3084" s="1" t="s">
        <v>221</v>
      </c>
      <c r="G3084" s="1" t="s">
        <v>652</v>
      </c>
      <c r="H3084" s="1" t="s">
        <v>8731</v>
      </c>
      <c r="I3084" s="1">
        <v>41856.0</v>
      </c>
      <c r="J3084" s="1" t="s">
        <v>14573</v>
      </c>
      <c r="K3084" s="1" t="s">
        <v>14574</v>
      </c>
      <c r="L3084" s="1">
        <v>119.0</v>
      </c>
      <c r="M3084" s="1" t="s">
        <v>35</v>
      </c>
      <c r="N3084" s="1" t="s">
        <v>54</v>
      </c>
      <c r="O3084" s="1" t="s">
        <v>37</v>
      </c>
      <c r="P3084" s="1">
        <v>6500000.0</v>
      </c>
      <c r="Q3084" s="1">
        <v>2013.0</v>
      </c>
      <c r="R3084" s="1">
        <v>10000.0</v>
      </c>
      <c r="S3084" s="1">
        <v>918.0</v>
      </c>
      <c r="T3084" s="1">
        <v>782.0</v>
      </c>
      <c r="U3084" s="1">
        <v>13180.0</v>
      </c>
      <c r="V3084" s="1">
        <v>129.0</v>
      </c>
      <c r="W3084" s="1">
        <v>12000.0</v>
      </c>
      <c r="X3084" s="1">
        <v>4.0</v>
      </c>
      <c r="Y3084" s="1">
        <v>2.35</v>
      </c>
      <c r="Z3084" s="1">
        <v>6.9</v>
      </c>
    </row>
    <row r="3085" ht="14.25" customHeight="1">
      <c r="A3085" s="1" t="s">
        <v>26</v>
      </c>
      <c r="B3085" s="1" t="s">
        <v>11663</v>
      </c>
      <c r="C3085" s="1" t="s">
        <v>14575</v>
      </c>
      <c r="D3085" s="1">
        <v>1029017.0</v>
      </c>
      <c r="E3085" s="1" t="s">
        <v>206</v>
      </c>
      <c r="F3085" s="1" t="s">
        <v>423</v>
      </c>
      <c r="G3085" s="1" t="s">
        <v>1016</v>
      </c>
      <c r="H3085" s="1" t="s">
        <v>7044</v>
      </c>
      <c r="I3085" s="1">
        <v>12049.0</v>
      </c>
      <c r="J3085" s="1" t="s">
        <v>14576</v>
      </c>
      <c r="K3085" s="1" t="s">
        <v>14577</v>
      </c>
      <c r="L3085" s="1">
        <v>135.0</v>
      </c>
      <c r="M3085" s="1" t="s">
        <v>35</v>
      </c>
      <c r="N3085" s="1" t="s">
        <v>36</v>
      </c>
      <c r="O3085" s="1" t="s">
        <v>628</v>
      </c>
      <c r="P3085" s="1">
        <v>6500000.0</v>
      </c>
      <c r="Q3085" s="1">
        <v>2004.0</v>
      </c>
      <c r="R3085" s="1">
        <v>18000.0</v>
      </c>
      <c r="S3085" s="1">
        <v>986.0</v>
      </c>
      <c r="T3085" s="1">
        <v>874.0</v>
      </c>
      <c r="U3085" s="1">
        <v>21107.0</v>
      </c>
      <c r="V3085" s="1">
        <v>15.0</v>
      </c>
      <c r="W3085" s="1">
        <v>1000.0</v>
      </c>
      <c r="X3085" s="1">
        <v>2.0</v>
      </c>
      <c r="Y3085" s="1">
        <v>2.35</v>
      </c>
      <c r="Z3085" s="1">
        <v>6.8</v>
      </c>
    </row>
    <row r="3086" ht="14.25" customHeight="1">
      <c r="A3086" s="1" t="s">
        <v>26</v>
      </c>
      <c r="B3086" s="1" t="s">
        <v>14578</v>
      </c>
      <c r="C3086" s="1" t="s">
        <v>14579</v>
      </c>
      <c r="D3086" s="1">
        <v>66637.0</v>
      </c>
      <c r="E3086" s="1" t="s">
        <v>6860</v>
      </c>
      <c r="F3086" s="1" t="s">
        <v>264</v>
      </c>
      <c r="G3086" s="1" t="s">
        <v>7882</v>
      </c>
      <c r="H3086" s="1" t="s">
        <v>12855</v>
      </c>
      <c r="I3086" s="1">
        <v>29608.0</v>
      </c>
      <c r="J3086" s="1" t="s">
        <v>14580</v>
      </c>
      <c r="K3086" s="1" t="s">
        <v>14581</v>
      </c>
      <c r="L3086" s="1">
        <v>92.0</v>
      </c>
      <c r="M3086" s="1" t="s">
        <v>35</v>
      </c>
      <c r="N3086" s="1" t="s">
        <v>36</v>
      </c>
      <c r="O3086" s="1" t="s">
        <v>628</v>
      </c>
      <c r="P3086" s="1">
        <v>6500000.0</v>
      </c>
      <c r="Q3086" s="1">
        <v>2009.0</v>
      </c>
      <c r="R3086" s="1">
        <v>12000.0</v>
      </c>
      <c r="S3086" s="1">
        <v>712.0</v>
      </c>
      <c r="T3086" s="1">
        <v>706.0</v>
      </c>
      <c r="U3086" s="1">
        <v>14462.0</v>
      </c>
      <c r="V3086" s="1">
        <v>38.0</v>
      </c>
      <c r="W3086" s="1">
        <v>0.0</v>
      </c>
      <c r="X3086" s="1">
        <v>0.0</v>
      </c>
      <c r="Y3086" s="1">
        <v>2.35</v>
      </c>
      <c r="Z3086" s="1">
        <v>7.2</v>
      </c>
    </row>
    <row r="3087" ht="14.25" customHeight="1">
      <c r="A3087" s="1" t="s">
        <v>710</v>
      </c>
      <c r="B3087" s="1" t="s">
        <v>9955</v>
      </c>
      <c r="C3087" s="1" t="s">
        <v>14582</v>
      </c>
      <c r="D3087" s="1">
        <v>871577.0</v>
      </c>
      <c r="E3087" s="1" t="s">
        <v>4075</v>
      </c>
      <c r="F3087" s="1" t="s">
        <v>552</v>
      </c>
      <c r="G3087" s="1" t="s">
        <v>67</v>
      </c>
      <c r="H3087" s="1" t="s">
        <v>6688</v>
      </c>
      <c r="I3087" s="1">
        <v>51353.0</v>
      </c>
      <c r="J3087" s="1" t="s">
        <v>14583</v>
      </c>
      <c r="K3087" s="1" t="s">
        <v>14584</v>
      </c>
      <c r="L3087" s="1">
        <v>143.0</v>
      </c>
      <c r="M3087" s="1" t="s">
        <v>35</v>
      </c>
      <c r="N3087" s="1" t="s">
        <v>54</v>
      </c>
      <c r="O3087" s="1" t="s">
        <v>628</v>
      </c>
      <c r="P3087" s="1">
        <v>4500000.0</v>
      </c>
      <c r="Q3087" s="1">
        <v>2007.0</v>
      </c>
      <c r="R3087" s="1">
        <v>845.0</v>
      </c>
      <c r="S3087" s="1">
        <v>631.0</v>
      </c>
      <c r="T3087" s="1">
        <v>471.0</v>
      </c>
      <c r="U3087" s="1">
        <v>2614.0</v>
      </c>
      <c r="V3087" s="1">
        <v>210.0</v>
      </c>
      <c r="W3087" s="1">
        <v>13000.0</v>
      </c>
      <c r="X3087" s="1">
        <v>1.0</v>
      </c>
      <c r="Y3087" s="1">
        <v>2.35</v>
      </c>
      <c r="Z3087" s="1">
        <v>7.7</v>
      </c>
    </row>
    <row r="3088" ht="14.25" customHeight="1">
      <c r="A3088" s="1" t="s">
        <v>26</v>
      </c>
      <c r="B3088" s="1" t="s">
        <v>27</v>
      </c>
      <c r="C3088" s="1" t="s">
        <v>14585</v>
      </c>
      <c r="D3088" s="1">
        <v>3.84E7</v>
      </c>
      <c r="E3088" s="1" t="s">
        <v>623</v>
      </c>
      <c r="F3088" s="1" t="s">
        <v>2860</v>
      </c>
      <c r="G3088" s="1" t="s">
        <v>4276</v>
      </c>
      <c r="H3088" s="1" t="s">
        <v>14586</v>
      </c>
      <c r="I3088" s="1">
        <v>600266.0</v>
      </c>
      <c r="J3088" s="1" t="s">
        <v>14587</v>
      </c>
      <c r="K3088" s="1" t="s">
        <v>14588</v>
      </c>
      <c r="L3088" s="1">
        <v>692.0</v>
      </c>
      <c r="M3088" s="1" t="s">
        <v>35</v>
      </c>
      <c r="N3088" s="1" t="s">
        <v>54</v>
      </c>
      <c r="O3088" s="1" t="s">
        <v>628</v>
      </c>
      <c r="P3088" s="1">
        <v>6500000.0</v>
      </c>
      <c r="Q3088" s="1">
        <v>1984.0</v>
      </c>
      <c r="R3088" s="1">
        <v>2000.0</v>
      </c>
      <c r="S3088" s="1">
        <v>663.0</v>
      </c>
      <c r="T3088" s="1">
        <v>255.0</v>
      </c>
      <c r="U3088" s="1">
        <v>3582.0</v>
      </c>
      <c r="V3088" s="1">
        <v>0.0</v>
      </c>
      <c r="W3088" s="1">
        <v>13000.0</v>
      </c>
      <c r="X3088" s="1">
        <v>1.0</v>
      </c>
      <c r="Y3088" s="1">
        <v>1.85</v>
      </c>
      <c r="Z3088" s="1">
        <v>8.1</v>
      </c>
    </row>
    <row r="3089" ht="14.25" customHeight="1">
      <c r="A3089" s="1" t="s">
        <v>710</v>
      </c>
      <c r="B3089" s="1" t="s">
        <v>14589</v>
      </c>
      <c r="C3089" s="1" t="s">
        <v>14590</v>
      </c>
      <c r="D3089" s="1">
        <v>4063859.0</v>
      </c>
      <c r="E3089" s="1" t="s">
        <v>206</v>
      </c>
      <c r="F3089" s="1" t="s">
        <v>14591</v>
      </c>
      <c r="G3089" s="1" t="s">
        <v>14592</v>
      </c>
      <c r="H3089" s="1" t="s">
        <v>10931</v>
      </c>
      <c r="I3089" s="1">
        <v>114407.0</v>
      </c>
      <c r="J3089" s="1" t="s">
        <v>14593</v>
      </c>
      <c r="K3089" s="1" t="s">
        <v>14594</v>
      </c>
      <c r="L3089" s="1">
        <v>225.0</v>
      </c>
      <c r="M3089" s="1" t="s">
        <v>10526</v>
      </c>
      <c r="N3089" s="1" t="s">
        <v>730</v>
      </c>
      <c r="O3089" s="1" t="s">
        <v>628</v>
      </c>
      <c r="P3089" s="1">
        <v>4800000.0</v>
      </c>
      <c r="Q3089" s="1">
        <v>2003.0</v>
      </c>
      <c r="R3089" s="1">
        <v>65.0</v>
      </c>
      <c r="S3089" s="1">
        <v>51.0</v>
      </c>
      <c r="T3089" s="1">
        <v>43.0</v>
      </c>
      <c r="U3089" s="1">
        <v>200.0</v>
      </c>
      <c r="V3089" s="1">
        <v>31.0</v>
      </c>
      <c r="W3089" s="1">
        <v>11000.0</v>
      </c>
      <c r="X3089" s="1">
        <v>2.0</v>
      </c>
      <c r="Y3089" s="1">
        <v>1.85</v>
      </c>
      <c r="Z3089" s="1">
        <v>7.7</v>
      </c>
    </row>
    <row r="3090" ht="14.25" customHeight="1">
      <c r="A3090" s="1" t="s">
        <v>26</v>
      </c>
      <c r="B3090" s="1" t="s">
        <v>3473</v>
      </c>
      <c r="C3090" s="1" t="s">
        <v>14595</v>
      </c>
      <c r="D3090" s="1">
        <v>449558.0</v>
      </c>
      <c r="E3090" s="1" t="s">
        <v>1557</v>
      </c>
      <c r="F3090" s="1" t="s">
        <v>152</v>
      </c>
      <c r="G3090" s="1" t="s">
        <v>14596</v>
      </c>
      <c r="H3090" s="1" t="s">
        <v>14597</v>
      </c>
      <c r="I3090" s="1">
        <v>32307.0</v>
      </c>
      <c r="J3090" s="1" t="s">
        <v>14598</v>
      </c>
      <c r="K3090" s="1" t="s">
        <v>14599</v>
      </c>
      <c r="L3090" s="1">
        <v>75.0</v>
      </c>
      <c r="M3090" s="1" t="s">
        <v>35</v>
      </c>
      <c r="N3090" s="1" t="s">
        <v>54</v>
      </c>
      <c r="O3090" s="1" t="s">
        <v>628</v>
      </c>
      <c r="P3090" s="1">
        <v>1.0E7</v>
      </c>
      <c r="Q3090" s="1">
        <v>2009.0</v>
      </c>
      <c r="R3090" s="1">
        <v>1000.0</v>
      </c>
      <c r="S3090" s="1">
        <v>54.0</v>
      </c>
      <c r="T3090" s="1">
        <v>27.0</v>
      </c>
      <c r="U3090" s="1">
        <v>1163.0</v>
      </c>
      <c r="V3090" s="1">
        <v>0.0</v>
      </c>
      <c r="W3090" s="1">
        <v>0.0</v>
      </c>
      <c r="X3090" s="1">
        <v>2.0</v>
      </c>
      <c r="Y3090" s="1">
        <v>1.85</v>
      </c>
      <c r="Z3090" s="1">
        <v>7.6</v>
      </c>
    </row>
    <row r="3091" ht="14.25" customHeight="1">
      <c r="A3091" s="1" t="s">
        <v>26</v>
      </c>
      <c r="B3091" s="1" t="s">
        <v>6697</v>
      </c>
      <c r="C3091" s="1" t="s">
        <v>14600</v>
      </c>
      <c r="D3091" s="1">
        <v>2122561.0</v>
      </c>
      <c r="E3091" s="1" t="s">
        <v>1598</v>
      </c>
      <c r="F3091" s="1" t="s">
        <v>2003</v>
      </c>
      <c r="G3091" s="1" t="s">
        <v>9591</v>
      </c>
      <c r="H3091" s="1" t="s">
        <v>7569</v>
      </c>
      <c r="I3091" s="1">
        <v>99033.0</v>
      </c>
      <c r="J3091" s="1" t="s">
        <v>14601</v>
      </c>
      <c r="K3091" s="1" t="s">
        <v>14602</v>
      </c>
      <c r="L3091" s="1">
        <v>434.0</v>
      </c>
      <c r="M3091" s="1" t="s">
        <v>35</v>
      </c>
      <c r="N3091" s="1" t="s">
        <v>36</v>
      </c>
      <c r="O3091" s="1" t="s">
        <v>628</v>
      </c>
      <c r="P3091" s="1">
        <v>6000000.0</v>
      </c>
      <c r="Q3091" s="1">
        <v>1995.0</v>
      </c>
      <c r="R3091" s="1">
        <v>1000.0</v>
      </c>
      <c r="S3091" s="1">
        <v>898.0</v>
      </c>
      <c r="T3091" s="1">
        <v>781.0</v>
      </c>
      <c r="U3091" s="1">
        <v>3254.0</v>
      </c>
      <c r="V3091" s="1">
        <v>0.0</v>
      </c>
      <c r="W3091" s="1">
        <v>0.0</v>
      </c>
      <c r="X3091" s="1">
        <v>6.0</v>
      </c>
      <c r="Y3091" s="1">
        <v>1.85</v>
      </c>
      <c r="Z3091" s="1">
        <v>7.2</v>
      </c>
    </row>
    <row r="3092" ht="14.25" customHeight="1">
      <c r="A3092" s="1" t="s">
        <v>26</v>
      </c>
      <c r="B3092" s="1" t="s">
        <v>12034</v>
      </c>
      <c r="C3092" s="1" t="s">
        <v>14603</v>
      </c>
      <c r="D3092" s="1">
        <v>1.8136E8</v>
      </c>
      <c r="E3092" s="1" t="s">
        <v>14604</v>
      </c>
      <c r="F3092" s="1" t="s">
        <v>14605</v>
      </c>
      <c r="G3092" s="1" t="s">
        <v>3930</v>
      </c>
      <c r="H3092" s="1" t="s">
        <v>13689</v>
      </c>
      <c r="I3092" s="1">
        <v>170027.0</v>
      </c>
      <c r="J3092" s="1" t="s">
        <v>14606</v>
      </c>
      <c r="K3092" s="1" t="s">
        <v>14607</v>
      </c>
      <c r="L3092" s="1">
        <v>350.0</v>
      </c>
      <c r="M3092" s="1" t="s">
        <v>35</v>
      </c>
      <c r="N3092" s="1" t="s">
        <v>36</v>
      </c>
      <c r="O3092" s="1" t="s">
        <v>37</v>
      </c>
      <c r="P3092" s="1">
        <v>6000000.0</v>
      </c>
      <c r="Q3092" s="1">
        <v>1978.0</v>
      </c>
      <c r="R3092" s="1">
        <v>1000.0</v>
      </c>
      <c r="S3092" s="1">
        <v>944.0</v>
      </c>
      <c r="T3092" s="1">
        <v>898.0</v>
      </c>
      <c r="U3092" s="1">
        <v>5127.0</v>
      </c>
      <c r="V3092" s="1">
        <v>116.0</v>
      </c>
      <c r="W3092" s="1">
        <v>13000.0</v>
      </c>
      <c r="X3092" s="1">
        <v>2.0</v>
      </c>
      <c r="Y3092" s="1">
        <v>2.35</v>
      </c>
      <c r="Z3092" s="1">
        <v>7.2</v>
      </c>
    </row>
    <row r="3093" ht="14.25" customHeight="1">
      <c r="A3093" s="1" t="s">
        <v>26</v>
      </c>
      <c r="B3093" s="1" t="s">
        <v>723</v>
      </c>
      <c r="C3093" s="1" t="s">
        <v>14608</v>
      </c>
      <c r="D3093" s="1">
        <v>1.37963328E8</v>
      </c>
      <c r="E3093" s="1" t="s">
        <v>3225</v>
      </c>
      <c r="F3093" s="1" t="s">
        <v>41</v>
      </c>
      <c r="G3093" s="1" t="s">
        <v>5388</v>
      </c>
      <c r="H3093" s="1" t="s">
        <v>2905</v>
      </c>
      <c r="I3093" s="1">
        <v>291603.0</v>
      </c>
      <c r="J3093" s="1" t="s">
        <v>14609</v>
      </c>
      <c r="K3093" s="1" t="s">
        <v>14610</v>
      </c>
      <c r="L3093" s="1">
        <v>505.0</v>
      </c>
      <c r="M3093" s="1" t="s">
        <v>35</v>
      </c>
      <c r="N3093" s="1" t="s">
        <v>54</v>
      </c>
      <c r="O3093" s="1" t="s">
        <v>628</v>
      </c>
      <c r="P3093" s="1">
        <v>6000000.0</v>
      </c>
      <c r="Q3093" s="1">
        <v>1986.0</v>
      </c>
      <c r="R3093" s="1">
        <v>40000.0</v>
      </c>
      <c r="S3093" s="1">
        <v>854.0</v>
      </c>
      <c r="T3093" s="1">
        <v>576.0</v>
      </c>
      <c r="U3093" s="1">
        <v>42028.0</v>
      </c>
      <c r="V3093" s="1">
        <v>0.0</v>
      </c>
      <c r="W3093" s="1">
        <v>9000.0</v>
      </c>
      <c r="X3093" s="1">
        <v>0.0</v>
      </c>
      <c r="Y3093" s="1">
        <v>1.85</v>
      </c>
      <c r="Z3093" s="1">
        <v>8.1</v>
      </c>
    </row>
    <row r="3094" ht="14.25" customHeight="1">
      <c r="A3094" s="1" t="s">
        <v>26</v>
      </c>
      <c r="B3094" s="1" t="s">
        <v>3607</v>
      </c>
      <c r="C3094" s="1" t="s">
        <v>14611</v>
      </c>
      <c r="D3094" s="1">
        <v>1.19078393E8</v>
      </c>
      <c r="E3094" s="1" t="s">
        <v>14612</v>
      </c>
      <c r="F3094" s="1" t="s">
        <v>14613</v>
      </c>
      <c r="G3094" s="1" t="s">
        <v>14614</v>
      </c>
      <c r="H3094" s="1" t="s">
        <v>14615</v>
      </c>
      <c r="I3094" s="1">
        <v>113152.0</v>
      </c>
      <c r="J3094" s="1" t="s">
        <v>14616</v>
      </c>
      <c r="K3094" s="1" t="s">
        <v>14617</v>
      </c>
      <c r="L3094" s="1">
        <v>1416.0</v>
      </c>
      <c r="M3094" s="1" t="s">
        <v>35</v>
      </c>
      <c r="N3094" s="1" t="s">
        <v>36</v>
      </c>
      <c r="O3094" s="1" t="s">
        <v>628</v>
      </c>
      <c r="P3094" s="1">
        <v>6000000.0</v>
      </c>
      <c r="Q3094" s="1">
        <v>2004.0</v>
      </c>
      <c r="R3094" s="1">
        <v>503.0</v>
      </c>
      <c r="S3094" s="1">
        <v>328.0</v>
      </c>
      <c r="T3094" s="1">
        <v>282.0</v>
      </c>
      <c r="U3094" s="1">
        <v>1448.0</v>
      </c>
      <c r="V3094" s="1">
        <v>909.0</v>
      </c>
      <c r="W3094" s="1">
        <v>0.0</v>
      </c>
      <c r="X3094" s="1">
        <v>0.0</v>
      </c>
      <c r="Y3094" s="1">
        <v>1.85</v>
      </c>
      <c r="Z3094" s="1">
        <v>7.5</v>
      </c>
    </row>
    <row r="3095" ht="14.25" customHeight="1">
      <c r="A3095" s="1" t="s">
        <v>26</v>
      </c>
      <c r="B3095" s="1" t="s">
        <v>14618</v>
      </c>
      <c r="C3095" s="1" t="s">
        <v>14619</v>
      </c>
      <c r="D3095" s="1">
        <v>1.023089E8</v>
      </c>
      <c r="E3095" s="1" t="s">
        <v>14620</v>
      </c>
      <c r="F3095" s="1" t="s">
        <v>14621</v>
      </c>
      <c r="G3095" s="1" t="s">
        <v>14622</v>
      </c>
      <c r="H3095" s="1" t="s">
        <v>14623</v>
      </c>
      <c r="I3095" s="1">
        <v>152089.0</v>
      </c>
      <c r="J3095" s="1" t="s">
        <v>14624</v>
      </c>
      <c r="K3095" s="1" t="s">
        <v>14625</v>
      </c>
      <c r="L3095" s="1">
        <v>309.0</v>
      </c>
      <c r="M3095" s="1" t="s">
        <v>35</v>
      </c>
      <c r="N3095" s="1" t="s">
        <v>36</v>
      </c>
      <c r="O3095" s="1" t="s">
        <v>13986</v>
      </c>
      <c r="P3095" s="1">
        <v>6000000.0</v>
      </c>
      <c r="Q3095" s="1">
        <v>1969.0</v>
      </c>
      <c r="R3095" s="1">
        <v>640.0</v>
      </c>
      <c r="S3095" s="1">
        <v>566.0</v>
      </c>
      <c r="T3095" s="1">
        <v>399.0</v>
      </c>
      <c r="U3095" s="1">
        <v>2169.0</v>
      </c>
      <c r="V3095" s="1">
        <v>131.0</v>
      </c>
      <c r="W3095" s="1">
        <v>0.0</v>
      </c>
      <c r="X3095" s="1">
        <v>1.0</v>
      </c>
      <c r="Y3095" s="1">
        <v>2.35</v>
      </c>
      <c r="Z3095" s="1">
        <v>8.1</v>
      </c>
    </row>
    <row r="3096" ht="14.25" customHeight="1">
      <c r="A3096" s="1" t="s">
        <v>26</v>
      </c>
      <c r="B3096" s="1" t="s">
        <v>14626</v>
      </c>
      <c r="C3096" s="1" t="s">
        <v>14627</v>
      </c>
      <c r="D3096" s="1">
        <v>1.023E8</v>
      </c>
      <c r="E3096" s="1" t="s">
        <v>14628</v>
      </c>
      <c r="F3096" s="1" t="s">
        <v>14629</v>
      </c>
      <c r="G3096" s="1" t="s">
        <v>14630</v>
      </c>
      <c r="H3096" s="1" t="s">
        <v>14631</v>
      </c>
      <c r="I3096" s="1">
        <v>107408.0</v>
      </c>
      <c r="J3096" s="1" t="s">
        <v>14632</v>
      </c>
      <c r="K3096" s="1" t="s">
        <v>14633</v>
      </c>
      <c r="L3096" s="1">
        <v>259.0</v>
      </c>
      <c r="M3096" s="1" t="s">
        <v>35</v>
      </c>
      <c r="N3096" s="1" t="s">
        <v>36</v>
      </c>
      <c r="O3096" s="1" t="s">
        <v>5661</v>
      </c>
      <c r="P3096" s="1">
        <v>6000000.0</v>
      </c>
      <c r="Q3096" s="1">
        <v>1964.0</v>
      </c>
      <c r="R3096" s="1">
        <v>382.0</v>
      </c>
      <c r="S3096" s="1">
        <v>279.0</v>
      </c>
      <c r="T3096" s="1">
        <v>266.0</v>
      </c>
      <c r="U3096" s="1">
        <v>2045.0</v>
      </c>
      <c r="V3096" s="1">
        <v>55.0</v>
      </c>
      <c r="W3096" s="1">
        <v>0.0</v>
      </c>
      <c r="X3096" s="1">
        <v>2.0</v>
      </c>
      <c r="Y3096" s="1">
        <v>1.66</v>
      </c>
      <c r="Z3096" s="1">
        <v>7.8</v>
      </c>
    </row>
    <row r="3097" ht="14.25" customHeight="1">
      <c r="A3097" s="1" t="s">
        <v>26</v>
      </c>
      <c r="B3097" s="1" t="s">
        <v>3834</v>
      </c>
      <c r="C3097" s="1" t="s">
        <v>14634</v>
      </c>
      <c r="D3097" s="1">
        <v>5.48E7</v>
      </c>
      <c r="E3097" s="1" t="s">
        <v>3238</v>
      </c>
      <c r="F3097" s="1" t="s">
        <v>1453</v>
      </c>
      <c r="G3097" s="1" t="s">
        <v>8301</v>
      </c>
      <c r="H3097" s="1" t="s">
        <v>611</v>
      </c>
      <c r="I3097" s="1">
        <v>35130.0</v>
      </c>
      <c r="J3097" s="1" t="s">
        <v>14635</v>
      </c>
      <c r="K3097" s="1" t="s">
        <v>14636</v>
      </c>
      <c r="L3097" s="1">
        <v>283.0</v>
      </c>
      <c r="M3097" s="1" t="s">
        <v>35</v>
      </c>
      <c r="N3097" s="1" t="s">
        <v>36</v>
      </c>
      <c r="O3097" s="1" t="s">
        <v>628</v>
      </c>
      <c r="P3097" s="1">
        <v>6000000.0</v>
      </c>
      <c r="Q3097" s="1">
        <v>1980.0</v>
      </c>
      <c r="R3097" s="1">
        <v>2000.0</v>
      </c>
      <c r="S3097" s="1">
        <v>553.0</v>
      </c>
      <c r="T3097" s="1">
        <v>535.0</v>
      </c>
      <c r="U3097" s="1">
        <v>5122.0</v>
      </c>
      <c r="V3097" s="1">
        <v>0.0</v>
      </c>
      <c r="W3097" s="1">
        <v>0.0</v>
      </c>
      <c r="X3097" s="1">
        <v>3.0</v>
      </c>
      <c r="Y3097" s="1">
        <v>1.85</v>
      </c>
      <c r="Z3097" s="1">
        <v>7.8</v>
      </c>
    </row>
    <row r="3098" ht="14.25" customHeight="1">
      <c r="A3098" s="1" t="s">
        <v>26</v>
      </c>
      <c r="B3098" s="1" t="s">
        <v>1549</v>
      </c>
      <c r="C3098" s="1" t="s">
        <v>1550</v>
      </c>
      <c r="D3098" s="1">
        <v>2.4004159E7</v>
      </c>
      <c r="E3098" s="1" t="s">
        <v>1551</v>
      </c>
      <c r="F3098" s="1" t="s">
        <v>385</v>
      </c>
      <c r="G3098" s="1" t="s">
        <v>776</v>
      </c>
      <c r="H3098" s="1" t="s">
        <v>1552</v>
      </c>
      <c r="I3098" s="1">
        <v>68722.0</v>
      </c>
      <c r="J3098" s="1" t="s">
        <v>1553</v>
      </c>
      <c r="K3098" s="1" t="s">
        <v>1554</v>
      </c>
      <c r="L3098" s="1">
        <v>191.0</v>
      </c>
      <c r="M3098" s="1" t="s">
        <v>35</v>
      </c>
      <c r="N3098" s="1" t="s">
        <v>36</v>
      </c>
      <c r="O3098" s="1" t="s">
        <v>87</v>
      </c>
      <c r="P3098" s="1">
        <v>1.1E8</v>
      </c>
      <c r="Q3098" s="1">
        <v>2004.0</v>
      </c>
      <c r="R3098" s="1">
        <v>1000.0</v>
      </c>
      <c r="S3098" s="1">
        <v>1000.0</v>
      </c>
      <c r="T3098" s="1">
        <v>447.0</v>
      </c>
      <c r="U3098" s="1">
        <v>3175.0</v>
      </c>
      <c r="V3098" s="1">
        <v>153.0</v>
      </c>
      <c r="W3098" s="1">
        <v>0.0</v>
      </c>
      <c r="X3098" s="1">
        <v>0.0</v>
      </c>
      <c r="Y3098" s="1">
        <v>2.35</v>
      </c>
      <c r="Z3098" s="1">
        <v>5.8</v>
      </c>
    </row>
    <row r="3099" ht="14.25" customHeight="1">
      <c r="A3099" s="1" t="s">
        <v>26</v>
      </c>
      <c r="B3099" s="1" t="s">
        <v>14637</v>
      </c>
      <c r="C3099" s="1" t="s">
        <v>14638</v>
      </c>
      <c r="D3099" s="1">
        <v>4.365E7</v>
      </c>
      <c r="E3099" s="1" t="s">
        <v>14639</v>
      </c>
      <c r="F3099" s="1" t="s">
        <v>14640</v>
      </c>
      <c r="G3099" s="1" t="s">
        <v>14641</v>
      </c>
      <c r="H3099" s="1" t="s">
        <v>14642</v>
      </c>
      <c r="I3099" s="1">
        <v>71919.0</v>
      </c>
      <c r="J3099" s="1" t="s">
        <v>14643</v>
      </c>
      <c r="K3099" s="1" t="s">
        <v>14644</v>
      </c>
      <c r="L3099" s="1">
        <v>316.0</v>
      </c>
      <c r="M3099" s="1" t="s">
        <v>35</v>
      </c>
      <c r="N3099" s="1" t="s">
        <v>36</v>
      </c>
      <c r="O3099" s="1" t="s">
        <v>12164</v>
      </c>
      <c r="P3099" s="1">
        <v>6000000.0</v>
      </c>
      <c r="Q3099" s="1">
        <v>1961.0</v>
      </c>
      <c r="R3099" s="1">
        <v>804.0</v>
      </c>
      <c r="S3099" s="1">
        <v>271.0</v>
      </c>
      <c r="T3099" s="1">
        <v>249.0</v>
      </c>
      <c r="U3099" s="1">
        <v>1802.0</v>
      </c>
      <c r="V3099" s="1">
        <v>34.0</v>
      </c>
      <c r="W3099" s="1">
        <v>0.0</v>
      </c>
      <c r="X3099" s="1">
        <v>0.0</v>
      </c>
      <c r="Y3099" s="1">
        <v>2.2</v>
      </c>
      <c r="Z3099" s="1">
        <v>7.6</v>
      </c>
    </row>
    <row r="3100" ht="14.25" customHeight="1">
      <c r="A3100" s="1" t="s">
        <v>26</v>
      </c>
      <c r="B3100" s="1" t="s">
        <v>4006</v>
      </c>
      <c r="C3100" s="1" t="s">
        <v>14645</v>
      </c>
      <c r="D3100" s="1">
        <v>3.98E7</v>
      </c>
      <c r="E3100" s="1" t="s">
        <v>3714</v>
      </c>
      <c r="F3100" s="1" t="s">
        <v>534</v>
      </c>
      <c r="G3100" s="1" t="s">
        <v>14646</v>
      </c>
      <c r="H3100" s="1" t="s">
        <v>5252</v>
      </c>
      <c r="I3100" s="1">
        <v>81599.0</v>
      </c>
      <c r="J3100" s="1" t="s">
        <v>14647</v>
      </c>
      <c r="K3100" s="1" t="s">
        <v>14648</v>
      </c>
      <c r="L3100" s="1">
        <v>250.0</v>
      </c>
      <c r="M3100" s="1" t="s">
        <v>35</v>
      </c>
      <c r="N3100" s="1" t="s">
        <v>36</v>
      </c>
      <c r="O3100" s="1" t="s">
        <v>628</v>
      </c>
      <c r="P3100" s="1">
        <v>6000000.0</v>
      </c>
      <c r="Q3100" s="1">
        <v>1980.0</v>
      </c>
      <c r="R3100" s="1">
        <v>13000.0</v>
      </c>
      <c r="S3100" s="1">
        <v>573.0</v>
      </c>
      <c r="T3100" s="1">
        <v>484.0</v>
      </c>
      <c r="U3100" s="1">
        <v>14921.0</v>
      </c>
      <c r="V3100" s="1">
        <v>11000.0</v>
      </c>
      <c r="W3100" s="1">
        <v>0.0</v>
      </c>
      <c r="X3100" s="1">
        <v>3.0</v>
      </c>
      <c r="Y3100" s="1">
        <v>1.85</v>
      </c>
      <c r="Z3100" s="1">
        <v>7.4</v>
      </c>
    </row>
    <row r="3101" ht="14.25" customHeight="1">
      <c r="A3101" s="1" t="s">
        <v>26</v>
      </c>
      <c r="B3101" s="1" t="s">
        <v>14649</v>
      </c>
      <c r="C3101" s="1" t="s">
        <v>14650</v>
      </c>
      <c r="D3101" s="1">
        <v>2.7457409E7</v>
      </c>
      <c r="E3101" s="1" t="s">
        <v>2422</v>
      </c>
      <c r="F3101" s="1" t="s">
        <v>7200</v>
      </c>
      <c r="G3101" s="1" t="s">
        <v>8446</v>
      </c>
      <c r="H3101" s="1" t="s">
        <v>1583</v>
      </c>
      <c r="I3101" s="1">
        <v>3198.0</v>
      </c>
      <c r="J3101" s="1" t="s">
        <v>14651</v>
      </c>
      <c r="K3101" s="1" t="s">
        <v>14652</v>
      </c>
      <c r="L3101" s="1">
        <v>43.0</v>
      </c>
      <c r="M3101" s="1" t="s">
        <v>35</v>
      </c>
      <c r="N3101" s="1" t="s">
        <v>36</v>
      </c>
      <c r="O3101" s="1" t="s">
        <v>628</v>
      </c>
      <c r="P3101" s="1">
        <v>6000000.0</v>
      </c>
      <c r="Q3101" s="1">
        <v>2001.0</v>
      </c>
      <c r="R3101" s="1">
        <v>3000.0</v>
      </c>
      <c r="S3101" s="1">
        <v>685.0</v>
      </c>
      <c r="T3101" s="1">
        <v>578.0</v>
      </c>
      <c r="U3101" s="1">
        <v>6419.0</v>
      </c>
      <c r="V3101" s="1">
        <v>10.0</v>
      </c>
      <c r="W3101" s="1">
        <v>478.0</v>
      </c>
      <c r="X3101" s="1">
        <v>4.0</v>
      </c>
      <c r="Y3101" s="1">
        <v>1.85</v>
      </c>
      <c r="Z3101" s="1">
        <v>6.3</v>
      </c>
    </row>
    <row r="3102" ht="14.25" customHeight="1">
      <c r="A3102" s="1" t="s">
        <v>26</v>
      </c>
      <c r="B3102" s="1" t="s">
        <v>12073</v>
      </c>
      <c r="C3102" s="1" t="s">
        <v>14653</v>
      </c>
      <c r="D3102" s="1">
        <v>2.5047631E7</v>
      </c>
      <c r="E3102" s="1" t="s">
        <v>1359</v>
      </c>
      <c r="F3102" s="1" t="s">
        <v>5606</v>
      </c>
      <c r="G3102" s="1" t="s">
        <v>6719</v>
      </c>
      <c r="H3102" s="1" t="s">
        <v>7124</v>
      </c>
      <c r="I3102" s="1">
        <v>6585.0</v>
      </c>
      <c r="J3102" s="1" t="s">
        <v>14654</v>
      </c>
      <c r="K3102" s="1" t="s">
        <v>14655</v>
      </c>
      <c r="L3102" s="1">
        <v>50.0</v>
      </c>
      <c r="M3102" s="1" t="s">
        <v>35</v>
      </c>
      <c r="N3102" s="1" t="s">
        <v>36</v>
      </c>
      <c r="O3102" s="1" t="s">
        <v>628</v>
      </c>
      <c r="P3102" s="1">
        <v>6000000.0</v>
      </c>
      <c r="Q3102" s="1">
        <v>1999.0</v>
      </c>
      <c r="R3102" s="1">
        <v>865.0</v>
      </c>
      <c r="S3102" s="1">
        <v>405.0</v>
      </c>
      <c r="T3102" s="1">
        <v>328.0</v>
      </c>
      <c r="U3102" s="1">
        <v>2724.0</v>
      </c>
      <c r="V3102" s="1">
        <v>44.0</v>
      </c>
      <c r="W3102" s="1">
        <v>990.0</v>
      </c>
      <c r="X3102" s="1">
        <v>0.0</v>
      </c>
      <c r="Y3102" s="1">
        <v>1.85</v>
      </c>
      <c r="Z3102" s="1">
        <v>6.9</v>
      </c>
    </row>
    <row r="3103" ht="14.25" customHeight="1">
      <c r="A3103" s="1" t="s">
        <v>26</v>
      </c>
      <c r="B3103" s="1" t="s">
        <v>110</v>
      </c>
      <c r="C3103" s="1" t="s">
        <v>14656</v>
      </c>
      <c r="D3103" s="1">
        <v>2.3272306E7</v>
      </c>
      <c r="E3103" s="1" t="s">
        <v>2061</v>
      </c>
      <c r="F3103" s="1" t="s">
        <v>112</v>
      </c>
      <c r="G3103" s="1" t="s">
        <v>1576</v>
      </c>
      <c r="H3103" s="1" t="s">
        <v>3070</v>
      </c>
      <c r="I3103" s="1">
        <v>740918.0</v>
      </c>
      <c r="J3103" s="1" t="s">
        <v>14657</v>
      </c>
      <c r="K3103" s="1" t="s">
        <v>14658</v>
      </c>
      <c r="L3103" s="1">
        <v>1182.0</v>
      </c>
      <c r="M3103" s="1" t="s">
        <v>35</v>
      </c>
      <c r="N3103" s="1" t="s">
        <v>36</v>
      </c>
      <c r="O3103" s="1" t="s">
        <v>628</v>
      </c>
      <c r="P3103" s="1">
        <v>6000000.0</v>
      </c>
      <c r="Q3103" s="1">
        <v>1995.0</v>
      </c>
      <c r="R3103" s="1">
        <v>18000.0</v>
      </c>
      <c r="S3103" s="1">
        <v>979.0</v>
      </c>
      <c r="T3103" s="1">
        <v>574.0</v>
      </c>
      <c r="U3103" s="1">
        <v>20821.0</v>
      </c>
      <c r="V3103" s="1">
        <v>0.0</v>
      </c>
      <c r="W3103" s="1">
        <v>28000.0</v>
      </c>
      <c r="X3103" s="1">
        <v>4.0</v>
      </c>
      <c r="Y3103" s="1">
        <v>2.35</v>
      </c>
      <c r="Z3103" s="1">
        <v>8.6</v>
      </c>
    </row>
    <row r="3104" ht="14.25" customHeight="1">
      <c r="A3104" s="1" t="s">
        <v>710</v>
      </c>
      <c r="B3104" s="1" t="s">
        <v>2604</v>
      </c>
      <c r="C3104" s="1" t="s">
        <v>14659</v>
      </c>
      <c r="D3104" s="1">
        <v>2.2168359E7</v>
      </c>
      <c r="E3104" s="1" t="s">
        <v>14660</v>
      </c>
      <c r="F3104" s="1" t="s">
        <v>14661</v>
      </c>
      <c r="G3104" s="1" t="s">
        <v>14662</v>
      </c>
      <c r="H3104" s="1" t="s">
        <v>14663</v>
      </c>
      <c r="I3104" s="1">
        <v>29659.0</v>
      </c>
      <c r="J3104" s="1" t="s">
        <v>14664</v>
      </c>
      <c r="K3104" s="1" t="s">
        <v>14665</v>
      </c>
      <c r="L3104" s="1">
        <v>227.0</v>
      </c>
      <c r="M3104" s="1" t="s">
        <v>35</v>
      </c>
      <c r="N3104" s="1" t="s">
        <v>36</v>
      </c>
      <c r="O3104" s="1" t="s">
        <v>6886</v>
      </c>
      <c r="P3104" s="1">
        <v>8000000.0</v>
      </c>
      <c r="Q3104" s="1">
        <v>1989.0</v>
      </c>
      <c r="R3104" s="1">
        <v>321.0</v>
      </c>
      <c r="S3104" s="1">
        <v>101.0</v>
      </c>
      <c r="T3104" s="1">
        <v>92.0</v>
      </c>
      <c r="U3104" s="1">
        <v>584.0</v>
      </c>
      <c r="V3104" s="1">
        <v>81.0</v>
      </c>
      <c r="W3104" s="1">
        <v>1000.0</v>
      </c>
      <c r="X3104" s="1">
        <v>0.0</v>
      </c>
      <c r="Y3104" s="1">
        <v>1.85</v>
      </c>
      <c r="Z3104" s="1">
        <v>5.1</v>
      </c>
    </row>
    <row r="3105" ht="14.25" customHeight="1">
      <c r="A3105" s="1" t="s">
        <v>26</v>
      </c>
      <c r="B3105" s="1" t="s">
        <v>2081</v>
      </c>
      <c r="C3105" s="1" t="s">
        <v>14666</v>
      </c>
      <c r="D3105" s="1">
        <v>2.1005329E7</v>
      </c>
      <c r="E3105" s="1" t="s">
        <v>1598</v>
      </c>
      <c r="F3105" s="1" t="s">
        <v>307</v>
      </c>
      <c r="G3105" s="1" t="s">
        <v>5972</v>
      </c>
      <c r="H3105" s="1" t="s">
        <v>14667</v>
      </c>
      <c r="I3105" s="1">
        <v>89128.0</v>
      </c>
      <c r="J3105" s="1" t="s">
        <v>14668</v>
      </c>
      <c r="K3105" s="1" t="s">
        <v>14669</v>
      </c>
      <c r="L3105" s="1">
        <v>258.0</v>
      </c>
      <c r="M3105" s="1" t="s">
        <v>35</v>
      </c>
      <c r="N3105" s="1" t="s">
        <v>730</v>
      </c>
      <c r="O3105" s="1" t="s">
        <v>628</v>
      </c>
      <c r="P3105" s="1">
        <v>6000000.0</v>
      </c>
      <c r="Q3105" s="1">
        <v>2002.0</v>
      </c>
      <c r="R3105" s="1">
        <v>16000.0</v>
      </c>
      <c r="S3105" s="1">
        <v>876.0</v>
      </c>
      <c r="T3105" s="1">
        <v>583.0</v>
      </c>
      <c r="U3105" s="1">
        <v>19341.0</v>
      </c>
      <c r="V3105" s="1">
        <v>12.0</v>
      </c>
      <c r="W3105" s="1">
        <v>0.0</v>
      </c>
      <c r="X3105" s="1">
        <v>0.0</v>
      </c>
      <c r="Y3105" s="1">
        <v>1.85</v>
      </c>
      <c r="Z3105" s="1">
        <v>6.4</v>
      </c>
    </row>
    <row r="3106" ht="14.25" customHeight="1">
      <c r="A3106" s="1" t="s">
        <v>26</v>
      </c>
      <c r="B3106" s="1" t="s">
        <v>1159</v>
      </c>
      <c r="C3106" s="1" t="s">
        <v>14670</v>
      </c>
      <c r="D3106" s="1">
        <v>2.6236603E7</v>
      </c>
      <c r="E3106" s="1" t="s">
        <v>3598</v>
      </c>
      <c r="F3106" s="1" t="s">
        <v>1739</v>
      </c>
      <c r="G3106" s="1" t="s">
        <v>14671</v>
      </c>
      <c r="H3106" s="1" t="s">
        <v>14672</v>
      </c>
      <c r="I3106" s="1">
        <v>251349.0</v>
      </c>
      <c r="J3106" s="1" t="s">
        <v>14673</v>
      </c>
      <c r="K3106" s="1" t="s">
        <v>14674</v>
      </c>
      <c r="L3106" s="1">
        <v>547.0</v>
      </c>
      <c r="M3106" s="1" t="s">
        <v>35</v>
      </c>
      <c r="N3106" s="1" t="s">
        <v>36</v>
      </c>
      <c r="O3106" s="1" t="s">
        <v>628</v>
      </c>
      <c r="P3106" s="1">
        <v>6000000.0</v>
      </c>
      <c r="Q3106" s="1">
        <v>2008.0</v>
      </c>
      <c r="R3106" s="1">
        <v>1000.0</v>
      </c>
      <c r="S3106" s="1">
        <v>245.0</v>
      </c>
      <c r="T3106" s="1">
        <v>120.0</v>
      </c>
      <c r="U3106" s="1">
        <v>1582.0</v>
      </c>
      <c r="V3106" s="1">
        <v>0.0</v>
      </c>
      <c r="W3106" s="1">
        <v>10000.0</v>
      </c>
      <c r="X3106" s="1">
        <v>0.0</v>
      </c>
      <c r="Y3106" s="1">
        <v>2.35</v>
      </c>
      <c r="Z3106" s="1">
        <v>7.9</v>
      </c>
    </row>
    <row r="3107" ht="14.25" customHeight="1">
      <c r="A3107" s="1" t="s">
        <v>26</v>
      </c>
      <c r="B3107" s="1" t="s">
        <v>14675</v>
      </c>
      <c r="C3107" s="1" t="s">
        <v>14676</v>
      </c>
      <c r="D3107" s="1">
        <v>2.04E7</v>
      </c>
      <c r="E3107" s="1" t="s">
        <v>3836</v>
      </c>
      <c r="F3107" s="1" t="s">
        <v>8957</v>
      </c>
      <c r="G3107" s="1" t="s">
        <v>14677</v>
      </c>
      <c r="H3107" s="1" t="s">
        <v>14678</v>
      </c>
      <c r="I3107" s="1">
        <v>6304.0</v>
      </c>
      <c r="J3107" s="1" t="s">
        <v>14679</v>
      </c>
      <c r="K3107" s="1" t="s">
        <v>14680</v>
      </c>
      <c r="L3107" s="1">
        <v>87.0</v>
      </c>
      <c r="M3107" s="1" t="s">
        <v>35</v>
      </c>
      <c r="N3107" s="1" t="s">
        <v>36</v>
      </c>
      <c r="O3107" s="1" t="s">
        <v>12164</v>
      </c>
      <c r="P3107" s="1">
        <v>8000000.0</v>
      </c>
      <c r="Q3107" s="1">
        <v>1946.0</v>
      </c>
      <c r="R3107" s="1">
        <v>469.0</v>
      </c>
      <c r="S3107" s="1">
        <v>436.0</v>
      </c>
      <c r="T3107" s="1">
        <v>332.0</v>
      </c>
      <c r="U3107" s="1">
        <v>2037.0</v>
      </c>
      <c r="V3107" s="1">
        <v>54.0</v>
      </c>
      <c r="W3107" s="1">
        <v>403.0</v>
      </c>
      <c r="X3107" s="1">
        <v>0.0</v>
      </c>
      <c r="Y3107" s="1">
        <v>1.37</v>
      </c>
      <c r="Z3107" s="1">
        <v>6.9</v>
      </c>
    </row>
    <row r="3108" ht="14.25" customHeight="1">
      <c r="A3108" s="1" t="s">
        <v>26</v>
      </c>
      <c r="B3108" s="1" t="s">
        <v>10290</v>
      </c>
      <c r="C3108" s="1" t="s">
        <v>14681</v>
      </c>
      <c r="D3108" s="1">
        <v>1.8621249E7</v>
      </c>
      <c r="E3108" s="1" t="s">
        <v>1885</v>
      </c>
      <c r="F3108" s="1" t="s">
        <v>973</v>
      </c>
      <c r="G3108" s="1" t="s">
        <v>1719</v>
      </c>
      <c r="H3108" s="1" t="s">
        <v>2658</v>
      </c>
      <c r="I3108" s="1">
        <v>45859.0</v>
      </c>
      <c r="J3108" s="1" t="s">
        <v>14682</v>
      </c>
      <c r="K3108" s="1" t="s">
        <v>14683</v>
      </c>
      <c r="L3108" s="1">
        <v>340.0</v>
      </c>
      <c r="M3108" s="1" t="s">
        <v>35</v>
      </c>
      <c r="N3108" s="1" t="s">
        <v>36</v>
      </c>
      <c r="O3108" s="1" t="s">
        <v>37</v>
      </c>
      <c r="P3108" s="1">
        <v>6000000.0</v>
      </c>
      <c r="Q3108" s="1">
        <v>2000.0</v>
      </c>
      <c r="R3108" s="1">
        <v>957.0</v>
      </c>
      <c r="S3108" s="1">
        <v>925.0</v>
      </c>
      <c r="T3108" s="1">
        <v>658.0</v>
      </c>
      <c r="U3108" s="1">
        <v>4611.0</v>
      </c>
      <c r="V3108" s="1">
        <v>378.0</v>
      </c>
      <c r="W3108" s="1">
        <v>0.0</v>
      </c>
      <c r="X3108" s="1">
        <v>9.0</v>
      </c>
      <c r="Y3108" s="1">
        <v>1.85</v>
      </c>
      <c r="Z3108" s="1">
        <v>7.5</v>
      </c>
    </row>
    <row r="3109" ht="14.25" customHeight="1">
      <c r="A3109" s="1" t="s">
        <v>26</v>
      </c>
      <c r="B3109" s="1" t="s">
        <v>5073</v>
      </c>
      <c r="C3109" s="1" t="s">
        <v>14684</v>
      </c>
      <c r="D3109" s="1">
        <v>2.52447E7</v>
      </c>
      <c r="E3109" s="1" t="s">
        <v>623</v>
      </c>
      <c r="F3109" s="1" t="s">
        <v>9365</v>
      </c>
      <c r="G3109" s="1" t="s">
        <v>13810</v>
      </c>
      <c r="H3109" s="1" t="s">
        <v>14685</v>
      </c>
      <c r="I3109" s="1">
        <v>91017.0</v>
      </c>
      <c r="J3109" s="1" t="s">
        <v>14686</v>
      </c>
      <c r="K3109" s="1" t="s">
        <v>14687</v>
      </c>
      <c r="L3109" s="1">
        <v>284.0</v>
      </c>
      <c r="M3109" s="1" t="s">
        <v>35</v>
      </c>
      <c r="N3109" s="1" t="s">
        <v>54</v>
      </c>
      <c r="O3109" s="1" t="s">
        <v>628</v>
      </c>
      <c r="P3109" s="1">
        <v>6000000.0</v>
      </c>
      <c r="Q3109" s="1">
        <v>1981.0</v>
      </c>
      <c r="R3109" s="1">
        <v>742.0</v>
      </c>
      <c r="S3109" s="1">
        <v>602.0</v>
      </c>
      <c r="T3109" s="1">
        <v>381.0</v>
      </c>
      <c r="U3109" s="1">
        <v>2270.0</v>
      </c>
      <c r="V3109" s="1">
        <v>0.0</v>
      </c>
      <c r="W3109" s="1">
        <v>0.0</v>
      </c>
      <c r="X3109" s="1">
        <v>1.0</v>
      </c>
      <c r="Y3109" s="1">
        <v>2.35</v>
      </c>
      <c r="Z3109" s="1">
        <v>7.2</v>
      </c>
    </row>
    <row r="3110" ht="14.25" customHeight="1">
      <c r="A3110" s="1" t="s">
        <v>26</v>
      </c>
      <c r="B3110" s="1" t="s">
        <v>4801</v>
      </c>
      <c r="C3110" s="1" t="s">
        <v>14688</v>
      </c>
      <c r="D3110" s="1">
        <v>1.4545844E7</v>
      </c>
      <c r="E3110" s="1" t="s">
        <v>14513</v>
      </c>
      <c r="F3110" s="1" t="s">
        <v>7860</v>
      </c>
      <c r="G3110" s="1" t="s">
        <v>14689</v>
      </c>
      <c r="H3110" s="1" t="s">
        <v>6598</v>
      </c>
      <c r="I3110" s="1">
        <v>4756.0</v>
      </c>
      <c r="J3110" s="1" t="s">
        <v>14690</v>
      </c>
      <c r="K3110" s="1" t="s">
        <v>14691</v>
      </c>
      <c r="L3110" s="1">
        <v>38.0</v>
      </c>
      <c r="M3110" s="1" t="s">
        <v>35</v>
      </c>
      <c r="N3110" s="1" t="s">
        <v>36</v>
      </c>
      <c r="O3110" s="1" t="s">
        <v>628</v>
      </c>
      <c r="P3110" s="1">
        <v>6500000.0</v>
      </c>
      <c r="Q3110" s="1">
        <v>1988.0</v>
      </c>
      <c r="R3110" s="1">
        <v>413.0</v>
      </c>
      <c r="S3110" s="1">
        <v>282.0</v>
      </c>
      <c r="T3110" s="1">
        <v>182.0</v>
      </c>
      <c r="U3110" s="1">
        <v>1284.0</v>
      </c>
      <c r="V3110" s="1">
        <v>0.0</v>
      </c>
      <c r="W3110" s="1">
        <v>624.0</v>
      </c>
      <c r="X3110" s="1">
        <v>4.0</v>
      </c>
      <c r="Y3110" s="1">
        <v>1.85</v>
      </c>
      <c r="Z3110" s="1">
        <v>5.8</v>
      </c>
    </row>
    <row r="3111" ht="14.25" customHeight="1">
      <c r="A3111" s="1" t="s">
        <v>26</v>
      </c>
      <c r="B3111" s="1" t="s">
        <v>14692</v>
      </c>
      <c r="C3111" s="1" t="s">
        <v>14693</v>
      </c>
      <c r="D3111" s="1">
        <v>1.3235267E7</v>
      </c>
      <c r="E3111" s="1" t="s">
        <v>2904</v>
      </c>
      <c r="F3111" s="1" t="s">
        <v>10201</v>
      </c>
      <c r="G3111" s="1" t="s">
        <v>5252</v>
      </c>
      <c r="H3111" s="1" t="s">
        <v>6719</v>
      </c>
      <c r="I3111" s="1">
        <v>12339.0</v>
      </c>
      <c r="J3111" s="1" t="s">
        <v>14694</v>
      </c>
      <c r="K3111" s="1" t="s">
        <v>14695</v>
      </c>
      <c r="L3111" s="1">
        <v>32.0</v>
      </c>
      <c r="M3111" s="1" t="s">
        <v>35</v>
      </c>
      <c r="N3111" s="1" t="s">
        <v>36</v>
      </c>
      <c r="O3111" s="1" t="s">
        <v>87</v>
      </c>
      <c r="P3111" s="1">
        <v>6000000.0</v>
      </c>
      <c r="Q3111" s="1">
        <v>2007.0</v>
      </c>
      <c r="R3111" s="1">
        <v>555.0</v>
      </c>
      <c r="S3111" s="1">
        <v>484.0</v>
      </c>
      <c r="T3111" s="1">
        <v>405.0</v>
      </c>
      <c r="U3111" s="1">
        <v>1752.0</v>
      </c>
      <c r="V3111" s="1">
        <v>0.0</v>
      </c>
      <c r="W3111" s="1">
        <v>256.0</v>
      </c>
      <c r="X3111" s="1">
        <v>2.0</v>
      </c>
      <c r="Y3111" s="1">
        <v>1.85</v>
      </c>
      <c r="Z3111" s="1">
        <v>2.9</v>
      </c>
    </row>
    <row r="3112" ht="14.25" customHeight="1">
      <c r="A3112" s="1" t="s">
        <v>26</v>
      </c>
      <c r="B3112" s="1" t="s">
        <v>4022</v>
      </c>
      <c r="C3112" s="1" t="s">
        <v>14696</v>
      </c>
      <c r="D3112" s="1">
        <v>1.2793213E7</v>
      </c>
      <c r="E3112" s="1" t="s">
        <v>1359</v>
      </c>
      <c r="F3112" s="1" t="s">
        <v>1459</v>
      </c>
      <c r="G3112" s="1" t="s">
        <v>2547</v>
      </c>
      <c r="H3112" s="1" t="s">
        <v>4764</v>
      </c>
      <c r="I3112" s="1">
        <v>18286.0</v>
      </c>
      <c r="J3112" s="1" t="s">
        <v>14697</v>
      </c>
      <c r="K3112" s="1" t="s">
        <v>14698</v>
      </c>
      <c r="L3112" s="1">
        <v>73.0</v>
      </c>
      <c r="M3112" s="1" t="s">
        <v>35</v>
      </c>
      <c r="N3112" s="1" t="s">
        <v>36</v>
      </c>
      <c r="O3112" s="1" t="s">
        <v>628</v>
      </c>
      <c r="P3112" s="1">
        <v>6000000.0</v>
      </c>
      <c r="Q3112" s="1">
        <v>1988.0</v>
      </c>
      <c r="R3112" s="1">
        <v>8000.0</v>
      </c>
      <c r="S3112" s="1">
        <v>960.0</v>
      </c>
      <c r="T3112" s="1">
        <v>658.0</v>
      </c>
      <c r="U3112" s="1">
        <v>10430.0</v>
      </c>
      <c r="V3112" s="1">
        <v>80.0</v>
      </c>
      <c r="W3112" s="1">
        <v>0.0</v>
      </c>
      <c r="X3112" s="1">
        <v>4.0</v>
      </c>
      <c r="Y3112" s="1">
        <v>1.85</v>
      </c>
      <c r="Z3112" s="1">
        <v>6.2</v>
      </c>
    </row>
    <row r="3113" ht="14.25" customHeight="1">
      <c r="A3113" s="1" t="s">
        <v>26</v>
      </c>
      <c r="B3113" s="1" t="s">
        <v>5504</v>
      </c>
      <c r="C3113" s="1" t="s">
        <v>14699</v>
      </c>
      <c r="D3113" s="1">
        <v>1.1883495E7</v>
      </c>
      <c r="E3113" s="1" t="s">
        <v>2391</v>
      </c>
      <c r="F3113" s="1" t="s">
        <v>515</v>
      </c>
      <c r="G3113" s="1" t="s">
        <v>3416</v>
      </c>
      <c r="H3113" s="1" t="s">
        <v>14700</v>
      </c>
      <c r="I3113" s="1">
        <v>52805.0</v>
      </c>
      <c r="J3113" s="1" t="s">
        <v>14701</v>
      </c>
      <c r="K3113" s="1" t="s">
        <v>14702</v>
      </c>
      <c r="L3113" s="1">
        <v>278.0</v>
      </c>
      <c r="M3113" s="1" t="s">
        <v>35</v>
      </c>
      <c r="N3113" s="1" t="s">
        <v>54</v>
      </c>
      <c r="O3113" s="1" t="s">
        <v>628</v>
      </c>
      <c r="P3113" s="1">
        <v>9000000.0</v>
      </c>
      <c r="Q3113" s="1">
        <v>1998.0</v>
      </c>
      <c r="R3113" s="1">
        <v>711.0</v>
      </c>
      <c r="S3113" s="1">
        <v>427.0</v>
      </c>
      <c r="T3113" s="1">
        <v>161.0</v>
      </c>
      <c r="U3113" s="1">
        <v>1462.0</v>
      </c>
      <c r="V3113" s="1">
        <v>29.0</v>
      </c>
      <c r="W3113" s="1">
        <v>0.0</v>
      </c>
      <c r="X3113" s="1">
        <v>1.0</v>
      </c>
      <c r="Y3113" s="1">
        <v>1.85</v>
      </c>
      <c r="Z3113" s="1">
        <v>6.8</v>
      </c>
    </row>
    <row r="3114" ht="14.25" customHeight="1">
      <c r="A3114" s="1" t="s">
        <v>26</v>
      </c>
      <c r="B3114" s="1" t="s">
        <v>14703</v>
      </c>
      <c r="C3114" s="1" t="s">
        <v>14704</v>
      </c>
      <c r="D3114" s="1">
        <v>1.1797927E7</v>
      </c>
      <c r="E3114" s="1" t="s">
        <v>11578</v>
      </c>
      <c r="F3114" s="1" t="s">
        <v>11880</v>
      </c>
      <c r="G3114" s="1" t="s">
        <v>3759</v>
      </c>
      <c r="H3114" s="1" t="s">
        <v>14705</v>
      </c>
      <c r="I3114" s="1">
        <v>4582.0</v>
      </c>
      <c r="J3114" s="1" t="s">
        <v>14706</v>
      </c>
      <c r="K3114" s="1" t="s">
        <v>14707</v>
      </c>
      <c r="L3114" s="1">
        <v>52.0</v>
      </c>
      <c r="M3114" s="1" t="s">
        <v>35</v>
      </c>
      <c r="N3114" s="1" t="s">
        <v>36</v>
      </c>
      <c r="O3114" s="1" t="s">
        <v>628</v>
      </c>
      <c r="P3114" s="1">
        <v>6000000.0</v>
      </c>
      <c r="Q3114" s="1">
        <v>1995.0</v>
      </c>
      <c r="R3114" s="1">
        <v>1000.0</v>
      </c>
      <c r="S3114" s="1">
        <v>475.0</v>
      </c>
      <c r="T3114" s="1">
        <v>360.0</v>
      </c>
      <c r="U3114" s="1">
        <v>3221.0</v>
      </c>
      <c r="V3114" s="1">
        <v>38.0</v>
      </c>
      <c r="W3114" s="1">
        <v>985.0</v>
      </c>
      <c r="X3114" s="1">
        <v>0.0</v>
      </c>
      <c r="Y3114" s="1">
        <v>1.85</v>
      </c>
      <c r="Z3114" s="1">
        <v>6.1</v>
      </c>
    </row>
    <row r="3115" ht="14.25" customHeight="1">
      <c r="A3115" s="1" t="s">
        <v>26</v>
      </c>
      <c r="B3115" s="1" t="s">
        <v>14708</v>
      </c>
      <c r="C3115" s="1" t="s">
        <v>14709</v>
      </c>
      <c r="D3115" s="1">
        <v>1.7605861E7</v>
      </c>
      <c r="E3115" s="1" t="s">
        <v>5629</v>
      </c>
      <c r="F3115" s="1" t="s">
        <v>1958</v>
      </c>
      <c r="G3115" s="1" t="s">
        <v>3408</v>
      </c>
      <c r="H3115" s="1" t="s">
        <v>14710</v>
      </c>
      <c r="I3115" s="1">
        <v>145580.0</v>
      </c>
      <c r="J3115" s="1" t="s">
        <v>14711</v>
      </c>
      <c r="K3115" s="1" t="s">
        <v>14712</v>
      </c>
      <c r="L3115" s="1">
        <v>351.0</v>
      </c>
      <c r="M3115" s="1" t="s">
        <v>35</v>
      </c>
      <c r="N3115" s="1" t="s">
        <v>54</v>
      </c>
      <c r="O3115" s="1" t="s">
        <v>628</v>
      </c>
      <c r="P3115" s="1">
        <v>6000000.0</v>
      </c>
      <c r="Q3115" s="1">
        <v>2006.0</v>
      </c>
      <c r="R3115" s="1">
        <v>1000.0</v>
      </c>
      <c r="S3115" s="1">
        <v>149.0</v>
      </c>
      <c r="T3115" s="1">
        <v>25.0</v>
      </c>
      <c r="U3115" s="1">
        <v>1184.0</v>
      </c>
      <c r="V3115" s="1">
        <v>162.0</v>
      </c>
      <c r="W3115" s="1">
        <v>0.0</v>
      </c>
      <c r="X3115" s="1">
        <v>1.0</v>
      </c>
      <c r="Y3115" s="1">
        <v>2.35</v>
      </c>
      <c r="Z3115" s="1">
        <v>7.7</v>
      </c>
    </row>
    <row r="3116" ht="14.25" customHeight="1">
      <c r="A3116" s="1" t="s">
        <v>26</v>
      </c>
      <c r="B3116" s="1" t="s">
        <v>14713</v>
      </c>
      <c r="C3116" s="1" t="s">
        <v>14714</v>
      </c>
      <c r="D3116" s="1">
        <v>1.1642254E7</v>
      </c>
      <c r="E3116" s="1" t="s">
        <v>6278</v>
      </c>
      <c r="F3116" s="1" t="s">
        <v>9365</v>
      </c>
      <c r="G3116" s="1" t="s">
        <v>14715</v>
      </c>
      <c r="H3116" s="1" t="s">
        <v>1727</v>
      </c>
      <c r="I3116" s="1">
        <v>22929.0</v>
      </c>
      <c r="J3116" s="1" t="s">
        <v>14716</v>
      </c>
      <c r="K3116" s="1" t="s">
        <v>14717</v>
      </c>
      <c r="L3116" s="1">
        <v>287.0</v>
      </c>
      <c r="M3116" s="1" t="s">
        <v>35</v>
      </c>
      <c r="N3116" s="1" t="s">
        <v>36</v>
      </c>
      <c r="O3116" s="1" t="s">
        <v>6886</v>
      </c>
      <c r="P3116" s="1">
        <v>3000000.0</v>
      </c>
      <c r="Q3116" s="1">
        <v>1989.0</v>
      </c>
      <c r="R3116" s="1">
        <v>742.0</v>
      </c>
      <c r="S3116" s="1">
        <v>256.0</v>
      </c>
      <c r="T3116" s="1">
        <v>120.0</v>
      </c>
      <c r="U3116" s="1">
        <v>1308.0</v>
      </c>
      <c r="V3116" s="1">
        <v>2.0</v>
      </c>
      <c r="W3116" s="1">
        <v>926.0</v>
      </c>
      <c r="X3116" s="1">
        <v>1.0</v>
      </c>
      <c r="Y3116" s="1">
        <v>1.85</v>
      </c>
      <c r="Z3116" s="1">
        <v>5.2</v>
      </c>
    </row>
    <row r="3117" ht="14.25" customHeight="1">
      <c r="A3117" s="1" t="s">
        <v>26</v>
      </c>
      <c r="B3117" s="1" t="s">
        <v>8489</v>
      </c>
      <c r="C3117" s="1" t="s">
        <v>14718</v>
      </c>
      <c r="D3117" s="1">
        <v>9203192.0</v>
      </c>
      <c r="E3117" s="1" t="s">
        <v>8521</v>
      </c>
      <c r="F3117" s="1" t="s">
        <v>637</v>
      </c>
      <c r="G3117" s="1" t="s">
        <v>14719</v>
      </c>
      <c r="H3117" s="1" t="s">
        <v>14720</v>
      </c>
      <c r="I3117" s="1">
        <v>45396.0</v>
      </c>
      <c r="J3117" s="1" t="s">
        <v>14721</v>
      </c>
      <c r="K3117" s="1" t="s">
        <v>14722</v>
      </c>
      <c r="L3117" s="1">
        <v>136.0</v>
      </c>
      <c r="M3117" s="1" t="s">
        <v>35</v>
      </c>
      <c r="N3117" s="1" t="s">
        <v>36</v>
      </c>
      <c r="O3117" s="1" t="s">
        <v>37</v>
      </c>
      <c r="P3117" s="1">
        <v>5000000.0</v>
      </c>
      <c r="Q3117" s="1">
        <v>2011.0</v>
      </c>
      <c r="R3117" s="1">
        <v>11000.0</v>
      </c>
      <c r="S3117" s="1">
        <v>106.0</v>
      </c>
      <c r="T3117" s="1">
        <v>84.0</v>
      </c>
      <c r="U3117" s="1">
        <v>11328.0</v>
      </c>
      <c r="V3117" s="1">
        <v>0.0</v>
      </c>
      <c r="W3117" s="1">
        <v>15000.0</v>
      </c>
      <c r="X3117" s="1">
        <v>1.0</v>
      </c>
      <c r="Y3117" s="1">
        <v>1.85</v>
      </c>
      <c r="Z3117" s="1">
        <v>6.8</v>
      </c>
    </row>
    <row r="3118" ht="14.25" customHeight="1">
      <c r="A3118" s="1" t="s">
        <v>26</v>
      </c>
      <c r="B3118" s="1" t="s">
        <v>14723</v>
      </c>
      <c r="C3118" s="1" t="s">
        <v>14724</v>
      </c>
      <c r="D3118" s="1">
        <v>8596914.0</v>
      </c>
      <c r="E3118" s="1" t="s">
        <v>1474</v>
      </c>
      <c r="F3118" s="1" t="s">
        <v>3032</v>
      </c>
      <c r="G3118" s="1" t="s">
        <v>12986</v>
      </c>
      <c r="H3118" s="1" t="s">
        <v>14725</v>
      </c>
      <c r="I3118" s="1">
        <v>23023.0</v>
      </c>
      <c r="J3118" s="1" t="s">
        <v>14726</v>
      </c>
      <c r="K3118" s="1" t="s">
        <v>14727</v>
      </c>
      <c r="L3118" s="1">
        <v>148.0</v>
      </c>
      <c r="M3118" s="1" t="s">
        <v>35</v>
      </c>
      <c r="N3118" s="1" t="s">
        <v>36</v>
      </c>
      <c r="O3118" s="1" t="s">
        <v>628</v>
      </c>
      <c r="P3118" s="1">
        <v>6000000.0</v>
      </c>
      <c r="Q3118" s="1">
        <v>2000.0</v>
      </c>
      <c r="R3118" s="1">
        <v>697.0</v>
      </c>
      <c r="S3118" s="1">
        <v>394.0</v>
      </c>
      <c r="T3118" s="1">
        <v>221.0</v>
      </c>
      <c r="U3118" s="1">
        <v>1517.0</v>
      </c>
      <c r="V3118" s="1">
        <v>0.0</v>
      </c>
      <c r="W3118" s="1">
        <v>0.0</v>
      </c>
      <c r="X3118" s="1">
        <v>0.0</v>
      </c>
      <c r="Y3118" s="1">
        <v>1.85</v>
      </c>
      <c r="Z3118" s="1">
        <v>7.0</v>
      </c>
    </row>
    <row r="3119" ht="14.25" customHeight="1">
      <c r="A3119" s="1" t="s">
        <v>26</v>
      </c>
      <c r="B3119" s="1" t="s">
        <v>14728</v>
      </c>
      <c r="C3119" s="1" t="s">
        <v>14729</v>
      </c>
      <c r="D3119" s="1">
        <v>6851636.0</v>
      </c>
      <c r="E3119" s="1" t="s">
        <v>1359</v>
      </c>
      <c r="F3119" s="1" t="s">
        <v>757</v>
      </c>
      <c r="G3119" s="1" t="s">
        <v>2520</v>
      </c>
      <c r="H3119" s="1" t="s">
        <v>2178</v>
      </c>
      <c r="I3119" s="1">
        <v>13010.0</v>
      </c>
      <c r="J3119" s="1" t="s">
        <v>14730</v>
      </c>
      <c r="K3119" s="1" t="s">
        <v>14731</v>
      </c>
      <c r="L3119" s="1">
        <v>182.0</v>
      </c>
      <c r="M3119" s="1" t="s">
        <v>35</v>
      </c>
      <c r="N3119" s="1" t="s">
        <v>36</v>
      </c>
      <c r="O3119" s="1" t="s">
        <v>628</v>
      </c>
      <c r="P3119" s="1">
        <v>6000000.0</v>
      </c>
      <c r="Q3119" s="1">
        <v>1999.0</v>
      </c>
      <c r="R3119" s="1">
        <v>1000.0</v>
      </c>
      <c r="S3119" s="1">
        <v>744.0</v>
      </c>
      <c r="T3119" s="1">
        <v>612.0</v>
      </c>
      <c r="U3119" s="1">
        <v>2697.0</v>
      </c>
      <c r="V3119" s="1">
        <v>112.0</v>
      </c>
      <c r="W3119" s="1">
        <v>0.0</v>
      </c>
      <c r="X3119" s="1">
        <v>5.0</v>
      </c>
      <c r="Y3119" s="1">
        <v>1.85</v>
      </c>
      <c r="Z3119" s="1">
        <v>5.9</v>
      </c>
    </row>
    <row r="3120" ht="14.25" customHeight="1">
      <c r="A3120" s="1" t="s">
        <v>26</v>
      </c>
      <c r="B3120" s="1" t="s">
        <v>14732</v>
      </c>
      <c r="C3120" s="1" t="s">
        <v>14733</v>
      </c>
      <c r="D3120" s="1">
        <v>1.1434867E7</v>
      </c>
      <c r="E3120" s="1" t="s">
        <v>3113</v>
      </c>
      <c r="F3120" s="1" t="s">
        <v>74</v>
      </c>
      <c r="G3120" s="1" t="s">
        <v>631</v>
      </c>
      <c r="H3120" s="1" t="s">
        <v>294</v>
      </c>
      <c r="I3120" s="1">
        <v>59637.0</v>
      </c>
      <c r="J3120" s="1" t="s">
        <v>14734</v>
      </c>
      <c r="K3120" s="1" t="s">
        <v>14735</v>
      </c>
      <c r="L3120" s="1">
        <v>130.0</v>
      </c>
      <c r="M3120" s="1" t="s">
        <v>35</v>
      </c>
      <c r="N3120" s="1" t="s">
        <v>36</v>
      </c>
      <c r="O3120" s="1" t="s">
        <v>37</v>
      </c>
      <c r="P3120" s="1">
        <v>6000000.0</v>
      </c>
      <c r="Q3120" s="1">
        <v>2012.0</v>
      </c>
      <c r="R3120" s="1">
        <v>24000.0</v>
      </c>
      <c r="S3120" s="1">
        <v>14000.0</v>
      </c>
      <c r="T3120" s="1">
        <v>10000.0</v>
      </c>
      <c r="U3120" s="1">
        <v>51355.0</v>
      </c>
      <c r="V3120" s="1">
        <v>49.0</v>
      </c>
      <c r="W3120" s="1">
        <v>21000.0</v>
      </c>
      <c r="X3120" s="1">
        <v>1.0</v>
      </c>
      <c r="Y3120" s="1">
        <v>1.85</v>
      </c>
      <c r="Z3120" s="1">
        <v>7.1</v>
      </c>
    </row>
    <row r="3121" ht="14.25" customHeight="1">
      <c r="A3121" s="1" t="s">
        <v>26</v>
      </c>
      <c r="B3121" s="1" t="s">
        <v>14736</v>
      </c>
      <c r="C3121" s="1" t="s">
        <v>14737</v>
      </c>
      <c r="D3121" s="1">
        <v>5895238.0</v>
      </c>
      <c r="E3121" s="1" t="s">
        <v>6214</v>
      </c>
      <c r="F3121" s="1" t="s">
        <v>1197</v>
      </c>
      <c r="G3121" s="1" t="s">
        <v>2034</v>
      </c>
      <c r="H3121" s="1" t="s">
        <v>14738</v>
      </c>
      <c r="I3121" s="1">
        <v>17169.0</v>
      </c>
      <c r="J3121" s="1" t="s">
        <v>14739</v>
      </c>
      <c r="K3121" s="1" t="s">
        <v>14740</v>
      </c>
      <c r="L3121" s="1">
        <v>70.0</v>
      </c>
      <c r="M3121" s="1" t="s">
        <v>2648</v>
      </c>
      <c r="N3121" s="1" t="s">
        <v>36</v>
      </c>
      <c r="O3121" s="1" t="s">
        <v>628</v>
      </c>
      <c r="P3121" s="1">
        <v>6000000.0</v>
      </c>
      <c r="Q3121" s="1">
        <v>2012.0</v>
      </c>
      <c r="R3121" s="1">
        <v>8000.0</v>
      </c>
      <c r="S3121" s="1">
        <v>806.0</v>
      </c>
      <c r="T3121" s="1">
        <v>546.0</v>
      </c>
      <c r="U3121" s="1">
        <v>10123.0</v>
      </c>
      <c r="V3121" s="1">
        <v>4.0</v>
      </c>
      <c r="W3121" s="1">
        <v>9000.0</v>
      </c>
      <c r="X3121" s="1">
        <v>1.0</v>
      </c>
      <c r="Y3121" s="1">
        <v>2.35</v>
      </c>
      <c r="Z3121" s="1">
        <v>5.5</v>
      </c>
    </row>
    <row r="3122" ht="14.25" customHeight="1">
      <c r="A3122" s="1" t="s">
        <v>26</v>
      </c>
      <c r="B3122" s="1" t="s">
        <v>14741</v>
      </c>
      <c r="C3122" s="1" t="s">
        <v>14742</v>
      </c>
      <c r="D3122" s="1">
        <v>6670712.0</v>
      </c>
      <c r="E3122" s="1" t="s">
        <v>2422</v>
      </c>
      <c r="F3122" s="1" t="s">
        <v>12421</v>
      </c>
      <c r="G3122" s="1" t="s">
        <v>2131</v>
      </c>
      <c r="H3122" s="1" t="s">
        <v>14743</v>
      </c>
      <c r="I3122" s="1">
        <v>27301.0</v>
      </c>
      <c r="J3122" s="1" t="s">
        <v>14744</v>
      </c>
      <c r="K3122" s="1" t="s">
        <v>14745</v>
      </c>
      <c r="L3122" s="1">
        <v>101.0</v>
      </c>
      <c r="M3122" s="1" t="s">
        <v>35</v>
      </c>
      <c r="N3122" s="1" t="s">
        <v>36</v>
      </c>
      <c r="O3122" s="1" t="s">
        <v>37</v>
      </c>
      <c r="P3122" s="1">
        <v>6000000.0</v>
      </c>
      <c r="Q3122" s="1">
        <v>2009.0</v>
      </c>
      <c r="R3122" s="1">
        <v>3000.0</v>
      </c>
      <c r="S3122" s="1">
        <v>591.0</v>
      </c>
      <c r="T3122" s="1">
        <v>130.0</v>
      </c>
      <c r="U3122" s="1">
        <v>3825.0</v>
      </c>
      <c r="V3122" s="1">
        <v>20.0</v>
      </c>
      <c r="W3122" s="1">
        <v>0.0</v>
      </c>
      <c r="X3122" s="1">
        <v>6.0</v>
      </c>
      <c r="Y3122" s="1">
        <v>1.85</v>
      </c>
      <c r="Z3122" s="1">
        <v>7.4</v>
      </c>
    </row>
    <row r="3123" ht="14.25" customHeight="1">
      <c r="A3123" s="1" t="s">
        <v>26</v>
      </c>
      <c r="B3123" s="1" t="s">
        <v>14746</v>
      </c>
      <c r="C3123" s="1" t="s">
        <v>14747</v>
      </c>
      <c r="D3123" s="1">
        <v>5359774.0</v>
      </c>
      <c r="E3123" s="1" t="s">
        <v>5605</v>
      </c>
      <c r="F3123" s="1" t="s">
        <v>244</v>
      </c>
      <c r="G3123" s="1" t="s">
        <v>7708</v>
      </c>
      <c r="H3123" s="1" t="s">
        <v>14748</v>
      </c>
      <c r="I3123" s="1">
        <v>64794.0</v>
      </c>
      <c r="J3123" s="1" t="s">
        <v>14749</v>
      </c>
      <c r="K3123" s="1" t="s">
        <v>14750</v>
      </c>
      <c r="L3123" s="1">
        <v>131.0</v>
      </c>
      <c r="M3123" s="1" t="s">
        <v>35</v>
      </c>
      <c r="N3123" s="1" t="s">
        <v>7469</v>
      </c>
      <c r="O3123" s="1" t="s">
        <v>628</v>
      </c>
      <c r="P3123" s="1">
        <v>6000000.0</v>
      </c>
      <c r="Q3123" s="1">
        <v>2011.0</v>
      </c>
      <c r="R3123" s="1">
        <v>3000.0</v>
      </c>
      <c r="S3123" s="1">
        <v>482.0</v>
      </c>
      <c r="T3123" s="1">
        <v>28.0</v>
      </c>
      <c r="U3123" s="1">
        <v>3569.0</v>
      </c>
      <c r="V3123" s="1">
        <v>51.0</v>
      </c>
      <c r="W3123" s="1">
        <v>17000.0</v>
      </c>
      <c r="X3123" s="1">
        <v>0.0</v>
      </c>
      <c r="Y3123" s="1">
        <v>2.35</v>
      </c>
      <c r="Z3123" s="1">
        <v>7.3</v>
      </c>
    </row>
    <row r="3124" ht="14.25" customHeight="1">
      <c r="A3124" s="1" t="s">
        <v>26</v>
      </c>
      <c r="B3124" s="1" t="s">
        <v>14751</v>
      </c>
      <c r="C3124" s="1" t="s">
        <v>14752</v>
      </c>
      <c r="D3124" s="1">
        <v>4693919.0</v>
      </c>
      <c r="E3124" s="1" t="s">
        <v>1885</v>
      </c>
      <c r="F3124" s="1" t="s">
        <v>7103</v>
      </c>
      <c r="G3124" s="1" t="s">
        <v>7109</v>
      </c>
      <c r="H3124" s="1" t="s">
        <v>3734</v>
      </c>
      <c r="I3124" s="1">
        <v>11011.0</v>
      </c>
      <c r="J3124" s="1" t="s">
        <v>14753</v>
      </c>
      <c r="K3124" s="1" t="s">
        <v>14754</v>
      </c>
      <c r="L3124" s="1">
        <v>78.0</v>
      </c>
      <c r="M3124" s="1" t="s">
        <v>35</v>
      </c>
      <c r="N3124" s="1" t="s">
        <v>36</v>
      </c>
      <c r="O3124" s="1" t="s">
        <v>628</v>
      </c>
      <c r="P3124" s="1">
        <v>6500000.0</v>
      </c>
      <c r="Q3124" s="1">
        <v>2008.0</v>
      </c>
      <c r="R3124" s="1">
        <v>1000.0</v>
      </c>
      <c r="S3124" s="1">
        <v>1000.0</v>
      </c>
      <c r="T3124" s="1">
        <v>664.0</v>
      </c>
      <c r="U3124" s="1">
        <v>4484.0</v>
      </c>
      <c r="V3124" s="1">
        <v>0.0</v>
      </c>
      <c r="W3124" s="1">
        <v>422.0</v>
      </c>
      <c r="X3124" s="1">
        <v>0.0</v>
      </c>
      <c r="Y3124" s="1">
        <v>1.85</v>
      </c>
      <c r="Z3124" s="1">
        <v>4.6</v>
      </c>
    </row>
    <row r="3125" ht="14.25" customHeight="1">
      <c r="A3125" s="1" t="s">
        <v>26</v>
      </c>
      <c r="B3125" s="1" t="s">
        <v>6327</v>
      </c>
      <c r="C3125" s="1" t="s">
        <v>14755</v>
      </c>
      <c r="D3125" s="1">
        <v>4859475.0</v>
      </c>
      <c r="E3125" s="1" t="s">
        <v>206</v>
      </c>
      <c r="F3125" s="1" t="s">
        <v>76</v>
      </c>
      <c r="G3125" s="1" t="s">
        <v>3733</v>
      </c>
      <c r="H3125" s="1" t="s">
        <v>1264</v>
      </c>
      <c r="I3125" s="1">
        <v>116910.0</v>
      </c>
      <c r="J3125" s="1" t="s">
        <v>14756</v>
      </c>
      <c r="K3125" s="1" t="s">
        <v>14757</v>
      </c>
      <c r="L3125" s="1">
        <v>520.0</v>
      </c>
      <c r="M3125" s="1" t="s">
        <v>35</v>
      </c>
      <c r="N3125" s="1" t="s">
        <v>36</v>
      </c>
      <c r="O3125" s="1" t="s">
        <v>628</v>
      </c>
      <c r="P3125" s="1">
        <v>6000000.0</v>
      </c>
      <c r="Q3125" s="1">
        <v>1999.0</v>
      </c>
      <c r="R3125" s="1">
        <v>4000.0</v>
      </c>
      <c r="S3125" s="1">
        <v>899.0</v>
      </c>
      <c r="T3125" s="1">
        <v>826.0</v>
      </c>
      <c r="U3125" s="1">
        <v>7103.0</v>
      </c>
      <c r="V3125" s="1">
        <v>0.0</v>
      </c>
      <c r="W3125" s="1">
        <v>0.0</v>
      </c>
      <c r="X3125" s="1">
        <v>0.0</v>
      </c>
      <c r="Y3125" s="1">
        <v>1.85</v>
      </c>
      <c r="Z3125" s="1">
        <v>7.2</v>
      </c>
    </row>
    <row r="3126" ht="14.25" customHeight="1">
      <c r="A3126" s="1" t="s">
        <v>26</v>
      </c>
      <c r="B3126" s="1" t="s">
        <v>14758</v>
      </c>
      <c r="C3126" s="1" t="s">
        <v>14759</v>
      </c>
      <c r="D3126" s="1">
        <v>4542775.0</v>
      </c>
      <c r="E3126" s="1" t="s">
        <v>1598</v>
      </c>
      <c r="F3126" s="1" t="s">
        <v>14760</v>
      </c>
      <c r="G3126" s="1" t="s">
        <v>14761</v>
      </c>
      <c r="H3126" s="1" t="s">
        <v>14762</v>
      </c>
      <c r="I3126" s="1">
        <v>18313.0</v>
      </c>
      <c r="J3126" s="1" t="s">
        <v>14763</v>
      </c>
      <c r="K3126" s="1" t="s">
        <v>14764</v>
      </c>
      <c r="L3126" s="1">
        <v>73.0</v>
      </c>
      <c r="M3126" s="1" t="s">
        <v>35</v>
      </c>
      <c r="N3126" s="1" t="s">
        <v>36</v>
      </c>
      <c r="O3126" s="1" t="s">
        <v>628</v>
      </c>
      <c r="P3126" s="1">
        <v>6000000.0</v>
      </c>
      <c r="Q3126" s="1">
        <v>2009.0</v>
      </c>
      <c r="R3126" s="1">
        <v>373.0</v>
      </c>
      <c r="S3126" s="1">
        <v>308.0</v>
      </c>
      <c r="T3126" s="1">
        <v>263.0</v>
      </c>
      <c r="U3126" s="1">
        <v>1831.0</v>
      </c>
      <c r="V3126" s="1">
        <v>138.0</v>
      </c>
      <c r="W3126" s="1">
        <v>985.0</v>
      </c>
      <c r="X3126" s="1">
        <v>2.0</v>
      </c>
      <c r="Y3126" s="1">
        <v>1.85</v>
      </c>
      <c r="Z3126" s="1">
        <v>5.1</v>
      </c>
    </row>
    <row r="3127" ht="14.25" customHeight="1">
      <c r="A3127" s="1" t="s">
        <v>26</v>
      </c>
      <c r="B3127" s="1" t="s">
        <v>14765</v>
      </c>
      <c r="C3127" s="1" t="s">
        <v>14766</v>
      </c>
      <c r="D3127" s="1">
        <v>3588432.0</v>
      </c>
      <c r="E3127" s="1" t="s">
        <v>2422</v>
      </c>
      <c r="F3127" s="1" t="s">
        <v>1133</v>
      </c>
      <c r="G3127" s="1" t="s">
        <v>793</v>
      </c>
      <c r="H3127" s="1" t="s">
        <v>4673</v>
      </c>
      <c r="I3127" s="1">
        <v>29341.0</v>
      </c>
      <c r="J3127" s="1" t="s">
        <v>14767</v>
      </c>
      <c r="K3127" s="1" t="s">
        <v>14768</v>
      </c>
      <c r="L3127" s="1">
        <v>93.0</v>
      </c>
      <c r="M3127" s="1" t="s">
        <v>35</v>
      </c>
      <c r="N3127" s="1" t="s">
        <v>36</v>
      </c>
      <c r="O3127" s="1" t="s">
        <v>628</v>
      </c>
      <c r="P3127" s="1">
        <v>6000000.0</v>
      </c>
      <c r="Q3127" s="1">
        <v>2014.0</v>
      </c>
      <c r="R3127" s="1">
        <v>17000.0</v>
      </c>
      <c r="S3127" s="1">
        <v>1000.0</v>
      </c>
      <c r="T3127" s="1">
        <v>379.0</v>
      </c>
      <c r="U3127" s="1">
        <v>18947.0</v>
      </c>
      <c r="V3127" s="1">
        <v>0.0</v>
      </c>
      <c r="W3127" s="1">
        <v>0.0</v>
      </c>
      <c r="X3127" s="1">
        <v>4.0</v>
      </c>
      <c r="Y3127" s="1">
        <v>2.35</v>
      </c>
      <c r="Z3127" s="1">
        <v>6.7</v>
      </c>
    </row>
    <row r="3128" ht="14.25" customHeight="1">
      <c r="A3128" s="1" t="s">
        <v>26</v>
      </c>
      <c r="B3128" s="1" t="s">
        <v>14769</v>
      </c>
      <c r="C3128" s="1" t="s">
        <v>14770</v>
      </c>
      <c r="D3128" s="1">
        <v>4394936.0</v>
      </c>
      <c r="E3128" s="1" t="s">
        <v>2391</v>
      </c>
      <c r="F3128" s="1" t="s">
        <v>2378</v>
      </c>
      <c r="G3128" s="1" t="s">
        <v>4388</v>
      </c>
      <c r="H3128" s="1" t="s">
        <v>14771</v>
      </c>
      <c r="I3128" s="1">
        <v>11439.0</v>
      </c>
      <c r="J3128" s="1" t="s">
        <v>14772</v>
      </c>
      <c r="K3128" s="1" t="s">
        <v>14773</v>
      </c>
      <c r="L3128" s="1">
        <v>190.0</v>
      </c>
      <c r="M3128" s="1" t="s">
        <v>35</v>
      </c>
      <c r="N3128" s="1" t="s">
        <v>730</v>
      </c>
      <c r="O3128" s="1" t="s">
        <v>37</v>
      </c>
      <c r="P3128" s="1">
        <v>6000000.0</v>
      </c>
      <c r="Q3128" s="1">
        <v>1999.0</v>
      </c>
      <c r="R3128" s="1">
        <v>4000.0</v>
      </c>
      <c r="S3128" s="1">
        <v>812.0</v>
      </c>
      <c r="T3128" s="1">
        <v>353.0</v>
      </c>
      <c r="U3128" s="1">
        <v>5668.0</v>
      </c>
      <c r="V3128" s="1">
        <v>3.0</v>
      </c>
      <c r="W3128" s="1">
        <v>901.0</v>
      </c>
      <c r="X3128" s="1">
        <v>1.0</v>
      </c>
      <c r="Y3128" s="1">
        <v>2.35</v>
      </c>
      <c r="Z3128" s="1">
        <v>5.3</v>
      </c>
    </row>
    <row r="3129" ht="14.25" customHeight="1">
      <c r="A3129" s="1" t="s">
        <v>26</v>
      </c>
      <c r="B3129" s="1" t="s">
        <v>14774</v>
      </c>
      <c r="C3129" s="1" t="s">
        <v>14775</v>
      </c>
      <c r="D3129" s="1">
        <v>3029081.0</v>
      </c>
      <c r="E3129" s="1" t="s">
        <v>14776</v>
      </c>
      <c r="F3129" s="1" t="s">
        <v>14774</v>
      </c>
      <c r="G3129" s="1" t="s">
        <v>14777</v>
      </c>
      <c r="H3129" s="1" t="s">
        <v>7487</v>
      </c>
      <c r="I3129" s="1">
        <v>26300.0</v>
      </c>
      <c r="J3129" s="1" t="s">
        <v>14778</v>
      </c>
      <c r="K3129" s="1" t="s">
        <v>14779</v>
      </c>
      <c r="L3129" s="1">
        <v>231.0</v>
      </c>
      <c r="M3129" s="1" t="s">
        <v>35</v>
      </c>
      <c r="N3129" s="1" t="s">
        <v>36</v>
      </c>
      <c r="O3129" s="1" t="s">
        <v>628</v>
      </c>
      <c r="P3129" s="1">
        <v>6000000.0</v>
      </c>
      <c r="Q3129" s="1">
        <v>2001.0</v>
      </c>
      <c r="R3129" s="1">
        <v>263.0</v>
      </c>
      <c r="S3129" s="1">
        <v>261.0</v>
      </c>
      <c r="T3129" s="1">
        <v>179.0</v>
      </c>
      <c r="U3129" s="1">
        <v>993.0</v>
      </c>
      <c r="V3129" s="1">
        <v>263.0</v>
      </c>
      <c r="W3129" s="1">
        <v>0.0</v>
      </c>
      <c r="X3129" s="1">
        <v>0.0</v>
      </c>
      <c r="Y3129" s="1">
        <v>1.85</v>
      </c>
      <c r="Z3129" s="1">
        <v>7.8</v>
      </c>
    </row>
    <row r="3130" ht="14.25" customHeight="1">
      <c r="A3130" s="1" t="s">
        <v>26</v>
      </c>
      <c r="B3130" s="1" t="s">
        <v>11262</v>
      </c>
      <c r="C3130" s="1" t="s">
        <v>14780</v>
      </c>
      <c r="D3130" s="1">
        <v>3273588.0</v>
      </c>
      <c r="E3130" s="1" t="s">
        <v>740</v>
      </c>
      <c r="F3130" s="1" t="s">
        <v>8340</v>
      </c>
      <c r="G3130" s="1" t="s">
        <v>14781</v>
      </c>
      <c r="H3130" s="1" t="s">
        <v>14782</v>
      </c>
      <c r="I3130" s="1">
        <v>4195.0</v>
      </c>
      <c r="J3130" s="1" t="s">
        <v>14783</v>
      </c>
      <c r="K3130" s="1" t="s">
        <v>14784</v>
      </c>
      <c r="L3130" s="1">
        <v>50.0</v>
      </c>
      <c r="M3130" s="1" t="s">
        <v>35</v>
      </c>
      <c r="N3130" s="1" t="s">
        <v>36</v>
      </c>
      <c r="O3130" s="1" t="s">
        <v>37</v>
      </c>
      <c r="P3130" s="1">
        <v>6000000.0</v>
      </c>
      <c r="Q3130" s="1">
        <v>1993.0</v>
      </c>
      <c r="R3130" s="1">
        <v>97.0</v>
      </c>
      <c r="S3130" s="1">
        <v>91.0</v>
      </c>
      <c r="T3130" s="1">
        <v>82.0</v>
      </c>
      <c r="U3130" s="1">
        <v>382.0</v>
      </c>
      <c r="V3130" s="1">
        <v>23.0</v>
      </c>
      <c r="W3130" s="1">
        <v>0.0</v>
      </c>
      <c r="X3130" s="1">
        <v>1.0</v>
      </c>
      <c r="Y3130" s="1">
        <v>1.85</v>
      </c>
      <c r="Z3130" s="1">
        <v>6.7</v>
      </c>
    </row>
    <row r="3131" ht="14.25" customHeight="1">
      <c r="A3131" s="1" t="s">
        <v>26</v>
      </c>
      <c r="B3131" s="1" t="s">
        <v>14785</v>
      </c>
      <c r="C3131" s="1" t="s">
        <v>14786</v>
      </c>
      <c r="D3131" s="1">
        <v>2207975.0</v>
      </c>
      <c r="E3131" s="1" t="s">
        <v>6130</v>
      </c>
      <c r="F3131" s="1" t="s">
        <v>1378</v>
      </c>
      <c r="G3131" s="1" t="s">
        <v>947</v>
      </c>
      <c r="H3131" s="1" t="s">
        <v>7425</v>
      </c>
      <c r="I3131" s="1">
        <v>28855.0</v>
      </c>
      <c r="J3131" s="1" t="s">
        <v>14787</v>
      </c>
      <c r="K3131" s="1" t="s">
        <v>14788</v>
      </c>
      <c r="L3131" s="1">
        <v>190.0</v>
      </c>
      <c r="M3131" s="1" t="s">
        <v>35</v>
      </c>
      <c r="N3131" s="1" t="s">
        <v>36</v>
      </c>
      <c r="O3131" s="1" t="s">
        <v>37</v>
      </c>
      <c r="P3131" s="1">
        <v>6000000.0</v>
      </c>
      <c r="Q3131" s="1">
        <v>2003.0</v>
      </c>
      <c r="R3131" s="1">
        <v>4000.0</v>
      </c>
      <c r="S3131" s="1">
        <v>3000.0</v>
      </c>
      <c r="T3131" s="1">
        <v>491.0</v>
      </c>
      <c r="U3131" s="1">
        <v>8297.0</v>
      </c>
      <c r="V3131" s="1">
        <v>53.0</v>
      </c>
      <c r="W3131" s="1">
        <v>0.0</v>
      </c>
      <c r="X3131" s="1">
        <v>0.0</v>
      </c>
      <c r="Y3131" s="1">
        <v>2.35</v>
      </c>
      <c r="Z3131" s="1">
        <v>7.2</v>
      </c>
    </row>
    <row r="3132" ht="14.25" customHeight="1">
      <c r="A3132" s="1" t="s">
        <v>26</v>
      </c>
      <c r="B3132" s="1" t="s">
        <v>14789</v>
      </c>
      <c r="C3132" s="1" t="s">
        <v>14790</v>
      </c>
      <c r="D3132" s="1">
        <v>2025238.0</v>
      </c>
      <c r="E3132" s="1" t="s">
        <v>5022</v>
      </c>
      <c r="F3132" s="1" t="s">
        <v>3264</v>
      </c>
      <c r="G3132" s="1" t="s">
        <v>14791</v>
      </c>
      <c r="H3132" s="1" t="s">
        <v>14792</v>
      </c>
      <c r="I3132" s="1">
        <v>9589.0</v>
      </c>
      <c r="J3132" s="1" t="s">
        <v>14793</v>
      </c>
      <c r="K3132" s="1" t="s">
        <v>14794</v>
      </c>
      <c r="L3132" s="1">
        <v>105.0</v>
      </c>
      <c r="M3132" s="1" t="s">
        <v>35</v>
      </c>
      <c r="N3132" s="1" t="s">
        <v>36</v>
      </c>
      <c r="O3132" s="1" t="s">
        <v>628</v>
      </c>
      <c r="P3132" s="1">
        <v>6000000.0</v>
      </c>
      <c r="Q3132" s="1">
        <v>2001.0</v>
      </c>
      <c r="R3132" s="1">
        <v>244.0</v>
      </c>
      <c r="S3132" s="1">
        <v>230.0</v>
      </c>
      <c r="T3132" s="1">
        <v>15.0</v>
      </c>
      <c r="U3132" s="1">
        <v>489.0</v>
      </c>
      <c r="V3132" s="1">
        <v>8.0</v>
      </c>
      <c r="W3132" s="1">
        <v>289.0</v>
      </c>
      <c r="X3132" s="1">
        <v>3.0</v>
      </c>
      <c r="Y3132" s="1">
        <v>1.85</v>
      </c>
      <c r="Z3132" s="1">
        <v>5.8</v>
      </c>
    </row>
    <row r="3133" ht="14.25" customHeight="1">
      <c r="A3133" s="1" t="s">
        <v>26</v>
      </c>
      <c r="B3133" s="1" t="s">
        <v>7677</v>
      </c>
      <c r="C3133" s="1" t="s">
        <v>14795</v>
      </c>
      <c r="D3133" s="1">
        <v>2077046.0</v>
      </c>
      <c r="E3133" s="1" t="s">
        <v>1359</v>
      </c>
      <c r="F3133" s="1" t="s">
        <v>6374</v>
      </c>
      <c r="G3133" s="1" t="s">
        <v>6463</v>
      </c>
      <c r="H3133" s="1" t="s">
        <v>7846</v>
      </c>
      <c r="I3133" s="1">
        <v>27266.0</v>
      </c>
      <c r="J3133" s="1" t="s">
        <v>14796</v>
      </c>
      <c r="K3133" s="1" t="s">
        <v>14797</v>
      </c>
      <c r="L3133" s="1">
        <v>75.0</v>
      </c>
      <c r="M3133" s="1" t="s">
        <v>35</v>
      </c>
      <c r="N3133" s="1" t="s">
        <v>36</v>
      </c>
      <c r="O3133" s="1" t="s">
        <v>628</v>
      </c>
      <c r="P3133" s="1">
        <v>6000000.0</v>
      </c>
      <c r="Q3133" s="1">
        <v>2008.0</v>
      </c>
      <c r="R3133" s="1">
        <v>976.0</v>
      </c>
      <c r="S3133" s="1">
        <v>617.0</v>
      </c>
      <c r="T3133" s="1">
        <v>362.0</v>
      </c>
      <c r="U3133" s="1">
        <v>2748.0</v>
      </c>
      <c r="V3133" s="1">
        <v>129.0</v>
      </c>
      <c r="W3133" s="1">
        <v>0.0</v>
      </c>
      <c r="X3133" s="1">
        <v>2.0</v>
      </c>
      <c r="Y3133" s="1">
        <v>2.35</v>
      </c>
      <c r="Z3133" s="1">
        <v>7.0</v>
      </c>
    </row>
    <row r="3134" ht="14.25" customHeight="1">
      <c r="A3134" s="1" t="s">
        <v>26</v>
      </c>
      <c r="B3134" s="1" t="s">
        <v>14798</v>
      </c>
      <c r="C3134" s="1" t="s">
        <v>14799</v>
      </c>
      <c r="D3134" s="1">
        <v>869325.0</v>
      </c>
      <c r="E3134" s="1" t="s">
        <v>29</v>
      </c>
      <c r="F3134" s="1" t="s">
        <v>14800</v>
      </c>
      <c r="G3134" s="1" t="s">
        <v>5425</v>
      </c>
      <c r="H3134" s="1" t="s">
        <v>14801</v>
      </c>
      <c r="I3134" s="1">
        <v>2281.0</v>
      </c>
      <c r="J3134" s="1" t="s">
        <v>14802</v>
      </c>
      <c r="K3134" s="1" t="s">
        <v>14803</v>
      </c>
      <c r="L3134" s="1">
        <v>16.0</v>
      </c>
      <c r="M3134" s="1" t="s">
        <v>35</v>
      </c>
      <c r="N3134" s="1" t="s">
        <v>36</v>
      </c>
      <c r="O3134" s="1" t="s">
        <v>37</v>
      </c>
      <c r="P3134" s="1">
        <v>6000000.0</v>
      </c>
      <c r="Q3134" s="1">
        <v>1991.0</v>
      </c>
      <c r="R3134" s="1">
        <v>721.0</v>
      </c>
      <c r="S3134" s="1">
        <v>514.0</v>
      </c>
      <c r="T3134" s="1">
        <v>284.0</v>
      </c>
      <c r="U3134" s="1">
        <v>2000.0</v>
      </c>
      <c r="V3134" s="1">
        <v>0.0</v>
      </c>
      <c r="W3134" s="1">
        <v>125.0</v>
      </c>
      <c r="X3134" s="1">
        <v>2.0</v>
      </c>
      <c r="Y3134" s="1">
        <v>1.85</v>
      </c>
      <c r="Z3134" s="1">
        <v>3.8</v>
      </c>
    </row>
    <row r="3135" ht="14.25" customHeight="1">
      <c r="A3135" s="1" t="s">
        <v>26</v>
      </c>
      <c r="B3135" s="1" t="s">
        <v>14804</v>
      </c>
      <c r="C3135" s="1" t="s">
        <v>14805</v>
      </c>
      <c r="D3135" s="1">
        <v>399611.0</v>
      </c>
      <c r="E3135" s="1" t="s">
        <v>1557</v>
      </c>
      <c r="F3135" s="1" t="s">
        <v>6056</v>
      </c>
      <c r="G3135" s="1" t="s">
        <v>14806</v>
      </c>
      <c r="H3135" s="1" t="s">
        <v>14807</v>
      </c>
      <c r="I3135" s="1">
        <v>1245.0</v>
      </c>
      <c r="J3135" s="1" t="s">
        <v>14808</v>
      </c>
      <c r="K3135" s="1" t="s">
        <v>14809</v>
      </c>
      <c r="L3135" s="1">
        <v>29.0</v>
      </c>
      <c r="M3135" s="1" t="s">
        <v>35</v>
      </c>
      <c r="N3135" s="1" t="s">
        <v>36</v>
      </c>
      <c r="O3135" s="1" t="s">
        <v>87</v>
      </c>
      <c r="P3135" s="1">
        <v>6000000.0</v>
      </c>
      <c r="Q3135" s="1">
        <v>2010.0</v>
      </c>
      <c r="R3135" s="1">
        <v>767.0</v>
      </c>
      <c r="S3135" s="1">
        <v>529.0</v>
      </c>
      <c r="T3135" s="1">
        <v>316.0</v>
      </c>
      <c r="U3135" s="1">
        <v>2370.0</v>
      </c>
      <c r="V3135" s="1">
        <v>11.0</v>
      </c>
      <c r="W3135" s="1">
        <v>0.0</v>
      </c>
      <c r="X3135" s="1">
        <v>2.0</v>
      </c>
      <c r="Y3135" s="1">
        <v>1.85</v>
      </c>
      <c r="Z3135" s="1">
        <v>5.7</v>
      </c>
    </row>
    <row r="3136" ht="14.25" customHeight="1">
      <c r="A3136" s="1" t="s">
        <v>26</v>
      </c>
      <c r="B3136" s="1" t="s">
        <v>10126</v>
      </c>
      <c r="C3136" s="1" t="s">
        <v>14810</v>
      </c>
      <c r="D3136" s="1">
        <v>115862.0</v>
      </c>
      <c r="E3136" s="1" t="s">
        <v>206</v>
      </c>
      <c r="F3136" s="1" t="s">
        <v>1347</v>
      </c>
      <c r="G3136" s="1" t="s">
        <v>810</v>
      </c>
      <c r="H3136" s="1" t="s">
        <v>14811</v>
      </c>
      <c r="I3136" s="1">
        <v>7394.0</v>
      </c>
      <c r="J3136" s="1" t="s">
        <v>14812</v>
      </c>
      <c r="K3136" s="1" t="s">
        <v>14813</v>
      </c>
      <c r="L3136" s="1">
        <v>50.0</v>
      </c>
      <c r="M3136" s="1" t="s">
        <v>35</v>
      </c>
      <c r="N3136" s="1" t="s">
        <v>36</v>
      </c>
      <c r="O3136" s="1" t="s">
        <v>628</v>
      </c>
      <c r="P3136" s="1">
        <v>6000000.0</v>
      </c>
      <c r="Q3136" s="1">
        <v>2009.0</v>
      </c>
      <c r="R3136" s="1">
        <v>1000.0</v>
      </c>
      <c r="S3136" s="1">
        <v>943.0</v>
      </c>
      <c r="T3136" s="1">
        <v>71.0</v>
      </c>
      <c r="U3136" s="1">
        <v>2163.0</v>
      </c>
      <c r="V3136" s="1">
        <v>19.0</v>
      </c>
      <c r="W3136" s="1">
        <v>0.0</v>
      </c>
      <c r="X3136" s="1">
        <v>2.0</v>
      </c>
      <c r="Y3136" s="1">
        <v>2.35</v>
      </c>
      <c r="Z3136" s="1">
        <v>6.7</v>
      </c>
    </row>
    <row r="3137" ht="14.25" customHeight="1">
      <c r="A3137" s="1" t="s">
        <v>26</v>
      </c>
      <c r="B3137" s="1" t="s">
        <v>7569</v>
      </c>
      <c r="C3137" s="1" t="s">
        <v>14814</v>
      </c>
      <c r="D3137" s="1">
        <v>117560.0</v>
      </c>
      <c r="E3137" s="1" t="s">
        <v>206</v>
      </c>
      <c r="F3137" s="1" t="s">
        <v>1432</v>
      </c>
      <c r="G3137" s="1" t="s">
        <v>14815</v>
      </c>
      <c r="H3137" s="1" t="s">
        <v>14816</v>
      </c>
      <c r="I3137" s="1">
        <v>2330.0</v>
      </c>
      <c r="J3137" s="1" t="s">
        <v>14817</v>
      </c>
      <c r="K3137" s="1" t="s">
        <v>14818</v>
      </c>
      <c r="L3137" s="1">
        <v>29.0</v>
      </c>
      <c r="M3137" s="1" t="s">
        <v>35</v>
      </c>
      <c r="N3137" s="1" t="s">
        <v>36</v>
      </c>
      <c r="O3137" s="1" t="s">
        <v>628</v>
      </c>
      <c r="P3137" s="1">
        <v>6000000.0</v>
      </c>
      <c r="Q3137" s="1">
        <v>2006.0</v>
      </c>
      <c r="R3137" s="1">
        <v>596.0</v>
      </c>
      <c r="S3137" s="1">
        <v>206.0</v>
      </c>
      <c r="T3137" s="1">
        <v>90.0</v>
      </c>
      <c r="U3137" s="1">
        <v>1081.0</v>
      </c>
      <c r="V3137" s="1">
        <v>781.0</v>
      </c>
      <c r="W3137" s="1">
        <v>224.0</v>
      </c>
      <c r="X3137" s="1">
        <v>0.0</v>
      </c>
      <c r="Y3137" s="1">
        <v>1.85</v>
      </c>
      <c r="Z3137" s="1">
        <v>6.2</v>
      </c>
    </row>
    <row r="3138" ht="14.25" customHeight="1">
      <c r="A3138" s="1" t="s">
        <v>26</v>
      </c>
      <c r="B3138" s="1" t="s">
        <v>11849</v>
      </c>
      <c r="C3138" s="1" t="s">
        <v>14819</v>
      </c>
      <c r="D3138" s="1">
        <v>54606.0</v>
      </c>
      <c r="E3138" s="1" t="s">
        <v>4045</v>
      </c>
      <c r="F3138" s="1" t="s">
        <v>168</v>
      </c>
      <c r="G3138" s="1" t="s">
        <v>1938</v>
      </c>
      <c r="H3138" s="1" t="s">
        <v>14820</v>
      </c>
      <c r="I3138" s="1">
        <v>1940.0</v>
      </c>
      <c r="J3138" s="1" t="s">
        <v>14821</v>
      </c>
      <c r="K3138" s="1" t="s">
        <v>14822</v>
      </c>
      <c r="L3138" s="1">
        <v>34.0</v>
      </c>
      <c r="M3138" s="1" t="s">
        <v>35</v>
      </c>
      <c r="N3138" s="1" t="s">
        <v>54</v>
      </c>
      <c r="O3138" s="1" t="s">
        <v>37</v>
      </c>
      <c r="P3138" s="1">
        <v>6000000.0</v>
      </c>
      <c r="Q3138" s="1">
        <v>2001.0</v>
      </c>
      <c r="R3138" s="1">
        <v>773.0</v>
      </c>
      <c r="S3138" s="1">
        <v>766.0</v>
      </c>
      <c r="T3138" s="1">
        <v>419.0</v>
      </c>
      <c r="U3138" s="1">
        <v>2440.0</v>
      </c>
      <c r="V3138" s="1">
        <v>11.0</v>
      </c>
      <c r="W3138" s="1">
        <v>30.0</v>
      </c>
      <c r="X3138" s="1">
        <v>0.0</v>
      </c>
      <c r="Y3138" s="1">
        <v>2.35</v>
      </c>
      <c r="Z3138" s="1">
        <v>6.2</v>
      </c>
    </row>
    <row r="3139" ht="14.25" customHeight="1">
      <c r="A3139" s="1" t="s">
        <v>26</v>
      </c>
      <c r="B3139" s="1" t="s">
        <v>14823</v>
      </c>
      <c r="C3139" s="1" t="s">
        <v>14824</v>
      </c>
      <c r="D3139" s="1">
        <v>36497.0</v>
      </c>
      <c r="E3139" s="1" t="s">
        <v>1885</v>
      </c>
      <c r="F3139" s="1" t="s">
        <v>637</v>
      </c>
      <c r="G3139" s="1" t="s">
        <v>1264</v>
      </c>
      <c r="H3139" s="1" t="s">
        <v>12385</v>
      </c>
      <c r="I3139" s="1">
        <v>7367.0</v>
      </c>
      <c r="J3139" s="1" t="s">
        <v>14825</v>
      </c>
      <c r="K3139" s="1" t="s">
        <v>14826</v>
      </c>
      <c r="L3139" s="1">
        <v>37.0</v>
      </c>
      <c r="M3139" s="1" t="s">
        <v>35</v>
      </c>
      <c r="N3139" s="1" t="s">
        <v>36</v>
      </c>
      <c r="O3139" s="1" t="s">
        <v>628</v>
      </c>
      <c r="P3139" s="1">
        <v>6000000.0</v>
      </c>
      <c r="Q3139" s="1">
        <v>2008.0</v>
      </c>
      <c r="R3139" s="1">
        <v>11000.0</v>
      </c>
      <c r="S3139" s="1">
        <v>826.0</v>
      </c>
      <c r="T3139" s="1">
        <v>499.0</v>
      </c>
      <c r="U3139" s="1">
        <v>14599.0</v>
      </c>
      <c r="V3139" s="1">
        <v>0.0</v>
      </c>
      <c r="W3139" s="1">
        <v>850.0</v>
      </c>
      <c r="X3139" s="1">
        <v>0.0</v>
      </c>
      <c r="Y3139" s="1">
        <v>1.85</v>
      </c>
      <c r="Z3139" s="1">
        <v>4.7</v>
      </c>
    </row>
    <row r="3140" ht="14.25" customHeight="1">
      <c r="A3140" s="1" t="s">
        <v>26</v>
      </c>
      <c r="B3140" s="1" t="s">
        <v>11957</v>
      </c>
      <c r="C3140" s="1" t="s">
        <v>14827</v>
      </c>
      <c r="D3140" s="1">
        <v>65804.0</v>
      </c>
      <c r="E3140" s="1" t="s">
        <v>2045</v>
      </c>
      <c r="F3140" s="1" t="s">
        <v>372</v>
      </c>
      <c r="G3140" s="1" t="s">
        <v>294</v>
      </c>
      <c r="H3140" s="1" t="s">
        <v>7044</v>
      </c>
      <c r="I3140" s="1">
        <v>32512.0</v>
      </c>
      <c r="J3140" s="1" t="s">
        <v>14828</v>
      </c>
      <c r="K3140" s="1" t="s">
        <v>14829</v>
      </c>
      <c r="L3140" s="1">
        <v>86.0</v>
      </c>
      <c r="M3140" s="1" t="s">
        <v>35</v>
      </c>
      <c r="N3140" s="1" t="s">
        <v>36</v>
      </c>
      <c r="O3140" s="1" t="s">
        <v>628</v>
      </c>
      <c r="P3140" s="1">
        <v>1.2E7</v>
      </c>
      <c r="Q3140" s="1">
        <v>2012.0</v>
      </c>
      <c r="R3140" s="1">
        <v>16000.0</v>
      </c>
      <c r="S3140" s="1">
        <v>10000.0</v>
      </c>
      <c r="T3140" s="1">
        <v>874.0</v>
      </c>
      <c r="U3140" s="1">
        <v>27575.0</v>
      </c>
      <c r="V3140" s="1">
        <v>24.0</v>
      </c>
      <c r="W3140" s="1">
        <v>0.0</v>
      </c>
      <c r="X3140" s="1">
        <v>1.0</v>
      </c>
      <c r="Y3140" s="1">
        <v>2.35</v>
      </c>
      <c r="Z3140" s="1">
        <v>6.3</v>
      </c>
    </row>
    <row r="3141" ht="14.25" customHeight="1">
      <c r="A3141" s="1" t="s">
        <v>26</v>
      </c>
      <c r="B3141" s="1" t="s">
        <v>14830</v>
      </c>
      <c r="C3141" s="1" t="s">
        <v>14831</v>
      </c>
      <c r="D3141" s="1">
        <v>3895664.0</v>
      </c>
      <c r="E3141" s="1" t="s">
        <v>2422</v>
      </c>
      <c r="F3141" s="1" t="s">
        <v>9674</v>
      </c>
      <c r="G3141" s="1" t="s">
        <v>1552</v>
      </c>
      <c r="H3141" s="1" t="s">
        <v>14832</v>
      </c>
      <c r="I3141" s="1">
        <v>34383.0</v>
      </c>
      <c r="J3141" s="1" t="s">
        <v>14833</v>
      </c>
      <c r="K3141" s="1" t="s">
        <v>14834</v>
      </c>
      <c r="L3141" s="1">
        <v>149.0</v>
      </c>
      <c r="M3141" s="1" t="s">
        <v>2752</v>
      </c>
      <c r="N3141" s="1" t="s">
        <v>1832</v>
      </c>
      <c r="O3141" s="1" t="s">
        <v>628</v>
      </c>
      <c r="P3141" s="1">
        <v>5300000.0</v>
      </c>
      <c r="Q3141" s="1">
        <v>2002.0</v>
      </c>
      <c r="R3141" s="1">
        <v>809.0</v>
      </c>
      <c r="S3141" s="1">
        <v>447.0</v>
      </c>
      <c r="T3141" s="1">
        <v>269.0</v>
      </c>
      <c r="U3141" s="1">
        <v>1858.0</v>
      </c>
      <c r="V3141" s="1">
        <v>82.0</v>
      </c>
      <c r="W3141" s="1">
        <v>0.0</v>
      </c>
      <c r="X3141" s="1">
        <v>0.0</v>
      </c>
      <c r="Y3141" s="1">
        <v>1.85</v>
      </c>
      <c r="Z3141" s="1">
        <v>7.3</v>
      </c>
    </row>
    <row r="3142" ht="14.25" customHeight="1">
      <c r="A3142" s="1" t="s">
        <v>26</v>
      </c>
      <c r="B3142" s="1" t="s">
        <v>5034</v>
      </c>
      <c r="C3142" s="1" t="s">
        <v>5035</v>
      </c>
      <c r="D3142" s="1">
        <v>3.1874869E7</v>
      </c>
      <c r="E3142" s="1" t="s">
        <v>2130</v>
      </c>
      <c r="F3142" s="1" t="s">
        <v>4002</v>
      </c>
      <c r="G3142" s="1" t="s">
        <v>4282</v>
      </c>
      <c r="H3142" s="1" t="s">
        <v>5036</v>
      </c>
      <c r="I3142" s="1">
        <v>43575.0</v>
      </c>
      <c r="J3142" s="1" t="s">
        <v>5037</v>
      </c>
      <c r="K3142" s="1" t="s">
        <v>5038</v>
      </c>
      <c r="L3142" s="1">
        <v>302.0</v>
      </c>
      <c r="M3142" s="1" t="s">
        <v>35</v>
      </c>
      <c r="N3142" s="1" t="s">
        <v>36</v>
      </c>
      <c r="O3142" s="1" t="s">
        <v>628</v>
      </c>
      <c r="P3142" s="1">
        <v>5.0E7</v>
      </c>
      <c r="Q3142" s="1">
        <v>2002.0</v>
      </c>
      <c r="R3142" s="1">
        <v>33000.0</v>
      </c>
      <c r="S3142" s="1">
        <v>455.0</v>
      </c>
      <c r="T3142" s="1">
        <v>400.0</v>
      </c>
      <c r="U3142" s="1">
        <v>34605.0</v>
      </c>
      <c r="V3142" s="1">
        <v>58.0</v>
      </c>
      <c r="W3142" s="1">
        <v>0.0</v>
      </c>
      <c r="X3142" s="1">
        <v>0.0</v>
      </c>
      <c r="Y3142" s="1">
        <v>1.85</v>
      </c>
      <c r="Z3142" s="1">
        <v>6.1</v>
      </c>
    </row>
    <row r="3143" ht="14.25" customHeight="1">
      <c r="A3143" s="1" t="s">
        <v>26</v>
      </c>
      <c r="B3143" s="1" t="s">
        <v>14835</v>
      </c>
      <c r="C3143" s="1" t="s">
        <v>14836</v>
      </c>
      <c r="D3143" s="1">
        <v>542860.0</v>
      </c>
      <c r="E3143" s="1" t="s">
        <v>1880</v>
      </c>
      <c r="F3143" s="1" t="s">
        <v>14837</v>
      </c>
      <c r="G3143" s="1" t="s">
        <v>14838</v>
      </c>
      <c r="H3143" s="1" t="s">
        <v>14839</v>
      </c>
      <c r="I3143" s="1">
        <v>9230.0</v>
      </c>
      <c r="J3143" s="1" t="s">
        <v>14840</v>
      </c>
      <c r="K3143" s="1" t="s">
        <v>14841</v>
      </c>
      <c r="L3143" s="1">
        <v>37.0</v>
      </c>
      <c r="M3143" s="1" t="s">
        <v>9646</v>
      </c>
      <c r="N3143" s="1" t="s">
        <v>9647</v>
      </c>
      <c r="O3143" s="1" t="s">
        <v>628</v>
      </c>
      <c r="P3143" s="1">
        <v>4000000.0</v>
      </c>
      <c r="Q3143" s="1">
        <v>2008.0</v>
      </c>
      <c r="R3143" s="1">
        <v>163.0</v>
      </c>
      <c r="S3143" s="1">
        <v>20.0</v>
      </c>
      <c r="T3143" s="1">
        <v>19.0</v>
      </c>
      <c r="U3143" s="1">
        <v>219.0</v>
      </c>
      <c r="V3143" s="1">
        <v>12.0</v>
      </c>
      <c r="W3143" s="1">
        <v>0.0</v>
      </c>
      <c r="X3143" s="1">
        <v>1.0</v>
      </c>
      <c r="Y3143" s="1">
        <v>2.35</v>
      </c>
      <c r="Z3143" s="1">
        <v>7.1</v>
      </c>
    </row>
    <row r="3144" ht="14.25" customHeight="1">
      <c r="A3144" s="1" t="s">
        <v>26</v>
      </c>
      <c r="B3144" s="1" t="s">
        <v>14842</v>
      </c>
      <c r="C3144" s="1" t="s">
        <v>14843</v>
      </c>
      <c r="D3144" s="1">
        <v>1.1905519E7</v>
      </c>
      <c r="E3144" s="1" t="s">
        <v>449</v>
      </c>
      <c r="F3144" s="1" t="s">
        <v>14844</v>
      </c>
      <c r="G3144" s="1" t="s">
        <v>14845</v>
      </c>
      <c r="H3144" s="1" t="s">
        <v>14846</v>
      </c>
      <c r="I3144" s="1">
        <v>30210.0</v>
      </c>
      <c r="J3144" s="1" t="s">
        <v>14847</v>
      </c>
      <c r="K3144" s="1" t="s">
        <v>14848</v>
      </c>
      <c r="L3144" s="1">
        <v>214.0</v>
      </c>
      <c r="M3144" s="1" t="s">
        <v>11946</v>
      </c>
      <c r="N3144" s="1" t="s">
        <v>11947</v>
      </c>
      <c r="O3144" s="1" t="s">
        <v>628</v>
      </c>
      <c r="P3144" s="1">
        <v>2.0E8</v>
      </c>
      <c r="Q3144" s="1">
        <v>2005.0</v>
      </c>
      <c r="R3144" s="1">
        <v>778.0</v>
      </c>
      <c r="S3144" s="1">
        <v>635.0</v>
      </c>
      <c r="T3144" s="1">
        <v>380.0</v>
      </c>
      <c r="U3144" s="1">
        <v>2205.0</v>
      </c>
      <c r="V3144" s="1">
        <v>64.0</v>
      </c>
      <c r="W3144" s="1">
        <v>0.0</v>
      </c>
      <c r="X3144" s="1">
        <v>0.0</v>
      </c>
      <c r="Y3144" s="1">
        <v>1.85</v>
      </c>
      <c r="Z3144" s="1">
        <v>7.1</v>
      </c>
    </row>
    <row r="3145" ht="14.25" customHeight="1">
      <c r="A3145" s="1" t="s">
        <v>26</v>
      </c>
      <c r="B3145" s="1" t="s">
        <v>14358</v>
      </c>
      <c r="C3145" s="1" t="s">
        <v>14849</v>
      </c>
      <c r="D3145" s="1">
        <v>3.2541719E7</v>
      </c>
      <c r="E3145" s="1" t="s">
        <v>4241</v>
      </c>
      <c r="F3145" s="1" t="s">
        <v>1443</v>
      </c>
      <c r="G3145" s="1" t="s">
        <v>14850</v>
      </c>
      <c r="H3145" s="1" t="s">
        <v>14360</v>
      </c>
      <c r="I3145" s="1">
        <v>89806.0</v>
      </c>
      <c r="J3145" s="1" t="s">
        <v>14851</v>
      </c>
      <c r="K3145" s="1" t="s">
        <v>14852</v>
      </c>
      <c r="L3145" s="1">
        <v>438.0</v>
      </c>
      <c r="M3145" s="1" t="s">
        <v>35</v>
      </c>
      <c r="N3145" s="1" t="s">
        <v>54</v>
      </c>
      <c r="O3145" s="1" t="s">
        <v>37</v>
      </c>
      <c r="P3145" s="1">
        <v>3500159.0</v>
      </c>
      <c r="Q3145" s="1">
        <v>2002.0</v>
      </c>
      <c r="R3145" s="1">
        <v>883.0</v>
      </c>
      <c r="S3145" s="1">
        <v>528.0</v>
      </c>
      <c r="T3145" s="1">
        <v>397.0</v>
      </c>
      <c r="U3145" s="1">
        <v>2201.0</v>
      </c>
      <c r="V3145" s="1">
        <v>98.0</v>
      </c>
      <c r="W3145" s="1">
        <v>0.0</v>
      </c>
      <c r="X3145" s="1">
        <v>0.0</v>
      </c>
      <c r="Y3145" s="1">
        <v>1.85</v>
      </c>
      <c r="Z3145" s="1">
        <v>6.7</v>
      </c>
    </row>
    <row r="3146" ht="14.25" customHeight="1">
      <c r="A3146" s="1" t="s">
        <v>26</v>
      </c>
      <c r="B3146" s="1" t="s">
        <v>13891</v>
      </c>
      <c r="C3146" s="1" t="s">
        <v>14853</v>
      </c>
      <c r="D3146" s="1">
        <v>3064356.0</v>
      </c>
      <c r="E3146" s="1" t="s">
        <v>206</v>
      </c>
      <c r="F3146" s="1" t="s">
        <v>1225</v>
      </c>
      <c r="G3146" s="1" t="s">
        <v>14854</v>
      </c>
      <c r="H3146" s="1" t="s">
        <v>3758</v>
      </c>
      <c r="I3146" s="1">
        <v>3433.0</v>
      </c>
      <c r="J3146" s="1" t="s">
        <v>14855</v>
      </c>
      <c r="K3146" s="1" t="s">
        <v>14856</v>
      </c>
      <c r="L3146" s="1">
        <v>81.0</v>
      </c>
      <c r="M3146" s="1" t="s">
        <v>35</v>
      </c>
      <c r="N3146" s="1" t="s">
        <v>36</v>
      </c>
      <c r="O3146" s="1" t="s">
        <v>37</v>
      </c>
      <c r="P3146" s="1">
        <v>5600000.0</v>
      </c>
      <c r="Q3146" s="1">
        <v>2002.0</v>
      </c>
      <c r="R3146" s="1">
        <v>688.0</v>
      </c>
      <c r="S3146" s="1">
        <v>659.0</v>
      </c>
      <c r="T3146" s="1">
        <v>501.0</v>
      </c>
      <c r="U3146" s="1">
        <v>2584.0</v>
      </c>
      <c r="V3146" s="1">
        <v>407.0</v>
      </c>
      <c r="W3146" s="1">
        <v>160.0</v>
      </c>
      <c r="X3146" s="1">
        <v>6.0</v>
      </c>
      <c r="Y3146" s="1">
        <v>1.85</v>
      </c>
      <c r="Z3146" s="1">
        <v>6.9</v>
      </c>
    </row>
    <row r="3147" ht="14.25" customHeight="1">
      <c r="A3147" s="1" t="s">
        <v>26</v>
      </c>
      <c r="B3147" s="1" t="s">
        <v>12281</v>
      </c>
      <c r="C3147" s="1" t="s">
        <v>14857</v>
      </c>
      <c r="D3147" s="1">
        <v>7009668.0</v>
      </c>
      <c r="E3147" s="1" t="s">
        <v>14858</v>
      </c>
      <c r="F3147" s="1" t="s">
        <v>14859</v>
      </c>
      <c r="G3147" s="1" t="s">
        <v>14860</v>
      </c>
      <c r="H3147" s="1" t="s">
        <v>14861</v>
      </c>
      <c r="I3147" s="1">
        <v>8707.0</v>
      </c>
      <c r="J3147" s="1" t="s">
        <v>14862</v>
      </c>
      <c r="K3147" s="1" t="s">
        <v>14863</v>
      </c>
      <c r="L3147" s="1">
        <v>36.0</v>
      </c>
      <c r="M3147" s="1" t="s">
        <v>35</v>
      </c>
      <c r="N3147" s="1" t="s">
        <v>36</v>
      </c>
      <c r="O3147" s="1" t="s">
        <v>37</v>
      </c>
      <c r="P3147" s="1">
        <v>5600000.0</v>
      </c>
      <c r="Q3147" s="1">
        <v>2006.0</v>
      </c>
      <c r="R3147" s="1">
        <v>592.0</v>
      </c>
      <c r="S3147" s="1">
        <v>378.0</v>
      </c>
      <c r="T3147" s="1">
        <v>255.0</v>
      </c>
      <c r="U3147" s="1">
        <v>2000.0</v>
      </c>
      <c r="V3147" s="1">
        <v>17.0</v>
      </c>
      <c r="W3147" s="1">
        <v>244.0</v>
      </c>
      <c r="X3147" s="1">
        <v>6.0</v>
      </c>
      <c r="Y3147" s="1">
        <v>1.85</v>
      </c>
      <c r="Z3147" s="1">
        <v>2.1</v>
      </c>
    </row>
    <row r="3148" ht="14.25" customHeight="1">
      <c r="A3148" s="1" t="s">
        <v>26</v>
      </c>
      <c r="B3148" s="1" t="s">
        <v>13102</v>
      </c>
      <c r="C3148" s="1" t="s">
        <v>14864</v>
      </c>
      <c r="D3148" s="1">
        <v>27024.0</v>
      </c>
      <c r="E3148" s="1" t="s">
        <v>6019</v>
      </c>
      <c r="F3148" s="1" t="s">
        <v>14865</v>
      </c>
      <c r="G3148" s="1" t="s">
        <v>14866</v>
      </c>
      <c r="H3148" s="1" t="s">
        <v>14867</v>
      </c>
      <c r="I3148" s="1">
        <v>55597.0</v>
      </c>
      <c r="J3148" s="1" t="s">
        <v>14868</v>
      </c>
      <c r="K3148" s="1" t="s">
        <v>14869</v>
      </c>
      <c r="L3148" s="1">
        <v>148.0</v>
      </c>
      <c r="M3148" s="1" t="s">
        <v>2648</v>
      </c>
      <c r="N3148" s="1" t="s">
        <v>3393</v>
      </c>
      <c r="O3148" s="1" t="s">
        <v>628</v>
      </c>
      <c r="P3148" s="1">
        <v>5600000.0</v>
      </c>
      <c r="Q3148" s="1">
        <v>2009.0</v>
      </c>
      <c r="R3148" s="1">
        <v>37.0</v>
      </c>
      <c r="S3148" s="1">
        <v>9.0</v>
      </c>
      <c r="T3148" s="1">
        <v>6.0</v>
      </c>
      <c r="U3148" s="1">
        <v>73.0</v>
      </c>
      <c r="V3148" s="1">
        <v>57.0</v>
      </c>
      <c r="W3148" s="1">
        <v>4000.0</v>
      </c>
      <c r="X3148" s="1">
        <v>0.0</v>
      </c>
      <c r="Y3148" s="1">
        <v>1.85</v>
      </c>
      <c r="Z3148" s="1">
        <v>6.6</v>
      </c>
    </row>
    <row r="3149" ht="14.25" customHeight="1">
      <c r="A3149" s="1" t="s">
        <v>26</v>
      </c>
      <c r="B3149" s="1" t="s">
        <v>14618</v>
      </c>
      <c r="C3149" s="1" t="s">
        <v>14870</v>
      </c>
      <c r="D3149" s="1">
        <v>1.596E8</v>
      </c>
      <c r="E3149" s="1" t="s">
        <v>8521</v>
      </c>
      <c r="F3149" s="1" t="s">
        <v>3993</v>
      </c>
      <c r="G3149" s="1" t="s">
        <v>12552</v>
      </c>
      <c r="H3149" s="1" t="s">
        <v>4025</v>
      </c>
      <c r="I3149" s="1">
        <v>175607.0</v>
      </c>
      <c r="J3149" s="1" t="s">
        <v>14871</v>
      </c>
      <c r="K3149" s="1" t="s">
        <v>14872</v>
      </c>
      <c r="L3149" s="1">
        <v>252.0</v>
      </c>
      <c r="M3149" s="1" t="s">
        <v>35</v>
      </c>
      <c r="N3149" s="1" t="s">
        <v>36</v>
      </c>
      <c r="O3149" s="1" t="s">
        <v>87</v>
      </c>
      <c r="P3149" s="1">
        <v>5500000.0</v>
      </c>
      <c r="Q3149" s="1">
        <v>1973.0</v>
      </c>
      <c r="R3149" s="1">
        <v>1000.0</v>
      </c>
      <c r="S3149" s="1">
        <v>559.0</v>
      </c>
      <c r="T3149" s="1">
        <v>417.0</v>
      </c>
      <c r="U3149" s="1">
        <v>2387.0</v>
      </c>
      <c r="V3149" s="1">
        <v>131.0</v>
      </c>
      <c r="W3149" s="1">
        <v>0.0</v>
      </c>
      <c r="X3149" s="1">
        <v>0.0</v>
      </c>
      <c r="Y3149" s="1">
        <v>1.85</v>
      </c>
      <c r="Z3149" s="1">
        <v>8.3</v>
      </c>
    </row>
    <row r="3150" ht="14.25" customHeight="1">
      <c r="A3150" s="1" t="s">
        <v>26</v>
      </c>
      <c r="B3150" s="1" t="s">
        <v>7293</v>
      </c>
      <c r="C3150" s="1" t="s">
        <v>14873</v>
      </c>
      <c r="D3150" s="1">
        <v>5.88E7</v>
      </c>
      <c r="E3150" s="1" t="s">
        <v>1557</v>
      </c>
      <c r="F3150" s="1" t="s">
        <v>4934</v>
      </c>
      <c r="G3150" s="1" t="s">
        <v>2972</v>
      </c>
      <c r="H3150" s="1" t="s">
        <v>2973</v>
      </c>
      <c r="I3150" s="1">
        <v>40511.0</v>
      </c>
      <c r="J3150" s="1" t="s">
        <v>14874</v>
      </c>
      <c r="K3150" s="1" t="s">
        <v>14875</v>
      </c>
      <c r="L3150" s="1">
        <v>213.0</v>
      </c>
      <c r="M3150" s="1" t="s">
        <v>35</v>
      </c>
      <c r="N3150" s="1" t="s">
        <v>54</v>
      </c>
      <c r="O3150" s="1" t="s">
        <v>87</v>
      </c>
      <c r="P3150" s="1">
        <v>5500000.0</v>
      </c>
      <c r="Q3150" s="1">
        <v>1981.0</v>
      </c>
      <c r="R3150" s="1">
        <v>368.0</v>
      </c>
      <c r="S3150" s="1">
        <v>303.0</v>
      </c>
      <c r="T3150" s="1">
        <v>249.0</v>
      </c>
      <c r="U3150" s="1">
        <v>1651.0</v>
      </c>
      <c r="V3150" s="1">
        <v>46.0</v>
      </c>
      <c r="W3150" s="1">
        <v>0.0</v>
      </c>
      <c r="X3150" s="1">
        <v>0.0</v>
      </c>
      <c r="Y3150" s="1">
        <v>1.85</v>
      </c>
      <c r="Z3150" s="1">
        <v>7.2</v>
      </c>
    </row>
    <row r="3151" ht="14.25" customHeight="1">
      <c r="A3151" s="1" t="s">
        <v>26</v>
      </c>
      <c r="B3151" s="1" t="s">
        <v>14876</v>
      </c>
      <c r="C3151" s="1" t="s">
        <v>14877</v>
      </c>
      <c r="D3151" s="1">
        <v>5.0382128E7</v>
      </c>
      <c r="E3151" s="1" t="s">
        <v>1359</v>
      </c>
      <c r="F3151" s="1" t="s">
        <v>7052</v>
      </c>
      <c r="G3151" s="1" t="s">
        <v>4639</v>
      </c>
      <c r="H3151" s="1" t="s">
        <v>14878</v>
      </c>
      <c r="I3151" s="1">
        <v>10472.0</v>
      </c>
      <c r="J3151" s="1" t="s">
        <v>14879</v>
      </c>
      <c r="K3151" s="1" t="s">
        <v>14880</v>
      </c>
      <c r="L3151" s="1">
        <v>202.0</v>
      </c>
      <c r="M3151" s="1" t="s">
        <v>35</v>
      </c>
      <c r="N3151" s="1" t="s">
        <v>36</v>
      </c>
      <c r="O3151" s="1" t="s">
        <v>37</v>
      </c>
      <c r="P3151" s="1">
        <v>5500000.0</v>
      </c>
      <c r="Q3151" s="1">
        <v>2005.0</v>
      </c>
      <c r="R3151" s="1">
        <v>907.0</v>
      </c>
      <c r="S3151" s="1">
        <v>637.0</v>
      </c>
      <c r="T3151" s="1">
        <v>476.0</v>
      </c>
      <c r="U3151" s="1">
        <v>2723.0</v>
      </c>
      <c r="V3151" s="1">
        <v>0.0</v>
      </c>
      <c r="W3151" s="1">
        <v>0.0</v>
      </c>
      <c r="X3151" s="1">
        <v>0.0</v>
      </c>
      <c r="Y3151" s="1">
        <v>1.85</v>
      </c>
      <c r="Z3151" s="1">
        <v>5.6</v>
      </c>
    </row>
    <row r="3152" ht="14.25" customHeight="1">
      <c r="A3152" s="1" t="s">
        <v>26</v>
      </c>
      <c r="B3152" s="1" t="s">
        <v>6760</v>
      </c>
      <c r="C3152" s="1" t="s">
        <v>14881</v>
      </c>
      <c r="D3152" s="1">
        <v>3.5811509E7</v>
      </c>
      <c r="E3152" s="1" t="s">
        <v>8158</v>
      </c>
      <c r="F3152" s="1" t="s">
        <v>510</v>
      </c>
      <c r="G3152" s="1" t="s">
        <v>817</v>
      </c>
      <c r="H3152" s="1" t="s">
        <v>14882</v>
      </c>
      <c r="I3152" s="1">
        <v>43013.0</v>
      </c>
      <c r="J3152" s="1" t="s">
        <v>14883</v>
      </c>
      <c r="K3152" s="1" t="s">
        <v>14884</v>
      </c>
      <c r="L3152" s="1">
        <v>104.0</v>
      </c>
      <c r="M3152" s="1" t="s">
        <v>35</v>
      </c>
      <c r="N3152" s="1" t="s">
        <v>362</v>
      </c>
      <c r="O3152" s="1" t="s">
        <v>37</v>
      </c>
      <c r="P3152" s="1">
        <v>5500000.0</v>
      </c>
      <c r="Q3152" s="1">
        <v>1996.0</v>
      </c>
      <c r="R3152" s="1">
        <v>509.0</v>
      </c>
      <c r="S3152" s="1">
        <v>294.0</v>
      </c>
      <c r="T3152" s="1">
        <v>35.0</v>
      </c>
      <c r="U3152" s="1">
        <v>888.0</v>
      </c>
      <c r="V3152" s="1">
        <v>96.0</v>
      </c>
      <c r="W3152" s="1">
        <v>0.0</v>
      </c>
      <c r="X3152" s="1">
        <v>0.0</v>
      </c>
      <c r="Y3152" s="1">
        <v>1.85</v>
      </c>
      <c r="Z3152" s="1">
        <v>7.7</v>
      </c>
    </row>
    <row r="3153" ht="14.25" customHeight="1">
      <c r="A3153" s="1" t="s">
        <v>26</v>
      </c>
      <c r="B3153" s="1" t="s">
        <v>60</v>
      </c>
      <c r="C3153" s="1" t="s">
        <v>14885</v>
      </c>
      <c r="D3153" s="1">
        <v>2.4475193E7</v>
      </c>
      <c r="E3153" s="1" t="s">
        <v>1359</v>
      </c>
      <c r="F3153" s="1" t="s">
        <v>60</v>
      </c>
      <c r="G3153" s="1" t="s">
        <v>92</v>
      </c>
      <c r="H3153" s="1" t="s">
        <v>14886</v>
      </c>
      <c r="I3153" s="1">
        <v>190494.0</v>
      </c>
      <c r="J3153" s="1" t="s">
        <v>14887</v>
      </c>
      <c r="K3153" s="1" t="s">
        <v>14888</v>
      </c>
      <c r="L3153" s="1">
        <v>314.0</v>
      </c>
      <c r="M3153" s="1" t="s">
        <v>35</v>
      </c>
      <c r="N3153" s="1" t="s">
        <v>36</v>
      </c>
      <c r="O3153" s="1" t="s">
        <v>628</v>
      </c>
      <c r="P3153" s="1">
        <v>3000000.0</v>
      </c>
      <c r="Q3153" s="1">
        <v>2013.0</v>
      </c>
      <c r="R3153" s="1">
        <v>23000.0</v>
      </c>
      <c r="S3153" s="1">
        <v>19000.0</v>
      </c>
      <c r="T3153" s="1">
        <v>694.0</v>
      </c>
      <c r="U3153" s="1">
        <v>44265.0</v>
      </c>
      <c r="V3153" s="1">
        <v>23000.0</v>
      </c>
      <c r="W3153" s="1">
        <v>33000.0</v>
      </c>
      <c r="X3153" s="1">
        <v>1.0</v>
      </c>
      <c r="Y3153" s="1">
        <v>2.35</v>
      </c>
      <c r="Z3153" s="1">
        <v>6.6</v>
      </c>
    </row>
    <row r="3154" ht="14.25" customHeight="1">
      <c r="A3154" s="1" t="s">
        <v>26</v>
      </c>
      <c r="B3154" s="1" t="s">
        <v>10692</v>
      </c>
      <c r="C3154" s="1" t="s">
        <v>14889</v>
      </c>
      <c r="D3154" s="1">
        <v>6200756.0</v>
      </c>
      <c r="E3154" s="1" t="s">
        <v>2422</v>
      </c>
      <c r="F3154" s="1" t="s">
        <v>92</v>
      </c>
      <c r="G3154" s="1" t="s">
        <v>264</v>
      </c>
      <c r="H3154" s="1" t="s">
        <v>1277</v>
      </c>
      <c r="I3154" s="1">
        <v>96129.0</v>
      </c>
      <c r="J3154" s="1" t="s">
        <v>14890</v>
      </c>
      <c r="K3154" s="1" t="s">
        <v>14891</v>
      </c>
      <c r="L3154" s="1">
        <v>488.0</v>
      </c>
      <c r="M3154" s="1" t="s">
        <v>35</v>
      </c>
      <c r="N3154" s="1" t="s">
        <v>36</v>
      </c>
      <c r="O3154" s="1" t="s">
        <v>628</v>
      </c>
      <c r="P3154" s="1">
        <v>7000000.0</v>
      </c>
      <c r="Q3154" s="1">
        <v>2001.0</v>
      </c>
      <c r="R3154" s="1">
        <v>19000.0</v>
      </c>
      <c r="S3154" s="1">
        <v>12000.0</v>
      </c>
      <c r="T3154" s="1">
        <v>722.0</v>
      </c>
      <c r="U3154" s="1">
        <v>34106.0</v>
      </c>
      <c r="V3154" s="1">
        <v>72.0</v>
      </c>
      <c r="W3154" s="1">
        <v>5000.0</v>
      </c>
      <c r="X3154" s="1">
        <v>0.0</v>
      </c>
      <c r="Y3154" s="1">
        <v>1.85</v>
      </c>
      <c r="Z3154" s="1">
        <v>7.4</v>
      </c>
    </row>
    <row r="3155" ht="14.25" customHeight="1">
      <c r="A3155" s="1" t="s">
        <v>26</v>
      </c>
      <c r="B3155" s="1" t="s">
        <v>8426</v>
      </c>
      <c r="C3155" s="1" t="s">
        <v>14892</v>
      </c>
      <c r="D3155" s="1">
        <v>1292119.0</v>
      </c>
      <c r="E3155" s="1" t="s">
        <v>5942</v>
      </c>
      <c r="F3155" s="1" t="s">
        <v>208</v>
      </c>
      <c r="G3155" s="1" t="s">
        <v>385</v>
      </c>
      <c r="H3155" s="1" t="s">
        <v>5436</v>
      </c>
      <c r="I3155" s="1">
        <v>14786.0</v>
      </c>
      <c r="J3155" s="1" t="s">
        <v>14893</v>
      </c>
      <c r="K3155" s="1" t="s">
        <v>14894</v>
      </c>
      <c r="L3155" s="1">
        <v>144.0</v>
      </c>
      <c r="M3155" s="1" t="s">
        <v>35</v>
      </c>
      <c r="N3155" s="1" t="s">
        <v>54</v>
      </c>
      <c r="O3155" s="1" t="s">
        <v>628</v>
      </c>
      <c r="P3155" s="1">
        <v>5500000.0</v>
      </c>
      <c r="Q3155" s="1">
        <v>2001.0</v>
      </c>
      <c r="R3155" s="1">
        <v>14000.0</v>
      </c>
      <c r="S3155" s="1">
        <v>1000.0</v>
      </c>
      <c r="T3155" s="1">
        <v>548.0</v>
      </c>
      <c r="U3155" s="1">
        <v>16768.0</v>
      </c>
      <c r="V3155" s="1">
        <v>14.0</v>
      </c>
      <c r="W3155" s="1">
        <v>0.0</v>
      </c>
      <c r="X3155" s="1">
        <v>1.0</v>
      </c>
      <c r="Y3155" s="1">
        <v>1.85</v>
      </c>
      <c r="Z3155" s="1">
        <v>7.1</v>
      </c>
    </row>
    <row r="3156" ht="14.25" customHeight="1">
      <c r="A3156" s="1" t="s">
        <v>26</v>
      </c>
      <c r="B3156" s="1" t="s">
        <v>14895</v>
      </c>
      <c r="C3156" s="1" t="s">
        <v>14896</v>
      </c>
      <c r="D3156" s="1">
        <v>3629758.0</v>
      </c>
      <c r="E3156" s="1" t="s">
        <v>5819</v>
      </c>
      <c r="F3156" s="1" t="s">
        <v>14897</v>
      </c>
      <c r="G3156" s="1" t="s">
        <v>14898</v>
      </c>
      <c r="H3156" s="1" t="s">
        <v>14899</v>
      </c>
      <c r="I3156" s="1">
        <v>44151.0</v>
      </c>
      <c r="J3156" s="1" t="s">
        <v>14900</v>
      </c>
      <c r="K3156" s="1" t="s">
        <v>14901</v>
      </c>
      <c r="L3156" s="1">
        <v>110.0</v>
      </c>
      <c r="M3156" s="1" t="s">
        <v>2752</v>
      </c>
      <c r="N3156" s="1" t="s">
        <v>1832</v>
      </c>
      <c r="O3156" s="1" t="s">
        <v>37</v>
      </c>
      <c r="P3156" s="1">
        <v>5500000.0</v>
      </c>
      <c r="Q3156" s="1">
        <v>2004.0</v>
      </c>
      <c r="R3156" s="1">
        <v>517.0</v>
      </c>
      <c r="S3156" s="1">
        <v>86.0</v>
      </c>
      <c r="T3156" s="1">
        <v>57.0</v>
      </c>
      <c r="U3156" s="1">
        <v>745.0</v>
      </c>
      <c r="V3156" s="1">
        <v>25.0</v>
      </c>
      <c r="W3156" s="1">
        <v>0.0</v>
      </c>
      <c r="X3156" s="1">
        <v>0.0</v>
      </c>
      <c r="Y3156" s="1">
        <v>2.35</v>
      </c>
      <c r="Z3156" s="1">
        <v>7.9</v>
      </c>
    </row>
    <row r="3157" ht="14.25" customHeight="1">
      <c r="A3157" s="1" t="s">
        <v>26</v>
      </c>
      <c r="B3157" s="1" t="s">
        <v>14902</v>
      </c>
      <c r="C3157" s="1" t="s">
        <v>14903</v>
      </c>
      <c r="D3157" s="1">
        <v>6239558.0</v>
      </c>
      <c r="E3157" s="1" t="s">
        <v>2422</v>
      </c>
      <c r="F3157" s="1" t="s">
        <v>7184</v>
      </c>
      <c r="G3157" s="1" t="s">
        <v>14904</v>
      </c>
      <c r="H3157" s="1" t="s">
        <v>14905</v>
      </c>
      <c r="I3157" s="1">
        <v>5548.0</v>
      </c>
      <c r="J3157" s="1" t="s">
        <v>14906</v>
      </c>
      <c r="K3157" s="1" t="s">
        <v>14907</v>
      </c>
      <c r="L3157" s="1">
        <v>67.0</v>
      </c>
      <c r="M3157" s="1" t="s">
        <v>35</v>
      </c>
      <c r="N3157" s="1" t="s">
        <v>260</v>
      </c>
      <c r="O3157" s="1" t="s">
        <v>628</v>
      </c>
      <c r="P3157" s="1">
        <v>5000000.0</v>
      </c>
      <c r="Q3157" s="1">
        <v>2003.0</v>
      </c>
      <c r="R3157" s="1">
        <v>636.0</v>
      </c>
      <c r="S3157" s="1">
        <v>210.0</v>
      </c>
      <c r="T3157" s="1">
        <v>71.0</v>
      </c>
      <c r="U3157" s="1">
        <v>1033.0</v>
      </c>
      <c r="V3157" s="1">
        <v>9.0</v>
      </c>
      <c r="W3157" s="1">
        <v>352.0</v>
      </c>
      <c r="X3157" s="1">
        <v>0.0</v>
      </c>
      <c r="Y3157" s="1">
        <v>1.85</v>
      </c>
      <c r="Z3157" s="1">
        <v>6.7</v>
      </c>
    </row>
    <row r="3158" ht="14.25" customHeight="1">
      <c r="A3158" s="1" t="s">
        <v>26</v>
      </c>
      <c r="B3158" s="1" t="s">
        <v>14908</v>
      </c>
      <c r="C3158" s="1" t="s">
        <v>14909</v>
      </c>
      <c r="D3158" s="1">
        <v>1056102.0</v>
      </c>
      <c r="E3158" s="1" t="s">
        <v>2061</v>
      </c>
      <c r="F3158" s="1" t="s">
        <v>3049</v>
      </c>
      <c r="G3158" s="1" t="s">
        <v>4172</v>
      </c>
      <c r="H3158" s="1" t="s">
        <v>14910</v>
      </c>
      <c r="I3158" s="1">
        <v>18792.0</v>
      </c>
      <c r="J3158" s="1" t="s">
        <v>14911</v>
      </c>
      <c r="K3158" s="1" t="s">
        <v>14912</v>
      </c>
      <c r="L3158" s="1">
        <v>153.0</v>
      </c>
      <c r="M3158" s="1" t="s">
        <v>35</v>
      </c>
      <c r="N3158" s="1" t="s">
        <v>36</v>
      </c>
      <c r="O3158" s="1" t="s">
        <v>628</v>
      </c>
      <c r="P3158" s="1">
        <v>5000000.0</v>
      </c>
      <c r="Q3158" s="1">
        <v>2003.0</v>
      </c>
      <c r="R3158" s="1">
        <v>715.0</v>
      </c>
      <c r="S3158" s="1">
        <v>436.0</v>
      </c>
      <c r="T3158" s="1">
        <v>93.0</v>
      </c>
      <c r="U3158" s="1">
        <v>1315.0</v>
      </c>
      <c r="V3158" s="1">
        <v>10.0</v>
      </c>
      <c r="W3158" s="1">
        <v>1000.0</v>
      </c>
      <c r="X3158" s="1">
        <v>0.0</v>
      </c>
      <c r="Y3158" s="1">
        <v>1.85</v>
      </c>
      <c r="Z3158" s="1">
        <v>6.6</v>
      </c>
    </row>
    <row r="3159" ht="14.25" customHeight="1">
      <c r="A3159" s="1" t="s">
        <v>26</v>
      </c>
      <c r="B3159" s="1" t="s">
        <v>4801</v>
      </c>
      <c r="C3159" s="1" t="s">
        <v>14913</v>
      </c>
      <c r="D3159" s="1">
        <v>2.7545445E7</v>
      </c>
      <c r="E3159" s="1" t="s">
        <v>3238</v>
      </c>
      <c r="F3159" s="1" t="s">
        <v>1645</v>
      </c>
      <c r="G3159" s="1" t="s">
        <v>7747</v>
      </c>
      <c r="H3159" s="1" t="s">
        <v>14914</v>
      </c>
      <c r="I3159" s="1">
        <v>59524.0</v>
      </c>
      <c r="J3159" s="1" t="s">
        <v>14915</v>
      </c>
      <c r="K3159" s="1" t="s">
        <v>14916</v>
      </c>
      <c r="L3159" s="1">
        <v>418.0</v>
      </c>
      <c r="M3159" s="1" t="s">
        <v>35</v>
      </c>
      <c r="N3159" s="1" t="s">
        <v>36</v>
      </c>
      <c r="O3159" s="1" t="s">
        <v>628</v>
      </c>
      <c r="P3159" s="1">
        <v>6500000.0</v>
      </c>
      <c r="Q3159" s="1">
        <v>1989.0</v>
      </c>
      <c r="R3159" s="1">
        <v>782.0</v>
      </c>
      <c r="S3159" s="1">
        <v>652.0</v>
      </c>
      <c r="T3159" s="1">
        <v>388.0</v>
      </c>
      <c r="U3159" s="1">
        <v>2892.0</v>
      </c>
      <c r="V3159" s="1">
        <v>0.0</v>
      </c>
      <c r="W3159" s="1">
        <v>0.0</v>
      </c>
      <c r="X3159" s="1">
        <v>2.0</v>
      </c>
      <c r="Y3159" s="1">
        <v>1.85</v>
      </c>
      <c r="Z3159" s="1">
        <v>7.9</v>
      </c>
    </row>
    <row r="3160" ht="14.25" customHeight="1">
      <c r="A3160" s="1" t="s">
        <v>26</v>
      </c>
      <c r="B3160" s="1" t="s">
        <v>14917</v>
      </c>
      <c r="C3160" s="1" t="s">
        <v>14918</v>
      </c>
      <c r="D3160" s="1">
        <v>56007.0</v>
      </c>
      <c r="E3160" s="1" t="s">
        <v>13957</v>
      </c>
      <c r="F3160" s="1" t="s">
        <v>2378</v>
      </c>
      <c r="G3160" s="1" t="s">
        <v>5424</v>
      </c>
      <c r="H3160" s="1" t="s">
        <v>7569</v>
      </c>
      <c r="I3160" s="1">
        <v>3754.0</v>
      </c>
      <c r="J3160" s="1" t="s">
        <v>14919</v>
      </c>
      <c r="K3160" s="1" t="s">
        <v>14920</v>
      </c>
      <c r="L3160" s="1">
        <v>69.0</v>
      </c>
      <c r="M3160" s="1" t="s">
        <v>35</v>
      </c>
      <c r="N3160" s="1" t="s">
        <v>36</v>
      </c>
      <c r="O3160" s="1" t="s">
        <v>628</v>
      </c>
      <c r="P3160" s="1">
        <v>5500000.0</v>
      </c>
      <c r="Q3160" s="1">
        <v>2001.0</v>
      </c>
      <c r="R3160" s="1">
        <v>4000.0</v>
      </c>
      <c r="S3160" s="1">
        <v>902.0</v>
      </c>
      <c r="T3160" s="1">
        <v>781.0</v>
      </c>
      <c r="U3160" s="1">
        <v>6776.0</v>
      </c>
      <c r="V3160" s="1">
        <v>56.0</v>
      </c>
      <c r="W3160" s="1">
        <v>113.0</v>
      </c>
      <c r="X3160" s="1">
        <v>3.0</v>
      </c>
      <c r="Y3160" s="1">
        <v>2.35</v>
      </c>
      <c r="Z3160" s="1">
        <v>4.9</v>
      </c>
    </row>
    <row r="3161" ht="14.25" customHeight="1">
      <c r="A3161" s="1" t="s">
        <v>26</v>
      </c>
      <c r="B3161" s="1" t="s">
        <v>14921</v>
      </c>
      <c r="C3161" s="1" t="s">
        <v>14922</v>
      </c>
      <c r="D3161" s="1">
        <v>611709.0</v>
      </c>
      <c r="E3161" s="1" t="s">
        <v>2422</v>
      </c>
      <c r="F3161" s="1" t="s">
        <v>14923</v>
      </c>
      <c r="G3161" s="1" t="s">
        <v>14924</v>
      </c>
      <c r="H3161" s="1" t="s">
        <v>14925</v>
      </c>
      <c r="I3161" s="1">
        <v>15267.0</v>
      </c>
      <c r="J3161" s="1" t="s">
        <v>14926</v>
      </c>
      <c r="K3161" s="1" t="s">
        <v>14927</v>
      </c>
      <c r="L3161" s="1">
        <v>41.0</v>
      </c>
      <c r="M3161" s="1" t="s">
        <v>2752</v>
      </c>
      <c r="N3161" s="1" t="s">
        <v>14928</v>
      </c>
      <c r="O3161" s="1" t="s">
        <v>9252</v>
      </c>
      <c r="P3161" s="1">
        <v>3850000.0</v>
      </c>
      <c r="Q3161" s="1">
        <v>2011.0</v>
      </c>
      <c r="R3161" s="1">
        <v>232.0</v>
      </c>
      <c r="S3161" s="1">
        <v>67.0</v>
      </c>
      <c r="T3161" s="1">
        <v>36.0</v>
      </c>
      <c r="U3161" s="1">
        <v>391.0</v>
      </c>
      <c r="V3161" s="1">
        <v>592.0</v>
      </c>
      <c r="W3161" s="1">
        <v>0.0</v>
      </c>
      <c r="X3161" s="1">
        <v>1.0</v>
      </c>
      <c r="Y3161" s="1">
        <v>1.85</v>
      </c>
      <c r="Z3161" s="1">
        <v>7.2</v>
      </c>
    </row>
    <row r="3162" ht="14.25" customHeight="1">
      <c r="A3162" s="1" t="s">
        <v>26</v>
      </c>
      <c r="B3162" s="1" t="s">
        <v>14929</v>
      </c>
      <c r="C3162" s="1" t="s">
        <v>14930</v>
      </c>
      <c r="D3162" s="1">
        <v>22770.0</v>
      </c>
      <c r="E3162" s="1" t="s">
        <v>2422</v>
      </c>
      <c r="F3162" s="1" t="s">
        <v>14931</v>
      </c>
      <c r="G3162" s="1" t="s">
        <v>14929</v>
      </c>
      <c r="H3162" s="1" t="s">
        <v>14932</v>
      </c>
      <c r="I3162" s="1">
        <v>1658.0</v>
      </c>
      <c r="J3162" s="1" t="s">
        <v>14933</v>
      </c>
      <c r="K3162" s="1" t="s">
        <v>14934</v>
      </c>
      <c r="L3162" s="1">
        <v>12.0</v>
      </c>
      <c r="M3162" s="1" t="s">
        <v>7281</v>
      </c>
      <c r="N3162" s="1" t="s">
        <v>2821</v>
      </c>
      <c r="O3162" s="1" t="s">
        <v>12164</v>
      </c>
      <c r="P3162" s="1">
        <v>5500000.0</v>
      </c>
      <c r="Q3162" s="1">
        <v>2013.0</v>
      </c>
      <c r="R3162" s="1">
        <v>31.0</v>
      </c>
      <c r="S3162" s="1">
        <v>17.0</v>
      </c>
      <c r="T3162" s="1">
        <v>16.0</v>
      </c>
      <c r="U3162" s="1">
        <v>81.0</v>
      </c>
      <c r="V3162" s="1">
        <v>17.0</v>
      </c>
      <c r="W3162" s="1">
        <v>543.0</v>
      </c>
      <c r="X3162" s="1">
        <v>0.0</v>
      </c>
      <c r="Y3162" s="1">
        <v>1.85</v>
      </c>
      <c r="Z3162" s="1">
        <v>6.1</v>
      </c>
    </row>
    <row r="3163" ht="14.25" customHeight="1">
      <c r="A3163" s="1" t="s">
        <v>26</v>
      </c>
      <c r="B3163" s="1" t="s">
        <v>14935</v>
      </c>
      <c r="C3163" s="1" t="s">
        <v>14936</v>
      </c>
      <c r="D3163" s="1">
        <v>27445.0</v>
      </c>
      <c r="E3163" s="1" t="s">
        <v>14937</v>
      </c>
      <c r="F3163" s="1" t="s">
        <v>7123</v>
      </c>
      <c r="G3163" s="1" t="s">
        <v>14938</v>
      </c>
      <c r="H3163" s="1" t="s">
        <v>14939</v>
      </c>
      <c r="I3163" s="1">
        <v>3788.0</v>
      </c>
      <c r="J3163" s="1" t="s">
        <v>14940</v>
      </c>
      <c r="K3163" s="1" t="s">
        <v>14941</v>
      </c>
      <c r="L3163" s="1">
        <v>31.0</v>
      </c>
      <c r="M3163" s="1" t="s">
        <v>35</v>
      </c>
      <c r="N3163" s="1" t="s">
        <v>36</v>
      </c>
      <c r="O3163" s="1" t="s">
        <v>628</v>
      </c>
      <c r="P3163" s="1">
        <v>9000000.0</v>
      </c>
      <c r="Q3163" s="1">
        <v>2011.0</v>
      </c>
      <c r="R3163" s="1">
        <v>472.0</v>
      </c>
      <c r="S3163" s="1">
        <v>39.0</v>
      </c>
      <c r="T3163" s="1">
        <v>38.0</v>
      </c>
      <c r="U3163" s="1">
        <v>561.0</v>
      </c>
      <c r="V3163" s="1">
        <v>3.0</v>
      </c>
      <c r="W3163" s="1">
        <v>1000.0</v>
      </c>
      <c r="X3163" s="1">
        <v>5.0</v>
      </c>
      <c r="Y3163" s="1">
        <v>1.85</v>
      </c>
      <c r="Z3163" s="1">
        <v>5.3</v>
      </c>
    </row>
    <row r="3164" ht="14.25" customHeight="1">
      <c r="A3164" s="1" t="s">
        <v>26</v>
      </c>
      <c r="B3164" s="1" t="s">
        <v>8231</v>
      </c>
      <c r="C3164" s="1" t="s">
        <v>14942</v>
      </c>
      <c r="D3164" s="1">
        <v>766487.0</v>
      </c>
      <c r="E3164" s="1" t="s">
        <v>1598</v>
      </c>
      <c r="F3164" s="1" t="s">
        <v>574</v>
      </c>
      <c r="G3164" s="1" t="s">
        <v>4221</v>
      </c>
      <c r="H3164" s="1" t="s">
        <v>14943</v>
      </c>
      <c r="I3164" s="1">
        <v>15315.0</v>
      </c>
      <c r="J3164" s="1" t="s">
        <v>14944</v>
      </c>
      <c r="K3164" s="1" t="s">
        <v>14945</v>
      </c>
      <c r="L3164" s="1">
        <v>117.0</v>
      </c>
      <c r="M3164" s="1" t="s">
        <v>35</v>
      </c>
      <c r="N3164" s="1" t="s">
        <v>36</v>
      </c>
      <c r="O3164" s="1" t="s">
        <v>628</v>
      </c>
      <c r="P3164" s="1">
        <v>5250000.0</v>
      </c>
      <c r="Q3164" s="1">
        <v>2007.0</v>
      </c>
      <c r="R3164" s="1">
        <v>4000.0</v>
      </c>
      <c r="S3164" s="1">
        <v>543.0</v>
      </c>
      <c r="T3164" s="1">
        <v>139.0</v>
      </c>
      <c r="U3164" s="1">
        <v>4883.0</v>
      </c>
      <c r="V3164" s="1">
        <v>136.0</v>
      </c>
      <c r="W3164" s="1">
        <v>915.0</v>
      </c>
      <c r="X3164" s="1">
        <v>4.0</v>
      </c>
      <c r="Y3164" s="1">
        <v>1.85</v>
      </c>
      <c r="Z3164" s="1">
        <v>5.0</v>
      </c>
    </row>
    <row r="3165" ht="14.25" customHeight="1">
      <c r="A3165" s="1" t="s">
        <v>26</v>
      </c>
      <c r="B3165" s="1" t="s">
        <v>11452</v>
      </c>
      <c r="C3165" s="1" t="s">
        <v>14946</v>
      </c>
      <c r="D3165" s="1">
        <v>1196752.0</v>
      </c>
      <c r="E3165" s="1" t="s">
        <v>2045</v>
      </c>
      <c r="F3165" s="1" t="s">
        <v>14947</v>
      </c>
      <c r="G3165" s="1" t="s">
        <v>14948</v>
      </c>
      <c r="H3165" s="1" t="s">
        <v>14949</v>
      </c>
      <c r="I3165" s="1">
        <v>79353.0</v>
      </c>
      <c r="J3165" s="1" t="s">
        <v>14950</v>
      </c>
      <c r="K3165" s="1" t="s">
        <v>14951</v>
      </c>
      <c r="L3165" s="1">
        <v>121.0</v>
      </c>
      <c r="M3165" s="1" t="s">
        <v>14952</v>
      </c>
      <c r="N3165" s="1" t="s">
        <v>14953</v>
      </c>
      <c r="O3165" s="1" t="s">
        <v>628</v>
      </c>
      <c r="P3165" s="1">
        <v>3.03E7</v>
      </c>
      <c r="Q3165" s="1">
        <v>2011.0</v>
      </c>
      <c r="R3165" s="1">
        <v>286.0</v>
      </c>
      <c r="S3165" s="1">
        <v>52.0</v>
      </c>
      <c r="T3165" s="1">
        <v>27.0</v>
      </c>
      <c r="U3165" s="1">
        <v>385.0</v>
      </c>
      <c r="V3165" s="1">
        <v>77.0</v>
      </c>
      <c r="W3165" s="1">
        <v>23000.0</v>
      </c>
      <c r="X3165" s="1">
        <v>3.0</v>
      </c>
      <c r="Y3165" s="1">
        <v>2.39</v>
      </c>
      <c r="Z3165" s="1">
        <v>7.6</v>
      </c>
    </row>
    <row r="3166" ht="14.25" customHeight="1">
      <c r="A3166" s="1" t="s">
        <v>26</v>
      </c>
      <c r="B3166" s="1" t="s">
        <v>14954</v>
      </c>
      <c r="C3166" s="1" t="s">
        <v>14955</v>
      </c>
      <c r="D3166" s="1">
        <v>795126.0</v>
      </c>
      <c r="E3166" s="1" t="s">
        <v>5897</v>
      </c>
      <c r="F3166" s="1" t="s">
        <v>1845</v>
      </c>
      <c r="G3166" s="1" t="s">
        <v>14956</v>
      </c>
      <c r="H3166" s="1" t="s">
        <v>14957</v>
      </c>
      <c r="I3166" s="1">
        <v>4976.0</v>
      </c>
      <c r="J3166" s="1" t="s">
        <v>14958</v>
      </c>
      <c r="K3166" s="1" t="s">
        <v>14959</v>
      </c>
      <c r="L3166" s="1">
        <v>52.0</v>
      </c>
      <c r="M3166" s="1" t="s">
        <v>35</v>
      </c>
      <c r="N3166" s="1" t="s">
        <v>260</v>
      </c>
      <c r="O3166" s="1" t="s">
        <v>37</v>
      </c>
      <c r="P3166" s="1">
        <v>6000000.0</v>
      </c>
      <c r="Q3166" s="1">
        <v>2004.0</v>
      </c>
      <c r="R3166" s="1">
        <v>393.0</v>
      </c>
      <c r="S3166" s="1">
        <v>259.0</v>
      </c>
      <c r="T3166" s="1">
        <v>149.0</v>
      </c>
      <c r="U3166" s="1">
        <v>955.0</v>
      </c>
      <c r="V3166" s="1">
        <v>12.0</v>
      </c>
      <c r="W3166" s="1">
        <v>989.0</v>
      </c>
      <c r="X3166" s="1">
        <v>1.0</v>
      </c>
      <c r="Y3166" s="1">
        <v>1.85</v>
      </c>
      <c r="Z3166" s="1">
        <v>7.6</v>
      </c>
    </row>
    <row r="3167" ht="14.25" customHeight="1">
      <c r="A3167" s="1" t="s">
        <v>26</v>
      </c>
      <c r="B3167" s="1" t="s">
        <v>324</v>
      </c>
      <c r="C3167" s="1" t="s">
        <v>14960</v>
      </c>
      <c r="D3167" s="1">
        <v>8.3574831E7</v>
      </c>
      <c r="E3167" s="1" t="s">
        <v>9021</v>
      </c>
      <c r="F3167" s="1" t="s">
        <v>6882</v>
      </c>
      <c r="G3167" s="1" t="s">
        <v>14350</v>
      </c>
      <c r="H3167" s="1" t="s">
        <v>13134</v>
      </c>
      <c r="I3167" s="1">
        <v>109214.0</v>
      </c>
      <c r="J3167" s="1" t="s">
        <v>14961</v>
      </c>
      <c r="K3167" s="1" t="s">
        <v>14962</v>
      </c>
      <c r="L3167" s="1">
        <v>269.0</v>
      </c>
      <c r="M3167" s="1" t="s">
        <v>35</v>
      </c>
      <c r="N3167" s="1" t="s">
        <v>36</v>
      </c>
      <c r="O3167" s="1" t="s">
        <v>37</v>
      </c>
      <c r="P3167" s="1">
        <v>5000000.0</v>
      </c>
      <c r="Q3167" s="1">
        <v>2013.0</v>
      </c>
      <c r="R3167" s="1">
        <v>852.0</v>
      </c>
      <c r="S3167" s="1">
        <v>618.0</v>
      </c>
      <c r="T3167" s="1">
        <v>482.0</v>
      </c>
      <c r="U3167" s="1">
        <v>2975.0</v>
      </c>
      <c r="V3167" s="1">
        <v>0.0</v>
      </c>
      <c r="W3167" s="1">
        <v>35000.0</v>
      </c>
      <c r="X3167" s="1">
        <v>0.0</v>
      </c>
      <c r="Y3167" s="1">
        <v>2.35</v>
      </c>
      <c r="Z3167" s="1">
        <v>6.6</v>
      </c>
    </row>
    <row r="3168" ht="14.25" customHeight="1">
      <c r="A3168" s="1" t="s">
        <v>26</v>
      </c>
      <c r="B3168" s="1" t="s">
        <v>13132</v>
      </c>
      <c r="C3168" s="1" t="s">
        <v>14963</v>
      </c>
      <c r="D3168" s="1">
        <v>8.7025093E7</v>
      </c>
      <c r="E3168" s="1" t="s">
        <v>5924</v>
      </c>
      <c r="F3168" s="1" t="s">
        <v>7819</v>
      </c>
      <c r="G3168" s="1" t="s">
        <v>7707</v>
      </c>
      <c r="H3168" s="1" t="s">
        <v>12967</v>
      </c>
      <c r="I3168" s="1">
        <v>188679.0</v>
      </c>
      <c r="J3168" s="1" t="s">
        <v>14964</v>
      </c>
      <c r="K3168" s="1" t="s">
        <v>14965</v>
      </c>
      <c r="L3168" s="1">
        <v>864.0</v>
      </c>
      <c r="M3168" s="1" t="s">
        <v>35</v>
      </c>
      <c r="N3168" s="1" t="s">
        <v>36</v>
      </c>
      <c r="O3168" s="1" t="s">
        <v>628</v>
      </c>
      <c r="P3168" s="1">
        <v>4000000.0</v>
      </c>
      <c r="Q3168" s="1">
        <v>2005.0</v>
      </c>
      <c r="R3168" s="1">
        <v>1000.0</v>
      </c>
      <c r="S3168" s="1">
        <v>654.0</v>
      </c>
      <c r="T3168" s="1">
        <v>651.0</v>
      </c>
      <c r="U3168" s="1">
        <v>4134.0</v>
      </c>
      <c r="V3168" s="1">
        <v>163.0</v>
      </c>
      <c r="W3168" s="1">
        <v>0.0</v>
      </c>
      <c r="X3168" s="1">
        <v>0.0</v>
      </c>
      <c r="Y3168" s="1">
        <v>1.85</v>
      </c>
      <c r="Z3168" s="1">
        <v>6.6</v>
      </c>
    </row>
    <row r="3169" ht="14.25" customHeight="1">
      <c r="A3169" s="1" t="s">
        <v>26</v>
      </c>
      <c r="B3169" s="1" t="s">
        <v>14966</v>
      </c>
      <c r="C3169" s="1" t="s">
        <v>14967</v>
      </c>
      <c r="D3169" s="1">
        <v>7.1897215E7</v>
      </c>
      <c r="E3169" s="1" t="s">
        <v>14968</v>
      </c>
      <c r="F3169" s="1" t="s">
        <v>631</v>
      </c>
      <c r="G3169" s="1" t="s">
        <v>12170</v>
      </c>
      <c r="H3169" s="1" t="s">
        <v>14969</v>
      </c>
      <c r="I3169" s="1">
        <v>126893.0</v>
      </c>
      <c r="J3169" s="1" t="s">
        <v>14970</v>
      </c>
      <c r="K3169" s="1" t="s">
        <v>14971</v>
      </c>
      <c r="L3169" s="1">
        <v>440.0</v>
      </c>
      <c r="M3169" s="1" t="s">
        <v>35</v>
      </c>
      <c r="N3169" s="1" t="s">
        <v>36</v>
      </c>
      <c r="O3169" s="1" t="s">
        <v>37</v>
      </c>
      <c r="P3169" s="1">
        <v>1.5E7</v>
      </c>
      <c r="Q3169" s="1">
        <v>2016.0</v>
      </c>
      <c r="R3169" s="1">
        <v>14000.0</v>
      </c>
      <c r="S3169" s="1">
        <v>338.0</v>
      </c>
      <c r="T3169" s="1">
        <v>82.0</v>
      </c>
      <c r="U3169" s="1">
        <v>14504.0</v>
      </c>
      <c r="V3169" s="1">
        <v>16.0</v>
      </c>
      <c r="W3169" s="1">
        <v>33000.0</v>
      </c>
      <c r="X3169" s="1">
        <v>0.0</v>
      </c>
      <c r="Y3169" s="1">
        <v>2.35</v>
      </c>
      <c r="Z3169" s="1">
        <v>7.3</v>
      </c>
    </row>
    <row r="3170" ht="14.25" customHeight="1">
      <c r="A3170" s="1" t="s">
        <v>26</v>
      </c>
      <c r="B3170" s="1" t="s">
        <v>9802</v>
      </c>
      <c r="C3170" s="1" t="s">
        <v>14972</v>
      </c>
      <c r="D3170" s="1">
        <v>6.4267897E7</v>
      </c>
      <c r="E3170" s="1" t="s">
        <v>14973</v>
      </c>
      <c r="F3170" s="1" t="s">
        <v>9805</v>
      </c>
      <c r="G3170" s="1" t="s">
        <v>9806</v>
      </c>
      <c r="H3170" s="1" t="s">
        <v>9807</v>
      </c>
      <c r="I3170" s="1">
        <v>67992.0</v>
      </c>
      <c r="J3170" s="1" t="s">
        <v>14974</v>
      </c>
      <c r="K3170" s="1" t="s">
        <v>14975</v>
      </c>
      <c r="L3170" s="1">
        <v>327.0</v>
      </c>
      <c r="M3170" s="1" t="s">
        <v>35</v>
      </c>
      <c r="N3170" s="1" t="s">
        <v>36</v>
      </c>
      <c r="O3170" s="1" t="s">
        <v>628</v>
      </c>
      <c r="P3170" s="1">
        <v>5000000.0</v>
      </c>
      <c r="Q3170" s="1">
        <v>2002.0</v>
      </c>
      <c r="R3170" s="1">
        <v>608.0</v>
      </c>
      <c r="S3170" s="1">
        <v>362.0</v>
      </c>
      <c r="T3170" s="1">
        <v>218.0</v>
      </c>
      <c r="U3170" s="1">
        <v>1770.0</v>
      </c>
      <c r="V3170" s="1">
        <v>79.0</v>
      </c>
      <c r="W3170" s="1">
        <v>0.0</v>
      </c>
      <c r="X3170" s="1">
        <v>0.0</v>
      </c>
      <c r="Y3170" s="1">
        <v>1.85</v>
      </c>
      <c r="Z3170" s="1">
        <v>6.6</v>
      </c>
    </row>
    <row r="3171" ht="14.25" customHeight="1">
      <c r="A3171" s="1" t="s">
        <v>26</v>
      </c>
      <c r="B3171" s="1" t="s">
        <v>14976</v>
      </c>
      <c r="C3171" s="1" t="s">
        <v>14977</v>
      </c>
      <c r="D3171" s="1">
        <v>5.6536016E7</v>
      </c>
      <c r="E3171" s="1" t="s">
        <v>6019</v>
      </c>
      <c r="F3171" s="1" t="s">
        <v>3848</v>
      </c>
      <c r="G3171" s="1" t="s">
        <v>14978</v>
      </c>
      <c r="H3171" s="1" t="s">
        <v>14508</v>
      </c>
      <c r="I3171" s="1">
        <v>13523.0</v>
      </c>
      <c r="J3171" s="1" t="s">
        <v>14979</v>
      </c>
      <c r="K3171" s="1" t="s">
        <v>14980</v>
      </c>
      <c r="L3171" s="1">
        <v>95.0</v>
      </c>
      <c r="M3171" s="1" t="s">
        <v>35</v>
      </c>
      <c r="N3171" s="1" t="s">
        <v>36</v>
      </c>
      <c r="O3171" s="1" t="s">
        <v>37</v>
      </c>
      <c r="P3171" s="1">
        <v>4900000.0</v>
      </c>
      <c r="Q3171" s="1">
        <v>2016.0</v>
      </c>
      <c r="R3171" s="1">
        <v>2000.0</v>
      </c>
      <c r="S3171" s="1">
        <v>509.0</v>
      </c>
      <c r="T3171" s="1">
        <v>300.0</v>
      </c>
      <c r="U3171" s="1">
        <v>3344.0</v>
      </c>
      <c r="V3171" s="1">
        <v>26.0</v>
      </c>
      <c r="W3171" s="1">
        <v>0.0</v>
      </c>
      <c r="X3171" s="1">
        <v>0.0</v>
      </c>
      <c r="Y3171" s="1">
        <v>2.35</v>
      </c>
      <c r="Z3171" s="1">
        <v>6.9</v>
      </c>
    </row>
    <row r="3172" ht="14.25" customHeight="1">
      <c r="A3172" s="1" t="s">
        <v>26</v>
      </c>
      <c r="B3172" s="1" t="s">
        <v>14981</v>
      </c>
      <c r="C3172" s="1" t="s">
        <v>14982</v>
      </c>
      <c r="D3172" s="1">
        <v>1.04007828E8</v>
      </c>
      <c r="E3172" s="1" t="s">
        <v>6019</v>
      </c>
      <c r="F3172" s="1" t="s">
        <v>13427</v>
      </c>
      <c r="G3172" s="1" t="s">
        <v>14983</v>
      </c>
      <c r="H3172" s="1" t="s">
        <v>14016</v>
      </c>
      <c r="I3172" s="1">
        <v>76828.0</v>
      </c>
      <c r="J3172" s="1" t="s">
        <v>14984</v>
      </c>
      <c r="K3172" s="1" t="s">
        <v>14985</v>
      </c>
      <c r="L3172" s="1">
        <v>314.0</v>
      </c>
      <c r="M3172" s="1" t="s">
        <v>35</v>
      </c>
      <c r="N3172" s="1" t="s">
        <v>36</v>
      </c>
      <c r="O3172" s="1" t="s">
        <v>628</v>
      </c>
      <c r="P3172" s="1">
        <v>5000000.0</v>
      </c>
      <c r="Q3172" s="1">
        <v>2011.0</v>
      </c>
      <c r="R3172" s="1">
        <v>581.0</v>
      </c>
      <c r="S3172" s="1">
        <v>438.0</v>
      </c>
      <c r="T3172" s="1">
        <v>434.0</v>
      </c>
      <c r="U3172" s="1">
        <v>2371.0</v>
      </c>
      <c r="V3172" s="1">
        <v>24.0</v>
      </c>
      <c r="W3172" s="1">
        <v>24000.0</v>
      </c>
      <c r="X3172" s="1">
        <v>0.0</v>
      </c>
      <c r="Y3172" s="1">
        <v>1.85</v>
      </c>
      <c r="Z3172" s="1">
        <v>5.8</v>
      </c>
    </row>
    <row r="3173" ht="14.25" customHeight="1">
      <c r="A3173" s="1" t="s">
        <v>26</v>
      </c>
      <c r="B3173" s="1" t="s">
        <v>14986</v>
      </c>
      <c r="C3173" s="1" t="s">
        <v>14987</v>
      </c>
      <c r="D3173" s="1">
        <v>5.082094E7</v>
      </c>
      <c r="E3173" s="1" t="s">
        <v>6959</v>
      </c>
      <c r="F3173" s="1" t="s">
        <v>6882</v>
      </c>
      <c r="G3173" s="1" t="s">
        <v>14988</v>
      </c>
      <c r="H3173" s="1" t="s">
        <v>14989</v>
      </c>
      <c r="I3173" s="1">
        <v>31915.0</v>
      </c>
      <c r="J3173" s="1" t="s">
        <v>14990</v>
      </c>
      <c r="K3173" s="1" t="s">
        <v>14991</v>
      </c>
      <c r="L3173" s="1">
        <v>159.0</v>
      </c>
      <c r="M3173" s="1" t="s">
        <v>35</v>
      </c>
      <c r="N3173" s="1" t="s">
        <v>36</v>
      </c>
      <c r="O3173" s="1" t="s">
        <v>37</v>
      </c>
      <c r="P3173" s="1">
        <v>5000000.0</v>
      </c>
      <c r="Q3173" s="1">
        <v>2014.0</v>
      </c>
      <c r="R3173" s="1">
        <v>852.0</v>
      </c>
      <c r="S3173" s="1">
        <v>707.0</v>
      </c>
      <c r="T3173" s="1">
        <v>704.0</v>
      </c>
      <c r="U3173" s="1">
        <v>5056.0</v>
      </c>
      <c r="V3173" s="1">
        <v>10.0</v>
      </c>
      <c r="W3173" s="1">
        <v>18000.0</v>
      </c>
      <c r="X3173" s="1">
        <v>0.0</v>
      </c>
      <c r="Y3173" s="1">
        <v>2.35</v>
      </c>
      <c r="Z3173" s="1">
        <v>4.4</v>
      </c>
    </row>
    <row r="3174" ht="14.25" customHeight="1">
      <c r="A3174" s="1" t="s">
        <v>26</v>
      </c>
      <c r="B3174" s="1" t="s">
        <v>1674</v>
      </c>
      <c r="C3174" s="1" t="s">
        <v>14992</v>
      </c>
      <c r="D3174" s="1">
        <v>4.47932E7</v>
      </c>
      <c r="E3174" s="1" t="s">
        <v>8311</v>
      </c>
      <c r="F3174" s="1" t="s">
        <v>14993</v>
      </c>
      <c r="G3174" s="1" t="s">
        <v>13988</v>
      </c>
      <c r="H3174" s="1" t="s">
        <v>14994</v>
      </c>
      <c r="I3174" s="1">
        <v>49820.0</v>
      </c>
      <c r="J3174" s="1" t="s">
        <v>14995</v>
      </c>
      <c r="K3174" s="1" t="s">
        <v>14996</v>
      </c>
      <c r="L3174" s="1">
        <v>311.0</v>
      </c>
      <c r="M3174" s="1" t="s">
        <v>35</v>
      </c>
      <c r="N3174" s="1" t="s">
        <v>36</v>
      </c>
      <c r="O3174" s="1" t="s">
        <v>6886</v>
      </c>
      <c r="P3174" s="1">
        <v>4500000.0</v>
      </c>
      <c r="Q3174" s="1">
        <v>1987.0</v>
      </c>
      <c r="R3174" s="1">
        <v>506.0</v>
      </c>
      <c r="S3174" s="1">
        <v>449.0</v>
      </c>
      <c r="T3174" s="1">
        <v>150.0</v>
      </c>
      <c r="U3174" s="1">
        <v>1584.0</v>
      </c>
      <c r="V3174" s="1">
        <v>55.0</v>
      </c>
      <c r="W3174" s="1">
        <v>0.0</v>
      </c>
      <c r="X3174" s="1">
        <v>0.0</v>
      </c>
      <c r="Y3174" s="1">
        <v>1.85</v>
      </c>
      <c r="Z3174" s="1">
        <v>6.6</v>
      </c>
    </row>
    <row r="3175" ht="14.25" customHeight="1">
      <c r="A3175" s="1" t="s">
        <v>26</v>
      </c>
      <c r="B3175" s="1" t="s">
        <v>13368</v>
      </c>
      <c r="C3175" s="1" t="s">
        <v>13369</v>
      </c>
      <c r="D3175" s="1">
        <v>4.3771291E7</v>
      </c>
      <c r="E3175" s="1" t="s">
        <v>815</v>
      </c>
      <c r="F3175" s="1" t="s">
        <v>6112</v>
      </c>
      <c r="G3175" s="1" t="s">
        <v>11524</v>
      </c>
      <c r="H3175" s="1" t="s">
        <v>7134</v>
      </c>
      <c r="I3175" s="1">
        <v>79916.0</v>
      </c>
      <c r="J3175" s="1" t="s">
        <v>13370</v>
      </c>
      <c r="K3175" s="1" t="s">
        <v>13371</v>
      </c>
      <c r="L3175" s="1">
        <v>279.0</v>
      </c>
      <c r="M3175" s="1" t="s">
        <v>35</v>
      </c>
      <c r="N3175" s="1" t="s">
        <v>36</v>
      </c>
      <c r="O3175" s="1" t="s">
        <v>628</v>
      </c>
      <c r="P3175" s="1">
        <v>5000000.0</v>
      </c>
      <c r="Q3175" s="1">
        <v>2015.0</v>
      </c>
      <c r="R3175" s="1">
        <v>1000.0</v>
      </c>
      <c r="S3175" s="1">
        <v>562.0</v>
      </c>
      <c r="T3175" s="1">
        <v>458.0</v>
      </c>
      <c r="U3175" s="1">
        <v>3215.0</v>
      </c>
      <c r="V3175" s="1">
        <v>0.0</v>
      </c>
      <c r="W3175" s="1">
        <v>15000.0</v>
      </c>
      <c r="X3175" s="1">
        <v>1.0</v>
      </c>
      <c r="Y3175" s="1">
        <v>2.35</v>
      </c>
      <c r="Z3175" s="1">
        <v>7.1</v>
      </c>
    </row>
    <row r="3176" ht="14.25" customHeight="1">
      <c r="A3176" s="1" t="s">
        <v>26</v>
      </c>
      <c r="B3176" s="1" t="s">
        <v>14997</v>
      </c>
      <c r="C3176" s="1" t="s">
        <v>14998</v>
      </c>
      <c r="D3176" s="1">
        <v>4.4456509E7</v>
      </c>
      <c r="E3176" s="1" t="s">
        <v>2422</v>
      </c>
      <c r="F3176" s="1" t="s">
        <v>14997</v>
      </c>
      <c r="G3176" s="1" t="s">
        <v>14999</v>
      </c>
      <c r="H3176" s="1" t="s">
        <v>15000</v>
      </c>
      <c r="I3176" s="1">
        <v>22105.0</v>
      </c>
      <c r="J3176" s="1" t="s">
        <v>15001</v>
      </c>
      <c r="K3176" s="1" t="s">
        <v>15002</v>
      </c>
      <c r="L3176" s="1">
        <v>81.0</v>
      </c>
      <c r="M3176" s="1" t="s">
        <v>2648</v>
      </c>
      <c r="N3176" s="1" t="s">
        <v>13128</v>
      </c>
      <c r="O3176" s="1" t="s">
        <v>37</v>
      </c>
      <c r="P3176" s="1">
        <v>5000000.0</v>
      </c>
      <c r="Q3176" s="1">
        <v>2013.0</v>
      </c>
      <c r="R3176" s="1">
        <v>399.0</v>
      </c>
      <c r="S3176" s="1">
        <v>89.0</v>
      </c>
      <c r="T3176" s="1">
        <v>83.0</v>
      </c>
      <c r="U3176" s="1">
        <v>688.0</v>
      </c>
      <c r="V3176" s="1">
        <v>399.0</v>
      </c>
      <c r="W3176" s="1">
        <v>14000.0</v>
      </c>
      <c r="X3176" s="1">
        <v>1.0</v>
      </c>
      <c r="Y3176" s="1">
        <v>1.85</v>
      </c>
      <c r="Z3176" s="1">
        <v>7.6</v>
      </c>
    </row>
    <row r="3177" ht="14.25" customHeight="1">
      <c r="A3177" s="1" t="s">
        <v>26</v>
      </c>
      <c r="B3177" s="1" t="s">
        <v>14981</v>
      </c>
      <c r="C3177" s="1" t="s">
        <v>15003</v>
      </c>
      <c r="D3177" s="1">
        <v>5.3884821E7</v>
      </c>
      <c r="E3177" s="1" t="s">
        <v>6019</v>
      </c>
      <c r="F3177" s="1" t="s">
        <v>15004</v>
      </c>
      <c r="G3177" s="1" t="s">
        <v>15005</v>
      </c>
      <c r="H3177" s="1" t="s">
        <v>15006</v>
      </c>
      <c r="I3177" s="1">
        <v>51204.0</v>
      </c>
      <c r="J3177" s="1" t="s">
        <v>15007</v>
      </c>
      <c r="K3177" s="1" t="s">
        <v>15008</v>
      </c>
      <c r="L3177" s="1">
        <v>247.0</v>
      </c>
      <c r="M3177" s="1" t="s">
        <v>35</v>
      </c>
      <c r="N3177" s="1" t="s">
        <v>36</v>
      </c>
      <c r="O3177" s="1" t="s">
        <v>628</v>
      </c>
      <c r="P3177" s="1">
        <v>5000000.0</v>
      </c>
      <c r="Q3177" s="1">
        <v>2012.0</v>
      </c>
      <c r="R3177" s="1">
        <v>235.0</v>
      </c>
      <c r="S3177" s="1">
        <v>119.0</v>
      </c>
      <c r="T3177" s="1">
        <v>113.0</v>
      </c>
      <c r="U3177" s="1">
        <v>799.0</v>
      </c>
      <c r="V3177" s="1">
        <v>24.0</v>
      </c>
      <c r="W3177" s="1">
        <v>26000.0</v>
      </c>
      <c r="X3177" s="1">
        <v>0.0</v>
      </c>
      <c r="Y3177" s="1">
        <v>1.85</v>
      </c>
      <c r="Z3177" s="1">
        <v>4.6</v>
      </c>
    </row>
    <row r="3178" ht="14.25" customHeight="1">
      <c r="A3178" s="1" t="s">
        <v>26</v>
      </c>
      <c r="B3178" s="1" t="s">
        <v>15009</v>
      </c>
      <c r="C3178" s="1" t="s">
        <v>15010</v>
      </c>
      <c r="D3178" s="1">
        <v>3.6E7</v>
      </c>
      <c r="E3178" s="1" t="s">
        <v>6130</v>
      </c>
      <c r="F3178" s="1" t="s">
        <v>5739</v>
      </c>
      <c r="G3178" s="1" t="s">
        <v>1048</v>
      </c>
      <c r="H3178" s="1" t="s">
        <v>15011</v>
      </c>
      <c r="I3178" s="1">
        <v>6359.0</v>
      </c>
      <c r="J3178" s="1" t="s">
        <v>15012</v>
      </c>
      <c r="K3178" s="1" t="s">
        <v>15013</v>
      </c>
      <c r="L3178" s="1">
        <v>69.0</v>
      </c>
      <c r="M3178" s="1" t="s">
        <v>35</v>
      </c>
      <c r="N3178" s="1" t="s">
        <v>36</v>
      </c>
      <c r="O3178" s="1" t="s">
        <v>12164</v>
      </c>
      <c r="P3178" s="1">
        <v>5000000.0</v>
      </c>
      <c r="Q3178" s="1">
        <v>1953.0</v>
      </c>
      <c r="R3178" s="1">
        <v>726.0</v>
      </c>
      <c r="S3178" s="1">
        <v>422.0</v>
      </c>
      <c r="T3178" s="1">
        <v>275.0</v>
      </c>
      <c r="U3178" s="1">
        <v>1920.0</v>
      </c>
      <c r="V3178" s="1">
        <v>28.0</v>
      </c>
      <c r="W3178" s="1">
        <v>0.0</v>
      </c>
      <c r="X3178" s="1">
        <v>1.0</v>
      </c>
      <c r="Y3178" s="1">
        <v>2.2</v>
      </c>
      <c r="Z3178" s="1">
        <v>6.8</v>
      </c>
    </row>
    <row r="3179" ht="14.25" customHeight="1">
      <c r="A3179" s="1" t="s">
        <v>26</v>
      </c>
      <c r="B3179" s="1" t="s">
        <v>9202</v>
      </c>
      <c r="C3179" s="1" t="s">
        <v>15014</v>
      </c>
      <c r="D3179" s="1">
        <v>3.4872293E7</v>
      </c>
      <c r="E3179" s="1" t="s">
        <v>7545</v>
      </c>
      <c r="F3179" s="1" t="s">
        <v>41</v>
      </c>
      <c r="G3179" s="1" t="s">
        <v>1653</v>
      </c>
      <c r="H3179" s="1" t="s">
        <v>7850</v>
      </c>
      <c r="I3179" s="1">
        <v>30765.0</v>
      </c>
      <c r="J3179" s="1" t="s">
        <v>15015</v>
      </c>
      <c r="K3179" s="1" t="s">
        <v>15016</v>
      </c>
      <c r="L3179" s="1">
        <v>252.0</v>
      </c>
      <c r="M3179" s="1" t="s">
        <v>35</v>
      </c>
      <c r="N3179" s="1" t="s">
        <v>36</v>
      </c>
      <c r="O3179" s="1" t="s">
        <v>628</v>
      </c>
      <c r="P3179" s="1">
        <v>8500000.0</v>
      </c>
      <c r="Q3179" s="1">
        <v>1991.0</v>
      </c>
      <c r="R3179" s="1">
        <v>40000.0</v>
      </c>
      <c r="S3179" s="1">
        <v>618.0</v>
      </c>
      <c r="T3179" s="1">
        <v>581.0</v>
      </c>
      <c r="U3179" s="1">
        <v>42002.0</v>
      </c>
      <c r="V3179" s="1">
        <v>54.0</v>
      </c>
      <c r="W3179" s="1">
        <v>963.0</v>
      </c>
      <c r="X3179" s="1">
        <v>0.0</v>
      </c>
      <c r="Y3179" s="1">
        <v>1.85</v>
      </c>
      <c r="Z3179" s="1">
        <v>4.9</v>
      </c>
    </row>
    <row r="3180" ht="14.25" customHeight="1">
      <c r="A3180" s="1" t="s">
        <v>26</v>
      </c>
      <c r="B3180" s="1" t="s">
        <v>15017</v>
      </c>
      <c r="C3180" s="1" t="s">
        <v>15018</v>
      </c>
      <c r="D3180" s="1">
        <v>3.4468224E7</v>
      </c>
      <c r="E3180" s="1" t="s">
        <v>11141</v>
      </c>
      <c r="F3180" s="1" t="s">
        <v>741</v>
      </c>
      <c r="G3180" s="1" t="s">
        <v>9596</v>
      </c>
      <c r="H3180" s="1" t="s">
        <v>5164</v>
      </c>
      <c r="I3180" s="1">
        <v>105568.0</v>
      </c>
      <c r="J3180" s="1" t="s">
        <v>15019</v>
      </c>
      <c r="K3180" s="1" t="s">
        <v>15020</v>
      </c>
      <c r="L3180" s="1">
        <v>533.0</v>
      </c>
      <c r="M3180" s="1" t="s">
        <v>35</v>
      </c>
      <c r="N3180" s="1" t="s">
        <v>36</v>
      </c>
      <c r="O3180" s="1" t="s">
        <v>628</v>
      </c>
      <c r="P3180" s="1">
        <v>4500000.0</v>
      </c>
      <c r="Q3180" s="1">
        <v>2003.0</v>
      </c>
      <c r="R3180" s="1">
        <v>9000.0</v>
      </c>
      <c r="S3180" s="1">
        <v>844.0</v>
      </c>
      <c r="T3180" s="1">
        <v>592.0</v>
      </c>
      <c r="U3180" s="1">
        <v>11736.0</v>
      </c>
      <c r="V3180" s="1">
        <v>260.0</v>
      </c>
      <c r="W3180" s="1">
        <v>0.0</v>
      </c>
      <c r="X3180" s="1">
        <v>2.0</v>
      </c>
      <c r="Y3180" s="1">
        <v>1.85</v>
      </c>
      <c r="Z3180" s="1">
        <v>7.3</v>
      </c>
    </row>
    <row r="3181" ht="14.25" customHeight="1">
      <c r="A3181" s="1" t="s">
        <v>26</v>
      </c>
      <c r="B3181" s="1" t="s">
        <v>15021</v>
      </c>
      <c r="C3181" s="1" t="s">
        <v>15022</v>
      </c>
      <c r="D3181" s="1">
        <v>3.2453345E7</v>
      </c>
      <c r="E3181" s="1" t="s">
        <v>9021</v>
      </c>
      <c r="F3181" s="1" t="s">
        <v>15023</v>
      </c>
      <c r="G3181" s="1" t="s">
        <v>15024</v>
      </c>
      <c r="H3181" s="1" t="s">
        <v>15025</v>
      </c>
      <c r="I3181" s="1">
        <v>31791.0</v>
      </c>
      <c r="J3181" s="1" t="s">
        <v>15026</v>
      </c>
      <c r="K3181" s="1" t="s">
        <v>15027</v>
      </c>
      <c r="L3181" s="1">
        <v>155.0</v>
      </c>
      <c r="M3181" s="1" t="s">
        <v>35</v>
      </c>
      <c r="N3181" s="1" t="s">
        <v>36</v>
      </c>
      <c r="O3181" s="1" t="s">
        <v>628</v>
      </c>
      <c r="P3181" s="1">
        <v>5000000.0</v>
      </c>
      <c r="Q3181" s="1">
        <v>2014.0</v>
      </c>
      <c r="R3181" s="1">
        <v>510.0</v>
      </c>
      <c r="S3181" s="1">
        <v>358.0</v>
      </c>
      <c r="T3181" s="1">
        <v>332.0</v>
      </c>
      <c r="U3181" s="1">
        <v>2161.0</v>
      </c>
      <c r="V3181" s="1">
        <v>52.0</v>
      </c>
      <c r="W3181" s="1">
        <v>10000.0</v>
      </c>
      <c r="X3181" s="1">
        <v>0.0</v>
      </c>
      <c r="Y3181" s="1">
        <v>1.78</v>
      </c>
      <c r="Z3181" s="1">
        <v>5.0</v>
      </c>
    </row>
    <row r="3182" ht="14.25" customHeight="1">
      <c r="A3182" s="1" t="s">
        <v>26</v>
      </c>
      <c r="B3182" s="1" t="s">
        <v>7169</v>
      </c>
      <c r="C3182" s="1" t="s">
        <v>15028</v>
      </c>
      <c r="D3182" s="1">
        <v>2.7296514E7</v>
      </c>
      <c r="E3182" s="1" t="s">
        <v>1474</v>
      </c>
      <c r="F3182" s="1" t="s">
        <v>637</v>
      </c>
      <c r="G3182" s="1" t="s">
        <v>713</v>
      </c>
      <c r="H3182" s="1" t="s">
        <v>4019</v>
      </c>
      <c r="I3182" s="1">
        <v>326494.0</v>
      </c>
      <c r="J3182" s="1" t="s">
        <v>15029</v>
      </c>
      <c r="K3182" s="1" t="s">
        <v>15030</v>
      </c>
      <c r="L3182" s="1">
        <v>340.0</v>
      </c>
      <c r="M3182" s="1" t="s">
        <v>35</v>
      </c>
      <c r="N3182" s="1" t="s">
        <v>36</v>
      </c>
      <c r="O3182" s="1" t="s">
        <v>628</v>
      </c>
      <c r="P3182" s="1">
        <v>5000000.0</v>
      </c>
      <c r="Q3182" s="1">
        <v>2013.0</v>
      </c>
      <c r="R3182" s="1">
        <v>11000.0</v>
      </c>
      <c r="S3182" s="1">
        <v>3000.0</v>
      </c>
      <c r="T3182" s="1">
        <v>896.0</v>
      </c>
      <c r="U3182" s="1">
        <v>17738.0</v>
      </c>
      <c r="V3182" s="1">
        <v>212.0</v>
      </c>
      <c r="W3182" s="1">
        <v>65000.0</v>
      </c>
      <c r="X3182" s="1">
        <v>0.0</v>
      </c>
      <c r="Y3182" s="1">
        <v>2.35</v>
      </c>
      <c r="Z3182" s="1">
        <v>8.0</v>
      </c>
    </row>
    <row r="3183" ht="14.25" customHeight="1">
      <c r="A3183" s="1" t="s">
        <v>26</v>
      </c>
      <c r="B3183" s="1" t="s">
        <v>15031</v>
      </c>
      <c r="C3183" s="1" t="s">
        <v>15032</v>
      </c>
      <c r="D3183" s="1">
        <v>2.5799043E7</v>
      </c>
      <c r="E3183" s="1" t="s">
        <v>4107</v>
      </c>
      <c r="F3183" s="1" t="s">
        <v>294</v>
      </c>
      <c r="G3183" s="1" t="s">
        <v>9830</v>
      </c>
      <c r="H3183" s="1" t="s">
        <v>1588</v>
      </c>
      <c r="I3183" s="1">
        <v>28513.0</v>
      </c>
      <c r="J3183" s="1" t="s">
        <v>15033</v>
      </c>
      <c r="K3183" s="1" t="s">
        <v>15034</v>
      </c>
      <c r="L3183" s="1">
        <v>126.0</v>
      </c>
      <c r="M3183" s="1" t="s">
        <v>35</v>
      </c>
      <c r="N3183" s="1" t="s">
        <v>36</v>
      </c>
      <c r="O3183" s="1" t="s">
        <v>37</v>
      </c>
      <c r="P3183" s="1">
        <v>3300000.0</v>
      </c>
      <c r="Q3183" s="1">
        <v>2015.0</v>
      </c>
      <c r="R3183" s="1">
        <v>10000.0</v>
      </c>
      <c r="S3183" s="1">
        <v>830.0</v>
      </c>
      <c r="T3183" s="1">
        <v>801.0</v>
      </c>
      <c r="U3183" s="1">
        <v>11771.0</v>
      </c>
      <c r="V3183" s="1">
        <v>26.0</v>
      </c>
      <c r="W3183" s="1">
        <v>0.0</v>
      </c>
      <c r="X3183" s="1">
        <v>0.0</v>
      </c>
      <c r="Y3183" s="1">
        <v>2.35</v>
      </c>
      <c r="Z3183" s="1">
        <v>5.2</v>
      </c>
    </row>
    <row r="3184" ht="14.25" customHeight="1">
      <c r="A3184" s="1" t="s">
        <v>710</v>
      </c>
      <c r="B3184" s="1" t="s">
        <v>55</v>
      </c>
      <c r="C3184" s="1" t="s">
        <v>15035</v>
      </c>
      <c r="D3184" s="1">
        <v>2.5530884E7</v>
      </c>
      <c r="E3184" s="1" t="s">
        <v>815</v>
      </c>
      <c r="F3184" s="1" t="s">
        <v>694</v>
      </c>
      <c r="G3184" s="1" t="s">
        <v>4768</v>
      </c>
      <c r="H3184" s="1" t="s">
        <v>15036</v>
      </c>
      <c r="I3184" s="1">
        <v>845580.0</v>
      </c>
      <c r="J3184" s="1" t="s">
        <v>15037</v>
      </c>
      <c r="K3184" s="1" t="s">
        <v>15038</v>
      </c>
      <c r="L3184" s="1">
        <v>2067.0</v>
      </c>
      <c r="M3184" s="1" t="s">
        <v>35</v>
      </c>
      <c r="N3184" s="1" t="s">
        <v>36</v>
      </c>
      <c r="O3184" s="1" t="s">
        <v>628</v>
      </c>
      <c r="P3184" s="1">
        <v>9000000.0</v>
      </c>
      <c r="Q3184" s="1">
        <v>2000.0</v>
      </c>
      <c r="R3184" s="1">
        <v>716.0</v>
      </c>
      <c r="S3184" s="1">
        <v>651.0</v>
      </c>
      <c r="T3184" s="1">
        <v>379.0</v>
      </c>
      <c r="U3184" s="1">
        <v>1997.0</v>
      </c>
      <c r="V3184" s="1">
        <v>22000.0</v>
      </c>
      <c r="W3184" s="1">
        <v>40000.0</v>
      </c>
      <c r="X3184" s="1">
        <v>0.0</v>
      </c>
      <c r="Y3184" s="1">
        <v>2.35</v>
      </c>
      <c r="Z3184" s="1">
        <v>8.5</v>
      </c>
    </row>
    <row r="3185" ht="14.25" customHeight="1">
      <c r="A3185" s="1" t="s">
        <v>26</v>
      </c>
      <c r="B3185" s="1" t="s">
        <v>15039</v>
      </c>
      <c r="C3185" s="1" t="s">
        <v>15040</v>
      </c>
      <c r="D3185" s="1">
        <v>2.7689474E7</v>
      </c>
      <c r="E3185" s="1" t="s">
        <v>5924</v>
      </c>
      <c r="F3185" s="1" t="s">
        <v>15041</v>
      </c>
      <c r="G3185" s="1" t="s">
        <v>3300</v>
      </c>
      <c r="H3185" s="1" t="s">
        <v>15042</v>
      </c>
      <c r="I3185" s="1">
        <v>85688.0</v>
      </c>
      <c r="J3185" s="1" t="s">
        <v>15043</v>
      </c>
      <c r="K3185" s="1" t="s">
        <v>15044</v>
      </c>
      <c r="L3185" s="1">
        <v>339.0</v>
      </c>
      <c r="M3185" s="1" t="s">
        <v>35</v>
      </c>
      <c r="N3185" s="1" t="s">
        <v>36</v>
      </c>
      <c r="O3185" s="1" t="s">
        <v>628</v>
      </c>
      <c r="P3185" s="1">
        <v>5000000.0</v>
      </c>
      <c r="Q3185" s="1">
        <v>2013.0</v>
      </c>
      <c r="R3185" s="1">
        <v>972.0</v>
      </c>
      <c r="S3185" s="1">
        <v>407.0</v>
      </c>
      <c r="T3185" s="1">
        <v>202.0</v>
      </c>
      <c r="U3185" s="1">
        <v>2071.0</v>
      </c>
      <c r="V3185" s="1">
        <v>59.0</v>
      </c>
      <c r="W3185" s="1">
        <v>23000.0</v>
      </c>
      <c r="X3185" s="1">
        <v>0.0</v>
      </c>
      <c r="Y3185" s="1">
        <v>2.35</v>
      </c>
      <c r="Z3185" s="1">
        <v>6.5</v>
      </c>
    </row>
    <row r="3186" ht="14.25" customHeight="1">
      <c r="A3186" s="1" t="s">
        <v>710</v>
      </c>
      <c r="B3186" s="1" t="s">
        <v>6697</v>
      </c>
      <c r="C3186" s="1" t="s">
        <v>15045</v>
      </c>
      <c r="D3186" s="1">
        <v>2.4138847E7</v>
      </c>
      <c r="E3186" s="1" t="s">
        <v>1885</v>
      </c>
      <c r="F3186" s="1" t="s">
        <v>2003</v>
      </c>
      <c r="G3186" s="1" t="s">
        <v>9591</v>
      </c>
      <c r="H3186" s="1" t="s">
        <v>15046</v>
      </c>
      <c r="I3186" s="1">
        <v>114797.0</v>
      </c>
      <c r="J3186" s="1" t="s">
        <v>15047</v>
      </c>
      <c r="K3186" s="1" t="s">
        <v>15048</v>
      </c>
      <c r="L3186" s="1">
        <v>472.0</v>
      </c>
      <c r="M3186" s="1" t="s">
        <v>35</v>
      </c>
      <c r="N3186" s="1" t="s">
        <v>36</v>
      </c>
      <c r="O3186" s="1" t="s">
        <v>628</v>
      </c>
      <c r="P3186" s="1">
        <v>5000000.0</v>
      </c>
      <c r="Q3186" s="1">
        <v>2006.0</v>
      </c>
      <c r="R3186" s="1">
        <v>1000.0</v>
      </c>
      <c r="S3186" s="1">
        <v>898.0</v>
      </c>
      <c r="T3186" s="1">
        <v>657.0</v>
      </c>
      <c r="U3186" s="1">
        <v>2990.0</v>
      </c>
      <c r="V3186" s="1">
        <v>0.0</v>
      </c>
      <c r="W3186" s="1">
        <v>0.0</v>
      </c>
      <c r="X3186" s="1">
        <v>3.0</v>
      </c>
      <c r="Y3186" s="1">
        <v>1.85</v>
      </c>
      <c r="Z3186" s="1">
        <v>7.4</v>
      </c>
    </row>
    <row r="3187" ht="14.25" customHeight="1">
      <c r="A3187" s="1" t="s">
        <v>26</v>
      </c>
      <c r="B3187" s="1" t="s">
        <v>6221</v>
      </c>
      <c r="C3187" s="1" t="s">
        <v>15049</v>
      </c>
      <c r="D3187" s="1">
        <v>2.1994911E7</v>
      </c>
      <c r="E3187" s="1" t="s">
        <v>5819</v>
      </c>
      <c r="F3187" s="1" t="s">
        <v>391</v>
      </c>
      <c r="G3187" s="1" t="s">
        <v>1714</v>
      </c>
      <c r="H3187" s="1" t="s">
        <v>15050</v>
      </c>
      <c r="I3187" s="1">
        <v>98354.0</v>
      </c>
      <c r="J3187" s="1" t="s">
        <v>15051</v>
      </c>
      <c r="K3187" s="1" t="s">
        <v>15052</v>
      </c>
      <c r="L3187" s="1">
        <v>433.0</v>
      </c>
      <c r="M3187" s="1" t="s">
        <v>35</v>
      </c>
      <c r="N3187" s="1" t="s">
        <v>54</v>
      </c>
      <c r="O3187" s="1" t="s">
        <v>628</v>
      </c>
      <c r="P3187" s="1">
        <v>5000000.0</v>
      </c>
      <c r="Q3187" s="1">
        <v>2000.0</v>
      </c>
      <c r="R3187" s="1">
        <v>838.0</v>
      </c>
      <c r="S3187" s="1">
        <v>203.0</v>
      </c>
      <c r="T3187" s="1">
        <v>34.0</v>
      </c>
      <c r="U3187" s="1">
        <v>1122.0</v>
      </c>
      <c r="V3187" s="1">
        <v>335.0</v>
      </c>
      <c r="W3187" s="1">
        <v>0.0</v>
      </c>
      <c r="X3187" s="1">
        <v>0.0</v>
      </c>
      <c r="Y3187" s="1">
        <v>1.85</v>
      </c>
      <c r="Z3187" s="1">
        <v>7.7</v>
      </c>
    </row>
    <row r="3188" ht="14.25" customHeight="1">
      <c r="A3188" s="1" t="s">
        <v>26</v>
      </c>
      <c r="B3188" s="1" t="s">
        <v>6181</v>
      </c>
      <c r="C3188" s="1" t="s">
        <v>15053</v>
      </c>
      <c r="D3188" s="1">
        <v>2.1501098E7</v>
      </c>
      <c r="E3188" s="1" t="s">
        <v>2422</v>
      </c>
      <c r="F3188" s="1" t="s">
        <v>503</v>
      </c>
      <c r="G3188" s="1" t="s">
        <v>416</v>
      </c>
      <c r="H3188" s="1" t="s">
        <v>13029</v>
      </c>
      <c r="I3188" s="1">
        <v>115813.0</v>
      </c>
      <c r="J3188" s="1" t="s">
        <v>15054</v>
      </c>
      <c r="K3188" s="1" t="s">
        <v>15055</v>
      </c>
      <c r="L3188" s="1">
        <v>216.0</v>
      </c>
      <c r="M3188" s="1" t="s">
        <v>35</v>
      </c>
      <c r="N3188" s="1" t="s">
        <v>36</v>
      </c>
      <c r="O3188" s="1" t="s">
        <v>37</v>
      </c>
      <c r="P3188" s="1">
        <v>5000000.0</v>
      </c>
      <c r="Q3188" s="1">
        <v>2013.0</v>
      </c>
      <c r="R3188" s="1">
        <v>7000.0</v>
      </c>
      <c r="S3188" s="1">
        <v>468.0</v>
      </c>
      <c r="T3188" s="1">
        <v>424.0</v>
      </c>
      <c r="U3188" s="1">
        <v>8375.0</v>
      </c>
      <c r="V3188" s="1">
        <v>214.0</v>
      </c>
      <c r="W3188" s="1">
        <v>22000.0</v>
      </c>
      <c r="X3188" s="1">
        <v>1.0</v>
      </c>
      <c r="Y3188" s="1">
        <v>1.85</v>
      </c>
      <c r="Z3188" s="1">
        <v>7.4</v>
      </c>
    </row>
    <row r="3189" ht="14.25" customHeight="1">
      <c r="A3189" s="1" t="s">
        <v>26</v>
      </c>
      <c r="B3189" s="1" t="s">
        <v>15056</v>
      </c>
      <c r="C3189" s="1" t="s">
        <v>15057</v>
      </c>
      <c r="D3189" s="1">
        <v>1.9281235E7</v>
      </c>
      <c r="E3189" s="1" t="s">
        <v>5429</v>
      </c>
      <c r="F3189" s="1" t="s">
        <v>15058</v>
      </c>
      <c r="G3189" s="1" t="s">
        <v>7860</v>
      </c>
      <c r="H3189" s="1" t="s">
        <v>15059</v>
      </c>
      <c r="I3189" s="1">
        <v>3571.0</v>
      </c>
      <c r="J3189" s="1" t="s">
        <v>15060</v>
      </c>
      <c r="K3189" s="1" t="s">
        <v>15061</v>
      </c>
      <c r="L3189" s="1">
        <v>11.0</v>
      </c>
      <c r="M3189" s="1" t="s">
        <v>35</v>
      </c>
      <c r="N3189" s="1" t="s">
        <v>36</v>
      </c>
      <c r="O3189" s="1" t="s">
        <v>628</v>
      </c>
      <c r="P3189" s="1">
        <v>5000000.0</v>
      </c>
      <c r="Q3189" s="1">
        <v>1991.0</v>
      </c>
      <c r="R3189" s="1">
        <v>901.0</v>
      </c>
      <c r="S3189" s="1">
        <v>413.0</v>
      </c>
      <c r="T3189" s="1">
        <v>287.0</v>
      </c>
      <c r="U3189" s="1">
        <v>2523.0</v>
      </c>
      <c r="V3189" s="1">
        <v>0.0</v>
      </c>
      <c r="W3189" s="1">
        <v>232.0</v>
      </c>
      <c r="X3189" s="1">
        <v>0.0</v>
      </c>
      <c r="Y3189" s="1">
        <v>1.85</v>
      </c>
      <c r="Z3189" s="1">
        <v>5.1</v>
      </c>
    </row>
    <row r="3190" ht="14.25" customHeight="1">
      <c r="A3190" s="1" t="s">
        <v>26</v>
      </c>
      <c r="B3190" s="1" t="s">
        <v>15062</v>
      </c>
      <c r="C3190" s="1" t="s">
        <v>15063</v>
      </c>
      <c r="D3190" s="1">
        <v>1.9421271E7</v>
      </c>
      <c r="E3190" s="1" t="s">
        <v>2816</v>
      </c>
      <c r="F3190" s="1" t="s">
        <v>1905</v>
      </c>
      <c r="G3190" s="1" t="s">
        <v>15064</v>
      </c>
      <c r="H3190" s="1" t="s">
        <v>15065</v>
      </c>
      <c r="I3190" s="1">
        <v>2448.0</v>
      </c>
      <c r="J3190" s="1" t="s">
        <v>15066</v>
      </c>
      <c r="K3190" s="1" t="s">
        <v>15067</v>
      </c>
      <c r="L3190" s="1">
        <v>18.0</v>
      </c>
      <c r="M3190" s="1" t="s">
        <v>35</v>
      </c>
      <c r="N3190" s="1" t="s">
        <v>36</v>
      </c>
      <c r="O3190" s="1" t="s">
        <v>269</v>
      </c>
      <c r="P3190" s="1">
        <v>5000000.0</v>
      </c>
      <c r="Q3190" s="1">
        <v>1999.0</v>
      </c>
      <c r="R3190" s="1">
        <v>2000.0</v>
      </c>
      <c r="S3190" s="1">
        <v>804.0</v>
      </c>
      <c r="T3190" s="1">
        <v>73.0</v>
      </c>
      <c r="U3190" s="1">
        <v>2908.0</v>
      </c>
      <c r="V3190" s="1">
        <v>0.0</v>
      </c>
      <c r="W3190" s="1">
        <v>122.0</v>
      </c>
      <c r="X3190" s="1">
        <v>1.0</v>
      </c>
      <c r="Y3190" s="1">
        <v>1.33</v>
      </c>
      <c r="Z3190" s="1">
        <v>5.0</v>
      </c>
    </row>
    <row r="3191" ht="14.25" customHeight="1">
      <c r="A3191" s="1" t="s">
        <v>26</v>
      </c>
      <c r="B3191" s="1" t="s">
        <v>1606</v>
      </c>
      <c r="C3191" s="1" t="s">
        <v>15068</v>
      </c>
      <c r="D3191" s="1">
        <v>2.0733485E7</v>
      </c>
      <c r="E3191" s="1" t="s">
        <v>3238</v>
      </c>
      <c r="F3191" s="1" t="s">
        <v>15069</v>
      </c>
      <c r="G3191" s="1" t="s">
        <v>8615</v>
      </c>
      <c r="H3191" s="1" t="s">
        <v>15070</v>
      </c>
      <c r="I3191" s="1">
        <v>11622.0</v>
      </c>
      <c r="J3191" s="1" t="s">
        <v>15071</v>
      </c>
      <c r="K3191" s="1" t="s">
        <v>15072</v>
      </c>
      <c r="L3191" s="1">
        <v>157.0</v>
      </c>
      <c r="M3191" s="1" t="s">
        <v>35</v>
      </c>
      <c r="N3191" s="1" t="s">
        <v>36</v>
      </c>
      <c r="O3191" s="1" t="s">
        <v>37</v>
      </c>
      <c r="P3191" s="1">
        <v>5000000.0</v>
      </c>
      <c r="Q3191" s="1">
        <v>1997.0</v>
      </c>
      <c r="R3191" s="1">
        <v>205.0</v>
      </c>
      <c r="S3191" s="1">
        <v>130.0</v>
      </c>
      <c r="T3191" s="1">
        <v>77.0</v>
      </c>
      <c r="U3191" s="1">
        <v>428.0</v>
      </c>
      <c r="V3191" s="1">
        <v>3000.0</v>
      </c>
      <c r="W3191" s="1">
        <v>1000.0</v>
      </c>
      <c r="X3191" s="1">
        <v>1.0</v>
      </c>
      <c r="Y3191" s="1">
        <v>1.85</v>
      </c>
      <c r="Z3191" s="1">
        <v>7.2</v>
      </c>
    </row>
    <row r="3192" ht="14.25" customHeight="1">
      <c r="A3192" s="1" t="s">
        <v>26</v>
      </c>
      <c r="B3192" s="1" t="s">
        <v>15073</v>
      </c>
      <c r="C3192" s="1" t="s">
        <v>15074</v>
      </c>
      <c r="D3192" s="1">
        <v>2.4809547E7</v>
      </c>
      <c r="E3192" s="1" t="s">
        <v>2422</v>
      </c>
      <c r="F3192" s="1" t="s">
        <v>1868</v>
      </c>
      <c r="G3192" s="1" t="s">
        <v>1475</v>
      </c>
      <c r="H3192" s="1" t="s">
        <v>776</v>
      </c>
      <c r="I3192" s="1">
        <v>74875.0</v>
      </c>
      <c r="J3192" s="1" t="s">
        <v>15075</v>
      </c>
      <c r="K3192" s="1" t="s">
        <v>15076</v>
      </c>
      <c r="L3192" s="1">
        <v>115.0</v>
      </c>
      <c r="M3192" s="1" t="s">
        <v>35</v>
      </c>
      <c r="N3192" s="1" t="s">
        <v>36</v>
      </c>
      <c r="O3192" s="1" t="s">
        <v>628</v>
      </c>
      <c r="P3192" s="1">
        <v>5000000.0</v>
      </c>
      <c r="Q3192" s="1">
        <v>2011.0</v>
      </c>
      <c r="R3192" s="1">
        <v>11000.0</v>
      </c>
      <c r="S3192" s="1">
        <v>3000.0</v>
      </c>
      <c r="T3192" s="1">
        <v>1000.0</v>
      </c>
      <c r="U3192" s="1">
        <v>15710.0</v>
      </c>
      <c r="V3192" s="1">
        <v>37.0</v>
      </c>
      <c r="W3192" s="1">
        <v>11000.0</v>
      </c>
      <c r="X3192" s="1">
        <v>1.0</v>
      </c>
      <c r="Y3192" s="1">
        <v>1.85</v>
      </c>
      <c r="Z3192" s="1">
        <v>6.4</v>
      </c>
    </row>
    <row r="3193" ht="14.25" customHeight="1">
      <c r="A3193" s="1" t="s">
        <v>26</v>
      </c>
      <c r="B3193" s="1" t="s">
        <v>15077</v>
      </c>
      <c r="C3193" s="1" t="s">
        <v>15078</v>
      </c>
      <c r="D3193" s="1">
        <v>2.303139E7</v>
      </c>
      <c r="E3193" s="1" t="s">
        <v>2422</v>
      </c>
      <c r="F3193" s="1" t="s">
        <v>767</v>
      </c>
      <c r="G3193" s="1" t="s">
        <v>15079</v>
      </c>
      <c r="H3193" s="1" t="s">
        <v>15080</v>
      </c>
      <c r="I3193" s="1">
        <v>4345.0</v>
      </c>
      <c r="J3193" s="1" t="s">
        <v>15081</v>
      </c>
      <c r="K3193" s="1" t="s">
        <v>15082</v>
      </c>
      <c r="L3193" s="1">
        <v>26.0</v>
      </c>
      <c r="M3193" s="1" t="s">
        <v>35</v>
      </c>
      <c r="N3193" s="1" t="s">
        <v>36</v>
      </c>
      <c r="O3193" s="1" t="s">
        <v>628</v>
      </c>
      <c r="P3193" s="1">
        <v>4500000.0</v>
      </c>
      <c r="Q3193" s="1">
        <v>1998.0</v>
      </c>
      <c r="R3193" s="1">
        <v>1000.0</v>
      </c>
      <c r="S3193" s="1">
        <v>597.0</v>
      </c>
      <c r="T3193" s="1">
        <v>498.0</v>
      </c>
      <c r="U3193" s="1">
        <v>2868.0</v>
      </c>
      <c r="V3193" s="1">
        <v>0.0</v>
      </c>
      <c r="W3193" s="1">
        <v>575.0</v>
      </c>
      <c r="X3193" s="1">
        <v>9.0</v>
      </c>
      <c r="Y3193" s="1">
        <v>1.85</v>
      </c>
      <c r="Z3193" s="1">
        <v>5.6</v>
      </c>
    </row>
    <row r="3194" ht="14.25" customHeight="1">
      <c r="A3194" s="1" t="s">
        <v>26</v>
      </c>
      <c r="B3194" s="1" t="s">
        <v>1432</v>
      </c>
      <c r="C3194" s="1" t="s">
        <v>13057</v>
      </c>
      <c r="D3194" s="1">
        <v>1.6017403E7</v>
      </c>
      <c r="E3194" s="1" t="s">
        <v>8285</v>
      </c>
      <c r="F3194" s="1" t="s">
        <v>1470</v>
      </c>
      <c r="G3194" s="1" t="s">
        <v>12258</v>
      </c>
      <c r="H3194" s="1" t="s">
        <v>3032</v>
      </c>
      <c r="I3194" s="1">
        <v>17333.0</v>
      </c>
      <c r="J3194" s="1" t="s">
        <v>13058</v>
      </c>
      <c r="K3194" s="1" t="s">
        <v>13059</v>
      </c>
      <c r="L3194" s="1">
        <v>153.0</v>
      </c>
      <c r="M3194" s="1" t="s">
        <v>35</v>
      </c>
      <c r="N3194" s="1" t="s">
        <v>36</v>
      </c>
      <c r="O3194" s="1" t="s">
        <v>628</v>
      </c>
      <c r="P3194" s="1">
        <v>5000000.0</v>
      </c>
      <c r="Q3194" s="1">
        <v>2001.0</v>
      </c>
      <c r="R3194" s="1">
        <v>1000.0</v>
      </c>
      <c r="S3194" s="1">
        <v>835.0</v>
      </c>
      <c r="T3194" s="1">
        <v>697.0</v>
      </c>
      <c r="U3194" s="1">
        <v>3300.0</v>
      </c>
      <c r="V3194" s="1">
        <v>596.0</v>
      </c>
      <c r="W3194" s="1">
        <v>0.0</v>
      </c>
      <c r="X3194" s="1">
        <v>2.0</v>
      </c>
      <c r="Y3194" s="1">
        <v>1.85</v>
      </c>
      <c r="Z3194" s="1">
        <v>6.2</v>
      </c>
    </row>
    <row r="3195" ht="14.25" customHeight="1">
      <c r="A3195" s="1" t="s">
        <v>26</v>
      </c>
      <c r="B3195" s="1" t="s">
        <v>12644</v>
      </c>
      <c r="C3195" s="1" t="s">
        <v>15083</v>
      </c>
      <c r="D3195" s="1">
        <v>2.1197315E7</v>
      </c>
      <c r="E3195" s="1" t="s">
        <v>2882</v>
      </c>
      <c r="F3195" s="1" t="s">
        <v>8738</v>
      </c>
      <c r="G3195" s="1" t="s">
        <v>15084</v>
      </c>
      <c r="H3195" s="1" t="s">
        <v>15085</v>
      </c>
      <c r="I3195" s="1">
        <v>49948.0</v>
      </c>
      <c r="J3195" s="1" t="s">
        <v>15086</v>
      </c>
      <c r="K3195" s="1" t="s">
        <v>15087</v>
      </c>
      <c r="L3195" s="1">
        <v>211.0</v>
      </c>
      <c r="M3195" s="1" t="s">
        <v>35</v>
      </c>
      <c r="N3195" s="1" t="s">
        <v>36</v>
      </c>
      <c r="O3195" s="1" t="s">
        <v>628</v>
      </c>
      <c r="P3195" s="1">
        <v>5000000.0</v>
      </c>
      <c r="Q3195" s="1">
        <v>2014.0</v>
      </c>
      <c r="R3195" s="1">
        <v>1000.0</v>
      </c>
      <c r="S3195" s="1">
        <v>200.0</v>
      </c>
      <c r="T3195" s="1">
        <v>161.0</v>
      </c>
      <c r="U3195" s="1">
        <v>1410.0</v>
      </c>
      <c r="V3195" s="1">
        <v>66.0</v>
      </c>
      <c r="W3195" s="1">
        <v>14000.0</v>
      </c>
      <c r="X3195" s="1">
        <v>0.0</v>
      </c>
      <c r="Y3195" s="1">
        <v>1.85</v>
      </c>
      <c r="Z3195" s="1">
        <v>6.1</v>
      </c>
    </row>
    <row r="3196" ht="14.25" customHeight="1">
      <c r="A3196" s="1" t="s">
        <v>26</v>
      </c>
      <c r="B3196" s="1" t="s">
        <v>10749</v>
      </c>
      <c r="C3196" s="1" t="s">
        <v>15088</v>
      </c>
      <c r="D3196" s="1">
        <v>1.7382982E7</v>
      </c>
      <c r="E3196" s="1" t="s">
        <v>3868</v>
      </c>
      <c r="F3196" s="1" t="s">
        <v>2672</v>
      </c>
      <c r="G3196" s="1" t="s">
        <v>15089</v>
      </c>
      <c r="H3196" s="1" t="s">
        <v>15090</v>
      </c>
      <c r="I3196" s="1">
        <v>5975.0</v>
      </c>
      <c r="J3196" s="1" t="s">
        <v>15091</v>
      </c>
      <c r="K3196" s="1" t="s">
        <v>15092</v>
      </c>
      <c r="L3196" s="1">
        <v>33.0</v>
      </c>
      <c r="M3196" s="1" t="s">
        <v>2648</v>
      </c>
      <c r="N3196" s="1" t="s">
        <v>36</v>
      </c>
      <c r="O3196" s="1" t="s">
        <v>628</v>
      </c>
      <c r="P3196" s="1">
        <v>5000000.0</v>
      </c>
      <c r="Q3196" s="1">
        <v>2014.0</v>
      </c>
      <c r="R3196" s="1">
        <v>1000.0</v>
      </c>
      <c r="S3196" s="1">
        <v>694.0</v>
      </c>
      <c r="T3196" s="1">
        <v>467.0</v>
      </c>
      <c r="U3196" s="1">
        <v>2840.0</v>
      </c>
      <c r="V3196" s="1">
        <v>23.0</v>
      </c>
      <c r="W3196" s="1">
        <v>0.0</v>
      </c>
      <c r="X3196" s="1">
        <v>0.0</v>
      </c>
      <c r="Y3196" s="1">
        <v>1.85</v>
      </c>
      <c r="Z3196" s="1">
        <v>5.2</v>
      </c>
    </row>
    <row r="3197" ht="14.25" customHeight="1">
      <c r="A3197" s="1" t="s">
        <v>26</v>
      </c>
      <c r="B3197" s="1" t="s">
        <v>10979</v>
      </c>
      <c r="C3197" s="1" t="s">
        <v>15093</v>
      </c>
      <c r="D3197" s="1">
        <v>1.4821531E7</v>
      </c>
      <c r="E3197" s="1" t="s">
        <v>3238</v>
      </c>
      <c r="F3197" s="1" t="s">
        <v>7889</v>
      </c>
      <c r="G3197" s="1" t="s">
        <v>9448</v>
      </c>
      <c r="H3197" s="1" t="s">
        <v>11846</v>
      </c>
      <c r="I3197" s="1">
        <v>6915.0</v>
      </c>
      <c r="J3197" s="1" t="s">
        <v>15094</v>
      </c>
      <c r="K3197" s="1" t="s">
        <v>15095</v>
      </c>
      <c r="L3197" s="1">
        <v>209.0</v>
      </c>
      <c r="M3197" s="1" t="s">
        <v>35</v>
      </c>
      <c r="N3197" s="1" t="s">
        <v>36</v>
      </c>
      <c r="O3197" s="1" t="s">
        <v>628</v>
      </c>
      <c r="P3197" s="1">
        <v>6000000.0</v>
      </c>
      <c r="Q3197" s="1">
        <v>1997.0</v>
      </c>
      <c r="R3197" s="1">
        <v>2000.0</v>
      </c>
      <c r="S3197" s="1">
        <v>434.0</v>
      </c>
      <c r="T3197" s="1">
        <v>426.0</v>
      </c>
      <c r="U3197" s="1">
        <v>3843.0</v>
      </c>
      <c r="V3197" s="1">
        <v>148.0</v>
      </c>
      <c r="W3197" s="1">
        <v>599.0</v>
      </c>
      <c r="X3197" s="1">
        <v>2.0</v>
      </c>
      <c r="Y3197" s="1">
        <v>1.85</v>
      </c>
      <c r="Z3197" s="1">
        <v>7.3</v>
      </c>
    </row>
    <row r="3198" ht="14.25" customHeight="1">
      <c r="A3198" s="1" t="s">
        <v>26</v>
      </c>
      <c r="B3198" s="1" t="s">
        <v>15096</v>
      </c>
      <c r="C3198" s="1" t="s">
        <v>15097</v>
      </c>
      <c r="D3198" s="1">
        <v>1.86564E7</v>
      </c>
      <c r="E3198" s="1" t="s">
        <v>3238</v>
      </c>
      <c r="F3198" s="1" t="s">
        <v>544</v>
      </c>
      <c r="G3198" s="1" t="s">
        <v>2287</v>
      </c>
      <c r="H3198" s="1" t="s">
        <v>1761</v>
      </c>
      <c r="I3198" s="1">
        <v>86077.0</v>
      </c>
      <c r="J3198" s="1" t="s">
        <v>15098</v>
      </c>
      <c r="K3198" s="1" t="s">
        <v>15099</v>
      </c>
      <c r="L3198" s="1">
        <v>195.0</v>
      </c>
      <c r="M3198" s="1" t="s">
        <v>35</v>
      </c>
      <c r="N3198" s="1" t="s">
        <v>36</v>
      </c>
      <c r="O3198" s="1" t="s">
        <v>37</v>
      </c>
      <c r="P3198" s="1">
        <v>5000000.0</v>
      </c>
      <c r="Q3198" s="1">
        <v>2014.0</v>
      </c>
      <c r="R3198" s="1">
        <v>17000.0</v>
      </c>
      <c r="S3198" s="1">
        <v>2000.0</v>
      </c>
      <c r="T3198" s="1">
        <v>423.0</v>
      </c>
      <c r="U3198" s="1">
        <v>19673.0</v>
      </c>
      <c r="V3198" s="1">
        <v>25.0</v>
      </c>
      <c r="W3198" s="1">
        <v>45000.0</v>
      </c>
      <c r="X3198" s="1">
        <v>1.0</v>
      </c>
      <c r="Y3198" s="1">
        <v>1.85</v>
      </c>
      <c r="Z3198" s="1">
        <v>7.5</v>
      </c>
    </row>
    <row r="3199" ht="14.25" customHeight="1">
      <c r="A3199" s="1" t="s">
        <v>26</v>
      </c>
      <c r="B3199" s="1" t="s">
        <v>15100</v>
      </c>
      <c r="C3199" s="1" t="s">
        <v>15101</v>
      </c>
      <c r="D3199" s="1">
        <v>1.4343976E7</v>
      </c>
      <c r="E3199" s="1" t="s">
        <v>15102</v>
      </c>
      <c r="F3199" s="1" t="s">
        <v>12099</v>
      </c>
      <c r="G3199" s="1" t="s">
        <v>15103</v>
      </c>
      <c r="H3199" s="1" t="s">
        <v>15104</v>
      </c>
      <c r="I3199" s="1">
        <v>22961.0</v>
      </c>
      <c r="J3199" s="1" t="s">
        <v>15105</v>
      </c>
      <c r="K3199" s="1" t="s">
        <v>15106</v>
      </c>
      <c r="L3199" s="1">
        <v>291.0</v>
      </c>
      <c r="M3199" s="1" t="s">
        <v>35</v>
      </c>
      <c r="N3199" s="1" t="s">
        <v>36</v>
      </c>
      <c r="O3199" s="1" t="s">
        <v>628</v>
      </c>
      <c r="P3199" s="1">
        <v>5000000.0</v>
      </c>
      <c r="Q3199" s="1">
        <v>1989.0</v>
      </c>
      <c r="R3199" s="1">
        <v>935.0</v>
      </c>
      <c r="S3199" s="1">
        <v>120.0</v>
      </c>
      <c r="T3199" s="1">
        <v>65.0</v>
      </c>
      <c r="U3199" s="1">
        <v>1327.0</v>
      </c>
      <c r="V3199" s="1">
        <v>6.0</v>
      </c>
      <c r="W3199" s="1">
        <v>1000.0</v>
      </c>
      <c r="X3199" s="1">
        <v>0.0</v>
      </c>
      <c r="Y3199" s="1">
        <v>1.85</v>
      </c>
      <c r="Z3199" s="1">
        <v>4.5</v>
      </c>
    </row>
    <row r="3200" ht="14.25" customHeight="1">
      <c r="A3200" s="1" t="s">
        <v>26</v>
      </c>
      <c r="B3200" s="1" t="s">
        <v>5466</v>
      </c>
      <c r="C3200" s="1" t="s">
        <v>15107</v>
      </c>
      <c r="D3200" s="1">
        <v>2.41437427E8</v>
      </c>
      <c r="E3200" s="1" t="s">
        <v>2599</v>
      </c>
      <c r="F3200" s="1" t="s">
        <v>10343</v>
      </c>
      <c r="G3200" s="1" t="s">
        <v>10700</v>
      </c>
      <c r="H3200" s="1" t="s">
        <v>9439</v>
      </c>
      <c r="I3200" s="1">
        <v>102071.0</v>
      </c>
      <c r="J3200" s="1" t="s">
        <v>15108</v>
      </c>
      <c r="K3200" s="1" t="s">
        <v>15109</v>
      </c>
      <c r="L3200" s="1">
        <v>756.0</v>
      </c>
      <c r="M3200" s="1" t="s">
        <v>35</v>
      </c>
      <c r="N3200" s="1" t="s">
        <v>36</v>
      </c>
      <c r="O3200" s="1" t="s">
        <v>87</v>
      </c>
      <c r="P3200" s="1">
        <v>5000000.0</v>
      </c>
      <c r="Q3200" s="1">
        <v>2002.0</v>
      </c>
      <c r="R3200" s="1">
        <v>567.0</v>
      </c>
      <c r="S3200" s="1">
        <v>312.0</v>
      </c>
      <c r="T3200" s="1">
        <v>249.0</v>
      </c>
      <c r="U3200" s="1">
        <v>1495.0</v>
      </c>
      <c r="V3200" s="1">
        <v>38.0</v>
      </c>
      <c r="W3200" s="1">
        <v>5000.0</v>
      </c>
      <c r="X3200" s="1">
        <v>3.0</v>
      </c>
      <c r="Y3200" s="1">
        <v>1.85</v>
      </c>
      <c r="Z3200" s="1">
        <v>6.6</v>
      </c>
    </row>
    <row r="3201" ht="14.25" customHeight="1">
      <c r="A3201" s="1" t="s">
        <v>26</v>
      </c>
      <c r="B3201" s="1" t="s">
        <v>12840</v>
      </c>
      <c r="C3201" s="1" t="s">
        <v>15110</v>
      </c>
      <c r="D3201" s="1">
        <v>1.4123773E7</v>
      </c>
      <c r="E3201" s="1" t="s">
        <v>1854</v>
      </c>
      <c r="F3201" s="1" t="s">
        <v>75</v>
      </c>
      <c r="G3201" s="1" t="s">
        <v>13798</v>
      </c>
      <c r="H3201" s="1" t="s">
        <v>15111</v>
      </c>
      <c r="I3201" s="1">
        <v>108683.0</v>
      </c>
      <c r="J3201" s="1" t="s">
        <v>15112</v>
      </c>
      <c r="K3201" s="1" t="s">
        <v>15113</v>
      </c>
      <c r="L3201" s="1">
        <v>561.0</v>
      </c>
      <c r="M3201" s="1" t="s">
        <v>35</v>
      </c>
      <c r="N3201" s="1" t="s">
        <v>36</v>
      </c>
      <c r="O3201" s="1" t="s">
        <v>628</v>
      </c>
      <c r="P3201" s="1">
        <v>5000000.0</v>
      </c>
      <c r="Q3201" s="1">
        <v>2012.0</v>
      </c>
      <c r="R3201" s="1">
        <v>11000.0</v>
      </c>
      <c r="S3201" s="1">
        <v>892.0</v>
      </c>
      <c r="T3201" s="1">
        <v>192.0</v>
      </c>
      <c r="U3201" s="1">
        <v>12306.0</v>
      </c>
      <c r="V3201" s="1">
        <v>520.0</v>
      </c>
      <c r="W3201" s="1">
        <v>25000.0</v>
      </c>
      <c r="X3201" s="1">
        <v>4.0</v>
      </c>
      <c r="Y3201" s="1">
        <v>2.35</v>
      </c>
      <c r="Z3201" s="1">
        <v>5.3</v>
      </c>
    </row>
    <row r="3202" ht="14.25" customHeight="1">
      <c r="A3202" s="1" t="s">
        <v>26</v>
      </c>
      <c r="B3202" s="1" t="s">
        <v>15114</v>
      </c>
      <c r="C3202" s="1" t="s">
        <v>15115</v>
      </c>
      <c r="D3202" s="1">
        <v>1.5126948E7</v>
      </c>
      <c r="E3202" s="1" t="s">
        <v>6278</v>
      </c>
      <c r="F3202" s="1" t="s">
        <v>9365</v>
      </c>
      <c r="G3202" s="1" t="s">
        <v>15116</v>
      </c>
      <c r="H3202" s="1" t="s">
        <v>11620</v>
      </c>
      <c r="I3202" s="1">
        <v>20815.0</v>
      </c>
      <c r="J3202" s="1" t="s">
        <v>15117</v>
      </c>
      <c r="K3202" s="1" t="s">
        <v>15118</v>
      </c>
      <c r="L3202" s="1">
        <v>335.0</v>
      </c>
      <c r="M3202" s="1" t="s">
        <v>35</v>
      </c>
      <c r="N3202" s="1" t="s">
        <v>36</v>
      </c>
      <c r="O3202" s="1" t="s">
        <v>628</v>
      </c>
      <c r="P3202" s="1">
        <v>5000000.0</v>
      </c>
      <c r="Q3202" s="1">
        <v>1995.0</v>
      </c>
      <c r="R3202" s="1">
        <v>742.0</v>
      </c>
      <c r="S3202" s="1">
        <v>152.0</v>
      </c>
      <c r="T3202" s="1">
        <v>141.0</v>
      </c>
      <c r="U3202" s="1">
        <v>1227.0</v>
      </c>
      <c r="V3202" s="1">
        <v>13.0</v>
      </c>
      <c r="W3202" s="1">
        <v>0.0</v>
      </c>
      <c r="X3202" s="1">
        <v>0.0</v>
      </c>
      <c r="Y3202" s="1">
        <v>1.85</v>
      </c>
      <c r="Z3202" s="1">
        <v>4.9</v>
      </c>
    </row>
    <row r="3203" ht="14.25" customHeight="1">
      <c r="A3203" s="1" t="s">
        <v>26</v>
      </c>
      <c r="B3203" s="1" t="s">
        <v>1172</v>
      </c>
      <c r="C3203" s="1" t="s">
        <v>15119</v>
      </c>
      <c r="D3203" s="1">
        <v>1.3622333E7</v>
      </c>
      <c r="E3203" s="1" t="s">
        <v>10435</v>
      </c>
      <c r="F3203" s="1" t="s">
        <v>11243</v>
      </c>
      <c r="G3203" s="1" t="s">
        <v>15120</v>
      </c>
      <c r="H3203" s="1" t="s">
        <v>15121</v>
      </c>
      <c r="I3203" s="1">
        <v>91377.0</v>
      </c>
      <c r="J3203" s="1" t="s">
        <v>15122</v>
      </c>
      <c r="K3203" s="1" t="s">
        <v>15123</v>
      </c>
      <c r="L3203" s="1">
        <v>385.0</v>
      </c>
      <c r="M3203" s="1" t="s">
        <v>2648</v>
      </c>
      <c r="N3203" s="1" t="s">
        <v>13128</v>
      </c>
      <c r="O3203" s="1" t="s">
        <v>628</v>
      </c>
      <c r="P3203" s="1">
        <v>2000000.0</v>
      </c>
      <c r="Q3203" s="1">
        <v>2001.0</v>
      </c>
      <c r="R3203" s="1">
        <v>269.0</v>
      </c>
      <c r="S3203" s="1">
        <v>43.0</v>
      </c>
      <c r="T3203" s="1">
        <v>19.0</v>
      </c>
      <c r="U3203" s="1">
        <v>361.0</v>
      </c>
      <c r="V3203" s="1">
        <v>0.0</v>
      </c>
      <c r="W3203" s="1">
        <v>0.0</v>
      </c>
      <c r="X3203" s="1">
        <v>1.0</v>
      </c>
      <c r="Y3203" s="1">
        <v>1.85</v>
      </c>
      <c r="Z3203" s="1">
        <v>7.7</v>
      </c>
    </row>
    <row r="3204" ht="14.25" customHeight="1">
      <c r="A3204" s="1" t="s">
        <v>26</v>
      </c>
      <c r="B3204" s="1" t="s">
        <v>2354</v>
      </c>
      <c r="C3204" s="1" t="s">
        <v>15124</v>
      </c>
      <c r="D3204" s="1">
        <v>1.3464388E7</v>
      </c>
      <c r="E3204" s="1" t="s">
        <v>7114</v>
      </c>
      <c r="F3204" s="1" t="s">
        <v>15125</v>
      </c>
      <c r="G3204" s="1" t="s">
        <v>5715</v>
      </c>
      <c r="H3204" s="1" t="s">
        <v>1085</v>
      </c>
      <c r="I3204" s="1">
        <v>395921.0</v>
      </c>
      <c r="J3204" s="1" t="s">
        <v>15126</v>
      </c>
      <c r="K3204" s="1" t="s">
        <v>15127</v>
      </c>
      <c r="L3204" s="1">
        <v>859.0</v>
      </c>
      <c r="M3204" s="1" t="s">
        <v>35</v>
      </c>
      <c r="N3204" s="1" t="s">
        <v>54</v>
      </c>
      <c r="O3204" s="1" t="s">
        <v>628</v>
      </c>
      <c r="P3204" s="1">
        <v>4000000.0</v>
      </c>
      <c r="Q3204" s="1">
        <v>2004.0</v>
      </c>
      <c r="R3204" s="1">
        <v>605.0</v>
      </c>
      <c r="S3204" s="1">
        <v>427.0</v>
      </c>
      <c r="T3204" s="1">
        <v>358.0</v>
      </c>
      <c r="U3204" s="1">
        <v>1686.0</v>
      </c>
      <c r="V3204" s="1">
        <v>1000.0</v>
      </c>
      <c r="W3204" s="1">
        <v>19000.0</v>
      </c>
      <c r="X3204" s="1">
        <v>6.0</v>
      </c>
      <c r="Y3204" s="1">
        <v>2.35</v>
      </c>
      <c r="Z3204" s="1">
        <v>8.0</v>
      </c>
    </row>
    <row r="3205" ht="14.25" customHeight="1">
      <c r="A3205" s="1" t="s">
        <v>26</v>
      </c>
      <c r="B3205" s="1" t="s">
        <v>15128</v>
      </c>
      <c r="C3205" s="1" t="s">
        <v>15129</v>
      </c>
      <c r="D3205" s="1">
        <v>1.3350177E7</v>
      </c>
      <c r="E3205" s="1" t="s">
        <v>4158</v>
      </c>
      <c r="F3205" s="1" t="s">
        <v>15130</v>
      </c>
      <c r="G3205" s="1" t="s">
        <v>15131</v>
      </c>
      <c r="H3205" s="1" t="s">
        <v>3734</v>
      </c>
      <c r="I3205" s="1">
        <v>7904.0</v>
      </c>
      <c r="J3205" s="1" t="s">
        <v>15132</v>
      </c>
      <c r="K3205" s="1" t="s">
        <v>15133</v>
      </c>
      <c r="L3205" s="1">
        <v>113.0</v>
      </c>
      <c r="M3205" s="1" t="s">
        <v>35</v>
      </c>
      <c r="N3205" s="1" t="s">
        <v>36</v>
      </c>
      <c r="O3205" s="1" t="s">
        <v>37</v>
      </c>
      <c r="P3205" s="1">
        <v>5000000.0</v>
      </c>
      <c r="Q3205" s="1">
        <v>2008.0</v>
      </c>
      <c r="R3205" s="1">
        <v>1000.0</v>
      </c>
      <c r="S3205" s="1">
        <v>984.0</v>
      </c>
      <c r="T3205" s="1">
        <v>664.0</v>
      </c>
      <c r="U3205" s="1">
        <v>4856.0</v>
      </c>
      <c r="V3205" s="1">
        <v>7.0</v>
      </c>
      <c r="W3205" s="1">
        <v>562.0</v>
      </c>
      <c r="X3205" s="1">
        <v>5.0</v>
      </c>
      <c r="Y3205" s="1">
        <v>1.85</v>
      </c>
      <c r="Z3205" s="1">
        <v>3.8</v>
      </c>
    </row>
    <row r="3206" ht="14.25" customHeight="1">
      <c r="A3206" s="1" t="s">
        <v>26</v>
      </c>
      <c r="B3206" s="1" t="s">
        <v>13891</v>
      </c>
      <c r="C3206" s="1" t="s">
        <v>15134</v>
      </c>
      <c r="D3206" s="1">
        <v>1.3269963E7</v>
      </c>
      <c r="E3206" s="1" t="s">
        <v>7540</v>
      </c>
      <c r="F3206" s="1" t="s">
        <v>637</v>
      </c>
      <c r="G3206" s="1" t="s">
        <v>14265</v>
      </c>
      <c r="H3206" s="1" t="s">
        <v>15135</v>
      </c>
      <c r="I3206" s="1">
        <v>23202.0</v>
      </c>
      <c r="J3206" s="1" t="s">
        <v>15136</v>
      </c>
      <c r="K3206" s="1" t="s">
        <v>15137</v>
      </c>
      <c r="L3206" s="1">
        <v>173.0</v>
      </c>
      <c r="M3206" s="1" t="s">
        <v>35</v>
      </c>
      <c r="N3206" s="1" t="s">
        <v>36</v>
      </c>
      <c r="O3206" s="1" t="s">
        <v>628</v>
      </c>
      <c r="P3206" s="1">
        <v>5000000.0</v>
      </c>
      <c r="Q3206" s="1">
        <v>1996.0</v>
      </c>
      <c r="R3206" s="1">
        <v>11000.0</v>
      </c>
      <c r="S3206" s="1">
        <v>189.0</v>
      </c>
      <c r="T3206" s="1">
        <v>111.0</v>
      </c>
      <c r="U3206" s="1">
        <v>11400.0</v>
      </c>
      <c r="V3206" s="1">
        <v>407.0</v>
      </c>
      <c r="W3206" s="1">
        <v>0.0</v>
      </c>
      <c r="X3206" s="1">
        <v>2.0</v>
      </c>
      <c r="Y3206" s="1">
        <v>2.35</v>
      </c>
      <c r="Z3206" s="1">
        <v>7.6</v>
      </c>
    </row>
    <row r="3207" ht="14.25" customHeight="1">
      <c r="A3207" s="1" t="s">
        <v>26</v>
      </c>
      <c r="B3207" s="1" t="s">
        <v>8927</v>
      </c>
      <c r="C3207" s="1" t="s">
        <v>15138</v>
      </c>
      <c r="D3207" s="1">
        <v>1.7768E7</v>
      </c>
      <c r="E3207" s="1" t="s">
        <v>6278</v>
      </c>
      <c r="F3207" s="1" t="s">
        <v>9365</v>
      </c>
      <c r="G3207" s="1" t="s">
        <v>15139</v>
      </c>
      <c r="H3207" s="1" t="s">
        <v>15140</v>
      </c>
      <c r="I3207" s="1">
        <v>29629.0</v>
      </c>
      <c r="J3207" s="1" t="s">
        <v>15141</v>
      </c>
      <c r="K3207" s="1" t="s">
        <v>15142</v>
      </c>
      <c r="L3207" s="1">
        <v>374.0</v>
      </c>
      <c r="M3207" s="1" t="s">
        <v>35</v>
      </c>
      <c r="N3207" s="1" t="s">
        <v>36</v>
      </c>
      <c r="O3207" s="1" t="s">
        <v>628</v>
      </c>
      <c r="P3207" s="1">
        <v>5000000.0</v>
      </c>
      <c r="Q3207" s="1">
        <v>1988.0</v>
      </c>
      <c r="R3207" s="1">
        <v>742.0</v>
      </c>
      <c r="S3207" s="1">
        <v>120.0</v>
      </c>
      <c r="T3207" s="1">
        <v>101.0</v>
      </c>
      <c r="U3207" s="1">
        <v>1136.0</v>
      </c>
      <c r="V3207" s="1">
        <v>27.0</v>
      </c>
      <c r="W3207" s="1">
        <v>0.0</v>
      </c>
      <c r="X3207" s="1">
        <v>0.0</v>
      </c>
      <c r="Y3207" s="1">
        <v>1.85</v>
      </c>
      <c r="Z3207" s="1">
        <v>5.9</v>
      </c>
    </row>
    <row r="3208" ht="14.25" customHeight="1">
      <c r="A3208" s="1" t="s">
        <v>26</v>
      </c>
      <c r="B3208" s="1" t="s">
        <v>15143</v>
      </c>
      <c r="C3208" s="1" t="s">
        <v>15144</v>
      </c>
      <c r="D3208" s="1">
        <v>1.2947763E7</v>
      </c>
      <c r="E3208" s="1" t="s">
        <v>5924</v>
      </c>
      <c r="F3208" s="1" t="s">
        <v>5870</v>
      </c>
      <c r="G3208" s="1" t="s">
        <v>15145</v>
      </c>
      <c r="H3208" s="1" t="s">
        <v>15146</v>
      </c>
      <c r="I3208" s="1">
        <v>10624.0</v>
      </c>
      <c r="J3208" s="1" t="s">
        <v>15147</v>
      </c>
      <c r="K3208" s="1" t="s">
        <v>15148</v>
      </c>
      <c r="L3208" s="1">
        <v>125.0</v>
      </c>
      <c r="M3208" s="1" t="s">
        <v>35</v>
      </c>
      <c r="N3208" s="1" t="s">
        <v>36</v>
      </c>
      <c r="O3208" s="1" t="s">
        <v>628</v>
      </c>
      <c r="P3208" s="1">
        <v>5000000.0</v>
      </c>
      <c r="Q3208" s="1">
        <v>1986.0</v>
      </c>
      <c r="R3208" s="1">
        <v>690.0</v>
      </c>
      <c r="S3208" s="1">
        <v>190.0</v>
      </c>
      <c r="T3208" s="1">
        <v>85.0</v>
      </c>
      <c r="U3208" s="1">
        <v>1160.0</v>
      </c>
      <c r="V3208" s="1">
        <v>17.0</v>
      </c>
      <c r="W3208" s="1">
        <v>0.0</v>
      </c>
      <c r="X3208" s="1">
        <v>0.0</v>
      </c>
      <c r="Y3208" s="1">
        <v>2.35</v>
      </c>
      <c r="Z3208" s="1">
        <v>6.2</v>
      </c>
    </row>
    <row r="3209" ht="14.25" customHeight="1">
      <c r="A3209" s="1" t="s">
        <v>26</v>
      </c>
      <c r="B3209" s="1" t="s">
        <v>2962</v>
      </c>
      <c r="C3209" s="1" t="s">
        <v>15149</v>
      </c>
      <c r="D3209" s="1">
        <v>1.41E7</v>
      </c>
      <c r="E3209" s="1" t="s">
        <v>2422</v>
      </c>
      <c r="F3209" s="1" t="s">
        <v>10168</v>
      </c>
      <c r="G3209" s="1" t="s">
        <v>7961</v>
      </c>
      <c r="H3209" s="1" t="s">
        <v>4507</v>
      </c>
      <c r="I3209" s="1">
        <v>14995.0</v>
      </c>
      <c r="J3209" s="1" t="s">
        <v>15150</v>
      </c>
      <c r="K3209" s="1" t="s">
        <v>15151</v>
      </c>
      <c r="L3209" s="1">
        <v>87.0</v>
      </c>
      <c r="M3209" s="1" t="s">
        <v>35</v>
      </c>
      <c r="N3209" s="1" t="s">
        <v>36</v>
      </c>
      <c r="O3209" s="1" t="s">
        <v>628</v>
      </c>
      <c r="P3209" s="1">
        <v>5000000.0</v>
      </c>
      <c r="Q3209" s="1">
        <v>1982.0</v>
      </c>
      <c r="R3209" s="1">
        <v>801.0</v>
      </c>
      <c r="S3209" s="1">
        <v>796.0</v>
      </c>
      <c r="T3209" s="1">
        <v>551.0</v>
      </c>
      <c r="U3209" s="1">
        <v>2943.0</v>
      </c>
      <c r="V3209" s="1">
        <v>272.0</v>
      </c>
      <c r="W3209" s="1">
        <v>0.0</v>
      </c>
      <c r="X3209" s="1">
        <v>6.0</v>
      </c>
      <c r="Y3209" s="1">
        <v>1.85</v>
      </c>
      <c r="Z3209" s="1">
        <v>7.2</v>
      </c>
    </row>
    <row r="3210" ht="14.25" customHeight="1">
      <c r="A3210" s="1" t="s">
        <v>26</v>
      </c>
      <c r="B3210" s="1" t="s">
        <v>15152</v>
      </c>
      <c r="C3210" s="1" t="s">
        <v>15153</v>
      </c>
      <c r="D3210" s="1">
        <v>1.22E7</v>
      </c>
      <c r="E3210" s="1" t="s">
        <v>9467</v>
      </c>
      <c r="F3210" s="1" t="s">
        <v>4395</v>
      </c>
      <c r="G3210" s="1" t="s">
        <v>15154</v>
      </c>
      <c r="H3210" s="1" t="s">
        <v>15155</v>
      </c>
      <c r="I3210" s="1">
        <v>7973.0</v>
      </c>
      <c r="J3210" s="1" t="s">
        <v>15156</v>
      </c>
      <c r="K3210" s="1" t="s">
        <v>15157</v>
      </c>
      <c r="L3210" s="1">
        <v>65.0</v>
      </c>
      <c r="M3210" s="1" t="s">
        <v>35</v>
      </c>
      <c r="N3210" s="1" t="s">
        <v>36</v>
      </c>
      <c r="O3210" s="1" t="s">
        <v>87</v>
      </c>
      <c r="P3210" s="1">
        <v>5000000.0</v>
      </c>
      <c r="Q3210" s="1">
        <v>1983.0</v>
      </c>
      <c r="R3210" s="1">
        <v>926.0</v>
      </c>
      <c r="S3210" s="1">
        <v>400.0</v>
      </c>
      <c r="T3210" s="1">
        <v>268.0</v>
      </c>
      <c r="U3210" s="1">
        <v>2383.0</v>
      </c>
      <c r="V3210" s="1">
        <v>8.0</v>
      </c>
      <c r="W3210" s="1">
        <v>0.0</v>
      </c>
      <c r="X3210" s="1">
        <v>0.0</v>
      </c>
      <c r="Y3210" s="1">
        <v>1.85</v>
      </c>
      <c r="Z3210" s="1">
        <v>6.3</v>
      </c>
    </row>
    <row r="3211" ht="14.25" customHeight="1">
      <c r="A3211" s="1" t="s">
        <v>26</v>
      </c>
      <c r="B3211" s="1" t="s">
        <v>15158</v>
      </c>
      <c r="C3211" s="1" t="s">
        <v>15159</v>
      </c>
      <c r="D3211" s="1">
        <v>1.768367E7</v>
      </c>
      <c r="E3211" s="1" t="s">
        <v>4055</v>
      </c>
      <c r="F3211" s="1" t="s">
        <v>3555</v>
      </c>
      <c r="G3211" s="1" t="s">
        <v>15160</v>
      </c>
      <c r="H3211" s="1" t="s">
        <v>15161</v>
      </c>
      <c r="I3211" s="1">
        <v>47227.0</v>
      </c>
      <c r="J3211" s="1" t="s">
        <v>15162</v>
      </c>
      <c r="K3211" s="1" t="s">
        <v>15163</v>
      </c>
      <c r="L3211" s="1">
        <v>323.0</v>
      </c>
      <c r="M3211" s="1" t="s">
        <v>35</v>
      </c>
      <c r="N3211" s="1" t="s">
        <v>36</v>
      </c>
      <c r="O3211" s="1" t="s">
        <v>37</v>
      </c>
      <c r="P3211" s="1">
        <v>5000000.0</v>
      </c>
      <c r="Q3211" s="1">
        <v>2011.0</v>
      </c>
      <c r="R3211" s="1">
        <v>520.0</v>
      </c>
      <c r="S3211" s="1">
        <v>270.0</v>
      </c>
      <c r="T3211" s="1">
        <v>205.0</v>
      </c>
      <c r="U3211" s="1">
        <v>1520.0</v>
      </c>
      <c r="V3211" s="1">
        <v>17.0</v>
      </c>
      <c r="W3211" s="1">
        <v>0.0</v>
      </c>
      <c r="X3211" s="1">
        <v>0.0</v>
      </c>
      <c r="Y3211" s="1">
        <v>1.33</v>
      </c>
      <c r="Z3211" s="1">
        <v>5.2</v>
      </c>
    </row>
    <row r="3212" ht="14.25" customHeight="1">
      <c r="A3212" s="1" t="s">
        <v>26</v>
      </c>
      <c r="B3212" s="1" t="s">
        <v>15164</v>
      </c>
      <c r="C3212" s="1" t="s">
        <v>15165</v>
      </c>
      <c r="D3212" s="1">
        <v>1.2055108E7</v>
      </c>
      <c r="E3212" s="1" t="s">
        <v>2422</v>
      </c>
      <c r="F3212" s="1" t="s">
        <v>373</v>
      </c>
      <c r="G3212" s="1" t="s">
        <v>4918</v>
      </c>
      <c r="H3212" s="1" t="s">
        <v>2878</v>
      </c>
      <c r="I3212" s="1">
        <v>61151.0</v>
      </c>
      <c r="J3212" s="1" t="s">
        <v>15166</v>
      </c>
      <c r="K3212" s="1" t="s">
        <v>15167</v>
      </c>
      <c r="L3212" s="1">
        <v>134.0</v>
      </c>
      <c r="M3212" s="1" t="s">
        <v>35</v>
      </c>
      <c r="N3212" s="1" t="s">
        <v>36</v>
      </c>
      <c r="O3212" s="1" t="s">
        <v>628</v>
      </c>
      <c r="P3212" s="1">
        <v>8000000.0</v>
      </c>
      <c r="Q3212" s="1">
        <v>2008.0</v>
      </c>
      <c r="R3212" s="1">
        <v>968.0</v>
      </c>
      <c r="S3212" s="1">
        <v>934.0</v>
      </c>
      <c r="T3212" s="1">
        <v>260.0</v>
      </c>
      <c r="U3212" s="1">
        <v>2528.0</v>
      </c>
      <c r="V3212" s="1">
        <v>19.0</v>
      </c>
      <c r="W3212" s="1">
        <v>0.0</v>
      </c>
      <c r="X3212" s="1">
        <v>0.0</v>
      </c>
      <c r="Y3212" s="1">
        <v>2.35</v>
      </c>
      <c r="Z3212" s="1">
        <v>6.9</v>
      </c>
    </row>
    <row r="3213" ht="14.25" customHeight="1">
      <c r="A3213" s="1" t="s">
        <v>26</v>
      </c>
      <c r="B3213" s="1" t="s">
        <v>12644</v>
      </c>
      <c r="C3213" s="1" t="s">
        <v>15168</v>
      </c>
      <c r="D3213" s="1">
        <v>2.7285953E7</v>
      </c>
      <c r="E3213" s="1" t="s">
        <v>57</v>
      </c>
      <c r="F3213" s="1" t="s">
        <v>15169</v>
      </c>
      <c r="G3213" s="1" t="s">
        <v>15170</v>
      </c>
      <c r="H3213" s="1" t="s">
        <v>15171</v>
      </c>
      <c r="I3213" s="1">
        <v>48675.0</v>
      </c>
      <c r="J3213" s="1" t="s">
        <v>15172</v>
      </c>
      <c r="K3213" s="1" t="s">
        <v>15173</v>
      </c>
      <c r="L3213" s="1">
        <v>214.0</v>
      </c>
      <c r="M3213" s="1" t="s">
        <v>35</v>
      </c>
      <c r="N3213" s="1" t="s">
        <v>36</v>
      </c>
      <c r="O3213" s="1" t="s">
        <v>628</v>
      </c>
      <c r="P3213" s="1">
        <v>5000000.0</v>
      </c>
      <c r="Q3213" s="1">
        <v>2015.0</v>
      </c>
      <c r="R3213" s="1">
        <v>155.0</v>
      </c>
      <c r="S3213" s="1">
        <v>78.0</v>
      </c>
      <c r="T3213" s="1">
        <v>13.0</v>
      </c>
      <c r="U3213" s="1">
        <v>259.0</v>
      </c>
      <c r="V3213" s="1">
        <v>66.0</v>
      </c>
      <c r="W3213" s="1">
        <v>16000.0</v>
      </c>
      <c r="X3213" s="1">
        <v>0.0</v>
      </c>
      <c r="Y3213" s="1">
        <v>1.85</v>
      </c>
      <c r="Z3213" s="1">
        <v>6.8</v>
      </c>
    </row>
    <row r="3214" ht="14.25" customHeight="1">
      <c r="A3214" s="1" t="s">
        <v>26</v>
      </c>
      <c r="B3214" s="1" t="s">
        <v>4808</v>
      </c>
      <c r="C3214" s="1" t="s">
        <v>15174</v>
      </c>
      <c r="D3214" s="1">
        <v>1.0572742E7</v>
      </c>
      <c r="E3214" s="1" t="s">
        <v>206</v>
      </c>
      <c r="F3214" s="1" t="s">
        <v>8023</v>
      </c>
      <c r="G3214" s="1" t="s">
        <v>1583</v>
      </c>
      <c r="H3214" s="1" t="s">
        <v>2385</v>
      </c>
      <c r="I3214" s="1">
        <v>2326.0</v>
      </c>
      <c r="J3214" s="1" t="s">
        <v>15175</v>
      </c>
      <c r="K3214" s="1" t="s">
        <v>15176</v>
      </c>
      <c r="L3214" s="1">
        <v>21.0</v>
      </c>
      <c r="M3214" s="1" t="s">
        <v>35</v>
      </c>
      <c r="N3214" s="1" t="s">
        <v>36</v>
      </c>
      <c r="O3214" s="1" t="s">
        <v>37</v>
      </c>
      <c r="P3214" s="1">
        <v>8000000.0</v>
      </c>
      <c r="Q3214" s="1">
        <v>2009.0</v>
      </c>
      <c r="R3214" s="1">
        <v>849.0</v>
      </c>
      <c r="S3214" s="1">
        <v>578.0</v>
      </c>
      <c r="T3214" s="1">
        <v>409.0</v>
      </c>
      <c r="U3214" s="1">
        <v>2269.0</v>
      </c>
      <c r="V3214" s="1">
        <v>1000.0</v>
      </c>
      <c r="W3214" s="1">
        <v>738.0</v>
      </c>
      <c r="X3214" s="1">
        <v>1.0</v>
      </c>
      <c r="Y3214" s="1">
        <v>1.85</v>
      </c>
      <c r="Z3214" s="1">
        <v>6.1</v>
      </c>
    </row>
    <row r="3215" ht="14.25" customHeight="1">
      <c r="A3215" s="1" t="s">
        <v>26</v>
      </c>
      <c r="B3215" s="1" t="s">
        <v>15177</v>
      </c>
      <c r="C3215" s="1" t="s">
        <v>15178</v>
      </c>
      <c r="D3215" s="1">
        <v>9628751.0</v>
      </c>
      <c r="E3215" s="1" t="s">
        <v>2996</v>
      </c>
      <c r="F3215" s="1" t="s">
        <v>15179</v>
      </c>
      <c r="G3215" s="1" t="s">
        <v>15180</v>
      </c>
      <c r="H3215" s="1" t="s">
        <v>15181</v>
      </c>
      <c r="I3215" s="1">
        <v>5164.0</v>
      </c>
      <c r="J3215" s="1" t="s">
        <v>15182</v>
      </c>
      <c r="K3215" s="1" t="s">
        <v>15183</v>
      </c>
      <c r="L3215" s="1">
        <v>65.0</v>
      </c>
      <c r="M3215" s="1" t="s">
        <v>35</v>
      </c>
      <c r="N3215" s="1" t="s">
        <v>36</v>
      </c>
      <c r="O3215" s="1" t="s">
        <v>87</v>
      </c>
      <c r="P3215" s="1">
        <v>5000000.0</v>
      </c>
      <c r="Q3215" s="1">
        <v>2000.0</v>
      </c>
      <c r="R3215" s="1">
        <v>93.0</v>
      </c>
      <c r="S3215" s="1">
        <v>45.0</v>
      </c>
      <c r="T3215" s="1">
        <v>44.0</v>
      </c>
      <c r="U3215" s="1">
        <v>315.0</v>
      </c>
      <c r="V3215" s="1">
        <v>99.0</v>
      </c>
      <c r="W3215" s="1">
        <v>207.0</v>
      </c>
      <c r="X3215" s="1">
        <v>0.0</v>
      </c>
      <c r="Y3215" s="1">
        <v>1.85</v>
      </c>
      <c r="Z3215" s="1">
        <v>5.9</v>
      </c>
    </row>
    <row r="3216" ht="14.25" customHeight="1">
      <c r="A3216" s="1" t="s">
        <v>26</v>
      </c>
      <c r="B3216" s="1" t="s">
        <v>15184</v>
      </c>
      <c r="C3216" s="1" t="s">
        <v>15185</v>
      </c>
      <c r="D3216" s="1">
        <v>8786715.0</v>
      </c>
      <c r="E3216" s="1" t="s">
        <v>2422</v>
      </c>
      <c r="F3216" s="1" t="s">
        <v>6147</v>
      </c>
      <c r="G3216" s="1" t="s">
        <v>3745</v>
      </c>
      <c r="H3216" s="1" t="s">
        <v>9433</v>
      </c>
      <c r="I3216" s="1">
        <v>40274.0</v>
      </c>
      <c r="J3216" s="1" t="s">
        <v>15186</v>
      </c>
      <c r="K3216" s="1" t="s">
        <v>15187</v>
      </c>
      <c r="L3216" s="1">
        <v>324.0</v>
      </c>
      <c r="M3216" s="1" t="s">
        <v>35</v>
      </c>
      <c r="N3216" s="1" t="s">
        <v>36</v>
      </c>
      <c r="O3216" s="1" t="s">
        <v>37</v>
      </c>
      <c r="P3216" s="1">
        <v>5000000.0</v>
      </c>
      <c r="Q3216" s="1">
        <v>2004.0</v>
      </c>
      <c r="R3216" s="1">
        <v>3000.0</v>
      </c>
      <c r="S3216" s="1">
        <v>835.0</v>
      </c>
      <c r="T3216" s="1">
        <v>797.0</v>
      </c>
      <c r="U3216" s="1">
        <v>5668.0</v>
      </c>
      <c r="V3216" s="1">
        <v>12.0</v>
      </c>
      <c r="W3216" s="1">
        <v>0.0</v>
      </c>
      <c r="X3216" s="1">
        <v>5.0</v>
      </c>
      <c r="Y3216" s="1">
        <v>1.85</v>
      </c>
      <c r="Z3216" s="1">
        <v>6.9</v>
      </c>
    </row>
    <row r="3217" ht="14.25" customHeight="1">
      <c r="A3217" s="1" t="s">
        <v>26</v>
      </c>
      <c r="B3217" s="1" t="s">
        <v>15188</v>
      </c>
      <c r="C3217" s="1" t="s">
        <v>15189</v>
      </c>
      <c r="D3217" s="1">
        <v>3432342.0</v>
      </c>
      <c r="E3217" s="1" t="s">
        <v>10347</v>
      </c>
      <c r="F3217" s="1" t="s">
        <v>15190</v>
      </c>
      <c r="G3217" s="1" t="s">
        <v>15191</v>
      </c>
      <c r="H3217" s="1" t="s">
        <v>15192</v>
      </c>
      <c r="I3217" s="1">
        <v>24921.0</v>
      </c>
      <c r="J3217" s="1" t="s">
        <v>15193</v>
      </c>
      <c r="K3217" s="1" t="s">
        <v>15194</v>
      </c>
      <c r="L3217" s="1">
        <v>166.0</v>
      </c>
      <c r="M3217" s="1" t="s">
        <v>2752</v>
      </c>
      <c r="N3217" s="1" t="s">
        <v>260</v>
      </c>
      <c r="O3217" s="1" t="s">
        <v>628</v>
      </c>
      <c r="P3217" s="1">
        <v>6000000.0</v>
      </c>
      <c r="Q3217" s="1">
        <v>2003.0</v>
      </c>
      <c r="R3217" s="1">
        <v>150.0</v>
      </c>
      <c r="S3217" s="1">
        <v>28.0</v>
      </c>
      <c r="T3217" s="1">
        <v>21.0</v>
      </c>
      <c r="U3217" s="1">
        <v>253.0</v>
      </c>
      <c r="V3217" s="1">
        <v>66.0</v>
      </c>
      <c r="W3217" s="1">
        <v>0.0</v>
      </c>
      <c r="X3217" s="1">
        <v>2.0</v>
      </c>
      <c r="Y3217" s="1">
        <v>2.35</v>
      </c>
      <c r="Z3217" s="1">
        <v>7.7</v>
      </c>
    </row>
    <row r="3218" ht="14.25" customHeight="1">
      <c r="A3218" s="1" t="s">
        <v>26</v>
      </c>
      <c r="B3218" s="1" t="s">
        <v>15195</v>
      </c>
      <c r="C3218" s="1" t="s">
        <v>15196</v>
      </c>
      <c r="D3218" s="1">
        <v>6755271.0</v>
      </c>
      <c r="E3218" s="1" t="s">
        <v>6278</v>
      </c>
      <c r="F3218" s="1" t="s">
        <v>9401</v>
      </c>
      <c r="G3218" s="1" t="s">
        <v>9402</v>
      </c>
      <c r="H3218" s="1" t="s">
        <v>5431</v>
      </c>
      <c r="I3218" s="1">
        <v>7319.0</v>
      </c>
      <c r="J3218" s="1" t="s">
        <v>15197</v>
      </c>
      <c r="K3218" s="1" t="s">
        <v>15198</v>
      </c>
      <c r="L3218" s="1">
        <v>131.0</v>
      </c>
      <c r="M3218" s="1" t="s">
        <v>35</v>
      </c>
      <c r="N3218" s="1" t="s">
        <v>36</v>
      </c>
      <c r="O3218" s="1" t="s">
        <v>628</v>
      </c>
      <c r="P3218" s="1">
        <v>5000000.0</v>
      </c>
      <c r="Q3218" s="1">
        <v>2001.0</v>
      </c>
      <c r="R3218" s="1">
        <v>847.0</v>
      </c>
      <c r="S3218" s="1">
        <v>591.0</v>
      </c>
      <c r="T3218" s="1">
        <v>560.0</v>
      </c>
      <c r="U3218" s="1">
        <v>3004.0</v>
      </c>
      <c r="V3218" s="1">
        <v>23.0</v>
      </c>
      <c r="W3218" s="1">
        <v>327.0</v>
      </c>
      <c r="X3218" s="1">
        <v>4.0</v>
      </c>
      <c r="Y3218" s="1">
        <v>1.85</v>
      </c>
      <c r="Z3218" s="1">
        <v>5.3</v>
      </c>
    </row>
    <row r="3219" ht="14.25" customHeight="1">
      <c r="A3219" s="1" t="s">
        <v>26</v>
      </c>
      <c r="B3219" s="1" t="s">
        <v>15199</v>
      </c>
      <c r="C3219" s="1" t="s">
        <v>15200</v>
      </c>
      <c r="D3219" s="1">
        <v>6157157.0</v>
      </c>
      <c r="E3219" s="1" t="s">
        <v>2422</v>
      </c>
      <c r="F3219" s="1" t="s">
        <v>2617</v>
      </c>
      <c r="G3219" s="1" t="s">
        <v>8776</v>
      </c>
      <c r="H3219" s="1" t="s">
        <v>15201</v>
      </c>
      <c r="I3219" s="1">
        <v>21416.0</v>
      </c>
      <c r="J3219" s="1" t="s">
        <v>15202</v>
      </c>
      <c r="K3219" s="1" t="s">
        <v>15203</v>
      </c>
      <c r="L3219" s="1">
        <v>198.0</v>
      </c>
      <c r="M3219" s="1" t="s">
        <v>35</v>
      </c>
      <c r="N3219" s="1" t="s">
        <v>36</v>
      </c>
      <c r="O3219" s="1" t="s">
        <v>37</v>
      </c>
      <c r="P3219" s="1">
        <v>5000000.0</v>
      </c>
      <c r="Q3219" s="1">
        <v>1989.0</v>
      </c>
      <c r="R3219" s="1">
        <v>859.0</v>
      </c>
      <c r="S3219" s="1">
        <v>448.0</v>
      </c>
      <c r="T3219" s="1">
        <v>448.0</v>
      </c>
      <c r="U3219" s="1">
        <v>3942.0</v>
      </c>
      <c r="V3219" s="1">
        <v>3.0</v>
      </c>
      <c r="W3219" s="1">
        <v>0.0</v>
      </c>
      <c r="X3219" s="1">
        <v>1.0</v>
      </c>
      <c r="Y3219" s="1">
        <v>1.85</v>
      </c>
      <c r="Z3219" s="1">
        <v>7.0</v>
      </c>
    </row>
    <row r="3220" ht="14.25" customHeight="1">
      <c r="A3220" s="1" t="s">
        <v>26</v>
      </c>
      <c r="B3220" s="1" t="s">
        <v>15204</v>
      </c>
      <c r="C3220" s="1" t="s">
        <v>15205</v>
      </c>
      <c r="D3220" s="1">
        <v>5480318.0</v>
      </c>
      <c r="E3220" s="1" t="s">
        <v>2422</v>
      </c>
      <c r="F3220" s="1" t="s">
        <v>3561</v>
      </c>
      <c r="G3220" s="1" t="s">
        <v>4141</v>
      </c>
      <c r="H3220" s="1" t="s">
        <v>15206</v>
      </c>
      <c r="I3220" s="1">
        <v>9427.0</v>
      </c>
      <c r="J3220" s="1" t="s">
        <v>15207</v>
      </c>
      <c r="K3220" s="1" t="s">
        <v>15208</v>
      </c>
      <c r="L3220" s="1">
        <v>79.0</v>
      </c>
      <c r="M3220" s="1" t="s">
        <v>35</v>
      </c>
      <c r="N3220" s="1" t="s">
        <v>36</v>
      </c>
      <c r="O3220" s="1" t="s">
        <v>628</v>
      </c>
      <c r="P3220" s="1">
        <v>5000000.0</v>
      </c>
      <c r="Q3220" s="1">
        <v>1998.0</v>
      </c>
      <c r="R3220" s="1">
        <v>1000.0</v>
      </c>
      <c r="S3220" s="1">
        <v>778.0</v>
      </c>
      <c r="T3220" s="1">
        <v>572.0</v>
      </c>
      <c r="U3220" s="1">
        <v>2691.0</v>
      </c>
      <c r="V3220" s="1">
        <v>84.0</v>
      </c>
      <c r="W3220" s="1">
        <v>462.0</v>
      </c>
      <c r="X3220" s="1">
        <v>0.0</v>
      </c>
      <c r="Y3220" s="1">
        <v>1.85</v>
      </c>
      <c r="Z3220" s="1">
        <v>6.6</v>
      </c>
    </row>
    <row r="3221" ht="14.25" customHeight="1">
      <c r="A3221" s="1" t="s">
        <v>26</v>
      </c>
      <c r="B3221" s="1" t="s">
        <v>243</v>
      </c>
      <c r="C3221" s="1" t="s">
        <v>15209</v>
      </c>
      <c r="D3221" s="1">
        <v>5308707.0</v>
      </c>
      <c r="E3221" s="1" t="s">
        <v>5022</v>
      </c>
      <c r="F3221" s="1" t="s">
        <v>243</v>
      </c>
      <c r="G3221" s="1" t="s">
        <v>4939</v>
      </c>
      <c r="H3221" s="1" t="s">
        <v>15210</v>
      </c>
      <c r="I3221" s="1">
        <v>15053.0</v>
      </c>
      <c r="J3221" s="1" t="s">
        <v>15211</v>
      </c>
      <c r="K3221" s="1" t="s">
        <v>15212</v>
      </c>
      <c r="L3221" s="1">
        <v>165.0</v>
      </c>
      <c r="M3221" s="1" t="s">
        <v>35</v>
      </c>
      <c r="N3221" s="1" t="s">
        <v>36</v>
      </c>
      <c r="O3221" s="1" t="s">
        <v>628</v>
      </c>
      <c r="P3221" s="1">
        <v>5000000.0</v>
      </c>
      <c r="Q3221" s="1">
        <v>2001.0</v>
      </c>
      <c r="R3221" s="1">
        <v>4000.0</v>
      </c>
      <c r="S3221" s="1">
        <v>585.0</v>
      </c>
      <c r="T3221" s="1">
        <v>334.0</v>
      </c>
      <c r="U3221" s="1">
        <v>5245.0</v>
      </c>
      <c r="V3221" s="1">
        <v>4000.0</v>
      </c>
      <c r="W3221" s="1">
        <v>393.0</v>
      </c>
      <c r="X3221" s="1">
        <v>2.0</v>
      </c>
      <c r="Y3221" s="1">
        <v>1.85</v>
      </c>
      <c r="Z3221" s="1">
        <v>6.4</v>
      </c>
    </row>
    <row r="3222" ht="14.25" customHeight="1">
      <c r="A3222" s="1" t="s">
        <v>26</v>
      </c>
      <c r="B3222" s="1" t="s">
        <v>691</v>
      </c>
      <c r="C3222" s="1" t="s">
        <v>15213</v>
      </c>
      <c r="D3222" s="1">
        <v>5009677.0</v>
      </c>
      <c r="E3222" s="1" t="s">
        <v>5243</v>
      </c>
      <c r="F3222" s="1" t="s">
        <v>112</v>
      </c>
      <c r="G3222" s="1" t="s">
        <v>15214</v>
      </c>
      <c r="H3222" s="1" t="s">
        <v>1589</v>
      </c>
      <c r="I3222" s="1">
        <v>260607.0</v>
      </c>
      <c r="J3222" s="1" t="s">
        <v>15215</v>
      </c>
      <c r="K3222" s="1" t="s">
        <v>15216</v>
      </c>
      <c r="L3222" s="1">
        <v>485.0</v>
      </c>
      <c r="M3222" s="1" t="s">
        <v>35</v>
      </c>
      <c r="N3222" s="1" t="s">
        <v>54</v>
      </c>
      <c r="O3222" s="1" t="s">
        <v>628</v>
      </c>
      <c r="P3222" s="1">
        <v>5000000.0</v>
      </c>
      <c r="Q3222" s="1">
        <v>2009.0</v>
      </c>
      <c r="R3222" s="1">
        <v>18000.0</v>
      </c>
      <c r="S3222" s="1">
        <v>572.0</v>
      </c>
      <c r="T3222" s="1">
        <v>372.0</v>
      </c>
      <c r="U3222" s="1">
        <v>19404.0</v>
      </c>
      <c r="V3222" s="1">
        <v>0.0</v>
      </c>
      <c r="W3222" s="1">
        <v>47000.0</v>
      </c>
      <c r="X3222" s="1">
        <v>0.0</v>
      </c>
      <c r="Y3222" s="1">
        <v>2.35</v>
      </c>
      <c r="Z3222" s="1">
        <v>7.9</v>
      </c>
    </row>
    <row r="3223" ht="14.25" customHeight="1">
      <c r="A3223" s="1" t="s">
        <v>26</v>
      </c>
      <c r="B3223" s="1" t="s">
        <v>9221</v>
      </c>
      <c r="C3223" s="1" t="s">
        <v>15217</v>
      </c>
      <c r="D3223" s="1">
        <v>4306697.0</v>
      </c>
      <c r="E3223" s="1" t="s">
        <v>3238</v>
      </c>
      <c r="F3223" s="1" t="s">
        <v>346</v>
      </c>
      <c r="G3223" s="1" t="s">
        <v>8006</v>
      </c>
      <c r="H3223" s="1" t="s">
        <v>15218</v>
      </c>
      <c r="I3223" s="1">
        <v>26720.0</v>
      </c>
      <c r="J3223" s="1" t="s">
        <v>15219</v>
      </c>
      <c r="K3223" s="1" t="s">
        <v>15220</v>
      </c>
      <c r="L3223" s="1">
        <v>196.0</v>
      </c>
      <c r="M3223" s="1" t="s">
        <v>35</v>
      </c>
      <c r="N3223" s="1" t="s">
        <v>260</v>
      </c>
      <c r="O3223" s="1" t="s">
        <v>628</v>
      </c>
      <c r="P3223" s="1">
        <v>5000000.0</v>
      </c>
      <c r="Q3223" s="1">
        <v>1997.0</v>
      </c>
      <c r="R3223" s="1">
        <v>990.0</v>
      </c>
      <c r="S3223" s="1">
        <v>900.0</v>
      </c>
      <c r="T3223" s="1">
        <v>395.0</v>
      </c>
      <c r="U3223" s="1">
        <v>2820.0</v>
      </c>
      <c r="V3223" s="1">
        <v>460.0</v>
      </c>
      <c r="W3223" s="1">
        <v>920.0</v>
      </c>
      <c r="X3223" s="1">
        <v>0.0</v>
      </c>
      <c r="Y3223" s="1">
        <v>2.35</v>
      </c>
      <c r="Z3223" s="1">
        <v>7.7</v>
      </c>
    </row>
    <row r="3224" ht="14.25" customHeight="1">
      <c r="A3224" s="1" t="s">
        <v>26</v>
      </c>
      <c r="B3224" s="1" t="s">
        <v>15221</v>
      </c>
      <c r="C3224" s="1" t="s">
        <v>15222</v>
      </c>
      <c r="D3224" s="1">
        <v>3950029.0</v>
      </c>
      <c r="E3224" s="1" t="s">
        <v>3238</v>
      </c>
      <c r="F3224" s="1" t="s">
        <v>12561</v>
      </c>
      <c r="G3224" s="1" t="s">
        <v>4456</v>
      </c>
      <c r="H3224" s="1" t="s">
        <v>15223</v>
      </c>
      <c r="I3224" s="1">
        <v>12411.0</v>
      </c>
      <c r="J3224" s="1" t="s">
        <v>15224</v>
      </c>
      <c r="K3224" s="1" t="s">
        <v>15225</v>
      </c>
      <c r="L3224" s="1">
        <v>89.0</v>
      </c>
      <c r="M3224" s="1" t="s">
        <v>2752</v>
      </c>
      <c r="N3224" s="1" t="s">
        <v>1832</v>
      </c>
      <c r="O3224" s="1" t="s">
        <v>37</v>
      </c>
      <c r="P3224" s="1">
        <v>4000000.0</v>
      </c>
      <c r="Q3224" s="1">
        <v>2010.0</v>
      </c>
      <c r="R3224" s="1">
        <v>186.0</v>
      </c>
      <c r="S3224" s="1">
        <v>135.0</v>
      </c>
      <c r="T3224" s="1">
        <v>32.0</v>
      </c>
      <c r="U3224" s="1">
        <v>416.0</v>
      </c>
      <c r="V3224" s="1">
        <v>22.0</v>
      </c>
      <c r="W3224" s="1">
        <v>0.0</v>
      </c>
      <c r="X3224" s="1">
        <v>0.0</v>
      </c>
      <c r="Y3224" s="1">
        <v>2.35</v>
      </c>
      <c r="Z3224" s="1">
        <v>7.2</v>
      </c>
    </row>
    <row r="3225" ht="14.25" customHeight="1">
      <c r="A3225" s="1" t="s">
        <v>26</v>
      </c>
      <c r="B3225" s="1" t="s">
        <v>15226</v>
      </c>
      <c r="C3225" s="1" t="s">
        <v>15227</v>
      </c>
      <c r="D3225" s="1">
        <v>4040588.0</v>
      </c>
      <c r="E3225" s="1" t="s">
        <v>2422</v>
      </c>
      <c r="F3225" s="1" t="s">
        <v>98</v>
      </c>
      <c r="G3225" s="1" t="s">
        <v>3182</v>
      </c>
      <c r="H3225" s="1" t="s">
        <v>6442</v>
      </c>
      <c r="I3225" s="1">
        <v>12233.0</v>
      </c>
      <c r="J3225" s="1" t="s">
        <v>15228</v>
      </c>
      <c r="K3225" s="1" t="s">
        <v>15229</v>
      </c>
      <c r="L3225" s="1">
        <v>89.0</v>
      </c>
      <c r="M3225" s="1" t="s">
        <v>35</v>
      </c>
      <c r="N3225" s="1" t="s">
        <v>36</v>
      </c>
      <c r="O3225" s="1" t="s">
        <v>37</v>
      </c>
      <c r="P3225" s="1">
        <v>5000000.0</v>
      </c>
      <c r="Q3225" s="1">
        <v>2008.0</v>
      </c>
      <c r="R3225" s="1">
        <v>25000.0</v>
      </c>
      <c r="S3225" s="1">
        <v>579.0</v>
      </c>
      <c r="T3225" s="1">
        <v>39.0</v>
      </c>
      <c r="U3225" s="1">
        <v>25676.0</v>
      </c>
      <c r="V3225" s="1">
        <v>19.0</v>
      </c>
      <c r="W3225" s="1">
        <v>0.0</v>
      </c>
      <c r="X3225" s="1">
        <v>0.0</v>
      </c>
      <c r="Y3225" s="1">
        <v>2.35</v>
      </c>
      <c r="Z3225" s="1">
        <v>6.8</v>
      </c>
    </row>
    <row r="3226" ht="14.25" customHeight="1">
      <c r="A3226" s="1" t="s">
        <v>26</v>
      </c>
      <c r="B3226" s="1" t="s">
        <v>163</v>
      </c>
      <c r="C3226" s="1" t="s">
        <v>15230</v>
      </c>
      <c r="D3226" s="1">
        <v>3049135.0</v>
      </c>
      <c r="E3226" s="1" t="s">
        <v>15231</v>
      </c>
      <c r="F3226" s="1" t="s">
        <v>208</v>
      </c>
      <c r="G3226" s="1" t="s">
        <v>5811</v>
      </c>
      <c r="H3226" s="1" t="s">
        <v>15232</v>
      </c>
      <c r="I3226" s="1">
        <v>50197.0</v>
      </c>
      <c r="J3226" s="1" t="s">
        <v>15233</v>
      </c>
      <c r="K3226" s="1" t="s">
        <v>15234</v>
      </c>
      <c r="L3226" s="1">
        <v>265.0</v>
      </c>
      <c r="M3226" s="1" t="s">
        <v>35</v>
      </c>
      <c r="N3226" s="1" t="s">
        <v>171</v>
      </c>
      <c r="O3226" s="1" t="s">
        <v>628</v>
      </c>
      <c r="P3226" s="1">
        <v>5000000.0</v>
      </c>
      <c r="Q3226" s="1">
        <v>1994.0</v>
      </c>
      <c r="R3226" s="1">
        <v>14000.0</v>
      </c>
      <c r="S3226" s="1">
        <v>433.0</v>
      </c>
      <c r="T3226" s="1">
        <v>88.0</v>
      </c>
      <c r="U3226" s="1">
        <v>14574.0</v>
      </c>
      <c r="V3226" s="1">
        <v>0.0</v>
      </c>
      <c r="W3226" s="1">
        <v>0.0</v>
      </c>
      <c r="X3226" s="1">
        <v>2.0</v>
      </c>
      <c r="Y3226" s="1">
        <v>2.35</v>
      </c>
      <c r="Z3226" s="1">
        <v>7.4</v>
      </c>
    </row>
    <row r="3227" ht="14.25" customHeight="1">
      <c r="A3227" s="1" t="s">
        <v>26</v>
      </c>
      <c r="B3227" s="1" t="s">
        <v>12347</v>
      </c>
      <c r="C3227" s="1" t="s">
        <v>15235</v>
      </c>
      <c r="D3227" s="1">
        <v>4700361.0</v>
      </c>
      <c r="E3227" s="1" t="s">
        <v>3238</v>
      </c>
      <c r="F3227" s="1" t="s">
        <v>1378</v>
      </c>
      <c r="G3227" s="1" t="s">
        <v>15236</v>
      </c>
      <c r="H3227" s="1" t="s">
        <v>15237</v>
      </c>
      <c r="I3227" s="1">
        <v>2047.0</v>
      </c>
      <c r="J3227" s="1" t="s">
        <v>15238</v>
      </c>
      <c r="K3227" s="1" t="s">
        <v>15239</v>
      </c>
      <c r="L3227" s="1">
        <v>29.0</v>
      </c>
      <c r="M3227" s="1" t="s">
        <v>35</v>
      </c>
      <c r="N3227" s="1" t="s">
        <v>36</v>
      </c>
      <c r="O3227" s="1" t="s">
        <v>37</v>
      </c>
      <c r="P3227" s="1">
        <v>5000000.0</v>
      </c>
      <c r="Q3227" s="1">
        <v>2015.0</v>
      </c>
      <c r="R3227" s="1">
        <v>4000.0</v>
      </c>
      <c r="S3227" s="1">
        <v>849.0</v>
      </c>
      <c r="T3227" s="1">
        <v>473.0</v>
      </c>
      <c r="U3227" s="1">
        <v>6617.0</v>
      </c>
      <c r="V3227" s="1">
        <v>35.0</v>
      </c>
      <c r="W3227" s="1">
        <v>0.0</v>
      </c>
      <c r="X3227" s="1">
        <v>0.0</v>
      </c>
      <c r="Y3227" s="1">
        <v>2.35</v>
      </c>
      <c r="Z3227" s="1">
        <v>4.6</v>
      </c>
    </row>
    <row r="3228" ht="14.25" customHeight="1">
      <c r="A3228" s="1" t="s">
        <v>26</v>
      </c>
      <c r="B3228" s="1" t="s">
        <v>15240</v>
      </c>
      <c r="C3228" s="1" t="s">
        <v>15241</v>
      </c>
      <c r="D3228" s="1">
        <v>2711210.0</v>
      </c>
      <c r="E3228" s="1" t="s">
        <v>2422</v>
      </c>
      <c r="F3228" s="1" t="s">
        <v>1197</v>
      </c>
      <c r="G3228" s="1" t="s">
        <v>15242</v>
      </c>
      <c r="H3228" s="1" t="s">
        <v>1102</v>
      </c>
      <c r="I3228" s="1">
        <v>40305.0</v>
      </c>
      <c r="J3228" s="1" t="s">
        <v>15243</v>
      </c>
      <c r="K3228" s="1" t="s">
        <v>15244</v>
      </c>
      <c r="L3228" s="1">
        <v>86.0</v>
      </c>
      <c r="M3228" s="1" t="s">
        <v>35</v>
      </c>
      <c r="N3228" s="1" t="s">
        <v>36</v>
      </c>
      <c r="O3228" s="1" t="s">
        <v>628</v>
      </c>
      <c r="P3228" s="1">
        <v>5000000.0</v>
      </c>
      <c r="Q3228" s="1">
        <v>2010.0</v>
      </c>
      <c r="R3228" s="1">
        <v>8000.0</v>
      </c>
      <c r="S3228" s="1">
        <v>981.0</v>
      </c>
      <c r="T3228" s="1">
        <v>939.0</v>
      </c>
      <c r="U3228" s="1">
        <v>10517.0</v>
      </c>
      <c r="V3228" s="1">
        <v>7.0</v>
      </c>
      <c r="W3228" s="1">
        <v>0.0</v>
      </c>
      <c r="X3228" s="1">
        <v>1.0</v>
      </c>
      <c r="Y3228" s="1">
        <v>2.35</v>
      </c>
      <c r="Z3228" s="1">
        <v>6.4</v>
      </c>
    </row>
    <row r="3229" ht="14.25" customHeight="1">
      <c r="A3229" s="1" t="s">
        <v>26</v>
      </c>
      <c r="B3229" s="1" t="s">
        <v>6179</v>
      </c>
      <c r="C3229" s="1" t="s">
        <v>15245</v>
      </c>
      <c r="D3229" s="1">
        <v>1980338.0</v>
      </c>
      <c r="E3229" s="1" t="s">
        <v>15246</v>
      </c>
      <c r="F3229" s="1" t="s">
        <v>2125</v>
      </c>
      <c r="G3229" s="1" t="s">
        <v>8576</v>
      </c>
      <c r="H3229" s="1" t="s">
        <v>12139</v>
      </c>
      <c r="I3229" s="1">
        <v>12366.0</v>
      </c>
      <c r="J3229" s="1" t="s">
        <v>15247</v>
      </c>
      <c r="K3229" s="1" t="s">
        <v>15248</v>
      </c>
      <c r="L3229" s="1">
        <v>151.0</v>
      </c>
      <c r="M3229" s="1" t="s">
        <v>35</v>
      </c>
      <c r="N3229" s="1" t="s">
        <v>36</v>
      </c>
      <c r="O3229" s="1" t="s">
        <v>628</v>
      </c>
      <c r="P3229" s="1">
        <v>5000000.0</v>
      </c>
      <c r="Q3229" s="1">
        <v>1998.0</v>
      </c>
      <c r="R3229" s="1">
        <v>624.0</v>
      </c>
      <c r="S3229" s="1">
        <v>385.0</v>
      </c>
      <c r="T3229" s="1">
        <v>102.0</v>
      </c>
      <c r="U3229" s="1">
        <v>1209.0</v>
      </c>
      <c r="V3229" s="1">
        <v>52.0</v>
      </c>
      <c r="W3229" s="1">
        <v>507.0</v>
      </c>
      <c r="X3229" s="1">
        <v>2.0</v>
      </c>
      <c r="Y3229" s="1">
        <v>1.85</v>
      </c>
      <c r="Z3229" s="1">
        <v>7.0</v>
      </c>
    </row>
    <row r="3230" ht="14.25" customHeight="1">
      <c r="A3230" s="1" t="s">
        <v>26</v>
      </c>
      <c r="B3230" s="1" t="s">
        <v>11897</v>
      </c>
      <c r="C3230" s="1" t="s">
        <v>15249</v>
      </c>
      <c r="D3230" s="1">
        <v>1082044.0</v>
      </c>
      <c r="E3230" s="1" t="s">
        <v>3868</v>
      </c>
      <c r="F3230" s="1" t="s">
        <v>59</v>
      </c>
      <c r="G3230" s="1" t="s">
        <v>2510</v>
      </c>
      <c r="H3230" s="1" t="s">
        <v>1433</v>
      </c>
      <c r="I3230" s="1">
        <v>281649.0</v>
      </c>
      <c r="J3230" s="1" t="s">
        <v>15250</v>
      </c>
      <c r="K3230" s="1" t="s">
        <v>15251</v>
      </c>
      <c r="L3230" s="1">
        <v>458.0</v>
      </c>
      <c r="M3230" s="1" t="s">
        <v>35</v>
      </c>
      <c r="N3230" s="1" t="s">
        <v>3393</v>
      </c>
      <c r="O3230" s="1" t="s">
        <v>628</v>
      </c>
      <c r="P3230" s="1">
        <v>5000000.0</v>
      </c>
      <c r="Q3230" s="1">
        <v>2004.0</v>
      </c>
      <c r="R3230" s="1">
        <v>23000.0</v>
      </c>
      <c r="S3230" s="1">
        <v>1000.0</v>
      </c>
      <c r="T3230" s="1">
        <v>360.0</v>
      </c>
      <c r="U3230" s="1">
        <v>24994.0</v>
      </c>
      <c r="V3230" s="1">
        <v>122.0</v>
      </c>
      <c r="W3230" s="1">
        <v>21000.0</v>
      </c>
      <c r="X3230" s="1">
        <v>0.0</v>
      </c>
      <c r="Y3230" s="1">
        <v>2.35</v>
      </c>
      <c r="Z3230" s="1">
        <v>7.7</v>
      </c>
    </row>
    <row r="3231" ht="14.25" customHeight="1">
      <c r="A3231" s="1" t="s">
        <v>26</v>
      </c>
      <c r="B3231" s="1" t="s">
        <v>14399</v>
      </c>
      <c r="C3231" s="1" t="s">
        <v>15252</v>
      </c>
      <c r="D3231" s="1">
        <v>1100000.0</v>
      </c>
      <c r="E3231" s="1" t="s">
        <v>1854</v>
      </c>
      <c r="F3231" s="1" t="s">
        <v>8785</v>
      </c>
      <c r="G3231" s="1" t="s">
        <v>12119</v>
      </c>
      <c r="H3231" s="1" t="s">
        <v>6620</v>
      </c>
      <c r="I3231" s="1">
        <v>3665.0</v>
      </c>
      <c r="J3231" s="1" t="s">
        <v>15253</v>
      </c>
      <c r="K3231" s="1" t="s">
        <v>15254</v>
      </c>
      <c r="L3231" s="1">
        <v>39.0</v>
      </c>
      <c r="M3231" s="1" t="s">
        <v>35</v>
      </c>
      <c r="N3231" s="1" t="s">
        <v>36</v>
      </c>
      <c r="O3231" s="1" t="s">
        <v>628</v>
      </c>
      <c r="P3231" s="1">
        <v>5000000.0</v>
      </c>
      <c r="Q3231" s="1">
        <v>1992.0</v>
      </c>
      <c r="R3231" s="1">
        <v>722.0</v>
      </c>
      <c r="S3231" s="1">
        <v>280.0</v>
      </c>
      <c r="T3231" s="1">
        <v>145.0</v>
      </c>
      <c r="U3231" s="1">
        <v>1201.0</v>
      </c>
      <c r="V3231" s="1">
        <v>261.0</v>
      </c>
      <c r="W3231" s="1">
        <v>247.0</v>
      </c>
      <c r="X3231" s="1">
        <v>0.0</v>
      </c>
      <c r="Y3231" s="1">
        <v>1.85</v>
      </c>
      <c r="Z3231" s="1">
        <v>6.8</v>
      </c>
    </row>
    <row r="3232" ht="14.25" customHeight="1">
      <c r="A3232" s="1" t="s">
        <v>26</v>
      </c>
      <c r="B3232" s="1" t="s">
        <v>15255</v>
      </c>
      <c r="C3232" s="1" t="s">
        <v>15256</v>
      </c>
      <c r="D3232" s="1">
        <v>2445646.0</v>
      </c>
      <c r="E3232" s="1" t="s">
        <v>15257</v>
      </c>
      <c r="F3232" s="1" t="s">
        <v>851</v>
      </c>
      <c r="G3232" s="1" t="s">
        <v>2953</v>
      </c>
      <c r="H3232" s="1" t="s">
        <v>13563</v>
      </c>
      <c r="I3232" s="1">
        <v>32382.0</v>
      </c>
      <c r="J3232" s="1" t="s">
        <v>15258</v>
      </c>
      <c r="K3232" s="1" t="s">
        <v>15259</v>
      </c>
      <c r="L3232" s="1">
        <v>99.0</v>
      </c>
      <c r="M3232" s="1" t="s">
        <v>35</v>
      </c>
      <c r="N3232" s="1" t="s">
        <v>36</v>
      </c>
      <c r="O3232" s="1" t="s">
        <v>628</v>
      </c>
      <c r="P3232" s="1">
        <v>5000000.0</v>
      </c>
      <c r="Q3232" s="1">
        <v>2014.0</v>
      </c>
      <c r="R3232" s="1">
        <v>10000.0</v>
      </c>
      <c r="S3232" s="1">
        <v>963.0</v>
      </c>
      <c r="T3232" s="1">
        <v>688.0</v>
      </c>
      <c r="U3232" s="1">
        <v>12897.0</v>
      </c>
      <c r="V3232" s="1">
        <v>52.0</v>
      </c>
      <c r="W3232" s="1">
        <v>13000.0</v>
      </c>
      <c r="X3232" s="1">
        <v>1.0</v>
      </c>
      <c r="Y3232" s="1">
        <v>2.35</v>
      </c>
      <c r="Z3232" s="1">
        <v>7.0</v>
      </c>
    </row>
    <row r="3233" ht="14.25" customHeight="1">
      <c r="A3233" s="1" t="s">
        <v>26</v>
      </c>
      <c r="B3233" s="1" t="s">
        <v>14774</v>
      </c>
      <c r="C3233" s="1" t="s">
        <v>15260</v>
      </c>
      <c r="D3233" s="1">
        <v>2221809.0</v>
      </c>
      <c r="E3233" s="1" t="s">
        <v>3238</v>
      </c>
      <c r="F3233" s="1" t="s">
        <v>3984</v>
      </c>
      <c r="G3233" s="1" t="s">
        <v>4959</v>
      </c>
      <c r="H3233" s="1" t="s">
        <v>12765</v>
      </c>
      <c r="I3233" s="1">
        <v>40618.0</v>
      </c>
      <c r="J3233" s="1" t="s">
        <v>15261</v>
      </c>
      <c r="K3233" s="1" t="s">
        <v>15262</v>
      </c>
      <c r="L3233" s="1">
        <v>144.0</v>
      </c>
      <c r="M3233" s="1" t="s">
        <v>35</v>
      </c>
      <c r="N3233" s="1" t="s">
        <v>36</v>
      </c>
      <c r="O3233" s="1" t="s">
        <v>37</v>
      </c>
      <c r="P3233" s="1">
        <v>5000000.0</v>
      </c>
      <c r="Q3233" s="1">
        <v>2010.0</v>
      </c>
      <c r="R3233" s="1">
        <v>967.0</v>
      </c>
      <c r="S3233" s="1">
        <v>289.0</v>
      </c>
      <c r="T3233" s="1">
        <v>192.0</v>
      </c>
      <c r="U3233" s="1">
        <v>1582.0</v>
      </c>
      <c r="V3233" s="1">
        <v>263.0</v>
      </c>
      <c r="W3233" s="1">
        <v>0.0</v>
      </c>
      <c r="X3233" s="1">
        <v>0.0</v>
      </c>
      <c r="Y3233" s="1">
        <v>1.85</v>
      </c>
      <c r="Z3233" s="1">
        <v>7.0</v>
      </c>
    </row>
    <row r="3234" ht="14.25" customHeight="1">
      <c r="A3234" s="1" t="s">
        <v>26</v>
      </c>
      <c r="B3234" s="1" t="s">
        <v>15263</v>
      </c>
      <c r="C3234" s="1" t="s">
        <v>15264</v>
      </c>
      <c r="D3234" s="1">
        <v>296665.0</v>
      </c>
      <c r="E3234" s="1" t="s">
        <v>11141</v>
      </c>
      <c r="F3234" s="1" t="s">
        <v>6147</v>
      </c>
      <c r="G3234" s="1" t="s">
        <v>4116</v>
      </c>
      <c r="H3234" s="1" t="s">
        <v>15265</v>
      </c>
      <c r="I3234" s="1">
        <v>12675.0</v>
      </c>
      <c r="J3234" s="1" t="s">
        <v>15266</v>
      </c>
      <c r="K3234" s="1" t="s">
        <v>15267</v>
      </c>
      <c r="L3234" s="1">
        <v>158.0</v>
      </c>
      <c r="M3234" s="1" t="s">
        <v>35</v>
      </c>
      <c r="N3234" s="1" t="s">
        <v>36</v>
      </c>
      <c r="O3234" s="1" t="s">
        <v>628</v>
      </c>
      <c r="P3234" s="1">
        <v>5000000.0</v>
      </c>
      <c r="Q3234" s="1">
        <v>2003.0</v>
      </c>
      <c r="R3234" s="1">
        <v>3000.0</v>
      </c>
      <c r="S3234" s="1">
        <v>971.0</v>
      </c>
      <c r="T3234" s="1">
        <v>600.0</v>
      </c>
      <c r="U3234" s="1">
        <v>5185.0</v>
      </c>
      <c r="V3234" s="1">
        <v>13.0</v>
      </c>
      <c r="W3234" s="1">
        <v>0.0</v>
      </c>
      <c r="X3234" s="1">
        <v>1.0</v>
      </c>
      <c r="Y3234" s="1">
        <v>1.85</v>
      </c>
      <c r="Z3234" s="1">
        <v>6.3</v>
      </c>
    </row>
    <row r="3235" ht="14.25" customHeight="1">
      <c r="A3235" s="1" t="s">
        <v>26</v>
      </c>
      <c r="B3235" s="1" t="s">
        <v>15268</v>
      </c>
      <c r="C3235" s="1" t="s">
        <v>15269</v>
      </c>
      <c r="D3235" s="1">
        <v>3219029.0</v>
      </c>
      <c r="E3235" s="1" t="s">
        <v>15270</v>
      </c>
      <c r="F3235" s="1" t="s">
        <v>11757</v>
      </c>
      <c r="G3235" s="1" t="s">
        <v>10511</v>
      </c>
      <c r="H3235" s="1" t="s">
        <v>15271</v>
      </c>
      <c r="I3235" s="1">
        <v>28845.0</v>
      </c>
      <c r="J3235" s="1" t="s">
        <v>15272</v>
      </c>
      <c r="K3235" s="1" t="s">
        <v>15273</v>
      </c>
      <c r="L3235" s="1">
        <v>125.0</v>
      </c>
      <c r="M3235" s="1" t="s">
        <v>35</v>
      </c>
      <c r="N3235" s="1" t="s">
        <v>36</v>
      </c>
      <c r="O3235" s="1" t="s">
        <v>628</v>
      </c>
      <c r="P3235" s="1">
        <v>5000000.0</v>
      </c>
      <c r="Q3235" s="1">
        <v>2015.0</v>
      </c>
      <c r="R3235" s="1">
        <v>727.0</v>
      </c>
      <c r="S3235" s="1">
        <v>442.0</v>
      </c>
      <c r="T3235" s="1">
        <v>233.0</v>
      </c>
      <c r="U3235" s="1">
        <v>1836.0</v>
      </c>
      <c r="V3235" s="1">
        <v>57.0</v>
      </c>
      <c r="W3235" s="1">
        <v>10000.0</v>
      </c>
      <c r="X3235" s="1">
        <v>0.0</v>
      </c>
      <c r="Y3235" s="1">
        <v>2.35</v>
      </c>
      <c r="Z3235" s="1">
        <v>7.1</v>
      </c>
    </row>
    <row r="3236" ht="14.25" customHeight="1">
      <c r="A3236" s="1" t="s">
        <v>26</v>
      </c>
      <c r="B3236" s="1" t="s">
        <v>5083</v>
      </c>
      <c r="C3236" s="1" t="s">
        <v>15274</v>
      </c>
      <c r="D3236" s="1">
        <v>1040879.0</v>
      </c>
      <c r="E3236" s="1" t="s">
        <v>8521</v>
      </c>
      <c r="F3236" s="1" t="s">
        <v>5176</v>
      </c>
      <c r="G3236" s="1" t="s">
        <v>15275</v>
      </c>
      <c r="H3236" s="1" t="s">
        <v>15276</v>
      </c>
      <c r="I3236" s="1">
        <v>54478.0</v>
      </c>
      <c r="J3236" s="1" t="s">
        <v>15277</v>
      </c>
      <c r="K3236" s="1" t="s">
        <v>15278</v>
      </c>
      <c r="L3236" s="1">
        <v>184.0</v>
      </c>
      <c r="M3236" s="1" t="s">
        <v>35</v>
      </c>
      <c r="N3236" s="1" t="s">
        <v>36</v>
      </c>
      <c r="O3236" s="1" t="s">
        <v>628</v>
      </c>
      <c r="P3236" s="1">
        <v>7000000.0</v>
      </c>
      <c r="Q3236" s="1">
        <v>1996.0</v>
      </c>
      <c r="R3236" s="1">
        <v>387.0</v>
      </c>
      <c r="S3236" s="1">
        <v>96.0</v>
      </c>
      <c r="T3236" s="1">
        <v>65.0</v>
      </c>
      <c r="U3236" s="1">
        <v>648.0</v>
      </c>
      <c r="V3236" s="1">
        <v>0.0</v>
      </c>
      <c r="W3236" s="1">
        <v>0.0</v>
      </c>
      <c r="X3236" s="1">
        <v>0.0</v>
      </c>
      <c r="Y3236" s="1">
        <v>1.85</v>
      </c>
      <c r="Z3236" s="1">
        <v>7.1</v>
      </c>
    </row>
    <row r="3237" ht="14.25" customHeight="1">
      <c r="A3237" s="1" t="s">
        <v>26</v>
      </c>
      <c r="B3237" s="1" t="s">
        <v>112</v>
      </c>
      <c r="C3237" s="1" t="s">
        <v>15279</v>
      </c>
      <c r="D3237" s="1">
        <v>326308.0</v>
      </c>
      <c r="E3237" s="1" t="s">
        <v>2045</v>
      </c>
      <c r="F3237" s="1" t="s">
        <v>2682</v>
      </c>
      <c r="G3237" s="1" t="s">
        <v>301</v>
      </c>
      <c r="H3237" s="1" t="s">
        <v>5286</v>
      </c>
      <c r="I3237" s="1">
        <v>6632.0</v>
      </c>
      <c r="J3237" s="1" t="s">
        <v>15280</v>
      </c>
      <c r="K3237" s="1" t="s">
        <v>15281</v>
      </c>
      <c r="L3237" s="1">
        <v>69.0</v>
      </c>
      <c r="M3237" s="1" t="s">
        <v>35</v>
      </c>
      <c r="N3237" s="1" t="s">
        <v>36</v>
      </c>
      <c r="O3237" s="1" t="s">
        <v>628</v>
      </c>
      <c r="P3237" s="1">
        <v>5000000.0</v>
      </c>
      <c r="Q3237" s="1">
        <v>1996.0</v>
      </c>
      <c r="R3237" s="1">
        <v>10000.0</v>
      </c>
      <c r="S3237" s="1">
        <v>1000.0</v>
      </c>
      <c r="T3237" s="1">
        <v>977.0</v>
      </c>
      <c r="U3237" s="1">
        <v>13718.0</v>
      </c>
      <c r="V3237" s="1">
        <v>18000.0</v>
      </c>
      <c r="W3237" s="1">
        <v>225.0</v>
      </c>
      <c r="X3237" s="1">
        <v>3.0</v>
      </c>
      <c r="Y3237" s="1">
        <v>2.35</v>
      </c>
      <c r="Z3237" s="1">
        <v>6.1</v>
      </c>
    </row>
    <row r="3238" ht="14.25" customHeight="1">
      <c r="A3238" s="1" t="s">
        <v>26</v>
      </c>
      <c r="B3238" s="1" t="s">
        <v>15282</v>
      </c>
      <c r="C3238" s="1" t="s">
        <v>15283</v>
      </c>
      <c r="D3238" s="1">
        <v>124720.0</v>
      </c>
      <c r="E3238" s="1" t="s">
        <v>206</v>
      </c>
      <c r="F3238" s="1" t="s">
        <v>1475</v>
      </c>
      <c r="G3238" s="1" t="s">
        <v>7260</v>
      </c>
      <c r="H3238" s="1" t="s">
        <v>3095</v>
      </c>
      <c r="I3238" s="1">
        <v>1560.0</v>
      </c>
      <c r="J3238" s="1" t="s">
        <v>15284</v>
      </c>
      <c r="K3238" s="1" t="s">
        <v>15285</v>
      </c>
      <c r="L3238" s="1">
        <v>15.0</v>
      </c>
      <c r="M3238" s="1" t="s">
        <v>35</v>
      </c>
      <c r="N3238" s="1" t="s">
        <v>36</v>
      </c>
      <c r="O3238" s="1" t="s">
        <v>87</v>
      </c>
      <c r="P3238" s="1">
        <v>5000000.0</v>
      </c>
      <c r="Q3238" s="1">
        <v>2008.0</v>
      </c>
      <c r="R3238" s="1">
        <v>3000.0</v>
      </c>
      <c r="S3238" s="1">
        <v>1000.0</v>
      </c>
      <c r="T3238" s="1">
        <v>940.0</v>
      </c>
      <c r="U3238" s="1">
        <v>4987.0</v>
      </c>
      <c r="V3238" s="1">
        <v>6.0</v>
      </c>
      <c r="W3238" s="1">
        <v>777.0</v>
      </c>
      <c r="X3238" s="1">
        <v>0.0</v>
      </c>
      <c r="Y3238" s="1">
        <v>1.85</v>
      </c>
      <c r="Z3238" s="1">
        <v>7.3</v>
      </c>
    </row>
    <row r="3239" ht="14.25" customHeight="1">
      <c r="A3239" s="1" t="s">
        <v>26</v>
      </c>
      <c r="B3239" s="1" t="s">
        <v>15286</v>
      </c>
      <c r="C3239" s="1" t="s">
        <v>15287</v>
      </c>
      <c r="D3239" s="1">
        <v>99147.0</v>
      </c>
      <c r="E3239" s="1" t="s">
        <v>3238</v>
      </c>
      <c r="F3239" s="1" t="s">
        <v>2003</v>
      </c>
      <c r="G3239" s="1" t="s">
        <v>3032</v>
      </c>
      <c r="H3239" s="1" t="s">
        <v>15288</v>
      </c>
      <c r="I3239" s="1">
        <v>1884.0</v>
      </c>
      <c r="J3239" s="1" t="s">
        <v>15289</v>
      </c>
      <c r="K3239" s="1" t="s">
        <v>15290</v>
      </c>
      <c r="L3239" s="1">
        <v>28.0</v>
      </c>
      <c r="M3239" s="1" t="s">
        <v>35</v>
      </c>
      <c r="N3239" s="1" t="s">
        <v>36</v>
      </c>
      <c r="O3239" s="1" t="s">
        <v>628</v>
      </c>
      <c r="P3239" s="1">
        <v>2000000.0</v>
      </c>
      <c r="Q3239" s="1">
        <v>1998.0</v>
      </c>
      <c r="R3239" s="1">
        <v>1000.0</v>
      </c>
      <c r="S3239" s="1">
        <v>697.0</v>
      </c>
      <c r="T3239" s="1">
        <v>697.0</v>
      </c>
      <c r="U3239" s="1">
        <v>3207.0</v>
      </c>
      <c r="V3239" s="1">
        <v>204.0</v>
      </c>
      <c r="W3239" s="1">
        <v>69.0</v>
      </c>
      <c r="X3239" s="1">
        <v>3.0</v>
      </c>
      <c r="Y3239" s="1">
        <v>1.85</v>
      </c>
      <c r="Z3239" s="1">
        <v>6.2</v>
      </c>
    </row>
    <row r="3240" ht="14.25" customHeight="1">
      <c r="A3240" s="1" t="s">
        <v>26</v>
      </c>
      <c r="B3240" s="1" t="s">
        <v>2161</v>
      </c>
      <c r="C3240" s="1" t="s">
        <v>15291</v>
      </c>
      <c r="D3240" s="1">
        <v>65087.0</v>
      </c>
      <c r="E3240" s="1" t="s">
        <v>15292</v>
      </c>
      <c r="F3240" s="1" t="s">
        <v>15293</v>
      </c>
      <c r="G3240" s="1" t="s">
        <v>15294</v>
      </c>
      <c r="H3240" s="1" t="s">
        <v>15295</v>
      </c>
      <c r="I3240" s="1">
        <v>8824.0</v>
      </c>
      <c r="J3240" s="1" t="s">
        <v>15296</v>
      </c>
      <c r="K3240" s="1" t="s">
        <v>15297</v>
      </c>
      <c r="L3240" s="1">
        <v>108.0</v>
      </c>
      <c r="M3240" s="1" t="s">
        <v>35</v>
      </c>
      <c r="N3240" s="1" t="s">
        <v>36</v>
      </c>
      <c r="O3240" s="1" t="s">
        <v>628</v>
      </c>
      <c r="P3240" s="1">
        <v>5000000.0</v>
      </c>
      <c r="Q3240" s="1">
        <v>2007.0</v>
      </c>
      <c r="R3240" s="1">
        <v>343.0</v>
      </c>
      <c r="S3240" s="1">
        <v>29.0</v>
      </c>
      <c r="T3240" s="1">
        <v>15.0</v>
      </c>
      <c r="U3240" s="1">
        <v>408.0</v>
      </c>
      <c r="V3240" s="1">
        <v>0.0</v>
      </c>
      <c r="W3240" s="1">
        <v>559.0</v>
      </c>
      <c r="X3240" s="1">
        <v>0.0</v>
      </c>
      <c r="Y3240" s="1">
        <v>1.85</v>
      </c>
      <c r="Z3240" s="1">
        <v>6.2</v>
      </c>
    </row>
    <row r="3241" ht="14.25" customHeight="1">
      <c r="A3241" s="1" t="s">
        <v>26</v>
      </c>
      <c r="B3241" s="1" t="s">
        <v>15298</v>
      </c>
      <c r="C3241" s="1" t="s">
        <v>15299</v>
      </c>
      <c r="D3241" s="1">
        <v>16066.0</v>
      </c>
      <c r="E3241" s="1" t="s">
        <v>14531</v>
      </c>
      <c r="F3241" s="1" t="s">
        <v>5291</v>
      </c>
      <c r="G3241" s="1" t="s">
        <v>15300</v>
      </c>
      <c r="H3241" s="1" t="s">
        <v>15301</v>
      </c>
      <c r="I3241" s="1">
        <v>1207.0</v>
      </c>
      <c r="J3241" s="1" t="s">
        <v>15302</v>
      </c>
      <c r="K3241" s="1" t="s">
        <v>15303</v>
      </c>
      <c r="L3241" s="1">
        <v>44.0</v>
      </c>
      <c r="M3241" s="1" t="s">
        <v>35</v>
      </c>
      <c r="N3241" s="1" t="s">
        <v>730</v>
      </c>
      <c r="O3241" s="1" t="s">
        <v>628</v>
      </c>
      <c r="P3241" s="1">
        <v>5000000.0</v>
      </c>
      <c r="Q3241" s="1">
        <v>2004.0</v>
      </c>
      <c r="R3241" s="1">
        <v>811.0</v>
      </c>
      <c r="S3241" s="1">
        <v>522.0</v>
      </c>
      <c r="T3241" s="1">
        <v>227.0</v>
      </c>
      <c r="U3241" s="1">
        <v>1789.0</v>
      </c>
      <c r="V3241" s="1">
        <v>34.0</v>
      </c>
      <c r="W3241" s="1">
        <v>40.0</v>
      </c>
      <c r="X3241" s="1">
        <v>0.0</v>
      </c>
      <c r="Y3241" s="1">
        <v>2.35</v>
      </c>
      <c r="Z3241" s="1">
        <v>3.3</v>
      </c>
    </row>
    <row r="3242" ht="14.25" customHeight="1">
      <c r="A3242" s="1" t="s">
        <v>26</v>
      </c>
      <c r="B3242" s="1" t="s">
        <v>15304</v>
      </c>
      <c r="C3242" s="1" t="s">
        <v>15305</v>
      </c>
      <c r="D3242" s="1">
        <v>617228.0</v>
      </c>
      <c r="E3242" s="1" t="s">
        <v>15306</v>
      </c>
      <c r="F3242" s="1" t="s">
        <v>15307</v>
      </c>
      <c r="G3242" s="1" t="s">
        <v>15308</v>
      </c>
      <c r="H3242" s="1" t="s">
        <v>15309</v>
      </c>
      <c r="I3242" s="1">
        <v>6183.0</v>
      </c>
      <c r="J3242" s="1" t="s">
        <v>15310</v>
      </c>
      <c r="K3242" s="1" t="s">
        <v>15311</v>
      </c>
      <c r="L3242" s="1">
        <v>27.0</v>
      </c>
      <c r="M3242" s="1" t="s">
        <v>15312</v>
      </c>
      <c r="N3242" s="1" t="s">
        <v>5235</v>
      </c>
      <c r="O3242" s="1" t="s">
        <v>628</v>
      </c>
      <c r="P3242" s="1">
        <v>8.445E7</v>
      </c>
      <c r="Q3242" s="1">
        <v>2006.0</v>
      </c>
      <c r="R3242" s="1">
        <v>61.0</v>
      </c>
      <c r="S3242" s="1">
        <v>12.0</v>
      </c>
      <c r="T3242" s="1">
        <v>4.0</v>
      </c>
      <c r="U3242" s="1">
        <v>92.0</v>
      </c>
      <c r="V3242" s="1">
        <v>44.0</v>
      </c>
      <c r="W3242" s="1">
        <v>1000.0</v>
      </c>
      <c r="X3242" s="1">
        <v>1.0</v>
      </c>
      <c r="Y3242" s="1">
        <v>1.85</v>
      </c>
      <c r="Z3242" s="1">
        <v>7.4</v>
      </c>
    </row>
    <row r="3243" ht="14.25" customHeight="1">
      <c r="A3243" s="1" t="s">
        <v>26</v>
      </c>
      <c r="B3243" s="1" t="s">
        <v>5572</v>
      </c>
      <c r="C3243" s="1" t="s">
        <v>15313</v>
      </c>
      <c r="D3243" s="1">
        <v>2.4475416E7</v>
      </c>
      <c r="E3243" s="1" t="s">
        <v>3238</v>
      </c>
      <c r="F3243" s="1" t="s">
        <v>1606</v>
      </c>
      <c r="G3243" s="1" t="s">
        <v>5221</v>
      </c>
      <c r="H3243" s="1" t="s">
        <v>4423</v>
      </c>
      <c r="I3243" s="1">
        <v>72443.0</v>
      </c>
      <c r="J3243" s="1" t="s">
        <v>15314</v>
      </c>
      <c r="K3243" s="1" t="s">
        <v>15315</v>
      </c>
      <c r="L3243" s="1">
        <v>309.0</v>
      </c>
      <c r="M3243" s="1" t="s">
        <v>35</v>
      </c>
      <c r="N3243" s="1" t="s">
        <v>36</v>
      </c>
      <c r="O3243" s="1" t="s">
        <v>628</v>
      </c>
      <c r="P3243" s="1">
        <v>890000.0</v>
      </c>
      <c r="Q3243" s="1">
        <v>1996.0</v>
      </c>
      <c r="R3243" s="1">
        <v>3000.0</v>
      </c>
      <c r="S3243" s="1">
        <v>324.0</v>
      </c>
      <c r="T3243" s="1">
        <v>263.0</v>
      </c>
      <c r="U3243" s="1">
        <v>3967.0</v>
      </c>
      <c r="V3243" s="1">
        <v>0.0</v>
      </c>
      <c r="W3243" s="1">
        <v>0.0</v>
      </c>
      <c r="X3243" s="1">
        <v>0.0</v>
      </c>
      <c r="Y3243" s="1">
        <v>1.85</v>
      </c>
      <c r="Z3243" s="1">
        <v>8.0</v>
      </c>
    </row>
    <row r="3244" ht="14.25" customHeight="1">
      <c r="A3244" s="1" t="s">
        <v>26</v>
      </c>
      <c r="B3244" s="1" t="s">
        <v>14171</v>
      </c>
      <c r="C3244" s="1" t="s">
        <v>15316</v>
      </c>
      <c r="D3244" s="1">
        <v>4.7277326E7</v>
      </c>
      <c r="E3244" s="1" t="s">
        <v>6019</v>
      </c>
      <c r="F3244" s="1" t="s">
        <v>3524</v>
      </c>
      <c r="G3244" s="1" t="s">
        <v>15317</v>
      </c>
      <c r="H3244" s="1" t="s">
        <v>5067</v>
      </c>
      <c r="I3244" s="1">
        <v>138814.0</v>
      </c>
      <c r="J3244" s="1" t="s">
        <v>15318</v>
      </c>
      <c r="K3244" s="1" t="s">
        <v>15319</v>
      </c>
      <c r="L3244" s="1">
        <v>1516.0</v>
      </c>
      <c r="M3244" s="1" t="s">
        <v>35</v>
      </c>
      <c r="N3244" s="1" t="s">
        <v>36</v>
      </c>
      <c r="O3244" s="1" t="s">
        <v>628</v>
      </c>
      <c r="P3244" s="1">
        <v>4800000.0</v>
      </c>
      <c r="Q3244" s="1">
        <v>2005.0</v>
      </c>
      <c r="R3244" s="1">
        <v>1000.0</v>
      </c>
      <c r="S3244" s="1">
        <v>1000.0</v>
      </c>
      <c r="T3244" s="1">
        <v>581.0</v>
      </c>
      <c r="U3244" s="1">
        <v>2990.0</v>
      </c>
      <c r="V3244" s="1">
        <v>0.0</v>
      </c>
      <c r="W3244" s="1">
        <v>0.0</v>
      </c>
      <c r="X3244" s="1">
        <v>0.0</v>
      </c>
      <c r="Y3244" s="1">
        <v>2.35</v>
      </c>
      <c r="Z3244" s="1">
        <v>5.9</v>
      </c>
    </row>
    <row r="3245" ht="14.25" customHeight="1">
      <c r="A3245" s="1" t="s">
        <v>26</v>
      </c>
      <c r="B3245" s="1" t="s">
        <v>11814</v>
      </c>
      <c r="C3245" s="1" t="s">
        <v>15320</v>
      </c>
      <c r="D3245" s="1">
        <v>1247453.0</v>
      </c>
      <c r="E3245" s="1" t="s">
        <v>2422</v>
      </c>
      <c r="F3245" s="1" t="s">
        <v>776</v>
      </c>
      <c r="G3245" s="1" t="s">
        <v>2207</v>
      </c>
      <c r="H3245" s="1" t="s">
        <v>5715</v>
      </c>
      <c r="I3245" s="1">
        <v>11202.0</v>
      </c>
      <c r="J3245" s="1" t="s">
        <v>15321</v>
      </c>
      <c r="K3245" s="1" t="s">
        <v>15322</v>
      </c>
      <c r="L3245" s="1">
        <v>123.0</v>
      </c>
      <c r="M3245" s="1" t="s">
        <v>35</v>
      </c>
      <c r="N3245" s="1" t="s">
        <v>54</v>
      </c>
      <c r="O3245" s="1" t="s">
        <v>628</v>
      </c>
      <c r="P3245" s="1">
        <v>2800000.0</v>
      </c>
      <c r="Q3245" s="1">
        <v>2005.0</v>
      </c>
      <c r="R3245" s="1">
        <v>1000.0</v>
      </c>
      <c r="S3245" s="1">
        <v>887.0</v>
      </c>
      <c r="T3245" s="1">
        <v>427.0</v>
      </c>
      <c r="U3245" s="1">
        <v>3690.0</v>
      </c>
      <c r="V3245" s="1">
        <v>187.0</v>
      </c>
      <c r="W3245" s="1">
        <v>750.0</v>
      </c>
      <c r="X3245" s="1">
        <v>0.0</v>
      </c>
      <c r="Y3245" s="1">
        <v>2.35</v>
      </c>
      <c r="Z3245" s="1">
        <v>6.8</v>
      </c>
    </row>
    <row r="3246" ht="14.25" customHeight="1">
      <c r="A3246" s="1" t="s">
        <v>26</v>
      </c>
      <c r="B3246" s="1" t="s">
        <v>10913</v>
      </c>
      <c r="C3246" s="1" t="s">
        <v>15323</v>
      </c>
      <c r="D3246" s="1">
        <v>1729969.0</v>
      </c>
      <c r="E3246" s="1" t="s">
        <v>3868</v>
      </c>
      <c r="F3246" s="1" t="s">
        <v>2491</v>
      </c>
      <c r="G3246" s="1" t="s">
        <v>5494</v>
      </c>
      <c r="H3246" s="1" t="s">
        <v>15324</v>
      </c>
      <c r="I3246" s="1">
        <v>68211.0</v>
      </c>
      <c r="J3246" s="1" t="s">
        <v>15325</v>
      </c>
      <c r="K3246" s="1" t="s">
        <v>15326</v>
      </c>
      <c r="L3246" s="1">
        <v>219.0</v>
      </c>
      <c r="M3246" s="1" t="s">
        <v>35</v>
      </c>
      <c r="N3246" s="1" t="s">
        <v>36</v>
      </c>
      <c r="O3246" s="1" t="s">
        <v>628</v>
      </c>
      <c r="P3246" s="1">
        <v>5000000.0</v>
      </c>
      <c r="Q3246" s="1">
        <v>2011.0</v>
      </c>
      <c r="R3246" s="1">
        <v>982.0</v>
      </c>
      <c r="S3246" s="1">
        <v>463.0</v>
      </c>
      <c r="T3246" s="1">
        <v>41.0</v>
      </c>
      <c r="U3246" s="1">
        <v>1520.0</v>
      </c>
      <c r="V3246" s="1">
        <v>337.0</v>
      </c>
      <c r="W3246" s="1">
        <v>14000.0</v>
      </c>
      <c r="X3246" s="1">
        <v>0.0</v>
      </c>
      <c r="Y3246" s="1">
        <v>2.35</v>
      </c>
      <c r="Z3246" s="1">
        <v>7.4</v>
      </c>
    </row>
    <row r="3247" ht="14.25" customHeight="1">
      <c r="A3247" s="1" t="s">
        <v>26</v>
      </c>
      <c r="B3247" s="1" t="s">
        <v>15327</v>
      </c>
      <c r="C3247" s="1" t="s">
        <v>15328</v>
      </c>
      <c r="D3247" s="1">
        <v>1705139.0</v>
      </c>
      <c r="E3247" s="1" t="s">
        <v>2546</v>
      </c>
      <c r="F3247" s="1" t="s">
        <v>8253</v>
      </c>
      <c r="G3247" s="1" t="s">
        <v>1091</v>
      </c>
      <c r="H3247" s="1" t="s">
        <v>15329</v>
      </c>
      <c r="I3247" s="1">
        <v>4695.0</v>
      </c>
      <c r="J3247" s="1" t="s">
        <v>15330</v>
      </c>
      <c r="K3247" s="1" t="s">
        <v>15331</v>
      </c>
      <c r="L3247" s="1">
        <v>69.0</v>
      </c>
      <c r="M3247" s="1" t="s">
        <v>35</v>
      </c>
      <c r="N3247" s="1" t="s">
        <v>36</v>
      </c>
      <c r="O3247" s="1" t="s">
        <v>628</v>
      </c>
      <c r="P3247" s="1">
        <v>4700000.0</v>
      </c>
      <c r="Q3247" s="1">
        <v>1988.0</v>
      </c>
      <c r="R3247" s="1">
        <v>968.0</v>
      </c>
      <c r="S3247" s="1">
        <v>733.0</v>
      </c>
      <c r="T3247" s="1">
        <v>339.0</v>
      </c>
      <c r="U3247" s="1">
        <v>2545.0</v>
      </c>
      <c r="V3247" s="1">
        <v>7.0</v>
      </c>
      <c r="W3247" s="1">
        <v>0.0</v>
      </c>
      <c r="X3247" s="1">
        <v>0.0</v>
      </c>
      <c r="Y3247" s="1">
        <v>1.85</v>
      </c>
      <c r="Z3247" s="1">
        <v>6.7</v>
      </c>
    </row>
    <row r="3248" ht="14.25" customHeight="1">
      <c r="A3248" s="1" t="s">
        <v>26</v>
      </c>
      <c r="B3248" s="1" t="s">
        <v>6957</v>
      </c>
      <c r="C3248" s="1" t="s">
        <v>15332</v>
      </c>
      <c r="D3248" s="1">
        <v>8025872.0</v>
      </c>
      <c r="E3248" s="1" t="s">
        <v>7114</v>
      </c>
      <c r="F3248" s="1" t="s">
        <v>15333</v>
      </c>
      <c r="G3248" s="1" t="s">
        <v>15334</v>
      </c>
      <c r="H3248" s="1" t="s">
        <v>15335</v>
      </c>
      <c r="I3248" s="1">
        <v>19234.0</v>
      </c>
      <c r="J3248" s="1" t="s">
        <v>15336</v>
      </c>
      <c r="K3248" s="1" t="s">
        <v>15337</v>
      </c>
      <c r="L3248" s="1">
        <v>258.0</v>
      </c>
      <c r="M3248" s="1" t="s">
        <v>35</v>
      </c>
      <c r="N3248" s="1" t="s">
        <v>36</v>
      </c>
      <c r="O3248" s="1" t="s">
        <v>6886</v>
      </c>
      <c r="P3248" s="1">
        <v>4700000.0</v>
      </c>
      <c r="Q3248" s="1">
        <v>1986.0</v>
      </c>
      <c r="R3248" s="1">
        <v>237.0</v>
      </c>
      <c r="S3248" s="1">
        <v>28.0</v>
      </c>
      <c r="T3248" s="1">
        <v>14.0</v>
      </c>
      <c r="U3248" s="1">
        <v>302.0</v>
      </c>
      <c r="V3248" s="1">
        <v>365.0</v>
      </c>
      <c r="W3248" s="1">
        <v>0.0</v>
      </c>
      <c r="X3248" s="1">
        <v>3.0</v>
      </c>
      <c r="Y3248" s="1">
        <v>1.85</v>
      </c>
      <c r="Z3248" s="1">
        <v>5.5</v>
      </c>
    </row>
    <row r="3249" ht="14.25" customHeight="1">
      <c r="A3249" s="1" t="s">
        <v>26</v>
      </c>
      <c r="B3249" s="1" t="s">
        <v>11588</v>
      </c>
      <c r="C3249" s="1" t="s">
        <v>15338</v>
      </c>
      <c r="D3249" s="1">
        <v>778565.0</v>
      </c>
      <c r="E3249" s="1" t="s">
        <v>1854</v>
      </c>
      <c r="F3249" s="1" t="s">
        <v>4002</v>
      </c>
      <c r="G3249" s="1" t="s">
        <v>195</v>
      </c>
      <c r="H3249" s="1" t="s">
        <v>15339</v>
      </c>
      <c r="I3249" s="1">
        <v>83234.0</v>
      </c>
      <c r="J3249" s="1" t="s">
        <v>15340</v>
      </c>
      <c r="K3249" s="1" t="s">
        <v>15341</v>
      </c>
      <c r="L3249" s="1">
        <v>475.0</v>
      </c>
      <c r="M3249" s="1" t="s">
        <v>35</v>
      </c>
      <c r="N3249" s="1" t="s">
        <v>7233</v>
      </c>
      <c r="O3249" s="1" t="s">
        <v>628</v>
      </c>
      <c r="P3249" s="1">
        <v>4800000.0</v>
      </c>
      <c r="Q3249" s="1">
        <v>2013.0</v>
      </c>
      <c r="R3249" s="1">
        <v>33000.0</v>
      </c>
      <c r="S3249" s="1">
        <v>1000.0</v>
      </c>
      <c r="T3249" s="1">
        <v>428.0</v>
      </c>
      <c r="U3249" s="1">
        <v>34779.0</v>
      </c>
      <c r="V3249" s="1">
        <v>0.0</v>
      </c>
      <c r="W3249" s="1">
        <v>30000.0</v>
      </c>
      <c r="X3249" s="1">
        <v>1.0</v>
      </c>
      <c r="Y3249" s="1">
        <v>1.85</v>
      </c>
      <c r="Z3249" s="1">
        <v>5.7</v>
      </c>
    </row>
    <row r="3250" ht="14.25" customHeight="1">
      <c r="A3250" s="1" t="s">
        <v>26</v>
      </c>
      <c r="B3250" s="1" t="s">
        <v>15342</v>
      </c>
      <c r="C3250" s="1" t="s">
        <v>15343</v>
      </c>
      <c r="D3250" s="1">
        <v>513836.0</v>
      </c>
      <c r="E3250" s="1" t="s">
        <v>1359</v>
      </c>
      <c r="F3250" s="1" t="s">
        <v>15344</v>
      </c>
      <c r="G3250" s="1" t="s">
        <v>15345</v>
      </c>
      <c r="H3250" s="1" t="s">
        <v>15346</v>
      </c>
      <c r="I3250" s="1">
        <v>6304.0</v>
      </c>
      <c r="J3250" s="1" t="s">
        <v>15347</v>
      </c>
      <c r="K3250" s="1" t="s">
        <v>15348</v>
      </c>
      <c r="L3250" s="1">
        <v>21.0</v>
      </c>
      <c r="M3250" s="1" t="s">
        <v>2752</v>
      </c>
      <c r="N3250" s="1" t="s">
        <v>1832</v>
      </c>
      <c r="O3250" s="1" t="s">
        <v>628</v>
      </c>
      <c r="P3250" s="1">
        <v>4600000.0</v>
      </c>
      <c r="Q3250" s="1">
        <v>2010.0</v>
      </c>
      <c r="R3250" s="1">
        <v>74.0</v>
      </c>
      <c r="S3250" s="1">
        <v>52.0</v>
      </c>
      <c r="T3250" s="1">
        <v>9.0</v>
      </c>
      <c r="U3250" s="1">
        <v>143.0</v>
      </c>
      <c r="V3250" s="1">
        <v>3.0</v>
      </c>
      <c r="W3250" s="1">
        <v>0.0</v>
      </c>
      <c r="X3250" s="1">
        <v>1.0</v>
      </c>
      <c r="Y3250" s="1">
        <v>1.85</v>
      </c>
      <c r="Z3250" s="1">
        <v>7.2</v>
      </c>
    </row>
    <row r="3251" ht="14.25" customHeight="1">
      <c r="A3251" s="1" t="s">
        <v>26</v>
      </c>
      <c r="B3251" s="1" t="s">
        <v>15349</v>
      </c>
      <c r="C3251" s="1" t="s">
        <v>15350</v>
      </c>
      <c r="D3251" s="1">
        <v>434417.0</v>
      </c>
      <c r="E3251" s="1" t="s">
        <v>3238</v>
      </c>
      <c r="F3251" s="1" t="s">
        <v>431</v>
      </c>
      <c r="G3251" s="1" t="s">
        <v>13120</v>
      </c>
      <c r="H3251" s="1" t="s">
        <v>2157</v>
      </c>
      <c r="I3251" s="1">
        <v>8867.0</v>
      </c>
      <c r="J3251" s="1" t="s">
        <v>15351</v>
      </c>
      <c r="K3251" s="1" t="s">
        <v>15352</v>
      </c>
      <c r="L3251" s="1">
        <v>65.0</v>
      </c>
      <c r="M3251" s="1" t="s">
        <v>35</v>
      </c>
      <c r="N3251" s="1" t="s">
        <v>3393</v>
      </c>
      <c r="O3251" s="1" t="s">
        <v>9252</v>
      </c>
      <c r="P3251" s="1">
        <v>4600000.0</v>
      </c>
      <c r="Q3251" s="1">
        <v>2007.0</v>
      </c>
      <c r="R3251" s="1">
        <v>13000.0</v>
      </c>
      <c r="S3251" s="1">
        <v>1000.0</v>
      </c>
      <c r="T3251" s="1">
        <v>577.0</v>
      </c>
      <c r="U3251" s="1">
        <v>15093.0</v>
      </c>
      <c r="V3251" s="1">
        <v>4.0</v>
      </c>
      <c r="W3251" s="1">
        <v>0.0</v>
      </c>
      <c r="X3251" s="1">
        <v>1.0</v>
      </c>
      <c r="Y3251" s="1">
        <v>1.85</v>
      </c>
      <c r="Z3251" s="1">
        <v>5.9</v>
      </c>
    </row>
    <row r="3252" ht="14.25" customHeight="1">
      <c r="A3252" s="1" t="s">
        <v>26</v>
      </c>
      <c r="B3252" s="1" t="s">
        <v>7041</v>
      </c>
      <c r="C3252" s="1" t="s">
        <v>15353</v>
      </c>
      <c r="D3252" s="1">
        <v>8.12E7</v>
      </c>
      <c r="E3252" s="1" t="s">
        <v>1885</v>
      </c>
      <c r="F3252" s="1" t="s">
        <v>10168</v>
      </c>
      <c r="G3252" s="1" t="s">
        <v>15354</v>
      </c>
      <c r="H3252" s="1" t="s">
        <v>9498</v>
      </c>
      <c r="I3252" s="1">
        <v>87739.0</v>
      </c>
      <c r="J3252" s="1" t="s">
        <v>15355</v>
      </c>
      <c r="K3252" s="1" t="s">
        <v>15356</v>
      </c>
      <c r="L3252" s="1">
        <v>133.0</v>
      </c>
      <c r="M3252" s="1" t="s">
        <v>35</v>
      </c>
      <c r="N3252" s="1" t="s">
        <v>36</v>
      </c>
      <c r="O3252" s="1" t="s">
        <v>628</v>
      </c>
      <c r="P3252" s="1">
        <v>4500000.0</v>
      </c>
      <c r="Q3252" s="1">
        <v>1984.0</v>
      </c>
      <c r="R3252" s="1">
        <v>801.0</v>
      </c>
      <c r="S3252" s="1">
        <v>760.0</v>
      </c>
      <c r="T3252" s="1">
        <v>542.0</v>
      </c>
      <c r="U3252" s="1">
        <v>3113.0</v>
      </c>
      <c r="V3252" s="1">
        <v>37.0</v>
      </c>
      <c r="W3252" s="1">
        <v>0.0</v>
      </c>
      <c r="X3252" s="1">
        <v>0.0</v>
      </c>
      <c r="Y3252" s="1">
        <v>1.85</v>
      </c>
      <c r="Z3252" s="1">
        <v>6.7</v>
      </c>
    </row>
    <row r="3253" ht="14.25" customHeight="1">
      <c r="A3253" s="1" t="s">
        <v>26</v>
      </c>
      <c r="B3253" s="1" t="s">
        <v>363</v>
      </c>
      <c r="C3253" s="1" t="s">
        <v>15357</v>
      </c>
      <c r="D3253" s="1">
        <v>5.2700832E7</v>
      </c>
      <c r="E3253" s="1" t="s">
        <v>1359</v>
      </c>
      <c r="F3253" s="1" t="s">
        <v>195</v>
      </c>
      <c r="G3253" s="1" t="s">
        <v>15358</v>
      </c>
      <c r="H3253" s="1" t="s">
        <v>8550</v>
      </c>
      <c r="I3253" s="1">
        <v>107923.0</v>
      </c>
      <c r="J3253" s="1" t="s">
        <v>15359</v>
      </c>
      <c r="K3253" s="1" t="s">
        <v>15360</v>
      </c>
      <c r="L3253" s="1">
        <v>197.0</v>
      </c>
      <c r="M3253" s="1" t="s">
        <v>35</v>
      </c>
      <c r="N3253" s="1" t="s">
        <v>54</v>
      </c>
      <c r="O3253" s="1" t="s">
        <v>628</v>
      </c>
      <c r="P3253" s="1">
        <v>4500000.0</v>
      </c>
      <c r="Q3253" s="1">
        <v>1994.0</v>
      </c>
      <c r="R3253" s="1">
        <v>1000.0</v>
      </c>
      <c r="S3253" s="1">
        <v>398.0</v>
      </c>
      <c r="T3253" s="1">
        <v>239.0</v>
      </c>
      <c r="U3253" s="1">
        <v>1862.0</v>
      </c>
      <c r="V3253" s="1">
        <v>179.0</v>
      </c>
      <c r="W3253" s="1">
        <v>0.0</v>
      </c>
      <c r="X3253" s="1">
        <v>4.0</v>
      </c>
      <c r="Y3253" s="1">
        <v>1.66</v>
      </c>
      <c r="Z3253" s="1">
        <v>7.1</v>
      </c>
    </row>
    <row r="3254" ht="14.25" customHeight="1">
      <c r="A3254" s="1" t="s">
        <v>26</v>
      </c>
      <c r="B3254" s="1" t="s">
        <v>4801</v>
      </c>
      <c r="C3254" s="1" t="s">
        <v>15361</v>
      </c>
      <c r="D3254" s="1">
        <v>1.3060843E7</v>
      </c>
      <c r="E3254" s="1" t="s">
        <v>3238</v>
      </c>
      <c r="F3254" s="1" t="s">
        <v>662</v>
      </c>
      <c r="G3254" s="1" t="s">
        <v>947</v>
      </c>
      <c r="H3254" s="1" t="s">
        <v>1232</v>
      </c>
      <c r="I3254" s="1">
        <v>149528.0</v>
      </c>
      <c r="J3254" s="1" t="s">
        <v>15362</v>
      </c>
      <c r="K3254" s="1" t="s">
        <v>15363</v>
      </c>
      <c r="L3254" s="1">
        <v>454.0</v>
      </c>
      <c r="M3254" s="1" t="s">
        <v>35</v>
      </c>
      <c r="N3254" s="1" t="s">
        <v>36</v>
      </c>
      <c r="O3254" s="1" t="s">
        <v>628</v>
      </c>
      <c r="P3254" s="1">
        <v>1.5E7</v>
      </c>
      <c r="Q3254" s="1">
        <v>2002.0</v>
      </c>
      <c r="R3254" s="1">
        <v>22000.0</v>
      </c>
      <c r="S3254" s="1">
        <v>3000.0</v>
      </c>
      <c r="T3254" s="1">
        <v>346.0</v>
      </c>
      <c r="U3254" s="1">
        <v>26050.0</v>
      </c>
      <c r="V3254" s="1">
        <v>0.0</v>
      </c>
      <c r="W3254" s="1">
        <v>0.0</v>
      </c>
      <c r="X3254" s="1">
        <v>0.0</v>
      </c>
      <c r="Y3254" s="1">
        <v>2.35</v>
      </c>
      <c r="Z3254" s="1">
        <v>7.7</v>
      </c>
    </row>
    <row r="3255" ht="14.25" customHeight="1">
      <c r="A3255" s="1" t="s">
        <v>26</v>
      </c>
      <c r="B3255" s="1" t="s">
        <v>428</v>
      </c>
      <c r="C3255" s="1" t="s">
        <v>15364</v>
      </c>
      <c r="D3255" s="1">
        <v>3798532.0</v>
      </c>
      <c r="E3255" s="1" t="s">
        <v>4987</v>
      </c>
      <c r="F3255" s="1" t="s">
        <v>134</v>
      </c>
      <c r="G3255" s="1" t="s">
        <v>15365</v>
      </c>
      <c r="H3255" s="1" t="s">
        <v>15366</v>
      </c>
      <c r="I3255" s="1">
        <v>41138.0</v>
      </c>
      <c r="J3255" s="1" t="s">
        <v>15367</v>
      </c>
      <c r="K3255" s="1" t="s">
        <v>15368</v>
      </c>
      <c r="L3255" s="1">
        <v>208.0</v>
      </c>
      <c r="M3255" s="1" t="s">
        <v>35</v>
      </c>
      <c r="N3255" s="1" t="s">
        <v>36</v>
      </c>
      <c r="O3255" s="1" t="s">
        <v>628</v>
      </c>
      <c r="P3255" s="1">
        <v>4500000.0</v>
      </c>
      <c r="Q3255" s="1">
        <v>1996.0</v>
      </c>
      <c r="R3255" s="1">
        <v>3000.0</v>
      </c>
      <c r="S3255" s="1">
        <v>441.0</v>
      </c>
      <c r="T3255" s="1">
        <v>126.0</v>
      </c>
      <c r="U3255" s="1">
        <v>3668.0</v>
      </c>
      <c r="V3255" s="1">
        <v>0.0</v>
      </c>
      <c r="W3255" s="1">
        <v>2000.0</v>
      </c>
      <c r="X3255" s="1">
        <v>0.0</v>
      </c>
      <c r="Y3255" s="1">
        <v>1.85</v>
      </c>
      <c r="Z3255" s="1">
        <v>7.4</v>
      </c>
    </row>
    <row r="3256" ht="14.25" customHeight="1">
      <c r="A3256" s="1" t="s">
        <v>26</v>
      </c>
      <c r="B3256" s="1" t="s">
        <v>1159</v>
      </c>
      <c r="C3256" s="1" t="s">
        <v>15369</v>
      </c>
      <c r="D3256" s="1">
        <v>3609278.0</v>
      </c>
      <c r="E3256" s="1" t="s">
        <v>3238</v>
      </c>
      <c r="F3256" s="1" t="s">
        <v>7260</v>
      </c>
      <c r="G3256" s="1" t="s">
        <v>1739</v>
      </c>
      <c r="H3256" s="1" t="s">
        <v>15370</v>
      </c>
      <c r="I3256" s="1">
        <v>573541.0</v>
      </c>
      <c r="J3256" s="1" t="s">
        <v>15371</v>
      </c>
      <c r="K3256" s="1" t="s">
        <v>15372</v>
      </c>
      <c r="L3256" s="1">
        <v>1916.0</v>
      </c>
      <c r="M3256" s="1" t="s">
        <v>35</v>
      </c>
      <c r="N3256" s="1" t="s">
        <v>36</v>
      </c>
      <c r="O3256" s="1" t="s">
        <v>628</v>
      </c>
      <c r="P3256" s="1">
        <v>4500000.0</v>
      </c>
      <c r="Q3256" s="1">
        <v>2000.0</v>
      </c>
      <c r="R3256" s="1">
        <v>1000.0</v>
      </c>
      <c r="S3256" s="1">
        <v>1000.0</v>
      </c>
      <c r="T3256" s="1">
        <v>167.0</v>
      </c>
      <c r="U3256" s="1">
        <v>2235.0</v>
      </c>
      <c r="V3256" s="1">
        <v>0.0</v>
      </c>
      <c r="W3256" s="1">
        <v>38000.0</v>
      </c>
      <c r="X3256" s="1">
        <v>0.0</v>
      </c>
      <c r="Y3256" s="1">
        <v>1.37</v>
      </c>
      <c r="Z3256" s="1">
        <v>8.4</v>
      </c>
    </row>
    <row r="3257" ht="14.25" customHeight="1">
      <c r="A3257" s="1" t="s">
        <v>26</v>
      </c>
      <c r="B3257" s="1" t="s">
        <v>15373</v>
      </c>
      <c r="C3257" s="1" t="s">
        <v>15374</v>
      </c>
      <c r="D3257" s="1">
        <v>1687311.0</v>
      </c>
      <c r="E3257" s="1" t="s">
        <v>15375</v>
      </c>
      <c r="F3257" s="1" t="s">
        <v>15376</v>
      </c>
      <c r="G3257" s="1" t="s">
        <v>15377</v>
      </c>
      <c r="H3257" s="1" t="s">
        <v>15378</v>
      </c>
      <c r="I3257" s="1">
        <v>2412.0</v>
      </c>
      <c r="J3257" s="1" t="s">
        <v>15379</v>
      </c>
      <c r="K3257" s="1" t="s">
        <v>15380</v>
      </c>
      <c r="L3257" s="1">
        <v>40.0</v>
      </c>
      <c r="M3257" s="1" t="s">
        <v>2648</v>
      </c>
      <c r="N3257" s="1" t="s">
        <v>3393</v>
      </c>
      <c r="O3257" s="1" t="s">
        <v>37</v>
      </c>
      <c r="P3257" s="1">
        <v>7.0E8</v>
      </c>
      <c r="Q3257" s="1">
        <v>1998.0</v>
      </c>
      <c r="R3257" s="1">
        <v>341.0</v>
      </c>
      <c r="S3257" s="1">
        <v>26.0</v>
      </c>
      <c r="T3257" s="1">
        <v>4.0</v>
      </c>
      <c r="U3257" s="1">
        <v>371.0</v>
      </c>
      <c r="V3257" s="1">
        <v>98.0</v>
      </c>
      <c r="W3257" s="1">
        <v>539.0</v>
      </c>
      <c r="X3257" s="1">
        <v>3.0</v>
      </c>
      <c r="Y3257" s="1">
        <v>2.0</v>
      </c>
      <c r="Z3257" s="1">
        <v>7.2</v>
      </c>
    </row>
    <row r="3258" ht="14.25" customHeight="1">
      <c r="A3258" s="1" t="s">
        <v>26</v>
      </c>
      <c r="B3258" s="1" t="s">
        <v>9062</v>
      </c>
      <c r="C3258" s="1" t="s">
        <v>15381</v>
      </c>
      <c r="D3258" s="1">
        <v>727883.0</v>
      </c>
      <c r="E3258" s="1" t="s">
        <v>2566</v>
      </c>
      <c r="F3258" s="1" t="s">
        <v>365</v>
      </c>
      <c r="G3258" s="1" t="s">
        <v>2833</v>
      </c>
      <c r="H3258" s="1" t="s">
        <v>15382</v>
      </c>
      <c r="I3258" s="1">
        <v>580999.0</v>
      </c>
      <c r="J3258" s="1" t="s">
        <v>15383</v>
      </c>
      <c r="K3258" s="1" t="s">
        <v>15384</v>
      </c>
      <c r="L3258" s="1">
        <v>2110.0</v>
      </c>
      <c r="M3258" s="1" t="s">
        <v>35</v>
      </c>
      <c r="N3258" s="1" t="s">
        <v>36</v>
      </c>
      <c r="O3258" s="1" t="s">
        <v>628</v>
      </c>
      <c r="P3258" s="1">
        <v>4500000.0</v>
      </c>
      <c r="Q3258" s="1">
        <v>2001.0</v>
      </c>
      <c r="R3258" s="1">
        <v>15000.0</v>
      </c>
      <c r="S3258" s="1">
        <v>933.0</v>
      </c>
      <c r="T3258" s="1">
        <v>701.0</v>
      </c>
      <c r="U3258" s="1">
        <v>17040.0</v>
      </c>
      <c r="V3258" s="1">
        <v>219.0</v>
      </c>
      <c r="W3258" s="1">
        <v>33000.0</v>
      </c>
      <c r="X3258" s="1">
        <v>1.0</v>
      </c>
      <c r="Y3258" s="1">
        <v>2.35</v>
      </c>
      <c r="Z3258" s="1">
        <v>8.1</v>
      </c>
    </row>
    <row r="3259" ht="14.25" customHeight="1">
      <c r="A3259" s="1" t="s">
        <v>26</v>
      </c>
      <c r="B3259" s="1" t="s">
        <v>15385</v>
      </c>
      <c r="C3259" s="1" t="s">
        <v>15386</v>
      </c>
      <c r="D3259" s="1">
        <v>713413.0</v>
      </c>
      <c r="E3259" s="1" t="s">
        <v>10510</v>
      </c>
      <c r="F3259" s="1" t="s">
        <v>15387</v>
      </c>
      <c r="G3259" s="1" t="s">
        <v>15388</v>
      </c>
      <c r="H3259" s="1" t="s">
        <v>15389</v>
      </c>
      <c r="I3259" s="1">
        <v>9171.0</v>
      </c>
      <c r="J3259" s="1" t="s">
        <v>15390</v>
      </c>
      <c r="K3259" s="1" t="s">
        <v>15391</v>
      </c>
      <c r="L3259" s="1">
        <v>68.0</v>
      </c>
      <c r="M3259" s="1" t="s">
        <v>9646</v>
      </c>
      <c r="N3259" s="1" t="s">
        <v>9647</v>
      </c>
      <c r="O3259" s="1" t="s">
        <v>628</v>
      </c>
      <c r="P3259" s="1">
        <v>4500000.0</v>
      </c>
      <c r="Q3259" s="1">
        <v>1997.0</v>
      </c>
      <c r="R3259" s="1">
        <v>25.0</v>
      </c>
      <c r="S3259" s="1">
        <v>20.0</v>
      </c>
      <c r="T3259" s="1">
        <v>3.0</v>
      </c>
      <c r="U3259" s="1">
        <v>48.0</v>
      </c>
      <c r="V3259" s="1">
        <v>4.0</v>
      </c>
      <c r="W3259" s="1">
        <v>689.0</v>
      </c>
      <c r="X3259" s="1">
        <v>1.0</v>
      </c>
      <c r="Y3259" s="1">
        <v>1.85</v>
      </c>
      <c r="Z3259" s="1">
        <v>7.8</v>
      </c>
    </row>
    <row r="3260" ht="14.25" customHeight="1">
      <c r="A3260" s="1" t="s">
        <v>26</v>
      </c>
      <c r="B3260" s="1" t="s">
        <v>15392</v>
      </c>
      <c r="C3260" s="1" t="s">
        <v>15393</v>
      </c>
      <c r="D3260" s="1">
        <v>410241.0</v>
      </c>
      <c r="E3260" s="1" t="s">
        <v>8521</v>
      </c>
      <c r="F3260" s="1" t="s">
        <v>3745</v>
      </c>
      <c r="G3260" s="1" t="s">
        <v>8929</v>
      </c>
      <c r="H3260" s="1" t="s">
        <v>15394</v>
      </c>
      <c r="I3260" s="1">
        <v>32357.0</v>
      </c>
      <c r="J3260" s="1" t="s">
        <v>15395</v>
      </c>
      <c r="K3260" s="1" t="s">
        <v>15396</v>
      </c>
      <c r="L3260" s="1">
        <v>199.0</v>
      </c>
      <c r="M3260" s="1" t="s">
        <v>35</v>
      </c>
      <c r="N3260" s="1" t="s">
        <v>36</v>
      </c>
      <c r="O3260" s="1" t="s">
        <v>628</v>
      </c>
      <c r="P3260" s="1">
        <v>2000000.0</v>
      </c>
      <c r="Q3260" s="1">
        <v>2002.0</v>
      </c>
      <c r="R3260" s="1">
        <v>835.0</v>
      </c>
      <c r="S3260" s="1">
        <v>601.0</v>
      </c>
      <c r="T3260" s="1">
        <v>391.0</v>
      </c>
      <c r="U3260" s="1">
        <v>2110.0</v>
      </c>
      <c r="V3260" s="1">
        <v>68.0</v>
      </c>
      <c r="W3260" s="1">
        <v>3000.0</v>
      </c>
      <c r="X3260" s="1">
        <v>0.0</v>
      </c>
      <c r="Y3260" s="1">
        <v>1.85</v>
      </c>
      <c r="Z3260" s="1">
        <v>6.8</v>
      </c>
    </row>
    <row r="3261" ht="14.25" customHeight="1">
      <c r="A3261" s="1" t="s">
        <v>26</v>
      </c>
      <c r="B3261" s="1" t="s">
        <v>12837</v>
      </c>
      <c r="C3261" s="1" t="s">
        <v>15397</v>
      </c>
      <c r="D3261" s="1">
        <v>211667.0</v>
      </c>
      <c r="E3261" s="1" t="s">
        <v>1854</v>
      </c>
      <c r="F3261" s="1" t="s">
        <v>12536</v>
      </c>
      <c r="G3261" s="1" t="s">
        <v>15398</v>
      </c>
      <c r="H3261" s="1" t="s">
        <v>15399</v>
      </c>
      <c r="I3261" s="1">
        <v>53508.0</v>
      </c>
      <c r="J3261" s="1" t="s">
        <v>15400</v>
      </c>
      <c r="K3261" s="1" t="s">
        <v>15401</v>
      </c>
      <c r="L3261" s="1">
        <v>131.0</v>
      </c>
      <c r="M3261" s="1" t="s">
        <v>12540</v>
      </c>
      <c r="N3261" s="1" t="s">
        <v>6497</v>
      </c>
      <c r="O3261" s="1" t="s">
        <v>628</v>
      </c>
      <c r="P3261" s="1">
        <v>4.2E9</v>
      </c>
      <c r="Q3261" s="1">
        <v>2005.0</v>
      </c>
      <c r="R3261" s="1">
        <v>717.0</v>
      </c>
      <c r="S3261" s="1">
        <v>126.0</v>
      </c>
      <c r="T3261" s="1">
        <v>38.0</v>
      </c>
      <c r="U3261" s="1">
        <v>907.0</v>
      </c>
      <c r="V3261" s="1">
        <v>0.0</v>
      </c>
      <c r="W3261" s="1">
        <v>4000.0</v>
      </c>
      <c r="X3261" s="1">
        <v>0.0</v>
      </c>
      <c r="Y3261" s="1">
        <v>2.35</v>
      </c>
      <c r="Z3261" s="1">
        <v>7.7</v>
      </c>
    </row>
    <row r="3262" ht="14.25" customHeight="1">
      <c r="A3262" s="1" t="s">
        <v>26</v>
      </c>
      <c r="B3262" s="1" t="s">
        <v>15402</v>
      </c>
      <c r="C3262" s="1" t="s">
        <v>15403</v>
      </c>
      <c r="D3262" s="1">
        <v>92191.0</v>
      </c>
      <c r="E3262" s="1" t="s">
        <v>5897</v>
      </c>
      <c r="F3262" s="1" t="s">
        <v>327</v>
      </c>
      <c r="G3262" s="1" t="s">
        <v>651</v>
      </c>
      <c r="H3262" s="1" t="s">
        <v>13611</v>
      </c>
      <c r="I3262" s="1">
        <v>29463.0</v>
      </c>
      <c r="J3262" s="1" t="s">
        <v>15404</v>
      </c>
      <c r="K3262" s="1" t="s">
        <v>15405</v>
      </c>
      <c r="L3262" s="1">
        <v>84.0</v>
      </c>
      <c r="M3262" s="1" t="s">
        <v>35</v>
      </c>
      <c r="N3262" s="1" t="s">
        <v>54</v>
      </c>
      <c r="O3262" s="1" t="s">
        <v>628</v>
      </c>
      <c r="P3262" s="1">
        <v>2500000.0</v>
      </c>
      <c r="Q3262" s="1">
        <v>2001.0</v>
      </c>
      <c r="R3262" s="1">
        <v>26000.0</v>
      </c>
      <c r="S3262" s="1">
        <v>1000.0</v>
      </c>
      <c r="T3262" s="1">
        <v>798.0</v>
      </c>
      <c r="U3262" s="1">
        <v>29325.0</v>
      </c>
      <c r="V3262" s="1">
        <v>0.0</v>
      </c>
      <c r="W3262" s="1">
        <v>0.0</v>
      </c>
      <c r="X3262" s="1">
        <v>1.0</v>
      </c>
      <c r="Y3262" s="1">
        <v>1.85</v>
      </c>
      <c r="Z3262" s="1">
        <v>6.5</v>
      </c>
    </row>
    <row r="3263" ht="14.25" customHeight="1">
      <c r="A3263" s="1" t="s">
        <v>26</v>
      </c>
      <c r="B3263" s="1" t="s">
        <v>15406</v>
      </c>
      <c r="C3263" s="1" t="s">
        <v>15407</v>
      </c>
      <c r="D3263" s="1">
        <v>49413.0</v>
      </c>
      <c r="E3263" s="1" t="s">
        <v>326</v>
      </c>
      <c r="F3263" s="1" t="s">
        <v>15408</v>
      </c>
      <c r="G3263" s="1" t="s">
        <v>5831</v>
      </c>
      <c r="H3263" s="1" t="s">
        <v>5190</v>
      </c>
      <c r="I3263" s="1">
        <v>6919.0</v>
      </c>
      <c r="J3263" s="1" t="s">
        <v>15409</v>
      </c>
      <c r="K3263" s="1" t="s">
        <v>15410</v>
      </c>
      <c r="L3263" s="1">
        <v>26.0</v>
      </c>
      <c r="M3263" s="1" t="s">
        <v>6797</v>
      </c>
      <c r="N3263" s="1" t="s">
        <v>3659</v>
      </c>
      <c r="O3263" s="1" t="s">
        <v>628</v>
      </c>
      <c r="P3263" s="1">
        <v>3.5E7</v>
      </c>
      <c r="Q3263" s="1">
        <v>2006.0</v>
      </c>
      <c r="R3263" s="1">
        <v>155.0</v>
      </c>
      <c r="S3263" s="1">
        <v>96.0</v>
      </c>
      <c r="T3263" s="1">
        <v>76.0</v>
      </c>
      <c r="U3263" s="1">
        <v>398.0</v>
      </c>
      <c r="V3263" s="1">
        <v>143.0</v>
      </c>
      <c r="W3263" s="1">
        <v>528.0</v>
      </c>
      <c r="X3263" s="1">
        <v>0.0</v>
      </c>
      <c r="Y3263" s="1">
        <v>2.35</v>
      </c>
      <c r="Z3263" s="1">
        <v>7.3</v>
      </c>
    </row>
    <row r="3264" ht="14.25" customHeight="1">
      <c r="A3264" s="1" t="s">
        <v>26</v>
      </c>
      <c r="B3264" s="1" t="s">
        <v>15411</v>
      </c>
      <c r="C3264" s="1" t="s">
        <v>15412</v>
      </c>
      <c r="D3264" s="1">
        <v>108229.0</v>
      </c>
      <c r="E3264" s="1" t="s">
        <v>5758</v>
      </c>
      <c r="F3264" s="1" t="s">
        <v>220</v>
      </c>
      <c r="G3264" s="1" t="s">
        <v>3172</v>
      </c>
      <c r="H3264" s="1" t="s">
        <v>4818</v>
      </c>
      <c r="I3264" s="1">
        <v>30836.0</v>
      </c>
      <c r="J3264" s="1" t="s">
        <v>15413</v>
      </c>
      <c r="K3264" s="1" t="s">
        <v>15414</v>
      </c>
      <c r="L3264" s="1">
        <v>137.0</v>
      </c>
      <c r="M3264" s="1" t="s">
        <v>35</v>
      </c>
      <c r="N3264" s="1" t="s">
        <v>36</v>
      </c>
      <c r="O3264" s="1" t="s">
        <v>628</v>
      </c>
      <c r="P3264" s="1">
        <v>4500000.0</v>
      </c>
      <c r="Q3264" s="1">
        <v>2009.0</v>
      </c>
      <c r="R3264" s="1">
        <v>14000.0</v>
      </c>
      <c r="S3264" s="1">
        <v>1000.0</v>
      </c>
      <c r="T3264" s="1">
        <v>329.0</v>
      </c>
      <c r="U3264" s="1">
        <v>15860.0</v>
      </c>
      <c r="V3264" s="1">
        <v>0.0</v>
      </c>
      <c r="W3264" s="1">
        <v>7000.0</v>
      </c>
      <c r="X3264" s="1">
        <v>1.0</v>
      </c>
      <c r="Y3264" s="1">
        <v>2.35</v>
      </c>
      <c r="Z3264" s="1">
        <v>5.9</v>
      </c>
    </row>
    <row r="3265" ht="14.25" customHeight="1">
      <c r="A3265" s="1" t="s">
        <v>26</v>
      </c>
      <c r="B3265" s="1" t="s">
        <v>4686</v>
      </c>
      <c r="C3265" s="1" t="s">
        <v>15415</v>
      </c>
      <c r="D3265" s="1">
        <v>1.12E8</v>
      </c>
      <c r="E3265" s="1" t="s">
        <v>3238</v>
      </c>
      <c r="F3265" s="1" t="s">
        <v>15416</v>
      </c>
      <c r="G3265" s="1" t="s">
        <v>14800</v>
      </c>
      <c r="H3265" s="1" t="s">
        <v>12985</v>
      </c>
      <c r="I3265" s="1">
        <v>680041.0</v>
      </c>
      <c r="J3265" s="1" t="s">
        <v>15417</v>
      </c>
      <c r="K3265" s="1" t="s">
        <v>15418</v>
      </c>
      <c r="L3265" s="1">
        <v>760.0</v>
      </c>
      <c r="M3265" s="1" t="s">
        <v>35</v>
      </c>
      <c r="N3265" s="1" t="s">
        <v>36</v>
      </c>
      <c r="O3265" s="1" t="s">
        <v>628</v>
      </c>
      <c r="P3265" s="1">
        <v>4400000.0</v>
      </c>
      <c r="Q3265" s="1">
        <v>1975.0</v>
      </c>
      <c r="R3265" s="1">
        <v>888.0</v>
      </c>
      <c r="S3265" s="1">
        <v>721.0</v>
      </c>
      <c r="T3265" s="1">
        <v>425.0</v>
      </c>
      <c r="U3265" s="1">
        <v>2176.0</v>
      </c>
      <c r="V3265" s="1">
        <v>869.0</v>
      </c>
      <c r="W3265" s="1">
        <v>32000.0</v>
      </c>
      <c r="X3265" s="1">
        <v>0.0</v>
      </c>
      <c r="Y3265" s="1">
        <v>1.85</v>
      </c>
      <c r="Z3265" s="1">
        <v>8.7</v>
      </c>
    </row>
    <row r="3266" ht="14.25" customHeight="1">
      <c r="A3266" s="1" t="s">
        <v>26</v>
      </c>
      <c r="B3266" s="1" t="s">
        <v>15419</v>
      </c>
      <c r="C3266" s="1" t="s">
        <v>15420</v>
      </c>
      <c r="D3266" s="1">
        <v>26345.0</v>
      </c>
      <c r="E3266" s="1" t="s">
        <v>13449</v>
      </c>
      <c r="F3266" s="1" t="s">
        <v>569</v>
      </c>
      <c r="G3266" s="1" t="s">
        <v>384</v>
      </c>
      <c r="H3266" s="1" t="s">
        <v>2883</v>
      </c>
      <c r="I3266" s="1">
        <v>16445.0</v>
      </c>
      <c r="J3266" s="1" t="s">
        <v>15421</v>
      </c>
      <c r="K3266" s="1" t="s">
        <v>15422</v>
      </c>
      <c r="L3266" s="1">
        <v>99.0</v>
      </c>
      <c r="M3266" s="1" t="s">
        <v>35</v>
      </c>
      <c r="N3266" s="1" t="s">
        <v>54</v>
      </c>
      <c r="O3266" s="1" t="s">
        <v>628</v>
      </c>
      <c r="P3266" s="1">
        <v>3000000.0</v>
      </c>
      <c r="Q3266" s="1">
        <v>2012.0</v>
      </c>
      <c r="R3266" s="1">
        <v>2000.0</v>
      </c>
      <c r="S3266" s="1">
        <v>1000.0</v>
      </c>
      <c r="T3266" s="1">
        <v>422.0</v>
      </c>
      <c r="U3266" s="1">
        <v>4810.0</v>
      </c>
      <c r="V3266" s="1">
        <v>63.0</v>
      </c>
      <c r="W3266" s="1">
        <v>0.0</v>
      </c>
      <c r="X3266" s="1">
        <v>4.0</v>
      </c>
      <c r="Y3266" s="1">
        <v>2.35</v>
      </c>
      <c r="Z3266" s="1">
        <v>6.1</v>
      </c>
    </row>
    <row r="3267" ht="14.25" customHeight="1">
      <c r="A3267" s="1" t="s">
        <v>26</v>
      </c>
      <c r="B3267" s="1" t="s">
        <v>7997</v>
      </c>
      <c r="C3267" s="1" t="s">
        <v>15423</v>
      </c>
      <c r="D3267" s="1">
        <v>2.0772796E7</v>
      </c>
      <c r="E3267" s="1" t="s">
        <v>6707</v>
      </c>
      <c r="F3267" s="1" t="s">
        <v>7005</v>
      </c>
      <c r="G3267" s="1" t="s">
        <v>15424</v>
      </c>
      <c r="H3267" s="1" t="s">
        <v>15425</v>
      </c>
      <c r="I3267" s="1">
        <v>34232.0</v>
      </c>
      <c r="J3267" s="1" t="s">
        <v>15426</v>
      </c>
      <c r="K3267" s="1" t="s">
        <v>15427</v>
      </c>
      <c r="L3267" s="1">
        <v>346.0</v>
      </c>
      <c r="M3267" s="1" t="s">
        <v>35</v>
      </c>
      <c r="N3267" s="1" t="s">
        <v>171</v>
      </c>
      <c r="O3267" s="1" t="s">
        <v>37</v>
      </c>
      <c r="P3267" s="1">
        <v>6000000.0</v>
      </c>
      <c r="Q3267" s="1">
        <v>2002.0</v>
      </c>
      <c r="R3267" s="1">
        <v>446.0</v>
      </c>
      <c r="S3267" s="1">
        <v>20.0</v>
      </c>
      <c r="T3267" s="1">
        <v>8.0</v>
      </c>
      <c r="U3267" s="1">
        <v>497.0</v>
      </c>
      <c r="V3267" s="1">
        <v>51.0</v>
      </c>
      <c r="W3267" s="1">
        <v>0.0</v>
      </c>
      <c r="X3267" s="1">
        <v>1.0</v>
      </c>
      <c r="Y3267" s="1">
        <v>2.35</v>
      </c>
      <c r="Z3267" s="1">
        <v>7.6</v>
      </c>
    </row>
    <row r="3268" ht="14.25" customHeight="1">
      <c r="A3268" s="1" t="s">
        <v>26</v>
      </c>
      <c r="B3268" s="1" t="s">
        <v>903</v>
      </c>
      <c r="C3268" s="1" t="s">
        <v>904</v>
      </c>
      <c r="D3268" s="1">
        <v>3.4964818E7</v>
      </c>
      <c r="E3268" s="1" t="s">
        <v>192</v>
      </c>
      <c r="F3268" s="1" t="s">
        <v>255</v>
      </c>
      <c r="G3268" s="1" t="s">
        <v>905</v>
      </c>
      <c r="H3268" s="1" t="s">
        <v>906</v>
      </c>
      <c r="I3268" s="1">
        <v>39975.0</v>
      </c>
      <c r="J3268" s="1" t="s">
        <v>907</v>
      </c>
      <c r="K3268" s="1" t="s">
        <v>908</v>
      </c>
      <c r="L3268" s="1">
        <v>186.0</v>
      </c>
      <c r="M3268" s="1" t="s">
        <v>35</v>
      </c>
      <c r="N3268" s="1" t="s">
        <v>36</v>
      </c>
      <c r="O3268" s="1" t="s">
        <v>87</v>
      </c>
      <c r="P3268" s="1">
        <v>1.5E8</v>
      </c>
      <c r="Q3268" s="1">
        <v>2015.0</v>
      </c>
      <c r="R3268" s="1">
        <v>20000.0</v>
      </c>
      <c r="S3268" s="1">
        <v>559.0</v>
      </c>
      <c r="T3268" s="1">
        <v>394.0</v>
      </c>
      <c r="U3268" s="1">
        <v>21404.0</v>
      </c>
      <c r="V3268" s="1">
        <v>456.0</v>
      </c>
      <c r="W3268" s="1">
        <v>24000.0</v>
      </c>
      <c r="X3268" s="1">
        <v>4.0</v>
      </c>
      <c r="Y3268" s="1">
        <v>2.35</v>
      </c>
      <c r="Z3268" s="1">
        <v>5.8</v>
      </c>
    </row>
    <row r="3269" ht="14.25" customHeight="1">
      <c r="A3269" s="1" t="s">
        <v>26</v>
      </c>
      <c r="B3269" s="1" t="s">
        <v>2854</v>
      </c>
      <c r="C3269" s="1" t="s">
        <v>15428</v>
      </c>
      <c r="D3269" s="1">
        <v>1487477.0</v>
      </c>
      <c r="E3269" s="1" t="s">
        <v>15429</v>
      </c>
      <c r="F3269" s="1" t="s">
        <v>15430</v>
      </c>
      <c r="G3269" s="1" t="s">
        <v>15431</v>
      </c>
      <c r="H3269" s="1" t="s">
        <v>15432</v>
      </c>
      <c r="I3269" s="1">
        <v>47097.0</v>
      </c>
      <c r="J3269" s="1" t="s">
        <v>15433</v>
      </c>
      <c r="K3269" s="1" t="s">
        <v>15434</v>
      </c>
      <c r="L3269" s="1">
        <v>310.0</v>
      </c>
      <c r="M3269" s="1" t="s">
        <v>15435</v>
      </c>
      <c r="N3269" s="1" t="s">
        <v>10373</v>
      </c>
      <c r="O3269" s="1" t="s">
        <v>628</v>
      </c>
      <c r="P3269" s="1">
        <v>4200000.0</v>
      </c>
      <c r="Q3269" s="1">
        <v>2004.0</v>
      </c>
      <c r="R3269" s="1">
        <v>114.0</v>
      </c>
      <c r="S3269" s="1">
        <v>28.0</v>
      </c>
      <c r="T3269" s="1">
        <v>16.0</v>
      </c>
      <c r="U3269" s="1">
        <v>206.0</v>
      </c>
      <c r="V3269" s="1">
        <v>335.0</v>
      </c>
      <c r="W3269" s="1">
        <v>0.0</v>
      </c>
      <c r="X3269" s="1">
        <v>0.0</v>
      </c>
      <c r="Y3269" s="1">
        <v>1.85</v>
      </c>
      <c r="Z3269" s="1">
        <v>6.5</v>
      </c>
    </row>
    <row r="3270" ht="14.25" customHeight="1">
      <c r="A3270" s="1" t="s">
        <v>26</v>
      </c>
      <c r="B3270" s="1" t="s">
        <v>4775</v>
      </c>
      <c r="C3270" s="1" t="s">
        <v>15436</v>
      </c>
      <c r="D3270" s="1">
        <v>6.2549E7</v>
      </c>
      <c r="E3270" s="1" t="s">
        <v>4987</v>
      </c>
      <c r="F3270" s="1" t="s">
        <v>385</v>
      </c>
      <c r="G3270" s="1" t="s">
        <v>4512</v>
      </c>
      <c r="H3270" s="1" t="s">
        <v>3287</v>
      </c>
      <c r="I3270" s="1">
        <v>41361.0</v>
      </c>
      <c r="J3270" s="1" t="s">
        <v>15437</v>
      </c>
      <c r="K3270" s="1" t="s">
        <v>15438</v>
      </c>
      <c r="L3270" s="1">
        <v>148.0</v>
      </c>
      <c r="M3270" s="1" t="s">
        <v>35</v>
      </c>
      <c r="N3270" s="1" t="s">
        <v>54</v>
      </c>
      <c r="O3270" s="1" t="s">
        <v>628</v>
      </c>
      <c r="P3270" s="1">
        <v>2300000.0</v>
      </c>
      <c r="Q3270" s="1">
        <v>1992.0</v>
      </c>
      <c r="R3270" s="1">
        <v>1000.0</v>
      </c>
      <c r="S3270" s="1">
        <v>530.0</v>
      </c>
      <c r="T3270" s="1">
        <v>327.0</v>
      </c>
      <c r="U3270" s="1">
        <v>2412.0</v>
      </c>
      <c r="V3270" s="1">
        <v>277.0</v>
      </c>
      <c r="W3270" s="1">
        <v>0.0</v>
      </c>
      <c r="X3270" s="1">
        <v>0.0</v>
      </c>
      <c r="Y3270" s="1">
        <v>2.35</v>
      </c>
      <c r="Z3270" s="1">
        <v>7.3</v>
      </c>
    </row>
    <row r="3271" ht="14.25" customHeight="1">
      <c r="A3271" s="1" t="s">
        <v>26</v>
      </c>
      <c r="B3271" s="1" t="s">
        <v>10327</v>
      </c>
      <c r="C3271" s="1" t="s">
        <v>15439</v>
      </c>
      <c r="D3271" s="1">
        <v>1.055E8</v>
      </c>
      <c r="E3271" s="1" t="s">
        <v>1885</v>
      </c>
      <c r="F3271" s="1" t="s">
        <v>15440</v>
      </c>
      <c r="G3271" s="1" t="s">
        <v>15441</v>
      </c>
      <c r="H3271" s="1" t="s">
        <v>15442</v>
      </c>
      <c r="I3271" s="1">
        <v>31260.0</v>
      </c>
      <c r="J3271" s="1" t="s">
        <v>15443</v>
      </c>
      <c r="K3271" s="1" t="s">
        <v>15444</v>
      </c>
      <c r="L3271" s="1">
        <v>152.0</v>
      </c>
      <c r="M3271" s="1" t="s">
        <v>35</v>
      </c>
      <c r="N3271" s="1" t="s">
        <v>260</v>
      </c>
      <c r="O3271" s="1" t="s">
        <v>628</v>
      </c>
      <c r="P3271" s="1">
        <v>4000000.0</v>
      </c>
      <c r="Q3271" s="1">
        <v>1981.0</v>
      </c>
      <c r="R3271" s="1">
        <v>110.0</v>
      </c>
      <c r="S3271" s="1">
        <v>95.0</v>
      </c>
      <c r="T3271" s="1">
        <v>95.0</v>
      </c>
      <c r="U3271" s="1">
        <v>582.0</v>
      </c>
      <c r="V3271" s="1">
        <v>84.0</v>
      </c>
      <c r="W3271" s="1">
        <v>0.0</v>
      </c>
      <c r="X3271" s="1">
        <v>0.0</v>
      </c>
      <c r="Y3271" s="1">
        <v>1.85</v>
      </c>
      <c r="Z3271" s="1">
        <v>6.2</v>
      </c>
    </row>
    <row r="3272" ht="14.25" customHeight="1">
      <c r="A3272" s="1" t="s">
        <v>26</v>
      </c>
      <c r="B3272" s="1" t="s">
        <v>10634</v>
      </c>
      <c r="C3272" s="1" t="s">
        <v>15445</v>
      </c>
      <c r="D3272" s="1">
        <v>101055.0</v>
      </c>
      <c r="E3272" s="1" t="s">
        <v>6019</v>
      </c>
      <c r="F3272" s="1" t="s">
        <v>7441</v>
      </c>
      <c r="G3272" s="1" t="s">
        <v>4258</v>
      </c>
      <c r="H3272" s="1" t="s">
        <v>15446</v>
      </c>
      <c r="I3272" s="1">
        <v>17478.0</v>
      </c>
      <c r="J3272" s="1" t="s">
        <v>15447</v>
      </c>
      <c r="K3272" s="1" t="s">
        <v>15448</v>
      </c>
      <c r="L3272" s="1">
        <v>159.0</v>
      </c>
      <c r="M3272" s="1" t="s">
        <v>35</v>
      </c>
      <c r="N3272" s="1" t="s">
        <v>36</v>
      </c>
      <c r="O3272" s="1" t="s">
        <v>628</v>
      </c>
      <c r="P3272" s="1">
        <v>4000000.0</v>
      </c>
      <c r="Q3272" s="1">
        <v>2009.0</v>
      </c>
      <c r="R3272" s="1">
        <v>648.0</v>
      </c>
      <c r="S3272" s="1">
        <v>529.0</v>
      </c>
      <c r="T3272" s="1">
        <v>231.0</v>
      </c>
      <c r="U3272" s="1">
        <v>1951.0</v>
      </c>
      <c r="V3272" s="1">
        <v>0.0</v>
      </c>
      <c r="W3272" s="1">
        <v>0.0</v>
      </c>
      <c r="X3272" s="1">
        <v>0.0</v>
      </c>
      <c r="Y3272" s="1">
        <v>2.35</v>
      </c>
      <c r="Z3272" s="1">
        <v>5.0</v>
      </c>
    </row>
    <row r="3273" ht="14.25" customHeight="1">
      <c r="A3273" s="1" t="s">
        <v>26</v>
      </c>
      <c r="B3273" s="1" t="s">
        <v>6327</v>
      </c>
      <c r="C3273" s="1" t="s">
        <v>15449</v>
      </c>
      <c r="D3273" s="1">
        <v>4.4566004E7</v>
      </c>
      <c r="E3273" s="1" t="s">
        <v>3238</v>
      </c>
      <c r="F3273" s="1" t="s">
        <v>92</v>
      </c>
      <c r="G3273" s="1" t="s">
        <v>534</v>
      </c>
      <c r="H3273" s="1" t="s">
        <v>15450</v>
      </c>
      <c r="I3273" s="1">
        <v>321283.0</v>
      </c>
      <c r="J3273" s="1" t="s">
        <v>15451</v>
      </c>
      <c r="K3273" s="1" t="s">
        <v>15452</v>
      </c>
      <c r="L3273" s="1">
        <v>1848.0</v>
      </c>
      <c r="M3273" s="1" t="s">
        <v>35</v>
      </c>
      <c r="N3273" s="1" t="s">
        <v>36</v>
      </c>
      <c r="O3273" s="1" t="s">
        <v>628</v>
      </c>
      <c r="P3273" s="1">
        <v>4000000.0</v>
      </c>
      <c r="Q3273" s="1">
        <v>2003.0</v>
      </c>
      <c r="R3273" s="1">
        <v>19000.0</v>
      </c>
      <c r="S3273" s="1">
        <v>13000.0</v>
      </c>
      <c r="T3273" s="1">
        <v>11.0</v>
      </c>
      <c r="U3273" s="1">
        <v>32015.0</v>
      </c>
      <c r="V3273" s="1">
        <v>0.0</v>
      </c>
      <c r="W3273" s="1">
        <v>17000.0</v>
      </c>
      <c r="X3273" s="1">
        <v>0.0</v>
      </c>
      <c r="Y3273" s="1">
        <v>1.85</v>
      </c>
      <c r="Z3273" s="1">
        <v>7.8</v>
      </c>
    </row>
    <row r="3274" ht="14.25" customHeight="1">
      <c r="A3274" s="1" t="s">
        <v>26</v>
      </c>
      <c r="B3274" s="1" t="s">
        <v>3797</v>
      </c>
      <c r="C3274" s="1" t="s">
        <v>15453</v>
      </c>
      <c r="D3274" s="1">
        <v>3.92E7</v>
      </c>
      <c r="E3274" s="1" t="s">
        <v>1598</v>
      </c>
      <c r="F3274" s="1" t="s">
        <v>3797</v>
      </c>
      <c r="G3274" s="1" t="s">
        <v>6348</v>
      </c>
      <c r="H3274" s="1" t="s">
        <v>11787</v>
      </c>
      <c r="I3274" s="1">
        <v>192940.0</v>
      </c>
      <c r="J3274" s="1" t="s">
        <v>15454</v>
      </c>
      <c r="K3274" s="1" t="s">
        <v>15455</v>
      </c>
      <c r="L3274" s="1">
        <v>491.0</v>
      </c>
      <c r="M3274" s="1" t="s">
        <v>35</v>
      </c>
      <c r="N3274" s="1" t="s">
        <v>36</v>
      </c>
      <c r="O3274" s="1" t="s">
        <v>87</v>
      </c>
      <c r="P3274" s="1">
        <v>4000000.0</v>
      </c>
      <c r="Q3274" s="1">
        <v>1977.0</v>
      </c>
      <c r="R3274" s="1">
        <v>11000.0</v>
      </c>
      <c r="S3274" s="1">
        <v>636.0</v>
      </c>
      <c r="T3274" s="1">
        <v>629.0</v>
      </c>
      <c r="U3274" s="1">
        <v>12691.0</v>
      </c>
      <c r="V3274" s="1">
        <v>11000.0</v>
      </c>
      <c r="W3274" s="1">
        <v>0.0</v>
      </c>
      <c r="X3274" s="1">
        <v>0.0</v>
      </c>
      <c r="Y3274" s="1">
        <v>1.37</v>
      </c>
      <c r="Z3274" s="1">
        <v>8.1</v>
      </c>
    </row>
    <row r="3275" ht="14.25" customHeight="1">
      <c r="A3275" s="1" t="s">
        <v>26</v>
      </c>
      <c r="B3275" s="1" t="s">
        <v>15456</v>
      </c>
      <c r="C3275" s="1" t="s">
        <v>15457</v>
      </c>
      <c r="D3275" s="1">
        <v>3.6E7</v>
      </c>
      <c r="E3275" s="1" t="s">
        <v>11492</v>
      </c>
      <c r="F3275" s="1" t="s">
        <v>15458</v>
      </c>
      <c r="G3275" s="1" t="s">
        <v>15459</v>
      </c>
      <c r="H3275" s="1" t="s">
        <v>15460</v>
      </c>
      <c r="I3275" s="1">
        <v>9456.0</v>
      </c>
      <c r="J3275" s="1" t="s">
        <v>15461</v>
      </c>
      <c r="K3275" s="1" t="s">
        <v>15462</v>
      </c>
      <c r="L3275" s="1">
        <v>107.0</v>
      </c>
      <c r="M3275" s="1" t="s">
        <v>35</v>
      </c>
      <c r="N3275" s="1" t="s">
        <v>36</v>
      </c>
      <c r="O3275" s="1" t="s">
        <v>9252</v>
      </c>
      <c r="P3275" s="1">
        <v>4000000.0</v>
      </c>
      <c r="Q3275" s="1">
        <v>1952.0</v>
      </c>
      <c r="R3275" s="1">
        <v>232.0</v>
      </c>
      <c r="S3275" s="1">
        <v>178.0</v>
      </c>
      <c r="T3275" s="1">
        <v>132.0</v>
      </c>
      <c r="U3275" s="1">
        <v>825.0</v>
      </c>
      <c r="V3275" s="1">
        <v>309.0</v>
      </c>
      <c r="W3275" s="1">
        <v>625.0</v>
      </c>
      <c r="X3275" s="1">
        <v>0.0</v>
      </c>
      <c r="Y3275" s="1">
        <v>1.37</v>
      </c>
      <c r="Z3275" s="1">
        <v>6.7</v>
      </c>
    </row>
    <row r="3276" ht="14.25" customHeight="1">
      <c r="A3276" s="1" t="s">
        <v>26</v>
      </c>
      <c r="B3276" s="1" t="s">
        <v>179</v>
      </c>
      <c r="C3276" s="1" t="s">
        <v>985</v>
      </c>
      <c r="D3276" s="1">
        <v>6.5007045E7</v>
      </c>
      <c r="E3276" s="1" t="s">
        <v>986</v>
      </c>
      <c r="F3276" s="1" t="s">
        <v>59</v>
      </c>
      <c r="G3276" s="1" t="s">
        <v>987</v>
      </c>
      <c r="H3276" s="1" t="s">
        <v>988</v>
      </c>
      <c r="I3276" s="1">
        <v>128694.0</v>
      </c>
      <c r="J3276" s="1" t="s">
        <v>989</v>
      </c>
      <c r="K3276" s="1" t="s">
        <v>990</v>
      </c>
      <c r="L3276" s="1">
        <v>657.0</v>
      </c>
      <c r="M3276" s="1" t="s">
        <v>35</v>
      </c>
      <c r="N3276" s="1" t="s">
        <v>54</v>
      </c>
      <c r="O3276" s="1" t="s">
        <v>37</v>
      </c>
      <c r="P3276" s="1">
        <v>1.4E8</v>
      </c>
      <c r="Q3276" s="1">
        <v>2014.0</v>
      </c>
      <c r="R3276" s="1">
        <v>23000.0</v>
      </c>
      <c r="S3276" s="1">
        <v>892.0</v>
      </c>
      <c r="T3276" s="1">
        <v>748.0</v>
      </c>
      <c r="U3276" s="1">
        <v>26489.0</v>
      </c>
      <c r="V3276" s="1">
        <v>0.0</v>
      </c>
      <c r="W3276" s="1">
        <v>51000.0</v>
      </c>
      <c r="X3276" s="1">
        <v>0.0</v>
      </c>
      <c r="Y3276" s="1">
        <v>2.35</v>
      </c>
      <c r="Z3276" s="1">
        <v>6.1</v>
      </c>
    </row>
    <row r="3277" ht="14.25" customHeight="1">
      <c r="A3277" s="1" t="s">
        <v>26</v>
      </c>
      <c r="B3277" s="1" t="s">
        <v>117</v>
      </c>
      <c r="C3277" s="1" t="s">
        <v>15463</v>
      </c>
      <c r="D3277" s="1">
        <v>3.1252964E7</v>
      </c>
      <c r="E3277" s="1" t="s">
        <v>206</v>
      </c>
      <c r="F3277" s="1" t="s">
        <v>450</v>
      </c>
      <c r="G3277" s="1" t="s">
        <v>3118</v>
      </c>
      <c r="H3277" s="1" t="s">
        <v>15464</v>
      </c>
      <c r="I3277" s="1">
        <v>71495.0</v>
      </c>
      <c r="J3277" s="1" t="s">
        <v>15465</v>
      </c>
      <c r="K3277" s="1" t="s">
        <v>15466</v>
      </c>
      <c r="L3277" s="1">
        <v>522.0</v>
      </c>
      <c r="M3277" s="1" t="s">
        <v>35</v>
      </c>
      <c r="N3277" s="1" t="s">
        <v>36</v>
      </c>
      <c r="O3277" s="1" t="s">
        <v>628</v>
      </c>
      <c r="P3277" s="1">
        <v>4000000.0</v>
      </c>
      <c r="Q3277" s="1">
        <v>2001.0</v>
      </c>
      <c r="R3277" s="1">
        <v>13000.0</v>
      </c>
      <c r="S3277" s="1">
        <v>595.0</v>
      </c>
      <c r="T3277" s="1">
        <v>80.0</v>
      </c>
      <c r="U3277" s="1">
        <v>13707.0</v>
      </c>
      <c r="V3277" s="1">
        <v>395.0</v>
      </c>
      <c r="W3277" s="1">
        <v>0.0</v>
      </c>
      <c r="X3277" s="1">
        <v>1.0</v>
      </c>
      <c r="Y3277" s="1">
        <v>2.35</v>
      </c>
      <c r="Z3277" s="1">
        <v>7.1</v>
      </c>
    </row>
    <row r="3278" ht="14.25" customHeight="1">
      <c r="A3278" s="1" t="s">
        <v>26</v>
      </c>
      <c r="B3278" s="1" t="s">
        <v>15467</v>
      </c>
      <c r="C3278" s="1" t="s">
        <v>15468</v>
      </c>
      <c r="D3278" s="1">
        <v>131175.0</v>
      </c>
      <c r="E3278" s="1" t="s">
        <v>14025</v>
      </c>
      <c r="F3278" s="1" t="s">
        <v>2063</v>
      </c>
      <c r="G3278" s="1" t="s">
        <v>5057</v>
      </c>
      <c r="H3278" s="1" t="s">
        <v>15469</v>
      </c>
      <c r="I3278" s="1">
        <v>30219.0</v>
      </c>
      <c r="J3278" s="1" t="s">
        <v>15470</v>
      </c>
      <c r="K3278" s="1" t="s">
        <v>15471</v>
      </c>
      <c r="L3278" s="1">
        <v>200.0</v>
      </c>
      <c r="M3278" s="1" t="s">
        <v>35</v>
      </c>
      <c r="N3278" s="1" t="s">
        <v>36</v>
      </c>
      <c r="O3278" s="1" t="s">
        <v>37</v>
      </c>
      <c r="P3278" s="1">
        <v>8500000.0</v>
      </c>
      <c r="Q3278" s="1">
        <v>2015.0</v>
      </c>
      <c r="R3278" s="1">
        <v>584.0</v>
      </c>
      <c r="S3278" s="1">
        <v>430.0</v>
      </c>
      <c r="T3278" s="1">
        <v>428.0</v>
      </c>
      <c r="U3278" s="1">
        <v>1885.0</v>
      </c>
      <c r="V3278" s="1">
        <v>9.0</v>
      </c>
      <c r="W3278" s="1">
        <v>22000.0</v>
      </c>
      <c r="X3278" s="1">
        <v>2.0</v>
      </c>
      <c r="Y3278" s="1">
        <v>2.35</v>
      </c>
      <c r="Z3278" s="1">
        <v>5.6</v>
      </c>
    </row>
    <row r="3279" ht="14.25" customHeight="1">
      <c r="A3279" s="1" t="s">
        <v>26</v>
      </c>
      <c r="B3279" s="1" t="s">
        <v>15472</v>
      </c>
      <c r="C3279" s="1" t="s">
        <v>15473</v>
      </c>
      <c r="D3279" s="1">
        <v>3.1968347E7</v>
      </c>
      <c r="E3279" s="1" t="s">
        <v>206</v>
      </c>
      <c r="F3279" s="1" t="s">
        <v>668</v>
      </c>
      <c r="G3279" s="1" t="s">
        <v>5075</v>
      </c>
      <c r="H3279" s="1" t="s">
        <v>5829</v>
      </c>
      <c r="I3279" s="1">
        <v>93894.0</v>
      </c>
      <c r="J3279" s="1" t="s">
        <v>15474</v>
      </c>
      <c r="K3279" s="1" t="s">
        <v>15475</v>
      </c>
      <c r="L3279" s="1">
        <v>286.0</v>
      </c>
      <c r="M3279" s="1" t="s">
        <v>35</v>
      </c>
      <c r="N3279" s="1" t="s">
        <v>36</v>
      </c>
      <c r="O3279" s="1" t="s">
        <v>628</v>
      </c>
      <c r="P3279" s="1">
        <v>3600000.0</v>
      </c>
      <c r="Q3279" s="1">
        <v>1995.0</v>
      </c>
      <c r="R3279" s="1">
        <v>12000.0</v>
      </c>
      <c r="S3279" s="1">
        <v>898.0</v>
      </c>
      <c r="T3279" s="1">
        <v>687.0</v>
      </c>
      <c r="U3279" s="1">
        <v>14823.0</v>
      </c>
      <c r="V3279" s="1">
        <v>81.0</v>
      </c>
      <c r="W3279" s="1">
        <v>0.0</v>
      </c>
      <c r="X3279" s="1">
        <v>0.0</v>
      </c>
      <c r="Y3279" s="1">
        <v>1.66</v>
      </c>
      <c r="Z3279" s="1">
        <v>7.6</v>
      </c>
    </row>
    <row r="3280" ht="14.25" customHeight="1">
      <c r="A3280" s="1" t="s">
        <v>26</v>
      </c>
      <c r="B3280" s="1" t="s">
        <v>484</v>
      </c>
      <c r="C3280" s="1" t="s">
        <v>15476</v>
      </c>
      <c r="D3280" s="1">
        <v>3.538556E7</v>
      </c>
      <c r="E3280" s="1" t="s">
        <v>815</v>
      </c>
      <c r="F3280" s="1" t="s">
        <v>7327</v>
      </c>
      <c r="G3280" s="1" t="s">
        <v>4640</v>
      </c>
      <c r="H3280" s="1" t="s">
        <v>15477</v>
      </c>
      <c r="I3280" s="1">
        <v>27198.0</v>
      </c>
      <c r="J3280" s="1" t="s">
        <v>15478</v>
      </c>
      <c r="K3280" s="1" t="s">
        <v>15479</v>
      </c>
      <c r="L3280" s="1">
        <v>131.0</v>
      </c>
      <c r="M3280" s="1" t="s">
        <v>35</v>
      </c>
      <c r="N3280" s="1" t="s">
        <v>36</v>
      </c>
      <c r="O3280" s="1" t="s">
        <v>628</v>
      </c>
      <c r="P3280" s="1">
        <v>4000000.0</v>
      </c>
      <c r="Q3280" s="1">
        <v>2015.0</v>
      </c>
      <c r="R3280" s="1">
        <v>3000.0</v>
      </c>
      <c r="S3280" s="1">
        <v>465.0</v>
      </c>
      <c r="T3280" s="1">
        <v>326.0</v>
      </c>
      <c r="U3280" s="1">
        <v>4807.0</v>
      </c>
      <c r="V3280" s="1">
        <v>357.0</v>
      </c>
      <c r="W3280" s="1">
        <v>8000.0</v>
      </c>
      <c r="X3280" s="1">
        <v>1.0</v>
      </c>
      <c r="Y3280" s="1">
        <v>2.35</v>
      </c>
      <c r="Z3280" s="1">
        <v>4.6</v>
      </c>
    </row>
    <row r="3281" ht="14.25" customHeight="1">
      <c r="A3281" s="1" t="s">
        <v>26</v>
      </c>
      <c r="B3281" s="1" t="s">
        <v>15480</v>
      </c>
      <c r="C3281" s="1" t="s">
        <v>15481</v>
      </c>
      <c r="D3281" s="1">
        <v>2.0803237E7</v>
      </c>
      <c r="E3281" s="1" t="s">
        <v>2422</v>
      </c>
      <c r="F3281" s="1" t="s">
        <v>663</v>
      </c>
      <c r="G3281" s="1" t="s">
        <v>12839</v>
      </c>
      <c r="H3281" s="1" t="s">
        <v>7882</v>
      </c>
      <c r="I3281" s="1">
        <v>110616.0</v>
      </c>
      <c r="J3281" s="1" t="s">
        <v>15482</v>
      </c>
      <c r="K3281" s="1" t="s">
        <v>15483</v>
      </c>
      <c r="L3281" s="1">
        <v>291.0</v>
      </c>
      <c r="M3281" s="1" t="s">
        <v>35</v>
      </c>
      <c r="N3281" s="1" t="s">
        <v>36</v>
      </c>
      <c r="O3281" s="1" t="s">
        <v>628</v>
      </c>
      <c r="P3281" s="1">
        <v>3500000.0</v>
      </c>
      <c r="Q3281" s="1">
        <v>2010.0</v>
      </c>
      <c r="R3281" s="1">
        <v>14000.0</v>
      </c>
      <c r="S3281" s="1">
        <v>3000.0</v>
      </c>
      <c r="T3281" s="1">
        <v>712.0</v>
      </c>
      <c r="U3281" s="1">
        <v>18645.0</v>
      </c>
      <c r="V3281" s="1">
        <v>450.0</v>
      </c>
      <c r="W3281" s="1">
        <v>16000.0</v>
      </c>
      <c r="X3281" s="1">
        <v>1.0</v>
      </c>
      <c r="Y3281" s="1">
        <v>1.85</v>
      </c>
      <c r="Z3281" s="1">
        <v>7.1</v>
      </c>
    </row>
    <row r="3282" ht="14.25" customHeight="1">
      <c r="A3282" s="1" t="s">
        <v>26</v>
      </c>
      <c r="B3282" s="1" t="s">
        <v>5073</v>
      </c>
      <c r="C3282" s="1" t="s">
        <v>15484</v>
      </c>
      <c r="D3282" s="1">
        <v>1.3008928E7</v>
      </c>
      <c r="E3282" s="1" t="s">
        <v>4107</v>
      </c>
      <c r="F3282" s="1" t="s">
        <v>15485</v>
      </c>
      <c r="G3282" s="1" t="s">
        <v>7546</v>
      </c>
      <c r="H3282" s="1" t="s">
        <v>15486</v>
      </c>
      <c r="I3282" s="1">
        <v>73501.0</v>
      </c>
      <c r="J3282" s="1" t="s">
        <v>15487</v>
      </c>
      <c r="K3282" s="1" t="s">
        <v>15488</v>
      </c>
      <c r="L3282" s="1">
        <v>333.0</v>
      </c>
      <c r="M3282" s="1" t="s">
        <v>35</v>
      </c>
      <c r="N3282" s="1" t="s">
        <v>36</v>
      </c>
      <c r="O3282" s="1" t="s">
        <v>628</v>
      </c>
      <c r="P3282" s="1">
        <v>4000000.0</v>
      </c>
      <c r="Q3282" s="1">
        <v>1988.0</v>
      </c>
      <c r="R3282" s="1">
        <v>355.0</v>
      </c>
      <c r="S3282" s="1">
        <v>151.0</v>
      </c>
      <c r="T3282" s="1">
        <v>133.0</v>
      </c>
      <c r="U3282" s="1">
        <v>837.0</v>
      </c>
      <c r="V3282" s="1">
        <v>0.0</v>
      </c>
      <c r="W3282" s="1">
        <v>27000.0</v>
      </c>
      <c r="X3282" s="1">
        <v>0.0</v>
      </c>
      <c r="Y3282" s="1">
        <v>2.35</v>
      </c>
      <c r="Z3282" s="1">
        <v>7.3</v>
      </c>
    </row>
    <row r="3283" ht="14.25" customHeight="1">
      <c r="A3283" s="1" t="s">
        <v>26</v>
      </c>
      <c r="B3283" s="1" t="s">
        <v>15489</v>
      </c>
      <c r="C3283" s="1" t="s">
        <v>15490</v>
      </c>
      <c r="D3283" s="1">
        <v>1.5152879E7</v>
      </c>
      <c r="E3283" s="1" t="s">
        <v>4158</v>
      </c>
      <c r="F3283" s="1" t="s">
        <v>5040</v>
      </c>
      <c r="G3283" s="1" t="s">
        <v>7631</v>
      </c>
      <c r="H3283" s="1" t="s">
        <v>15491</v>
      </c>
      <c r="I3283" s="1">
        <v>13506.0</v>
      </c>
      <c r="J3283" s="1" t="s">
        <v>15492</v>
      </c>
      <c r="K3283" s="1" t="s">
        <v>15493</v>
      </c>
      <c r="L3283" s="1">
        <v>68.0</v>
      </c>
      <c r="M3283" s="1" t="s">
        <v>35</v>
      </c>
      <c r="N3283" s="1" t="s">
        <v>1832</v>
      </c>
      <c r="O3283" s="1" t="s">
        <v>37</v>
      </c>
      <c r="P3283" s="1">
        <v>5000000.0</v>
      </c>
      <c r="Q3283" s="1">
        <v>2013.0</v>
      </c>
      <c r="R3283" s="1">
        <v>45000.0</v>
      </c>
      <c r="S3283" s="1">
        <v>541.0</v>
      </c>
      <c r="T3283" s="1">
        <v>400.0</v>
      </c>
      <c r="U3283" s="1">
        <v>46868.0</v>
      </c>
      <c r="V3283" s="1">
        <v>8.0</v>
      </c>
      <c r="W3283" s="1">
        <v>0.0</v>
      </c>
      <c r="X3283" s="1">
        <v>0.0</v>
      </c>
      <c r="Y3283" s="1">
        <v>2.35</v>
      </c>
      <c r="Z3283" s="1">
        <v>4.0</v>
      </c>
    </row>
    <row r="3284" ht="14.25" customHeight="1">
      <c r="A3284" s="1" t="s">
        <v>26</v>
      </c>
      <c r="B3284" s="1" t="s">
        <v>8489</v>
      </c>
      <c r="C3284" s="1" t="s">
        <v>15494</v>
      </c>
      <c r="D3284" s="1">
        <v>2.53592E7</v>
      </c>
      <c r="E3284" s="1" t="s">
        <v>3238</v>
      </c>
      <c r="F3284" s="1" t="s">
        <v>15495</v>
      </c>
      <c r="G3284" s="1" t="s">
        <v>15496</v>
      </c>
      <c r="H3284" s="1" t="s">
        <v>15497</v>
      </c>
      <c r="I3284" s="1">
        <v>266020.0</v>
      </c>
      <c r="J3284" s="1" t="s">
        <v>15498</v>
      </c>
      <c r="K3284" s="1" t="s">
        <v>15499</v>
      </c>
      <c r="L3284" s="1">
        <v>836.0</v>
      </c>
      <c r="M3284" s="1" t="s">
        <v>35</v>
      </c>
      <c r="N3284" s="1" t="s">
        <v>36</v>
      </c>
      <c r="O3284" s="1" t="s">
        <v>628</v>
      </c>
      <c r="P3284" s="1">
        <v>4000000.0</v>
      </c>
      <c r="Q3284" s="1">
        <v>2014.0</v>
      </c>
      <c r="R3284" s="1">
        <v>230.0</v>
      </c>
      <c r="S3284" s="1">
        <v>193.0</v>
      </c>
      <c r="T3284" s="1">
        <v>127.0</v>
      </c>
      <c r="U3284" s="1">
        <v>673.0</v>
      </c>
      <c r="V3284" s="1">
        <v>0.0</v>
      </c>
      <c r="W3284" s="1">
        <v>92000.0</v>
      </c>
      <c r="X3284" s="1">
        <v>0.0</v>
      </c>
      <c r="Y3284" s="1">
        <v>1.85</v>
      </c>
      <c r="Z3284" s="1">
        <v>8.0</v>
      </c>
    </row>
    <row r="3285" ht="14.25" customHeight="1">
      <c r="A3285" s="1" t="s">
        <v>26</v>
      </c>
      <c r="B3285" s="1" t="s">
        <v>3797</v>
      </c>
      <c r="C3285" s="1" t="s">
        <v>15500</v>
      </c>
      <c r="D3285" s="1">
        <v>1.0515579E7</v>
      </c>
      <c r="E3285" s="1" t="s">
        <v>11297</v>
      </c>
      <c r="F3285" s="1" t="s">
        <v>92</v>
      </c>
      <c r="G3285" s="1" t="s">
        <v>3416</v>
      </c>
      <c r="H3285" s="1" t="s">
        <v>14118</v>
      </c>
      <c r="I3285" s="1">
        <v>66840.0</v>
      </c>
      <c r="J3285" s="1" t="s">
        <v>15501</v>
      </c>
      <c r="K3285" s="1" t="s">
        <v>15502</v>
      </c>
      <c r="L3285" s="1">
        <v>248.0</v>
      </c>
      <c r="M3285" s="1" t="s">
        <v>35</v>
      </c>
      <c r="N3285" s="1" t="s">
        <v>54</v>
      </c>
      <c r="O3285" s="1" t="s">
        <v>37</v>
      </c>
      <c r="P3285" s="1">
        <v>4000000.0</v>
      </c>
      <c r="Q3285" s="1">
        <v>2006.0</v>
      </c>
      <c r="R3285" s="1">
        <v>19000.0</v>
      </c>
      <c r="S3285" s="1">
        <v>427.0</v>
      </c>
      <c r="T3285" s="1">
        <v>405.0</v>
      </c>
      <c r="U3285" s="1">
        <v>20132.0</v>
      </c>
      <c r="V3285" s="1">
        <v>11000.0</v>
      </c>
      <c r="W3285" s="1">
        <v>0.0</v>
      </c>
      <c r="X3285" s="1">
        <v>0.0</v>
      </c>
      <c r="Y3285" s="1">
        <v>1.85</v>
      </c>
      <c r="Z3285" s="1">
        <v>6.7</v>
      </c>
    </row>
    <row r="3286" ht="14.25" customHeight="1">
      <c r="A3286" s="1" t="s">
        <v>26</v>
      </c>
      <c r="B3286" s="1" t="s">
        <v>247</v>
      </c>
      <c r="C3286" s="1" t="s">
        <v>1628</v>
      </c>
      <c r="D3286" s="1">
        <v>1.8001174E8</v>
      </c>
      <c r="E3286" s="1" t="s">
        <v>219</v>
      </c>
      <c r="F3286" s="1" t="s">
        <v>564</v>
      </c>
      <c r="G3286" s="1" t="s">
        <v>1629</v>
      </c>
      <c r="H3286" s="1" t="s">
        <v>1630</v>
      </c>
      <c r="I3286" s="1">
        <v>177729.0</v>
      </c>
      <c r="J3286" s="1" t="s">
        <v>1631</v>
      </c>
      <c r="K3286" s="1" t="s">
        <v>1632</v>
      </c>
      <c r="L3286" s="1">
        <v>1368.0</v>
      </c>
      <c r="M3286" s="1" t="s">
        <v>35</v>
      </c>
      <c r="N3286" s="1" t="s">
        <v>36</v>
      </c>
      <c r="O3286" s="1" t="s">
        <v>37</v>
      </c>
      <c r="P3286" s="1">
        <v>1.0E8</v>
      </c>
      <c r="Q3286" s="1">
        <v>2001.0</v>
      </c>
      <c r="R3286" s="1">
        <v>1000.0</v>
      </c>
      <c r="S3286" s="1">
        <v>658.0</v>
      </c>
      <c r="T3286" s="1">
        <v>567.0</v>
      </c>
      <c r="U3286" s="1">
        <v>2776.0</v>
      </c>
      <c r="V3286" s="1">
        <v>13000.0</v>
      </c>
      <c r="W3286" s="1">
        <v>0.0</v>
      </c>
      <c r="X3286" s="1">
        <v>0.0</v>
      </c>
      <c r="Y3286" s="1">
        <v>2.35</v>
      </c>
      <c r="Z3286" s="1">
        <v>5.7</v>
      </c>
    </row>
    <row r="3287" ht="14.25" customHeight="1">
      <c r="A3287" s="1" t="s">
        <v>26</v>
      </c>
      <c r="B3287" s="1" t="s">
        <v>15503</v>
      </c>
      <c r="C3287" s="1" t="s">
        <v>15504</v>
      </c>
      <c r="D3287" s="1">
        <v>1.0097096E7</v>
      </c>
      <c r="E3287" s="1" t="s">
        <v>1885</v>
      </c>
      <c r="F3287" s="1" t="s">
        <v>11252</v>
      </c>
      <c r="G3287" s="1" t="s">
        <v>15505</v>
      </c>
      <c r="H3287" s="1" t="s">
        <v>15503</v>
      </c>
      <c r="I3287" s="1">
        <v>5612.0</v>
      </c>
      <c r="J3287" s="1" t="s">
        <v>15506</v>
      </c>
      <c r="K3287" s="1" t="s">
        <v>15507</v>
      </c>
      <c r="L3287" s="1">
        <v>38.0</v>
      </c>
      <c r="M3287" s="1" t="s">
        <v>35</v>
      </c>
      <c r="N3287" s="1" t="s">
        <v>36</v>
      </c>
      <c r="O3287" s="1" t="s">
        <v>628</v>
      </c>
      <c r="P3287" s="1">
        <v>4000000.0</v>
      </c>
      <c r="Q3287" s="1">
        <v>2001.0</v>
      </c>
      <c r="R3287" s="1">
        <v>522.0</v>
      </c>
      <c r="S3287" s="1">
        <v>231.0</v>
      </c>
      <c r="T3287" s="1">
        <v>69.0</v>
      </c>
      <c r="U3287" s="1">
        <v>955.0</v>
      </c>
      <c r="V3287" s="1">
        <v>69.0</v>
      </c>
      <c r="W3287" s="1">
        <v>842.0</v>
      </c>
      <c r="X3287" s="1">
        <v>2.0</v>
      </c>
      <c r="Y3287" s="1">
        <v>1.85</v>
      </c>
      <c r="Z3287" s="1">
        <v>4.6</v>
      </c>
    </row>
    <row r="3288" ht="14.25" customHeight="1">
      <c r="A3288" s="1" t="s">
        <v>26</v>
      </c>
      <c r="B3288" s="1" t="s">
        <v>15503</v>
      </c>
      <c r="C3288" s="1" t="s">
        <v>15508</v>
      </c>
      <c r="D3288" s="1">
        <v>9821335.0</v>
      </c>
      <c r="E3288" s="1" t="s">
        <v>1885</v>
      </c>
      <c r="F3288" s="1" t="s">
        <v>5151</v>
      </c>
      <c r="G3288" s="1" t="s">
        <v>4977</v>
      </c>
      <c r="H3288" s="1" t="s">
        <v>4939</v>
      </c>
      <c r="I3288" s="1">
        <v>1415.0</v>
      </c>
      <c r="J3288" s="1" t="s">
        <v>15509</v>
      </c>
      <c r="K3288" s="1" t="s">
        <v>15510</v>
      </c>
      <c r="L3288" s="1">
        <v>10.0</v>
      </c>
      <c r="M3288" s="1" t="s">
        <v>35</v>
      </c>
      <c r="N3288" s="1" t="s">
        <v>36</v>
      </c>
      <c r="O3288" s="1" t="s">
        <v>628</v>
      </c>
      <c r="P3288" s="1">
        <v>6000000.0</v>
      </c>
      <c r="Q3288" s="1">
        <v>2000.0</v>
      </c>
      <c r="R3288" s="1">
        <v>939.0</v>
      </c>
      <c r="S3288" s="1">
        <v>706.0</v>
      </c>
      <c r="T3288" s="1">
        <v>585.0</v>
      </c>
      <c r="U3288" s="1">
        <v>3354.0</v>
      </c>
      <c r="V3288" s="1">
        <v>69.0</v>
      </c>
      <c r="W3288" s="1">
        <v>118.0</v>
      </c>
      <c r="X3288" s="1">
        <v>1.0</v>
      </c>
      <c r="Y3288" s="1">
        <v>1.85</v>
      </c>
      <c r="Z3288" s="1">
        <v>4.0</v>
      </c>
    </row>
    <row r="3289" ht="14.25" customHeight="1">
      <c r="A3289" s="1" t="s">
        <v>26</v>
      </c>
      <c r="B3289" s="1" t="s">
        <v>11121</v>
      </c>
      <c r="C3289" s="1" t="s">
        <v>15511</v>
      </c>
      <c r="D3289" s="1">
        <v>8243880.0</v>
      </c>
      <c r="E3289" s="1" t="s">
        <v>15512</v>
      </c>
      <c r="F3289" s="1" t="s">
        <v>1629</v>
      </c>
      <c r="G3289" s="1" t="s">
        <v>7184</v>
      </c>
      <c r="H3289" s="1" t="s">
        <v>9243</v>
      </c>
      <c r="I3289" s="1">
        <v>28714.0</v>
      </c>
      <c r="J3289" s="1" t="s">
        <v>15513</v>
      </c>
      <c r="K3289" s="1" t="s">
        <v>15514</v>
      </c>
      <c r="L3289" s="1">
        <v>215.0</v>
      </c>
      <c r="M3289" s="1" t="s">
        <v>35</v>
      </c>
      <c r="N3289" s="1" t="s">
        <v>36</v>
      </c>
      <c r="O3289" s="1" t="s">
        <v>628</v>
      </c>
      <c r="P3289" s="1">
        <v>3200000.0</v>
      </c>
      <c r="Q3289" s="1">
        <v>2003.0</v>
      </c>
      <c r="R3289" s="1">
        <v>658.0</v>
      </c>
      <c r="S3289" s="1">
        <v>636.0</v>
      </c>
      <c r="T3289" s="1">
        <v>407.0</v>
      </c>
      <c r="U3289" s="1">
        <v>3086.0</v>
      </c>
      <c r="V3289" s="1">
        <v>47.0</v>
      </c>
      <c r="W3289" s="1">
        <v>762.0</v>
      </c>
      <c r="X3289" s="1">
        <v>1.0</v>
      </c>
      <c r="Y3289" s="1">
        <v>2.35</v>
      </c>
      <c r="Z3289" s="1">
        <v>7.0</v>
      </c>
    </row>
    <row r="3290" ht="14.25" customHeight="1">
      <c r="A3290" s="1" t="s">
        <v>26</v>
      </c>
      <c r="B3290" s="1" t="s">
        <v>15515</v>
      </c>
      <c r="C3290" s="1" t="s">
        <v>15516</v>
      </c>
      <c r="D3290" s="1">
        <v>7825820.0</v>
      </c>
      <c r="E3290" s="1" t="s">
        <v>2130</v>
      </c>
      <c r="F3290" s="1" t="s">
        <v>774</v>
      </c>
      <c r="G3290" s="1" t="s">
        <v>1010</v>
      </c>
      <c r="H3290" s="1" t="s">
        <v>3122</v>
      </c>
      <c r="I3290" s="1">
        <v>13086.0</v>
      </c>
      <c r="J3290" s="1" t="s">
        <v>15517</v>
      </c>
      <c r="K3290" s="1" t="s">
        <v>15518</v>
      </c>
      <c r="L3290" s="1">
        <v>156.0</v>
      </c>
      <c r="M3290" s="1" t="s">
        <v>35</v>
      </c>
      <c r="N3290" s="1" t="s">
        <v>36</v>
      </c>
      <c r="O3290" s="1" t="s">
        <v>628</v>
      </c>
      <c r="P3290" s="1">
        <v>4000000.0</v>
      </c>
      <c r="Q3290" s="1">
        <v>2006.0</v>
      </c>
      <c r="R3290" s="1">
        <v>49000.0</v>
      </c>
      <c r="S3290" s="1">
        <v>780.0</v>
      </c>
      <c r="T3290" s="1">
        <v>710.0</v>
      </c>
      <c r="U3290" s="1">
        <v>50831.0</v>
      </c>
      <c r="V3290" s="1">
        <v>5.0</v>
      </c>
      <c r="W3290" s="1">
        <v>576.0</v>
      </c>
      <c r="X3290" s="1">
        <v>0.0</v>
      </c>
      <c r="Y3290" s="1">
        <v>1.85</v>
      </c>
      <c r="Z3290" s="1">
        <v>5.9</v>
      </c>
    </row>
    <row r="3291" ht="14.25" customHeight="1">
      <c r="A3291" s="1" t="s">
        <v>26</v>
      </c>
      <c r="B3291" s="1" t="s">
        <v>5922</v>
      </c>
      <c r="C3291" s="1" t="s">
        <v>9077</v>
      </c>
      <c r="D3291" s="1">
        <v>1.463749E7</v>
      </c>
      <c r="E3291" s="1" t="s">
        <v>2882</v>
      </c>
      <c r="F3291" s="1" t="s">
        <v>1616</v>
      </c>
      <c r="G3291" s="1" t="s">
        <v>9078</v>
      </c>
      <c r="H3291" s="1" t="s">
        <v>9079</v>
      </c>
      <c r="I3291" s="1">
        <v>16411.0</v>
      </c>
      <c r="J3291" s="1" t="s">
        <v>9080</v>
      </c>
      <c r="K3291" s="1" t="s">
        <v>9081</v>
      </c>
      <c r="L3291" s="1">
        <v>136.0</v>
      </c>
      <c r="M3291" s="1" t="s">
        <v>35</v>
      </c>
      <c r="N3291" s="1" t="s">
        <v>36</v>
      </c>
      <c r="O3291" s="1" t="s">
        <v>628</v>
      </c>
      <c r="P3291" s="1">
        <v>2.5E7</v>
      </c>
      <c r="Q3291" s="1">
        <v>2010.0</v>
      </c>
      <c r="R3291" s="1">
        <v>798.0</v>
      </c>
      <c r="S3291" s="1">
        <v>374.0</v>
      </c>
      <c r="T3291" s="1">
        <v>255.0</v>
      </c>
      <c r="U3291" s="1">
        <v>2537.0</v>
      </c>
      <c r="V3291" s="1">
        <v>0.0</v>
      </c>
      <c r="W3291" s="1">
        <v>0.0</v>
      </c>
      <c r="X3291" s="1">
        <v>2.0</v>
      </c>
      <c r="Y3291" s="1">
        <v>2.35</v>
      </c>
      <c r="Z3291" s="1">
        <v>4.8</v>
      </c>
    </row>
    <row r="3292" ht="14.25" customHeight="1">
      <c r="A3292" s="1" t="s">
        <v>26</v>
      </c>
      <c r="B3292" s="1" t="s">
        <v>6339</v>
      </c>
      <c r="C3292" s="1" t="s">
        <v>15519</v>
      </c>
      <c r="D3292" s="1">
        <v>7159147.0</v>
      </c>
      <c r="E3292" s="1" t="s">
        <v>1842</v>
      </c>
      <c r="F3292" s="1" t="s">
        <v>6341</v>
      </c>
      <c r="G3292" s="1" t="s">
        <v>12202</v>
      </c>
      <c r="H3292" s="1" t="s">
        <v>15520</v>
      </c>
      <c r="I3292" s="1">
        <v>120189.0</v>
      </c>
      <c r="J3292" s="1" t="s">
        <v>15521</v>
      </c>
      <c r="K3292" s="1" t="s">
        <v>15522</v>
      </c>
      <c r="L3292" s="1">
        <v>308.0</v>
      </c>
      <c r="M3292" s="1" t="s">
        <v>2648</v>
      </c>
      <c r="N3292" s="1" t="s">
        <v>3393</v>
      </c>
      <c r="O3292" s="1" t="s">
        <v>628</v>
      </c>
      <c r="P3292" s="1">
        <v>3400000.0</v>
      </c>
      <c r="Q3292" s="1">
        <v>2007.0</v>
      </c>
      <c r="R3292" s="1">
        <v>382.0</v>
      </c>
      <c r="S3292" s="1">
        <v>273.0</v>
      </c>
      <c r="T3292" s="1">
        <v>143.0</v>
      </c>
      <c r="U3292" s="1">
        <v>954.0</v>
      </c>
      <c r="V3292" s="1">
        <v>171.0</v>
      </c>
      <c r="W3292" s="1">
        <v>11000.0</v>
      </c>
      <c r="X3292" s="1">
        <v>0.0</v>
      </c>
      <c r="Y3292" s="1">
        <v>2.35</v>
      </c>
      <c r="Z3292" s="1">
        <v>7.5</v>
      </c>
    </row>
    <row r="3293" ht="14.25" customHeight="1">
      <c r="A3293" s="1" t="s">
        <v>26</v>
      </c>
      <c r="B3293" s="1" t="s">
        <v>15523</v>
      </c>
      <c r="C3293" s="1" t="s">
        <v>15524</v>
      </c>
      <c r="D3293" s="1">
        <v>1.7314483E7</v>
      </c>
      <c r="E3293" s="1" t="s">
        <v>2657</v>
      </c>
      <c r="F3293" s="1" t="s">
        <v>15525</v>
      </c>
      <c r="G3293" s="1" t="s">
        <v>8972</v>
      </c>
      <c r="H3293" s="1" t="s">
        <v>15526</v>
      </c>
      <c r="I3293" s="1">
        <v>14621.0</v>
      </c>
      <c r="J3293" s="1" t="s">
        <v>15527</v>
      </c>
      <c r="K3293" s="1" t="s">
        <v>15528</v>
      </c>
      <c r="L3293" s="1">
        <v>48.0</v>
      </c>
      <c r="M3293" s="1" t="s">
        <v>35</v>
      </c>
      <c r="N3293" s="1" t="s">
        <v>36</v>
      </c>
      <c r="O3293" s="1" t="s">
        <v>628</v>
      </c>
      <c r="P3293" s="1">
        <v>4000000.0</v>
      </c>
      <c r="Q3293" s="1">
        <v>2014.0</v>
      </c>
      <c r="R3293" s="1">
        <v>986.0</v>
      </c>
      <c r="S3293" s="1">
        <v>713.0</v>
      </c>
      <c r="T3293" s="1">
        <v>511.0</v>
      </c>
      <c r="U3293" s="1">
        <v>4073.0</v>
      </c>
      <c r="V3293" s="1">
        <v>89.0</v>
      </c>
      <c r="W3293" s="1">
        <v>0.0</v>
      </c>
      <c r="X3293" s="1">
        <v>2.0</v>
      </c>
      <c r="Y3293" s="1">
        <v>1.85</v>
      </c>
      <c r="Z3293" s="1">
        <v>4.7</v>
      </c>
    </row>
    <row r="3294" ht="14.25" customHeight="1">
      <c r="A3294" s="1" t="s">
        <v>26</v>
      </c>
      <c r="B3294" s="1" t="s">
        <v>15529</v>
      </c>
      <c r="C3294" s="1" t="s">
        <v>15530</v>
      </c>
      <c r="D3294" s="1">
        <v>6525762.0</v>
      </c>
      <c r="E3294" s="1" t="s">
        <v>1359</v>
      </c>
      <c r="F3294" s="1" t="s">
        <v>9784</v>
      </c>
      <c r="G3294" s="1" t="s">
        <v>5286</v>
      </c>
      <c r="H3294" s="1" t="s">
        <v>373</v>
      </c>
      <c r="I3294" s="1">
        <v>44339.0</v>
      </c>
      <c r="J3294" s="1" t="s">
        <v>15531</v>
      </c>
      <c r="K3294" s="1" t="s">
        <v>15532</v>
      </c>
      <c r="L3294" s="1">
        <v>425.0</v>
      </c>
      <c r="M3294" s="1" t="s">
        <v>35</v>
      </c>
      <c r="N3294" s="1" t="s">
        <v>36</v>
      </c>
      <c r="O3294" s="1" t="s">
        <v>628</v>
      </c>
      <c r="P3294" s="1">
        <v>4000000.0</v>
      </c>
      <c r="Q3294" s="1">
        <v>2002.0</v>
      </c>
      <c r="R3294" s="1">
        <v>16000.0</v>
      </c>
      <c r="S3294" s="1">
        <v>977.0</v>
      </c>
      <c r="T3294" s="1">
        <v>968.0</v>
      </c>
      <c r="U3294" s="1">
        <v>19928.0</v>
      </c>
      <c r="V3294" s="1">
        <v>675.0</v>
      </c>
      <c r="W3294" s="1">
        <v>0.0</v>
      </c>
      <c r="X3294" s="1">
        <v>2.0</v>
      </c>
      <c r="Y3294" s="1">
        <v>1.85</v>
      </c>
      <c r="Z3294" s="1">
        <v>6.7</v>
      </c>
    </row>
    <row r="3295" ht="14.25" customHeight="1">
      <c r="A3295" s="1" t="s">
        <v>26</v>
      </c>
      <c r="B3295" s="1" t="s">
        <v>15533</v>
      </c>
      <c r="C3295" s="1" t="s">
        <v>15534</v>
      </c>
      <c r="D3295" s="1">
        <v>4301331.0</v>
      </c>
      <c r="E3295" s="1" t="s">
        <v>2657</v>
      </c>
      <c r="F3295" s="1" t="s">
        <v>480</v>
      </c>
      <c r="G3295" s="1" t="s">
        <v>3793</v>
      </c>
      <c r="H3295" s="1" t="s">
        <v>2547</v>
      </c>
      <c r="I3295" s="1">
        <v>78241.0</v>
      </c>
      <c r="J3295" s="1" t="s">
        <v>15535</v>
      </c>
      <c r="K3295" s="1" t="s">
        <v>15536</v>
      </c>
      <c r="L3295" s="1">
        <v>177.0</v>
      </c>
      <c r="M3295" s="1" t="s">
        <v>35</v>
      </c>
      <c r="N3295" s="1" t="s">
        <v>36</v>
      </c>
      <c r="O3295" s="1" t="s">
        <v>628</v>
      </c>
      <c r="P3295" s="1">
        <v>4000000.0</v>
      </c>
      <c r="Q3295" s="1">
        <v>1995.0</v>
      </c>
      <c r="R3295" s="1">
        <v>4000.0</v>
      </c>
      <c r="S3295" s="1">
        <v>975.0</v>
      </c>
      <c r="T3295" s="1">
        <v>960.0</v>
      </c>
      <c r="U3295" s="1">
        <v>7921.0</v>
      </c>
      <c r="V3295" s="1">
        <v>99.0</v>
      </c>
      <c r="W3295" s="1">
        <v>0.0</v>
      </c>
      <c r="X3295" s="1">
        <v>6.0</v>
      </c>
      <c r="Y3295" s="1">
        <v>1.85</v>
      </c>
      <c r="Z3295" s="1">
        <v>6.7</v>
      </c>
    </row>
    <row r="3296" ht="14.25" customHeight="1">
      <c r="A3296" s="1" t="s">
        <v>26</v>
      </c>
      <c r="B3296" s="1" t="s">
        <v>11163</v>
      </c>
      <c r="C3296" s="1" t="s">
        <v>15537</v>
      </c>
      <c r="D3296" s="1">
        <v>4046737.0</v>
      </c>
      <c r="E3296" s="1" t="s">
        <v>1359</v>
      </c>
      <c r="F3296" s="1" t="s">
        <v>11989</v>
      </c>
      <c r="G3296" s="1" t="s">
        <v>1018</v>
      </c>
      <c r="H3296" s="1" t="s">
        <v>13491</v>
      </c>
      <c r="I3296" s="1">
        <v>67949.0</v>
      </c>
      <c r="J3296" s="1" t="s">
        <v>15538</v>
      </c>
      <c r="K3296" s="1" t="s">
        <v>15539</v>
      </c>
      <c r="L3296" s="1">
        <v>390.0</v>
      </c>
      <c r="M3296" s="1" t="s">
        <v>35</v>
      </c>
      <c r="N3296" s="1" t="s">
        <v>36</v>
      </c>
      <c r="O3296" s="1" t="s">
        <v>628</v>
      </c>
      <c r="P3296" s="1">
        <v>4000000.0</v>
      </c>
      <c r="Q3296" s="1">
        <v>2002.0</v>
      </c>
      <c r="R3296" s="1">
        <v>769.0</v>
      </c>
      <c r="S3296" s="1">
        <v>413.0</v>
      </c>
      <c r="T3296" s="1">
        <v>296.0</v>
      </c>
      <c r="U3296" s="1">
        <v>2251.0</v>
      </c>
      <c r="V3296" s="1">
        <v>30.0</v>
      </c>
      <c r="W3296" s="1">
        <v>15000.0</v>
      </c>
      <c r="X3296" s="1">
        <v>1.0</v>
      </c>
      <c r="Y3296" s="1">
        <v>1.85</v>
      </c>
      <c r="Z3296" s="1">
        <v>7.1</v>
      </c>
    </row>
    <row r="3297" ht="14.25" customHeight="1">
      <c r="A3297" s="1" t="s">
        <v>26</v>
      </c>
      <c r="B3297" s="1" t="s">
        <v>15540</v>
      </c>
      <c r="C3297" s="1" t="s">
        <v>15541</v>
      </c>
      <c r="D3297" s="1">
        <v>3713002.0</v>
      </c>
      <c r="E3297" s="1" t="s">
        <v>15542</v>
      </c>
      <c r="F3297" s="1" t="s">
        <v>8917</v>
      </c>
      <c r="G3297" s="1" t="s">
        <v>698</v>
      </c>
      <c r="H3297" s="1" t="s">
        <v>15543</v>
      </c>
      <c r="I3297" s="1">
        <v>3611.0</v>
      </c>
      <c r="J3297" s="1" t="s">
        <v>15544</v>
      </c>
      <c r="K3297" s="1" t="s">
        <v>15545</v>
      </c>
      <c r="L3297" s="1">
        <v>62.0</v>
      </c>
      <c r="M3297" s="1" t="s">
        <v>35</v>
      </c>
      <c r="N3297" s="1" t="s">
        <v>36</v>
      </c>
      <c r="O3297" s="1" t="s">
        <v>628</v>
      </c>
      <c r="P3297" s="1">
        <v>8000000.0</v>
      </c>
      <c r="Q3297" s="1">
        <v>2003.0</v>
      </c>
      <c r="R3297" s="1">
        <v>960.0</v>
      </c>
      <c r="S3297" s="1">
        <v>12.0</v>
      </c>
      <c r="T3297" s="1">
        <v>0.0</v>
      </c>
      <c r="U3297" s="1">
        <v>972.0</v>
      </c>
      <c r="V3297" s="1">
        <v>2.0</v>
      </c>
      <c r="W3297" s="1">
        <v>131.0</v>
      </c>
      <c r="X3297" s="1">
        <v>1.0</v>
      </c>
      <c r="Y3297" s="1">
        <v>1.85</v>
      </c>
      <c r="Z3297" s="1">
        <v>2.7</v>
      </c>
    </row>
    <row r="3298" ht="14.25" customHeight="1">
      <c r="A3298" s="1" t="s">
        <v>26</v>
      </c>
      <c r="B3298" s="1" t="s">
        <v>723</v>
      </c>
      <c r="C3298" s="1" t="s">
        <v>15546</v>
      </c>
      <c r="D3298" s="1">
        <v>3468572.0</v>
      </c>
      <c r="E3298" s="1" t="s">
        <v>3238</v>
      </c>
      <c r="F3298" s="1" t="s">
        <v>1787</v>
      </c>
      <c r="G3298" s="1" t="s">
        <v>9090</v>
      </c>
      <c r="H3298" s="1" t="s">
        <v>15333</v>
      </c>
      <c r="I3298" s="1">
        <v>10073.0</v>
      </c>
      <c r="J3298" s="1" t="s">
        <v>15547</v>
      </c>
      <c r="K3298" s="1" t="s">
        <v>15548</v>
      </c>
      <c r="L3298" s="1">
        <v>78.0</v>
      </c>
      <c r="M3298" s="1" t="s">
        <v>35</v>
      </c>
      <c r="N3298" s="1" t="s">
        <v>36</v>
      </c>
      <c r="O3298" s="1" t="s">
        <v>628</v>
      </c>
      <c r="P3298" s="1">
        <v>4000000.0</v>
      </c>
      <c r="Q3298" s="1">
        <v>1988.0</v>
      </c>
      <c r="R3298" s="1">
        <v>721.0</v>
      </c>
      <c r="S3298" s="1">
        <v>246.0</v>
      </c>
      <c r="T3298" s="1">
        <v>237.0</v>
      </c>
      <c r="U3298" s="1">
        <v>1966.0</v>
      </c>
      <c r="V3298" s="1">
        <v>0.0</v>
      </c>
      <c r="W3298" s="1">
        <v>816.0</v>
      </c>
      <c r="X3298" s="1">
        <v>0.0</v>
      </c>
      <c r="Y3298" s="1">
        <v>1.85</v>
      </c>
      <c r="Z3298" s="1">
        <v>7.3</v>
      </c>
    </row>
    <row r="3299" ht="14.25" customHeight="1">
      <c r="A3299" s="1" t="s">
        <v>26</v>
      </c>
      <c r="B3299" s="1" t="s">
        <v>10290</v>
      </c>
      <c r="C3299" s="1" t="s">
        <v>15549</v>
      </c>
      <c r="D3299" s="1">
        <v>2892582.0</v>
      </c>
      <c r="E3299" s="1" t="s">
        <v>1885</v>
      </c>
      <c r="F3299" s="1" t="s">
        <v>1719</v>
      </c>
      <c r="G3299" s="1" t="s">
        <v>403</v>
      </c>
      <c r="H3299" s="1" t="s">
        <v>2371</v>
      </c>
      <c r="I3299" s="1">
        <v>22697.0</v>
      </c>
      <c r="J3299" s="1" t="s">
        <v>15550</v>
      </c>
      <c r="K3299" s="1" t="s">
        <v>15551</v>
      </c>
      <c r="L3299" s="1">
        <v>202.0</v>
      </c>
      <c r="M3299" s="1" t="s">
        <v>35</v>
      </c>
      <c r="N3299" s="1" t="s">
        <v>36</v>
      </c>
      <c r="O3299" s="1" t="s">
        <v>628</v>
      </c>
      <c r="P3299" s="1">
        <v>4000000.0</v>
      </c>
      <c r="Q3299" s="1">
        <v>1996.0</v>
      </c>
      <c r="R3299" s="1">
        <v>925.0</v>
      </c>
      <c r="S3299" s="1">
        <v>729.0</v>
      </c>
      <c r="T3299" s="1">
        <v>611.0</v>
      </c>
      <c r="U3299" s="1">
        <v>3559.0</v>
      </c>
      <c r="V3299" s="1">
        <v>378.0</v>
      </c>
      <c r="W3299" s="1">
        <v>0.0</v>
      </c>
      <c r="X3299" s="1">
        <v>0.0</v>
      </c>
      <c r="Y3299" s="1">
        <v>1.85</v>
      </c>
      <c r="Z3299" s="1">
        <v>7.6</v>
      </c>
    </row>
    <row r="3300" ht="14.25" customHeight="1">
      <c r="A3300" s="1" t="s">
        <v>26</v>
      </c>
      <c r="B3300" s="1" t="s">
        <v>15552</v>
      </c>
      <c r="C3300" s="1" t="s">
        <v>15553</v>
      </c>
      <c r="D3300" s="1">
        <v>2800000.0</v>
      </c>
      <c r="E3300" s="1" t="s">
        <v>1885</v>
      </c>
      <c r="F3300" s="1" t="s">
        <v>1625</v>
      </c>
      <c r="G3300" s="1" t="s">
        <v>5430</v>
      </c>
      <c r="H3300" s="1" t="s">
        <v>6425</v>
      </c>
      <c r="I3300" s="1">
        <v>4377.0</v>
      </c>
      <c r="J3300" s="1" t="s">
        <v>15554</v>
      </c>
      <c r="K3300" s="1" t="s">
        <v>15555</v>
      </c>
      <c r="L3300" s="1">
        <v>85.0</v>
      </c>
      <c r="M3300" s="1" t="s">
        <v>35</v>
      </c>
      <c r="N3300" s="1" t="s">
        <v>36</v>
      </c>
      <c r="O3300" s="1" t="s">
        <v>628</v>
      </c>
      <c r="P3300" s="1">
        <v>4000000.0</v>
      </c>
      <c r="Q3300" s="1">
        <v>1999.0</v>
      </c>
      <c r="R3300" s="1">
        <v>834.0</v>
      </c>
      <c r="S3300" s="1">
        <v>625.0</v>
      </c>
      <c r="T3300" s="1">
        <v>545.0</v>
      </c>
      <c r="U3300" s="1">
        <v>2662.0</v>
      </c>
      <c r="V3300" s="1">
        <v>24.0</v>
      </c>
      <c r="W3300" s="1">
        <v>309.0</v>
      </c>
      <c r="X3300" s="1">
        <v>3.0</v>
      </c>
      <c r="Y3300" s="1">
        <v>1.85</v>
      </c>
      <c r="Z3300" s="1">
        <v>5.8</v>
      </c>
    </row>
    <row r="3301" ht="14.25" customHeight="1">
      <c r="A3301" s="1" t="s">
        <v>26</v>
      </c>
      <c r="B3301" s="1" t="s">
        <v>4191</v>
      </c>
      <c r="C3301" s="1" t="s">
        <v>15556</v>
      </c>
      <c r="D3301" s="1">
        <v>2426851.0</v>
      </c>
      <c r="E3301" s="1" t="s">
        <v>4018</v>
      </c>
      <c r="F3301" s="1" t="s">
        <v>3360</v>
      </c>
      <c r="G3301" s="1" t="s">
        <v>15557</v>
      </c>
      <c r="H3301" s="1" t="s">
        <v>7565</v>
      </c>
      <c r="I3301" s="1">
        <v>16224.0</v>
      </c>
      <c r="J3301" s="1" t="s">
        <v>15558</v>
      </c>
      <c r="K3301" s="1" t="s">
        <v>15559</v>
      </c>
      <c r="L3301" s="1">
        <v>76.0</v>
      </c>
      <c r="M3301" s="1" t="s">
        <v>35</v>
      </c>
      <c r="N3301" s="1" t="s">
        <v>36</v>
      </c>
      <c r="O3301" s="1" t="s">
        <v>628</v>
      </c>
      <c r="P3301" s="1">
        <v>4000000.0</v>
      </c>
      <c r="Q3301" s="1">
        <v>2007.0</v>
      </c>
      <c r="R3301" s="1">
        <v>497.0</v>
      </c>
      <c r="S3301" s="1">
        <v>113.0</v>
      </c>
      <c r="T3301" s="1">
        <v>90.0</v>
      </c>
      <c r="U3301" s="1">
        <v>776.0</v>
      </c>
      <c r="V3301" s="1">
        <v>131.0</v>
      </c>
      <c r="W3301" s="1">
        <v>830.0</v>
      </c>
      <c r="X3301" s="1">
        <v>1.0</v>
      </c>
      <c r="Y3301" s="1">
        <v>2.55</v>
      </c>
      <c r="Z3301" s="1">
        <v>6.5</v>
      </c>
    </row>
    <row r="3302" ht="14.25" customHeight="1">
      <c r="A3302" s="1" t="s">
        <v>26</v>
      </c>
      <c r="B3302" s="1" t="s">
        <v>15560</v>
      </c>
      <c r="C3302" s="1" t="s">
        <v>15561</v>
      </c>
      <c r="D3302" s="1">
        <v>1325073.0</v>
      </c>
      <c r="E3302" s="1" t="s">
        <v>2422</v>
      </c>
      <c r="F3302" s="1" t="s">
        <v>834</v>
      </c>
      <c r="G3302" s="1" t="s">
        <v>11104</v>
      </c>
      <c r="H3302" s="1" t="s">
        <v>1523</v>
      </c>
      <c r="I3302" s="1">
        <v>18762.0</v>
      </c>
      <c r="J3302" s="1" t="s">
        <v>15562</v>
      </c>
      <c r="K3302" s="1" t="s">
        <v>15563</v>
      </c>
      <c r="L3302" s="1">
        <v>91.0</v>
      </c>
      <c r="M3302" s="1" t="s">
        <v>35</v>
      </c>
      <c r="N3302" s="1" t="s">
        <v>36</v>
      </c>
      <c r="O3302" s="1" t="s">
        <v>628</v>
      </c>
      <c r="P3302" s="1">
        <v>4000000.0</v>
      </c>
      <c r="Q3302" s="1">
        <v>2005.0</v>
      </c>
      <c r="R3302" s="1">
        <v>730.0</v>
      </c>
      <c r="S3302" s="1">
        <v>394.0</v>
      </c>
      <c r="T3302" s="1">
        <v>71.0</v>
      </c>
      <c r="U3302" s="1">
        <v>1208.0</v>
      </c>
      <c r="V3302" s="1">
        <v>101.0</v>
      </c>
      <c r="W3302" s="1">
        <v>708.0</v>
      </c>
      <c r="X3302" s="1">
        <v>0.0</v>
      </c>
      <c r="Y3302" s="1">
        <v>2.35</v>
      </c>
      <c r="Z3302" s="1">
        <v>6.6</v>
      </c>
    </row>
    <row r="3303" ht="14.25" customHeight="1">
      <c r="A3303" s="1" t="s">
        <v>26</v>
      </c>
      <c r="B3303" s="1" t="s">
        <v>15564</v>
      </c>
      <c r="C3303" s="1" t="s">
        <v>15565</v>
      </c>
      <c r="D3303" s="1">
        <v>864959.0</v>
      </c>
      <c r="E3303" s="1" t="s">
        <v>165</v>
      </c>
      <c r="F3303" s="1" t="s">
        <v>15566</v>
      </c>
      <c r="G3303" s="1" t="s">
        <v>14071</v>
      </c>
      <c r="H3303" s="1" t="s">
        <v>15567</v>
      </c>
      <c r="I3303" s="1">
        <v>20275.0</v>
      </c>
      <c r="J3303" s="1" t="s">
        <v>15568</v>
      </c>
      <c r="K3303" s="1" t="s">
        <v>15569</v>
      </c>
      <c r="L3303" s="1">
        <v>151.0</v>
      </c>
      <c r="M3303" s="1" t="s">
        <v>35</v>
      </c>
      <c r="N3303" s="1" t="s">
        <v>54</v>
      </c>
      <c r="O3303" s="1" t="s">
        <v>87</v>
      </c>
      <c r="P3303" s="1">
        <v>4000000.0</v>
      </c>
      <c r="Q3303" s="1">
        <v>2005.0</v>
      </c>
      <c r="R3303" s="1">
        <v>420.0</v>
      </c>
      <c r="S3303" s="1">
        <v>291.0</v>
      </c>
      <c r="T3303" s="1">
        <v>161.0</v>
      </c>
      <c r="U3303" s="1">
        <v>1215.0</v>
      </c>
      <c r="V3303" s="1">
        <v>21.0</v>
      </c>
      <c r="W3303" s="1">
        <v>0.0</v>
      </c>
      <c r="X3303" s="1">
        <v>0.0</v>
      </c>
      <c r="Y3303" s="1">
        <v>1.85</v>
      </c>
      <c r="Z3303" s="1">
        <v>6.9</v>
      </c>
    </row>
    <row r="3304" ht="14.25" customHeight="1">
      <c r="A3304" s="1" t="s">
        <v>26</v>
      </c>
      <c r="B3304" s="1" t="s">
        <v>15570</v>
      </c>
      <c r="C3304" s="1" t="s">
        <v>15571</v>
      </c>
      <c r="D3304" s="1">
        <v>2601847.0</v>
      </c>
      <c r="E3304" s="1" t="s">
        <v>3861</v>
      </c>
      <c r="F3304" s="1" t="s">
        <v>15572</v>
      </c>
      <c r="G3304" s="1" t="s">
        <v>15573</v>
      </c>
      <c r="H3304" s="1" t="s">
        <v>15574</v>
      </c>
      <c r="I3304" s="1">
        <v>22457.0</v>
      </c>
      <c r="J3304" s="1" t="s">
        <v>15575</v>
      </c>
      <c r="K3304" s="1" t="s">
        <v>15576</v>
      </c>
      <c r="L3304" s="1">
        <v>69.0</v>
      </c>
      <c r="M3304" s="1" t="s">
        <v>15577</v>
      </c>
      <c r="N3304" s="1" t="s">
        <v>36</v>
      </c>
      <c r="O3304" s="1" t="s">
        <v>37</v>
      </c>
      <c r="P3304" s="1">
        <v>4000000.0</v>
      </c>
      <c r="Q3304" s="1">
        <v>2011.0</v>
      </c>
      <c r="R3304" s="1">
        <v>48.0</v>
      </c>
      <c r="S3304" s="1">
        <v>0.0</v>
      </c>
      <c r="T3304" s="1">
        <v>0.0</v>
      </c>
      <c r="U3304" s="1">
        <v>48.0</v>
      </c>
      <c r="V3304" s="1">
        <v>330.0</v>
      </c>
      <c r="W3304" s="1">
        <v>26000.0</v>
      </c>
      <c r="X3304" s="1">
        <v>0.0</v>
      </c>
      <c r="Y3304" s="1">
        <v>2.35</v>
      </c>
      <c r="Z3304" s="1">
        <v>8.5</v>
      </c>
    </row>
    <row r="3305" ht="14.25" customHeight="1">
      <c r="A3305" s="1" t="s">
        <v>26</v>
      </c>
      <c r="B3305" s="1" t="s">
        <v>15578</v>
      </c>
      <c r="C3305" s="1" t="s">
        <v>15579</v>
      </c>
      <c r="D3305" s="1">
        <v>800000.0</v>
      </c>
      <c r="E3305" s="1" t="s">
        <v>165</v>
      </c>
      <c r="F3305" s="1" t="s">
        <v>14800</v>
      </c>
      <c r="G3305" s="1" t="s">
        <v>15580</v>
      </c>
      <c r="H3305" s="1" t="s">
        <v>15581</v>
      </c>
      <c r="I3305" s="1">
        <v>2308.0</v>
      </c>
      <c r="J3305" s="1" t="s">
        <v>15582</v>
      </c>
      <c r="K3305" s="1" t="s">
        <v>15583</v>
      </c>
      <c r="L3305" s="1">
        <v>35.0</v>
      </c>
      <c r="M3305" s="1" t="s">
        <v>35</v>
      </c>
      <c r="N3305" s="1" t="s">
        <v>36</v>
      </c>
      <c r="O3305" s="1" t="s">
        <v>628</v>
      </c>
      <c r="P3305" s="1">
        <v>4000000.0</v>
      </c>
      <c r="Q3305" s="1">
        <v>1987.0</v>
      </c>
      <c r="R3305" s="1">
        <v>721.0</v>
      </c>
      <c r="S3305" s="1">
        <v>576.0</v>
      </c>
      <c r="T3305" s="1">
        <v>324.0</v>
      </c>
      <c r="U3305" s="1">
        <v>1700.0</v>
      </c>
      <c r="V3305" s="1">
        <v>101.0</v>
      </c>
      <c r="W3305" s="1">
        <v>550.0</v>
      </c>
      <c r="X3305" s="1">
        <v>0.0</v>
      </c>
      <c r="Y3305" s="1">
        <v>1.85</v>
      </c>
      <c r="Z3305" s="1">
        <v>4.8</v>
      </c>
    </row>
    <row r="3306" ht="14.25" customHeight="1">
      <c r="A3306" s="1" t="s">
        <v>26</v>
      </c>
      <c r="B3306" s="1" t="s">
        <v>15584</v>
      </c>
      <c r="C3306" s="1" t="s">
        <v>15585</v>
      </c>
      <c r="D3306" s="1">
        <v>562059.0</v>
      </c>
      <c r="E3306" s="1" t="s">
        <v>3868</v>
      </c>
      <c r="F3306" s="1" t="s">
        <v>1576</v>
      </c>
      <c r="G3306" s="1" t="s">
        <v>4373</v>
      </c>
      <c r="H3306" s="1" t="s">
        <v>8746</v>
      </c>
      <c r="I3306" s="1">
        <v>8535.0</v>
      </c>
      <c r="J3306" s="1" t="s">
        <v>15586</v>
      </c>
      <c r="K3306" s="1" t="s">
        <v>15587</v>
      </c>
      <c r="L3306" s="1">
        <v>113.0</v>
      </c>
      <c r="M3306" s="1" t="s">
        <v>35</v>
      </c>
      <c r="N3306" s="1" t="s">
        <v>36</v>
      </c>
      <c r="O3306" s="1" t="s">
        <v>628</v>
      </c>
      <c r="P3306" s="1">
        <v>4000000.0</v>
      </c>
      <c r="Q3306" s="1">
        <v>2002.0</v>
      </c>
      <c r="R3306" s="1">
        <v>979.0</v>
      </c>
      <c r="S3306" s="1">
        <v>665.0</v>
      </c>
      <c r="T3306" s="1">
        <v>444.0</v>
      </c>
      <c r="U3306" s="1">
        <v>3130.0</v>
      </c>
      <c r="V3306" s="1">
        <v>60.0</v>
      </c>
      <c r="W3306" s="1">
        <v>872.0</v>
      </c>
      <c r="X3306" s="1">
        <v>4.0</v>
      </c>
      <c r="Y3306" s="1">
        <v>1.85</v>
      </c>
      <c r="Z3306" s="1">
        <v>7.0</v>
      </c>
    </row>
    <row r="3307" ht="14.25" customHeight="1">
      <c r="A3307" s="1" t="s">
        <v>26</v>
      </c>
      <c r="B3307" s="1" t="s">
        <v>15472</v>
      </c>
      <c r="C3307" s="1" t="s">
        <v>15588</v>
      </c>
      <c r="D3307" s="1">
        <v>399793.0</v>
      </c>
      <c r="E3307" s="1" t="s">
        <v>3238</v>
      </c>
      <c r="F3307" s="1" t="s">
        <v>390</v>
      </c>
      <c r="G3307" s="1" t="s">
        <v>3856</v>
      </c>
      <c r="H3307" s="1" t="s">
        <v>5829</v>
      </c>
      <c r="I3307" s="1">
        <v>2877.0</v>
      </c>
      <c r="J3307" s="1" t="s">
        <v>15589</v>
      </c>
      <c r="K3307" s="1" t="s">
        <v>15590</v>
      </c>
      <c r="L3307" s="1">
        <v>70.0</v>
      </c>
      <c r="M3307" s="1" t="s">
        <v>35</v>
      </c>
      <c r="N3307" s="1" t="s">
        <v>36</v>
      </c>
      <c r="O3307" s="1" t="s">
        <v>628</v>
      </c>
      <c r="P3307" s="1">
        <v>4000000.0</v>
      </c>
      <c r="Q3307" s="1">
        <v>1999.0</v>
      </c>
      <c r="R3307" s="1">
        <v>2000.0</v>
      </c>
      <c r="S3307" s="1">
        <v>811.0</v>
      </c>
      <c r="T3307" s="1">
        <v>687.0</v>
      </c>
      <c r="U3307" s="1">
        <v>4343.0</v>
      </c>
      <c r="V3307" s="1">
        <v>81.0</v>
      </c>
      <c r="W3307" s="1">
        <v>111.0</v>
      </c>
      <c r="X3307" s="1">
        <v>0.0</v>
      </c>
      <c r="Y3307" s="1">
        <v>1.78</v>
      </c>
      <c r="Z3307" s="1">
        <v>5.4</v>
      </c>
    </row>
    <row r="3308" ht="14.25" customHeight="1">
      <c r="A3308" s="1" t="s">
        <v>26</v>
      </c>
      <c r="B3308" s="1" t="s">
        <v>5119</v>
      </c>
      <c r="C3308" s="1" t="s">
        <v>15591</v>
      </c>
      <c r="D3308" s="1">
        <v>371897.0</v>
      </c>
      <c r="E3308" s="1" t="s">
        <v>3238</v>
      </c>
      <c r="F3308" s="1" t="s">
        <v>668</v>
      </c>
      <c r="G3308" s="1" t="s">
        <v>445</v>
      </c>
      <c r="H3308" s="1" t="s">
        <v>15592</v>
      </c>
      <c r="I3308" s="1">
        <v>36494.0</v>
      </c>
      <c r="J3308" s="1" t="s">
        <v>15593</v>
      </c>
      <c r="K3308" s="1" t="s">
        <v>15594</v>
      </c>
      <c r="L3308" s="1">
        <v>118.0</v>
      </c>
      <c r="M3308" s="1" t="s">
        <v>35</v>
      </c>
      <c r="N3308" s="1" t="s">
        <v>36</v>
      </c>
      <c r="O3308" s="1" t="s">
        <v>628</v>
      </c>
      <c r="P3308" s="1">
        <v>4000000.0</v>
      </c>
      <c r="Q3308" s="1">
        <v>2013.0</v>
      </c>
      <c r="R3308" s="1">
        <v>12000.0</v>
      </c>
      <c r="S3308" s="1">
        <v>1000.0</v>
      </c>
      <c r="T3308" s="1">
        <v>221.0</v>
      </c>
      <c r="U3308" s="1">
        <v>13607.0</v>
      </c>
      <c r="V3308" s="1">
        <v>234.0</v>
      </c>
      <c r="W3308" s="1">
        <v>11000.0</v>
      </c>
      <c r="X3308" s="1">
        <v>2.0</v>
      </c>
      <c r="Y3308" s="1">
        <v>2.35</v>
      </c>
      <c r="Z3308" s="1">
        <v>6.9</v>
      </c>
    </row>
    <row r="3309" ht="14.25" customHeight="1">
      <c r="A3309" s="1" t="s">
        <v>26</v>
      </c>
      <c r="B3309" s="1" t="s">
        <v>15595</v>
      </c>
      <c r="C3309" s="1" t="s">
        <v>15596</v>
      </c>
      <c r="D3309" s="1">
        <v>302204.0</v>
      </c>
      <c r="E3309" s="1" t="s">
        <v>4045</v>
      </c>
      <c r="F3309" s="1" t="s">
        <v>14820</v>
      </c>
      <c r="G3309" s="1" t="s">
        <v>11817</v>
      </c>
      <c r="H3309" s="1" t="s">
        <v>15597</v>
      </c>
      <c r="I3309" s="1">
        <v>6705.0</v>
      </c>
      <c r="J3309" s="1" t="s">
        <v>15598</v>
      </c>
      <c r="K3309" s="1" t="s">
        <v>15599</v>
      </c>
      <c r="L3309" s="1">
        <v>53.0</v>
      </c>
      <c r="M3309" s="1" t="s">
        <v>35</v>
      </c>
      <c r="N3309" s="1" t="s">
        <v>54</v>
      </c>
      <c r="O3309" s="1" t="s">
        <v>87</v>
      </c>
      <c r="P3309" s="1">
        <v>3000000.0</v>
      </c>
      <c r="Q3309" s="1">
        <v>1997.0</v>
      </c>
      <c r="R3309" s="1">
        <v>419.0</v>
      </c>
      <c r="S3309" s="1">
        <v>254.0</v>
      </c>
      <c r="T3309" s="1">
        <v>159.0</v>
      </c>
      <c r="U3309" s="1">
        <v>975.0</v>
      </c>
      <c r="V3309" s="1">
        <v>13.0</v>
      </c>
      <c r="W3309" s="1">
        <v>167.0</v>
      </c>
      <c r="X3309" s="1">
        <v>3.0</v>
      </c>
      <c r="Y3309" s="1">
        <v>2.35</v>
      </c>
      <c r="Z3309" s="1">
        <v>6.6</v>
      </c>
    </row>
    <row r="3310" ht="14.25" customHeight="1">
      <c r="A3310" s="1" t="s">
        <v>26</v>
      </c>
      <c r="B3310" s="1" t="s">
        <v>1985</v>
      </c>
      <c r="C3310" s="1" t="s">
        <v>15600</v>
      </c>
      <c r="D3310" s="1">
        <v>354704.0</v>
      </c>
      <c r="E3310" s="1" t="s">
        <v>6249</v>
      </c>
      <c r="F3310" s="1" t="s">
        <v>2682</v>
      </c>
      <c r="G3310" s="1" t="s">
        <v>12938</v>
      </c>
      <c r="H3310" s="1" t="s">
        <v>15601</v>
      </c>
      <c r="I3310" s="1">
        <v>2705.0</v>
      </c>
      <c r="J3310" s="1" t="s">
        <v>15602</v>
      </c>
      <c r="K3310" s="1" t="s">
        <v>15603</v>
      </c>
      <c r="L3310" s="1">
        <v>38.0</v>
      </c>
      <c r="M3310" s="1" t="s">
        <v>35</v>
      </c>
      <c r="N3310" s="1" t="s">
        <v>36</v>
      </c>
      <c r="O3310" s="1" t="s">
        <v>628</v>
      </c>
      <c r="P3310" s="1">
        <v>1300000.0</v>
      </c>
      <c r="Q3310" s="1">
        <v>1987.0</v>
      </c>
      <c r="R3310" s="1">
        <v>10000.0</v>
      </c>
      <c r="S3310" s="1">
        <v>633.0</v>
      </c>
      <c r="T3310" s="1">
        <v>195.0</v>
      </c>
      <c r="U3310" s="1">
        <v>11083.0</v>
      </c>
      <c r="V3310" s="1">
        <v>212.0</v>
      </c>
      <c r="W3310" s="1">
        <v>314.0</v>
      </c>
      <c r="X3310" s="1">
        <v>0.0</v>
      </c>
      <c r="Y3310" s="1">
        <v>1.85</v>
      </c>
      <c r="Z3310" s="1">
        <v>5.9</v>
      </c>
    </row>
    <row r="3311" ht="14.25" customHeight="1">
      <c r="A3311" s="1" t="s">
        <v>26</v>
      </c>
      <c r="B3311" s="1" t="s">
        <v>15604</v>
      </c>
      <c r="C3311" s="1" t="s">
        <v>15605</v>
      </c>
      <c r="D3311" s="1">
        <v>265107.0</v>
      </c>
      <c r="E3311" s="1" t="s">
        <v>15606</v>
      </c>
      <c r="F3311" s="1" t="s">
        <v>6872</v>
      </c>
      <c r="G3311" s="1" t="s">
        <v>15607</v>
      </c>
      <c r="H3311" s="1" t="s">
        <v>15608</v>
      </c>
      <c r="I3311" s="1">
        <v>4617.0</v>
      </c>
      <c r="J3311" s="1" t="s">
        <v>15609</v>
      </c>
      <c r="K3311" s="1" t="s">
        <v>15610</v>
      </c>
      <c r="L3311" s="1">
        <v>93.0</v>
      </c>
      <c r="M3311" s="1" t="s">
        <v>35</v>
      </c>
      <c r="N3311" s="1" t="s">
        <v>362</v>
      </c>
      <c r="O3311" s="1" t="s">
        <v>12164</v>
      </c>
      <c r="P3311" s="1">
        <v>1500000.0</v>
      </c>
      <c r="Q3311" s="1">
        <v>2000.0</v>
      </c>
      <c r="R3311" s="1">
        <v>945.0</v>
      </c>
      <c r="S3311" s="1">
        <v>774.0</v>
      </c>
      <c r="T3311" s="1">
        <v>209.0</v>
      </c>
      <c r="U3311" s="1">
        <v>2282.0</v>
      </c>
      <c r="V3311" s="1">
        <v>0.0</v>
      </c>
      <c r="W3311" s="1">
        <v>614.0</v>
      </c>
      <c r="X3311" s="1">
        <v>1.0</v>
      </c>
      <c r="Y3311" s="1">
        <v>1.85</v>
      </c>
      <c r="Z3311" s="1">
        <v>6.3</v>
      </c>
    </row>
    <row r="3312" ht="14.25" customHeight="1">
      <c r="A3312" s="1" t="s">
        <v>26</v>
      </c>
      <c r="B3312" s="1" t="s">
        <v>8622</v>
      </c>
      <c r="C3312" s="1" t="s">
        <v>15611</v>
      </c>
      <c r="D3312" s="1">
        <v>185577.0</v>
      </c>
      <c r="E3312" s="1" t="s">
        <v>1885</v>
      </c>
      <c r="F3312" s="1" t="s">
        <v>618</v>
      </c>
      <c r="G3312" s="1" t="s">
        <v>3058</v>
      </c>
      <c r="H3312" s="1" t="s">
        <v>8354</v>
      </c>
      <c r="I3312" s="1">
        <v>2133.0</v>
      </c>
      <c r="J3312" s="1" t="s">
        <v>15612</v>
      </c>
      <c r="K3312" s="1" t="s">
        <v>15613</v>
      </c>
      <c r="L3312" s="1">
        <v>31.0</v>
      </c>
      <c r="M3312" s="1" t="s">
        <v>35</v>
      </c>
      <c r="N3312" s="1" t="s">
        <v>54</v>
      </c>
      <c r="O3312" s="1" t="s">
        <v>628</v>
      </c>
      <c r="P3312" s="1">
        <v>4000000.0</v>
      </c>
      <c r="Q3312" s="1">
        <v>1999.0</v>
      </c>
      <c r="R3312" s="1">
        <v>759.0</v>
      </c>
      <c r="S3312" s="1">
        <v>638.0</v>
      </c>
      <c r="T3312" s="1">
        <v>428.0</v>
      </c>
      <c r="U3312" s="1">
        <v>2805.0</v>
      </c>
      <c r="V3312" s="1">
        <v>8.0</v>
      </c>
      <c r="W3312" s="1">
        <v>182.0</v>
      </c>
      <c r="X3312" s="1">
        <v>1.0</v>
      </c>
      <c r="Y3312" s="1">
        <v>1.85</v>
      </c>
      <c r="Z3312" s="1">
        <v>6.3</v>
      </c>
    </row>
    <row r="3313" ht="14.25" customHeight="1">
      <c r="A3313" s="1" t="s">
        <v>26</v>
      </c>
      <c r="B3313" s="1" t="s">
        <v>15614</v>
      </c>
      <c r="C3313" s="1" t="s">
        <v>15615</v>
      </c>
      <c r="D3313" s="1">
        <v>58214.0</v>
      </c>
      <c r="E3313" s="1" t="s">
        <v>2045</v>
      </c>
      <c r="F3313" s="1" t="s">
        <v>1404</v>
      </c>
      <c r="G3313" s="1" t="s">
        <v>15616</v>
      </c>
      <c r="H3313" s="1" t="s">
        <v>15617</v>
      </c>
      <c r="I3313" s="1">
        <v>34224.0</v>
      </c>
      <c r="J3313" s="1" t="s">
        <v>15618</v>
      </c>
      <c r="K3313" s="1" t="s">
        <v>15619</v>
      </c>
      <c r="L3313" s="1">
        <v>137.0</v>
      </c>
      <c r="M3313" s="1" t="s">
        <v>35</v>
      </c>
      <c r="N3313" s="1" t="s">
        <v>36</v>
      </c>
      <c r="O3313" s="1" t="s">
        <v>628</v>
      </c>
      <c r="P3313" s="1">
        <v>9500000.0</v>
      </c>
      <c r="Q3313" s="1">
        <v>2010.0</v>
      </c>
      <c r="R3313" s="1">
        <v>617.0</v>
      </c>
      <c r="S3313" s="1">
        <v>163.0</v>
      </c>
      <c r="T3313" s="1">
        <v>67.0</v>
      </c>
      <c r="U3313" s="1">
        <v>916.0</v>
      </c>
      <c r="V3313" s="1">
        <v>0.0</v>
      </c>
      <c r="W3313" s="1">
        <v>10000.0</v>
      </c>
      <c r="X3313" s="1">
        <v>0.0</v>
      </c>
      <c r="Y3313" s="1">
        <v>2.35</v>
      </c>
      <c r="Z3313" s="1">
        <v>7.0</v>
      </c>
    </row>
    <row r="3314" ht="14.25" customHeight="1">
      <c r="A3314" s="1" t="s">
        <v>26</v>
      </c>
      <c r="B3314" s="1" t="s">
        <v>2962</v>
      </c>
      <c r="C3314" s="1" t="s">
        <v>15620</v>
      </c>
      <c r="D3314" s="1">
        <v>75078.0</v>
      </c>
      <c r="E3314" s="1" t="s">
        <v>1885</v>
      </c>
      <c r="F3314" s="1" t="s">
        <v>1793</v>
      </c>
      <c r="G3314" s="1" t="s">
        <v>2965</v>
      </c>
      <c r="H3314" s="1" t="s">
        <v>9108</v>
      </c>
      <c r="I3314" s="1">
        <v>1398.0</v>
      </c>
      <c r="J3314" s="1" t="s">
        <v>15621</v>
      </c>
      <c r="K3314" s="1" t="s">
        <v>15622</v>
      </c>
      <c r="L3314" s="1">
        <v>26.0</v>
      </c>
      <c r="M3314" s="1" t="s">
        <v>35</v>
      </c>
      <c r="N3314" s="1" t="s">
        <v>36</v>
      </c>
      <c r="O3314" s="1" t="s">
        <v>628</v>
      </c>
      <c r="P3314" s="1">
        <v>1.4E7</v>
      </c>
      <c r="Q3314" s="1">
        <v>2000.0</v>
      </c>
      <c r="R3314" s="1">
        <v>736.0</v>
      </c>
      <c r="S3314" s="1">
        <v>450.0</v>
      </c>
      <c r="T3314" s="1">
        <v>70.0</v>
      </c>
      <c r="U3314" s="1">
        <v>1403.0</v>
      </c>
      <c r="V3314" s="1">
        <v>272.0</v>
      </c>
      <c r="W3314" s="1">
        <v>132.0</v>
      </c>
      <c r="X3314" s="1">
        <v>4.0</v>
      </c>
      <c r="Y3314" s="1">
        <v>1.85</v>
      </c>
      <c r="Z3314" s="1">
        <v>6.3</v>
      </c>
    </row>
    <row r="3315" ht="14.25" customHeight="1">
      <c r="A3315" s="1" t="s">
        <v>26</v>
      </c>
      <c r="B3315" s="1" t="s">
        <v>9470</v>
      </c>
      <c r="C3315" s="1" t="s">
        <v>15623</v>
      </c>
      <c r="D3315" s="1">
        <v>317125.0</v>
      </c>
      <c r="E3315" s="1" t="s">
        <v>206</v>
      </c>
      <c r="F3315" s="1" t="s">
        <v>423</v>
      </c>
      <c r="G3315" s="1" t="s">
        <v>200</v>
      </c>
      <c r="H3315" s="1" t="s">
        <v>988</v>
      </c>
      <c r="I3315" s="1">
        <v>23334.0</v>
      </c>
      <c r="J3315" s="1" t="s">
        <v>15624</v>
      </c>
      <c r="K3315" s="1" t="s">
        <v>15625</v>
      </c>
      <c r="L3315" s="1">
        <v>87.0</v>
      </c>
      <c r="M3315" s="1" t="s">
        <v>35</v>
      </c>
      <c r="N3315" s="1" t="s">
        <v>362</v>
      </c>
      <c r="O3315" s="1" t="s">
        <v>628</v>
      </c>
      <c r="P3315" s="1">
        <v>1.6E7</v>
      </c>
      <c r="Q3315" s="1">
        <v>2013.0</v>
      </c>
      <c r="R3315" s="1">
        <v>18000.0</v>
      </c>
      <c r="S3315" s="1">
        <v>6000.0</v>
      </c>
      <c r="T3315" s="1">
        <v>748.0</v>
      </c>
      <c r="U3315" s="1">
        <v>25269.0</v>
      </c>
      <c r="V3315" s="1">
        <v>105.0</v>
      </c>
      <c r="W3315" s="1">
        <v>0.0</v>
      </c>
      <c r="X3315" s="1">
        <v>0.0</v>
      </c>
      <c r="Y3315" s="1">
        <v>2.35</v>
      </c>
      <c r="Z3315" s="1">
        <v>6.2</v>
      </c>
    </row>
    <row r="3316" ht="14.25" customHeight="1">
      <c r="A3316" s="1" t="s">
        <v>26</v>
      </c>
      <c r="B3316" s="1" t="s">
        <v>15626</v>
      </c>
      <c r="C3316" s="1" t="s">
        <v>15627</v>
      </c>
      <c r="D3316" s="1">
        <v>146402.0</v>
      </c>
      <c r="E3316" s="1" t="s">
        <v>2422</v>
      </c>
      <c r="F3316" s="1" t="s">
        <v>15628</v>
      </c>
      <c r="G3316" s="1" t="s">
        <v>15629</v>
      </c>
      <c r="H3316" s="1" t="s">
        <v>15630</v>
      </c>
      <c r="I3316" s="1">
        <v>9913.0</v>
      </c>
      <c r="J3316" s="1" t="s">
        <v>15631</v>
      </c>
      <c r="K3316" s="1" t="s">
        <v>15632</v>
      </c>
      <c r="L3316" s="1">
        <v>38.0</v>
      </c>
      <c r="M3316" s="1" t="s">
        <v>2648</v>
      </c>
      <c r="N3316" s="1" t="s">
        <v>3393</v>
      </c>
      <c r="O3316" s="1" t="s">
        <v>628</v>
      </c>
      <c r="P3316" s="1">
        <v>4000000.0</v>
      </c>
      <c r="Q3316" s="1">
        <v>2002.0</v>
      </c>
      <c r="R3316" s="1">
        <v>331.0</v>
      </c>
      <c r="S3316" s="1">
        <v>27.0</v>
      </c>
      <c r="T3316" s="1">
        <v>9.0</v>
      </c>
      <c r="U3316" s="1">
        <v>387.0</v>
      </c>
      <c r="V3316" s="1">
        <v>58.0</v>
      </c>
      <c r="W3316" s="1">
        <v>0.0</v>
      </c>
      <c r="X3316" s="1">
        <v>1.0</v>
      </c>
      <c r="Y3316" s="1">
        <v>1.85</v>
      </c>
      <c r="Z3316" s="1">
        <v>7.7</v>
      </c>
    </row>
    <row r="3317" ht="14.25" customHeight="1">
      <c r="A3317" s="1" t="s">
        <v>26</v>
      </c>
      <c r="B3317" s="1" t="s">
        <v>15633</v>
      </c>
      <c r="C3317" s="1" t="s">
        <v>15634</v>
      </c>
      <c r="D3317" s="1">
        <v>18469.0</v>
      </c>
      <c r="E3317" s="1" t="s">
        <v>745</v>
      </c>
      <c r="F3317" s="1" t="s">
        <v>15635</v>
      </c>
      <c r="G3317" s="1" t="s">
        <v>15636</v>
      </c>
      <c r="H3317" s="1" t="s">
        <v>12798</v>
      </c>
      <c r="I3317" s="1">
        <v>34263.0</v>
      </c>
      <c r="J3317" s="1" t="s">
        <v>15637</v>
      </c>
      <c r="K3317" s="1" t="s">
        <v>15638</v>
      </c>
      <c r="L3317" s="1">
        <v>141.0</v>
      </c>
      <c r="M3317" s="1" t="s">
        <v>35</v>
      </c>
      <c r="N3317" s="1" t="s">
        <v>36</v>
      </c>
      <c r="O3317" s="1" t="s">
        <v>628</v>
      </c>
      <c r="P3317" s="1">
        <v>650000.0</v>
      </c>
      <c r="Q3317" s="1">
        <v>2010.0</v>
      </c>
      <c r="R3317" s="1">
        <v>530.0</v>
      </c>
      <c r="S3317" s="1">
        <v>238.0</v>
      </c>
      <c r="T3317" s="1">
        <v>65.0</v>
      </c>
      <c r="U3317" s="1">
        <v>1038.0</v>
      </c>
      <c r="V3317" s="1">
        <v>53.0</v>
      </c>
      <c r="W3317" s="1">
        <v>0.0</v>
      </c>
      <c r="X3317" s="1">
        <v>1.0</v>
      </c>
      <c r="Y3317" s="1">
        <v>2.35</v>
      </c>
      <c r="Z3317" s="1">
        <v>6.5</v>
      </c>
    </row>
    <row r="3318" ht="14.25" customHeight="1">
      <c r="A3318" s="1" t="s">
        <v>26</v>
      </c>
      <c r="B3318" s="1" t="s">
        <v>6334</v>
      </c>
      <c r="C3318" s="1" t="s">
        <v>15639</v>
      </c>
      <c r="D3318" s="1">
        <v>12836.0</v>
      </c>
      <c r="E3318" s="1" t="s">
        <v>1474</v>
      </c>
      <c r="F3318" s="1" t="s">
        <v>563</v>
      </c>
      <c r="G3318" s="1" t="s">
        <v>6877</v>
      </c>
      <c r="H3318" s="1" t="s">
        <v>5262</v>
      </c>
      <c r="I3318" s="1">
        <v>1686.0</v>
      </c>
      <c r="J3318" s="1" t="s">
        <v>15640</v>
      </c>
      <c r="K3318" s="1" t="s">
        <v>15641</v>
      </c>
      <c r="L3318" s="1">
        <v>28.0</v>
      </c>
      <c r="M3318" s="1" t="s">
        <v>35</v>
      </c>
      <c r="N3318" s="1" t="s">
        <v>36</v>
      </c>
      <c r="O3318" s="1" t="s">
        <v>628</v>
      </c>
      <c r="P3318" s="1">
        <v>4000000.0</v>
      </c>
      <c r="Q3318" s="1">
        <v>1997.0</v>
      </c>
      <c r="R3318" s="1">
        <v>18000.0</v>
      </c>
      <c r="S3318" s="1">
        <v>759.0</v>
      </c>
      <c r="T3318" s="1">
        <v>599.0</v>
      </c>
      <c r="U3318" s="1">
        <v>20135.0</v>
      </c>
      <c r="V3318" s="1">
        <v>19.0</v>
      </c>
      <c r="W3318" s="1">
        <v>161.0</v>
      </c>
      <c r="X3318" s="1">
        <v>1.0</v>
      </c>
      <c r="Y3318" s="1">
        <v>1.85</v>
      </c>
      <c r="Z3318" s="1">
        <v>5.8</v>
      </c>
    </row>
    <row r="3319" ht="14.25" customHeight="1">
      <c r="A3319" s="1" t="s">
        <v>26</v>
      </c>
      <c r="B3319" s="1" t="s">
        <v>15642</v>
      </c>
      <c r="C3319" s="1" t="s">
        <v>15643</v>
      </c>
      <c r="D3319" s="1">
        <v>20262.0</v>
      </c>
      <c r="E3319" s="1" t="s">
        <v>3238</v>
      </c>
      <c r="F3319" s="1" t="s">
        <v>14500</v>
      </c>
      <c r="G3319" s="1" t="s">
        <v>2309</v>
      </c>
      <c r="H3319" s="1" t="s">
        <v>15644</v>
      </c>
      <c r="I3319" s="1">
        <v>1738.0</v>
      </c>
      <c r="J3319" s="1" t="s">
        <v>15645</v>
      </c>
      <c r="K3319" s="1" t="s">
        <v>15646</v>
      </c>
      <c r="L3319" s="1">
        <v>10.0</v>
      </c>
      <c r="M3319" s="1" t="s">
        <v>14505</v>
      </c>
      <c r="N3319" s="1" t="s">
        <v>11794</v>
      </c>
      <c r="O3319" s="1" t="s">
        <v>12164</v>
      </c>
      <c r="P3319" s="1">
        <v>4000000.0</v>
      </c>
      <c r="Q3319" s="1">
        <v>2014.0</v>
      </c>
      <c r="R3319" s="1">
        <v>585.0</v>
      </c>
      <c r="S3319" s="1">
        <v>29.0</v>
      </c>
      <c r="T3319" s="1">
        <v>9.0</v>
      </c>
      <c r="U3319" s="1">
        <v>629.0</v>
      </c>
      <c r="V3319" s="1">
        <v>19.0</v>
      </c>
      <c r="W3319" s="1">
        <v>278.0</v>
      </c>
      <c r="X3319" s="1">
        <v>2.0</v>
      </c>
      <c r="Y3319" s="1">
        <v>2.35</v>
      </c>
      <c r="Z3319" s="1">
        <v>6.1</v>
      </c>
    </row>
    <row r="3320" ht="14.25" customHeight="1">
      <c r="A3320" s="1" t="s">
        <v>26</v>
      </c>
      <c r="B3320" s="1" t="s">
        <v>15647</v>
      </c>
      <c r="C3320" s="1" t="s">
        <v>15648</v>
      </c>
      <c r="D3320" s="1">
        <v>1.98655278E8</v>
      </c>
      <c r="E3320" s="1" t="s">
        <v>1859</v>
      </c>
      <c r="F3320" s="1" t="s">
        <v>15649</v>
      </c>
      <c r="G3320" s="1" t="s">
        <v>15650</v>
      </c>
      <c r="H3320" s="1" t="s">
        <v>15651</v>
      </c>
      <c r="I3320" s="1">
        <v>215340.0</v>
      </c>
      <c r="J3320" s="1" t="s">
        <v>15652</v>
      </c>
      <c r="K3320" s="1" t="s">
        <v>15653</v>
      </c>
      <c r="L3320" s="1">
        <v>706.0</v>
      </c>
      <c r="M3320" s="1" t="s">
        <v>35</v>
      </c>
      <c r="N3320" s="1" t="s">
        <v>36</v>
      </c>
      <c r="O3320" s="1" t="s">
        <v>269</v>
      </c>
      <c r="P3320" s="1">
        <v>3977000.0</v>
      </c>
      <c r="Q3320" s="1">
        <v>1939.0</v>
      </c>
      <c r="R3320" s="1">
        <v>503.0</v>
      </c>
      <c r="S3320" s="1">
        <v>384.0</v>
      </c>
      <c r="T3320" s="1">
        <v>248.0</v>
      </c>
      <c r="U3320" s="1">
        <v>1862.0</v>
      </c>
      <c r="V3320" s="1">
        <v>149.0</v>
      </c>
      <c r="W3320" s="1">
        <v>16000.0</v>
      </c>
      <c r="X3320" s="1">
        <v>1.0</v>
      </c>
      <c r="Y3320" s="1">
        <v>1.37</v>
      </c>
      <c r="Z3320" s="1">
        <v>8.2</v>
      </c>
    </row>
    <row r="3321" ht="14.25" customHeight="1">
      <c r="A3321" s="1" t="s">
        <v>26</v>
      </c>
      <c r="B3321" s="1" t="s">
        <v>15654</v>
      </c>
      <c r="C3321" s="1" t="s">
        <v>15655</v>
      </c>
      <c r="D3321" s="1">
        <v>143653.0</v>
      </c>
      <c r="E3321" s="1" t="s">
        <v>1474</v>
      </c>
      <c r="F3321" s="1" t="s">
        <v>13099</v>
      </c>
      <c r="G3321" s="1" t="s">
        <v>367</v>
      </c>
      <c r="H3321" s="1" t="s">
        <v>15656</v>
      </c>
      <c r="I3321" s="1">
        <v>1177.0</v>
      </c>
      <c r="J3321" s="1" t="s">
        <v>15657</v>
      </c>
      <c r="K3321" s="1" t="s">
        <v>15658</v>
      </c>
      <c r="L3321" s="1">
        <v>10.0</v>
      </c>
      <c r="M3321" s="1" t="s">
        <v>35</v>
      </c>
      <c r="N3321" s="1" t="s">
        <v>54</v>
      </c>
      <c r="O3321" s="1" t="s">
        <v>37</v>
      </c>
      <c r="P3321" s="1">
        <v>4000000.0</v>
      </c>
      <c r="Q3321" s="1">
        <v>2014.0</v>
      </c>
      <c r="R3321" s="1">
        <v>507.0</v>
      </c>
      <c r="S3321" s="1">
        <v>236.0</v>
      </c>
      <c r="T3321" s="1">
        <v>196.0</v>
      </c>
      <c r="U3321" s="1">
        <v>1281.0</v>
      </c>
      <c r="V3321" s="1">
        <v>10.0</v>
      </c>
      <c r="W3321" s="1">
        <v>0.0</v>
      </c>
      <c r="X3321" s="1">
        <v>0.0</v>
      </c>
      <c r="Y3321" s="1">
        <v>2.35</v>
      </c>
      <c r="Z3321" s="1">
        <v>6.0</v>
      </c>
    </row>
    <row r="3322" ht="14.25" customHeight="1">
      <c r="A3322" s="1" t="s">
        <v>26</v>
      </c>
      <c r="B3322" s="1" t="s">
        <v>15659</v>
      </c>
      <c r="C3322" s="1" t="s">
        <v>15660</v>
      </c>
      <c r="D3322" s="1">
        <v>14873.0</v>
      </c>
      <c r="E3322" s="1" t="s">
        <v>15661</v>
      </c>
      <c r="F3322" s="1" t="s">
        <v>1385</v>
      </c>
      <c r="G3322" s="1" t="s">
        <v>15662</v>
      </c>
      <c r="H3322" s="1" t="s">
        <v>15663</v>
      </c>
      <c r="I3322" s="1">
        <v>5294.0</v>
      </c>
      <c r="J3322" s="1" t="s">
        <v>15664</v>
      </c>
      <c r="K3322" s="1" t="s">
        <v>15665</v>
      </c>
      <c r="L3322" s="1">
        <v>67.0</v>
      </c>
      <c r="M3322" s="1" t="s">
        <v>35</v>
      </c>
      <c r="N3322" s="1" t="s">
        <v>36</v>
      </c>
      <c r="O3322" s="1" t="s">
        <v>5661</v>
      </c>
      <c r="P3322" s="1">
        <v>3800000.0</v>
      </c>
      <c r="Q3322" s="1">
        <v>1965.0</v>
      </c>
      <c r="R3322" s="1">
        <v>773.0</v>
      </c>
      <c r="S3322" s="1">
        <v>575.0</v>
      </c>
      <c r="T3322" s="1">
        <v>288.0</v>
      </c>
      <c r="U3322" s="1">
        <v>2888.0</v>
      </c>
      <c r="V3322" s="1">
        <v>541.0</v>
      </c>
      <c r="W3322" s="1">
        <v>251.0</v>
      </c>
      <c r="X3322" s="1">
        <v>2.0</v>
      </c>
      <c r="Y3322" s="1">
        <v>2.35</v>
      </c>
      <c r="Z3322" s="1">
        <v>6.8</v>
      </c>
    </row>
    <row r="3323" ht="14.25" customHeight="1">
      <c r="A3323" s="1" t="s">
        <v>26</v>
      </c>
      <c r="B3323" s="1" t="s">
        <v>15666</v>
      </c>
      <c r="C3323" s="1" t="s">
        <v>15667</v>
      </c>
      <c r="D3323" s="1">
        <v>8000000.0</v>
      </c>
      <c r="E3323" s="1" t="s">
        <v>15668</v>
      </c>
      <c r="F3323" s="1" t="s">
        <v>15669</v>
      </c>
      <c r="G3323" s="1" t="s">
        <v>15670</v>
      </c>
      <c r="H3323" s="1" t="s">
        <v>15671</v>
      </c>
      <c r="I3323" s="1">
        <v>3167.0</v>
      </c>
      <c r="J3323" s="1" t="s">
        <v>15672</v>
      </c>
      <c r="K3323" s="1" t="s">
        <v>15673</v>
      </c>
      <c r="L3323" s="1">
        <v>90.0</v>
      </c>
      <c r="M3323" s="1" t="s">
        <v>35</v>
      </c>
      <c r="N3323" s="1" t="s">
        <v>36</v>
      </c>
      <c r="O3323" s="1" t="s">
        <v>15674</v>
      </c>
      <c r="P3323" s="1">
        <v>3768785.0</v>
      </c>
      <c r="Q3323" s="1">
        <v>1950.0</v>
      </c>
      <c r="R3323" s="1">
        <v>277.0</v>
      </c>
      <c r="S3323" s="1">
        <v>244.0</v>
      </c>
      <c r="T3323" s="1">
        <v>83.0</v>
      </c>
      <c r="U3323" s="1">
        <v>731.0</v>
      </c>
      <c r="V3323" s="1">
        <v>24.0</v>
      </c>
      <c r="W3323" s="1">
        <v>456.0</v>
      </c>
      <c r="X3323" s="1">
        <v>0.0</v>
      </c>
      <c r="Y3323" s="1">
        <v>1.37</v>
      </c>
      <c r="Z3323" s="1">
        <v>7.0</v>
      </c>
    </row>
    <row r="3324" ht="14.25" customHeight="1">
      <c r="A3324" s="1" t="s">
        <v>26</v>
      </c>
      <c r="B3324" s="1" t="s">
        <v>15675</v>
      </c>
      <c r="C3324" s="1" t="s">
        <v>15676</v>
      </c>
      <c r="D3324" s="1">
        <v>37606.0</v>
      </c>
      <c r="E3324" s="1" t="s">
        <v>8521</v>
      </c>
      <c r="F3324" s="1" t="s">
        <v>2893</v>
      </c>
      <c r="G3324" s="1" t="s">
        <v>7707</v>
      </c>
      <c r="H3324" s="1" t="s">
        <v>12296</v>
      </c>
      <c r="I3324" s="1">
        <v>31836.0</v>
      </c>
      <c r="J3324" s="1" t="s">
        <v>15677</v>
      </c>
      <c r="K3324" s="1" t="s">
        <v>15678</v>
      </c>
      <c r="L3324" s="1">
        <v>90.0</v>
      </c>
      <c r="M3324" s="1" t="s">
        <v>35</v>
      </c>
      <c r="N3324" s="1" t="s">
        <v>260</v>
      </c>
      <c r="O3324" s="1" t="s">
        <v>628</v>
      </c>
      <c r="P3324" s="1">
        <v>3500000.0</v>
      </c>
      <c r="Q3324" s="1">
        <v>2009.0</v>
      </c>
      <c r="R3324" s="1">
        <v>963.0</v>
      </c>
      <c r="S3324" s="1">
        <v>654.0</v>
      </c>
      <c r="T3324" s="1">
        <v>388.0</v>
      </c>
      <c r="U3324" s="1">
        <v>2658.0</v>
      </c>
      <c r="V3324" s="1">
        <v>89.0</v>
      </c>
      <c r="W3324" s="1">
        <v>0.0</v>
      </c>
      <c r="X3324" s="1">
        <v>0.0</v>
      </c>
      <c r="Y3324" s="1">
        <v>2.35</v>
      </c>
      <c r="Z3324" s="1">
        <v>6.8</v>
      </c>
    </row>
    <row r="3325" ht="14.25" customHeight="1">
      <c r="A3325" s="1" t="s">
        <v>26</v>
      </c>
      <c r="B3325" s="1" t="s">
        <v>15679</v>
      </c>
      <c r="C3325" s="1" t="s">
        <v>15680</v>
      </c>
      <c r="D3325" s="1">
        <v>2956000.0</v>
      </c>
      <c r="E3325" s="1" t="s">
        <v>15681</v>
      </c>
      <c r="F3325" s="1" t="s">
        <v>15682</v>
      </c>
      <c r="G3325" s="1" t="s">
        <v>15683</v>
      </c>
      <c r="H3325" s="1" t="s">
        <v>15684</v>
      </c>
      <c r="I3325" s="1">
        <v>3258.0</v>
      </c>
      <c r="J3325" s="1" t="s">
        <v>15685</v>
      </c>
      <c r="K3325" s="1" t="s">
        <v>15686</v>
      </c>
      <c r="L3325" s="1">
        <v>54.0</v>
      </c>
      <c r="M3325" s="1" t="s">
        <v>35</v>
      </c>
      <c r="N3325" s="1" t="s">
        <v>36</v>
      </c>
      <c r="O3325" s="1" t="s">
        <v>5661</v>
      </c>
      <c r="P3325" s="1">
        <v>3700000.0</v>
      </c>
      <c r="Q3325" s="1">
        <v>1948.0</v>
      </c>
      <c r="R3325" s="1">
        <v>89.0</v>
      </c>
      <c r="S3325" s="1">
        <v>78.0</v>
      </c>
      <c r="T3325" s="1">
        <v>48.0</v>
      </c>
      <c r="U3325" s="1">
        <v>282.0</v>
      </c>
      <c r="V3325" s="1">
        <v>136.0</v>
      </c>
      <c r="W3325" s="1">
        <v>359.0</v>
      </c>
      <c r="X3325" s="1">
        <v>0.0</v>
      </c>
      <c r="Y3325" s="1">
        <v>1.37</v>
      </c>
      <c r="Z3325" s="1">
        <v>7.1</v>
      </c>
    </row>
    <row r="3326" ht="14.25" customHeight="1">
      <c r="A3326" s="1" t="s">
        <v>26</v>
      </c>
      <c r="B3326" s="1" t="s">
        <v>15687</v>
      </c>
      <c r="C3326" s="1" t="s">
        <v>15688</v>
      </c>
      <c r="D3326" s="1">
        <v>19959.0</v>
      </c>
      <c r="E3326" s="1" t="s">
        <v>3238</v>
      </c>
      <c r="F3326" s="1" t="s">
        <v>15689</v>
      </c>
      <c r="G3326" s="1" t="s">
        <v>10746</v>
      </c>
      <c r="H3326" s="1" t="s">
        <v>6225</v>
      </c>
      <c r="I3326" s="1">
        <v>3579.0</v>
      </c>
      <c r="J3326" s="1" t="s">
        <v>15690</v>
      </c>
      <c r="K3326" s="1" t="s">
        <v>15691</v>
      </c>
      <c r="L3326" s="1">
        <v>14.0</v>
      </c>
      <c r="M3326" s="1" t="s">
        <v>35</v>
      </c>
      <c r="N3326" s="1" t="s">
        <v>15692</v>
      </c>
      <c r="O3326" s="1" t="s">
        <v>628</v>
      </c>
      <c r="P3326" s="1">
        <v>3800000.0</v>
      </c>
      <c r="Q3326" s="1">
        <v>2009.0</v>
      </c>
      <c r="R3326" s="1">
        <v>117.0</v>
      </c>
      <c r="S3326" s="1">
        <v>64.0</v>
      </c>
      <c r="T3326" s="1">
        <v>64.0</v>
      </c>
      <c r="U3326" s="1">
        <v>298.0</v>
      </c>
      <c r="V3326" s="1">
        <v>29.0</v>
      </c>
      <c r="W3326" s="1">
        <v>0.0</v>
      </c>
      <c r="X3326" s="1">
        <v>2.0</v>
      </c>
      <c r="Y3326" s="1">
        <v>2.35</v>
      </c>
      <c r="Z3326" s="1">
        <v>6.9</v>
      </c>
    </row>
    <row r="3327" ht="14.25" customHeight="1">
      <c r="A3327" s="1" t="s">
        <v>26</v>
      </c>
      <c r="B3327" s="1" t="s">
        <v>10806</v>
      </c>
      <c r="C3327" s="1" t="s">
        <v>15693</v>
      </c>
      <c r="D3327" s="1">
        <v>2706659.0</v>
      </c>
      <c r="E3327" s="1" t="s">
        <v>2422</v>
      </c>
      <c r="F3327" s="1" t="s">
        <v>693</v>
      </c>
      <c r="G3327" s="1" t="s">
        <v>4496</v>
      </c>
      <c r="H3327" s="1" t="s">
        <v>1480</v>
      </c>
      <c r="I3327" s="1">
        <v>17770.0</v>
      </c>
      <c r="J3327" s="1" t="s">
        <v>15694</v>
      </c>
      <c r="K3327" s="1" t="s">
        <v>15695</v>
      </c>
      <c r="L3327" s="1">
        <v>172.0</v>
      </c>
      <c r="M3327" s="1" t="s">
        <v>35</v>
      </c>
      <c r="N3327" s="1" t="s">
        <v>54</v>
      </c>
      <c r="O3327" s="1" t="s">
        <v>628</v>
      </c>
      <c r="P3327" s="1">
        <v>2000000.0</v>
      </c>
      <c r="Q3327" s="1">
        <v>2006.0</v>
      </c>
      <c r="R3327" s="1">
        <v>3000.0</v>
      </c>
      <c r="S3327" s="1">
        <v>796.0</v>
      </c>
      <c r="T3327" s="1">
        <v>480.0</v>
      </c>
      <c r="U3327" s="1">
        <v>5977.0</v>
      </c>
      <c r="V3327" s="1">
        <v>13.0</v>
      </c>
      <c r="W3327" s="1">
        <v>0.0</v>
      </c>
      <c r="X3327" s="1">
        <v>0.0</v>
      </c>
      <c r="Y3327" s="1">
        <v>1.85</v>
      </c>
      <c r="Z3327" s="1">
        <v>6.9</v>
      </c>
    </row>
    <row r="3328" ht="14.25" customHeight="1">
      <c r="A3328" s="1" t="s">
        <v>26</v>
      </c>
      <c r="B3328" s="1" t="s">
        <v>4844</v>
      </c>
      <c r="C3328" s="1" t="s">
        <v>6055</v>
      </c>
      <c r="D3328" s="1">
        <v>6.1094903E7</v>
      </c>
      <c r="E3328" s="1" t="s">
        <v>1112</v>
      </c>
      <c r="F3328" s="1" t="s">
        <v>220</v>
      </c>
      <c r="G3328" s="1" t="s">
        <v>114</v>
      </c>
      <c r="H3328" s="1" t="s">
        <v>6056</v>
      </c>
      <c r="I3328" s="1">
        <v>210548.0</v>
      </c>
      <c r="J3328" s="1" t="s">
        <v>6057</v>
      </c>
      <c r="K3328" s="1" t="s">
        <v>6058</v>
      </c>
      <c r="L3328" s="1">
        <v>332.0</v>
      </c>
      <c r="M3328" s="1" t="s">
        <v>35</v>
      </c>
      <c r="N3328" s="1" t="s">
        <v>54</v>
      </c>
      <c r="O3328" s="1" t="s">
        <v>37</v>
      </c>
      <c r="P3328" s="1">
        <v>3.0E7</v>
      </c>
      <c r="Q3328" s="1">
        <v>2011.0</v>
      </c>
      <c r="R3328" s="1">
        <v>14000.0</v>
      </c>
      <c r="S3328" s="1">
        <v>902.0</v>
      </c>
      <c r="T3328" s="1">
        <v>767.0</v>
      </c>
      <c r="U3328" s="1">
        <v>17151.0</v>
      </c>
      <c r="V3328" s="1">
        <v>174.0</v>
      </c>
      <c r="W3328" s="1">
        <v>29000.0</v>
      </c>
      <c r="X3328" s="1">
        <v>3.0</v>
      </c>
      <c r="Y3328" s="1">
        <v>2.35</v>
      </c>
      <c r="Z3328" s="1">
        <v>6.9</v>
      </c>
    </row>
    <row r="3329" ht="14.25" customHeight="1">
      <c r="A3329" s="1" t="s">
        <v>26</v>
      </c>
      <c r="B3329" s="1" t="s">
        <v>11849</v>
      </c>
      <c r="C3329" s="1" t="s">
        <v>15696</v>
      </c>
      <c r="D3329" s="1">
        <v>4.5857453E7</v>
      </c>
      <c r="E3329" s="1" t="s">
        <v>8240</v>
      </c>
      <c r="F3329" s="1" t="s">
        <v>130</v>
      </c>
      <c r="G3329" s="1" t="s">
        <v>182</v>
      </c>
      <c r="H3329" s="1" t="s">
        <v>15697</v>
      </c>
      <c r="I3329" s="1">
        <v>82232.0</v>
      </c>
      <c r="J3329" s="1" t="s">
        <v>15698</v>
      </c>
      <c r="K3329" s="1" t="s">
        <v>15699</v>
      </c>
      <c r="L3329" s="1">
        <v>174.0</v>
      </c>
      <c r="M3329" s="1" t="s">
        <v>35</v>
      </c>
      <c r="N3329" s="1" t="s">
        <v>54</v>
      </c>
      <c r="O3329" s="1" t="s">
        <v>628</v>
      </c>
      <c r="P3329" s="1">
        <v>3500000.0</v>
      </c>
      <c r="Q3329" s="1">
        <v>1997.0</v>
      </c>
      <c r="R3329" s="1">
        <v>1000.0</v>
      </c>
      <c r="S3329" s="1">
        <v>891.0</v>
      </c>
      <c r="T3329" s="1">
        <v>121.0</v>
      </c>
      <c r="U3329" s="1">
        <v>2323.0</v>
      </c>
      <c r="V3329" s="1">
        <v>11.0</v>
      </c>
      <c r="W3329" s="1">
        <v>0.0</v>
      </c>
      <c r="X3329" s="1">
        <v>3.0</v>
      </c>
      <c r="Y3329" s="1">
        <v>1.85</v>
      </c>
      <c r="Z3329" s="1">
        <v>7.2</v>
      </c>
    </row>
    <row r="3330" ht="14.25" customHeight="1">
      <c r="A3330" s="1" t="s">
        <v>26</v>
      </c>
      <c r="B3330" s="1" t="s">
        <v>15700</v>
      </c>
      <c r="C3330" s="1" t="s">
        <v>15701</v>
      </c>
      <c r="D3330" s="1">
        <v>8.34E7</v>
      </c>
      <c r="E3330" s="1" t="s">
        <v>1885</v>
      </c>
      <c r="F3330" s="1" t="s">
        <v>15702</v>
      </c>
      <c r="G3330" s="1" t="s">
        <v>15703</v>
      </c>
      <c r="H3330" s="1" t="s">
        <v>15704</v>
      </c>
      <c r="I3330" s="1">
        <v>160281.0</v>
      </c>
      <c r="J3330" s="1" t="s">
        <v>15705</v>
      </c>
      <c r="K3330" s="1" t="s">
        <v>15706</v>
      </c>
      <c r="L3330" s="1">
        <v>427.0</v>
      </c>
      <c r="M3330" s="1" t="s">
        <v>35</v>
      </c>
      <c r="N3330" s="1" t="s">
        <v>36</v>
      </c>
      <c r="O3330" s="1" t="s">
        <v>87</v>
      </c>
      <c r="P3330" s="1">
        <v>3500000.0</v>
      </c>
      <c r="Q3330" s="1">
        <v>1980.0</v>
      </c>
      <c r="R3330" s="1">
        <v>628.0</v>
      </c>
      <c r="S3330" s="1">
        <v>575.0</v>
      </c>
      <c r="T3330" s="1">
        <v>318.0</v>
      </c>
      <c r="U3330" s="1">
        <v>2726.0</v>
      </c>
      <c r="V3330" s="1">
        <v>104.0</v>
      </c>
      <c r="W3330" s="1">
        <v>16000.0</v>
      </c>
      <c r="X3330" s="1">
        <v>0.0</v>
      </c>
      <c r="Y3330" s="1">
        <v>1.85</v>
      </c>
      <c r="Z3330" s="1">
        <v>7.8</v>
      </c>
    </row>
    <row r="3331" ht="14.25" customHeight="1">
      <c r="A3331" s="1" t="s">
        <v>710</v>
      </c>
      <c r="B3331" s="1" t="s">
        <v>2928</v>
      </c>
      <c r="C3331" s="1" t="s">
        <v>15707</v>
      </c>
      <c r="D3331" s="1">
        <v>2.79E7</v>
      </c>
      <c r="E3331" s="1" t="s">
        <v>2422</v>
      </c>
      <c r="F3331" s="1" t="s">
        <v>5999</v>
      </c>
      <c r="G3331" s="1" t="s">
        <v>3683</v>
      </c>
      <c r="H3331" s="1" t="s">
        <v>4709</v>
      </c>
      <c r="I3331" s="1">
        <v>74626.0</v>
      </c>
      <c r="J3331" s="1" t="s">
        <v>15708</v>
      </c>
      <c r="K3331" s="1" t="s">
        <v>15709</v>
      </c>
      <c r="L3331" s="1">
        <v>157.0</v>
      </c>
      <c r="M3331" s="1" t="s">
        <v>35</v>
      </c>
      <c r="N3331" s="1" t="s">
        <v>36</v>
      </c>
      <c r="O3331" s="1" t="s">
        <v>628</v>
      </c>
      <c r="P3331" s="1">
        <v>3500000.0</v>
      </c>
      <c r="Q3331" s="1">
        <v>1995.0</v>
      </c>
      <c r="R3331" s="1">
        <v>826.0</v>
      </c>
      <c r="S3331" s="1">
        <v>723.0</v>
      </c>
      <c r="T3331" s="1">
        <v>624.0</v>
      </c>
      <c r="U3331" s="1">
        <v>3455.0</v>
      </c>
      <c r="V3331" s="1">
        <v>473.0</v>
      </c>
      <c r="W3331" s="1">
        <v>8000.0</v>
      </c>
      <c r="X3331" s="1">
        <v>1.0</v>
      </c>
      <c r="Y3331" s="1">
        <v>1.85</v>
      </c>
      <c r="Z3331" s="1">
        <v>7.3</v>
      </c>
    </row>
    <row r="3332" ht="14.25" customHeight="1">
      <c r="A3332" s="1" t="s">
        <v>26</v>
      </c>
      <c r="B3332" s="1" t="s">
        <v>2534</v>
      </c>
      <c r="C3332" s="1" t="s">
        <v>15710</v>
      </c>
      <c r="D3332" s="1">
        <v>2.79E7</v>
      </c>
      <c r="E3332" s="1" t="s">
        <v>2045</v>
      </c>
      <c r="F3332" s="1" t="s">
        <v>768</v>
      </c>
      <c r="G3332" s="1" t="s">
        <v>2719</v>
      </c>
      <c r="H3332" s="1" t="s">
        <v>11810</v>
      </c>
      <c r="I3332" s="1">
        <v>39508.0</v>
      </c>
      <c r="J3332" s="1" t="s">
        <v>15711</v>
      </c>
      <c r="K3332" s="1" t="s">
        <v>15712</v>
      </c>
      <c r="L3332" s="1">
        <v>96.0</v>
      </c>
      <c r="M3332" s="1" t="s">
        <v>35</v>
      </c>
      <c r="N3332" s="1" t="s">
        <v>36</v>
      </c>
      <c r="O3332" s="1" t="s">
        <v>628</v>
      </c>
      <c r="P3332" s="1">
        <v>3500000.0</v>
      </c>
      <c r="Q3332" s="1">
        <v>1993.0</v>
      </c>
      <c r="R3332" s="1">
        <v>851.0</v>
      </c>
      <c r="S3332" s="1">
        <v>582.0</v>
      </c>
      <c r="T3332" s="1">
        <v>556.0</v>
      </c>
      <c r="U3332" s="1">
        <v>3036.0</v>
      </c>
      <c r="V3332" s="1">
        <v>117.0</v>
      </c>
      <c r="W3332" s="1">
        <v>0.0</v>
      </c>
      <c r="X3332" s="1">
        <v>2.0</v>
      </c>
      <c r="Y3332" s="1">
        <v>1.85</v>
      </c>
      <c r="Z3332" s="1">
        <v>7.5</v>
      </c>
    </row>
    <row r="3333" ht="14.25" customHeight="1">
      <c r="A3333" s="1" t="s">
        <v>26</v>
      </c>
      <c r="B3333" s="1" t="s">
        <v>15713</v>
      </c>
      <c r="C3333" s="1" t="s">
        <v>15714</v>
      </c>
      <c r="D3333" s="1">
        <v>1.4E7</v>
      </c>
      <c r="E3333" s="1" t="s">
        <v>7545</v>
      </c>
      <c r="F3333" s="1" t="s">
        <v>7496</v>
      </c>
      <c r="G3333" s="1" t="s">
        <v>4442</v>
      </c>
      <c r="H3333" s="1" t="s">
        <v>15459</v>
      </c>
      <c r="I3333" s="1">
        <v>15956.0</v>
      </c>
      <c r="J3333" s="1" t="s">
        <v>15715</v>
      </c>
      <c r="K3333" s="1" t="s">
        <v>15716</v>
      </c>
      <c r="L3333" s="1">
        <v>118.0</v>
      </c>
      <c r="M3333" s="1" t="s">
        <v>35</v>
      </c>
      <c r="N3333" s="1" t="s">
        <v>36</v>
      </c>
      <c r="O3333" s="1" t="s">
        <v>628</v>
      </c>
      <c r="P3333" s="1">
        <v>3500000.0</v>
      </c>
      <c r="Q3333" s="1">
        <v>1987.0</v>
      </c>
      <c r="R3333" s="1">
        <v>3000.0</v>
      </c>
      <c r="S3333" s="1">
        <v>273.0</v>
      </c>
      <c r="T3333" s="1">
        <v>178.0</v>
      </c>
      <c r="U3333" s="1">
        <v>3617.0</v>
      </c>
      <c r="V3333" s="1">
        <v>10.0</v>
      </c>
      <c r="W3333" s="1">
        <v>1000.0</v>
      </c>
      <c r="X3333" s="1">
        <v>0.0</v>
      </c>
      <c r="Y3333" s="1">
        <v>1.85</v>
      </c>
      <c r="Z3333" s="1">
        <v>6.0</v>
      </c>
    </row>
    <row r="3334" ht="14.25" customHeight="1">
      <c r="A3334" s="1" t="s">
        <v>26</v>
      </c>
      <c r="B3334" s="1" t="s">
        <v>15717</v>
      </c>
      <c r="C3334" s="1" t="s">
        <v>15718</v>
      </c>
      <c r="D3334" s="1">
        <v>2.5138292E7</v>
      </c>
      <c r="E3334" s="1" t="s">
        <v>5924</v>
      </c>
      <c r="F3334" s="1" t="s">
        <v>7441</v>
      </c>
      <c r="G3334" s="1" t="s">
        <v>15719</v>
      </c>
      <c r="H3334" s="1" t="s">
        <v>15597</v>
      </c>
      <c r="I3334" s="1">
        <v>66483.0</v>
      </c>
      <c r="J3334" s="1" t="s">
        <v>15720</v>
      </c>
      <c r="K3334" s="1" t="s">
        <v>15721</v>
      </c>
      <c r="L3334" s="1">
        <v>452.0</v>
      </c>
      <c r="M3334" s="1" t="s">
        <v>35</v>
      </c>
      <c r="N3334" s="1" t="s">
        <v>36</v>
      </c>
      <c r="O3334" s="1" t="s">
        <v>628</v>
      </c>
      <c r="P3334" s="1">
        <v>3500000.0</v>
      </c>
      <c r="Q3334" s="1">
        <v>2015.0</v>
      </c>
      <c r="R3334" s="1">
        <v>648.0</v>
      </c>
      <c r="S3334" s="1">
        <v>191.0</v>
      </c>
      <c r="T3334" s="1">
        <v>159.0</v>
      </c>
      <c r="U3334" s="1">
        <v>1122.0</v>
      </c>
      <c r="V3334" s="1">
        <v>22.0</v>
      </c>
      <c r="W3334" s="1">
        <v>43000.0</v>
      </c>
      <c r="X3334" s="1">
        <v>0.0</v>
      </c>
      <c r="Y3334" s="1">
        <v>1.66</v>
      </c>
      <c r="Z3334" s="1">
        <v>6.8</v>
      </c>
    </row>
    <row r="3335" ht="14.25" customHeight="1">
      <c r="A3335" s="1" t="s">
        <v>26</v>
      </c>
      <c r="B3335" s="1" t="s">
        <v>15722</v>
      </c>
      <c r="C3335" s="1" t="s">
        <v>15723</v>
      </c>
      <c r="D3335" s="1">
        <v>1.0305534E7</v>
      </c>
      <c r="E3335" s="1" t="s">
        <v>1885</v>
      </c>
      <c r="F3335" s="1" t="s">
        <v>15724</v>
      </c>
      <c r="G3335" s="1" t="s">
        <v>15725</v>
      </c>
      <c r="H3335" s="1" t="s">
        <v>15726</v>
      </c>
      <c r="I3335" s="1">
        <v>1721.0</v>
      </c>
      <c r="J3335" s="1" t="s">
        <v>15727</v>
      </c>
      <c r="K3335" s="1" t="s">
        <v>15728</v>
      </c>
      <c r="L3335" s="1">
        <v>38.0</v>
      </c>
      <c r="M3335" s="1" t="s">
        <v>35</v>
      </c>
      <c r="N3335" s="1" t="s">
        <v>36</v>
      </c>
      <c r="O3335" s="1" t="s">
        <v>628</v>
      </c>
      <c r="P3335" s="1">
        <v>3500000.0</v>
      </c>
      <c r="Q3335" s="1">
        <v>1998.0</v>
      </c>
      <c r="R3335" s="1">
        <v>625.0</v>
      </c>
      <c r="S3335" s="1">
        <v>118.0</v>
      </c>
      <c r="T3335" s="1">
        <v>78.0</v>
      </c>
      <c r="U3335" s="1">
        <v>987.0</v>
      </c>
      <c r="V3335" s="1">
        <v>0.0</v>
      </c>
      <c r="W3335" s="1">
        <v>280.0</v>
      </c>
      <c r="X3335" s="1">
        <v>2.0</v>
      </c>
      <c r="Y3335" s="1">
        <v>1.85</v>
      </c>
      <c r="Z3335" s="1">
        <v>3.9</v>
      </c>
    </row>
    <row r="3336" ht="14.25" customHeight="1">
      <c r="A3336" s="1" t="s">
        <v>26</v>
      </c>
      <c r="B3336" s="1" t="s">
        <v>15729</v>
      </c>
      <c r="C3336" s="1" t="s">
        <v>15730</v>
      </c>
      <c r="D3336" s="1">
        <v>9449219.0</v>
      </c>
      <c r="E3336" s="1" t="s">
        <v>1359</v>
      </c>
      <c r="F3336" s="1" t="s">
        <v>6478</v>
      </c>
      <c r="G3336" s="1" t="s">
        <v>10781</v>
      </c>
      <c r="H3336" s="1" t="s">
        <v>15731</v>
      </c>
      <c r="I3336" s="1">
        <v>13949.0</v>
      </c>
      <c r="J3336" s="1" t="s">
        <v>15732</v>
      </c>
      <c r="K3336" s="1" t="s">
        <v>15733</v>
      </c>
      <c r="L3336" s="1">
        <v>98.0</v>
      </c>
      <c r="M3336" s="1" t="s">
        <v>35</v>
      </c>
      <c r="N3336" s="1" t="s">
        <v>36</v>
      </c>
      <c r="O3336" s="1" t="s">
        <v>628</v>
      </c>
      <c r="P3336" s="1">
        <v>3500000.0</v>
      </c>
      <c r="Q3336" s="1">
        <v>1996.0</v>
      </c>
      <c r="R3336" s="1">
        <v>385.0</v>
      </c>
      <c r="S3336" s="1">
        <v>356.0</v>
      </c>
      <c r="T3336" s="1">
        <v>111.0</v>
      </c>
      <c r="U3336" s="1">
        <v>995.0</v>
      </c>
      <c r="V3336" s="1">
        <v>0.0</v>
      </c>
      <c r="W3336" s="1">
        <v>453.0</v>
      </c>
      <c r="X3336" s="1">
        <v>2.0</v>
      </c>
      <c r="Y3336" s="1">
        <v>1.85</v>
      </c>
      <c r="Z3336" s="1">
        <v>6.1</v>
      </c>
    </row>
    <row r="3337" ht="14.25" customHeight="1">
      <c r="A3337" s="1" t="s">
        <v>710</v>
      </c>
      <c r="B3337" s="1" t="s">
        <v>1067</v>
      </c>
      <c r="C3337" s="1" t="s">
        <v>15734</v>
      </c>
      <c r="D3337" s="1">
        <v>6390032.0</v>
      </c>
      <c r="E3337" s="1" t="s">
        <v>1474</v>
      </c>
      <c r="F3337" s="1" t="s">
        <v>488</v>
      </c>
      <c r="G3337" s="1" t="s">
        <v>11359</v>
      </c>
      <c r="H3337" s="1" t="s">
        <v>7266</v>
      </c>
      <c r="I3337" s="1">
        <v>24977.0</v>
      </c>
      <c r="J3337" s="1" t="s">
        <v>15735</v>
      </c>
      <c r="K3337" s="1" t="s">
        <v>15736</v>
      </c>
      <c r="L3337" s="1">
        <v>229.0</v>
      </c>
      <c r="M3337" s="1" t="s">
        <v>35</v>
      </c>
      <c r="N3337" s="1" t="s">
        <v>36</v>
      </c>
      <c r="O3337" s="1" t="s">
        <v>628</v>
      </c>
      <c r="P3337" s="1">
        <v>3500000.0</v>
      </c>
      <c r="Q3337" s="1">
        <v>1998.0</v>
      </c>
      <c r="R3337" s="1">
        <v>3000.0</v>
      </c>
      <c r="S3337" s="1">
        <v>258.0</v>
      </c>
      <c r="T3337" s="1">
        <v>248.0</v>
      </c>
      <c r="U3337" s="1">
        <v>4238.0</v>
      </c>
      <c r="V3337" s="1">
        <v>386.0</v>
      </c>
      <c r="W3337" s="1">
        <v>0.0</v>
      </c>
      <c r="X3337" s="1">
        <v>2.0</v>
      </c>
      <c r="Y3337" s="1">
        <v>2.35</v>
      </c>
      <c r="Z3337" s="1">
        <v>7.5</v>
      </c>
    </row>
    <row r="3338" ht="14.25" customHeight="1">
      <c r="A3338" s="1" t="s">
        <v>26</v>
      </c>
      <c r="B3338" s="1" t="s">
        <v>15737</v>
      </c>
      <c r="C3338" s="1" t="s">
        <v>15738</v>
      </c>
      <c r="D3338" s="1">
        <v>2.0167424E7</v>
      </c>
      <c r="E3338" s="1" t="s">
        <v>1842</v>
      </c>
      <c r="F3338" s="1" t="s">
        <v>15739</v>
      </c>
      <c r="G3338" s="1" t="s">
        <v>15740</v>
      </c>
      <c r="H3338" s="1" t="s">
        <v>15741</v>
      </c>
      <c r="I3338" s="1">
        <v>131831.0</v>
      </c>
      <c r="J3338" s="1" t="s">
        <v>15742</v>
      </c>
      <c r="K3338" s="1" t="s">
        <v>15743</v>
      </c>
      <c r="L3338" s="1">
        <v>231.0</v>
      </c>
      <c r="M3338" s="1" t="s">
        <v>2648</v>
      </c>
      <c r="N3338" s="1" t="s">
        <v>15744</v>
      </c>
      <c r="O3338" s="1" t="s">
        <v>628</v>
      </c>
      <c r="P3338" s="1">
        <v>2000000.0</v>
      </c>
      <c r="Q3338" s="1">
        <v>2009.0</v>
      </c>
      <c r="R3338" s="1">
        <v>827.0</v>
      </c>
      <c r="S3338" s="1">
        <v>88.0</v>
      </c>
      <c r="T3338" s="1">
        <v>50.0</v>
      </c>
      <c r="U3338" s="1">
        <v>1044.0</v>
      </c>
      <c r="V3338" s="1">
        <v>195.0</v>
      </c>
      <c r="W3338" s="1">
        <v>33000.0</v>
      </c>
      <c r="X3338" s="1">
        <v>0.0</v>
      </c>
      <c r="Y3338" s="1">
        <v>2.35</v>
      </c>
      <c r="Z3338" s="1">
        <v>8.2</v>
      </c>
    </row>
    <row r="3339" ht="14.25" customHeight="1">
      <c r="A3339" s="1" t="s">
        <v>26</v>
      </c>
      <c r="B3339" s="1" t="s">
        <v>71</v>
      </c>
      <c r="C3339" s="1" t="s">
        <v>15745</v>
      </c>
      <c r="D3339" s="1">
        <v>5923044.0</v>
      </c>
      <c r="E3339" s="1" t="s">
        <v>7545</v>
      </c>
      <c r="F3339" s="1" t="s">
        <v>13168</v>
      </c>
      <c r="G3339" s="1" t="s">
        <v>15746</v>
      </c>
      <c r="H3339" s="1" t="s">
        <v>15747</v>
      </c>
      <c r="I3339" s="1">
        <v>113451.0</v>
      </c>
      <c r="J3339" s="1" t="s">
        <v>15748</v>
      </c>
      <c r="K3339" s="1" t="s">
        <v>15749</v>
      </c>
      <c r="L3339" s="1">
        <v>537.0</v>
      </c>
      <c r="M3339" s="1" t="s">
        <v>35</v>
      </c>
      <c r="N3339" s="1" t="s">
        <v>36</v>
      </c>
      <c r="O3339" s="1" t="s">
        <v>6886</v>
      </c>
      <c r="P3339" s="1">
        <v>3600000.0</v>
      </c>
      <c r="Q3339" s="1">
        <v>1987.0</v>
      </c>
      <c r="R3339" s="1">
        <v>634.0</v>
      </c>
      <c r="S3339" s="1">
        <v>328.0</v>
      </c>
      <c r="T3339" s="1">
        <v>199.0</v>
      </c>
      <c r="U3339" s="1">
        <v>1347.0</v>
      </c>
      <c r="V3339" s="1">
        <v>0.0</v>
      </c>
      <c r="W3339" s="1">
        <v>0.0</v>
      </c>
      <c r="X3339" s="1">
        <v>0.0</v>
      </c>
      <c r="Y3339" s="1">
        <v>1.85</v>
      </c>
      <c r="Z3339" s="1">
        <v>7.8</v>
      </c>
    </row>
    <row r="3340" ht="14.25" customHeight="1">
      <c r="A3340" s="1" t="s">
        <v>26</v>
      </c>
      <c r="B3340" s="1" t="s">
        <v>15750</v>
      </c>
      <c r="C3340" s="1" t="s">
        <v>15751</v>
      </c>
      <c r="D3340" s="1">
        <v>3293258.0</v>
      </c>
      <c r="E3340" s="1" t="s">
        <v>15752</v>
      </c>
      <c r="F3340" s="1" t="s">
        <v>2167</v>
      </c>
      <c r="G3340" s="1" t="s">
        <v>12685</v>
      </c>
      <c r="H3340" s="1" t="s">
        <v>6524</v>
      </c>
      <c r="I3340" s="1">
        <v>11399.0</v>
      </c>
      <c r="J3340" s="1" t="s">
        <v>15753</v>
      </c>
      <c r="K3340" s="1" t="s">
        <v>15754</v>
      </c>
      <c r="L3340" s="1">
        <v>131.0</v>
      </c>
      <c r="M3340" s="1" t="s">
        <v>35</v>
      </c>
      <c r="N3340" s="1" t="s">
        <v>36</v>
      </c>
      <c r="O3340" s="1" t="s">
        <v>37</v>
      </c>
      <c r="P3340" s="1">
        <v>3000000.0</v>
      </c>
      <c r="Q3340" s="1">
        <v>2001.0</v>
      </c>
      <c r="R3340" s="1">
        <v>560.0</v>
      </c>
      <c r="S3340" s="1">
        <v>555.0</v>
      </c>
      <c r="T3340" s="1">
        <v>542.0</v>
      </c>
      <c r="U3340" s="1">
        <v>2238.0</v>
      </c>
      <c r="V3340" s="1">
        <v>0.0</v>
      </c>
      <c r="W3340" s="1">
        <v>0.0</v>
      </c>
      <c r="X3340" s="1">
        <v>0.0</v>
      </c>
      <c r="Y3340" s="1">
        <v>1.85</v>
      </c>
      <c r="Z3340" s="1">
        <v>5.2</v>
      </c>
    </row>
    <row r="3341" ht="14.25" customHeight="1">
      <c r="A3341" s="1" t="s">
        <v>26</v>
      </c>
      <c r="B3341" s="1" t="s">
        <v>15755</v>
      </c>
      <c r="C3341" s="1" t="s">
        <v>15756</v>
      </c>
      <c r="D3341" s="1">
        <v>886410.0</v>
      </c>
      <c r="E3341" s="1" t="s">
        <v>6130</v>
      </c>
      <c r="F3341" s="1" t="s">
        <v>15757</v>
      </c>
      <c r="G3341" s="1" t="s">
        <v>15758</v>
      </c>
      <c r="H3341" s="1" t="s">
        <v>15759</v>
      </c>
      <c r="I3341" s="1">
        <v>1024.0</v>
      </c>
      <c r="J3341" s="1" t="s">
        <v>15760</v>
      </c>
      <c r="K3341" s="1" t="s">
        <v>15761</v>
      </c>
      <c r="L3341" s="1">
        <v>494.0</v>
      </c>
      <c r="M3341" s="1" t="s">
        <v>2648</v>
      </c>
      <c r="N3341" s="1" t="s">
        <v>13128</v>
      </c>
      <c r="O3341" s="1" t="s">
        <v>628</v>
      </c>
      <c r="P3341" s="1">
        <v>3500000.0</v>
      </c>
      <c r="Q3341" s="1">
        <v>1998.0</v>
      </c>
      <c r="R3341" s="1">
        <v>174.0</v>
      </c>
      <c r="S3341" s="1">
        <v>16.0</v>
      </c>
      <c r="T3341" s="1">
        <v>10.0</v>
      </c>
      <c r="U3341" s="1">
        <v>222.0</v>
      </c>
      <c r="V3341" s="1">
        <v>22.0</v>
      </c>
      <c r="W3341" s="1">
        <v>140.0</v>
      </c>
      <c r="X3341" s="1">
        <v>0.0</v>
      </c>
      <c r="Y3341" s="1">
        <v>1.85</v>
      </c>
      <c r="Z3341" s="1">
        <v>6.8</v>
      </c>
    </row>
    <row r="3342" ht="14.25" customHeight="1">
      <c r="A3342" s="1" t="s">
        <v>26</v>
      </c>
      <c r="B3342" s="1" t="s">
        <v>15762</v>
      </c>
      <c r="C3342" s="1" t="s">
        <v>15763</v>
      </c>
      <c r="D3342" s="1">
        <v>252652.0</v>
      </c>
      <c r="E3342" s="1" t="s">
        <v>15764</v>
      </c>
      <c r="F3342" s="1" t="s">
        <v>15765</v>
      </c>
      <c r="G3342" s="1" t="s">
        <v>15766</v>
      </c>
      <c r="H3342" s="1" t="s">
        <v>15767</v>
      </c>
      <c r="I3342" s="1">
        <v>54104.0</v>
      </c>
      <c r="J3342" s="1" t="s">
        <v>15768</v>
      </c>
      <c r="K3342" s="1" t="s">
        <v>15769</v>
      </c>
      <c r="L3342" s="1">
        <v>199.0</v>
      </c>
      <c r="M3342" s="1" t="s">
        <v>14952</v>
      </c>
      <c r="N3342" s="1" t="s">
        <v>14953</v>
      </c>
      <c r="O3342" s="1" t="s">
        <v>37</v>
      </c>
      <c r="P3342" s="1">
        <v>1.99E7</v>
      </c>
      <c r="Q3342" s="1">
        <v>2010.0</v>
      </c>
      <c r="R3342" s="1">
        <v>29.0</v>
      </c>
      <c r="S3342" s="1">
        <v>4.0</v>
      </c>
      <c r="T3342" s="1">
        <v>4.0</v>
      </c>
      <c r="U3342" s="1">
        <v>44.0</v>
      </c>
      <c r="V3342" s="1">
        <v>12.0</v>
      </c>
      <c r="W3342" s="1">
        <v>38000.0</v>
      </c>
      <c r="X3342" s="1">
        <v>0.0</v>
      </c>
      <c r="Y3342" s="1">
        <v>1.85</v>
      </c>
      <c r="Z3342" s="1">
        <v>7.0</v>
      </c>
    </row>
    <row r="3343" ht="14.25" customHeight="1">
      <c r="A3343" s="1" t="s">
        <v>26</v>
      </c>
      <c r="B3343" s="1" t="s">
        <v>15770</v>
      </c>
      <c r="C3343" s="1" t="s">
        <v>15771</v>
      </c>
      <c r="D3343" s="1">
        <v>220234.0</v>
      </c>
      <c r="E3343" s="1" t="s">
        <v>1598</v>
      </c>
      <c r="F3343" s="1" t="s">
        <v>1476</v>
      </c>
      <c r="G3343" s="1" t="s">
        <v>403</v>
      </c>
      <c r="H3343" s="1" t="s">
        <v>2106</v>
      </c>
      <c r="I3343" s="1">
        <v>1950.0</v>
      </c>
      <c r="J3343" s="1" t="s">
        <v>15772</v>
      </c>
      <c r="K3343" s="1" t="s">
        <v>15773</v>
      </c>
      <c r="L3343" s="1">
        <v>24.0</v>
      </c>
      <c r="M3343" s="1" t="s">
        <v>35</v>
      </c>
      <c r="N3343" s="1" t="s">
        <v>36</v>
      </c>
      <c r="O3343" s="1" t="s">
        <v>628</v>
      </c>
      <c r="P3343" s="1">
        <v>3500000.0</v>
      </c>
      <c r="Q3343" s="1">
        <v>2006.0</v>
      </c>
      <c r="R3343" s="1">
        <v>827.0</v>
      </c>
      <c r="S3343" s="1">
        <v>729.0</v>
      </c>
      <c r="T3343" s="1">
        <v>681.0</v>
      </c>
      <c r="U3343" s="1">
        <v>3574.0</v>
      </c>
      <c r="V3343" s="1">
        <v>0.0</v>
      </c>
      <c r="W3343" s="1">
        <v>360.0</v>
      </c>
      <c r="X3343" s="1">
        <v>3.0</v>
      </c>
      <c r="Y3343" s="1">
        <v>1.85</v>
      </c>
      <c r="Z3343" s="1">
        <v>6.5</v>
      </c>
    </row>
    <row r="3344" ht="14.25" customHeight="1">
      <c r="A3344" s="1" t="s">
        <v>26</v>
      </c>
      <c r="B3344" s="1" t="s">
        <v>4470</v>
      </c>
      <c r="C3344" s="1" t="s">
        <v>4471</v>
      </c>
      <c r="D3344" s="1">
        <v>3.4350553E7</v>
      </c>
      <c r="E3344" s="1" t="s">
        <v>1821</v>
      </c>
      <c r="F3344" s="1" t="s">
        <v>2021</v>
      </c>
      <c r="G3344" s="1" t="s">
        <v>4472</v>
      </c>
      <c r="H3344" s="1" t="s">
        <v>2201</v>
      </c>
      <c r="I3344" s="1">
        <v>104072.0</v>
      </c>
      <c r="J3344" s="1" t="s">
        <v>4473</v>
      </c>
      <c r="K3344" s="1" t="s">
        <v>4474</v>
      </c>
      <c r="L3344" s="1">
        <v>207.0</v>
      </c>
      <c r="M3344" s="1" t="s">
        <v>35</v>
      </c>
      <c r="N3344" s="1" t="s">
        <v>36</v>
      </c>
      <c r="O3344" s="1" t="s">
        <v>628</v>
      </c>
      <c r="P3344" s="1">
        <v>6.8E7</v>
      </c>
      <c r="Q3344" s="1">
        <v>2012.0</v>
      </c>
      <c r="R3344" s="1">
        <v>622.0</v>
      </c>
      <c r="S3344" s="1">
        <v>591.0</v>
      </c>
      <c r="T3344" s="1">
        <v>536.0</v>
      </c>
      <c r="U3344" s="1">
        <v>2486.0</v>
      </c>
      <c r="V3344" s="1">
        <v>82.0</v>
      </c>
      <c r="W3344" s="1">
        <v>15000.0</v>
      </c>
      <c r="X3344" s="1">
        <v>4.0</v>
      </c>
      <c r="Y3344" s="1">
        <v>2.35</v>
      </c>
      <c r="Z3344" s="1">
        <v>5.7</v>
      </c>
    </row>
    <row r="3345" ht="14.25" customHeight="1">
      <c r="A3345" s="1" t="s">
        <v>26</v>
      </c>
      <c r="B3345" s="1" t="s">
        <v>15774</v>
      </c>
      <c r="C3345" s="1" t="s">
        <v>15775</v>
      </c>
      <c r="D3345" s="1">
        <v>101228.0</v>
      </c>
      <c r="E3345" s="1" t="s">
        <v>2422</v>
      </c>
      <c r="F3345" s="1" t="s">
        <v>1868</v>
      </c>
      <c r="G3345" s="1" t="s">
        <v>1197</v>
      </c>
      <c r="H3345" s="1" t="s">
        <v>8159</v>
      </c>
      <c r="I3345" s="1">
        <v>7228.0</v>
      </c>
      <c r="J3345" s="1" t="s">
        <v>15776</v>
      </c>
      <c r="K3345" s="1" t="s">
        <v>15777</v>
      </c>
      <c r="L3345" s="1">
        <v>53.0</v>
      </c>
      <c r="M3345" s="1" t="s">
        <v>35</v>
      </c>
      <c r="N3345" s="1" t="s">
        <v>36</v>
      </c>
      <c r="O3345" s="1" t="s">
        <v>628</v>
      </c>
      <c r="P3345" s="1">
        <v>3500000.0</v>
      </c>
      <c r="Q3345" s="1">
        <v>2005.0</v>
      </c>
      <c r="R3345" s="1">
        <v>11000.0</v>
      </c>
      <c r="S3345" s="1">
        <v>8000.0</v>
      </c>
      <c r="T3345" s="1">
        <v>405.0</v>
      </c>
      <c r="U3345" s="1">
        <v>20009.0</v>
      </c>
      <c r="V3345" s="1">
        <v>9.0</v>
      </c>
      <c r="W3345" s="1">
        <v>414.0</v>
      </c>
      <c r="X3345" s="1">
        <v>4.0</v>
      </c>
      <c r="Y3345" s="1">
        <v>1.85</v>
      </c>
      <c r="Z3345" s="1">
        <v>6.4</v>
      </c>
    </row>
    <row r="3346" ht="14.25" customHeight="1">
      <c r="A3346" s="1" t="s">
        <v>26</v>
      </c>
      <c r="B3346" s="1" t="s">
        <v>4870</v>
      </c>
      <c r="C3346" s="1" t="s">
        <v>15778</v>
      </c>
      <c r="D3346" s="1">
        <v>96793.0</v>
      </c>
      <c r="E3346" s="1" t="s">
        <v>1367</v>
      </c>
      <c r="F3346" s="1" t="s">
        <v>645</v>
      </c>
      <c r="G3346" s="1" t="s">
        <v>10078</v>
      </c>
      <c r="H3346" s="1" t="s">
        <v>4846</v>
      </c>
      <c r="I3346" s="1">
        <v>12188.0</v>
      </c>
      <c r="J3346" s="1" t="s">
        <v>15779</v>
      </c>
      <c r="K3346" s="1" t="s">
        <v>15780</v>
      </c>
      <c r="L3346" s="1">
        <v>135.0</v>
      </c>
      <c r="M3346" s="1" t="s">
        <v>35</v>
      </c>
      <c r="N3346" s="1" t="s">
        <v>36</v>
      </c>
      <c r="O3346" s="1" t="s">
        <v>37</v>
      </c>
      <c r="P3346" s="1">
        <v>3500000.0</v>
      </c>
      <c r="Q3346" s="1">
        <v>2004.0</v>
      </c>
      <c r="R3346" s="1">
        <v>4000.0</v>
      </c>
      <c r="S3346" s="1">
        <v>756.0</v>
      </c>
      <c r="T3346" s="1">
        <v>660.0</v>
      </c>
      <c r="U3346" s="1">
        <v>6380.0</v>
      </c>
      <c r="V3346" s="1">
        <v>23.0</v>
      </c>
      <c r="W3346" s="1">
        <v>1000.0</v>
      </c>
      <c r="X3346" s="1">
        <v>3.0</v>
      </c>
      <c r="Y3346" s="1">
        <v>2.35</v>
      </c>
      <c r="Z3346" s="1">
        <v>5.3</v>
      </c>
    </row>
    <row r="3347" ht="14.25" customHeight="1">
      <c r="A3347" s="1" t="s">
        <v>26</v>
      </c>
      <c r="B3347" s="1" t="s">
        <v>15781</v>
      </c>
      <c r="C3347" s="1" t="s">
        <v>15782</v>
      </c>
      <c r="D3347" s="1">
        <v>7.7413017E7</v>
      </c>
      <c r="E3347" s="1" t="s">
        <v>15542</v>
      </c>
      <c r="F3347" s="1" t="s">
        <v>451</v>
      </c>
      <c r="G3347" s="1" t="s">
        <v>15783</v>
      </c>
      <c r="H3347" s="1" t="s">
        <v>15784</v>
      </c>
      <c r="I3347" s="1">
        <v>45984.0</v>
      </c>
      <c r="J3347" s="1" t="s">
        <v>15785</v>
      </c>
      <c r="K3347" s="1" t="s">
        <v>15786</v>
      </c>
      <c r="L3347" s="1">
        <v>331.0</v>
      </c>
      <c r="M3347" s="1" t="s">
        <v>2752</v>
      </c>
      <c r="N3347" s="1" t="s">
        <v>1832</v>
      </c>
      <c r="O3347" s="1" t="s">
        <v>269</v>
      </c>
      <c r="P3347" s="1">
        <v>8000000.0</v>
      </c>
      <c r="Q3347" s="1">
        <v>2005.0</v>
      </c>
      <c r="R3347" s="1">
        <v>11000.0</v>
      </c>
      <c r="S3347" s="1">
        <v>108.0</v>
      </c>
      <c r="T3347" s="1">
        <v>34.0</v>
      </c>
      <c r="U3347" s="1">
        <v>11218.0</v>
      </c>
      <c r="V3347" s="1">
        <v>10.0</v>
      </c>
      <c r="W3347" s="1">
        <v>0.0</v>
      </c>
      <c r="X3347" s="1">
        <v>0.0</v>
      </c>
      <c r="Y3347" s="1">
        <v>1.85</v>
      </c>
      <c r="Z3347" s="1">
        <v>7.6</v>
      </c>
    </row>
    <row r="3348" ht="14.25" customHeight="1">
      <c r="A3348" s="1" t="s">
        <v>26</v>
      </c>
      <c r="B3348" s="1" t="s">
        <v>10414</v>
      </c>
      <c r="C3348" s="1" t="s">
        <v>15787</v>
      </c>
      <c r="D3348" s="1">
        <v>5354039.0</v>
      </c>
      <c r="E3348" s="1" t="s">
        <v>3404</v>
      </c>
      <c r="F3348" s="1" t="s">
        <v>112</v>
      </c>
      <c r="G3348" s="1" t="s">
        <v>1320</v>
      </c>
      <c r="H3348" s="1" t="s">
        <v>6984</v>
      </c>
      <c r="I3348" s="1">
        <v>92599.0</v>
      </c>
      <c r="J3348" s="1" t="s">
        <v>15788</v>
      </c>
      <c r="K3348" s="1" t="s">
        <v>15789</v>
      </c>
      <c r="L3348" s="1">
        <v>225.0</v>
      </c>
      <c r="M3348" s="1" t="s">
        <v>35</v>
      </c>
      <c r="N3348" s="1" t="s">
        <v>36</v>
      </c>
      <c r="O3348" s="1" t="s">
        <v>628</v>
      </c>
      <c r="P3348" s="1">
        <v>3500000.0</v>
      </c>
      <c r="Q3348" s="1">
        <v>2011.0</v>
      </c>
      <c r="R3348" s="1">
        <v>18000.0</v>
      </c>
      <c r="S3348" s="1">
        <v>2000.0</v>
      </c>
      <c r="T3348" s="1">
        <v>969.0</v>
      </c>
      <c r="U3348" s="1">
        <v>22834.0</v>
      </c>
      <c r="V3348" s="1">
        <v>78.0</v>
      </c>
      <c r="W3348" s="1">
        <v>21000.0</v>
      </c>
      <c r="X3348" s="1">
        <v>8.0</v>
      </c>
      <c r="Y3348" s="1">
        <v>1.85</v>
      </c>
      <c r="Z3348" s="1">
        <v>7.1</v>
      </c>
    </row>
    <row r="3349" ht="14.25" customHeight="1">
      <c r="A3349" s="1" t="s">
        <v>26</v>
      </c>
      <c r="B3349" s="1" t="s">
        <v>15790</v>
      </c>
      <c r="C3349" s="1" t="s">
        <v>15791</v>
      </c>
      <c r="D3349" s="1">
        <v>2926565.0</v>
      </c>
      <c r="E3349" s="1" t="s">
        <v>2422</v>
      </c>
      <c r="F3349" s="1" t="s">
        <v>3774</v>
      </c>
      <c r="G3349" s="1" t="s">
        <v>3349</v>
      </c>
      <c r="H3349" s="1" t="s">
        <v>3589</v>
      </c>
      <c r="I3349" s="1">
        <v>28573.0</v>
      </c>
      <c r="J3349" s="1" t="s">
        <v>15792</v>
      </c>
      <c r="K3349" s="1" t="s">
        <v>15793</v>
      </c>
      <c r="L3349" s="1">
        <v>72.0</v>
      </c>
      <c r="M3349" s="1" t="s">
        <v>35</v>
      </c>
      <c r="N3349" s="1" t="s">
        <v>36</v>
      </c>
      <c r="O3349" s="1" t="s">
        <v>628</v>
      </c>
      <c r="P3349" s="1">
        <v>3000000.0</v>
      </c>
      <c r="Q3349" s="1">
        <v>2008.0</v>
      </c>
      <c r="R3349" s="1">
        <v>1000.0</v>
      </c>
      <c r="S3349" s="1">
        <v>585.0</v>
      </c>
      <c r="T3349" s="1">
        <v>539.0</v>
      </c>
      <c r="U3349" s="1">
        <v>3608.0</v>
      </c>
      <c r="V3349" s="1">
        <v>0.0</v>
      </c>
      <c r="W3349" s="1">
        <v>0.0</v>
      </c>
      <c r="X3349" s="1">
        <v>0.0</v>
      </c>
      <c r="Y3349" s="1">
        <v>1.66</v>
      </c>
      <c r="Z3349" s="1">
        <v>6.5</v>
      </c>
    </row>
    <row r="3350" ht="14.25" customHeight="1">
      <c r="A3350" s="1" t="s">
        <v>26</v>
      </c>
      <c r="B3350" s="1" t="s">
        <v>15794</v>
      </c>
      <c r="C3350" s="1" t="s">
        <v>15795</v>
      </c>
      <c r="D3350" s="1">
        <v>1.3092E7</v>
      </c>
      <c r="E3350" s="1" t="s">
        <v>5819</v>
      </c>
      <c r="F3350" s="1" t="s">
        <v>74</v>
      </c>
      <c r="G3350" s="1" t="s">
        <v>7285</v>
      </c>
      <c r="H3350" s="1" t="s">
        <v>4352</v>
      </c>
      <c r="I3350" s="1">
        <v>399138.0</v>
      </c>
      <c r="J3350" s="1" t="s">
        <v>15796</v>
      </c>
      <c r="K3350" s="1" t="s">
        <v>15797</v>
      </c>
      <c r="L3350" s="1">
        <v>731.0</v>
      </c>
      <c r="M3350" s="1" t="s">
        <v>35</v>
      </c>
      <c r="N3350" s="1" t="s">
        <v>36</v>
      </c>
      <c r="O3350" s="1" t="s">
        <v>628</v>
      </c>
      <c r="P3350" s="1">
        <v>3300000.0</v>
      </c>
      <c r="Q3350" s="1">
        <v>2014.0</v>
      </c>
      <c r="R3350" s="1">
        <v>24000.0</v>
      </c>
      <c r="S3350" s="1">
        <v>970.0</v>
      </c>
      <c r="T3350" s="1">
        <v>535.0</v>
      </c>
      <c r="U3350" s="1">
        <v>26495.0</v>
      </c>
      <c r="V3350" s="1">
        <v>141.0</v>
      </c>
      <c r="W3350" s="1">
        <v>129000.0</v>
      </c>
      <c r="X3350" s="1">
        <v>0.0</v>
      </c>
      <c r="Y3350" s="1">
        <v>2.4</v>
      </c>
      <c r="Z3350" s="1">
        <v>8.5</v>
      </c>
    </row>
    <row r="3351" ht="14.25" customHeight="1">
      <c r="A3351" s="1" t="s">
        <v>26</v>
      </c>
      <c r="B3351" s="1" t="s">
        <v>8672</v>
      </c>
      <c r="C3351" s="1" t="s">
        <v>15798</v>
      </c>
      <c r="D3351" s="1">
        <v>7563397.0</v>
      </c>
      <c r="E3351" s="1" t="s">
        <v>1854</v>
      </c>
      <c r="F3351" s="1" t="s">
        <v>746</v>
      </c>
      <c r="G3351" s="1" t="s">
        <v>15799</v>
      </c>
      <c r="H3351" s="1" t="s">
        <v>15800</v>
      </c>
      <c r="I3351" s="1">
        <v>533200.0</v>
      </c>
      <c r="J3351" s="1" t="s">
        <v>15801</v>
      </c>
      <c r="K3351" s="1" t="s">
        <v>15802</v>
      </c>
      <c r="L3351" s="1">
        <v>749.0</v>
      </c>
      <c r="M3351" s="1" t="s">
        <v>14505</v>
      </c>
      <c r="N3351" s="1" t="s">
        <v>11794</v>
      </c>
      <c r="O3351" s="1" t="s">
        <v>628</v>
      </c>
      <c r="P3351" s="1">
        <v>3300000.0</v>
      </c>
      <c r="Q3351" s="1">
        <v>2002.0</v>
      </c>
      <c r="R3351" s="1">
        <v>1000.0</v>
      </c>
      <c r="S3351" s="1">
        <v>69.0</v>
      </c>
      <c r="T3351" s="1">
        <v>40.0</v>
      </c>
      <c r="U3351" s="1">
        <v>1211.0</v>
      </c>
      <c r="V3351" s="1">
        <v>353.0</v>
      </c>
      <c r="W3351" s="1">
        <v>28000.0</v>
      </c>
      <c r="X3351" s="1">
        <v>0.0</v>
      </c>
      <c r="Y3351" s="1">
        <v>1.85</v>
      </c>
      <c r="Z3351" s="1">
        <v>8.7</v>
      </c>
    </row>
    <row r="3352" ht="14.25" customHeight="1">
      <c r="A3352" s="1" t="s">
        <v>26</v>
      </c>
      <c r="B3352" s="1" t="s">
        <v>15803</v>
      </c>
      <c r="C3352" s="1" t="s">
        <v>15804</v>
      </c>
      <c r="D3352" s="1">
        <v>104257.0</v>
      </c>
      <c r="E3352" s="1" t="s">
        <v>7157</v>
      </c>
      <c r="F3352" s="1" t="s">
        <v>13611</v>
      </c>
      <c r="G3352" s="1" t="s">
        <v>15805</v>
      </c>
      <c r="H3352" s="1" t="s">
        <v>8430</v>
      </c>
      <c r="I3352" s="1">
        <v>19194.0</v>
      </c>
      <c r="J3352" s="1" t="s">
        <v>15806</v>
      </c>
      <c r="K3352" s="1" t="s">
        <v>15807</v>
      </c>
      <c r="L3352" s="1">
        <v>160.0</v>
      </c>
      <c r="M3352" s="1" t="s">
        <v>35</v>
      </c>
      <c r="N3352" s="1" t="s">
        <v>54</v>
      </c>
      <c r="O3352" s="1" t="s">
        <v>628</v>
      </c>
      <c r="P3352" s="1">
        <v>2200000.0</v>
      </c>
      <c r="Q3352" s="1">
        <v>1999.0</v>
      </c>
      <c r="R3352" s="1">
        <v>798.0</v>
      </c>
      <c r="S3352" s="1">
        <v>472.0</v>
      </c>
      <c r="T3352" s="1">
        <v>78.0</v>
      </c>
      <c r="U3352" s="1">
        <v>1430.0</v>
      </c>
      <c r="V3352" s="1">
        <v>8.0</v>
      </c>
      <c r="W3352" s="1">
        <v>0.0</v>
      </c>
      <c r="X3352" s="1">
        <v>2.0</v>
      </c>
      <c r="Y3352" s="1">
        <v>1.85</v>
      </c>
      <c r="Z3352" s="1">
        <v>7.1</v>
      </c>
    </row>
    <row r="3353" ht="14.25" customHeight="1">
      <c r="A3353" s="1" t="s">
        <v>26</v>
      </c>
      <c r="B3353" s="1" t="s">
        <v>14130</v>
      </c>
      <c r="C3353" s="1" t="s">
        <v>15808</v>
      </c>
      <c r="D3353" s="1">
        <v>610968.0</v>
      </c>
      <c r="E3353" s="1" t="s">
        <v>3238</v>
      </c>
      <c r="F3353" s="1" t="s">
        <v>15809</v>
      </c>
      <c r="G3353" s="1" t="s">
        <v>15810</v>
      </c>
      <c r="H3353" s="1" t="s">
        <v>15811</v>
      </c>
      <c r="I3353" s="1">
        <v>170155.0</v>
      </c>
      <c r="J3353" s="1" t="s">
        <v>15812</v>
      </c>
      <c r="K3353" s="1" t="s">
        <v>15813</v>
      </c>
      <c r="L3353" s="1">
        <v>249.0</v>
      </c>
      <c r="M3353" s="1" t="s">
        <v>13834</v>
      </c>
      <c r="N3353" s="1" t="s">
        <v>7233</v>
      </c>
      <c r="O3353" s="1" t="s">
        <v>628</v>
      </c>
      <c r="P3353" s="1">
        <v>3800000.0</v>
      </c>
      <c r="Q3353" s="1">
        <v>2012.0</v>
      </c>
      <c r="R3353" s="1">
        <v>74.0</v>
      </c>
      <c r="S3353" s="1">
        <v>69.0</v>
      </c>
      <c r="T3353" s="1">
        <v>26.0</v>
      </c>
      <c r="U3353" s="1">
        <v>216.0</v>
      </c>
      <c r="V3353" s="1">
        <v>346.0</v>
      </c>
      <c r="W3353" s="1">
        <v>60000.0</v>
      </c>
      <c r="X3353" s="1">
        <v>1.0</v>
      </c>
      <c r="Y3353" s="1">
        <v>2.35</v>
      </c>
      <c r="Z3353" s="1">
        <v>8.3</v>
      </c>
    </row>
    <row r="3354" ht="14.25" customHeight="1">
      <c r="A3354" s="1" t="s">
        <v>26</v>
      </c>
      <c r="B3354" s="1" t="s">
        <v>15814</v>
      </c>
      <c r="C3354" s="1" t="s">
        <v>15815</v>
      </c>
      <c r="D3354" s="1">
        <v>8108247.0</v>
      </c>
      <c r="E3354" s="1" t="s">
        <v>206</v>
      </c>
      <c r="F3354" s="1" t="s">
        <v>1707</v>
      </c>
      <c r="G3354" s="1" t="s">
        <v>274</v>
      </c>
      <c r="H3354" s="1" t="s">
        <v>6582</v>
      </c>
      <c r="I3354" s="1">
        <v>9607.0</v>
      </c>
      <c r="J3354" s="1" t="s">
        <v>15816</v>
      </c>
      <c r="K3354" s="1" t="s">
        <v>15817</v>
      </c>
      <c r="L3354" s="1">
        <v>174.0</v>
      </c>
      <c r="M3354" s="1" t="s">
        <v>35</v>
      </c>
      <c r="N3354" s="1" t="s">
        <v>36</v>
      </c>
      <c r="O3354" s="1" t="s">
        <v>37</v>
      </c>
      <c r="P3354" s="1">
        <v>3300000.0</v>
      </c>
      <c r="Q3354" s="1">
        <v>2006.0</v>
      </c>
      <c r="R3354" s="1">
        <v>625.0</v>
      </c>
      <c r="S3354" s="1">
        <v>464.0</v>
      </c>
      <c r="T3354" s="1">
        <v>377.0</v>
      </c>
      <c r="U3354" s="1">
        <v>2747.0</v>
      </c>
      <c r="V3354" s="1">
        <v>38.0</v>
      </c>
      <c r="W3354" s="1">
        <v>0.0</v>
      </c>
      <c r="X3354" s="1">
        <v>0.0</v>
      </c>
      <c r="Y3354" s="1">
        <v>1.85</v>
      </c>
      <c r="Z3354" s="1">
        <v>7.4</v>
      </c>
    </row>
    <row r="3355" ht="14.25" customHeight="1">
      <c r="A3355" s="1" t="s">
        <v>26</v>
      </c>
      <c r="B3355" s="1" t="s">
        <v>15818</v>
      </c>
      <c r="C3355" s="1" t="s">
        <v>15819</v>
      </c>
      <c r="D3355" s="1">
        <v>6517198.0</v>
      </c>
      <c r="E3355" s="1" t="s">
        <v>1854</v>
      </c>
      <c r="F3355" s="1" t="s">
        <v>12390</v>
      </c>
      <c r="G3355" s="1" t="s">
        <v>15820</v>
      </c>
      <c r="H3355" s="1" t="s">
        <v>15821</v>
      </c>
      <c r="I3355" s="1">
        <v>30474.0</v>
      </c>
      <c r="J3355" s="1" t="s">
        <v>15822</v>
      </c>
      <c r="K3355" s="1" t="s">
        <v>15823</v>
      </c>
      <c r="L3355" s="1">
        <v>172.0</v>
      </c>
      <c r="M3355" s="1" t="s">
        <v>2648</v>
      </c>
      <c r="N3355" s="1" t="s">
        <v>15824</v>
      </c>
      <c r="O3355" s="1" t="s">
        <v>628</v>
      </c>
      <c r="P3355" s="1">
        <v>3000000.0</v>
      </c>
      <c r="Q3355" s="1">
        <v>2004.0</v>
      </c>
      <c r="R3355" s="1">
        <v>280.0</v>
      </c>
      <c r="S3355" s="1">
        <v>11.0</v>
      </c>
      <c r="T3355" s="1">
        <v>6.0</v>
      </c>
      <c r="U3355" s="1">
        <v>308.0</v>
      </c>
      <c r="V3355" s="1">
        <v>13.0</v>
      </c>
      <c r="W3355" s="1">
        <v>0.0</v>
      </c>
      <c r="X3355" s="1">
        <v>0.0</v>
      </c>
      <c r="Y3355" s="1">
        <v>1.85</v>
      </c>
      <c r="Z3355" s="1">
        <v>7.5</v>
      </c>
    </row>
    <row r="3356" ht="14.25" customHeight="1">
      <c r="A3356" s="1" t="s">
        <v>26</v>
      </c>
      <c r="B3356" s="1" t="s">
        <v>15560</v>
      </c>
      <c r="C3356" s="1" t="s">
        <v>15825</v>
      </c>
      <c r="D3356" s="1">
        <v>5776314.0</v>
      </c>
      <c r="E3356" s="1" t="s">
        <v>1359</v>
      </c>
      <c r="F3356" s="1" t="s">
        <v>2062</v>
      </c>
      <c r="G3356" s="1" t="s">
        <v>11104</v>
      </c>
      <c r="H3356" s="1" t="s">
        <v>15826</v>
      </c>
      <c r="I3356" s="1">
        <v>73349.0</v>
      </c>
      <c r="J3356" s="1" t="s">
        <v>15827</v>
      </c>
      <c r="K3356" s="1" t="s">
        <v>15828</v>
      </c>
      <c r="L3356" s="1">
        <v>142.0</v>
      </c>
      <c r="M3356" s="1" t="s">
        <v>35</v>
      </c>
      <c r="N3356" s="1" t="s">
        <v>36</v>
      </c>
      <c r="O3356" s="1" t="s">
        <v>628</v>
      </c>
      <c r="P3356" s="1">
        <v>3200000.0</v>
      </c>
      <c r="Q3356" s="1">
        <v>2010.0</v>
      </c>
      <c r="R3356" s="1">
        <v>1000.0</v>
      </c>
      <c r="S3356" s="1">
        <v>394.0</v>
      </c>
      <c r="T3356" s="1">
        <v>157.0</v>
      </c>
      <c r="U3356" s="1">
        <v>2016.0</v>
      </c>
      <c r="V3356" s="1">
        <v>101.0</v>
      </c>
      <c r="W3356" s="1">
        <v>15000.0</v>
      </c>
      <c r="X3356" s="1">
        <v>4.0</v>
      </c>
      <c r="Y3356" s="1">
        <v>1.85</v>
      </c>
      <c r="Z3356" s="1">
        <v>7.2</v>
      </c>
    </row>
    <row r="3357" ht="14.25" customHeight="1">
      <c r="A3357" s="1" t="s">
        <v>26</v>
      </c>
      <c r="B3357" s="1" t="s">
        <v>4957</v>
      </c>
      <c r="C3357" s="1" t="s">
        <v>15829</v>
      </c>
      <c r="D3357" s="1">
        <v>1.416E8</v>
      </c>
      <c r="E3357" s="1" t="s">
        <v>1885</v>
      </c>
      <c r="F3357" s="1" t="s">
        <v>8451</v>
      </c>
      <c r="G3357" s="1" t="s">
        <v>1290</v>
      </c>
      <c r="H3357" s="1" t="s">
        <v>5051</v>
      </c>
      <c r="I3357" s="1">
        <v>90177.0</v>
      </c>
      <c r="J3357" s="1" t="s">
        <v>15830</v>
      </c>
      <c r="K3357" s="1" t="s">
        <v>15831</v>
      </c>
      <c r="L3357" s="1">
        <v>257.0</v>
      </c>
      <c r="M3357" s="1" t="s">
        <v>35</v>
      </c>
      <c r="N3357" s="1" t="s">
        <v>36</v>
      </c>
      <c r="O3357" s="1" t="s">
        <v>628</v>
      </c>
      <c r="P3357" s="1">
        <v>3000000.0</v>
      </c>
      <c r="Q3357" s="1">
        <v>1978.0</v>
      </c>
      <c r="R3357" s="1">
        <v>1000.0</v>
      </c>
      <c r="S3357" s="1">
        <v>783.0</v>
      </c>
      <c r="T3357" s="1">
        <v>559.0</v>
      </c>
      <c r="U3357" s="1">
        <v>3468.0</v>
      </c>
      <c r="V3357" s="1">
        <v>644.0</v>
      </c>
      <c r="W3357" s="1">
        <v>0.0</v>
      </c>
      <c r="X3357" s="1">
        <v>6.0</v>
      </c>
      <c r="Y3357" s="1">
        <v>1.85</v>
      </c>
      <c r="Z3357" s="1">
        <v>7.6</v>
      </c>
    </row>
    <row r="3358" ht="14.25" customHeight="1">
      <c r="A3358" s="1" t="s">
        <v>26</v>
      </c>
      <c r="B3358" s="1" t="s">
        <v>14234</v>
      </c>
      <c r="C3358" s="1" t="s">
        <v>15832</v>
      </c>
      <c r="D3358" s="1">
        <v>5.11E7</v>
      </c>
      <c r="E3358" s="1" t="s">
        <v>48</v>
      </c>
      <c r="F3358" s="1" t="s">
        <v>15833</v>
      </c>
      <c r="G3358" s="1" t="s">
        <v>15834</v>
      </c>
      <c r="H3358" s="1" t="s">
        <v>7532</v>
      </c>
      <c r="I3358" s="1">
        <v>139432.0</v>
      </c>
      <c r="J3358" s="1" t="s">
        <v>15835</v>
      </c>
      <c r="K3358" s="1" t="s">
        <v>15836</v>
      </c>
      <c r="L3358" s="1">
        <v>418.0</v>
      </c>
      <c r="M3358" s="1" t="s">
        <v>35</v>
      </c>
      <c r="N3358" s="1" t="s">
        <v>54</v>
      </c>
      <c r="O3358" s="1" t="s">
        <v>5661</v>
      </c>
      <c r="P3358" s="1">
        <v>3000000.0</v>
      </c>
      <c r="Q3358" s="1">
        <v>1964.0</v>
      </c>
      <c r="R3358" s="1">
        <v>387.0</v>
      </c>
      <c r="S3358" s="1">
        <v>202.0</v>
      </c>
      <c r="T3358" s="1">
        <v>177.0</v>
      </c>
      <c r="U3358" s="1">
        <v>1198.0</v>
      </c>
      <c r="V3358" s="1">
        <v>82.0</v>
      </c>
      <c r="W3358" s="1">
        <v>0.0</v>
      </c>
      <c r="X3358" s="1">
        <v>2.0</v>
      </c>
      <c r="Y3358" s="1">
        <v>1.37</v>
      </c>
      <c r="Z3358" s="1">
        <v>7.8</v>
      </c>
    </row>
    <row r="3359" ht="14.25" customHeight="1">
      <c r="A3359" s="1" t="s">
        <v>26</v>
      </c>
      <c r="B3359" s="1" t="s">
        <v>5001</v>
      </c>
      <c r="C3359" s="1" t="s">
        <v>15837</v>
      </c>
      <c r="D3359" s="1">
        <v>1.6501785E7</v>
      </c>
      <c r="E3359" s="1" t="s">
        <v>3238</v>
      </c>
      <c r="F3359" s="1" t="s">
        <v>390</v>
      </c>
      <c r="G3359" s="1" t="s">
        <v>2207</v>
      </c>
      <c r="H3359" s="1" t="s">
        <v>352</v>
      </c>
      <c r="I3359" s="1">
        <v>469561.0</v>
      </c>
      <c r="J3359" s="1" t="s">
        <v>15838</v>
      </c>
      <c r="K3359" s="1" t="s">
        <v>15839</v>
      </c>
      <c r="L3359" s="1">
        <v>514.0</v>
      </c>
      <c r="M3359" s="1" t="s">
        <v>35</v>
      </c>
      <c r="N3359" s="1" t="s">
        <v>54</v>
      </c>
      <c r="O3359" s="1" t="s">
        <v>628</v>
      </c>
      <c r="P3359" s="1">
        <v>3500000.0</v>
      </c>
      <c r="Q3359" s="1">
        <v>1996.0</v>
      </c>
      <c r="R3359" s="1">
        <v>2000.0</v>
      </c>
      <c r="S3359" s="1">
        <v>887.0</v>
      </c>
      <c r="T3359" s="1">
        <v>557.0</v>
      </c>
      <c r="U3359" s="1">
        <v>3559.0</v>
      </c>
      <c r="V3359" s="1">
        <v>0.0</v>
      </c>
      <c r="W3359" s="1">
        <v>21000.0</v>
      </c>
      <c r="X3359" s="1">
        <v>4.0</v>
      </c>
      <c r="Y3359" s="1">
        <v>1.85</v>
      </c>
      <c r="Z3359" s="1">
        <v>8.2</v>
      </c>
    </row>
    <row r="3360" ht="14.25" customHeight="1">
      <c r="A3360" s="1" t="s">
        <v>26</v>
      </c>
      <c r="B3360" s="1" t="s">
        <v>4801</v>
      </c>
      <c r="C3360" s="1" t="s">
        <v>15840</v>
      </c>
      <c r="D3360" s="1">
        <v>3.8168022E7</v>
      </c>
      <c r="E3360" s="1" t="s">
        <v>14973</v>
      </c>
      <c r="F3360" s="1" t="s">
        <v>767</v>
      </c>
      <c r="G3360" s="1" t="s">
        <v>769</v>
      </c>
      <c r="H3360" s="1" t="s">
        <v>13945</v>
      </c>
      <c r="I3360" s="1">
        <v>4687.0</v>
      </c>
      <c r="J3360" s="1" t="s">
        <v>15841</v>
      </c>
      <c r="K3360" s="1" t="s">
        <v>15842</v>
      </c>
      <c r="L3360" s="1">
        <v>83.0</v>
      </c>
      <c r="M3360" s="1" t="s">
        <v>35</v>
      </c>
      <c r="N3360" s="1" t="s">
        <v>36</v>
      </c>
      <c r="O3360" s="1" t="s">
        <v>628</v>
      </c>
      <c r="P3360" s="1">
        <v>3000000.0</v>
      </c>
      <c r="Q3360" s="1">
        <v>2000.0</v>
      </c>
      <c r="R3360" s="1">
        <v>1000.0</v>
      </c>
      <c r="S3360" s="1">
        <v>436.0</v>
      </c>
      <c r="T3360" s="1">
        <v>360.0</v>
      </c>
      <c r="U3360" s="1">
        <v>1964.0</v>
      </c>
      <c r="V3360" s="1">
        <v>0.0</v>
      </c>
      <c r="W3360" s="1">
        <v>290.0</v>
      </c>
      <c r="X3360" s="1">
        <v>0.0</v>
      </c>
      <c r="Y3360" s="1">
        <v>1.85</v>
      </c>
      <c r="Z3360" s="1">
        <v>6.6</v>
      </c>
    </row>
    <row r="3361" ht="14.25" customHeight="1">
      <c r="A3361" s="1" t="s">
        <v>26</v>
      </c>
      <c r="B3361" s="1" t="s">
        <v>15843</v>
      </c>
      <c r="C3361" s="1" t="s">
        <v>15844</v>
      </c>
      <c r="D3361" s="1">
        <v>8.4749884E7</v>
      </c>
      <c r="E3361" s="1" t="s">
        <v>6019</v>
      </c>
      <c r="F3361" s="1" t="s">
        <v>14983</v>
      </c>
      <c r="G3361" s="1" t="s">
        <v>15025</v>
      </c>
      <c r="H3361" s="1" t="s">
        <v>15845</v>
      </c>
      <c r="I3361" s="1">
        <v>82133.0</v>
      </c>
      <c r="J3361" s="1" t="s">
        <v>15846</v>
      </c>
      <c r="K3361" s="1" t="s">
        <v>15847</v>
      </c>
      <c r="L3361" s="1">
        <v>359.0</v>
      </c>
      <c r="M3361" s="1" t="s">
        <v>35</v>
      </c>
      <c r="N3361" s="1" t="s">
        <v>36</v>
      </c>
      <c r="O3361" s="1" t="s">
        <v>628</v>
      </c>
      <c r="P3361" s="1">
        <v>3000000.0</v>
      </c>
      <c r="Q3361" s="1">
        <v>2010.0</v>
      </c>
      <c r="R3361" s="1">
        <v>438.0</v>
      </c>
      <c r="S3361" s="1">
        <v>332.0</v>
      </c>
      <c r="T3361" s="1">
        <v>189.0</v>
      </c>
      <c r="U3361" s="1">
        <v>1081.0</v>
      </c>
      <c r="V3361" s="1">
        <v>21.0</v>
      </c>
      <c r="W3361" s="1">
        <v>14000.0</v>
      </c>
      <c r="X3361" s="1">
        <v>0.0</v>
      </c>
      <c r="Y3361" s="1">
        <v>1.85</v>
      </c>
      <c r="Z3361" s="1">
        <v>5.7</v>
      </c>
    </row>
    <row r="3362" ht="14.25" customHeight="1">
      <c r="A3362" s="1" t="s">
        <v>26</v>
      </c>
      <c r="B3362" s="1" t="s">
        <v>6672</v>
      </c>
      <c r="C3362" s="1" t="s">
        <v>15848</v>
      </c>
      <c r="D3362" s="1">
        <v>2.4788807E7</v>
      </c>
      <c r="E3362" s="1" t="s">
        <v>1885</v>
      </c>
      <c r="F3362" s="1" t="s">
        <v>168</v>
      </c>
      <c r="G3362" s="1" t="s">
        <v>752</v>
      </c>
      <c r="H3362" s="1" t="s">
        <v>7708</v>
      </c>
      <c r="I3362" s="1">
        <v>21245.0</v>
      </c>
      <c r="J3362" s="1" t="s">
        <v>15849</v>
      </c>
      <c r="K3362" s="1" t="s">
        <v>15850</v>
      </c>
      <c r="L3362" s="1">
        <v>213.0</v>
      </c>
      <c r="M3362" s="1" t="s">
        <v>35</v>
      </c>
      <c r="N3362" s="1" t="s">
        <v>54</v>
      </c>
      <c r="O3362" s="1" t="s">
        <v>87</v>
      </c>
      <c r="P3362" s="1">
        <v>3000000.0</v>
      </c>
      <c r="Q3362" s="1">
        <v>1998.0</v>
      </c>
      <c r="R3362" s="1">
        <v>773.0</v>
      </c>
      <c r="S3362" s="1">
        <v>588.0</v>
      </c>
      <c r="T3362" s="1">
        <v>482.0</v>
      </c>
      <c r="U3362" s="1">
        <v>1965.0</v>
      </c>
      <c r="V3362" s="1">
        <v>52.0</v>
      </c>
      <c r="W3362" s="1">
        <v>0.0</v>
      </c>
      <c r="X3362" s="1">
        <v>0.0</v>
      </c>
      <c r="Y3362" s="1">
        <v>2.35</v>
      </c>
      <c r="Z3362" s="1">
        <v>7.4</v>
      </c>
    </row>
    <row r="3363" ht="14.25" customHeight="1">
      <c r="A3363" s="1" t="s">
        <v>710</v>
      </c>
      <c r="B3363" s="1" t="s">
        <v>3607</v>
      </c>
      <c r="C3363" s="1" t="s">
        <v>15851</v>
      </c>
      <c r="D3363" s="1">
        <v>2.1244913E7</v>
      </c>
      <c r="E3363" s="1" t="s">
        <v>15852</v>
      </c>
      <c r="F3363" s="1" t="s">
        <v>3607</v>
      </c>
      <c r="G3363" s="1" t="s">
        <v>15853</v>
      </c>
      <c r="H3363" s="1" t="s">
        <v>13742</v>
      </c>
      <c r="I3363" s="1">
        <v>123090.0</v>
      </c>
      <c r="J3363" s="1" t="s">
        <v>15854</v>
      </c>
      <c r="K3363" s="1" t="s">
        <v>15855</v>
      </c>
      <c r="L3363" s="1">
        <v>888.0</v>
      </c>
      <c r="M3363" s="1" t="s">
        <v>35</v>
      </c>
      <c r="N3363" s="1" t="s">
        <v>730</v>
      </c>
      <c r="O3363" s="1" t="s">
        <v>628</v>
      </c>
      <c r="P3363" s="1">
        <v>4000000.0</v>
      </c>
      <c r="Q3363" s="1">
        <v>2002.0</v>
      </c>
      <c r="R3363" s="1">
        <v>909.0</v>
      </c>
      <c r="S3363" s="1">
        <v>504.0</v>
      </c>
      <c r="T3363" s="1">
        <v>184.0</v>
      </c>
      <c r="U3363" s="1">
        <v>1779.0</v>
      </c>
      <c r="V3363" s="1">
        <v>909.0</v>
      </c>
      <c r="W3363" s="1">
        <v>4000.0</v>
      </c>
      <c r="X3363" s="1">
        <v>2.0</v>
      </c>
      <c r="Y3363" s="1">
        <v>1.85</v>
      </c>
      <c r="Z3363" s="1">
        <v>8.0</v>
      </c>
    </row>
    <row r="3364" ht="14.25" customHeight="1">
      <c r="A3364" s="1" t="s">
        <v>26</v>
      </c>
      <c r="B3364" s="1" t="s">
        <v>15856</v>
      </c>
      <c r="C3364" s="1" t="s">
        <v>15857</v>
      </c>
      <c r="D3364" s="1">
        <v>3.0E7</v>
      </c>
      <c r="E3364" s="1" t="s">
        <v>6959</v>
      </c>
      <c r="F3364" s="1" t="s">
        <v>15858</v>
      </c>
      <c r="G3364" s="1" t="s">
        <v>15859</v>
      </c>
      <c r="H3364" s="1" t="s">
        <v>1252</v>
      </c>
      <c r="I3364" s="1">
        <v>43485.0</v>
      </c>
      <c r="J3364" s="1" t="s">
        <v>15860</v>
      </c>
      <c r="K3364" s="1" t="s">
        <v>15861</v>
      </c>
      <c r="L3364" s="1">
        <v>327.0</v>
      </c>
      <c r="M3364" s="1" t="s">
        <v>35</v>
      </c>
      <c r="N3364" s="1" t="s">
        <v>36</v>
      </c>
      <c r="O3364" s="1" t="s">
        <v>628</v>
      </c>
      <c r="P3364" s="1">
        <v>2200000.0</v>
      </c>
      <c r="Q3364" s="1">
        <v>1985.0</v>
      </c>
      <c r="R3364" s="1">
        <v>426.0</v>
      </c>
      <c r="S3364" s="1">
        <v>359.0</v>
      </c>
      <c r="T3364" s="1">
        <v>217.0</v>
      </c>
      <c r="U3364" s="1">
        <v>1472.0</v>
      </c>
      <c r="V3364" s="1">
        <v>28.0</v>
      </c>
      <c r="W3364" s="1">
        <v>0.0</v>
      </c>
      <c r="X3364" s="1">
        <v>0.0</v>
      </c>
      <c r="Y3364" s="1">
        <v>1.85</v>
      </c>
      <c r="Z3364" s="1">
        <v>5.4</v>
      </c>
    </row>
    <row r="3365" ht="14.25" customHeight="1">
      <c r="A3365" s="1" t="s">
        <v>26</v>
      </c>
      <c r="B3365" s="1" t="s">
        <v>11357</v>
      </c>
      <c r="C3365" s="1" t="s">
        <v>15862</v>
      </c>
      <c r="D3365" s="1">
        <v>2.0966644E7</v>
      </c>
      <c r="E3365" s="1" t="s">
        <v>206</v>
      </c>
      <c r="F3365" s="1" t="s">
        <v>5829</v>
      </c>
      <c r="G3365" s="1" t="s">
        <v>4857</v>
      </c>
      <c r="H3365" s="1" t="s">
        <v>15863</v>
      </c>
      <c r="I3365" s="1">
        <v>29610.0</v>
      </c>
      <c r="J3365" s="1" t="s">
        <v>15864</v>
      </c>
      <c r="K3365" s="1" t="s">
        <v>15865</v>
      </c>
      <c r="L3365" s="1">
        <v>94.0</v>
      </c>
      <c r="M3365" s="1" t="s">
        <v>35</v>
      </c>
      <c r="N3365" s="1" t="s">
        <v>54</v>
      </c>
      <c r="O3365" s="1" t="s">
        <v>12164</v>
      </c>
      <c r="P3365" s="1">
        <v>3000000.0</v>
      </c>
      <c r="Q3365" s="1">
        <v>1985.0</v>
      </c>
      <c r="R3365" s="1">
        <v>687.0</v>
      </c>
      <c r="S3365" s="1">
        <v>443.0</v>
      </c>
      <c r="T3365" s="1">
        <v>249.0</v>
      </c>
      <c r="U3365" s="1">
        <v>1665.0</v>
      </c>
      <c r="V3365" s="1">
        <v>133.0</v>
      </c>
      <c r="W3365" s="1">
        <v>0.0</v>
      </c>
      <c r="X3365" s="1">
        <v>0.0</v>
      </c>
      <c r="Y3365" s="1">
        <v>1.66</v>
      </c>
      <c r="Z3365" s="1">
        <v>7.4</v>
      </c>
    </row>
    <row r="3366" ht="14.25" customHeight="1">
      <c r="A3366" s="1" t="s">
        <v>26</v>
      </c>
      <c r="B3366" s="1" t="s">
        <v>13145</v>
      </c>
      <c r="C3366" s="1" t="s">
        <v>15866</v>
      </c>
      <c r="D3366" s="1">
        <v>6.442365E7</v>
      </c>
      <c r="E3366" s="1" t="s">
        <v>4107</v>
      </c>
      <c r="F3366" s="1" t="s">
        <v>7943</v>
      </c>
      <c r="G3366" s="1" t="s">
        <v>15867</v>
      </c>
      <c r="H3366" s="1" t="s">
        <v>4352</v>
      </c>
      <c r="I3366" s="1">
        <v>139329.0</v>
      </c>
      <c r="J3366" s="1" t="s">
        <v>15868</v>
      </c>
      <c r="K3366" s="1" t="s">
        <v>15869</v>
      </c>
      <c r="L3366" s="1">
        <v>578.0</v>
      </c>
      <c r="M3366" s="1" t="s">
        <v>35</v>
      </c>
      <c r="N3366" s="1" t="s">
        <v>36</v>
      </c>
      <c r="O3366" s="1" t="s">
        <v>628</v>
      </c>
      <c r="P3366" s="1">
        <v>3000000.0</v>
      </c>
      <c r="Q3366" s="1">
        <v>2013.0</v>
      </c>
      <c r="R3366" s="1">
        <v>942.0</v>
      </c>
      <c r="S3366" s="1">
        <v>810.0</v>
      </c>
      <c r="T3366" s="1">
        <v>535.0</v>
      </c>
      <c r="U3366" s="1">
        <v>3708.0</v>
      </c>
      <c r="V3366" s="1">
        <v>65.0</v>
      </c>
      <c r="W3366" s="1">
        <v>31000.0</v>
      </c>
      <c r="X3366" s="1">
        <v>0.0</v>
      </c>
      <c r="Y3366" s="1">
        <v>2.35</v>
      </c>
      <c r="Z3366" s="1">
        <v>5.7</v>
      </c>
    </row>
    <row r="3367" ht="14.25" customHeight="1">
      <c r="A3367" s="1" t="s">
        <v>26</v>
      </c>
      <c r="B3367" s="1" t="s">
        <v>2564</v>
      </c>
      <c r="C3367" s="1" t="s">
        <v>15870</v>
      </c>
      <c r="D3367" s="1">
        <v>4.805694E7</v>
      </c>
      <c r="E3367" s="1" t="s">
        <v>5924</v>
      </c>
      <c r="F3367" s="1" t="s">
        <v>15871</v>
      </c>
      <c r="G3367" s="1" t="s">
        <v>15872</v>
      </c>
      <c r="H3367" s="1" t="s">
        <v>4803</v>
      </c>
      <c r="I3367" s="1">
        <v>155153.0</v>
      </c>
      <c r="J3367" s="1" t="s">
        <v>15873</v>
      </c>
      <c r="K3367" s="1" t="s">
        <v>15874</v>
      </c>
      <c r="L3367" s="1">
        <v>524.0</v>
      </c>
      <c r="M3367" s="1" t="s">
        <v>35</v>
      </c>
      <c r="N3367" s="1" t="s">
        <v>36</v>
      </c>
      <c r="O3367" s="1" t="s">
        <v>628</v>
      </c>
      <c r="P3367" s="1">
        <v>3000000.0</v>
      </c>
      <c r="Q3367" s="1">
        <v>2012.0</v>
      </c>
      <c r="R3367" s="1">
        <v>1000.0</v>
      </c>
      <c r="S3367" s="1">
        <v>419.0</v>
      </c>
      <c r="T3367" s="1">
        <v>412.0</v>
      </c>
      <c r="U3367" s="1">
        <v>2239.0</v>
      </c>
      <c r="V3367" s="1">
        <v>301.0</v>
      </c>
      <c r="W3367" s="1">
        <v>58000.0</v>
      </c>
      <c r="X3367" s="1">
        <v>0.0</v>
      </c>
      <c r="Y3367" s="1">
        <v>2.35</v>
      </c>
      <c r="Z3367" s="1">
        <v>6.8</v>
      </c>
    </row>
    <row r="3368" ht="14.25" customHeight="1">
      <c r="A3368" s="1" t="s">
        <v>26</v>
      </c>
      <c r="B3368" s="1" t="s">
        <v>11820</v>
      </c>
      <c r="C3368" s="1" t="s">
        <v>15875</v>
      </c>
      <c r="D3368" s="1">
        <v>1.9184015E7</v>
      </c>
      <c r="E3368" s="1" t="s">
        <v>15876</v>
      </c>
      <c r="F3368" s="1" t="s">
        <v>1523</v>
      </c>
      <c r="G3368" s="1" t="s">
        <v>15877</v>
      </c>
      <c r="H3368" s="1" t="s">
        <v>15878</v>
      </c>
      <c r="I3368" s="1">
        <v>1466.0</v>
      </c>
      <c r="J3368" s="1" t="s">
        <v>15879</v>
      </c>
      <c r="K3368" s="1" t="s">
        <v>15880</v>
      </c>
      <c r="L3368" s="1">
        <v>35.0</v>
      </c>
      <c r="M3368" s="1" t="s">
        <v>35</v>
      </c>
      <c r="N3368" s="1" t="s">
        <v>36</v>
      </c>
      <c r="O3368" s="1" t="s">
        <v>628</v>
      </c>
      <c r="P3368" s="1">
        <v>3000000.0</v>
      </c>
      <c r="Q3368" s="1">
        <v>2002.0</v>
      </c>
      <c r="R3368" s="1">
        <v>71.0</v>
      </c>
      <c r="S3368" s="1">
        <v>65.0</v>
      </c>
      <c r="T3368" s="1">
        <v>12.0</v>
      </c>
      <c r="U3368" s="1">
        <v>159.0</v>
      </c>
      <c r="V3368" s="1">
        <v>9.0</v>
      </c>
      <c r="W3368" s="1">
        <v>63.0</v>
      </c>
      <c r="X3368" s="1">
        <v>1.0</v>
      </c>
      <c r="Y3368" s="1">
        <v>1.85</v>
      </c>
      <c r="Z3368" s="1">
        <v>5.4</v>
      </c>
    </row>
    <row r="3369" ht="14.25" customHeight="1">
      <c r="A3369" s="1" t="s">
        <v>26</v>
      </c>
      <c r="B3369" s="1" t="s">
        <v>6705</v>
      </c>
      <c r="C3369" s="1" t="s">
        <v>15881</v>
      </c>
      <c r="D3369" s="1">
        <v>2.4629916E7</v>
      </c>
      <c r="E3369" s="1" t="s">
        <v>12543</v>
      </c>
      <c r="F3369" s="1" t="s">
        <v>4147</v>
      </c>
      <c r="G3369" s="1" t="s">
        <v>3633</v>
      </c>
      <c r="H3369" s="1" t="s">
        <v>1951</v>
      </c>
      <c r="I3369" s="1">
        <v>12942.0</v>
      </c>
      <c r="J3369" s="1" t="s">
        <v>15882</v>
      </c>
      <c r="K3369" s="1" t="s">
        <v>15883</v>
      </c>
      <c r="L3369" s="1">
        <v>34.0</v>
      </c>
      <c r="M3369" s="1" t="s">
        <v>35</v>
      </c>
      <c r="N3369" s="1" t="s">
        <v>36</v>
      </c>
      <c r="O3369" s="1" t="s">
        <v>87</v>
      </c>
      <c r="P3369" s="1">
        <v>3000000.0</v>
      </c>
      <c r="Q3369" s="1">
        <v>1997.0</v>
      </c>
      <c r="R3369" s="1">
        <v>2000.0</v>
      </c>
      <c r="S3369" s="1">
        <v>970.0</v>
      </c>
      <c r="T3369" s="1">
        <v>693.0</v>
      </c>
      <c r="U3369" s="1">
        <v>4277.0</v>
      </c>
      <c r="V3369" s="1">
        <v>188.0</v>
      </c>
      <c r="W3369" s="1">
        <v>902.0</v>
      </c>
      <c r="X3369" s="1">
        <v>0.0</v>
      </c>
      <c r="Y3369" s="1">
        <v>1.85</v>
      </c>
      <c r="Z3369" s="1">
        <v>5.1</v>
      </c>
    </row>
    <row r="3370" ht="14.25" customHeight="1">
      <c r="A3370" s="1" t="s">
        <v>26</v>
      </c>
      <c r="B3370" s="1" t="s">
        <v>15884</v>
      </c>
      <c r="C3370" s="1" t="s">
        <v>15885</v>
      </c>
      <c r="D3370" s="1">
        <v>1.9472057E7</v>
      </c>
      <c r="E3370" s="1" t="s">
        <v>6278</v>
      </c>
      <c r="F3370" s="1" t="s">
        <v>981</v>
      </c>
      <c r="G3370" s="1" t="s">
        <v>15886</v>
      </c>
      <c r="H3370" s="1" t="s">
        <v>15887</v>
      </c>
      <c r="I3370" s="1">
        <v>25332.0</v>
      </c>
      <c r="J3370" s="1" t="s">
        <v>15888</v>
      </c>
      <c r="K3370" s="1" t="s">
        <v>15889</v>
      </c>
      <c r="L3370" s="1">
        <v>307.0</v>
      </c>
      <c r="M3370" s="1" t="s">
        <v>35</v>
      </c>
      <c r="N3370" s="1" t="s">
        <v>36</v>
      </c>
      <c r="O3370" s="1" t="s">
        <v>628</v>
      </c>
      <c r="P3370" s="1">
        <v>3000000.0</v>
      </c>
      <c r="Q3370" s="1">
        <v>1986.0</v>
      </c>
      <c r="R3370" s="1">
        <v>956.0</v>
      </c>
      <c r="S3370" s="1">
        <v>316.0</v>
      </c>
      <c r="T3370" s="1">
        <v>155.0</v>
      </c>
      <c r="U3370" s="1">
        <v>1862.0</v>
      </c>
      <c r="V3370" s="1">
        <v>41.0</v>
      </c>
      <c r="W3370" s="1">
        <v>0.0</v>
      </c>
      <c r="X3370" s="1">
        <v>0.0</v>
      </c>
      <c r="Y3370" s="1">
        <v>1.85</v>
      </c>
      <c r="Z3370" s="1">
        <v>5.9</v>
      </c>
    </row>
    <row r="3371" ht="14.25" customHeight="1">
      <c r="A3371" s="1" t="s">
        <v>26</v>
      </c>
      <c r="B3371" s="1" t="s">
        <v>8421</v>
      </c>
      <c r="C3371" s="1" t="s">
        <v>15890</v>
      </c>
      <c r="D3371" s="1">
        <v>2.72E7</v>
      </c>
      <c r="E3371" s="1" t="s">
        <v>3158</v>
      </c>
      <c r="F3371" s="1" t="s">
        <v>15891</v>
      </c>
      <c r="G3371" s="1" t="s">
        <v>15892</v>
      </c>
      <c r="H3371" s="1" t="s">
        <v>11558</v>
      </c>
      <c r="I3371" s="1">
        <v>149444.0</v>
      </c>
      <c r="J3371" s="1" t="s">
        <v>15893</v>
      </c>
      <c r="K3371" s="1" t="s">
        <v>15894</v>
      </c>
      <c r="L3371" s="1">
        <v>273.0</v>
      </c>
      <c r="M3371" s="1" t="s">
        <v>35</v>
      </c>
      <c r="N3371" s="1" t="s">
        <v>54</v>
      </c>
      <c r="O3371" s="1" t="s">
        <v>87</v>
      </c>
      <c r="P3371" s="1">
        <v>3000000.0</v>
      </c>
      <c r="Q3371" s="1">
        <v>1957.0</v>
      </c>
      <c r="R3371" s="1">
        <v>682.0</v>
      </c>
      <c r="S3371" s="1">
        <v>119.0</v>
      </c>
      <c r="T3371" s="1">
        <v>87.0</v>
      </c>
      <c r="U3371" s="1">
        <v>1035.0</v>
      </c>
      <c r="V3371" s="1">
        <v>767.0</v>
      </c>
      <c r="W3371" s="1">
        <v>0.0</v>
      </c>
      <c r="X3371" s="1">
        <v>2.0</v>
      </c>
      <c r="Y3371" s="1">
        <v>2.35</v>
      </c>
      <c r="Z3371" s="1">
        <v>8.2</v>
      </c>
    </row>
    <row r="3372" ht="14.25" customHeight="1">
      <c r="A3372" s="1" t="s">
        <v>26</v>
      </c>
      <c r="B3372" s="1" t="s">
        <v>5134</v>
      </c>
      <c r="C3372" s="1" t="s">
        <v>15895</v>
      </c>
      <c r="D3372" s="1">
        <v>1.5369573E7</v>
      </c>
      <c r="E3372" s="1" t="s">
        <v>1792</v>
      </c>
      <c r="F3372" s="1" t="s">
        <v>2837</v>
      </c>
      <c r="G3372" s="1" t="s">
        <v>15896</v>
      </c>
      <c r="H3372" s="1" t="s">
        <v>15897</v>
      </c>
      <c r="I3372" s="1">
        <v>2580.0</v>
      </c>
      <c r="J3372" s="1" t="s">
        <v>15898</v>
      </c>
      <c r="K3372" s="1" t="s">
        <v>15899</v>
      </c>
      <c r="L3372" s="1">
        <v>54.0</v>
      </c>
      <c r="M3372" s="1" t="s">
        <v>35</v>
      </c>
      <c r="N3372" s="1" t="s">
        <v>36</v>
      </c>
      <c r="O3372" s="1" t="s">
        <v>87</v>
      </c>
      <c r="P3372" s="1">
        <v>3000000.0</v>
      </c>
      <c r="Q3372" s="1">
        <v>1990.0</v>
      </c>
      <c r="R3372" s="1">
        <v>610.0</v>
      </c>
      <c r="S3372" s="1">
        <v>232.0</v>
      </c>
      <c r="T3372" s="1">
        <v>175.0</v>
      </c>
      <c r="U3372" s="1">
        <v>1441.0</v>
      </c>
      <c r="V3372" s="1">
        <v>32.0</v>
      </c>
      <c r="W3372" s="1">
        <v>710.0</v>
      </c>
      <c r="X3372" s="1">
        <v>1.0</v>
      </c>
      <c r="Y3372" s="1">
        <v>1.85</v>
      </c>
      <c r="Z3372" s="1">
        <v>5.3</v>
      </c>
    </row>
    <row r="3373" ht="14.25" customHeight="1">
      <c r="A3373" s="1" t="s">
        <v>26</v>
      </c>
      <c r="B3373" s="1" t="s">
        <v>15900</v>
      </c>
      <c r="C3373" s="1" t="s">
        <v>15901</v>
      </c>
      <c r="D3373" s="1">
        <v>1.5935068E7</v>
      </c>
      <c r="E3373" s="1" t="s">
        <v>9021</v>
      </c>
      <c r="F3373" s="1" t="s">
        <v>12099</v>
      </c>
      <c r="G3373" s="1" t="s">
        <v>15902</v>
      </c>
      <c r="H3373" s="1" t="s">
        <v>15903</v>
      </c>
      <c r="I3373" s="1">
        <v>19331.0</v>
      </c>
      <c r="J3373" s="1" t="s">
        <v>15904</v>
      </c>
      <c r="K3373" s="1" t="s">
        <v>15905</v>
      </c>
      <c r="L3373" s="1">
        <v>317.0</v>
      </c>
      <c r="M3373" s="1" t="s">
        <v>35</v>
      </c>
      <c r="N3373" s="1" t="s">
        <v>36</v>
      </c>
      <c r="O3373" s="1" t="s">
        <v>628</v>
      </c>
      <c r="P3373" s="1">
        <v>2500000.0</v>
      </c>
      <c r="Q3373" s="1">
        <v>1993.0</v>
      </c>
      <c r="R3373" s="1">
        <v>935.0</v>
      </c>
      <c r="S3373" s="1">
        <v>805.0</v>
      </c>
      <c r="T3373" s="1">
        <v>307.0</v>
      </c>
      <c r="U3373" s="1">
        <v>2899.0</v>
      </c>
      <c r="V3373" s="1">
        <v>18.0</v>
      </c>
      <c r="W3373" s="1">
        <v>949.0</v>
      </c>
      <c r="X3373" s="1">
        <v>0.0</v>
      </c>
      <c r="Y3373" s="1">
        <v>1.85</v>
      </c>
      <c r="Z3373" s="1">
        <v>4.3</v>
      </c>
    </row>
    <row r="3374" ht="14.25" customHeight="1">
      <c r="A3374" s="1" t="s">
        <v>26</v>
      </c>
      <c r="B3374" s="1" t="s">
        <v>1485</v>
      </c>
      <c r="C3374" s="1" t="s">
        <v>15906</v>
      </c>
      <c r="D3374" s="1">
        <v>1.1694528E7</v>
      </c>
      <c r="E3374" s="1" t="s">
        <v>15907</v>
      </c>
      <c r="F3374" s="1" t="s">
        <v>321</v>
      </c>
      <c r="G3374" s="1" t="s">
        <v>2520</v>
      </c>
      <c r="H3374" s="1" t="s">
        <v>15908</v>
      </c>
      <c r="I3374" s="1">
        <v>7721.0</v>
      </c>
      <c r="J3374" s="1" t="s">
        <v>15909</v>
      </c>
      <c r="K3374" s="1" t="s">
        <v>15910</v>
      </c>
      <c r="L3374" s="1">
        <v>72.0</v>
      </c>
      <c r="M3374" s="1" t="s">
        <v>35</v>
      </c>
      <c r="N3374" s="1" t="s">
        <v>36</v>
      </c>
      <c r="O3374" s="1" t="s">
        <v>628</v>
      </c>
      <c r="P3374" s="1">
        <v>3000000.0</v>
      </c>
      <c r="Q3374" s="1">
        <v>2005.0</v>
      </c>
      <c r="R3374" s="1">
        <v>989.0</v>
      </c>
      <c r="S3374" s="1">
        <v>744.0</v>
      </c>
      <c r="T3374" s="1">
        <v>220.0</v>
      </c>
      <c r="U3374" s="1">
        <v>2165.0</v>
      </c>
      <c r="V3374" s="1">
        <v>1000.0</v>
      </c>
      <c r="W3374" s="1">
        <v>635.0</v>
      </c>
      <c r="X3374" s="1">
        <v>0.0</v>
      </c>
      <c r="Y3374" s="1">
        <v>1.85</v>
      </c>
      <c r="Z3374" s="1">
        <v>7.2</v>
      </c>
    </row>
    <row r="3375" ht="14.25" customHeight="1">
      <c r="A3375" s="1" t="s">
        <v>26</v>
      </c>
      <c r="B3375" s="1" t="s">
        <v>15911</v>
      </c>
      <c r="C3375" s="1" t="s">
        <v>15912</v>
      </c>
      <c r="D3375" s="1">
        <v>1.0017041E7</v>
      </c>
      <c r="E3375" s="1" t="s">
        <v>1670</v>
      </c>
      <c r="F3375" s="1" t="s">
        <v>5589</v>
      </c>
      <c r="G3375" s="1" t="s">
        <v>8395</v>
      </c>
      <c r="H3375" s="1" t="s">
        <v>4977</v>
      </c>
      <c r="I3375" s="1">
        <v>8265.0</v>
      </c>
      <c r="J3375" s="1" t="s">
        <v>15913</v>
      </c>
      <c r="K3375" s="1" t="s">
        <v>15914</v>
      </c>
      <c r="L3375" s="1">
        <v>20.0</v>
      </c>
      <c r="M3375" s="1" t="s">
        <v>35</v>
      </c>
      <c r="N3375" s="1" t="s">
        <v>36</v>
      </c>
      <c r="O3375" s="1" t="s">
        <v>628</v>
      </c>
      <c r="P3375" s="1">
        <v>3000000.0</v>
      </c>
      <c r="Q3375" s="1">
        <v>2009.0</v>
      </c>
      <c r="R3375" s="1">
        <v>1000.0</v>
      </c>
      <c r="S3375" s="1">
        <v>927.0</v>
      </c>
      <c r="T3375" s="1">
        <v>706.0</v>
      </c>
      <c r="U3375" s="1">
        <v>4815.0</v>
      </c>
      <c r="V3375" s="1">
        <v>23.0</v>
      </c>
      <c r="W3375" s="1">
        <v>545.0</v>
      </c>
      <c r="X3375" s="1">
        <v>3.0</v>
      </c>
      <c r="Y3375" s="1">
        <v>1.85</v>
      </c>
      <c r="Z3375" s="1">
        <v>5.9</v>
      </c>
    </row>
    <row r="3376" ht="14.25" customHeight="1">
      <c r="A3376" s="1" t="s">
        <v>26</v>
      </c>
      <c r="B3376" s="1" t="s">
        <v>15915</v>
      </c>
      <c r="C3376" s="1" t="s">
        <v>15916</v>
      </c>
      <c r="D3376" s="1">
        <v>7059537.0</v>
      </c>
      <c r="E3376" s="1" t="s">
        <v>1885</v>
      </c>
      <c r="F3376" s="1" t="s">
        <v>5151</v>
      </c>
      <c r="G3376" s="1" t="s">
        <v>10496</v>
      </c>
      <c r="H3376" s="1" t="s">
        <v>15917</v>
      </c>
      <c r="I3376" s="1">
        <v>8279.0</v>
      </c>
      <c r="J3376" s="1" t="s">
        <v>15918</v>
      </c>
      <c r="K3376" s="1" t="s">
        <v>15919</v>
      </c>
      <c r="L3376" s="1">
        <v>101.0</v>
      </c>
      <c r="M3376" s="1" t="s">
        <v>35</v>
      </c>
      <c r="N3376" s="1" t="s">
        <v>36</v>
      </c>
      <c r="O3376" s="1" t="s">
        <v>37</v>
      </c>
      <c r="P3376" s="1">
        <v>3000000.0</v>
      </c>
      <c r="Q3376" s="1">
        <v>2006.0</v>
      </c>
      <c r="R3376" s="1">
        <v>939.0</v>
      </c>
      <c r="S3376" s="1">
        <v>407.0</v>
      </c>
      <c r="T3376" s="1">
        <v>233.0</v>
      </c>
      <c r="U3376" s="1">
        <v>2321.0</v>
      </c>
      <c r="V3376" s="1">
        <v>18.0</v>
      </c>
      <c r="W3376" s="1">
        <v>837.0</v>
      </c>
      <c r="X3376" s="1">
        <v>0.0</v>
      </c>
      <c r="Y3376" s="1">
        <v>1.85</v>
      </c>
      <c r="Z3376" s="1">
        <v>3.0</v>
      </c>
    </row>
    <row r="3377" ht="14.25" customHeight="1">
      <c r="A3377" s="1" t="s">
        <v>26</v>
      </c>
      <c r="B3377" s="1" t="s">
        <v>8489</v>
      </c>
      <c r="C3377" s="1" t="s">
        <v>15920</v>
      </c>
      <c r="D3377" s="1">
        <v>8114507.0</v>
      </c>
      <c r="E3377" s="1" t="s">
        <v>206</v>
      </c>
      <c r="F3377" s="1" t="s">
        <v>15921</v>
      </c>
      <c r="G3377" s="1" t="s">
        <v>15922</v>
      </c>
      <c r="H3377" s="1" t="s">
        <v>15923</v>
      </c>
      <c r="I3377" s="1">
        <v>95362.0</v>
      </c>
      <c r="J3377" s="1" t="s">
        <v>15924</v>
      </c>
      <c r="K3377" s="1" t="s">
        <v>15925</v>
      </c>
      <c r="L3377" s="1">
        <v>270.0</v>
      </c>
      <c r="M3377" s="1" t="s">
        <v>35</v>
      </c>
      <c r="N3377" s="1" t="s">
        <v>36</v>
      </c>
      <c r="O3377" s="1" t="s">
        <v>628</v>
      </c>
      <c r="P3377" s="1">
        <v>3000000.0</v>
      </c>
      <c r="Q3377" s="1">
        <v>2013.0</v>
      </c>
      <c r="R3377" s="1">
        <v>140.0</v>
      </c>
      <c r="S3377" s="1">
        <v>63.0</v>
      </c>
      <c r="T3377" s="1">
        <v>48.0</v>
      </c>
      <c r="U3377" s="1">
        <v>328.0</v>
      </c>
      <c r="V3377" s="1">
        <v>0.0</v>
      </c>
      <c r="W3377" s="1">
        <v>62000.0</v>
      </c>
      <c r="X3377" s="1">
        <v>1.0</v>
      </c>
      <c r="Y3377" s="1">
        <v>1.85</v>
      </c>
      <c r="Z3377" s="1">
        <v>7.9</v>
      </c>
    </row>
    <row r="3378" ht="14.25" customHeight="1">
      <c r="A3378" s="1" t="s">
        <v>26</v>
      </c>
      <c r="B3378" s="1" t="s">
        <v>15926</v>
      </c>
      <c r="C3378" s="1" t="s">
        <v>15927</v>
      </c>
      <c r="D3378" s="1">
        <v>7888703.0</v>
      </c>
      <c r="E3378" s="1" t="s">
        <v>2657</v>
      </c>
      <c r="F3378" s="1" t="s">
        <v>15928</v>
      </c>
      <c r="G3378" s="1" t="s">
        <v>15929</v>
      </c>
      <c r="H3378" s="1" t="s">
        <v>15116</v>
      </c>
      <c r="I3378" s="1">
        <v>8465.0</v>
      </c>
      <c r="J3378" s="1" t="s">
        <v>15930</v>
      </c>
      <c r="K3378" s="1" t="s">
        <v>15931</v>
      </c>
      <c r="L3378" s="1">
        <v>65.0</v>
      </c>
      <c r="M3378" s="1" t="s">
        <v>35</v>
      </c>
      <c r="N3378" s="1" t="s">
        <v>36</v>
      </c>
      <c r="O3378" s="1" t="s">
        <v>87</v>
      </c>
      <c r="P3378" s="1">
        <v>3000000.0</v>
      </c>
      <c r="Q3378" s="1">
        <v>1987.0</v>
      </c>
      <c r="R3378" s="1">
        <v>641.0</v>
      </c>
      <c r="S3378" s="1">
        <v>168.0</v>
      </c>
      <c r="T3378" s="1">
        <v>152.0</v>
      </c>
      <c r="U3378" s="1">
        <v>1389.0</v>
      </c>
      <c r="V3378" s="1">
        <v>4.0</v>
      </c>
      <c r="W3378" s="1">
        <v>491.0</v>
      </c>
      <c r="X3378" s="1">
        <v>1.0</v>
      </c>
      <c r="Y3378" s="1">
        <v>1.85</v>
      </c>
      <c r="Z3378" s="1">
        <v>3.2</v>
      </c>
    </row>
    <row r="3379" ht="14.25" customHeight="1">
      <c r="A3379" s="1" t="s">
        <v>26</v>
      </c>
      <c r="B3379" s="1" t="s">
        <v>15932</v>
      </c>
      <c r="C3379" s="1" t="s">
        <v>15933</v>
      </c>
      <c r="D3379" s="1">
        <v>7282851.0</v>
      </c>
      <c r="E3379" s="1" t="s">
        <v>4093</v>
      </c>
      <c r="F3379" s="1" t="s">
        <v>15934</v>
      </c>
      <c r="G3379" s="1" t="s">
        <v>15935</v>
      </c>
      <c r="H3379" s="1" t="s">
        <v>15936</v>
      </c>
      <c r="I3379" s="1">
        <v>9502.0</v>
      </c>
      <c r="J3379" s="1" t="s">
        <v>15937</v>
      </c>
      <c r="K3379" s="1" t="s">
        <v>15938</v>
      </c>
      <c r="L3379" s="1">
        <v>100.0</v>
      </c>
      <c r="M3379" s="1" t="s">
        <v>35</v>
      </c>
      <c r="N3379" s="1" t="s">
        <v>36</v>
      </c>
      <c r="O3379" s="1" t="s">
        <v>628</v>
      </c>
      <c r="P3379" s="1">
        <v>3000000.0</v>
      </c>
      <c r="Q3379" s="1">
        <v>1988.0</v>
      </c>
      <c r="R3379" s="1">
        <v>674.0</v>
      </c>
      <c r="S3379" s="1">
        <v>174.0</v>
      </c>
      <c r="T3379" s="1">
        <v>135.0</v>
      </c>
      <c r="U3379" s="1">
        <v>1395.0</v>
      </c>
      <c r="V3379" s="1">
        <v>152.0</v>
      </c>
      <c r="W3379" s="1">
        <v>812.0</v>
      </c>
      <c r="X3379" s="1">
        <v>1.0</v>
      </c>
      <c r="Y3379" s="1">
        <v>1.85</v>
      </c>
      <c r="Z3379" s="1">
        <v>6.5</v>
      </c>
    </row>
    <row r="3380" ht="14.25" customHeight="1">
      <c r="A3380" s="1" t="s">
        <v>26</v>
      </c>
      <c r="B3380" s="1" t="s">
        <v>15939</v>
      </c>
      <c r="C3380" s="1" t="s">
        <v>15940</v>
      </c>
      <c r="D3380" s="1">
        <v>5844929.0</v>
      </c>
      <c r="E3380" s="1" t="s">
        <v>2422</v>
      </c>
      <c r="F3380" s="1" t="s">
        <v>617</v>
      </c>
      <c r="G3380" s="1" t="s">
        <v>4743</v>
      </c>
      <c r="H3380" s="1" t="s">
        <v>8360</v>
      </c>
      <c r="I3380" s="1">
        <v>6000.0</v>
      </c>
      <c r="J3380" s="1" t="s">
        <v>15941</v>
      </c>
      <c r="K3380" s="1" t="s">
        <v>15942</v>
      </c>
      <c r="L3380" s="1">
        <v>109.0</v>
      </c>
      <c r="M3380" s="1" t="s">
        <v>35</v>
      </c>
      <c r="N3380" s="1" t="s">
        <v>36</v>
      </c>
      <c r="O3380" s="1" t="s">
        <v>37</v>
      </c>
      <c r="P3380" s="1">
        <v>3000000.0</v>
      </c>
      <c r="Q3380" s="1">
        <v>2002.0</v>
      </c>
      <c r="R3380" s="1">
        <v>953.0</v>
      </c>
      <c r="S3380" s="1">
        <v>625.0</v>
      </c>
      <c r="T3380" s="1">
        <v>453.0</v>
      </c>
      <c r="U3380" s="1">
        <v>2510.0</v>
      </c>
      <c r="V3380" s="1">
        <v>15.0</v>
      </c>
      <c r="W3380" s="1">
        <v>595.0</v>
      </c>
      <c r="X3380" s="1">
        <v>1.0</v>
      </c>
      <c r="Y3380" s="1">
        <v>1.85</v>
      </c>
      <c r="Z3380" s="1">
        <v>7.0</v>
      </c>
    </row>
    <row r="3381" ht="14.25" customHeight="1">
      <c r="A3381" s="1" t="s">
        <v>26</v>
      </c>
      <c r="B3381" s="1" t="s">
        <v>15943</v>
      </c>
      <c r="C3381" s="1" t="s">
        <v>15944</v>
      </c>
      <c r="D3381" s="1">
        <v>4170647.0</v>
      </c>
      <c r="E3381" s="1" t="s">
        <v>2422</v>
      </c>
      <c r="F3381" s="1" t="s">
        <v>1443</v>
      </c>
      <c r="G3381" s="1" t="s">
        <v>13047</v>
      </c>
      <c r="H3381" s="1" t="s">
        <v>4461</v>
      </c>
      <c r="I3381" s="1">
        <v>14548.0</v>
      </c>
      <c r="J3381" s="1" t="s">
        <v>15945</v>
      </c>
      <c r="K3381" s="1" t="s">
        <v>15946</v>
      </c>
      <c r="L3381" s="1">
        <v>161.0</v>
      </c>
      <c r="M3381" s="1" t="s">
        <v>35</v>
      </c>
      <c r="N3381" s="1" t="s">
        <v>54</v>
      </c>
      <c r="O3381" s="1" t="s">
        <v>628</v>
      </c>
      <c r="P3381" s="1">
        <v>1900000.0</v>
      </c>
      <c r="Q3381" s="1">
        <v>1999.0</v>
      </c>
      <c r="R3381" s="1">
        <v>883.0</v>
      </c>
      <c r="S3381" s="1">
        <v>183.0</v>
      </c>
      <c r="T3381" s="1">
        <v>163.0</v>
      </c>
      <c r="U3381" s="1">
        <v>1616.0</v>
      </c>
      <c r="V3381" s="1">
        <v>70.0</v>
      </c>
      <c r="W3381" s="1">
        <v>1000.0</v>
      </c>
      <c r="X3381" s="1">
        <v>0.0</v>
      </c>
      <c r="Y3381" s="1">
        <v>1.85</v>
      </c>
      <c r="Z3381" s="1">
        <v>6.9</v>
      </c>
    </row>
    <row r="3382" ht="14.25" customHeight="1">
      <c r="A3382" s="1" t="s">
        <v>26</v>
      </c>
      <c r="B3382" s="1" t="s">
        <v>15947</v>
      </c>
      <c r="C3382" s="1" t="s">
        <v>15948</v>
      </c>
      <c r="D3382" s="1">
        <v>4142507.0</v>
      </c>
      <c r="E3382" s="1" t="s">
        <v>1598</v>
      </c>
      <c r="F3382" s="1" t="s">
        <v>15949</v>
      </c>
      <c r="G3382" s="1" t="s">
        <v>7012</v>
      </c>
      <c r="H3382" s="1" t="s">
        <v>15950</v>
      </c>
      <c r="I3382" s="1">
        <v>3665.0</v>
      </c>
      <c r="J3382" s="1" t="s">
        <v>15951</v>
      </c>
      <c r="K3382" s="1" t="s">
        <v>15952</v>
      </c>
      <c r="L3382" s="1">
        <v>81.0</v>
      </c>
      <c r="M3382" s="1" t="s">
        <v>35</v>
      </c>
      <c r="N3382" s="1" t="s">
        <v>36</v>
      </c>
      <c r="O3382" s="1" t="s">
        <v>628</v>
      </c>
      <c r="P3382" s="1">
        <v>3000000.0</v>
      </c>
      <c r="Q3382" s="1">
        <v>2000.0</v>
      </c>
      <c r="R3382" s="1">
        <v>472.0</v>
      </c>
      <c r="S3382" s="1">
        <v>324.0</v>
      </c>
      <c r="T3382" s="1">
        <v>51.0</v>
      </c>
      <c r="U3382" s="1">
        <v>858.0</v>
      </c>
      <c r="V3382" s="1">
        <v>0.0</v>
      </c>
      <c r="W3382" s="1">
        <v>131.0</v>
      </c>
      <c r="X3382" s="1">
        <v>1.0</v>
      </c>
      <c r="Y3382" s="1">
        <v>1.85</v>
      </c>
      <c r="Z3382" s="1">
        <v>4.4</v>
      </c>
    </row>
    <row r="3383" ht="14.25" customHeight="1">
      <c r="A3383" s="1" t="s">
        <v>26</v>
      </c>
      <c r="B3383" s="1" t="s">
        <v>9482</v>
      </c>
      <c r="C3383" s="1" t="s">
        <v>15953</v>
      </c>
      <c r="D3383" s="1">
        <v>4109095.0</v>
      </c>
      <c r="E3383" s="1" t="s">
        <v>15954</v>
      </c>
      <c r="F3383" s="1" t="s">
        <v>3341</v>
      </c>
      <c r="G3383" s="1" t="s">
        <v>12398</v>
      </c>
      <c r="H3383" s="1" t="s">
        <v>15955</v>
      </c>
      <c r="I3383" s="1">
        <v>8239.0</v>
      </c>
      <c r="J3383" s="1" t="s">
        <v>15956</v>
      </c>
      <c r="K3383" s="1" t="s">
        <v>15957</v>
      </c>
      <c r="L3383" s="1">
        <v>92.0</v>
      </c>
      <c r="M3383" s="1" t="s">
        <v>35</v>
      </c>
      <c r="N3383" s="1" t="s">
        <v>36</v>
      </c>
      <c r="O3383" s="1" t="s">
        <v>628</v>
      </c>
      <c r="P3383" s="1">
        <v>3000000.0</v>
      </c>
      <c r="Q3383" s="1">
        <v>1996.0</v>
      </c>
      <c r="R3383" s="1">
        <v>729.0</v>
      </c>
      <c r="S3383" s="1">
        <v>257.0</v>
      </c>
      <c r="T3383" s="1">
        <v>200.0</v>
      </c>
      <c r="U3383" s="1">
        <v>1292.0</v>
      </c>
      <c r="V3383" s="1">
        <v>300.0</v>
      </c>
      <c r="W3383" s="1">
        <v>0.0</v>
      </c>
      <c r="X3383" s="1">
        <v>0.0</v>
      </c>
      <c r="Y3383" s="1">
        <v>1.85</v>
      </c>
      <c r="Z3383" s="1">
        <v>6.0</v>
      </c>
    </row>
    <row r="3384" ht="14.25" customHeight="1">
      <c r="A3384" s="1" t="s">
        <v>26</v>
      </c>
      <c r="B3384" s="1" t="s">
        <v>15958</v>
      </c>
      <c r="C3384" s="1" t="s">
        <v>15959</v>
      </c>
      <c r="D3384" s="1">
        <v>3902679.0</v>
      </c>
      <c r="E3384" s="1" t="s">
        <v>6959</v>
      </c>
      <c r="F3384" s="1" t="s">
        <v>5829</v>
      </c>
      <c r="G3384" s="1" t="s">
        <v>12914</v>
      </c>
      <c r="H3384" s="1" t="s">
        <v>15960</v>
      </c>
      <c r="I3384" s="1">
        <v>3943.0</v>
      </c>
      <c r="J3384" s="1" t="s">
        <v>15961</v>
      </c>
      <c r="K3384" s="1" t="s">
        <v>15962</v>
      </c>
      <c r="L3384" s="1">
        <v>49.0</v>
      </c>
      <c r="M3384" s="1" t="s">
        <v>35</v>
      </c>
      <c r="N3384" s="1" t="s">
        <v>36</v>
      </c>
      <c r="O3384" s="1" t="s">
        <v>628</v>
      </c>
      <c r="P3384" s="1">
        <v>3000000.0</v>
      </c>
      <c r="Q3384" s="1">
        <v>1993.0</v>
      </c>
      <c r="R3384" s="1">
        <v>687.0</v>
      </c>
      <c r="S3384" s="1">
        <v>233.0</v>
      </c>
      <c r="T3384" s="1">
        <v>222.0</v>
      </c>
      <c r="U3384" s="1">
        <v>1806.0</v>
      </c>
      <c r="V3384" s="1">
        <v>16.0</v>
      </c>
      <c r="W3384" s="1">
        <v>217.0</v>
      </c>
      <c r="X3384" s="1">
        <v>0.0</v>
      </c>
      <c r="Y3384" s="1">
        <v>1.66</v>
      </c>
      <c r="Z3384" s="1">
        <v>5.3</v>
      </c>
    </row>
    <row r="3385" ht="14.25" customHeight="1">
      <c r="A3385" s="1" t="s">
        <v>26</v>
      </c>
      <c r="B3385" s="1" t="s">
        <v>15963</v>
      </c>
      <c r="C3385" s="1" t="s">
        <v>15964</v>
      </c>
      <c r="D3385" s="1">
        <v>3559990.0</v>
      </c>
      <c r="E3385" s="1" t="s">
        <v>972</v>
      </c>
      <c r="F3385" s="1" t="s">
        <v>5569</v>
      </c>
      <c r="G3385" s="1" t="s">
        <v>15965</v>
      </c>
      <c r="H3385" s="1" t="s">
        <v>3875</v>
      </c>
      <c r="I3385" s="1">
        <v>8005.0</v>
      </c>
      <c r="J3385" s="1" t="s">
        <v>15966</v>
      </c>
      <c r="K3385" s="1" t="s">
        <v>15967</v>
      </c>
      <c r="L3385" s="1">
        <v>49.0</v>
      </c>
      <c r="M3385" s="1" t="s">
        <v>35</v>
      </c>
      <c r="N3385" s="1" t="s">
        <v>36</v>
      </c>
      <c r="O3385" s="1" t="s">
        <v>628</v>
      </c>
      <c r="P3385" s="1">
        <v>3000000.0</v>
      </c>
      <c r="Q3385" s="1">
        <v>1997.0</v>
      </c>
      <c r="R3385" s="1">
        <v>578.0</v>
      </c>
      <c r="S3385" s="1">
        <v>341.0</v>
      </c>
      <c r="T3385" s="1">
        <v>267.0</v>
      </c>
      <c r="U3385" s="1">
        <v>1363.0</v>
      </c>
      <c r="V3385" s="1">
        <v>45.0</v>
      </c>
      <c r="W3385" s="1">
        <v>417.0</v>
      </c>
      <c r="X3385" s="1">
        <v>0.0</v>
      </c>
      <c r="Y3385" s="1">
        <v>1.85</v>
      </c>
      <c r="Z3385" s="1">
        <v>5.3</v>
      </c>
    </row>
    <row r="3386" ht="14.25" customHeight="1">
      <c r="A3386" s="1" t="s">
        <v>26</v>
      </c>
      <c r="B3386" s="1" t="s">
        <v>15968</v>
      </c>
      <c r="C3386" s="1" t="s">
        <v>15969</v>
      </c>
      <c r="D3386" s="1">
        <v>3287435.0</v>
      </c>
      <c r="E3386" s="1" t="s">
        <v>3238</v>
      </c>
      <c r="F3386" s="1" t="s">
        <v>637</v>
      </c>
      <c r="G3386" s="1" t="s">
        <v>15970</v>
      </c>
      <c r="H3386" s="1" t="s">
        <v>12620</v>
      </c>
      <c r="I3386" s="1">
        <v>8603.0</v>
      </c>
      <c r="J3386" s="1" t="s">
        <v>15971</v>
      </c>
      <c r="K3386" s="1" t="s">
        <v>15972</v>
      </c>
      <c r="L3386" s="1">
        <v>115.0</v>
      </c>
      <c r="M3386" s="1" t="s">
        <v>35</v>
      </c>
      <c r="N3386" s="1" t="s">
        <v>36</v>
      </c>
      <c r="O3386" s="1" t="s">
        <v>628</v>
      </c>
      <c r="P3386" s="1">
        <v>4500000.0</v>
      </c>
      <c r="Q3386" s="1">
        <v>2001.0</v>
      </c>
      <c r="R3386" s="1">
        <v>11000.0</v>
      </c>
      <c r="S3386" s="1">
        <v>813.0</v>
      </c>
      <c r="T3386" s="1">
        <v>194.0</v>
      </c>
      <c r="U3386" s="1">
        <v>12250.0</v>
      </c>
      <c r="V3386" s="1">
        <v>11.0</v>
      </c>
      <c r="W3386" s="1">
        <v>430.0</v>
      </c>
      <c r="X3386" s="1">
        <v>2.0</v>
      </c>
      <c r="Y3386" s="1">
        <v>1.85</v>
      </c>
      <c r="Z3386" s="1">
        <v>7.1</v>
      </c>
    </row>
    <row r="3387" ht="14.25" customHeight="1">
      <c r="A3387" s="1" t="s">
        <v>26</v>
      </c>
      <c r="B3387" s="1" t="s">
        <v>15973</v>
      </c>
      <c r="C3387" s="1" t="s">
        <v>15974</v>
      </c>
      <c r="D3387" s="1">
        <v>3071947.0</v>
      </c>
      <c r="E3387" s="1" t="s">
        <v>5605</v>
      </c>
      <c r="F3387" s="1" t="s">
        <v>7200</v>
      </c>
      <c r="G3387" s="1" t="s">
        <v>228</v>
      </c>
      <c r="H3387" s="1" t="s">
        <v>15975</v>
      </c>
      <c r="I3387" s="1">
        <v>18711.0</v>
      </c>
      <c r="J3387" s="1" t="s">
        <v>15976</v>
      </c>
      <c r="K3387" s="1" t="s">
        <v>15977</v>
      </c>
      <c r="L3387" s="1">
        <v>183.0</v>
      </c>
      <c r="M3387" s="1" t="s">
        <v>35</v>
      </c>
      <c r="N3387" s="1" t="s">
        <v>36</v>
      </c>
      <c r="O3387" s="1" t="s">
        <v>628</v>
      </c>
      <c r="P3387" s="1">
        <v>3500000.0</v>
      </c>
      <c r="Q3387" s="1">
        <v>1999.0</v>
      </c>
      <c r="R3387" s="1">
        <v>3000.0</v>
      </c>
      <c r="S3387" s="1">
        <v>2000.0</v>
      </c>
      <c r="T3387" s="1">
        <v>844.0</v>
      </c>
      <c r="U3387" s="1">
        <v>9555.0</v>
      </c>
      <c r="V3387" s="1">
        <v>18.0</v>
      </c>
      <c r="W3387" s="1">
        <v>0.0</v>
      </c>
      <c r="X3387" s="1">
        <v>3.0</v>
      </c>
      <c r="Y3387" s="1">
        <v>1.85</v>
      </c>
      <c r="Z3387" s="1">
        <v>5.4</v>
      </c>
    </row>
    <row r="3388" ht="14.25" customHeight="1">
      <c r="A3388" s="1" t="s">
        <v>26</v>
      </c>
      <c r="B3388" s="1" t="s">
        <v>15978</v>
      </c>
      <c r="C3388" s="1" t="s">
        <v>15979</v>
      </c>
      <c r="D3388" s="1">
        <v>2961991.0</v>
      </c>
      <c r="E3388" s="1" t="s">
        <v>1474</v>
      </c>
      <c r="F3388" s="1" t="s">
        <v>425</v>
      </c>
      <c r="G3388" s="1" t="s">
        <v>1787</v>
      </c>
      <c r="H3388" s="1" t="s">
        <v>15980</v>
      </c>
      <c r="I3388" s="1">
        <v>15885.0</v>
      </c>
      <c r="J3388" s="1" t="s">
        <v>15981</v>
      </c>
      <c r="K3388" s="1" t="s">
        <v>15982</v>
      </c>
      <c r="L3388" s="1">
        <v>78.0</v>
      </c>
      <c r="M3388" s="1" t="s">
        <v>35</v>
      </c>
      <c r="N3388" s="1" t="s">
        <v>36</v>
      </c>
      <c r="O3388" s="1" t="s">
        <v>628</v>
      </c>
      <c r="P3388" s="1">
        <v>3300000.0</v>
      </c>
      <c r="Q3388" s="1">
        <v>1996.0</v>
      </c>
      <c r="R3388" s="1">
        <v>10000.0</v>
      </c>
      <c r="S3388" s="1">
        <v>721.0</v>
      </c>
      <c r="T3388" s="1">
        <v>353.0</v>
      </c>
      <c r="U3388" s="1">
        <v>11459.0</v>
      </c>
      <c r="V3388" s="1">
        <v>232.0</v>
      </c>
      <c r="W3388" s="1">
        <v>0.0</v>
      </c>
      <c r="X3388" s="1">
        <v>4.0</v>
      </c>
      <c r="Y3388" s="1">
        <v>1.85</v>
      </c>
      <c r="Z3388" s="1">
        <v>6.9</v>
      </c>
    </row>
    <row r="3389" ht="14.25" customHeight="1">
      <c r="A3389" s="1" t="s">
        <v>26</v>
      </c>
      <c r="B3389" s="1" t="s">
        <v>779</v>
      </c>
      <c r="C3389" s="1" t="s">
        <v>15983</v>
      </c>
      <c r="D3389" s="1">
        <v>2912363.0</v>
      </c>
      <c r="E3389" s="1" t="s">
        <v>1854</v>
      </c>
      <c r="F3389" s="1" t="s">
        <v>7303</v>
      </c>
      <c r="G3389" s="1" t="s">
        <v>15984</v>
      </c>
      <c r="H3389" s="1" t="s">
        <v>15985</v>
      </c>
      <c r="I3389" s="1">
        <v>25063.0</v>
      </c>
      <c r="J3389" s="1" t="s">
        <v>15986</v>
      </c>
      <c r="K3389" s="1" t="s">
        <v>15987</v>
      </c>
      <c r="L3389" s="1">
        <v>177.0</v>
      </c>
      <c r="M3389" s="1" t="s">
        <v>15988</v>
      </c>
      <c r="N3389" s="1" t="s">
        <v>54</v>
      </c>
      <c r="O3389" s="1" t="s">
        <v>628</v>
      </c>
      <c r="P3389" s="1">
        <v>3000000.0</v>
      </c>
      <c r="Q3389" s="1">
        <v>2005.0</v>
      </c>
      <c r="R3389" s="1">
        <v>113.0</v>
      </c>
      <c r="S3389" s="1">
        <v>64.0</v>
      </c>
      <c r="T3389" s="1">
        <v>29.0</v>
      </c>
      <c r="U3389" s="1">
        <v>278.0</v>
      </c>
      <c r="V3389" s="1">
        <v>151.0</v>
      </c>
      <c r="W3389" s="1">
        <v>0.0</v>
      </c>
      <c r="X3389" s="1">
        <v>1.0</v>
      </c>
      <c r="Y3389" s="1">
        <v>2.35</v>
      </c>
      <c r="Z3389" s="1">
        <v>7.3</v>
      </c>
    </row>
    <row r="3390" ht="14.25" customHeight="1">
      <c r="A3390" s="1" t="s">
        <v>26</v>
      </c>
      <c r="B3390" s="1" t="s">
        <v>9320</v>
      </c>
      <c r="C3390" s="1" t="s">
        <v>15989</v>
      </c>
      <c r="D3390" s="1">
        <v>2223990.0</v>
      </c>
      <c r="E3390" s="1" t="s">
        <v>14973</v>
      </c>
      <c r="F3390" s="1" t="s">
        <v>8871</v>
      </c>
      <c r="G3390" s="1" t="s">
        <v>15990</v>
      </c>
      <c r="H3390" s="1" t="s">
        <v>15991</v>
      </c>
      <c r="I3390" s="1">
        <v>761.0</v>
      </c>
      <c r="J3390" s="1" t="s">
        <v>15992</v>
      </c>
      <c r="K3390" s="1" t="s">
        <v>15993</v>
      </c>
      <c r="L3390" s="1">
        <v>14.0</v>
      </c>
      <c r="M3390" s="1" t="s">
        <v>35</v>
      </c>
      <c r="N3390" s="1" t="s">
        <v>36</v>
      </c>
      <c r="O3390" s="1" t="s">
        <v>628</v>
      </c>
      <c r="P3390" s="1">
        <v>3000000.0</v>
      </c>
      <c r="Q3390" s="1">
        <v>2003.0</v>
      </c>
      <c r="R3390" s="1">
        <v>489.0</v>
      </c>
      <c r="S3390" s="1">
        <v>26.0</v>
      </c>
      <c r="T3390" s="1">
        <v>24.0</v>
      </c>
      <c r="U3390" s="1">
        <v>539.0</v>
      </c>
      <c r="V3390" s="1">
        <v>269.0</v>
      </c>
      <c r="W3390" s="1">
        <v>26.0</v>
      </c>
      <c r="X3390" s="1">
        <v>1.0</v>
      </c>
      <c r="Y3390" s="1">
        <v>1.85</v>
      </c>
      <c r="Z3390" s="1">
        <v>6.6</v>
      </c>
    </row>
    <row r="3391" ht="14.25" customHeight="1">
      <c r="A3391" s="1" t="s">
        <v>26</v>
      </c>
      <c r="B3391" s="1" t="s">
        <v>6697</v>
      </c>
      <c r="C3391" s="1" t="s">
        <v>15994</v>
      </c>
      <c r="D3391" s="1">
        <v>1821983.0</v>
      </c>
      <c r="E3391" s="1" t="s">
        <v>15995</v>
      </c>
      <c r="F3391" s="1" t="s">
        <v>41</v>
      </c>
      <c r="G3391" s="1" t="s">
        <v>2105</v>
      </c>
      <c r="H3391" s="1" t="s">
        <v>4404</v>
      </c>
      <c r="I3391" s="1">
        <v>31089.0</v>
      </c>
      <c r="J3391" s="1" t="s">
        <v>15996</v>
      </c>
      <c r="K3391" s="1" t="s">
        <v>15997</v>
      </c>
      <c r="L3391" s="1">
        <v>261.0</v>
      </c>
      <c r="M3391" s="1" t="s">
        <v>35</v>
      </c>
      <c r="N3391" s="1" t="s">
        <v>36</v>
      </c>
      <c r="O3391" s="1" t="s">
        <v>628</v>
      </c>
      <c r="P3391" s="1">
        <v>3000000.0</v>
      </c>
      <c r="Q3391" s="1">
        <v>2014.0</v>
      </c>
      <c r="R3391" s="1">
        <v>40000.0</v>
      </c>
      <c r="S3391" s="1">
        <v>3000.0</v>
      </c>
      <c r="T3391" s="1">
        <v>387.0</v>
      </c>
      <c r="U3391" s="1">
        <v>43810.0</v>
      </c>
      <c r="V3391" s="1">
        <v>0.0</v>
      </c>
      <c r="W3391" s="1">
        <v>20000.0</v>
      </c>
      <c r="X3391" s="1">
        <v>0.0</v>
      </c>
      <c r="Y3391" s="1">
        <v>2.35</v>
      </c>
      <c r="Z3391" s="1">
        <v>5.4</v>
      </c>
    </row>
    <row r="3392" ht="14.25" customHeight="1">
      <c r="A3392" s="1" t="s">
        <v>26</v>
      </c>
      <c r="B3392" s="1" t="s">
        <v>12837</v>
      </c>
      <c r="C3392" s="1" t="s">
        <v>15998</v>
      </c>
      <c r="D3392" s="1">
        <v>2181290.0</v>
      </c>
      <c r="E3392" s="1" t="s">
        <v>1842</v>
      </c>
      <c r="F3392" s="1" t="s">
        <v>12536</v>
      </c>
      <c r="G3392" s="1" t="s">
        <v>15999</v>
      </c>
      <c r="H3392" s="1" t="s">
        <v>15399</v>
      </c>
      <c r="I3392" s="1">
        <v>356181.0</v>
      </c>
      <c r="J3392" s="1" t="s">
        <v>16000</v>
      </c>
      <c r="K3392" s="1" t="s">
        <v>16001</v>
      </c>
      <c r="L3392" s="1">
        <v>809.0</v>
      </c>
      <c r="M3392" s="1" t="s">
        <v>12540</v>
      </c>
      <c r="N3392" s="1" t="s">
        <v>6497</v>
      </c>
      <c r="O3392" s="1" t="s">
        <v>628</v>
      </c>
      <c r="P3392" s="1">
        <v>3000000.0</v>
      </c>
      <c r="Q3392" s="1">
        <v>2003.0</v>
      </c>
      <c r="R3392" s="1">
        <v>717.0</v>
      </c>
      <c r="S3392" s="1">
        <v>78.0</v>
      </c>
      <c r="T3392" s="1">
        <v>38.0</v>
      </c>
      <c r="U3392" s="1">
        <v>852.0</v>
      </c>
      <c r="V3392" s="1">
        <v>0.0</v>
      </c>
      <c r="W3392" s="1">
        <v>43000.0</v>
      </c>
      <c r="X3392" s="1">
        <v>0.0</v>
      </c>
      <c r="Y3392" s="1">
        <v>2.35</v>
      </c>
      <c r="Z3392" s="1">
        <v>8.4</v>
      </c>
    </row>
    <row r="3393" ht="14.25" customHeight="1">
      <c r="A3393" s="1" t="s">
        <v>26</v>
      </c>
      <c r="B3393" s="1" t="s">
        <v>16002</v>
      </c>
      <c r="C3393" s="1" t="s">
        <v>16003</v>
      </c>
      <c r="D3393" s="1">
        <v>2848578.0</v>
      </c>
      <c r="E3393" s="1" t="s">
        <v>6707</v>
      </c>
      <c r="F3393" s="1" t="s">
        <v>16004</v>
      </c>
      <c r="G3393" s="1" t="s">
        <v>16005</v>
      </c>
      <c r="H3393" s="1" t="s">
        <v>16006</v>
      </c>
      <c r="I3393" s="1">
        <v>3942.0</v>
      </c>
      <c r="J3393" s="1" t="s">
        <v>16007</v>
      </c>
      <c r="K3393" s="1" t="s">
        <v>16008</v>
      </c>
      <c r="L3393" s="1">
        <v>65.0</v>
      </c>
      <c r="M3393" s="1" t="s">
        <v>35</v>
      </c>
      <c r="N3393" s="1" t="s">
        <v>36</v>
      </c>
      <c r="O3393" s="1" t="s">
        <v>87</v>
      </c>
      <c r="P3393" s="1">
        <v>3500000.0</v>
      </c>
      <c r="Q3393" s="1">
        <v>2010.0</v>
      </c>
      <c r="R3393" s="1">
        <v>439.0</v>
      </c>
      <c r="S3393" s="1">
        <v>399.0</v>
      </c>
      <c r="T3393" s="1">
        <v>221.0</v>
      </c>
      <c r="U3393" s="1">
        <v>1567.0</v>
      </c>
      <c r="V3393" s="1">
        <v>13.0</v>
      </c>
      <c r="W3393" s="1">
        <v>0.0</v>
      </c>
      <c r="X3393" s="1">
        <v>0.0</v>
      </c>
      <c r="Y3393" s="1">
        <v>1.78</v>
      </c>
      <c r="Z3393" s="1">
        <v>6.3</v>
      </c>
    </row>
    <row r="3394" ht="14.25" customHeight="1">
      <c r="A3394" s="1" t="s">
        <v>26</v>
      </c>
      <c r="B3394" s="1" t="s">
        <v>16009</v>
      </c>
      <c r="C3394" s="1" t="s">
        <v>16010</v>
      </c>
      <c r="D3394" s="1">
        <v>703002.0</v>
      </c>
      <c r="E3394" s="1" t="s">
        <v>1650</v>
      </c>
      <c r="F3394" s="1" t="s">
        <v>5126</v>
      </c>
      <c r="G3394" s="1" t="s">
        <v>16011</v>
      </c>
      <c r="H3394" s="1" t="s">
        <v>16012</v>
      </c>
      <c r="I3394" s="1">
        <v>37495.0</v>
      </c>
      <c r="J3394" s="1" t="s">
        <v>16013</v>
      </c>
      <c r="K3394" s="1" t="s">
        <v>16014</v>
      </c>
      <c r="L3394" s="1">
        <v>230.0</v>
      </c>
      <c r="M3394" s="1" t="s">
        <v>35</v>
      </c>
      <c r="N3394" s="1" t="s">
        <v>260</v>
      </c>
      <c r="O3394" s="1" t="s">
        <v>9252</v>
      </c>
      <c r="P3394" s="1">
        <v>3000000.0</v>
      </c>
      <c r="Q3394" s="1">
        <v>2011.0</v>
      </c>
      <c r="R3394" s="1">
        <v>694.0</v>
      </c>
      <c r="S3394" s="1">
        <v>324.0</v>
      </c>
      <c r="T3394" s="1">
        <v>104.0</v>
      </c>
      <c r="U3394" s="1">
        <v>1249.0</v>
      </c>
      <c r="V3394" s="1">
        <v>59.0</v>
      </c>
      <c r="W3394" s="1">
        <v>37000.0</v>
      </c>
      <c r="X3394" s="1">
        <v>4.0</v>
      </c>
      <c r="Y3394" s="1">
        <v>2.35</v>
      </c>
      <c r="Z3394" s="1">
        <v>6.1</v>
      </c>
    </row>
    <row r="3395" ht="14.25" customHeight="1">
      <c r="A3395" s="1" t="s">
        <v>26</v>
      </c>
      <c r="B3395" s="1" t="s">
        <v>16015</v>
      </c>
      <c r="C3395" s="1" t="s">
        <v>16016</v>
      </c>
      <c r="D3395" s="1">
        <v>418268.0</v>
      </c>
      <c r="E3395" s="1" t="s">
        <v>1598</v>
      </c>
      <c r="F3395" s="1" t="s">
        <v>76</v>
      </c>
      <c r="G3395" s="1" t="s">
        <v>1475</v>
      </c>
      <c r="H3395" s="1" t="s">
        <v>16017</v>
      </c>
      <c r="I3395" s="1">
        <v>37156.0</v>
      </c>
      <c r="J3395" s="1" t="s">
        <v>16018</v>
      </c>
      <c r="K3395" s="1" t="s">
        <v>16019</v>
      </c>
      <c r="L3395" s="1">
        <v>129.0</v>
      </c>
      <c r="M3395" s="1" t="s">
        <v>35</v>
      </c>
      <c r="N3395" s="1" t="s">
        <v>36</v>
      </c>
      <c r="O3395" s="1" t="s">
        <v>628</v>
      </c>
      <c r="P3395" s="1">
        <v>3000000.0</v>
      </c>
      <c r="Q3395" s="1">
        <v>2012.0</v>
      </c>
      <c r="R3395" s="1">
        <v>4000.0</v>
      </c>
      <c r="S3395" s="1">
        <v>3000.0</v>
      </c>
      <c r="T3395" s="1">
        <v>416.0</v>
      </c>
      <c r="U3395" s="1">
        <v>8353.0</v>
      </c>
      <c r="V3395" s="1">
        <v>21.0</v>
      </c>
      <c r="W3395" s="1">
        <v>0.0</v>
      </c>
      <c r="X3395" s="1">
        <v>3.0</v>
      </c>
      <c r="Y3395" s="1">
        <v>2.35</v>
      </c>
      <c r="Z3395" s="1">
        <v>5.3</v>
      </c>
    </row>
    <row r="3396" ht="14.25" customHeight="1">
      <c r="A3396" s="1" t="s">
        <v>26</v>
      </c>
      <c r="B3396" s="1" t="s">
        <v>1434</v>
      </c>
      <c r="C3396" s="1" t="s">
        <v>16020</v>
      </c>
      <c r="D3396" s="1">
        <v>200803.0</v>
      </c>
      <c r="E3396" s="1" t="s">
        <v>1885</v>
      </c>
      <c r="F3396" s="1" t="s">
        <v>13327</v>
      </c>
      <c r="G3396" s="1" t="s">
        <v>5131</v>
      </c>
      <c r="H3396" s="1" t="s">
        <v>16021</v>
      </c>
      <c r="I3396" s="1">
        <v>7988.0</v>
      </c>
      <c r="J3396" s="1" t="s">
        <v>16022</v>
      </c>
      <c r="K3396" s="1" t="s">
        <v>16023</v>
      </c>
      <c r="L3396" s="1">
        <v>71.0</v>
      </c>
      <c r="M3396" s="1" t="s">
        <v>35</v>
      </c>
      <c r="N3396" s="1" t="s">
        <v>36</v>
      </c>
      <c r="O3396" s="1" t="s">
        <v>628</v>
      </c>
      <c r="P3396" s="1">
        <v>3000000.0</v>
      </c>
      <c r="Q3396" s="1">
        <v>2012.0</v>
      </c>
      <c r="R3396" s="1">
        <v>536.0</v>
      </c>
      <c r="S3396" s="1">
        <v>317.0</v>
      </c>
      <c r="T3396" s="1">
        <v>197.0</v>
      </c>
      <c r="U3396" s="1">
        <v>1467.0</v>
      </c>
      <c r="V3396" s="1">
        <v>78.0</v>
      </c>
      <c r="W3396" s="1">
        <v>0.0</v>
      </c>
      <c r="X3396" s="1">
        <v>3.0</v>
      </c>
      <c r="Y3396" s="1">
        <v>1.78</v>
      </c>
      <c r="Z3396" s="1">
        <v>5.3</v>
      </c>
    </row>
    <row r="3397" ht="14.25" customHeight="1">
      <c r="A3397" s="1" t="s">
        <v>26</v>
      </c>
      <c r="B3397" s="1" t="s">
        <v>1956</v>
      </c>
      <c r="C3397" s="1" t="s">
        <v>8987</v>
      </c>
      <c r="D3397" s="1">
        <v>3.3631221E7</v>
      </c>
      <c r="E3397" s="1" t="s">
        <v>2045</v>
      </c>
      <c r="F3397" s="1" t="s">
        <v>7496</v>
      </c>
      <c r="G3397" s="1" t="s">
        <v>8988</v>
      </c>
      <c r="H3397" s="1" t="s">
        <v>8989</v>
      </c>
      <c r="I3397" s="1">
        <v>48562.0</v>
      </c>
      <c r="J3397" s="1" t="s">
        <v>8990</v>
      </c>
      <c r="K3397" s="1" t="s">
        <v>8991</v>
      </c>
      <c r="L3397" s="1">
        <v>145.0</v>
      </c>
      <c r="M3397" s="1" t="s">
        <v>35</v>
      </c>
      <c r="N3397" s="1" t="s">
        <v>36</v>
      </c>
      <c r="O3397" s="1" t="s">
        <v>628</v>
      </c>
      <c r="P3397" s="1">
        <v>2.5E7</v>
      </c>
      <c r="Q3397" s="1">
        <v>2014.0</v>
      </c>
      <c r="R3397" s="1">
        <v>3000.0</v>
      </c>
      <c r="S3397" s="1">
        <v>571.0</v>
      </c>
      <c r="T3397" s="1">
        <v>81.0</v>
      </c>
      <c r="U3397" s="1">
        <v>3784.0</v>
      </c>
      <c r="V3397" s="1">
        <v>81.0</v>
      </c>
      <c r="W3397" s="1">
        <v>0.0</v>
      </c>
      <c r="X3397" s="1">
        <v>1.0</v>
      </c>
      <c r="Y3397" s="1">
        <v>2.35</v>
      </c>
      <c r="Z3397" s="1">
        <v>6.0</v>
      </c>
    </row>
    <row r="3398" ht="14.25" customHeight="1">
      <c r="A3398" s="1" t="s">
        <v>26</v>
      </c>
      <c r="B3398" s="1" t="s">
        <v>12877</v>
      </c>
      <c r="C3398" s="1" t="s">
        <v>16024</v>
      </c>
      <c r="D3398" s="1">
        <v>95016.0</v>
      </c>
      <c r="E3398" s="1" t="s">
        <v>4241</v>
      </c>
      <c r="F3398" s="1" t="s">
        <v>12859</v>
      </c>
      <c r="G3398" s="1" t="s">
        <v>16025</v>
      </c>
      <c r="H3398" s="1" t="s">
        <v>16026</v>
      </c>
      <c r="I3398" s="1">
        <v>11074.0</v>
      </c>
      <c r="J3398" s="1" t="s">
        <v>16027</v>
      </c>
      <c r="K3398" s="1" t="s">
        <v>16028</v>
      </c>
      <c r="L3398" s="1">
        <v>56.0</v>
      </c>
      <c r="M3398" s="1" t="s">
        <v>10526</v>
      </c>
      <c r="N3398" s="1" t="s">
        <v>730</v>
      </c>
      <c r="O3398" s="1" t="s">
        <v>628</v>
      </c>
      <c r="P3398" s="1">
        <v>2700000.0</v>
      </c>
      <c r="Q3398" s="1">
        <v>2004.0</v>
      </c>
      <c r="R3398" s="1">
        <v>289.0</v>
      </c>
      <c r="S3398" s="1">
        <v>38.0</v>
      </c>
      <c r="T3398" s="1">
        <v>17.0</v>
      </c>
      <c r="U3398" s="1">
        <v>362.0</v>
      </c>
      <c r="V3398" s="1">
        <v>7.0</v>
      </c>
      <c r="W3398" s="1">
        <v>442.0</v>
      </c>
      <c r="X3398" s="1">
        <v>0.0</v>
      </c>
      <c r="Y3398" s="1">
        <v>1.85</v>
      </c>
      <c r="Z3398" s="1">
        <v>7.4</v>
      </c>
    </row>
    <row r="3399" ht="14.25" customHeight="1">
      <c r="A3399" s="1" t="s">
        <v>26</v>
      </c>
      <c r="B3399" s="1" t="s">
        <v>16029</v>
      </c>
      <c r="C3399" s="1" t="s">
        <v>16030</v>
      </c>
      <c r="D3399" s="1">
        <v>143000.0</v>
      </c>
      <c r="E3399" s="1" t="s">
        <v>6278</v>
      </c>
      <c r="F3399" s="1" t="s">
        <v>16031</v>
      </c>
      <c r="G3399" s="1" t="s">
        <v>11042</v>
      </c>
      <c r="H3399" s="1" t="s">
        <v>16032</v>
      </c>
      <c r="I3399" s="1">
        <v>4122.0</v>
      </c>
      <c r="J3399" s="1" t="s">
        <v>16033</v>
      </c>
      <c r="K3399" s="1" t="s">
        <v>16034</v>
      </c>
      <c r="L3399" s="1">
        <v>48.0</v>
      </c>
      <c r="M3399" s="1" t="s">
        <v>35</v>
      </c>
      <c r="N3399" s="1" t="s">
        <v>36</v>
      </c>
      <c r="O3399" s="1" t="s">
        <v>628</v>
      </c>
      <c r="P3399" s="1">
        <v>5000000.0</v>
      </c>
      <c r="Q3399" s="1">
        <v>2009.0</v>
      </c>
      <c r="R3399" s="1">
        <v>487.0</v>
      </c>
      <c r="S3399" s="1">
        <v>298.0</v>
      </c>
      <c r="T3399" s="1">
        <v>236.0</v>
      </c>
      <c r="U3399" s="1">
        <v>1495.0</v>
      </c>
      <c r="V3399" s="1">
        <v>26.0</v>
      </c>
      <c r="W3399" s="1">
        <v>0.0</v>
      </c>
      <c r="X3399" s="1">
        <v>0.0</v>
      </c>
      <c r="Y3399" s="1">
        <v>2.35</v>
      </c>
      <c r="Z3399" s="1">
        <v>4.1</v>
      </c>
    </row>
    <row r="3400" ht="14.25" customHeight="1">
      <c r="A3400" s="1" t="s">
        <v>26</v>
      </c>
      <c r="B3400" s="1" t="s">
        <v>1689</v>
      </c>
      <c r="C3400" s="1" t="s">
        <v>16035</v>
      </c>
      <c r="D3400" s="1">
        <v>39852.0</v>
      </c>
      <c r="E3400" s="1" t="s">
        <v>2422</v>
      </c>
      <c r="F3400" s="1" t="s">
        <v>5262</v>
      </c>
      <c r="G3400" s="1" t="s">
        <v>14154</v>
      </c>
      <c r="H3400" s="1" t="s">
        <v>16036</v>
      </c>
      <c r="I3400" s="1">
        <v>1238.0</v>
      </c>
      <c r="J3400" s="1" t="s">
        <v>16037</v>
      </c>
      <c r="K3400" s="1" t="s">
        <v>16038</v>
      </c>
      <c r="L3400" s="1">
        <v>25.0</v>
      </c>
      <c r="M3400" s="1" t="s">
        <v>35</v>
      </c>
      <c r="N3400" s="1" t="s">
        <v>36</v>
      </c>
      <c r="O3400" s="1" t="s">
        <v>628</v>
      </c>
      <c r="P3400" s="1">
        <v>3000000.0</v>
      </c>
      <c r="Q3400" s="1">
        <v>1999.0</v>
      </c>
      <c r="R3400" s="1">
        <v>599.0</v>
      </c>
      <c r="S3400" s="1">
        <v>325.0</v>
      </c>
      <c r="T3400" s="1">
        <v>56.0</v>
      </c>
      <c r="U3400" s="1">
        <v>1030.0</v>
      </c>
      <c r="V3400" s="1">
        <v>700.0</v>
      </c>
      <c r="W3400" s="1">
        <v>117.0</v>
      </c>
      <c r="X3400" s="1">
        <v>1.0</v>
      </c>
      <c r="Y3400" s="1">
        <v>1.85</v>
      </c>
      <c r="Z3400" s="1">
        <v>6.7</v>
      </c>
    </row>
    <row r="3401" ht="14.25" customHeight="1">
      <c r="A3401" s="1" t="s">
        <v>26</v>
      </c>
      <c r="B3401" s="1" t="s">
        <v>10974</v>
      </c>
      <c r="C3401" s="1" t="s">
        <v>16039</v>
      </c>
      <c r="D3401" s="1">
        <v>22000.0</v>
      </c>
      <c r="E3401" s="1" t="s">
        <v>2566</v>
      </c>
      <c r="F3401" s="1" t="s">
        <v>2860</v>
      </c>
      <c r="G3401" s="1" t="s">
        <v>12955</v>
      </c>
      <c r="H3401" s="1" t="s">
        <v>7151</v>
      </c>
      <c r="I3401" s="1">
        <v>30511.0</v>
      </c>
      <c r="J3401" s="1" t="s">
        <v>16040</v>
      </c>
      <c r="K3401" s="1" t="s">
        <v>16041</v>
      </c>
      <c r="L3401" s="1">
        <v>226.0</v>
      </c>
      <c r="M3401" s="1" t="s">
        <v>35</v>
      </c>
      <c r="N3401" s="1" t="s">
        <v>730</v>
      </c>
      <c r="O3401" s="1" t="s">
        <v>628</v>
      </c>
      <c r="P3401" s="1">
        <v>3000000.0</v>
      </c>
      <c r="Q3401" s="1">
        <v>2011.0</v>
      </c>
      <c r="R3401" s="1">
        <v>2000.0</v>
      </c>
      <c r="S3401" s="1">
        <v>683.0</v>
      </c>
      <c r="T3401" s="1">
        <v>605.0</v>
      </c>
      <c r="U3401" s="1">
        <v>4920.0</v>
      </c>
      <c r="V3401" s="1">
        <v>87.0</v>
      </c>
      <c r="W3401" s="1">
        <v>0.0</v>
      </c>
      <c r="X3401" s="1">
        <v>4.0</v>
      </c>
      <c r="Y3401" s="1">
        <v>2.35</v>
      </c>
      <c r="Z3401" s="1">
        <v>5.8</v>
      </c>
    </row>
    <row r="3402" ht="14.25" customHeight="1">
      <c r="A3402" s="1" t="s">
        <v>26</v>
      </c>
      <c r="B3402" s="1" t="s">
        <v>247</v>
      </c>
      <c r="C3402" s="1" t="s">
        <v>248</v>
      </c>
      <c r="D3402" s="1">
        <v>3.34185206E8</v>
      </c>
      <c r="E3402" s="1" t="s">
        <v>192</v>
      </c>
      <c r="F3402" s="1" t="s">
        <v>41</v>
      </c>
      <c r="G3402" s="1" t="s">
        <v>98</v>
      </c>
      <c r="H3402" s="1" t="s">
        <v>249</v>
      </c>
      <c r="I3402" s="1">
        <v>306336.0</v>
      </c>
      <c r="J3402" s="1" t="s">
        <v>250</v>
      </c>
      <c r="K3402" s="1" t="s">
        <v>251</v>
      </c>
      <c r="L3402" s="1">
        <v>736.0</v>
      </c>
      <c r="M3402" s="1" t="s">
        <v>35</v>
      </c>
      <c r="N3402" s="1" t="s">
        <v>36</v>
      </c>
      <c r="O3402" s="1" t="s">
        <v>87</v>
      </c>
      <c r="P3402" s="1">
        <v>2.0E8</v>
      </c>
      <c r="Q3402" s="1">
        <v>2010.0</v>
      </c>
      <c r="R3402" s="1">
        <v>40000.0</v>
      </c>
      <c r="S3402" s="1">
        <v>25000.0</v>
      </c>
      <c r="T3402" s="1">
        <v>11000.0</v>
      </c>
      <c r="U3402" s="1">
        <v>79957.0</v>
      </c>
      <c r="V3402" s="1">
        <v>13000.0</v>
      </c>
      <c r="W3402" s="1">
        <v>24000.0</v>
      </c>
      <c r="X3402" s="1">
        <v>0.0</v>
      </c>
      <c r="Y3402" s="1">
        <v>1.85</v>
      </c>
      <c r="Z3402" s="1">
        <v>6.5</v>
      </c>
    </row>
    <row r="3403" ht="14.25" customHeight="1">
      <c r="A3403" s="1" t="s">
        <v>26</v>
      </c>
      <c r="B3403" s="1" t="s">
        <v>820</v>
      </c>
      <c r="C3403" s="1" t="s">
        <v>1914</v>
      </c>
      <c r="D3403" s="1">
        <v>2.01148159E8</v>
      </c>
      <c r="E3403" s="1" t="s">
        <v>1915</v>
      </c>
      <c r="F3403" s="1" t="s">
        <v>569</v>
      </c>
      <c r="G3403" s="1" t="s">
        <v>1916</v>
      </c>
      <c r="H3403" s="1" t="s">
        <v>842</v>
      </c>
      <c r="I3403" s="1">
        <v>103749.0</v>
      </c>
      <c r="J3403" s="1" t="s">
        <v>1917</v>
      </c>
      <c r="K3403" s="1" t="s">
        <v>1918</v>
      </c>
      <c r="L3403" s="1">
        <v>323.0</v>
      </c>
      <c r="M3403" s="1" t="s">
        <v>35</v>
      </c>
      <c r="N3403" s="1" t="s">
        <v>36</v>
      </c>
      <c r="O3403" s="1" t="s">
        <v>87</v>
      </c>
      <c r="P3403" s="1">
        <v>9.5E7</v>
      </c>
      <c r="Q3403" s="1">
        <v>2015.0</v>
      </c>
      <c r="R3403" s="1">
        <v>2000.0</v>
      </c>
      <c r="S3403" s="1">
        <v>520.0</v>
      </c>
      <c r="T3403" s="1">
        <v>502.0</v>
      </c>
      <c r="U3403" s="1">
        <v>4671.0</v>
      </c>
      <c r="V3403" s="1">
        <v>0.0</v>
      </c>
      <c r="W3403" s="1">
        <v>56000.0</v>
      </c>
      <c r="X3403" s="1">
        <v>1.0</v>
      </c>
      <c r="Y3403" s="1">
        <v>2.35</v>
      </c>
      <c r="Z3403" s="1">
        <v>7.0</v>
      </c>
    </row>
    <row r="3404" ht="14.25" customHeight="1">
      <c r="A3404" s="1" t="s">
        <v>26</v>
      </c>
      <c r="B3404" s="1" t="s">
        <v>4156</v>
      </c>
      <c r="C3404" s="1" t="s">
        <v>16042</v>
      </c>
      <c r="D3404" s="1">
        <v>5595428.0</v>
      </c>
      <c r="E3404" s="1" t="s">
        <v>3238</v>
      </c>
      <c r="F3404" s="1" t="s">
        <v>16043</v>
      </c>
      <c r="G3404" s="1" t="s">
        <v>16044</v>
      </c>
      <c r="H3404" s="1" t="s">
        <v>16045</v>
      </c>
      <c r="I3404" s="1">
        <v>28951.0</v>
      </c>
      <c r="J3404" s="1" t="s">
        <v>16046</v>
      </c>
      <c r="K3404" s="1" t="s">
        <v>16047</v>
      </c>
      <c r="L3404" s="1">
        <v>257.0</v>
      </c>
      <c r="M3404" s="1" t="s">
        <v>14505</v>
      </c>
      <c r="N3404" s="1" t="s">
        <v>11794</v>
      </c>
      <c r="O3404" s="1" t="s">
        <v>628</v>
      </c>
      <c r="P3404" s="1">
        <v>2900000.0</v>
      </c>
      <c r="Q3404" s="1">
        <v>1998.0</v>
      </c>
      <c r="R3404" s="1">
        <v>119.0</v>
      </c>
      <c r="S3404" s="1">
        <v>14.0</v>
      </c>
      <c r="T3404" s="1">
        <v>11.0</v>
      </c>
      <c r="U3404" s="1">
        <v>167.0</v>
      </c>
      <c r="V3404" s="1">
        <v>179.0</v>
      </c>
      <c r="W3404" s="1">
        <v>0.0</v>
      </c>
      <c r="X3404" s="1">
        <v>0.0</v>
      </c>
      <c r="Y3404" s="1">
        <v>2.35</v>
      </c>
      <c r="Z3404" s="1">
        <v>8.0</v>
      </c>
    </row>
    <row r="3405" ht="14.25" customHeight="1">
      <c r="A3405" s="1" t="s">
        <v>26</v>
      </c>
      <c r="B3405" s="1" t="s">
        <v>16048</v>
      </c>
      <c r="C3405" s="1" t="s">
        <v>16049</v>
      </c>
      <c r="D3405" s="1">
        <v>3123749.0</v>
      </c>
      <c r="E3405" s="1" t="s">
        <v>1598</v>
      </c>
      <c r="F3405" s="1" t="s">
        <v>3875</v>
      </c>
      <c r="G3405" s="1" t="s">
        <v>5679</v>
      </c>
      <c r="H3405" s="1" t="s">
        <v>16050</v>
      </c>
      <c r="I3405" s="1">
        <v>746.0</v>
      </c>
      <c r="J3405" s="1" t="s">
        <v>16051</v>
      </c>
      <c r="K3405" s="1" t="s">
        <v>16052</v>
      </c>
      <c r="L3405" s="1">
        <v>27.0</v>
      </c>
      <c r="M3405" s="1" t="s">
        <v>35</v>
      </c>
      <c r="N3405" s="1" t="s">
        <v>36</v>
      </c>
      <c r="O3405" s="1" t="s">
        <v>628</v>
      </c>
      <c r="P3405" s="1">
        <v>1500000.0</v>
      </c>
      <c r="Q3405" s="1">
        <v>2005.0</v>
      </c>
      <c r="R3405" s="1">
        <v>267.0</v>
      </c>
      <c r="S3405" s="1">
        <v>225.0</v>
      </c>
      <c r="T3405" s="1">
        <v>183.0</v>
      </c>
      <c r="U3405" s="1">
        <v>1231.0</v>
      </c>
      <c r="V3405" s="1">
        <v>39.0</v>
      </c>
      <c r="W3405" s="1">
        <v>88.0</v>
      </c>
      <c r="X3405" s="1">
        <v>8.0</v>
      </c>
      <c r="Y3405" s="1">
        <v>1.85</v>
      </c>
      <c r="Z3405" s="1">
        <v>6.5</v>
      </c>
    </row>
    <row r="3406" ht="14.25" customHeight="1">
      <c r="A3406" s="1" t="s">
        <v>26</v>
      </c>
      <c r="B3406" s="1" t="s">
        <v>7023</v>
      </c>
      <c r="C3406" s="1" t="s">
        <v>16053</v>
      </c>
      <c r="D3406" s="1">
        <v>3645438.0</v>
      </c>
      <c r="E3406" s="1" t="s">
        <v>6019</v>
      </c>
      <c r="F3406" s="1" t="s">
        <v>1552</v>
      </c>
      <c r="G3406" s="1" t="s">
        <v>16054</v>
      </c>
      <c r="H3406" s="1" t="s">
        <v>16055</v>
      </c>
      <c r="I3406" s="1">
        <v>55040.0</v>
      </c>
      <c r="J3406" s="1" t="s">
        <v>16056</v>
      </c>
      <c r="K3406" s="1" t="s">
        <v>16057</v>
      </c>
      <c r="L3406" s="1">
        <v>539.0</v>
      </c>
      <c r="M3406" s="1" t="s">
        <v>2752</v>
      </c>
      <c r="N3406" s="1" t="s">
        <v>1832</v>
      </c>
      <c r="O3406" s="1" t="s">
        <v>12164</v>
      </c>
      <c r="P3406" s="1">
        <v>2200000.0</v>
      </c>
      <c r="Q3406" s="1">
        <v>2003.0</v>
      </c>
      <c r="R3406" s="1">
        <v>447.0</v>
      </c>
      <c r="S3406" s="1">
        <v>236.0</v>
      </c>
      <c r="T3406" s="1">
        <v>142.0</v>
      </c>
      <c r="U3406" s="1">
        <v>923.0</v>
      </c>
      <c r="V3406" s="1">
        <v>192.0</v>
      </c>
      <c r="W3406" s="1">
        <v>0.0</v>
      </c>
      <c r="X3406" s="1">
        <v>1.0</v>
      </c>
      <c r="Y3406" s="1">
        <v>2.35</v>
      </c>
      <c r="Z3406" s="1">
        <v>6.8</v>
      </c>
    </row>
    <row r="3407" ht="14.25" customHeight="1">
      <c r="A3407" s="1" t="s">
        <v>26</v>
      </c>
      <c r="B3407" s="1" t="s">
        <v>11804</v>
      </c>
      <c r="C3407" s="1" t="s">
        <v>16058</v>
      </c>
      <c r="D3407" s="1">
        <v>2.2201636E7</v>
      </c>
      <c r="E3407" s="1" t="s">
        <v>5256</v>
      </c>
      <c r="F3407" s="1" t="s">
        <v>16059</v>
      </c>
      <c r="G3407" s="1" t="s">
        <v>16060</v>
      </c>
      <c r="H3407" s="1" t="s">
        <v>16061</v>
      </c>
      <c r="I3407" s="1">
        <v>33567.0</v>
      </c>
      <c r="J3407" s="1" t="s">
        <v>16062</v>
      </c>
      <c r="K3407" s="1" t="s">
        <v>16063</v>
      </c>
      <c r="L3407" s="1">
        <v>206.0</v>
      </c>
      <c r="M3407" s="1" t="s">
        <v>35</v>
      </c>
      <c r="N3407" s="1" t="s">
        <v>36</v>
      </c>
      <c r="O3407" s="1" t="s">
        <v>628</v>
      </c>
      <c r="P3407" s="1">
        <v>8000000.0</v>
      </c>
      <c r="Q3407" s="1">
        <v>2005.0</v>
      </c>
      <c r="R3407" s="1">
        <v>275.0</v>
      </c>
      <c r="S3407" s="1">
        <v>247.0</v>
      </c>
      <c r="T3407" s="1">
        <v>165.0</v>
      </c>
      <c r="U3407" s="1">
        <v>727.0</v>
      </c>
      <c r="V3407" s="1">
        <v>153.0</v>
      </c>
      <c r="W3407" s="1">
        <v>0.0</v>
      </c>
      <c r="X3407" s="1">
        <v>1.0</v>
      </c>
      <c r="Y3407" s="1">
        <v>1.85</v>
      </c>
      <c r="Z3407" s="1">
        <v>7.4</v>
      </c>
    </row>
    <row r="3408" ht="14.25" customHeight="1">
      <c r="A3408" s="1" t="s">
        <v>710</v>
      </c>
      <c r="B3408" s="1" t="s">
        <v>16064</v>
      </c>
      <c r="C3408" s="1" t="s">
        <v>16065</v>
      </c>
      <c r="D3408" s="1">
        <v>2.5E7</v>
      </c>
      <c r="E3408" s="1" t="s">
        <v>11050</v>
      </c>
      <c r="F3408" s="1" t="s">
        <v>16066</v>
      </c>
      <c r="G3408" s="1" t="s">
        <v>16067</v>
      </c>
      <c r="H3408" s="1" t="s">
        <v>16068</v>
      </c>
      <c r="I3408" s="1">
        <v>175196.0</v>
      </c>
      <c r="J3408" s="1" t="s">
        <v>16069</v>
      </c>
      <c r="K3408" s="1" t="s">
        <v>16070</v>
      </c>
      <c r="L3408" s="1">
        <v>350.0</v>
      </c>
      <c r="M3408" s="1" t="s">
        <v>35</v>
      </c>
      <c r="N3408" s="1" t="s">
        <v>36</v>
      </c>
      <c r="O3408" s="1" t="s">
        <v>9252</v>
      </c>
      <c r="P3408" s="1">
        <v>2883848.0</v>
      </c>
      <c r="Q3408" s="1">
        <v>1959.0</v>
      </c>
      <c r="R3408" s="1">
        <v>105.0</v>
      </c>
      <c r="S3408" s="1">
        <v>103.0</v>
      </c>
      <c r="T3408" s="1">
        <v>102.0</v>
      </c>
      <c r="U3408" s="1">
        <v>527.0</v>
      </c>
      <c r="V3408" s="1">
        <v>0.0</v>
      </c>
      <c r="W3408" s="1">
        <v>10000.0</v>
      </c>
      <c r="X3408" s="1">
        <v>2.0</v>
      </c>
      <c r="Y3408" s="1">
        <v>1.66</v>
      </c>
      <c r="Z3408" s="1">
        <v>8.3</v>
      </c>
    </row>
    <row r="3409" ht="14.25" customHeight="1">
      <c r="A3409" s="1" t="s">
        <v>26</v>
      </c>
      <c r="B3409" s="1" t="s">
        <v>16071</v>
      </c>
      <c r="C3409" s="1" t="s">
        <v>16072</v>
      </c>
      <c r="D3409" s="1">
        <v>1.9170001E7</v>
      </c>
      <c r="E3409" s="1" t="s">
        <v>6019</v>
      </c>
      <c r="F3409" s="1" t="s">
        <v>12099</v>
      </c>
      <c r="G3409" s="1" t="s">
        <v>16073</v>
      </c>
      <c r="H3409" s="1" t="s">
        <v>16074</v>
      </c>
      <c r="I3409" s="1">
        <v>21359.0</v>
      </c>
      <c r="J3409" s="1" t="s">
        <v>16075</v>
      </c>
      <c r="K3409" s="1" t="s">
        <v>16076</v>
      </c>
      <c r="L3409" s="1">
        <v>270.0</v>
      </c>
      <c r="M3409" s="1" t="s">
        <v>35</v>
      </c>
      <c r="N3409" s="1" t="s">
        <v>36</v>
      </c>
      <c r="O3409" s="1" t="s">
        <v>628</v>
      </c>
      <c r="P3409" s="1">
        <v>2800000.0</v>
      </c>
      <c r="Q3409" s="1">
        <v>1988.0</v>
      </c>
      <c r="R3409" s="1">
        <v>935.0</v>
      </c>
      <c r="S3409" s="1">
        <v>448.0</v>
      </c>
      <c r="T3409" s="1">
        <v>181.0</v>
      </c>
      <c r="U3409" s="1">
        <v>1855.0</v>
      </c>
      <c r="V3409" s="1">
        <v>152.0</v>
      </c>
      <c r="W3409" s="1">
        <v>0.0</v>
      </c>
      <c r="X3409" s="1">
        <v>0.0</v>
      </c>
      <c r="Y3409" s="1">
        <v>1.85</v>
      </c>
      <c r="Z3409" s="1">
        <v>5.3</v>
      </c>
    </row>
    <row r="3410" ht="14.25" customHeight="1">
      <c r="A3410" s="1" t="s">
        <v>710</v>
      </c>
      <c r="B3410" s="1" t="s">
        <v>15647</v>
      </c>
      <c r="C3410" s="1" t="s">
        <v>16077</v>
      </c>
      <c r="D3410" s="1">
        <v>2.2202612E7</v>
      </c>
      <c r="E3410" s="1" t="s">
        <v>9057</v>
      </c>
      <c r="F3410" s="1" t="s">
        <v>16078</v>
      </c>
      <c r="G3410" s="1" t="s">
        <v>16079</v>
      </c>
      <c r="H3410" s="1" t="s">
        <v>16080</v>
      </c>
      <c r="I3410" s="1">
        <v>291875.0</v>
      </c>
      <c r="J3410" s="1" t="s">
        <v>16081</v>
      </c>
      <c r="K3410" s="1" t="s">
        <v>16082</v>
      </c>
      <c r="L3410" s="1">
        <v>533.0</v>
      </c>
      <c r="M3410" s="1" t="s">
        <v>35</v>
      </c>
      <c r="N3410" s="1" t="s">
        <v>36</v>
      </c>
      <c r="O3410" s="1" t="s">
        <v>15674</v>
      </c>
      <c r="P3410" s="1">
        <v>2800000.0</v>
      </c>
      <c r="Q3410" s="1">
        <v>1939.0</v>
      </c>
      <c r="R3410" s="1">
        <v>695.0</v>
      </c>
      <c r="S3410" s="1">
        <v>421.0</v>
      </c>
      <c r="T3410" s="1">
        <v>357.0</v>
      </c>
      <c r="U3410" s="1">
        <v>2509.0</v>
      </c>
      <c r="V3410" s="1">
        <v>149.0</v>
      </c>
      <c r="W3410" s="1">
        <v>14000.0</v>
      </c>
      <c r="X3410" s="1">
        <v>3.0</v>
      </c>
      <c r="Y3410" s="1">
        <v>1.37</v>
      </c>
      <c r="Z3410" s="1">
        <v>8.1</v>
      </c>
    </row>
    <row r="3411" ht="14.25" customHeight="1">
      <c r="A3411" s="1" t="s">
        <v>710</v>
      </c>
      <c r="B3411" s="1" t="s">
        <v>9494</v>
      </c>
      <c r="C3411" s="1" t="s">
        <v>16083</v>
      </c>
      <c r="D3411" s="1">
        <v>8.63E7</v>
      </c>
      <c r="E3411" s="1" t="s">
        <v>1885</v>
      </c>
      <c r="F3411" s="1" t="s">
        <v>5440</v>
      </c>
      <c r="G3411" s="1" t="s">
        <v>3118</v>
      </c>
      <c r="H3411" s="1" t="s">
        <v>9779</v>
      </c>
      <c r="I3411" s="1">
        <v>112671.0</v>
      </c>
      <c r="J3411" s="1" t="s">
        <v>16084</v>
      </c>
      <c r="K3411" s="1" t="s">
        <v>16085</v>
      </c>
      <c r="L3411" s="1">
        <v>315.0</v>
      </c>
      <c r="M3411" s="1" t="s">
        <v>35</v>
      </c>
      <c r="N3411" s="1" t="s">
        <v>36</v>
      </c>
      <c r="O3411" s="1" t="s">
        <v>87</v>
      </c>
      <c r="P3411" s="1">
        <v>2800000.0</v>
      </c>
      <c r="Q3411" s="1">
        <v>1974.0</v>
      </c>
      <c r="R3411" s="1">
        <v>1000.0</v>
      </c>
      <c r="S3411" s="1">
        <v>595.0</v>
      </c>
      <c r="T3411" s="1">
        <v>481.0</v>
      </c>
      <c r="U3411" s="1">
        <v>2703.0</v>
      </c>
      <c r="V3411" s="1">
        <v>0.0</v>
      </c>
      <c r="W3411" s="1">
        <v>14000.0</v>
      </c>
      <c r="X3411" s="1">
        <v>0.0</v>
      </c>
      <c r="Y3411" s="1">
        <v>1.85</v>
      </c>
      <c r="Z3411" s="1">
        <v>8.0</v>
      </c>
    </row>
    <row r="3412" ht="14.25" customHeight="1">
      <c r="A3412" s="1" t="s">
        <v>26</v>
      </c>
      <c r="B3412" s="1" t="s">
        <v>10634</v>
      </c>
      <c r="C3412" s="1" t="s">
        <v>16086</v>
      </c>
      <c r="D3412" s="1">
        <v>952620.0</v>
      </c>
      <c r="E3412" s="1" t="s">
        <v>6019</v>
      </c>
      <c r="F3412" s="1" t="s">
        <v>4786</v>
      </c>
      <c r="G3412" s="1" t="s">
        <v>4258</v>
      </c>
      <c r="H3412" s="1" t="s">
        <v>16087</v>
      </c>
      <c r="I3412" s="1">
        <v>40800.0</v>
      </c>
      <c r="J3412" s="1" t="s">
        <v>16088</v>
      </c>
      <c r="K3412" s="1" t="s">
        <v>16089</v>
      </c>
      <c r="L3412" s="1">
        <v>332.0</v>
      </c>
      <c r="M3412" s="1" t="s">
        <v>35</v>
      </c>
      <c r="N3412" s="1" t="s">
        <v>36</v>
      </c>
      <c r="O3412" s="1" t="s">
        <v>628</v>
      </c>
      <c r="P3412" s="1">
        <v>2000000.0</v>
      </c>
      <c r="Q3412" s="1">
        <v>2007.0</v>
      </c>
      <c r="R3412" s="1">
        <v>569.0</v>
      </c>
      <c r="S3412" s="1">
        <v>529.0</v>
      </c>
      <c r="T3412" s="1">
        <v>192.0</v>
      </c>
      <c r="U3412" s="1">
        <v>1797.0</v>
      </c>
      <c r="V3412" s="1">
        <v>0.0</v>
      </c>
      <c r="W3412" s="1">
        <v>0.0</v>
      </c>
      <c r="X3412" s="1">
        <v>0.0</v>
      </c>
      <c r="Y3412" s="1">
        <v>1.85</v>
      </c>
      <c r="Z3412" s="1">
        <v>5.7</v>
      </c>
    </row>
    <row r="3413" ht="14.25" customHeight="1">
      <c r="A3413" s="1" t="s">
        <v>26</v>
      </c>
      <c r="B3413" s="1" t="s">
        <v>16090</v>
      </c>
      <c r="C3413" s="1" t="s">
        <v>16091</v>
      </c>
      <c r="D3413" s="1">
        <v>9054736.0</v>
      </c>
      <c r="E3413" s="1" t="s">
        <v>3238</v>
      </c>
      <c r="F3413" s="1" t="s">
        <v>1310</v>
      </c>
      <c r="G3413" s="1" t="s">
        <v>16092</v>
      </c>
      <c r="H3413" s="1" t="s">
        <v>16093</v>
      </c>
      <c r="I3413" s="1">
        <v>5744.0</v>
      </c>
      <c r="J3413" s="1" t="s">
        <v>16094</v>
      </c>
      <c r="K3413" s="1" t="s">
        <v>16095</v>
      </c>
      <c r="L3413" s="1">
        <v>57.0</v>
      </c>
      <c r="M3413" s="1" t="s">
        <v>35</v>
      </c>
      <c r="N3413" s="1" t="s">
        <v>36</v>
      </c>
      <c r="O3413" s="1" t="s">
        <v>628</v>
      </c>
      <c r="P3413" s="1">
        <v>2700000.0</v>
      </c>
      <c r="Q3413" s="1">
        <v>1997.0</v>
      </c>
      <c r="R3413" s="1">
        <v>402.0</v>
      </c>
      <c r="S3413" s="1">
        <v>222.0</v>
      </c>
      <c r="T3413" s="1">
        <v>42.0</v>
      </c>
      <c r="U3413" s="1">
        <v>787.0</v>
      </c>
      <c r="V3413" s="1">
        <v>9.0</v>
      </c>
      <c r="W3413" s="1">
        <v>381.0</v>
      </c>
      <c r="X3413" s="1">
        <v>1.0</v>
      </c>
      <c r="Y3413" s="1">
        <v>1.66</v>
      </c>
      <c r="Z3413" s="1">
        <v>7.1</v>
      </c>
    </row>
    <row r="3414" ht="14.25" customHeight="1">
      <c r="A3414" s="1" t="s">
        <v>26</v>
      </c>
      <c r="B3414" s="1" t="s">
        <v>9494</v>
      </c>
      <c r="C3414" s="1" t="s">
        <v>16096</v>
      </c>
      <c r="D3414" s="1">
        <v>1.195E8</v>
      </c>
      <c r="E3414" s="1" t="s">
        <v>6214</v>
      </c>
      <c r="F3414" s="1" t="s">
        <v>5440</v>
      </c>
      <c r="G3414" s="1" t="s">
        <v>16097</v>
      </c>
      <c r="H3414" s="1" t="s">
        <v>3903</v>
      </c>
      <c r="I3414" s="1">
        <v>95294.0</v>
      </c>
      <c r="J3414" s="1" t="s">
        <v>16098</v>
      </c>
      <c r="K3414" s="1" t="s">
        <v>16099</v>
      </c>
      <c r="L3414" s="1">
        <v>363.0</v>
      </c>
      <c r="M3414" s="1" t="s">
        <v>35</v>
      </c>
      <c r="N3414" s="1" t="s">
        <v>36</v>
      </c>
      <c r="O3414" s="1" t="s">
        <v>628</v>
      </c>
      <c r="P3414" s="1">
        <v>2600000.0</v>
      </c>
      <c r="Q3414" s="1">
        <v>1974.0</v>
      </c>
      <c r="R3414" s="1">
        <v>1000.0</v>
      </c>
      <c r="S3414" s="1">
        <v>1000.0</v>
      </c>
      <c r="T3414" s="1">
        <v>628.0</v>
      </c>
      <c r="U3414" s="1">
        <v>4701.0</v>
      </c>
      <c r="V3414" s="1">
        <v>0.0</v>
      </c>
      <c r="W3414" s="1">
        <v>12000.0</v>
      </c>
      <c r="X3414" s="1">
        <v>0.0</v>
      </c>
      <c r="Y3414" s="1">
        <v>2.35</v>
      </c>
      <c r="Z3414" s="1">
        <v>7.8</v>
      </c>
    </row>
    <row r="3415" ht="14.25" customHeight="1">
      <c r="A3415" s="1" t="s">
        <v>26</v>
      </c>
      <c r="B3415" s="1" t="s">
        <v>16100</v>
      </c>
      <c r="C3415" s="1" t="s">
        <v>16101</v>
      </c>
      <c r="D3415" s="1">
        <v>3.26E7</v>
      </c>
      <c r="E3415" s="1" t="s">
        <v>6278</v>
      </c>
      <c r="F3415" s="1" t="s">
        <v>16102</v>
      </c>
      <c r="G3415" s="1" t="s">
        <v>16103</v>
      </c>
      <c r="H3415" s="1" t="s">
        <v>16104</v>
      </c>
      <c r="I3415" s="1">
        <v>29488.0</v>
      </c>
      <c r="J3415" s="1" t="s">
        <v>16105</v>
      </c>
      <c r="K3415" s="1" t="s">
        <v>16106</v>
      </c>
      <c r="L3415" s="1">
        <v>326.0</v>
      </c>
      <c r="M3415" s="1" t="s">
        <v>35</v>
      </c>
      <c r="N3415" s="1" t="s">
        <v>36</v>
      </c>
      <c r="O3415" s="1" t="s">
        <v>628</v>
      </c>
      <c r="P3415" s="1">
        <v>1800000.0</v>
      </c>
      <c r="Q3415" s="1">
        <v>1984.0</v>
      </c>
      <c r="R3415" s="1">
        <v>158.0</v>
      </c>
      <c r="S3415" s="1">
        <v>84.0</v>
      </c>
      <c r="T3415" s="1">
        <v>74.0</v>
      </c>
      <c r="U3415" s="1">
        <v>467.0</v>
      </c>
      <c r="V3415" s="1">
        <v>17.0</v>
      </c>
      <c r="W3415" s="1">
        <v>0.0</v>
      </c>
      <c r="X3415" s="1">
        <v>0.0</v>
      </c>
      <c r="Y3415" s="1">
        <v>1.85</v>
      </c>
      <c r="Z3415" s="1">
        <v>5.9</v>
      </c>
    </row>
    <row r="3416" ht="14.25" customHeight="1">
      <c r="A3416" s="1" t="s">
        <v>26</v>
      </c>
      <c r="B3416" s="1" t="s">
        <v>11357</v>
      </c>
      <c r="C3416" s="1" t="s">
        <v>16107</v>
      </c>
      <c r="D3416" s="1">
        <v>3130592.0</v>
      </c>
      <c r="E3416" s="1" t="s">
        <v>206</v>
      </c>
      <c r="F3416" s="1" t="s">
        <v>4857</v>
      </c>
      <c r="G3416" s="1" t="s">
        <v>15863</v>
      </c>
      <c r="H3416" s="1" t="s">
        <v>8550</v>
      </c>
      <c r="I3416" s="1">
        <v>10755.0</v>
      </c>
      <c r="J3416" s="1" t="s">
        <v>16108</v>
      </c>
      <c r="K3416" s="1" t="s">
        <v>16109</v>
      </c>
      <c r="L3416" s="1">
        <v>69.0</v>
      </c>
      <c r="M3416" s="1" t="s">
        <v>35</v>
      </c>
      <c r="N3416" s="1" t="s">
        <v>54</v>
      </c>
      <c r="O3416" s="1" t="s">
        <v>628</v>
      </c>
      <c r="P3416" s="1">
        <v>2600000.0</v>
      </c>
      <c r="Q3416" s="1">
        <v>1987.0</v>
      </c>
      <c r="R3416" s="1">
        <v>443.0</v>
      </c>
      <c r="S3416" s="1">
        <v>249.0</v>
      </c>
      <c r="T3416" s="1">
        <v>239.0</v>
      </c>
      <c r="U3416" s="1">
        <v>1269.0</v>
      </c>
      <c r="V3416" s="1">
        <v>133.0</v>
      </c>
      <c r="W3416" s="1">
        <v>963.0</v>
      </c>
      <c r="X3416" s="1">
        <v>1.0</v>
      </c>
      <c r="Y3416" s="1">
        <v>1.66</v>
      </c>
      <c r="Z3416" s="1">
        <v>7.8</v>
      </c>
    </row>
    <row r="3417" ht="14.25" customHeight="1">
      <c r="A3417" s="1" t="s">
        <v>26</v>
      </c>
      <c r="B3417" s="1" t="s">
        <v>7289</v>
      </c>
      <c r="C3417" s="1" t="s">
        <v>7290</v>
      </c>
      <c r="D3417" s="1">
        <v>1.0654581E7</v>
      </c>
      <c r="E3417" s="1" t="s">
        <v>2566</v>
      </c>
      <c r="F3417" s="1" t="s">
        <v>41</v>
      </c>
      <c r="G3417" s="1" t="s">
        <v>741</v>
      </c>
      <c r="H3417" s="1" t="s">
        <v>5630</v>
      </c>
      <c r="I3417" s="1">
        <v>45500.0</v>
      </c>
      <c r="J3417" s="1" t="s">
        <v>7291</v>
      </c>
      <c r="K3417" s="1" t="s">
        <v>7292</v>
      </c>
      <c r="L3417" s="1">
        <v>260.0</v>
      </c>
      <c r="M3417" s="1" t="s">
        <v>35</v>
      </c>
      <c r="N3417" s="1" t="s">
        <v>36</v>
      </c>
      <c r="O3417" s="1" t="s">
        <v>628</v>
      </c>
      <c r="P3417" s="1">
        <v>3.4E7</v>
      </c>
      <c r="Q3417" s="1">
        <v>1999.0</v>
      </c>
      <c r="R3417" s="1">
        <v>40000.0</v>
      </c>
      <c r="S3417" s="1">
        <v>9000.0</v>
      </c>
      <c r="T3417" s="1">
        <v>1000.0</v>
      </c>
      <c r="U3417" s="1">
        <v>52621.0</v>
      </c>
      <c r="V3417" s="1">
        <v>7.0</v>
      </c>
      <c r="W3417" s="1">
        <v>1000.0</v>
      </c>
      <c r="X3417" s="1">
        <v>0.0</v>
      </c>
      <c r="Y3417" s="1">
        <v>1.85</v>
      </c>
      <c r="Z3417" s="1">
        <v>5.3</v>
      </c>
    </row>
    <row r="3418" ht="14.25" customHeight="1">
      <c r="A3418" s="1" t="s">
        <v>26</v>
      </c>
      <c r="B3418" s="1" t="s">
        <v>16110</v>
      </c>
      <c r="C3418" s="1" t="s">
        <v>16111</v>
      </c>
      <c r="D3418" s="1">
        <v>38108.0</v>
      </c>
      <c r="E3418" s="1" t="s">
        <v>4055</v>
      </c>
      <c r="F3418" s="1" t="s">
        <v>16112</v>
      </c>
      <c r="G3418" s="1" t="s">
        <v>16110</v>
      </c>
      <c r="H3418" s="1" t="s">
        <v>16113</v>
      </c>
      <c r="I3418" s="1">
        <v>40878.0</v>
      </c>
      <c r="J3418" s="1" t="s">
        <v>16114</v>
      </c>
      <c r="K3418" s="1" t="s">
        <v>16115</v>
      </c>
      <c r="L3418" s="1">
        <v>124.0</v>
      </c>
      <c r="M3418" s="1" t="s">
        <v>2648</v>
      </c>
      <c r="N3418" s="1" t="s">
        <v>3393</v>
      </c>
      <c r="O3418" s="1" t="s">
        <v>628</v>
      </c>
      <c r="P3418" s="1">
        <v>2600000.0</v>
      </c>
      <c r="Q3418" s="1">
        <v>2007.0</v>
      </c>
      <c r="R3418" s="1">
        <v>123.0</v>
      </c>
      <c r="S3418" s="1">
        <v>76.0</v>
      </c>
      <c r="T3418" s="1">
        <v>36.0</v>
      </c>
      <c r="U3418" s="1">
        <v>239.0</v>
      </c>
      <c r="V3418" s="1">
        <v>76.0</v>
      </c>
      <c r="W3418" s="1">
        <v>0.0</v>
      </c>
      <c r="X3418" s="1">
        <v>0.0</v>
      </c>
      <c r="Y3418" s="1">
        <v>1.85</v>
      </c>
      <c r="Z3418" s="1">
        <v>7.2</v>
      </c>
    </row>
    <row r="3419" ht="14.25" customHeight="1">
      <c r="A3419" s="1" t="s">
        <v>26</v>
      </c>
      <c r="B3419" s="1" t="s">
        <v>15523</v>
      </c>
      <c r="C3419" s="1" t="s">
        <v>16116</v>
      </c>
      <c r="D3419" s="1">
        <v>4.0041683E7</v>
      </c>
      <c r="E3419" s="1" t="s">
        <v>2657</v>
      </c>
      <c r="F3419" s="1" t="s">
        <v>8972</v>
      </c>
      <c r="G3419" s="1" t="s">
        <v>10665</v>
      </c>
      <c r="H3419" s="1" t="s">
        <v>12685</v>
      </c>
      <c r="I3419" s="1">
        <v>34620.0</v>
      </c>
      <c r="J3419" s="1" t="s">
        <v>16117</v>
      </c>
      <c r="K3419" s="1" t="s">
        <v>16118</v>
      </c>
      <c r="L3419" s="1">
        <v>107.0</v>
      </c>
      <c r="M3419" s="1" t="s">
        <v>35</v>
      </c>
      <c r="N3419" s="1" t="s">
        <v>36</v>
      </c>
      <c r="O3419" s="1" t="s">
        <v>628</v>
      </c>
      <c r="P3419" s="1">
        <v>2500000.0</v>
      </c>
      <c r="Q3419" s="1">
        <v>2013.0</v>
      </c>
      <c r="R3419" s="1">
        <v>713.0</v>
      </c>
      <c r="S3419" s="1">
        <v>584.0</v>
      </c>
      <c r="T3419" s="1">
        <v>555.0</v>
      </c>
      <c r="U3419" s="1">
        <v>3421.0</v>
      </c>
      <c r="V3419" s="1">
        <v>89.0</v>
      </c>
      <c r="W3419" s="1">
        <v>0.0</v>
      </c>
      <c r="X3419" s="1">
        <v>6.0</v>
      </c>
      <c r="Y3419" s="1">
        <v>1.85</v>
      </c>
      <c r="Z3419" s="1">
        <v>5.1</v>
      </c>
    </row>
    <row r="3420" ht="14.25" customHeight="1">
      <c r="A3420" s="1" t="s">
        <v>26</v>
      </c>
      <c r="B3420" s="1" t="s">
        <v>16119</v>
      </c>
      <c r="C3420" s="1" t="s">
        <v>16120</v>
      </c>
      <c r="D3420" s="1">
        <v>3.3349949E7</v>
      </c>
      <c r="E3420" s="1" t="s">
        <v>15542</v>
      </c>
      <c r="F3420" s="1" t="s">
        <v>16121</v>
      </c>
      <c r="G3420" s="1" t="s">
        <v>16122</v>
      </c>
      <c r="H3420" s="1" t="s">
        <v>16119</v>
      </c>
      <c r="I3420" s="1">
        <v>9010.0</v>
      </c>
      <c r="J3420" s="1" t="s">
        <v>16123</v>
      </c>
      <c r="K3420" s="1" t="s">
        <v>16124</v>
      </c>
      <c r="L3420" s="1">
        <v>199.0</v>
      </c>
      <c r="M3420" s="1" t="s">
        <v>35</v>
      </c>
      <c r="N3420" s="1" t="s">
        <v>36</v>
      </c>
      <c r="O3420" s="1" t="s">
        <v>87</v>
      </c>
      <c r="P3420" s="1">
        <v>2500000.0</v>
      </c>
      <c r="Q3420" s="1">
        <v>2012.0</v>
      </c>
      <c r="R3420" s="1">
        <v>871.0</v>
      </c>
      <c r="S3420" s="1">
        <v>118.0</v>
      </c>
      <c r="T3420" s="1">
        <v>67.0</v>
      </c>
      <c r="U3420" s="1">
        <v>1111.0</v>
      </c>
      <c r="V3420" s="1">
        <v>67.0</v>
      </c>
      <c r="W3420" s="1">
        <v>0.0</v>
      </c>
      <c r="X3420" s="1">
        <v>0.0</v>
      </c>
      <c r="Y3420" s="1">
        <v>1.85</v>
      </c>
      <c r="Z3420" s="1">
        <v>5.1</v>
      </c>
    </row>
    <row r="3421" ht="14.25" customHeight="1">
      <c r="A3421" s="1" t="s">
        <v>26</v>
      </c>
      <c r="B3421" s="1" t="s">
        <v>11561</v>
      </c>
      <c r="C3421" s="1" t="s">
        <v>11562</v>
      </c>
      <c r="D3421" s="1">
        <v>3.3386128E7</v>
      </c>
      <c r="E3421" s="1" t="s">
        <v>6019</v>
      </c>
      <c r="F3421" s="1" t="s">
        <v>9254</v>
      </c>
      <c r="G3421" s="1" t="s">
        <v>2851</v>
      </c>
      <c r="H3421" s="1" t="s">
        <v>4330</v>
      </c>
      <c r="I3421" s="1">
        <v>36372.0</v>
      </c>
      <c r="J3421" s="1" t="s">
        <v>11563</v>
      </c>
      <c r="K3421" s="1" t="s">
        <v>11564</v>
      </c>
      <c r="L3421" s="1">
        <v>491.0</v>
      </c>
      <c r="M3421" s="1" t="s">
        <v>35</v>
      </c>
      <c r="N3421" s="1" t="s">
        <v>36</v>
      </c>
      <c r="O3421" s="1" t="s">
        <v>628</v>
      </c>
      <c r="P3421" s="1">
        <v>1.5E7</v>
      </c>
      <c r="Q3421" s="1">
        <v>2009.0</v>
      </c>
      <c r="R3421" s="1">
        <v>908.0</v>
      </c>
      <c r="S3421" s="1">
        <v>764.0</v>
      </c>
      <c r="T3421" s="1">
        <v>593.0</v>
      </c>
      <c r="U3421" s="1">
        <v>3226.0</v>
      </c>
      <c r="V3421" s="1">
        <v>0.0</v>
      </c>
      <c r="W3421" s="1">
        <v>3000.0</v>
      </c>
      <c r="X3421" s="1">
        <v>0.0</v>
      </c>
      <c r="Y3421" s="1">
        <v>1.85</v>
      </c>
      <c r="Z3421" s="1">
        <v>4.9</v>
      </c>
    </row>
    <row r="3422" ht="14.25" customHeight="1">
      <c r="A3422" s="1" t="s">
        <v>26</v>
      </c>
      <c r="B3422" s="1" t="s">
        <v>314</v>
      </c>
      <c r="C3422" s="1" t="s">
        <v>16125</v>
      </c>
      <c r="D3422" s="1">
        <v>2.5809813E7</v>
      </c>
      <c r="E3422" s="1" t="s">
        <v>8240</v>
      </c>
      <c r="F3422" s="1" t="s">
        <v>314</v>
      </c>
      <c r="G3422" s="1" t="s">
        <v>741</v>
      </c>
      <c r="H3422" s="1" t="s">
        <v>2525</v>
      </c>
      <c r="I3422" s="1">
        <v>50311.0</v>
      </c>
      <c r="J3422" s="1" t="s">
        <v>16126</v>
      </c>
      <c r="K3422" s="1" t="s">
        <v>16127</v>
      </c>
      <c r="L3422" s="1">
        <v>212.0</v>
      </c>
      <c r="M3422" s="1" t="s">
        <v>35</v>
      </c>
      <c r="N3422" s="1" t="s">
        <v>36</v>
      </c>
      <c r="O3422" s="1" t="s">
        <v>87</v>
      </c>
      <c r="P3422" s="1">
        <v>2.6E7</v>
      </c>
      <c r="Q3422" s="1">
        <v>1996.0</v>
      </c>
      <c r="R3422" s="1">
        <v>15000.0</v>
      </c>
      <c r="S3422" s="1">
        <v>9000.0</v>
      </c>
      <c r="T3422" s="1">
        <v>982.0</v>
      </c>
      <c r="U3422" s="1">
        <v>28713.0</v>
      </c>
      <c r="V3422" s="1">
        <v>15000.0</v>
      </c>
      <c r="W3422" s="1">
        <v>0.0</v>
      </c>
      <c r="X3422" s="1">
        <v>6.0</v>
      </c>
      <c r="Y3422" s="1">
        <v>1.37</v>
      </c>
      <c r="Z3422" s="1">
        <v>6.9</v>
      </c>
    </row>
    <row r="3423" ht="14.25" customHeight="1">
      <c r="A3423" s="1" t="s">
        <v>26</v>
      </c>
      <c r="B3423" s="1" t="s">
        <v>16128</v>
      </c>
      <c r="C3423" s="1" t="s">
        <v>16129</v>
      </c>
      <c r="D3423" s="1">
        <v>1.44E7</v>
      </c>
      <c r="E3423" s="1" t="s">
        <v>6618</v>
      </c>
      <c r="F3423" s="1" t="s">
        <v>14685</v>
      </c>
      <c r="G3423" s="1" t="s">
        <v>16130</v>
      </c>
      <c r="H3423" s="1" t="s">
        <v>16131</v>
      </c>
      <c r="I3423" s="1">
        <v>28589.0</v>
      </c>
      <c r="J3423" s="1" t="s">
        <v>16132</v>
      </c>
      <c r="K3423" s="1" t="s">
        <v>16133</v>
      </c>
      <c r="L3423" s="1">
        <v>532.0</v>
      </c>
      <c r="M3423" s="1" t="s">
        <v>35</v>
      </c>
      <c r="N3423" s="1" t="s">
        <v>36</v>
      </c>
      <c r="O3423" s="1" t="s">
        <v>628</v>
      </c>
      <c r="P3423" s="1">
        <v>2500000.0</v>
      </c>
      <c r="Q3423" s="1">
        <v>1982.0</v>
      </c>
      <c r="R3423" s="1">
        <v>381.0</v>
      </c>
      <c r="S3423" s="1">
        <v>128.0</v>
      </c>
      <c r="T3423" s="1">
        <v>67.0</v>
      </c>
      <c r="U3423" s="1">
        <v>684.0</v>
      </c>
      <c r="V3423" s="1">
        <v>24.0</v>
      </c>
      <c r="W3423" s="1">
        <v>0.0</v>
      </c>
      <c r="X3423" s="1">
        <v>0.0</v>
      </c>
      <c r="Y3423" s="1">
        <v>2.35</v>
      </c>
      <c r="Z3423" s="1">
        <v>4.6</v>
      </c>
    </row>
    <row r="3424" ht="14.25" customHeight="1">
      <c r="A3424" s="1" t="s">
        <v>26</v>
      </c>
      <c r="B3424" s="1" t="s">
        <v>16134</v>
      </c>
      <c r="C3424" s="1" t="s">
        <v>16135</v>
      </c>
      <c r="D3424" s="1">
        <v>3.2230907E7</v>
      </c>
      <c r="E3424" s="1" t="s">
        <v>14973</v>
      </c>
      <c r="F3424" s="1" t="s">
        <v>16136</v>
      </c>
      <c r="G3424" s="1" t="s">
        <v>16137</v>
      </c>
      <c r="H3424" s="1" t="s">
        <v>16138</v>
      </c>
      <c r="I3424" s="1">
        <v>6062.0</v>
      </c>
      <c r="J3424" s="1" t="s">
        <v>16139</v>
      </c>
      <c r="K3424" s="1" t="s">
        <v>16140</v>
      </c>
      <c r="L3424" s="1">
        <v>30.0</v>
      </c>
      <c r="M3424" s="1" t="s">
        <v>35</v>
      </c>
      <c r="N3424" s="1" t="s">
        <v>36</v>
      </c>
      <c r="O3424" s="1" t="s">
        <v>628</v>
      </c>
      <c r="P3424" s="1">
        <v>2500000.0</v>
      </c>
      <c r="Q3424" s="1">
        <v>2013.0</v>
      </c>
      <c r="R3424" s="1">
        <v>1000.0</v>
      </c>
      <c r="S3424" s="1">
        <v>309.0</v>
      </c>
      <c r="T3424" s="1">
        <v>36.0</v>
      </c>
      <c r="U3424" s="1">
        <v>1385.0</v>
      </c>
      <c r="V3424" s="1">
        <v>15.0</v>
      </c>
      <c r="W3424" s="1">
        <v>0.0</v>
      </c>
      <c r="X3424" s="1">
        <v>0.0</v>
      </c>
      <c r="Y3424" s="1">
        <v>1.85</v>
      </c>
      <c r="Z3424" s="1">
        <v>6.7</v>
      </c>
    </row>
    <row r="3425" ht="14.25" customHeight="1">
      <c r="A3425" s="1" t="s">
        <v>26</v>
      </c>
      <c r="B3425" s="1" t="s">
        <v>5676</v>
      </c>
      <c r="C3425" s="1" t="s">
        <v>16141</v>
      </c>
      <c r="D3425" s="1">
        <v>6401336.0</v>
      </c>
      <c r="E3425" s="1" t="s">
        <v>3238</v>
      </c>
      <c r="F3425" s="1" t="s">
        <v>563</v>
      </c>
      <c r="G3425" s="1" t="s">
        <v>1740</v>
      </c>
      <c r="H3425" s="1" t="s">
        <v>8862</v>
      </c>
      <c r="I3425" s="1">
        <v>36996.0</v>
      </c>
      <c r="J3425" s="1" t="s">
        <v>16142</v>
      </c>
      <c r="K3425" s="1" t="s">
        <v>16143</v>
      </c>
      <c r="L3425" s="1">
        <v>153.0</v>
      </c>
      <c r="M3425" s="1" t="s">
        <v>35</v>
      </c>
      <c r="N3425" s="1" t="s">
        <v>36</v>
      </c>
      <c r="O3425" s="1" t="s">
        <v>628</v>
      </c>
      <c r="P3425" s="1">
        <v>2500000.0</v>
      </c>
      <c r="Q3425" s="1">
        <v>1991.0</v>
      </c>
      <c r="R3425" s="1">
        <v>18000.0</v>
      </c>
      <c r="S3425" s="1">
        <v>595.0</v>
      </c>
      <c r="T3425" s="1">
        <v>535.0</v>
      </c>
      <c r="U3425" s="1">
        <v>19923.0</v>
      </c>
      <c r="V3425" s="1">
        <v>835.0</v>
      </c>
      <c r="W3425" s="1">
        <v>0.0</v>
      </c>
      <c r="X3425" s="1">
        <v>2.0</v>
      </c>
      <c r="Y3425" s="1">
        <v>1.78</v>
      </c>
      <c r="Z3425" s="1">
        <v>7.1</v>
      </c>
    </row>
    <row r="3426" ht="14.25" customHeight="1">
      <c r="A3426" s="1" t="s">
        <v>26</v>
      </c>
      <c r="B3426" s="1" t="s">
        <v>14765</v>
      </c>
      <c r="C3426" s="1" t="s">
        <v>16144</v>
      </c>
      <c r="D3426" s="1">
        <v>2.6781723E7</v>
      </c>
      <c r="E3426" s="1" t="s">
        <v>1359</v>
      </c>
      <c r="F3426" s="1" t="s">
        <v>1707</v>
      </c>
      <c r="G3426" s="1" t="s">
        <v>4673</v>
      </c>
      <c r="H3426" s="1" t="s">
        <v>16145</v>
      </c>
      <c r="I3426" s="1">
        <v>187595.0</v>
      </c>
      <c r="J3426" s="1" t="s">
        <v>16146</v>
      </c>
      <c r="K3426" s="1" t="s">
        <v>16147</v>
      </c>
      <c r="L3426" s="1">
        <v>978.0</v>
      </c>
      <c r="M3426" s="1" t="s">
        <v>35</v>
      </c>
      <c r="N3426" s="1" t="s">
        <v>36</v>
      </c>
      <c r="O3426" s="1" t="s">
        <v>628</v>
      </c>
      <c r="P3426" s="1">
        <v>2500000.0</v>
      </c>
      <c r="Q3426" s="1">
        <v>2004.0</v>
      </c>
      <c r="R3426" s="1">
        <v>625.0</v>
      </c>
      <c r="S3426" s="1">
        <v>379.0</v>
      </c>
      <c r="T3426" s="1">
        <v>294.0</v>
      </c>
      <c r="U3426" s="1">
        <v>1655.0</v>
      </c>
      <c r="V3426" s="1">
        <v>0.0</v>
      </c>
      <c r="W3426" s="1">
        <v>0.0</v>
      </c>
      <c r="X3426" s="1">
        <v>3.0</v>
      </c>
      <c r="Y3426" s="1">
        <v>2.35</v>
      </c>
      <c r="Z3426" s="1">
        <v>7.6</v>
      </c>
    </row>
    <row r="3427" ht="14.25" customHeight="1">
      <c r="A3427" s="1" t="s">
        <v>26</v>
      </c>
      <c r="B3427" s="1" t="s">
        <v>8489</v>
      </c>
      <c r="C3427" s="1" t="s">
        <v>16148</v>
      </c>
      <c r="D3427" s="1">
        <v>5400000.0</v>
      </c>
      <c r="E3427" s="1" t="s">
        <v>206</v>
      </c>
      <c r="F3427" s="1" t="s">
        <v>16149</v>
      </c>
      <c r="G3427" s="1" t="s">
        <v>16150</v>
      </c>
      <c r="H3427" s="1" t="s">
        <v>16151</v>
      </c>
      <c r="I3427" s="1">
        <v>183288.0</v>
      </c>
      <c r="J3427" s="1" t="s">
        <v>16152</v>
      </c>
      <c r="K3427" s="1" t="s">
        <v>16153</v>
      </c>
      <c r="L3427" s="1">
        <v>395.0</v>
      </c>
      <c r="M3427" s="1" t="s">
        <v>35</v>
      </c>
      <c r="N3427" s="1" t="s">
        <v>36</v>
      </c>
      <c r="O3427" s="1" t="s">
        <v>628</v>
      </c>
      <c r="P3427" s="1">
        <v>2500000.0</v>
      </c>
      <c r="Q3427" s="1">
        <v>1995.0</v>
      </c>
      <c r="R3427" s="1">
        <v>15.0</v>
      </c>
      <c r="S3427" s="1">
        <v>12.0</v>
      </c>
      <c r="T3427" s="1">
        <v>4.0</v>
      </c>
      <c r="U3427" s="1">
        <v>36.0</v>
      </c>
      <c r="V3427" s="1">
        <v>0.0</v>
      </c>
      <c r="W3427" s="1">
        <v>22000.0</v>
      </c>
      <c r="X3427" s="1">
        <v>1.0</v>
      </c>
      <c r="Y3427" s="1">
        <v>1.85</v>
      </c>
      <c r="Z3427" s="1">
        <v>8.1</v>
      </c>
    </row>
    <row r="3428" ht="14.25" customHeight="1">
      <c r="A3428" s="1" t="s">
        <v>26</v>
      </c>
      <c r="B3428" s="1" t="s">
        <v>16154</v>
      </c>
      <c r="C3428" s="1" t="s">
        <v>16155</v>
      </c>
      <c r="D3428" s="1">
        <v>1282084.0</v>
      </c>
      <c r="E3428" s="1" t="s">
        <v>3238</v>
      </c>
      <c r="F3428" s="1" t="s">
        <v>1017</v>
      </c>
      <c r="G3428" s="1" t="s">
        <v>67</v>
      </c>
      <c r="H3428" s="1" t="s">
        <v>10511</v>
      </c>
      <c r="I3428" s="1">
        <v>6221.0</v>
      </c>
      <c r="J3428" s="1" t="s">
        <v>16156</v>
      </c>
      <c r="K3428" s="1" t="s">
        <v>16157</v>
      </c>
      <c r="L3428" s="1">
        <v>87.0</v>
      </c>
      <c r="M3428" s="1" t="s">
        <v>35</v>
      </c>
      <c r="N3428" s="1" t="s">
        <v>36</v>
      </c>
      <c r="O3428" s="1" t="s">
        <v>628</v>
      </c>
      <c r="P3428" s="1">
        <v>2500000.0</v>
      </c>
      <c r="Q3428" s="1">
        <v>1999.0</v>
      </c>
      <c r="R3428" s="1">
        <v>745.0</v>
      </c>
      <c r="S3428" s="1">
        <v>631.0</v>
      </c>
      <c r="T3428" s="1">
        <v>442.0</v>
      </c>
      <c r="U3428" s="1">
        <v>2125.0</v>
      </c>
      <c r="V3428" s="1">
        <v>7.0</v>
      </c>
      <c r="W3428" s="1">
        <v>500.0</v>
      </c>
      <c r="X3428" s="1">
        <v>1.0</v>
      </c>
      <c r="Y3428" s="1">
        <v>2.35</v>
      </c>
      <c r="Z3428" s="1">
        <v>7.0</v>
      </c>
    </row>
    <row r="3429" ht="14.25" customHeight="1">
      <c r="A3429" s="1" t="s">
        <v>26</v>
      </c>
      <c r="B3429" s="1" t="s">
        <v>12707</v>
      </c>
      <c r="C3429" s="1" t="s">
        <v>16158</v>
      </c>
      <c r="D3429" s="1">
        <v>3325638.0</v>
      </c>
      <c r="E3429" s="1" t="s">
        <v>16159</v>
      </c>
      <c r="F3429" s="1" t="s">
        <v>114</v>
      </c>
      <c r="G3429" s="1" t="s">
        <v>16160</v>
      </c>
      <c r="H3429" s="1" t="s">
        <v>16161</v>
      </c>
      <c r="I3429" s="1">
        <v>52509.0</v>
      </c>
      <c r="J3429" s="1" t="s">
        <v>16162</v>
      </c>
      <c r="K3429" s="1" t="s">
        <v>16163</v>
      </c>
      <c r="L3429" s="1">
        <v>84.0</v>
      </c>
      <c r="M3429" s="1" t="s">
        <v>35</v>
      </c>
      <c r="N3429" s="1" t="s">
        <v>36</v>
      </c>
      <c r="O3429" s="1" t="s">
        <v>37</v>
      </c>
      <c r="P3429" s="1">
        <v>2500000.0</v>
      </c>
      <c r="Q3429" s="1">
        <v>2012.0</v>
      </c>
      <c r="R3429" s="1">
        <v>902.0</v>
      </c>
      <c r="S3429" s="1">
        <v>291.0</v>
      </c>
      <c r="T3429" s="1">
        <v>215.0</v>
      </c>
      <c r="U3429" s="1">
        <v>1980.0</v>
      </c>
      <c r="V3429" s="1">
        <v>14.0</v>
      </c>
      <c r="W3429" s="1">
        <v>13000.0</v>
      </c>
      <c r="X3429" s="1">
        <v>3.0</v>
      </c>
      <c r="Y3429" s="1">
        <v>2.35</v>
      </c>
      <c r="Z3429" s="1">
        <v>7.1</v>
      </c>
    </row>
    <row r="3430" ht="14.25" customHeight="1">
      <c r="A3430" s="1" t="s">
        <v>26</v>
      </c>
      <c r="B3430" s="1" t="s">
        <v>16164</v>
      </c>
      <c r="C3430" s="1" t="s">
        <v>16165</v>
      </c>
      <c r="D3430" s="1">
        <v>395592.0</v>
      </c>
      <c r="E3430" s="1" t="s">
        <v>206</v>
      </c>
      <c r="F3430" s="1" t="s">
        <v>8006</v>
      </c>
      <c r="G3430" s="1" t="s">
        <v>7441</v>
      </c>
      <c r="H3430" s="1" t="s">
        <v>16166</v>
      </c>
      <c r="I3430" s="1">
        <v>21202.0</v>
      </c>
      <c r="J3430" s="1" t="s">
        <v>16167</v>
      </c>
      <c r="K3430" s="1" t="s">
        <v>16168</v>
      </c>
      <c r="L3430" s="1">
        <v>134.0</v>
      </c>
      <c r="M3430" s="1" t="s">
        <v>35</v>
      </c>
      <c r="N3430" s="1" t="s">
        <v>3393</v>
      </c>
      <c r="O3430" s="1" t="s">
        <v>628</v>
      </c>
      <c r="P3430" s="1">
        <v>2000000.0</v>
      </c>
      <c r="Q3430" s="1">
        <v>2003.0</v>
      </c>
      <c r="R3430" s="1">
        <v>900.0</v>
      </c>
      <c r="S3430" s="1">
        <v>648.0</v>
      </c>
      <c r="T3430" s="1">
        <v>471.0</v>
      </c>
      <c r="U3430" s="1">
        <v>2972.0</v>
      </c>
      <c r="V3430" s="1">
        <v>148.0</v>
      </c>
      <c r="W3430" s="1">
        <v>0.0</v>
      </c>
      <c r="X3430" s="1">
        <v>1.0</v>
      </c>
      <c r="Y3430" s="1">
        <v>1.85</v>
      </c>
      <c r="Z3430" s="1">
        <v>7.6</v>
      </c>
    </row>
    <row r="3431" ht="14.25" customHeight="1">
      <c r="A3431" s="1" t="s">
        <v>26</v>
      </c>
      <c r="B3431" s="1" t="s">
        <v>16169</v>
      </c>
      <c r="C3431" s="1" t="s">
        <v>16170</v>
      </c>
      <c r="D3431" s="1">
        <v>6851969.0</v>
      </c>
      <c r="E3431" s="1" t="s">
        <v>1359</v>
      </c>
      <c r="F3431" s="1" t="s">
        <v>9844</v>
      </c>
      <c r="G3431" s="1" t="s">
        <v>2510</v>
      </c>
      <c r="H3431" s="1" t="s">
        <v>16171</v>
      </c>
      <c r="I3431" s="1">
        <v>105591.0</v>
      </c>
      <c r="J3431" s="1" t="s">
        <v>16172</v>
      </c>
      <c r="K3431" s="1" t="s">
        <v>16173</v>
      </c>
      <c r="L3431" s="1">
        <v>178.0</v>
      </c>
      <c r="M3431" s="1" t="s">
        <v>35</v>
      </c>
      <c r="N3431" s="1" t="s">
        <v>36</v>
      </c>
      <c r="O3431" s="1" t="s">
        <v>628</v>
      </c>
      <c r="P3431" s="1">
        <v>2500000.0</v>
      </c>
      <c r="Q3431" s="1">
        <v>2013.0</v>
      </c>
      <c r="R3431" s="1">
        <v>8000.0</v>
      </c>
      <c r="S3431" s="1">
        <v>1000.0</v>
      </c>
      <c r="T3431" s="1">
        <v>478.0</v>
      </c>
      <c r="U3431" s="1">
        <v>10040.0</v>
      </c>
      <c r="V3431" s="1">
        <v>53.0</v>
      </c>
      <c r="W3431" s="1">
        <v>10000.0</v>
      </c>
      <c r="X3431" s="1">
        <v>1.0</v>
      </c>
      <c r="Y3431" s="1">
        <v>2.35</v>
      </c>
      <c r="Z3431" s="1">
        <v>7.1</v>
      </c>
    </row>
    <row r="3432" ht="14.25" customHeight="1">
      <c r="A3432" s="1" t="s">
        <v>26</v>
      </c>
      <c r="B3432" s="1" t="s">
        <v>3531</v>
      </c>
      <c r="C3432" s="1" t="s">
        <v>16174</v>
      </c>
      <c r="D3432" s="1">
        <v>1.2995673E7</v>
      </c>
      <c r="E3432" s="1" t="s">
        <v>16175</v>
      </c>
      <c r="F3432" s="1" t="s">
        <v>16176</v>
      </c>
      <c r="G3432" s="1" t="s">
        <v>16177</v>
      </c>
      <c r="H3432" s="1" t="s">
        <v>16178</v>
      </c>
      <c r="I3432" s="1">
        <v>52286.0</v>
      </c>
      <c r="J3432" s="1" t="s">
        <v>16179</v>
      </c>
      <c r="K3432" s="1" t="s">
        <v>16180</v>
      </c>
      <c r="L3432" s="1">
        <v>345.0</v>
      </c>
      <c r="M3432" s="1" t="s">
        <v>35</v>
      </c>
      <c r="N3432" s="1" t="s">
        <v>36</v>
      </c>
      <c r="O3432" s="1" t="s">
        <v>628</v>
      </c>
      <c r="P3432" s="1">
        <v>2500000.0</v>
      </c>
      <c r="Q3432" s="1">
        <v>2008.0</v>
      </c>
      <c r="R3432" s="1">
        <v>334.0</v>
      </c>
      <c r="S3432" s="1">
        <v>4.0</v>
      </c>
      <c r="T3432" s="1">
        <v>0.0</v>
      </c>
      <c r="U3432" s="1">
        <v>338.0</v>
      </c>
      <c r="V3432" s="1">
        <v>119.0</v>
      </c>
      <c r="W3432" s="1">
        <v>24000.0</v>
      </c>
      <c r="X3432" s="1">
        <v>1.0</v>
      </c>
      <c r="Y3432" s="1">
        <v>1.78</v>
      </c>
      <c r="Z3432" s="1">
        <v>7.7</v>
      </c>
    </row>
    <row r="3433" ht="14.25" customHeight="1">
      <c r="A3433" s="1" t="s">
        <v>26</v>
      </c>
      <c r="B3433" s="1" t="s">
        <v>16181</v>
      </c>
      <c r="C3433" s="1" t="s">
        <v>16182</v>
      </c>
      <c r="D3433" s="1">
        <v>173783.0</v>
      </c>
      <c r="E3433" s="1" t="s">
        <v>15542</v>
      </c>
      <c r="F3433" s="1" t="s">
        <v>11773</v>
      </c>
      <c r="G3433" s="1" t="s">
        <v>16183</v>
      </c>
      <c r="H3433" s="1" t="s">
        <v>16184</v>
      </c>
      <c r="I3433" s="1">
        <v>578.0</v>
      </c>
      <c r="J3433" s="1" t="s">
        <v>16185</v>
      </c>
      <c r="K3433" s="1" t="s">
        <v>16186</v>
      </c>
      <c r="L3433" s="1">
        <v>34.0</v>
      </c>
      <c r="M3433" s="1" t="s">
        <v>35</v>
      </c>
      <c r="N3433" s="1" t="s">
        <v>36</v>
      </c>
      <c r="O3433" s="1" t="s">
        <v>9252</v>
      </c>
      <c r="P3433" s="1">
        <v>2500000.0</v>
      </c>
      <c r="Q3433" s="1">
        <v>2008.0</v>
      </c>
      <c r="R3433" s="1">
        <v>860.0</v>
      </c>
      <c r="S3433" s="1">
        <v>130.0</v>
      </c>
      <c r="T3433" s="1">
        <v>125.0</v>
      </c>
      <c r="U3433" s="1">
        <v>1252.0</v>
      </c>
      <c r="V3433" s="1">
        <v>9.0</v>
      </c>
      <c r="W3433" s="1">
        <v>588.0</v>
      </c>
      <c r="X3433" s="1">
        <v>0.0</v>
      </c>
      <c r="Y3433" s="1">
        <v>1.85</v>
      </c>
      <c r="Z3433" s="1">
        <v>7.6</v>
      </c>
    </row>
    <row r="3434" ht="14.25" customHeight="1">
      <c r="A3434" s="1" t="s">
        <v>710</v>
      </c>
      <c r="B3434" s="1" t="s">
        <v>4784</v>
      </c>
      <c r="C3434" s="1" t="s">
        <v>7601</v>
      </c>
      <c r="D3434" s="1">
        <v>1.14324072E8</v>
      </c>
      <c r="E3434" s="1" t="s">
        <v>3714</v>
      </c>
      <c r="F3434" s="1" t="s">
        <v>3064</v>
      </c>
      <c r="G3434" s="1" t="s">
        <v>1102</v>
      </c>
      <c r="H3434" s="1" t="s">
        <v>31</v>
      </c>
      <c r="I3434" s="1">
        <v>185345.0</v>
      </c>
      <c r="J3434" s="1" t="s">
        <v>7602</v>
      </c>
      <c r="K3434" s="1" t="s">
        <v>7603</v>
      </c>
      <c r="L3434" s="1">
        <v>392.0</v>
      </c>
      <c r="M3434" s="1" t="s">
        <v>35</v>
      </c>
      <c r="N3434" s="1" t="s">
        <v>36</v>
      </c>
      <c r="O3434" s="1" t="s">
        <v>37</v>
      </c>
      <c r="P3434" s="1">
        <v>2.0E7</v>
      </c>
      <c r="Q3434" s="1">
        <v>2004.0</v>
      </c>
      <c r="R3434" s="1">
        <v>989.0</v>
      </c>
      <c r="S3434" s="1">
        <v>939.0</v>
      </c>
      <c r="T3434" s="1">
        <v>936.0</v>
      </c>
      <c r="U3434" s="1">
        <v>4730.0</v>
      </c>
      <c r="V3434" s="1">
        <v>43.0</v>
      </c>
      <c r="W3434" s="1">
        <v>0.0</v>
      </c>
      <c r="X3434" s="1">
        <v>0.0</v>
      </c>
      <c r="Y3434" s="1">
        <v>2.35</v>
      </c>
      <c r="Z3434" s="1">
        <v>6.7</v>
      </c>
    </row>
    <row r="3435" ht="14.25" customHeight="1">
      <c r="A3435" s="1" t="s">
        <v>26</v>
      </c>
      <c r="B3435" s="1" t="s">
        <v>16187</v>
      </c>
      <c r="C3435" s="1" t="s">
        <v>16188</v>
      </c>
      <c r="D3435" s="1">
        <v>71904.0</v>
      </c>
      <c r="E3435" s="1" t="s">
        <v>3731</v>
      </c>
      <c r="F3435" s="1" t="s">
        <v>14621</v>
      </c>
      <c r="G3435" s="1" t="s">
        <v>13787</v>
      </c>
      <c r="H3435" s="1" t="s">
        <v>2132</v>
      </c>
      <c r="I3435" s="1">
        <v>806.0</v>
      </c>
      <c r="J3435" s="1" t="s">
        <v>16189</v>
      </c>
      <c r="K3435" s="1" t="s">
        <v>16190</v>
      </c>
      <c r="L3435" s="1">
        <v>18.0</v>
      </c>
      <c r="M3435" s="1" t="s">
        <v>35</v>
      </c>
      <c r="N3435" s="1" t="s">
        <v>36</v>
      </c>
      <c r="O3435" s="1" t="s">
        <v>37</v>
      </c>
      <c r="P3435" s="1">
        <v>2500000.0</v>
      </c>
      <c r="Q3435" s="1">
        <v>2006.0</v>
      </c>
      <c r="R3435" s="1">
        <v>640.0</v>
      </c>
      <c r="S3435" s="1">
        <v>261.0</v>
      </c>
      <c r="T3435" s="1">
        <v>249.0</v>
      </c>
      <c r="U3435" s="1">
        <v>1491.0</v>
      </c>
      <c r="V3435" s="1">
        <v>0.0</v>
      </c>
      <c r="W3435" s="1">
        <v>140.0</v>
      </c>
      <c r="X3435" s="1">
        <v>1.0</v>
      </c>
      <c r="Y3435" s="1">
        <v>1.85</v>
      </c>
      <c r="Z3435" s="1">
        <v>5.7</v>
      </c>
    </row>
    <row r="3436" ht="14.25" customHeight="1">
      <c r="A3436" s="1" t="s">
        <v>26</v>
      </c>
      <c r="B3436" s="1" t="s">
        <v>16191</v>
      </c>
      <c r="C3436" s="1" t="s">
        <v>16192</v>
      </c>
      <c r="D3436" s="1">
        <v>99851.0</v>
      </c>
      <c r="E3436" s="1" t="s">
        <v>15542</v>
      </c>
      <c r="F3436" s="1" t="s">
        <v>16193</v>
      </c>
      <c r="G3436" s="1" t="s">
        <v>16194</v>
      </c>
      <c r="H3436" s="1" t="s">
        <v>16195</v>
      </c>
      <c r="I3436" s="1">
        <v>1138.0</v>
      </c>
      <c r="J3436" s="1" t="s">
        <v>16196</v>
      </c>
      <c r="K3436" s="1" t="s">
        <v>16197</v>
      </c>
      <c r="L3436" s="1">
        <v>30.0</v>
      </c>
      <c r="M3436" s="1" t="s">
        <v>35</v>
      </c>
      <c r="N3436" s="1" t="s">
        <v>36</v>
      </c>
      <c r="O3436" s="1" t="s">
        <v>628</v>
      </c>
      <c r="P3436" s="1">
        <v>2500000.0</v>
      </c>
      <c r="Q3436" s="1">
        <v>2010.0</v>
      </c>
      <c r="R3436" s="1">
        <v>191.0</v>
      </c>
      <c r="S3436" s="1">
        <v>12.0</v>
      </c>
      <c r="T3436" s="1">
        <v>5.0</v>
      </c>
      <c r="U3436" s="1">
        <v>210.0</v>
      </c>
      <c r="V3436" s="1">
        <v>0.0</v>
      </c>
      <c r="W3436" s="1">
        <v>0.0</v>
      </c>
      <c r="X3436" s="1">
        <v>0.0</v>
      </c>
      <c r="Y3436" s="1">
        <v>1.78</v>
      </c>
      <c r="Z3436" s="1">
        <v>7.1</v>
      </c>
    </row>
    <row r="3437" ht="14.25" customHeight="1">
      <c r="A3437" s="1" t="s">
        <v>26</v>
      </c>
      <c r="B3437" s="1" t="s">
        <v>16198</v>
      </c>
      <c r="C3437" s="1" t="s">
        <v>16199</v>
      </c>
      <c r="D3437" s="1">
        <v>115504.0</v>
      </c>
      <c r="E3437" s="1" t="s">
        <v>1359</v>
      </c>
      <c r="F3437" s="1" t="s">
        <v>2371</v>
      </c>
      <c r="G3437" s="1" t="s">
        <v>14360</v>
      </c>
      <c r="H3437" s="1" t="s">
        <v>16200</v>
      </c>
      <c r="I3437" s="1">
        <v>4820.0</v>
      </c>
      <c r="J3437" s="1" t="s">
        <v>16201</v>
      </c>
      <c r="K3437" s="1" t="s">
        <v>16202</v>
      </c>
      <c r="L3437" s="1">
        <v>26.0</v>
      </c>
      <c r="M3437" s="1" t="s">
        <v>35</v>
      </c>
      <c r="N3437" s="1" t="s">
        <v>54</v>
      </c>
      <c r="O3437" s="1" t="s">
        <v>37</v>
      </c>
      <c r="P3437" s="1">
        <v>1.4E7</v>
      </c>
      <c r="Q3437" s="1">
        <v>2008.0</v>
      </c>
      <c r="R3437" s="1">
        <v>611.0</v>
      </c>
      <c r="S3437" s="1">
        <v>397.0</v>
      </c>
      <c r="T3437" s="1">
        <v>315.0</v>
      </c>
      <c r="U3437" s="1">
        <v>1739.0</v>
      </c>
      <c r="V3437" s="1">
        <v>8.0</v>
      </c>
      <c r="W3437" s="1">
        <v>0.0</v>
      </c>
      <c r="X3437" s="1">
        <v>2.0</v>
      </c>
      <c r="Y3437" s="1">
        <v>2.35</v>
      </c>
      <c r="Z3437" s="1">
        <v>6.2</v>
      </c>
    </row>
    <row r="3438" ht="14.25" customHeight="1">
      <c r="A3438" s="1" t="s">
        <v>26</v>
      </c>
      <c r="B3438" s="1" t="s">
        <v>11957</v>
      </c>
      <c r="C3438" s="1" t="s">
        <v>16203</v>
      </c>
      <c r="D3438" s="1">
        <v>5725.0</v>
      </c>
      <c r="E3438" s="1" t="s">
        <v>6278</v>
      </c>
      <c r="F3438" s="1" t="s">
        <v>7195</v>
      </c>
      <c r="G3438" s="1" t="s">
        <v>16204</v>
      </c>
      <c r="H3438" s="1" t="s">
        <v>16205</v>
      </c>
      <c r="I3438" s="1">
        <v>10220.0</v>
      </c>
      <c r="J3438" s="1" t="s">
        <v>16206</v>
      </c>
      <c r="K3438" s="1" t="s">
        <v>16207</v>
      </c>
      <c r="L3438" s="1">
        <v>110.0</v>
      </c>
      <c r="M3438" s="1" t="s">
        <v>10526</v>
      </c>
      <c r="N3438" s="1" t="s">
        <v>730</v>
      </c>
      <c r="O3438" s="1" t="s">
        <v>628</v>
      </c>
      <c r="P3438" s="1">
        <v>8400000.0</v>
      </c>
      <c r="Q3438" s="1">
        <v>2000.0</v>
      </c>
      <c r="R3438" s="1">
        <v>127.0</v>
      </c>
      <c r="S3438" s="1">
        <v>10.0</v>
      </c>
      <c r="T3438" s="1">
        <v>10.0</v>
      </c>
      <c r="U3438" s="1">
        <v>163.0</v>
      </c>
      <c r="V3438" s="1">
        <v>24.0</v>
      </c>
      <c r="W3438" s="1">
        <v>560.0</v>
      </c>
      <c r="X3438" s="1">
        <v>0.0</v>
      </c>
      <c r="Y3438" s="1">
        <v>2.35</v>
      </c>
      <c r="Z3438" s="1">
        <v>6.1</v>
      </c>
    </row>
    <row r="3439" ht="14.25" customHeight="1">
      <c r="A3439" s="1" t="s">
        <v>26</v>
      </c>
      <c r="B3439" s="1" t="s">
        <v>16208</v>
      </c>
      <c r="C3439" s="1" t="s">
        <v>16209</v>
      </c>
      <c r="D3439" s="1">
        <v>75727.0</v>
      </c>
      <c r="E3439" s="1" t="s">
        <v>14202</v>
      </c>
      <c r="F3439" s="1" t="s">
        <v>6638</v>
      </c>
      <c r="G3439" s="1" t="s">
        <v>5204</v>
      </c>
      <c r="H3439" s="1" t="s">
        <v>16210</v>
      </c>
      <c r="I3439" s="1">
        <v>5699.0</v>
      </c>
      <c r="J3439" s="1" t="s">
        <v>16211</v>
      </c>
      <c r="K3439" s="1" t="s">
        <v>16212</v>
      </c>
      <c r="L3439" s="1">
        <v>40.0</v>
      </c>
      <c r="M3439" s="1" t="s">
        <v>2648</v>
      </c>
      <c r="N3439" s="1" t="s">
        <v>36</v>
      </c>
      <c r="O3439" s="1" t="s">
        <v>37</v>
      </c>
      <c r="P3439" s="1">
        <v>2500000.0</v>
      </c>
      <c r="Q3439" s="1">
        <v>2008.0</v>
      </c>
      <c r="R3439" s="1">
        <v>426.0</v>
      </c>
      <c r="S3439" s="1">
        <v>399.0</v>
      </c>
      <c r="T3439" s="1">
        <v>35.0</v>
      </c>
      <c r="U3439" s="1">
        <v>862.0</v>
      </c>
      <c r="V3439" s="1">
        <v>8.0</v>
      </c>
      <c r="W3439" s="1">
        <v>0.0</v>
      </c>
      <c r="X3439" s="1">
        <v>0.0</v>
      </c>
      <c r="Y3439" s="1">
        <v>1.85</v>
      </c>
      <c r="Z3439" s="1">
        <v>5.9</v>
      </c>
    </row>
    <row r="3440" ht="14.25" customHeight="1">
      <c r="A3440" s="1" t="s">
        <v>26</v>
      </c>
      <c r="B3440" s="1" t="s">
        <v>629</v>
      </c>
      <c r="C3440" s="1" t="s">
        <v>16213</v>
      </c>
      <c r="D3440" s="1">
        <v>322157.0</v>
      </c>
      <c r="E3440" s="1" t="s">
        <v>8521</v>
      </c>
      <c r="F3440" s="1" t="s">
        <v>2379</v>
      </c>
      <c r="G3440" s="1" t="s">
        <v>465</v>
      </c>
      <c r="H3440" s="1" t="s">
        <v>16214</v>
      </c>
      <c r="I3440" s="1">
        <v>61787.0</v>
      </c>
      <c r="J3440" s="1" t="s">
        <v>16215</v>
      </c>
      <c r="K3440" s="1" t="s">
        <v>16216</v>
      </c>
      <c r="L3440" s="1">
        <v>203.0</v>
      </c>
      <c r="M3440" s="1" t="s">
        <v>35</v>
      </c>
      <c r="N3440" s="1" t="s">
        <v>36</v>
      </c>
      <c r="O3440" s="1" t="s">
        <v>628</v>
      </c>
      <c r="P3440" s="1">
        <v>2500000.0</v>
      </c>
      <c r="Q3440" s="1">
        <v>2010.0</v>
      </c>
      <c r="R3440" s="1">
        <v>2000.0</v>
      </c>
      <c r="S3440" s="1">
        <v>973.0</v>
      </c>
      <c r="T3440" s="1">
        <v>370.0</v>
      </c>
      <c r="U3440" s="1">
        <v>4590.0</v>
      </c>
      <c r="V3440" s="1">
        <v>571.0</v>
      </c>
      <c r="W3440" s="1">
        <v>19000.0</v>
      </c>
      <c r="X3440" s="1">
        <v>0.0</v>
      </c>
      <c r="Y3440" s="1">
        <v>1.85</v>
      </c>
      <c r="Z3440" s="1">
        <v>6.8</v>
      </c>
    </row>
    <row r="3441" ht="14.25" customHeight="1">
      <c r="A3441" s="1" t="s">
        <v>26</v>
      </c>
      <c r="B3441" s="1" t="s">
        <v>4801</v>
      </c>
      <c r="C3441" s="1" t="s">
        <v>16217</v>
      </c>
      <c r="D3441" s="1">
        <v>5731103.0</v>
      </c>
      <c r="E3441" s="1" t="s">
        <v>6130</v>
      </c>
      <c r="F3441" s="1" t="s">
        <v>767</v>
      </c>
      <c r="G3441" s="1" t="s">
        <v>135</v>
      </c>
      <c r="H3441" s="1" t="s">
        <v>677</v>
      </c>
      <c r="I3441" s="1">
        <v>4100.0</v>
      </c>
      <c r="J3441" s="1" t="s">
        <v>16218</v>
      </c>
      <c r="K3441" s="1" t="s">
        <v>16219</v>
      </c>
      <c r="L3441" s="1">
        <v>35.0</v>
      </c>
      <c r="M3441" s="1" t="s">
        <v>35</v>
      </c>
      <c r="N3441" s="1" t="s">
        <v>36</v>
      </c>
      <c r="O3441" s="1" t="s">
        <v>628</v>
      </c>
      <c r="P3441" s="1">
        <v>2400000.0</v>
      </c>
      <c r="Q3441" s="1">
        <v>1996.0</v>
      </c>
      <c r="R3441" s="1">
        <v>1000.0</v>
      </c>
      <c r="S3441" s="1">
        <v>748.0</v>
      </c>
      <c r="T3441" s="1">
        <v>702.0</v>
      </c>
      <c r="U3441" s="1">
        <v>5963.0</v>
      </c>
      <c r="V3441" s="1">
        <v>0.0</v>
      </c>
      <c r="W3441" s="1">
        <v>352.0</v>
      </c>
      <c r="X3441" s="1">
        <v>10.0</v>
      </c>
      <c r="Y3441" s="1">
        <v>1.85</v>
      </c>
      <c r="Z3441" s="1">
        <v>6.8</v>
      </c>
    </row>
    <row r="3442" ht="14.25" customHeight="1">
      <c r="A3442" s="1" t="s">
        <v>26</v>
      </c>
      <c r="B3442" s="1" t="s">
        <v>16220</v>
      </c>
      <c r="C3442" s="1" t="s">
        <v>16221</v>
      </c>
      <c r="D3442" s="1">
        <v>978908.0</v>
      </c>
      <c r="E3442" s="1" t="s">
        <v>5758</v>
      </c>
      <c r="F3442" s="1" t="s">
        <v>1368</v>
      </c>
      <c r="G3442" s="1" t="s">
        <v>2824</v>
      </c>
      <c r="H3442" s="1" t="s">
        <v>16222</v>
      </c>
      <c r="I3442" s="1">
        <v>4057.0</v>
      </c>
      <c r="J3442" s="1" t="s">
        <v>16223</v>
      </c>
      <c r="K3442" s="1" t="s">
        <v>16224</v>
      </c>
      <c r="L3442" s="1">
        <v>90.0</v>
      </c>
      <c r="M3442" s="1" t="s">
        <v>35</v>
      </c>
      <c r="N3442" s="1" t="s">
        <v>16225</v>
      </c>
      <c r="O3442" s="1" t="s">
        <v>37</v>
      </c>
      <c r="P3442" s="1">
        <v>2400000.0</v>
      </c>
      <c r="Q3442" s="1">
        <v>2006.0</v>
      </c>
      <c r="R3442" s="1">
        <v>973.0</v>
      </c>
      <c r="S3442" s="1">
        <v>872.0</v>
      </c>
      <c r="T3442" s="1">
        <v>201.0</v>
      </c>
      <c r="U3442" s="1">
        <v>2306.0</v>
      </c>
      <c r="V3442" s="1">
        <v>9.0</v>
      </c>
      <c r="W3442" s="1">
        <v>250.0</v>
      </c>
      <c r="X3442" s="1">
        <v>0.0</v>
      </c>
      <c r="Y3442" s="1">
        <v>2.35</v>
      </c>
      <c r="Z3442" s="1">
        <v>5.1</v>
      </c>
    </row>
    <row r="3443" ht="14.25" customHeight="1">
      <c r="A3443" s="1" t="s">
        <v>26</v>
      </c>
      <c r="B3443" s="1" t="s">
        <v>16226</v>
      </c>
      <c r="C3443" s="1" t="s">
        <v>16227</v>
      </c>
      <c r="D3443" s="1">
        <v>327919.0</v>
      </c>
      <c r="E3443" s="1" t="s">
        <v>1854</v>
      </c>
      <c r="F3443" s="1" t="s">
        <v>152</v>
      </c>
      <c r="G3443" s="1" t="s">
        <v>2728</v>
      </c>
      <c r="H3443" s="1" t="s">
        <v>3499</v>
      </c>
      <c r="I3443" s="1">
        <v>99177.0</v>
      </c>
      <c r="J3443" s="1" t="s">
        <v>16228</v>
      </c>
      <c r="K3443" s="1" t="s">
        <v>16229</v>
      </c>
      <c r="L3443" s="1">
        <v>192.0</v>
      </c>
      <c r="M3443" s="1" t="s">
        <v>35</v>
      </c>
      <c r="N3443" s="1" t="s">
        <v>54</v>
      </c>
      <c r="O3443" s="1" t="s">
        <v>12164</v>
      </c>
      <c r="P3443" s="1">
        <v>1500000.0</v>
      </c>
      <c r="Q3443" s="1">
        <v>2006.0</v>
      </c>
      <c r="R3443" s="1">
        <v>1000.0</v>
      </c>
      <c r="S3443" s="1">
        <v>788.0</v>
      </c>
      <c r="T3443" s="1">
        <v>698.0</v>
      </c>
      <c r="U3443" s="1">
        <v>3282.0</v>
      </c>
      <c r="V3443" s="1">
        <v>222.0</v>
      </c>
      <c r="W3443" s="1">
        <v>11000.0</v>
      </c>
      <c r="X3443" s="1">
        <v>0.0</v>
      </c>
      <c r="Y3443" s="1">
        <v>1.85</v>
      </c>
      <c r="Z3443" s="1">
        <v>7.7</v>
      </c>
    </row>
    <row r="3444" ht="14.25" customHeight="1">
      <c r="A3444" s="1" t="s">
        <v>26</v>
      </c>
      <c r="B3444" s="1" t="s">
        <v>16230</v>
      </c>
      <c r="C3444" s="1" t="s">
        <v>16231</v>
      </c>
      <c r="D3444" s="1">
        <v>178739.0</v>
      </c>
      <c r="E3444" s="1" t="s">
        <v>15375</v>
      </c>
      <c r="F3444" s="1" t="s">
        <v>16232</v>
      </c>
      <c r="G3444" s="1" t="s">
        <v>7482</v>
      </c>
      <c r="H3444" s="1" t="s">
        <v>16233</v>
      </c>
      <c r="I3444" s="1">
        <v>1015.0</v>
      </c>
      <c r="J3444" s="1" t="s">
        <v>16234</v>
      </c>
      <c r="K3444" s="1" t="s">
        <v>16235</v>
      </c>
      <c r="L3444" s="1">
        <v>10.0</v>
      </c>
      <c r="M3444" s="1" t="s">
        <v>35</v>
      </c>
      <c r="N3444" s="1" t="s">
        <v>36</v>
      </c>
      <c r="O3444" s="1" t="s">
        <v>37</v>
      </c>
      <c r="P3444" s="1">
        <v>2450000.0</v>
      </c>
      <c r="Q3444" s="1">
        <v>2011.0</v>
      </c>
      <c r="R3444" s="1">
        <v>847.0</v>
      </c>
      <c r="S3444" s="1">
        <v>618.0</v>
      </c>
      <c r="T3444" s="1">
        <v>76.0</v>
      </c>
      <c r="U3444" s="1">
        <v>1668.0</v>
      </c>
      <c r="V3444" s="1">
        <v>29.0</v>
      </c>
      <c r="W3444" s="1">
        <v>566.0</v>
      </c>
      <c r="X3444" s="1">
        <v>0.0</v>
      </c>
      <c r="Y3444" s="1">
        <v>1.85</v>
      </c>
      <c r="Z3444" s="1">
        <v>3.9</v>
      </c>
    </row>
    <row r="3445" ht="14.25" customHeight="1">
      <c r="A3445" s="1" t="s">
        <v>26</v>
      </c>
      <c r="B3445" s="1" t="s">
        <v>6634</v>
      </c>
      <c r="C3445" s="1" t="s">
        <v>16236</v>
      </c>
      <c r="D3445" s="1">
        <v>3.62E7</v>
      </c>
      <c r="E3445" s="1" t="s">
        <v>6278</v>
      </c>
      <c r="F3445" s="1" t="s">
        <v>16237</v>
      </c>
      <c r="G3445" s="1" t="s">
        <v>16238</v>
      </c>
      <c r="H3445" s="1" t="s">
        <v>16239</v>
      </c>
      <c r="I3445" s="1">
        <v>31952.0</v>
      </c>
      <c r="J3445" s="1" t="s">
        <v>16240</v>
      </c>
      <c r="K3445" s="1" t="s">
        <v>16241</v>
      </c>
      <c r="L3445" s="1">
        <v>372.0</v>
      </c>
      <c r="M3445" s="1" t="s">
        <v>35</v>
      </c>
      <c r="N3445" s="1" t="s">
        <v>36</v>
      </c>
      <c r="O3445" s="1" t="s">
        <v>628</v>
      </c>
      <c r="P3445" s="1">
        <v>4000000.0</v>
      </c>
      <c r="Q3445" s="1">
        <v>1982.0</v>
      </c>
      <c r="R3445" s="1">
        <v>72.0</v>
      </c>
      <c r="S3445" s="1">
        <v>31.0</v>
      </c>
      <c r="T3445" s="1">
        <v>20.0</v>
      </c>
      <c r="U3445" s="1">
        <v>174.0</v>
      </c>
      <c r="V3445" s="1">
        <v>49.0</v>
      </c>
      <c r="W3445" s="1">
        <v>0.0</v>
      </c>
      <c r="X3445" s="1">
        <v>0.0</v>
      </c>
      <c r="Y3445" s="1">
        <v>2.35</v>
      </c>
      <c r="Z3445" s="1">
        <v>5.7</v>
      </c>
    </row>
    <row r="3446" ht="14.25" customHeight="1">
      <c r="A3446" s="1" t="s">
        <v>26</v>
      </c>
      <c r="B3446" s="1" t="s">
        <v>16242</v>
      </c>
      <c r="C3446" s="1" t="s">
        <v>16243</v>
      </c>
      <c r="D3446" s="1">
        <v>2.13E7</v>
      </c>
      <c r="E3446" s="1" t="s">
        <v>2882</v>
      </c>
      <c r="F3446" s="1" t="s">
        <v>16244</v>
      </c>
      <c r="G3446" s="1" t="s">
        <v>16245</v>
      </c>
      <c r="H3446" s="1" t="s">
        <v>16246</v>
      </c>
      <c r="I3446" s="1">
        <v>22521.0</v>
      </c>
      <c r="J3446" s="1" t="s">
        <v>16247</v>
      </c>
      <c r="K3446" s="1" t="s">
        <v>16248</v>
      </c>
      <c r="L3446" s="1">
        <v>342.0</v>
      </c>
      <c r="M3446" s="1" t="s">
        <v>35</v>
      </c>
      <c r="N3446" s="1" t="s">
        <v>36</v>
      </c>
      <c r="O3446" s="1" t="s">
        <v>628</v>
      </c>
      <c r="P3446" s="1">
        <v>2200000.0</v>
      </c>
      <c r="Q3446" s="1">
        <v>1985.0</v>
      </c>
      <c r="R3446" s="1">
        <v>42.0</v>
      </c>
      <c r="S3446" s="1">
        <v>27.0</v>
      </c>
      <c r="T3446" s="1">
        <v>17.0</v>
      </c>
      <c r="U3446" s="1">
        <v>170.0</v>
      </c>
      <c r="V3446" s="1">
        <v>13.0</v>
      </c>
      <c r="W3446" s="1">
        <v>1000.0</v>
      </c>
      <c r="X3446" s="1">
        <v>0.0</v>
      </c>
      <c r="Y3446" s="1">
        <v>1.85</v>
      </c>
      <c r="Z3446" s="1">
        <v>4.7</v>
      </c>
    </row>
    <row r="3447" ht="14.25" customHeight="1">
      <c r="A3447" s="1" t="s">
        <v>26</v>
      </c>
      <c r="B3447" s="1" t="s">
        <v>16249</v>
      </c>
      <c r="C3447" s="1" t="s">
        <v>16250</v>
      </c>
      <c r="D3447" s="1">
        <v>379643.0</v>
      </c>
      <c r="E3447" s="1" t="s">
        <v>3238</v>
      </c>
      <c r="F3447" s="1" t="s">
        <v>5574</v>
      </c>
      <c r="G3447" s="1" t="s">
        <v>12985</v>
      </c>
      <c r="H3447" s="1" t="s">
        <v>11866</v>
      </c>
      <c r="I3447" s="1">
        <v>1573.0</v>
      </c>
      <c r="J3447" s="1" t="s">
        <v>16251</v>
      </c>
      <c r="K3447" s="1" t="s">
        <v>16252</v>
      </c>
      <c r="L3447" s="1">
        <v>29.0</v>
      </c>
      <c r="M3447" s="1" t="s">
        <v>35</v>
      </c>
      <c r="N3447" s="1" t="s">
        <v>36</v>
      </c>
      <c r="O3447" s="1" t="s">
        <v>37</v>
      </c>
      <c r="P3447" s="1">
        <v>2200000.0</v>
      </c>
      <c r="Q3447" s="1">
        <v>2007.0</v>
      </c>
      <c r="R3447" s="1">
        <v>861.0</v>
      </c>
      <c r="S3447" s="1">
        <v>425.0</v>
      </c>
      <c r="T3447" s="1">
        <v>275.0</v>
      </c>
      <c r="U3447" s="1">
        <v>2161.0</v>
      </c>
      <c r="V3447" s="1">
        <v>84.0</v>
      </c>
      <c r="W3447" s="1">
        <v>285.0</v>
      </c>
      <c r="X3447" s="1">
        <v>0.0</v>
      </c>
      <c r="Y3447" s="1">
        <v>1.85</v>
      </c>
      <c r="Z3447" s="1">
        <v>5.9</v>
      </c>
    </row>
    <row r="3448" ht="14.25" customHeight="1">
      <c r="A3448" s="1" t="s">
        <v>710</v>
      </c>
      <c r="B3448" s="1" t="s">
        <v>16253</v>
      </c>
      <c r="C3448" s="1" t="s">
        <v>16254</v>
      </c>
      <c r="D3448" s="1">
        <v>2.365E7</v>
      </c>
      <c r="E3448" s="1" t="s">
        <v>6860</v>
      </c>
      <c r="F3448" s="1" t="s">
        <v>16255</v>
      </c>
      <c r="G3448" s="1" t="s">
        <v>16256</v>
      </c>
      <c r="H3448" s="1" t="s">
        <v>16257</v>
      </c>
      <c r="I3448" s="1">
        <v>40359.0</v>
      </c>
      <c r="J3448" s="1" t="s">
        <v>16258</v>
      </c>
      <c r="K3448" s="1" t="s">
        <v>16259</v>
      </c>
      <c r="L3448" s="1">
        <v>235.0</v>
      </c>
      <c r="M3448" s="1" t="s">
        <v>35</v>
      </c>
      <c r="N3448" s="1" t="s">
        <v>36</v>
      </c>
      <c r="O3448" s="1" t="s">
        <v>9252</v>
      </c>
      <c r="P3448" s="1">
        <v>2100000.0</v>
      </c>
      <c r="Q3448" s="1">
        <v>1946.0</v>
      </c>
      <c r="R3448" s="1">
        <v>749.0</v>
      </c>
      <c r="S3448" s="1">
        <v>208.0</v>
      </c>
      <c r="T3448" s="1">
        <v>188.0</v>
      </c>
      <c r="U3448" s="1">
        <v>1941.0</v>
      </c>
      <c r="V3448" s="1">
        <v>355.0</v>
      </c>
      <c r="W3448" s="1">
        <v>0.0</v>
      </c>
      <c r="X3448" s="1">
        <v>5.0</v>
      </c>
      <c r="Y3448" s="1">
        <v>1.37</v>
      </c>
      <c r="Z3448" s="1">
        <v>8.1</v>
      </c>
    </row>
    <row r="3449" ht="14.25" customHeight="1">
      <c r="A3449" s="1" t="s">
        <v>26</v>
      </c>
      <c r="B3449" s="1" t="s">
        <v>16260</v>
      </c>
      <c r="C3449" s="1" t="s">
        <v>16261</v>
      </c>
      <c r="D3449" s="1">
        <v>313436.0</v>
      </c>
      <c r="E3449" s="1" t="s">
        <v>2422</v>
      </c>
      <c r="F3449" s="1" t="s">
        <v>16262</v>
      </c>
      <c r="G3449" s="1" t="s">
        <v>16263</v>
      </c>
      <c r="H3449" s="1" t="s">
        <v>16264</v>
      </c>
      <c r="I3449" s="1">
        <v>12244.0</v>
      </c>
      <c r="J3449" s="1" t="s">
        <v>16265</v>
      </c>
      <c r="K3449" s="1" t="s">
        <v>16266</v>
      </c>
      <c r="L3449" s="1">
        <v>95.0</v>
      </c>
      <c r="M3449" s="1" t="s">
        <v>14952</v>
      </c>
      <c r="N3449" s="1" t="s">
        <v>14953</v>
      </c>
      <c r="O3449" s="1" t="s">
        <v>628</v>
      </c>
      <c r="P3449" s="1">
        <v>1.55E7</v>
      </c>
      <c r="Q3449" s="1">
        <v>2001.0</v>
      </c>
      <c r="R3449" s="1">
        <v>117.0</v>
      </c>
      <c r="S3449" s="1">
        <v>21.0</v>
      </c>
      <c r="T3449" s="1">
        <v>14.0</v>
      </c>
      <c r="U3449" s="1">
        <v>155.0</v>
      </c>
      <c r="V3449" s="1">
        <v>16.0</v>
      </c>
      <c r="W3449" s="1">
        <v>0.0</v>
      </c>
      <c r="X3449" s="1">
        <v>0.0</v>
      </c>
      <c r="Y3449" s="1">
        <v>1.85</v>
      </c>
      <c r="Z3449" s="1">
        <v>7.6</v>
      </c>
    </row>
    <row r="3450" ht="14.25" customHeight="1">
      <c r="A3450" s="1" t="s">
        <v>26</v>
      </c>
      <c r="B3450" s="1" t="s">
        <v>13722</v>
      </c>
      <c r="C3450" s="1" t="s">
        <v>16267</v>
      </c>
      <c r="D3450" s="1">
        <v>2.48E7</v>
      </c>
      <c r="E3450" s="1" t="s">
        <v>48</v>
      </c>
      <c r="F3450" s="1" t="s">
        <v>12552</v>
      </c>
      <c r="G3450" s="1" t="s">
        <v>16268</v>
      </c>
      <c r="H3450" s="1" t="s">
        <v>7532</v>
      </c>
      <c r="I3450" s="1">
        <v>89403.0</v>
      </c>
      <c r="J3450" s="1" t="s">
        <v>16269</v>
      </c>
      <c r="K3450" s="1" t="s">
        <v>16270</v>
      </c>
      <c r="L3450" s="1">
        <v>358.0</v>
      </c>
      <c r="M3450" s="1" t="s">
        <v>35</v>
      </c>
      <c r="N3450" s="1" t="s">
        <v>54</v>
      </c>
      <c r="O3450" s="1" t="s">
        <v>5661</v>
      </c>
      <c r="P3450" s="1">
        <v>2000000.0</v>
      </c>
      <c r="Q3450" s="1">
        <v>1963.0</v>
      </c>
      <c r="R3450" s="1">
        <v>559.0</v>
      </c>
      <c r="S3450" s="1">
        <v>201.0</v>
      </c>
      <c r="T3450" s="1">
        <v>177.0</v>
      </c>
      <c r="U3450" s="1">
        <v>1456.0</v>
      </c>
      <c r="V3450" s="1">
        <v>92.0</v>
      </c>
      <c r="W3450" s="1">
        <v>0.0</v>
      </c>
      <c r="X3450" s="1">
        <v>0.0</v>
      </c>
      <c r="Y3450" s="1">
        <v>1.37</v>
      </c>
      <c r="Z3450" s="1">
        <v>7.5</v>
      </c>
    </row>
    <row r="3451" ht="14.25" customHeight="1">
      <c r="A3451" s="1" t="s">
        <v>26</v>
      </c>
      <c r="B3451" s="1" t="s">
        <v>16271</v>
      </c>
      <c r="C3451" s="1" t="s">
        <v>16272</v>
      </c>
      <c r="D3451" s="1">
        <v>792966.0</v>
      </c>
      <c r="E3451" s="1" t="s">
        <v>16273</v>
      </c>
      <c r="F3451" s="1" t="s">
        <v>16274</v>
      </c>
      <c r="G3451" s="1" t="s">
        <v>16275</v>
      </c>
      <c r="H3451" s="1" t="s">
        <v>16276</v>
      </c>
      <c r="I3451" s="1">
        <v>4663.0</v>
      </c>
      <c r="J3451" s="1" t="s">
        <v>16277</v>
      </c>
      <c r="K3451" s="1" t="s">
        <v>16278</v>
      </c>
      <c r="L3451" s="1">
        <v>40.0</v>
      </c>
      <c r="M3451" s="1" t="s">
        <v>35</v>
      </c>
      <c r="N3451" s="1" t="s">
        <v>36</v>
      </c>
      <c r="O3451" s="1" t="s">
        <v>628</v>
      </c>
      <c r="P3451" s="1">
        <v>2300000.0</v>
      </c>
      <c r="Q3451" s="1">
        <v>1989.0</v>
      </c>
      <c r="R3451" s="1">
        <v>40.0</v>
      </c>
      <c r="S3451" s="1">
        <v>30.0</v>
      </c>
      <c r="T3451" s="1">
        <v>14.0</v>
      </c>
      <c r="U3451" s="1">
        <v>99.0</v>
      </c>
      <c r="V3451" s="1">
        <v>6.0</v>
      </c>
      <c r="W3451" s="1">
        <v>321.0</v>
      </c>
      <c r="X3451" s="1">
        <v>2.0</v>
      </c>
      <c r="Y3451" s="1">
        <v>1.33</v>
      </c>
      <c r="Z3451" s="1">
        <v>5.1</v>
      </c>
    </row>
    <row r="3452" ht="14.25" customHeight="1">
      <c r="A3452" s="1" t="s">
        <v>26</v>
      </c>
      <c r="B3452" s="1" t="s">
        <v>16279</v>
      </c>
      <c r="C3452" s="1" t="s">
        <v>16280</v>
      </c>
      <c r="D3452" s="1">
        <v>1.4673301E7</v>
      </c>
      <c r="E3452" s="1" t="s">
        <v>5924</v>
      </c>
      <c r="F3452" s="1" t="s">
        <v>16281</v>
      </c>
      <c r="G3452" s="1" t="s">
        <v>16282</v>
      </c>
      <c r="H3452" s="1" t="s">
        <v>16283</v>
      </c>
      <c r="I3452" s="1">
        <v>112899.0</v>
      </c>
      <c r="J3452" s="1" t="s">
        <v>16284</v>
      </c>
      <c r="K3452" s="1" t="s">
        <v>16285</v>
      </c>
      <c r="L3452" s="1">
        <v>631.0</v>
      </c>
      <c r="M3452" s="1" t="s">
        <v>35</v>
      </c>
      <c r="N3452" s="1" t="s">
        <v>36</v>
      </c>
      <c r="O3452" s="1" t="s">
        <v>628</v>
      </c>
      <c r="P3452" s="1">
        <v>2000000.0</v>
      </c>
      <c r="Q3452" s="1">
        <v>2014.0</v>
      </c>
      <c r="R3452" s="1">
        <v>314.0</v>
      </c>
      <c r="S3452" s="1">
        <v>189.0</v>
      </c>
      <c r="T3452" s="1">
        <v>159.0</v>
      </c>
      <c r="U3452" s="1">
        <v>1062.0</v>
      </c>
      <c r="V3452" s="1">
        <v>421.0</v>
      </c>
      <c r="W3452" s="1">
        <v>45000.0</v>
      </c>
      <c r="X3452" s="1">
        <v>0.0</v>
      </c>
      <c r="Y3452" s="1">
        <v>2.35</v>
      </c>
      <c r="Z3452" s="1">
        <v>6.9</v>
      </c>
    </row>
    <row r="3453" ht="14.25" customHeight="1">
      <c r="A3453" s="1" t="s">
        <v>710</v>
      </c>
      <c r="B3453" s="1" t="s">
        <v>808</v>
      </c>
      <c r="C3453" s="1" t="s">
        <v>16286</v>
      </c>
      <c r="D3453" s="1">
        <v>9003011.0</v>
      </c>
      <c r="E3453" s="1" t="s">
        <v>219</v>
      </c>
      <c r="F3453" s="1" t="s">
        <v>16287</v>
      </c>
      <c r="G3453" s="1" t="s">
        <v>706</v>
      </c>
      <c r="H3453" s="1" t="s">
        <v>16288</v>
      </c>
      <c r="I3453" s="1">
        <v>133966.0</v>
      </c>
      <c r="J3453" s="1" t="s">
        <v>16289</v>
      </c>
      <c r="K3453" s="1" t="s">
        <v>16290</v>
      </c>
      <c r="L3453" s="1">
        <v>294.0</v>
      </c>
      <c r="M3453" s="1" t="s">
        <v>35</v>
      </c>
      <c r="N3453" s="1" t="s">
        <v>362</v>
      </c>
      <c r="O3453" s="1" t="s">
        <v>628</v>
      </c>
      <c r="P3453" s="1">
        <v>2000000.0</v>
      </c>
      <c r="Q3453" s="1">
        <v>1981.0</v>
      </c>
      <c r="R3453" s="1">
        <v>745.0</v>
      </c>
      <c r="S3453" s="1">
        <v>531.0</v>
      </c>
      <c r="T3453" s="1">
        <v>41.0</v>
      </c>
      <c r="U3453" s="1">
        <v>1396.0</v>
      </c>
      <c r="V3453" s="1">
        <v>750.0</v>
      </c>
      <c r="W3453" s="1">
        <v>0.0</v>
      </c>
      <c r="X3453" s="1">
        <v>0.0</v>
      </c>
      <c r="Y3453" s="1">
        <v>2.35</v>
      </c>
      <c r="Z3453" s="1">
        <v>7.6</v>
      </c>
    </row>
    <row r="3454" ht="14.25" customHeight="1">
      <c r="A3454" s="1" t="s">
        <v>26</v>
      </c>
      <c r="B3454" s="1" t="s">
        <v>16291</v>
      </c>
      <c r="C3454" s="1" t="s">
        <v>16292</v>
      </c>
      <c r="D3454" s="1">
        <v>1.1546543E7</v>
      </c>
      <c r="E3454" s="1" t="s">
        <v>2056</v>
      </c>
      <c r="F3454" s="1" t="s">
        <v>6484</v>
      </c>
      <c r="G3454" s="1" t="s">
        <v>14163</v>
      </c>
      <c r="H3454" s="1" t="s">
        <v>16293</v>
      </c>
      <c r="I3454" s="1">
        <v>34520.0</v>
      </c>
      <c r="J3454" s="1" t="s">
        <v>16294</v>
      </c>
      <c r="K3454" s="1" t="s">
        <v>16295</v>
      </c>
      <c r="L3454" s="1">
        <v>146.0</v>
      </c>
      <c r="M3454" s="1" t="s">
        <v>6797</v>
      </c>
      <c r="N3454" s="1" t="s">
        <v>3659</v>
      </c>
      <c r="O3454" s="1" t="s">
        <v>628</v>
      </c>
      <c r="P3454" s="1">
        <v>2000000.0</v>
      </c>
      <c r="Q3454" s="1">
        <v>1994.0</v>
      </c>
      <c r="R3454" s="1">
        <v>483.0</v>
      </c>
      <c r="S3454" s="1">
        <v>147.0</v>
      </c>
      <c r="T3454" s="1">
        <v>75.0</v>
      </c>
      <c r="U3454" s="1">
        <v>768.0</v>
      </c>
      <c r="V3454" s="1">
        <v>32.0</v>
      </c>
      <c r="W3454" s="1">
        <v>0.0</v>
      </c>
      <c r="X3454" s="1">
        <v>1.0</v>
      </c>
      <c r="Y3454" s="1">
        <v>2.35</v>
      </c>
      <c r="Z3454" s="1">
        <v>7.6</v>
      </c>
    </row>
    <row r="3455" ht="14.25" customHeight="1">
      <c r="A3455" s="1" t="s">
        <v>26</v>
      </c>
      <c r="B3455" s="1" t="s">
        <v>7876</v>
      </c>
      <c r="C3455" s="1" t="s">
        <v>16296</v>
      </c>
      <c r="D3455" s="1">
        <v>1.1533945E7</v>
      </c>
      <c r="E3455" s="1" t="s">
        <v>13391</v>
      </c>
      <c r="F3455" s="1" t="s">
        <v>16297</v>
      </c>
      <c r="G3455" s="1" t="s">
        <v>10324</v>
      </c>
      <c r="H3455" s="1" t="s">
        <v>16298</v>
      </c>
      <c r="I3455" s="1">
        <v>77551.0</v>
      </c>
      <c r="J3455" s="1" t="s">
        <v>16299</v>
      </c>
      <c r="K3455" s="1" t="s">
        <v>16300</v>
      </c>
      <c r="L3455" s="1">
        <v>434.0</v>
      </c>
      <c r="M3455" s="1" t="s">
        <v>35</v>
      </c>
      <c r="N3455" s="1" t="s">
        <v>36</v>
      </c>
      <c r="O3455" s="1" t="s">
        <v>628</v>
      </c>
      <c r="P3455" s="1">
        <v>2000000.0</v>
      </c>
      <c r="Q3455" s="1">
        <v>1999.0</v>
      </c>
      <c r="R3455" s="1">
        <v>173.0</v>
      </c>
      <c r="S3455" s="1">
        <v>148.0</v>
      </c>
      <c r="T3455" s="1">
        <v>103.0</v>
      </c>
      <c r="U3455" s="1">
        <v>563.0</v>
      </c>
      <c r="V3455" s="1">
        <v>108.0</v>
      </c>
      <c r="W3455" s="1">
        <v>0.0</v>
      </c>
      <c r="X3455" s="1">
        <v>0.0</v>
      </c>
      <c r="Y3455" s="1">
        <v>1.85</v>
      </c>
      <c r="Z3455" s="1">
        <v>7.6</v>
      </c>
    </row>
    <row r="3456" ht="14.25" customHeight="1">
      <c r="A3456" s="1" t="s">
        <v>26</v>
      </c>
      <c r="B3456" s="1" t="s">
        <v>16301</v>
      </c>
      <c r="C3456" s="1" t="s">
        <v>16302</v>
      </c>
      <c r="D3456" s="1">
        <v>1.255523E7</v>
      </c>
      <c r="E3456" s="1" t="s">
        <v>5758</v>
      </c>
      <c r="F3456" s="1" t="s">
        <v>16303</v>
      </c>
      <c r="G3456" s="1" t="s">
        <v>16304</v>
      </c>
      <c r="H3456" s="1" t="s">
        <v>16305</v>
      </c>
      <c r="I3456" s="1">
        <v>18566.0</v>
      </c>
      <c r="J3456" s="1" t="s">
        <v>16306</v>
      </c>
      <c r="K3456" s="1" t="s">
        <v>16307</v>
      </c>
      <c r="L3456" s="1">
        <v>154.0</v>
      </c>
      <c r="M3456" s="1" t="s">
        <v>35</v>
      </c>
      <c r="N3456" s="1" t="s">
        <v>1832</v>
      </c>
      <c r="O3456" s="1" t="s">
        <v>628</v>
      </c>
      <c r="P3456" s="1">
        <v>2000000.0</v>
      </c>
      <c r="Q3456" s="1">
        <v>2011.0</v>
      </c>
      <c r="R3456" s="1">
        <v>120.0</v>
      </c>
      <c r="S3456" s="1">
        <v>44.0</v>
      </c>
      <c r="T3456" s="1">
        <v>32.0</v>
      </c>
      <c r="U3456" s="1">
        <v>218.0</v>
      </c>
      <c r="V3456" s="1">
        <v>9.0</v>
      </c>
      <c r="W3456" s="1">
        <v>0.0</v>
      </c>
      <c r="X3456" s="1">
        <v>0.0</v>
      </c>
      <c r="Y3456" s="1">
        <v>1.85</v>
      </c>
      <c r="Z3456" s="1">
        <v>5.3</v>
      </c>
    </row>
    <row r="3457" ht="14.25" customHeight="1">
      <c r="A3457" s="1" t="s">
        <v>26</v>
      </c>
      <c r="B3457" s="1" t="s">
        <v>1730</v>
      </c>
      <c r="C3457" s="1" t="s">
        <v>16308</v>
      </c>
      <c r="D3457" s="1">
        <v>1.1284657E7</v>
      </c>
      <c r="E3457" s="1" t="s">
        <v>3868</v>
      </c>
      <c r="F3457" s="1" t="s">
        <v>9643</v>
      </c>
      <c r="G3457" s="1" t="s">
        <v>12161</v>
      </c>
      <c r="H3457" s="1" t="s">
        <v>10523</v>
      </c>
      <c r="I3457" s="1">
        <v>259379.0</v>
      </c>
      <c r="J3457" s="1" t="s">
        <v>16309</v>
      </c>
      <c r="K3457" s="1" t="s">
        <v>16310</v>
      </c>
      <c r="L3457" s="1">
        <v>407.0</v>
      </c>
      <c r="M3457" s="1" t="s">
        <v>10526</v>
      </c>
      <c r="N3457" s="1" t="s">
        <v>730</v>
      </c>
      <c r="O3457" s="1" t="s">
        <v>628</v>
      </c>
      <c r="P3457" s="1">
        <v>2000000.0</v>
      </c>
      <c r="Q3457" s="1">
        <v>2006.0</v>
      </c>
      <c r="R3457" s="1">
        <v>380.0</v>
      </c>
      <c r="S3457" s="1">
        <v>284.0</v>
      </c>
      <c r="T3457" s="1">
        <v>155.0</v>
      </c>
      <c r="U3457" s="1">
        <v>927.0</v>
      </c>
      <c r="V3457" s="1">
        <v>207.0</v>
      </c>
      <c r="W3457" s="1">
        <v>39000.0</v>
      </c>
      <c r="X3457" s="1">
        <v>3.0</v>
      </c>
      <c r="Y3457" s="1">
        <v>2.35</v>
      </c>
      <c r="Z3457" s="1">
        <v>8.5</v>
      </c>
    </row>
    <row r="3458" ht="14.25" customHeight="1">
      <c r="A3458" s="1" t="s">
        <v>26</v>
      </c>
      <c r="B3458" s="1" t="s">
        <v>16311</v>
      </c>
      <c r="C3458" s="1" t="s">
        <v>16312</v>
      </c>
      <c r="D3458" s="1">
        <v>3.4522221E7</v>
      </c>
      <c r="E3458" s="1" t="s">
        <v>3238</v>
      </c>
      <c r="F3458" s="1" t="s">
        <v>16313</v>
      </c>
      <c r="G3458" s="1" t="s">
        <v>16311</v>
      </c>
      <c r="H3458" s="1" t="s">
        <v>16314</v>
      </c>
      <c r="I3458" s="1">
        <v>15401.0</v>
      </c>
      <c r="J3458" s="1" t="s">
        <v>16315</v>
      </c>
      <c r="K3458" s="1" t="s">
        <v>16316</v>
      </c>
      <c r="L3458" s="1">
        <v>175.0</v>
      </c>
      <c r="M3458" s="1" t="s">
        <v>35</v>
      </c>
      <c r="N3458" s="1" t="s">
        <v>36</v>
      </c>
      <c r="O3458" s="1" t="s">
        <v>37</v>
      </c>
      <c r="P3458" s="1">
        <v>2000000.0</v>
      </c>
      <c r="Q3458" s="1">
        <v>2011.0</v>
      </c>
      <c r="R3458" s="1">
        <v>690.0</v>
      </c>
      <c r="S3458" s="1">
        <v>589.0</v>
      </c>
      <c r="T3458" s="1">
        <v>341.0</v>
      </c>
      <c r="U3458" s="1">
        <v>2300.0</v>
      </c>
      <c r="V3458" s="1">
        <v>589.0</v>
      </c>
      <c r="W3458" s="1">
        <v>10000.0</v>
      </c>
      <c r="X3458" s="1">
        <v>7.0</v>
      </c>
      <c r="Y3458" s="1">
        <v>2.35</v>
      </c>
      <c r="Z3458" s="1">
        <v>7.0</v>
      </c>
    </row>
    <row r="3459" ht="14.25" customHeight="1">
      <c r="A3459" s="1" t="s">
        <v>26</v>
      </c>
      <c r="B3459" s="1" t="s">
        <v>16317</v>
      </c>
      <c r="C3459" s="1" t="s">
        <v>16318</v>
      </c>
      <c r="D3459" s="1">
        <v>7002255.0</v>
      </c>
      <c r="E3459" s="1" t="s">
        <v>16319</v>
      </c>
      <c r="F3459" s="1" t="s">
        <v>16320</v>
      </c>
      <c r="G3459" s="1" t="s">
        <v>16321</v>
      </c>
      <c r="H3459" s="1" t="s">
        <v>16322</v>
      </c>
      <c r="I3459" s="1">
        <v>42462.0</v>
      </c>
      <c r="J3459" s="1" t="s">
        <v>16323</v>
      </c>
      <c r="K3459" s="1" t="s">
        <v>16324</v>
      </c>
      <c r="L3459" s="1">
        <v>312.0</v>
      </c>
      <c r="M3459" s="1" t="s">
        <v>2752</v>
      </c>
      <c r="N3459" s="1" t="s">
        <v>1832</v>
      </c>
      <c r="O3459" s="1" t="s">
        <v>37</v>
      </c>
      <c r="P3459" s="1">
        <v>9500000.0</v>
      </c>
      <c r="Q3459" s="1">
        <v>2003.0</v>
      </c>
      <c r="R3459" s="1">
        <v>23.0</v>
      </c>
      <c r="S3459" s="1">
        <v>6.0</v>
      </c>
      <c r="T3459" s="1">
        <v>0.0</v>
      </c>
      <c r="U3459" s="1">
        <v>29.0</v>
      </c>
      <c r="V3459" s="1">
        <v>162.0</v>
      </c>
      <c r="W3459" s="1">
        <v>0.0</v>
      </c>
      <c r="X3459" s="1">
        <v>0.0</v>
      </c>
      <c r="Y3459" s="1">
        <v>1.66</v>
      </c>
      <c r="Z3459" s="1">
        <v>7.8</v>
      </c>
    </row>
    <row r="3460" ht="14.25" customHeight="1">
      <c r="A3460" s="1" t="s">
        <v>26</v>
      </c>
      <c r="B3460" s="1" t="s">
        <v>16325</v>
      </c>
      <c r="C3460" s="1" t="s">
        <v>16326</v>
      </c>
      <c r="D3460" s="1">
        <v>6719300.0</v>
      </c>
      <c r="E3460" s="1" t="s">
        <v>2422</v>
      </c>
      <c r="F3460" s="1" t="s">
        <v>8045</v>
      </c>
      <c r="G3460" s="1" t="s">
        <v>4325</v>
      </c>
      <c r="H3460" s="1" t="s">
        <v>3368</v>
      </c>
      <c r="I3460" s="1">
        <v>8224.0</v>
      </c>
      <c r="J3460" s="1" t="s">
        <v>16327</v>
      </c>
      <c r="K3460" s="1" t="s">
        <v>16328</v>
      </c>
      <c r="L3460" s="1">
        <v>132.0</v>
      </c>
      <c r="M3460" s="1" t="s">
        <v>35</v>
      </c>
      <c r="N3460" s="1" t="s">
        <v>260</v>
      </c>
      <c r="O3460" s="1" t="s">
        <v>37</v>
      </c>
      <c r="P3460" s="1">
        <v>2000000.0</v>
      </c>
      <c r="Q3460" s="1">
        <v>1998.0</v>
      </c>
      <c r="R3460" s="1">
        <v>912.0</v>
      </c>
      <c r="S3460" s="1">
        <v>752.0</v>
      </c>
      <c r="T3460" s="1">
        <v>580.0</v>
      </c>
      <c r="U3460" s="1">
        <v>3163.0</v>
      </c>
      <c r="V3460" s="1">
        <v>149.0</v>
      </c>
      <c r="W3460" s="1">
        <v>0.0</v>
      </c>
      <c r="X3460" s="1">
        <v>3.0</v>
      </c>
      <c r="Y3460" s="1">
        <v>1.85</v>
      </c>
      <c r="Z3460" s="1">
        <v>7.2</v>
      </c>
    </row>
    <row r="3461" ht="14.25" customHeight="1">
      <c r="A3461" s="1" t="s">
        <v>26</v>
      </c>
      <c r="B3461" s="1" t="s">
        <v>8489</v>
      </c>
      <c r="C3461" s="1" t="s">
        <v>16329</v>
      </c>
      <c r="D3461" s="1">
        <v>5792822.0</v>
      </c>
      <c r="E3461" s="1" t="s">
        <v>206</v>
      </c>
      <c r="F3461" s="1" t="s">
        <v>9631</v>
      </c>
      <c r="G3461" s="1" t="s">
        <v>16330</v>
      </c>
      <c r="H3461" s="1" t="s">
        <v>16331</v>
      </c>
      <c r="I3461" s="1">
        <v>168398.0</v>
      </c>
      <c r="J3461" s="1" t="s">
        <v>16332</v>
      </c>
      <c r="K3461" s="1" t="s">
        <v>16333</v>
      </c>
      <c r="L3461" s="1">
        <v>492.0</v>
      </c>
      <c r="M3461" s="1" t="s">
        <v>35</v>
      </c>
      <c r="N3461" s="1" t="s">
        <v>36</v>
      </c>
      <c r="O3461" s="1" t="s">
        <v>628</v>
      </c>
      <c r="P3461" s="1">
        <v>2700000.0</v>
      </c>
      <c r="Q3461" s="1">
        <v>2004.0</v>
      </c>
      <c r="R3461" s="1">
        <v>50.0</v>
      </c>
      <c r="S3461" s="1">
        <v>8.0</v>
      </c>
      <c r="T3461" s="1">
        <v>3.0</v>
      </c>
      <c r="U3461" s="1">
        <v>65.0</v>
      </c>
      <c r="V3461" s="1">
        <v>0.0</v>
      </c>
      <c r="W3461" s="1">
        <v>13000.0</v>
      </c>
      <c r="X3461" s="1">
        <v>0.0</v>
      </c>
      <c r="Y3461" s="1">
        <v>1.85</v>
      </c>
      <c r="Z3461" s="1">
        <v>8.0</v>
      </c>
    </row>
    <row r="3462" ht="14.25" customHeight="1">
      <c r="A3462" s="1" t="s">
        <v>26</v>
      </c>
      <c r="B3462" s="1" t="s">
        <v>1088</v>
      </c>
      <c r="C3462" s="1" t="s">
        <v>16334</v>
      </c>
      <c r="D3462" s="1">
        <v>5383834.0</v>
      </c>
      <c r="E3462" s="1" t="s">
        <v>3868</v>
      </c>
      <c r="F3462" s="1" t="s">
        <v>16335</v>
      </c>
      <c r="G3462" s="1" t="s">
        <v>16336</v>
      </c>
      <c r="H3462" s="1" t="s">
        <v>16337</v>
      </c>
      <c r="I3462" s="1">
        <v>173551.0</v>
      </c>
      <c r="J3462" s="1" t="s">
        <v>16338</v>
      </c>
      <c r="K3462" s="1" t="s">
        <v>16339</v>
      </c>
      <c r="L3462" s="1">
        <v>361.0</v>
      </c>
      <c r="M3462" s="1" t="s">
        <v>2648</v>
      </c>
      <c r="N3462" s="1" t="s">
        <v>13128</v>
      </c>
      <c r="O3462" s="1" t="s">
        <v>628</v>
      </c>
      <c r="P3462" s="1">
        <v>2000000.0</v>
      </c>
      <c r="Q3462" s="1">
        <v>2000.0</v>
      </c>
      <c r="R3462" s="1">
        <v>85.0</v>
      </c>
      <c r="S3462" s="1">
        <v>79.0</v>
      </c>
      <c r="T3462" s="1">
        <v>35.0</v>
      </c>
      <c r="U3462" s="1">
        <v>318.0</v>
      </c>
      <c r="V3462" s="1">
        <v>0.0</v>
      </c>
      <c r="W3462" s="1">
        <v>11000.0</v>
      </c>
      <c r="X3462" s="1">
        <v>0.0</v>
      </c>
      <c r="Y3462" s="1">
        <v>1.85</v>
      </c>
      <c r="Z3462" s="1">
        <v>8.1</v>
      </c>
    </row>
    <row r="3463" ht="14.25" customHeight="1">
      <c r="A3463" s="1" t="s">
        <v>26</v>
      </c>
      <c r="B3463" s="1" t="s">
        <v>5773</v>
      </c>
      <c r="C3463" s="1" t="s">
        <v>16340</v>
      </c>
      <c r="D3463" s="1">
        <v>4599680.0</v>
      </c>
      <c r="E3463" s="1" t="s">
        <v>3238</v>
      </c>
      <c r="F3463" s="1" t="s">
        <v>1980</v>
      </c>
      <c r="G3463" s="1" t="s">
        <v>16341</v>
      </c>
      <c r="H3463" s="1" t="s">
        <v>13604</v>
      </c>
      <c r="I3463" s="1">
        <v>68222.0</v>
      </c>
      <c r="J3463" s="1" t="s">
        <v>16342</v>
      </c>
      <c r="K3463" s="1" t="s">
        <v>16343</v>
      </c>
      <c r="L3463" s="1">
        <v>545.0</v>
      </c>
      <c r="M3463" s="1" t="s">
        <v>35</v>
      </c>
      <c r="N3463" s="1" t="s">
        <v>36</v>
      </c>
      <c r="O3463" s="1" t="s">
        <v>628</v>
      </c>
      <c r="P3463" s="1">
        <v>1500000.0</v>
      </c>
      <c r="Q3463" s="1">
        <v>2003.0</v>
      </c>
      <c r="R3463" s="1">
        <v>1000.0</v>
      </c>
      <c r="S3463" s="1">
        <v>482.0</v>
      </c>
      <c r="T3463" s="1">
        <v>374.0</v>
      </c>
      <c r="U3463" s="1">
        <v>2186.0</v>
      </c>
      <c r="V3463" s="1">
        <v>308.0</v>
      </c>
      <c r="W3463" s="1">
        <v>0.0</v>
      </c>
      <c r="X3463" s="1">
        <v>2.0</v>
      </c>
      <c r="Y3463" s="1">
        <v>1.85</v>
      </c>
      <c r="Z3463" s="1">
        <v>6.8</v>
      </c>
    </row>
    <row r="3464" ht="14.25" customHeight="1">
      <c r="A3464" s="1" t="s">
        <v>26</v>
      </c>
      <c r="B3464" s="1" t="s">
        <v>16344</v>
      </c>
      <c r="C3464" s="1" t="s">
        <v>16345</v>
      </c>
      <c r="D3464" s="1">
        <v>6531491.0</v>
      </c>
      <c r="E3464" s="1" t="s">
        <v>3238</v>
      </c>
      <c r="F3464" s="1" t="s">
        <v>340</v>
      </c>
      <c r="G3464" s="1" t="s">
        <v>16346</v>
      </c>
      <c r="H3464" s="1" t="s">
        <v>16347</v>
      </c>
      <c r="I3464" s="1">
        <v>111658.0</v>
      </c>
      <c r="J3464" s="1" t="s">
        <v>16348</v>
      </c>
      <c r="K3464" s="1" t="s">
        <v>16349</v>
      </c>
      <c r="L3464" s="1">
        <v>297.0</v>
      </c>
      <c r="M3464" s="1" t="s">
        <v>35</v>
      </c>
      <c r="N3464" s="1" t="s">
        <v>36</v>
      </c>
      <c r="O3464" s="1" t="s">
        <v>628</v>
      </c>
      <c r="P3464" s="1">
        <v>2000000.0</v>
      </c>
      <c r="Q3464" s="1">
        <v>2010.0</v>
      </c>
      <c r="R3464" s="1">
        <v>34000.0</v>
      </c>
      <c r="S3464" s="1">
        <v>248.0</v>
      </c>
      <c r="T3464" s="1">
        <v>179.0</v>
      </c>
      <c r="U3464" s="1">
        <v>34446.0</v>
      </c>
      <c r="V3464" s="1">
        <v>81.0</v>
      </c>
      <c r="W3464" s="1">
        <v>20000.0</v>
      </c>
      <c r="X3464" s="1">
        <v>2.0</v>
      </c>
      <c r="Y3464" s="1">
        <v>1.85</v>
      </c>
      <c r="Z3464" s="1">
        <v>7.2</v>
      </c>
    </row>
    <row r="3465" ht="14.25" customHeight="1">
      <c r="A3465" s="1" t="s">
        <v>26</v>
      </c>
      <c r="B3465" s="1" t="s">
        <v>16350</v>
      </c>
      <c r="C3465" s="1" t="s">
        <v>16351</v>
      </c>
      <c r="D3465" s="1">
        <v>3885134.0</v>
      </c>
      <c r="E3465" s="1" t="s">
        <v>2422</v>
      </c>
      <c r="F3465" s="1" t="s">
        <v>16352</v>
      </c>
      <c r="G3465" s="1" t="s">
        <v>11324</v>
      </c>
      <c r="H3465" s="1" t="s">
        <v>16350</v>
      </c>
      <c r="I3465" s="1">
        <v>31130.0</v>
      </c>
      <c r="J3465" s="1" t="s">
        <v>16353</v>
      </c>
      <c r="K3465" s="1" t="s">
        <v>16354</v>
      </c>
      <c r="L3465" s="1">
        <v>243.0</v>
      </c>
      <c r="M3465" s="1" t="s">
        <v>35</v>
      </c>
      <c r="N3465" s="1" t="s">
        <v>36</v>
      </c>
      <c r="O3465" s="1" t="s">
        <v>628</v>
      </c>
      <c r="P3465" s="1">
        <v>2000000.0</v>
      </c>
      <c r="Q3465" s="1">
        <v>2005.0</v>
      </c>
      <c r="R3465" s="1">
        <v>538.0</v>
      </c>
      <c r="S3465" s="1">
        <v>363.0</v>
      </c>
      <c r="T3465" s="1">
        <v>244.0</v>
      </c>
      <c r="U3465" s="1">
        <v>1349.0</v>
      </c>
      <c r="V3465" s="1">
        <v>244.0</v>
      </c>
      <c r="W3465" s="1">
        <v>0.0</v>
      </c>
      <c r="X3465" s="1">
        <v>0.0</v>
      </c>
      <c r="Y3465" s="1">
        <v>1.85</v>
      </c>
      <c r="Z3465" s="1">
        <v>7.4</v>
      </c>
    </row>
    <row r="3466" ht="14.25" customHeight="1">
      <c r="A3466" s="1" t="s">
        <v>26</v>
      </c>
      <c r="B3466" s="1" t="s">
        <v>16355</v>
      </c>
      <c r="C3466" s="1" t="s">
        <v>16356</v>
      </c>
      <c r="D3466" s="1">
        <v>3590010.0</v>
      </c>
      <c r="E3466" s="1" t="s">
        <v>7326</v>
      </c>
      <c r="F3466" s="1" t="s">
        <v>13313</v>
      </c>
      <c r="G3466" s="1" t="s">
        <v>3746</v>
      </c>
      <c r="H3466" s="1" t="s">
        <v>12758</v>
      </c>
      <c r="I3466" s="1">
        <v>20885.0</v>
      </c>
      <c r="J3466" s="1" t="s">
        <v>16357</v>
      </c>
      <c r="K3466" s="1" t="s">
        <v>16358</v>
      </c>
      <c r="L3466" s="1">
        <v>60.0</v>
      </c>
      <c r="M3466" s="1" t="s">
        <v>35</v>
      </c>
      <c r="N3466" s="1" t="s">
        <v>54</v>
      </c>
      <c r="O3466" s="1" t="s">
        <v>628</v>
      </c>
      <c r="P3466" s="1">
        <v>2000000.0</v>
      </c>
      <c r="Q3466" s="1">
        <v>2015.0</v>
      </c>
      <c r="R3466" s="1">
        <v>804.0</v>
      </c>
      <c r="S3466" s="1">
        <v>625.0</v>
      </c>
      <c r="T3466" s="1">
        <v>328.0</v>
      </c>
      <c r="U3466" s="1">
        <v>3013.0</v>
      </c>
      <c r="V3466" s="1">
        <v>31.0</v>
      </c>
      <c r="W3466" s="1">
        <v>0.0</v>
      </c>
      <c r="X3466" s="1">
        <v>0.0</v>
      </c>
      <c r="Y3466" s="1">
        <v>1.85</v>
      </c>
      <c r="Z3466" s="1">
        <v>6.1</v>
      </c>
    </row>
    <row r="3467" ht="14.25" customHeight="1">
      <c r="A3467" s="1" t="s">
        <v>26</v>
      </c>
      <c r="B3467" s="1" t="s">
        <v>492</v>
      </c>
      <c r="C3467" s="1" t="s">
        <v>16359</v>
      </c>
      <c r="D3467" s="1">
        <v>3335839.0</v>
      </c>
      <c r="E3467" s="1" t="s">
        <v>449</v>
      </c>
      <c r="F3467" s="1" t="s">
        <v>74</v>
      </c>
      <c r="G3467" s="1" t="s">
        <v>59</v>
      </c>
      <c r="H3467" s="1" t="s">
        <v>5372</v>
      </c>
      <c r="I3467" s="1">
        <v>54657.0</v>
      </c>
      <c r="J3467" s="1" t="s">
        <v>16360</v>
      </c>
      <c r="K3467" s="1" t="s">
        <v>16361</v>
      </c>
      <c r="L3467" s="1">
        <v>222.0</v>
      </c>
      <c r="M3467" s="1" t="s">
        <v>35</v>
      </c>
      <c r="N3467" s="1" t="s">
        <v>36</v>
      </c>
      <c r="O3467" s="1" t="s">
        <v>628</v>
      </c>
      <c r="P3467" s="1">
        <v>2000000.0</v>
      </c>
      <c r="Q3467" s="1">
        <v>2005.0</v>
      </c>
      <c r="R3467" s="1">
        <v>24000.0</v>
      </c>
      <c r="S3467" s="1">
        <v>23000.0</v>
      </c>
      <c r="T3467" s="1">
        <v>2000.0</v>
      </c>
      <c r="U3467" s="1">
        <v>50313.0</v>
      </c>
      <c r="V3467" s="1">
        <v>453.0</v>
      </c>
      <c r="W3467" s="1">
        <v>0.0</v>
      </c>
      <c r="X3467" s="1">
        <v>2.0</v>
      </c>
      <c r="Y3467" s="1">
        <v>1.85</v>
      </c>
      <c r="Z3467" s="1">
        <v>7.0</v>
      </c>
    </row>
    <row r="3468" ht="14.25" customHeight="1">
      <c r="A3468" s="1" t="s">
        <v>26</v>
      </c>
      <c r="B3468" s="1" t="s">
        <v>6405</v>
      </c>
      <c r="C3468" s="1" t="s">
        <v>16362</v>
      </c>
      <c r="D3468" s="1">
        <v>2557668.0</v>
      </c>
      <c r="E3468" s="1" t="s">
        <v>2045</v>
      </c>
      <c r="F3468" s="1" t="s">
        <v>1958</v>
      </c>
      <c r="G3468" s="1" t="s">
        <v>6638</v>
      </c>
      <c r="H3468" s="1" t="s">
        <v>16363</v>
      </c>
      <c r="I3468" s="1">
        <v>3911.0</v>
      </c>
      <c r="J3468" s="1" t="s">
        <v>16364</v>
      </c>
      <c r="K3468" s="1" t="s">
        <v>16365</v>
      </c>
      <c r="L3468" s="1">
        <v>22.0</v>
      </c>
      <c r="M3468" s="1" t="s">
        <v>35</v>
      </c>
      <c r="N3468" s="1" t="s">
        <v>36</v>
      </c>
      <c r="O3468" s="1" t="s">
        <v>37</v>
      </c>
      <c r="P3468" s="1">
        <v>2000000.0</v>
      </c>
      <c r="Q3468" s="1">
        <v>2015.0</v>
      </c>
      <c r="R3468" s="1">
        <v>1000.0</v>
      </c>
      <c r="S3468" s="1">
        <v>426.0</v>
      </c>
      <c r="T3468" s="1">
        <v>349.0</v>
      </c>
      <c r="U3468" s="1">
        <v>2739.0</v>
      </c>
      <c r="V3468" s="1">
        <v>5.0</v>
      </c>
      <c r="W3468" s="1">
        <v>0.0</v>
      </c>
      <c r="X3468" s="1">
        <v>1.0</v>
      </c>
      <c r="Y3468" s="1">
        <v>1.85</v>
      </c>
      <c r="Z3468" s="1">
        <v>5.3</v>
      </c>
    </row>
    <row r="3469" ht="14.25" customHeight="1">
      <c r="A3469" s="1" t="s">
        <v>26</v>
      </c>
      <c r="B3469" s="1" t="s">
        <v>1456</v>
      </c>
      <c r="C3469" s="1" t="s">
        <v>16366</v>
      </c>
      <c r="D3469" s="1">
        <v>2506446.0</v>
      </c>
      <c r="E3469" s="1" t="s">
        <v>1598</v>
      </c>
      <c r="F3469" s="1" t="s">
        <v>1459</v>
      </c>
      <c r="G3469" s="1" t="s">
        <v>5392</v>
      </c>
      <c r="H3469" s="1" t="s">
        <v>6770</v>
      </c>
      <c r="I3469" s="1">
        <v>8662.0</v>
      </c>
      <c r="J3469" s="1" t="s">
        <v>16367</v>
      </c>
      <c r="K3469" s="1" t="s">
        <v>16368</v>
      </c>
      <c r="L3469" s="1">
        <v>172.0</v>
      </c>
      <c r="M3469" s="1" t="s">
        <v>35</v>
      </c>
      <c r="N3469" s="1" t="s">
        <v>36</v>
      </c>
      <c r="O3469" s="1" t="s">
        <v>628</v>
      </c>
      <c r="P3469" s="1">
        <v>2000000.0</v>
      </c>
      <c r="Q3469" s="1">
        <v>2002.0</v>
      </c>
      <c r="R3469" s="1">
        <v>8000.0</v>
      </c>
      <c r="S3469" s="1">
        <v>724.0</v>
      </c>
      <c r="T3469" s="1">
        <v>685.0</v>
      </c>
      <c r="U3469" s="1">
        <v>11327.0</v>
      </c>
      <c r="V3469" s="1">
        <v>0.0</v>
      </c>
      <c r="W3469" s="1">
        <v>134.0</v>
      </c>
      <c r="X3469" s="1">
        <v>0.0</v>
      </c>
      <c r="Y3469" s="1">
        <v>1.85</v>
      </c>
      <c r="Z3469" s="1">
        <v>4.7</v>
      </c>
    </row>
    <row r="3470" ht="14.25" customHeight="1">
      <c r="A3470" s="1" t="s">
        <v>26</v>
      </c>
      <c r="B3470" s="1" t="s">
        <v>16369</v>
      </c>
      <c r="C3470" s="1" t="s">
        <v>16370</v>
      </c>
      <c r="D3470" s="1">
        <v>7369373.0</v>
      </c>
      <c r="E3470" s="1" t="s">
        <v>2882</v>
      </c>
      <c r="F3470" s="1" t="s">
        <v>9313</v>
      </c>
      <c r="G3470" s="1" t="s">
        <v>16371</v>
      </c>
      <c r="H3470" s="1" t="s">
        <v>16372</v>
      </c>
      <c r="I3470" s="1">
        <v>4288.0</v>
      </c>
      <c r="J3470" s="1" t="s">
        <v>16373</v>
      </c>
      <c r="K3470" s="1" t="s">
        <v>16374</v>
      </c>
      <c r="L3470" s="1">
        <v>74.0</v>
      </c>
      <c r="M3470" s="1" t="s">
        <v>35</v>
      </c>
      <c r="N3470" s="1" t="s">
        <v>54</v>
      </c>
      <c r="O3470" s="1" t="s">
        <v>628</v>
      </c>
      <c r="P3470" s="1">
        <v>2000000.0</v>
      </c>
      <c r="Q3470" s="1">
        <v>1986.0</v>
      </c>
      <c r="R3470" s="1">
        <v>265.0</v>
      </c>
      <c r="S3470" s="1">
        <v>194.0</v>
      </c>
      <c r="T3470" s="1">
        <v>186.0</v>
      </c>
      <c r="U3470" s="1">
        <v>901.0</v>
      </c>
      <c r="V3470" s="1">
        <v>85.0</v>
      </c>
      <c r="W3470" s="1">
        <v>0.0</v>
      </c>
      <c r="X3470" s="1">
        <v>1.0</v>
      </c>
      <c r="Y3470" s="1">
        <v>1.85</v>
      </c>
      <c r="Z3470" s="1">
        <v>5.7</v>
      </c>
    </row>
    <row r="3471" ht="14.25" customHeight="1">
      <c r="A3471" s="1" t="s">
        <v>26</v>
      </c>
      <c r="B3471" s="1" t="s">
        <v>820</v>
      </c>
      <c r="C3471" s="1" t="s">
        <v>10909</v>
      </c>
      <c r="D3471" s="1">
        <v>4414535.0</v>
      </c>
      <c r="E3471" s="1" t="s">
        <v>3238</v>
      </c>
      <c r="F3471" s="1" t="s">
        <v>10910</v>
      </c>
      <c r="G3471" s="1" t="s">
        <v>727</v>
      </c>
      <c r="H3471" s="1" t="s">
        <v>8965</v>
      </c>
      <c r="I3471" s="1">
        <v>30618.0</v>
      </c>
      <c r="J3471" s="1" t="s">
        <v>10911</v>
      </c>
      <c r="K3471" s="1" t="s">
        <v>10912</v>
      </c>
      <c r="L3471" s="1">
        <v>224.0</v>
      </c>
      <c r="M3471" s="1" t="s">
        <v>35</v>
      </c>
      <c r="N3471" s="1" t="s">
        <v>54</v>
      </c>
      <c r="O3471" s="1" t="s">
        <v>37</v>
      </c>
      <c r="P3471" s="1">
        <v>1.8E7</v>
      </c>
      <c r="Q3471" s="1">
        <v>1996.0</v>
      </c>
      <c r="R3471" s="1">
        <v>597.0</v>
      </c>
      <c r="S3471" s="1">
        <v>591.0</v>
      </c>
      <c r="T3471" s="1">
        <v>401.0</v>
      </c>
      <c r="U3471" s="1">
        <v>1645.0</v>
      </c>
      <c r="V3471" s="1">
        <v>0.0</v>
      </c>
      <c r="W3471" s="1">
        <v>0.0</v>
      </c>
      <c r="X3471" s="1">
        <v>0.0</v>
      </c>
      <c r="Y3471" s="1">
        <v>2.2</v>
      </c>
      <c r="Z3471" s="1">
        <v>7.8</v>
      </c>
    </row>
    <row r="3472" ht="14.25" customHeight="1">
      <c r="A3472" s="1" t="s">
        <v>26</v>
      </c>
      <c r="B3472" s="1" t="s">
        <v>14774</v>
      </c>
      <c r="C3472" s="1" t="s">
        <v>16375</v>
      </c>
      <c r="D3472" s="1">
        <v>1984378.0</v>
      </c>
      <c r="E3472" s="1" t="s">
        <v>1359</v>
      </c>
      <c r="F3472" s="1" t="s">
        <v>16376</v>
      </c>
      <c r="G3472" s="1" t="s">
        <v>16377</v>
      </c>
      <c r="H3472" s="1" t="s">
        <v>16378</v>
      </c>
      <c r="I3472" s="1">
        <v>27346.0</v>
      </c>
      <c r="J3472" s="1" t="s">
        <v>16379</v>
      </c>
      <c r="K3472" s="1" t="s">
        <v>16380</v>
      </c>
      <c r="L3472" s="1">
        <v>206.0</v>
      </c>
      <c r="M3472" s="1" t="s">
        <v>35</v>
      </c>
      <c r="N3472" s="1" t="s">
        <v>36</v>
      </c>
      <c r="O3472" s="1" t="s">
        <v>12164</v>
      </c>
      <c r="P3472" s="1">
        <v>2000000.0</v>
      </c>
      <c r="Q3472" s="1">
        <v>2006.0</v>
      </c>
      <c r="R3472" s="1">
        <v>71.0</v>
      </c>
      <c r="S3472" s="1">
        <v>51.0</v>
      </c>
      <c r="T3472" s="1">
        <v>37.0</v>
      </c>
      <c r="U3472" s="1">
        <v>226.0</v>
      </c>
      <c r="V3472" s="1">
        <v>263.0</v>
      </c>
      <c r="W3472" s="1">
        <v>0.0</v>
      </c>
      <c r="X3472" s="1">
        <v>3.0</v>
      </c>
      <c r="Y3472" s="1">
        <v>1.78</v>
      </c>
      <c r="Z3472" s="1">
        <v>6.5</v>
      </c>
    </row>
    <row r="3473" ht="14.25" customHeight="1">
      <c r="A3473" s="1" t="s">
        <v>26</v>
      </c>
      <c r="B3473" s="1" t="s">
        <v>16381</v>
      </c>
      <c r="C3473" s="1" t="s">
        <v>16382</v>
      </c>
      <c r="D3473" s="1">
        <v>2283276.0</v>
      </c>
      <c r="E3473" s="1" t="s">
        <v>16383</v>
      </c>
      <c r="F3473" s="1" t="s">
        <v>16381</v>
      </c>
      <c r="G3473" s="1" t="s">
        <v>16384</v>
      </c>
      <c r="H3473" s="1" t="s">
        <v>16385</v>
      </c>
      <c r="I3473" s="1">
        <v>46107.0</v>
      </c>
      <c r="J3473" s="1" t="s">
        <v>16386</v>
      </c>
      <c r="K3473" s="1" t="s">
        <v>16387</v>
      </c>
      <c r="L3473" s="1">
        <v>156.0</v>
      </c>
      <c r="M3473" s="1" t="s">
        <v>16388</v>
      </c>
      <c r="N3473" s="1" t="s">
        <v>16389</v>
      </c>
      <c r="O3473" s="1" t="s">
        <v>628</v>
      </c>
      <c r="P3473" s="1">
        <v>1500000.0</v>
      </c>
      <c r="Q3473" s="1">
        <v>2008.0</v>
      </c>
      <c r="R3473" s="1">
        <v>56.0</v>
      </c>
      <c r="S3473" s="1">
        <v>0.0</v>
      </c>
      <c r="T3473" s="1">
        <v>0.0</v>
      </c>
      <c r="U3473" s="1">
        <v>56.0</v>
      </c>
      <c r="V3473" s="1">
        <v>56.0</v>
      </c>
      <c r="W3473" s="1">
        <v>0.0</v>
      </c>
      <c r="X3473" s="1">
        <v>0.0</v>
      </c>
      <c r="Y3473" s="1">
        <v>1.85</v>
      </c>
      <c r="Z3473" s="1">
        <v>8.0</v>
      </c>
    </row>
    <row r="3474" ht="14.25" customHeight="1">
      <c r="A3474" s="1" t="s">
        <v>26</v>
      </c>
      <c r="B3474" s="1" t="s">
        <v>16390</v>
      </c>
      <c r="C3474" s="1" t="s">
        <v>16391</v>
      </c>
      <c r="D3474" s="1">
        <v>1098224.0</v>
      </c>
      <c r="E3474" s="1" t="s">
        <v>917</v>
      </c>
      <c r="F3474" s="1" t="s">
        <v>16392</v>
      </c>
      <c r="G3474" s="1" t="s">
        <v>16393</v>
      </c>
      <c r="H3474" s="1" t="s">
        <v>16394</v>
      </c>
      <c r="I3474" s="1">
        <v>397.0</v>
      </c>
      <c r="J3474" s="1" t="s">
        <v>16395</v>
      </c>
      <c r="K3474" s="1" t="s">
        <v>16396</v>
      </c>
      <c r="L3474" s="1">
        <v>30.0</v>
      </c>
      <c r="M3474" s="1" t="s">
        <v>35</v>
      </c>
      <c r="N3474" s="1" t="s">
        <v>36</v>
      </c>
      <c r="O3474" s="1" t="s">
        <v>37</v>
      </c>
      <c r="P3474" s="1">
        <v>2000000.0</v>
      </c>
      <c r="Q3474" s="1">
        <v>2003.0</v>
      </c>
      <c r="R3474" s="1">
        <v>178.0</v>
      </c>
      <c r="S3474" s="1">
        <v>69.0</v>
      </c>
      <c r="T3474" s="1">
        <v>40.0</v>
      </c>
      <c r="U3474" s="1">
        <v>359.0</v>
      </c>
      <c r="V3474" s="1">
        <v>0.0</v>
      </c>
      <c r="W3474" s="1">
        <v>32.0</v>
      </c>
      <c r="X3474" s="1">
        <v>1.0</v>
      </c>
      <c r="Y3474" s="1">
        <v>1.85</v>
      </c>
      <c r="Z3474" s="1">
        <v>3.3</v>
      </c>
    </row>
    <row r="3475" ht="14.25" customHeight="1">
      <c r="A3475" s="1" t="s">
        <v>26</v>
      </c>
      <c r="B3475" s="1" t="s">
        <v>16397</v>
      </c>
      <c r="C3475" s="1" t="s">
        <v>16398</v>
      </c>
      <c r="D3475" s="1">
        <v>1477002.0</v>
      </c>
      <c r="E3475" s="1" t="s">
        <v>206</v>
      </c>
      <c r="F3475" s="1" t="s">
        <v>221</v>
      </c>
      <c r="G3475" s="1" t="s">
        <v>6244</v>
      </c>
      <c r="H3475" s="1" t="s">
        <v>16399</v>
      </c>
      <c r="I3475" s="1">
        <v>16645.0</v>
      </c>
      <c r="J3475" s="1" t="s">
        <v>16400</v>
      </c>
      <c r="K3475" s="1" t="s">
        <v>16401</v>
      </c>
      <c r="L3475" s="1">
        <v>72.0</v>
      </c>
      <c r="M3475" s="1" t="s">
        <v>35</v>
      </c>
      <c r="N3475" s="1" t="s">
        <v>36</v>
      </c>
      <c r="O3475" s="1" t="s">
        <v>628</v>
      </c>
      <c r="P3475" s="1">
        <v>2000000.0</v>
      </c>
      <c r="Q3475" s="1">
        <v>2015.0</v>
      </c>
      <c r="R3475" s="1">
        <v>10000.0</v>
      </c>
      <c r="S3475" s="1">
        <v>1000.0</v>
      </c>
      <c r="T3475" s="1">
        <v>80.0</v>
      </c>
      <c r="U3475" s="1">
        <v>11184.0</v>
      </c>
      <c r="V3475" s="1">
        <v>22.0</v>
      </c>
      <c r="W3475" s="1">
        <v>0.0</v>
      </c>
      <c r="X3475" s="1">
        <v>3.0</v>
      </c>
      <c r="Y3475" s="1">
        <v>2.35</v>
      </c>
      <c r="Z3475" s="1">
        <v>6.9</v>
      </c>
    </row>
    <row r="3476" ht="14.25" customHeight="1">
      <c r="A3476" s="1" t="s">
        <v>710</v>
      </c>
      <c r="B3476" s="1" t="s">
        <v>16402</v>
      </c>
      <c r="C3476" s="1" t="s">
        <v>16403</v>
      </c>
      <c r="D3476" s="1">
        <v>1134049.0</v>
      </c>
      <c r="E3476" s="1" t="s">
        <v>16404</v>
      </c>
      <c r="F3476" s="1" t="s">
        <v>16405</v>
      </c>
      <c r="G3476" s="1" t="s">
        <v>16406</v>
      </c>
      <c r="H3476" s="1" t="s">
        <v>16407</v>
      </c>
      <c r="I3476" s="1">
        <v>5475.0</v>
      </c>
      <c r="J3476" s="1" t="s">
        <v>16408</v>
      </c>
      <c r="K3476" s="1" t="s">
        <v>16409</v>
      </c>
      <c r="L3476" s="1">
        <v>44.0</v>
      </c>
      <c r="M3476" s="1" t="s">
        <v>35</v>
      </c>
      <c r="N3476" s="1" t="s">
        <v>54</v>
      </c>
      <c r="O3476" s="1" t="s">
        <v>87</v>
      </c>
      <c r="P3476" s="1">
        <v>2000000.0</v>
      </c>
      <c r="Q3476" s="1">
        <v>2007.0</v>
      </c>
      <c r="R3476" s="1">
        <v>168.0</v>
      </c>
      <c r="S3476" s="1">
        <v>142.0</v>
      </c>
      <c r="T3476" s="1">
        <v>65.0</v>
      </c>
      <c r="U3476" s="1">
        <v>408.0</v>
      </c>
      <c r="V3476" s="1">
        <v>90.0</v>
      </c>
      <c r="W3476" s="1">
        <v>0.0</v>
      </c>
      <c r="X3476" s="1">
        <v>0.0</v>
      </c>
      <c r="Y3476" s="1">
        <v>1.85</v>
      </c>
      <c r="Z3476" s="1">
        <v>8.1</v>
      </c>
    </row>
    <row r="3477" ht="14.25" customHeight="1">
      <c r="A3477" s="1" t="s">
        <v>710</v>
      </c>
      <c r="B3477" s="1" t="s">
        <v>15263</v>
      </c>
      <c r="C3477" s="1" t="s">
        <v>16410</v>
      </c>
      <c r="D3477" s="1">
        <v>653621.0</v>
      </c>
      <c r="E3477" s="1" t="s">
        <v>16411</v>
      </c>
      <c r="F3477" s="1" t="s">
        <v>14760</v>
      </c>
      <c r="G3477" s="1" t="s">
        <v>16176</v>
      </c>
      <c r="H3477" s="1" t="s">
        <v>16412</v>
      </c>
      <c r="I3477" s="1">
        <v>5615.0</v>
      </c>
      <c r="J3477" s="1" t="s">
        <v>16413</v>
      </c>
      <c r="K3477" s="1" t="s">
        <v>16414</v>
      </c>
      <c r="L3477" s="1">
        <v>64.0</v>
      </c>
      <c r="M3477" s="1" t="s">
        <v>35</v>
      </c>
      <c r="N3477" s="1" t="s">
        <v>36</v>
      </c>
      <c r="O3477" s="1" t="s">
        <v>6326</v>
      </c>
      <c r="P3477" s="1">
        <v>2000000.0</v>
      </c>
      <c r="Q3477" s="1">
        <v>2005.0</v>
      </c>
      <c r="R3477" s="1">
        <v>373.0</v>
      </c>
      <c r="S3477" s="1">
        <v>334.0</v>
      </c>
      <c r="T3477" s="1">
        <v>218.0</v>
      </c>
      <c r="U3477" s="1">
        <v>1136.0</v>
      </c>
      <c r="V3477" s="1">
        <v>13.0</v>
      </c>
      <c r="W3477" s="1">
        <v>592.0</v>
      </c>
      <c r="X3477" s="1">
        <v>0.0</v>
      </c>
      <c r="Y3477" s="1">
        <v>1.85</v>
      </c>
      <c r="Z3477" s="1">
        <v>6.8</v>
      </c>
    </row>
    <row r="3478" ht="14.25" customHeight="1">
      <c r="A3478" s="1" t="s">
        <v>26</v>
      </c>
      <c r="B3478" s="1" t="s">
        <v>16415</v>
      </c>
      <c r="C3478" s="1" t="s">
        <v>16416</v>
      </c>
      <c r="D3478" s="1">
        <v>535249.0</v>
      </c>
      <c r="E3478" s="1" t="s">
        <v>1885</v>
      </c>
      <c r="F3478" s="1" t="s">
        <v>16417</v>
      </c>
      <c r="G3478" s="1" t="s">
        <v>16418</v>
      </c>
      <c r="H3478" s="1" t="s">
        <v>16419</v>
      </c>
      <c r="I3478" s="1">
        <v>3467.0</v>
      </c>
      <c r="J3478" s="1" t="s">
        <v>16420</v>
      </c>
      <c r="K3478" s="1" t="s">
        <v>16421</v>
      </c>
      <c r="L3478" s="1">
        <v>13.0</v>
      </c>
      <c r="M3478" s="1" t="s">
        <v>35</v>
      </c>
      <c r="N3478" s="1" t="s">
        <v>36</v>
      </c>
      <c r="O3478" s="1" t="s">
        <v>628</v>
      </c>
      <c r="P3478" s="1">
        <v>3400000.0</v>
      </c>
      <c r="Q3478" s="1">
        <v>2010.0</v>
      </c>
      <c r="R3478" s="1">
        <v>189.0</v>
      </c>
      <c r="S3478" s="1">
        <v>131.0</v>
      </c>
      <c r="T3478" s="1">
        <v>126.0</v>
      </c>
      <c r="U3478" s="1">
        <v>768.0</v>
      </c>
      <c r="V3478" s="1">
        <v>10.0</v>
      </c>
      <c r="W3478" s="1">
        <v>974.0</v>
      </c>
      <c r="X3478" s="1">
        <v>0.0</v>
      </c>
      <c r="Y3478" s="1">
        <v>1.85</v>
      </c>
      <c r="Z3478" s="1">
        <v>4.6</v>
      </c>
    </row>
    <row r="3479" ht="14.25" customHeight="1">
      <c r="A3479" s="1" t="s">
        <v>26</v>
      </c>
      <c r="B3479" s="1" t="s">
        <v>16422</v>
      </c>
      <c r="C3479" s="1" t="s">
        <v>16423</v>
      </c>
      <c r="D3479" s="1">
        <v>371081.0</v>
      </c>
      <c r="E3479" s="1" t="s">
        <v>2422</v>
      </c>
      <c r="F3479" s="1" t="s">
        <v>774</v>
      </c>
      <c r="G3479" s="1" t="s">
        <v>1739</v>
      </c>
      <c r="H3479" s="1" t="s">
        <v>114</v>
      </c>
      <c r="I3479" s="1">
        <v>7479.0</v>
      </c>
      <c r="J3479" s="1" t="s">
        <v>16424</v>
      </c>
      <c r="K3479" s="1" t="s">
        <v>16425</v>
      </c>
      <c r="L3479" s="1">
        <v>86.0</v>
      </c>
      <c r="M3479" s="1" t="s">
        <v>35</v>
      </c>
      <c r="N3479" s="1" t="s">
        <v>36</v>
      </c>
      <c r="O3479" s="1" t="s">
        <v>37</v>
      </c>
      <c r="P3479" s="1">
        <v>6000000.0</v>
      </c>
      <c r="Q3479" s="1">
        <v>2004.0</v>
      </c>
      <c r="R3479" s="1">
        <v>49000.0</v>
      </c>
      <c r="S3479" s="1">
        <v>1000.0</v>
      </c>
      <c r="T3479" s="1">
        <v>902.0</v>
      </c>
      <c r="U3479" s="1">
        <v>51441.0</v>
      </c>
      <c r="V3479" s="1">
        <v>0.0</v>
      </c>
      <c r="W3479" s="1">
        <v>857.0</v>
      </c>
      <c r="X3479" s="1">
        <v>2.0</v>
      </c>
      <c r="Y3479" s="1">
        <v>1.85</v>
      </c>
      <c r="Z3479" s="1">
        <v>7.0</v>
      </c>
    </row>
    <row r="3480" ht="14.25" customHeight="1">
      <c r="A3480" s="1" t="s">
        <v>26</v>
      </c>
      <c r="B3480" s="1" t="s">
        <v>16426</v>
      </c>
      <c r="C3480" s="1" t="s">
        <v>16427</v>
      </c>
      <c r="D3480" s="1">
        <v>124494.0</v>
      </c>
      <c r="E3480" s="1" t="s">
        <v>16428</v>
      </c>
      <c r="F3480" s="1" t="s">
        <v>16429</v>
      </c>
      <c r="G3480" s="1" t="s">
        <v>16430</v>
      </c>
      <c r="H3480" s="1" t="s">
        <v>16431</v>
      </c>
      <c r="I3480" s="1">
        <v>5613.0</v>
      </c>
      <c r="J3480" s="1" t="s">
        <v>16432</v>
      </c>
      <c r="K3480" s="1" t="s">
        <v>16433</v>
      </c>
      <c r="L3480" s="1">
        <v>102.0</v>
      </c>
      <c r="M3480" s="1" t="s">
        <v>35</v>
      </c>
      <c r="N3480" s="1" t="s">
        <v>36</v>
      </c>
      <c r="O3480" s="1" t="s">
        <v>37</v>
      </c>
      <c r="P3480" s="1">
        <v>2000000.0</v>
      </c>
      <c r="Q3480" s="1">
        <v>1998.0</v>
      </c>
      <c r="R3480" s="1">
        <v>33.0</v>
      </c>
      <c r="S3480" s="1">
        <v>3.0</v>
      </c>
      <c r="T3480" s="1">
        <v>0.0</v>
      </c>
      <c r="U3480" s="1">
        <v>36.0</v>
      </c>
      <c r="V3480" s="1">
        <v>4.0</v>
      </c>
      <c r="W3480" s="1">
        <v>0.0</v>
      </c>
      <c r="X3480" s="1">
        <v>1.0</v>
      </c>
      <c r="Y3480" s="1">
        <v>1.85</v>
      </c>
      <c r="Z3480" s="1">
        <v>6.7</v>
      </c>
    </row>
    <row r="3481" ht="14.25" customHeight="1">
      <c r="A3481" s="1" t="s">
        <v>26</v>
      </c>
      <c r="B3481" s="1" t="s">
        <v>16434</v>
      </c>
      <c r="C3481" s="1" t="s">
        <v>16435</v>
      </c>
      <c r="D3481" s="1">
        <v>100669.0</v>
      </c>
      <c r="E3481" s="1" t="s">
        <v>2422</v>
      </c>
      <c r="F3481" s="1" t="s">
        <v>141</v>
      </c>
      <c r="G3481" s="1" t="s">
        <v>264</v>
      </c>
      <c r="H3481" s="1" t="s">
        <v>3699</v>
      </c>
      <c r="I3481" s="1">
        <v>2522.0</v>
      </c>
      <c r="J3481" s="1" t="s">
        <v>16436</v>
      </c>
      <c r="K3481" s="1" t="s">
        <v>16437</v>
      </c>
      <c r="L3481" s="1">
        <v>11.0</v>
      </c>
      <c r="M3481" s="1" t="s">
        <v>35</v>
      </c>
      <c r="N3481" s="1" t="s">
        <v>36</v>
      </c>
      <c r="O3481" s="1" t="s">
        <v>628</v>
      </c>
      <c r="P3481" s="1">
        <v>3800000.0</v>
      </c>
      <c r="Q3481" s="1">
        <v>2009.0</v>
      </c>
      <c r="R3481" s="1">
        <v>22000.0</v>
      </c>
      <c r="S3481" s="1">
        <v>12000.0</v>
      </c>
      <c r="T3481" s="1">
        <v>966.0</v>
      </c>
      <c r="U3481" s="1">
        <v>36885.0</v>
      </c>
      <c r="V3481" s="1">
        <v>0.0</v>
      </c>
      <c r="W3481" s="1">
        <v>407.0</v>
      </c>
      <c r="X3481" s="1">
        <v>1.0</v>
      </c>
      <c r="Y3481" s="1">
        <v>2.35</v>
      </c>
      <c r="Z3481" s="1">
        <v>5.8</v>
      </c>
    </row>
    <row r="3482" ht="14.25" customHeight="1">
      <c r="A3482" s="1" t="s">
        <v>26</v>
      </c>
      <c r="B3482" s="1" t="s">
        <v>414</v>
      </c>
      <c r="C3482" s="1" t="s">
        <v>16438</v>
      </c>
      <c r="D3482" s="1">
        <v>186354.0</v>
      </c>
      <c r="E3482" s="1" t="s">
        <v>3238</v>
      </c>
      <c r="F3482" s="1" t="s">
        <v>3226</v>
      </c>
      <c r="G3482" s="1" t="s">
        <v>16439</v>
      </c>
      <c r="H3482" s="1" t="s">
        <v>888</v>
      </c>
      <c r="I3482" s="1">
        <v>1758.0</v>
      </c>
      <c r="J3482" s="1" t="s">
        <v>16440</v>
      </c>
      <c r="K3482" s="1" t="s">
        <v>16441</v>
      </c>
      <c r="L3482" s="1">
        <v>30.0</v>
      </c>
      <c r="M3482" s="1" t="s">
        <v>35</v>
      </c>
      <c r="N3482" s="1" t="s">
        <v>36</v>
      </c>
      <c r="O3482" s="1" t="s">
        <v>628</v>
      </c>
      <c r="P3482" s="1">
        <v>1.35E7</v>
      </c>
      <c r="Q3482" s="1">
        <v>2015.0</v>
      </c>
      <c r="R3482" s="1">
        <v>25000.0</v>
      </c>
      <c r="S3482" s="1">
        <v>463.0</v>
      </c>
      <c r="T3482" s="1">
        <v>256.0</v>
      </c>
      <c r="U3482" s="1">
        <v>26176.0</v>
      </c>
      <c r="V3482" s="1">
        <v>776.0</v>
      </c>
      <c r="W3482" s="1">
        <v>0.0</v>
      </c>
      <c r="X3482" s="1">
        <v>0.0</v>
      </c>
      <c r="Y3482" s="1">
        <v>2.35</v>
      </c>
      <c r="Z3482" s="1">
        <v>4.5</v>
      </c>
    </row>
    <row r="3483" ht="14.25" customHeight="1">
      <c r="A3483" s="1" t="s">
        <v>26</v>
      </c>
      <c r="B3483" s="1" t="s">
        <v>16442</v>
      </c>
      <c r="C3483" s="1" t="s">
        <v>16443</v>
      </c>
      <c r="D3483" s="1">
        <v>12667.0</v>
      </c>
      <c r="E3483" s="1" t="s">
        <v>206</v>
      </c>
      <c r="F3483" s="1" t="s">
        <v>327</v>
      </c>
      <c r="G3483" s="1" t="s">
        <v>214</v>
      </c>
      <c r="H3483" s="1" t="s">
        <v>6315</v>
      </c>
      <c r="I3483" s="1">
        <v>19336.0</v>
      </c>
      <c r="J3483" s="1" t="s">
        <v>16444</v>
      </c>
      <c r="K3483" s="1" t="s">
        <v>16445</v>
      </c>
      <c r="L3483" s="1">
        <v>90.0</v>
      </c>
      <c r="M3483" s="1" t="s">
        <v>35</v>
      </c>
      <c r="N3483" s="1" t="s">
        <v>54</v>
      </c>
      <c r="O3483" s="1" t="s">
        <v>628</v>
      </c>
      <c r="P3483" s="1">
        <v>14000.0</v>
      </c>
      <c r="Q3483" s="1">
        <v>2005.0</v>
      </c>
      <c r="R3483" s="1">
        <v>26000.0</v>
      </c>
      <c r="S3483" s="1">
        <v>11000.0</v>
      </c>
      <c r="T3483" s="1">
        <v>1000.0</v>
      </c>
      <c r="U3483" s="1">
        <v>39518.0</v>
      </c>
      <c r="V3483" s="1">
        <v>11.0</v>
      </c>
      <c r="W3483" s="1">
        <v>0.0</v>
      </c>
      <c r="X3483" s="1">
        <v>2.0</v>
      </c>
      <c r="Y3483" s="1">
        <v>2.35</v>
      </c>
      <c r="Z3483" s="1">
        <v>6.6</v>
      </c>
    </row>
    <row r="3484" ht="14.25" customHeight="1">
      <c r="A3484" s="1" t="s">
        <v>26</v>
      </c>
      <c r="B3484" s="1" t="s">
        <v>16446</v>
      </c>
      <c r="C3484" s="1" t="s">
        <v>16447</v>
      </c>
      <c r="D3484" s="1">
        <v>198407.0</v>
      </c>
      <c r="E3484" s="1" t="s">
        <v>3238</v>
      </c>
      <c r="F3484" s="1" t="s">
        <v>11324</v>
      </c>
      <c r="G3484" s="1" t="s">
        <v>9129</v>
      </c>
      <c r="H3484" s="1" t="s">
        <v>16448</v>
      </c>
      <c r="I3484" s="1">
        <v>10282.0</v>
      </c>
      <c r="J3484" s="1" t="s">
        <v>16449</v>
      </c>
      <c r="K3484" s="1" t="s">
        <v>16450</v>
      </c>
      <c r="L3484" s="1">
        <v>78.0</v>
      </c>
      <c r="M3484" s="1" t="s">
        <v>35</v>
      </c>
      <c r="N3484" s="1" t="s">
        <v>36</v>
      </c>
      <c r="O3484" s="1" t="s">
        <v>628</v>
      </c>
      <c r="P3484" s="1">
        <v>2000000.0</v>
      </c>
      <c r="Q3484" s="1">
        <v>2006.0</v>
      </c>
      <c r="R3484" s="1">
        <v>363.0</v>
      </c>
      <c r="S3484" s="1">
        <v>223.0</v>
      </c>
      <c r="T3484" s="1">
        <v>85.0</v>
      </c>
      <c r="U3484" s="1">
        <v>774.0</v>
      </c>
      <c r="V3484" s="1">
        <v>38.0</v>
      </c>
      <c r="W3484" s="1">
        <v>474.0</v>
      </c>
      <c r="X3484" s="1">
        <v>1.0</v>
      </c>
      <c r="Y3484" s="1">
        <v>1.85</v>
      </c>
      <c r="Z3484" s="1">
        <v>6.6</v>
      </c>
    </row>
    <row r="3485" ht="14.25" customHeight="1">
      <c r="A3485" s="1" t="s">
        <v>26</v>
      </c>
      <c r="B3485" s="1" t="s">
        <v>9094</v>
      </c>
      <c r="C3485" s="1" t="s">
        <v>9095</v>
      </c>
      <c r="D3485" s="1">
        <v>1.3973532E7</v>
      </c>
      <c r="E3485" s="1" t="s">
        <v>972</v>
      </c>
      <c r="F3485" s="1" t="s">
        <v>8409</v>
      </c>
      <c r="G3485" s="1" t="s">
        <v>3013</v>
      </c>
      <c r="H3485" s="1" t="s">
        <v>4282</v>
      </c>
      <c r="I3485" s="1">
        <v>11211.0</v>
      </c>
      <c r="J3485" s="1" t="s">
        <v>9096</v>
      </c>
      <c r="K3485" s="1" t="s">
        <v>9097</v>
      </c>
      <c r="L3485" s="1">
        <v>92.0</v>
      </c>
      <c r="M3485" s="1" t="s">
        <v>35</v>
      </c>
      <c r="N3485" s="1" t="s">
        <v>36</v>
      </c>
      <c r="O3485" s="1" t="s">
        <v>37</v>
      </c>
      <c r="P3485" s="1">
        <v>2.5E7</v>
      </c>
      <c r="Q3485" s="1">
        <v>2002.0</v>
      </c>
      <c r="R3485" s="1">
        <v>985.0</v>
      </c>
      <c r="S3485" s="1">
        <v>637.0</v>
      </c>
      <c r="T3485" s="1">
        <v>455.0</v>
      </c>
      <c r="U3485" s="1">
        <v>3065.0</v>
      </c>
      <c r="V3485" s="1">
        <v>54.0</v>
      </c>
      <c r="W3485" s="1">
        <v>215.0</v>
      </c>
      <c r="X3485" s="1">
        <v>1.0</v>
      </c>
      <c r="Y3485" s="1">
        <v>1.85</v>
      </c>
      <c r="Z3485" s="1">
        <v>5.1</v>
      </c>
    </row>
    <row r="3486" ht="14.25" customHeight="1">
      <c r="A3486" s="1" t="s">
        <v>26</v>
      </c>
      <c r="B3486" s="1" t="s">
        <v>16451</v>
      </c>
      <c r="C3486" s="1" t="s">
        <v>16452</v>
      </c>
      <c r="D3486" s="1">
        <v>4958.0</v>
      </c>
      <c r="E3486" s="1" t="s">
        <v>13449</v>
      </c>
      <c r="F3486" s="1" t="s">
        <v>15985</v>
      </c>
      <c r="G3486" s="1" t="s">
        <v>16453</v>
      </c>
      <c r="H3486" s="1" t="s">
        <v>16454</v>
      </c>
      <c r="I3486" s="1">
        <v>9689.0</v>
      </c>
      <c r="J3486" s="1" t="s">
        <v>16455</v>
      </c>
      <c r="K3486" s="1" t="s">
        <v>16456</v>
      </c>
      <c r="L3486" s="1">
        <v>23.0</v>
      </c>
      <c r="M3486" s="1" t="s">
        <v>35</v>
      </c>
      <c r="N3486" s="1" t="s">
        <v>7624</v>
      </c>
      <c r="O3486" s="1" t="s">
        <v>628</v>
      </c>
      <c r="P3486" s="1">
        <v>2000000.0</v>
      </c>
      <c r="Q3486" s="1">
        <v>2008.0</v>
      </c>
      <c r="R3486" s="1">
        <v>29.0</v>
      </c>
      <c r="S3486" s="1">
        <v>18.0</v>
      </c>
      <c r="T3486" s="1">
        <v>12.0</v>
      </c>
      <c r="U3486" s="1">
        <v>86.0</v>
      </c>
      <c r="V3486" s="1">
        <v>5.0</v>
      </c>
      <c r="W3486" s="1">
        <v>1000.0</v>
      </c>
      <c r="X3486" s="1">
        <v>2.0</v>
      </c>
      <c r="Y3486" s="1">
        <v>2.35</v>
      </c>
      <c r="Z3486" s="1">
        <v>7.8</v>
      </c>
    </row>
    <row r="3487" ht="14.25" customHeight="1">
      <c r="A3487" s="1" t="s">
        <v>710</v>
      </c>
      <c r="B3487" s="1" t="s">
        <v>16457</v>
      </c>
      <c r="C3487" s="1" t="s">
        <v>16458</v>
      </c>
      <c r="D3487" s="1">
        <v>7927.0</v>
      </c>
      <c r="E3487" s="1" t="s">
        <v>16459</v>
      </c>
      <c r="F3487" s="1" t="s">
        <v>16460</v>
      </c>
      <c r="G3487" s="1" t="s">
        <v>16461</v>
      </c>
      <c r="H3487" s="1" t="s">
        <v>16462</v>
      </c>
      <c r="I3487" s="1">
        <v>19236.0</v>
      </c>
      <c r="J3487" s="1" t="s">
        <v>16463</v>
      </c>
      <c r="K3487" s="1" t="s">
        <v>16464</v>
      </c>
      <c r="L3487" s="1">
        <v>175.0</v>
      </c>
      <c r="M3487" s="1" t="s">
        <v>35</v>
      </c>
      <c r="N3487" s="1" t="s">
        <v>36</v>
      </c>
      <c r="O3487" s="1" t="s">
        <v>9252</v>
      </c>
      <c r="P3487" s="1">
        <v>2300000.0</v>
      </c>
      <c r="Q3487" s="1">
        <v>1947.0</v>
      </c>
      <c r="R3487" s="1">
        <v>1000.0</v>
      </c>
      <c r="S3487" s="1">
        <v>29.0</v>
      </c>
      <c r="T3487" s="1">
        <v>18.0</v>
      </c>
      <c r="U3487" s="1">
        <v>1055.0</v>
      </c>
      <c r="V3487" s="1">
        <v>0.0</v>
      </c>
      <c r="W3487" s="1">
        <v>0.0</v>
      </c>
      <c r="X3487" s="1">
        <v>1.0</v>
      </c>
      <c r="Y3487" s="1">
        <v>1.37</v>
      </c>
      <c r="Z3487" s="1">
        <v>7.7</v>
      </c>
    </row>
    <row r="3488" ht="14.25" customHeight="1">
      <c r="A3488" s="1" t="s">
        <v>710</v>
      </c>
      <c r="B3488" s="1" t="s">
        <v>16465</v>
      </c>
      <c r="C3488" s="1" t="s">
        <v>16466</v>
      </c>
      <c r="D3488" s="1">
        <v>2436.0</v>
      </c>
      <c r="E3488" s="1" t="s">
        <v>16467</v>
      </c>
      <c r="F3488" s="1" t="s">
        <v>16468</v>
      </c>
      <c r="G3488" s="1" t="s">
        <v>16469</v>
      </c>
      <c r="H3488" s="1" t="s">
        <v>16470</v>
      </c>
      <c r="I3488" s="1">
        <v>344.0</v>
      </c>
      <c r="J3488" s="1" t="s">
        <v>16471</v>
      </c>
      <c r="K3488" s="1" t="s">
        <v>16472</v>
      </c>
      <c r="L3488" s="1">
        <v>19.0</v>
      </c>
      <c r="M3488" s="1" t="s">
        <v>35</v>
      </c>
      <c r="N3488" s="1" t="s">
        <v>36</v>
      </c>
      <c r="O3488" s="1" t="s">
        <v>9252</v>
      </c>
      <c r="P3488" s="1">
        <v>2000000.0</v>
      </c>
      <c r="Q3488" s="1">
        <v>2012.0</v>
      </c>
      <c r="R3488" s="1">
        <v>416.0</v>
      </c>
      <c r="S3488" s="1">
        <v>403.0</v>
      </c>
      <c r="T3488" s="1">
        <v>356.0</v>
      </c>
      <c r="U3488" s="1">
        <v>1611.0</v>
      </c>
      <c r="V3488" s="1">
        <v>5.0</v>
      </c>
      <c r="W3488" s="1">
        <v>655.0</v>
      </c>
      <c r="X3488" s="1">
        <v>2.0</v>
      </c>
      <c r="Y3488" s="1">
        <v>2.35</v>
      </c>
      <c r="Z3488" s="1">
        <v>5.7</v>
      </c>
    </row>
    <row r="3489" ht="14.25" customHeight="1">
      <c r="A3489" s="1" t="s">
        <v>710</v>
      </c>
      <c r="B3489" s="1" t="s">
        <v>16473</v>
      </c>
      <c r="C3489" s="1" t="s">
        <v>16474</v>
      </c>
      <c r="D3489" s="1">
        <v>4600000.0</v>
      </c>
      <c r="E3489" s="1" t="s">
        <v>1854</v>
      </c>
      <c r="F3489" s="1" t="s">
        <v>563</v>
      </c>
      <c r="G3489" s="1" t="s">
        <v>5635</v>
      </c>
      <c r="H3489" s="1" t="s">
        <v>6206</v>
      </c>
      <c r="I3489" s="1">
        <v>11763.0</v>
      </c>
      <c r="J3489" s="1" t="s">
        <v>16475</v>
      </c>
      <c r="K3489" s="1" t="s">
        <v>16476</v>
      </c>
      <c r="L3489" s="1">
        <v>111.0</v>
      </c>
      <c r="M3489" s="1" t="s">
        <v>35</v>
      </c>
      <c r="N3489" s="1" t="s">
        <v>36</v>
      </c>
      <c r="O3489" s="1" t="s">
        <v>628</v>
      </c>
      <c r="P3489" s="1">
        <v>1900000.0</v>
      </c>
      <c r="Q3489" s="1">
        <v>1986.0</v>
      </c>
      <c r="R3489" s="1">
        <v>18000.0</v>
      </c>
      <c r="S3489" s="1">
        <v>1000.0</v>
      </c>
      <c r="T3489" s="1">
        <v>223.0</v>
      </c>
      <c r="U3489" s="1">
        <v>19649.0</v>
      </c>
      <c r="V3489" s="1">
        <v>28.0</v>
      </c>
      <c r="W3489" s="1">
        <v>0.0</v>
      </c>
      <c r="X3489" s="1">
        <v>2.0</v>
      </c>
      <c r="Y3489" s="1">
        <v>1.85</v>
      </c>
      <c r="Z3489" s="1">
        <v>7.1</v>
      </c>
    </row>
    <row r="3490" ht="14.25" customHeight="1">
      <c r="A3490" s="1" t="s">
        <v>26</v>
      </c>
      <c r="B3490" s="1" t="s">
        <v>12347</v>
      </c>
      <c r="C3490" s="1" t="s">
        <v>16477</v>
      </c>
      <c r="D3490" s="1">
        <v>1420578.0</v>
      </c>
      <c r="E3490" s="1" t="s">
        <v>5030</v>
      </c>
      <c r="F3490" s="1" t="s">
        <v>3036</v>
      </c>
      <c r="G3490" s="1" t="s">
        <v>2414</v>
      </c>
      <c r="H3490" s="1" t="s">
        <v>5267</v>
      </c>
      <c r="I3490" s="1">
        <v>4894.0</v>
      </c>
      <c r="J3490" s="1" t="s">
        <v>16478</v>
      </c>
      <c r="K3490" s="1" t="s">
        <v>16479</v>
      </c>
      <c r="L3490" s="1">
        <v>122.0</v>
      </c>
      <c r="M3490" s="1" t="s">
        <v>35</v>
      </c>
      <c r="N3490" s="1" t="s">
        <v>36</v>
      </c>
      <c r="O3490" s="1" t="s">
        <v>37</v>
      </c>
      <c r="P3490" s="1">
        <v>1900000.0</v>
      </c>
      <c r="Q3490" s="1">
        <v>2003.0</v>
      </c>
      <c r="R3490" s="1">
        <v>548.0</v>
      </c>
      <c r="S3490" s="1">
        <v>495.0</v>
      </c>
      <c r="T3490" s="1">
        <v>482.0</v>
      </c>
      <c r="U3490" s="1">
        <v>2389.0</v>
      </c>
      <c r="V3490" s="1">
        <v>35.0</v>
      </c>
      <c r="W3490" s="1">
        <v>298.0</v>
      </c>
      <c r="X3490" s="1">
        <v>0.0</v>
      </c>
      <c r="Y3490" s="1">
        <v>2.35</v>
      </c>
      <c r="Z3490" s="1">
        <v>6.4</v>
      </c>
    </row>
    <row r="3491" ht="14.25" customHeight="1">
      <c r="A3491" s="1" t="s">
        <v>26</v>
      </c>
      <c r="B3491" s="1" t="s">
        <v>16480</v>
      </c>
      <c r="C3491" s="1" t="s">
        <v>16481</v>
      </c>
      <c r="D3491" s="1">
        <v>1028658.0</v>
      </c>
      <c r="E3491" s="1" t="s">
        <v>1842</v>
      </c>
      <c r="F3491" s="1" t="s">
        <v>307</v>
      </c>
      <c r="G3491" s="1" t="s">
        <v>3515</v>
      </c>
      <c r="H3491" s="1" t="s">
        <v>16482</v>
      </c>
      <c r="I3491" s="1">
        <v>118684.0</v>
      </c>
      <c r="J3491" s="1" t="s">
        <v>16483</v>
      </c>
      <c r="K3491" s="1" t="s">
        <v>16484</v>
      </c>
      <c r="L3491" s="1">
        <v>447.0</v>
      </c>
      <c r="M3491" s="1" t="s">
        <v>35</v>
      </c>
      <c r="N3491" s="1" t="s">
        <v>3393</v>
      </c>
      <c r="O3491" s="1" t="s">
        <v>628</v>
      </c>
      <c r="P3491" s="1">
        <v>3000000.0</v>
      </c>
      <c r="Q3491" s="1">
        <v>2010.0</v>
      </c>
      <c r="R3491" s="1">
        <v>16000.0</v>
      </c>
      <c r="S3491" s="1">
        <v>517.0</v>
      </c>
      <c r="T3491" s="1">
        <v>263.0</v>
      </c>
      <c r="U3491" s="1">
        <v>17471.0</v>
      </c>
      <c r="V3491" s="1">
        <v>89.0</v>
      </c>
      <c r="W3491" s="1">
        <v>24000.0</v>
      </c>
      <c r="X3491" s="1">
        <v>0.0</v>
      </c>
      <c r="Y3491" s="1">
        <v>2.35</v>
      </c>
      <c r="Z3491" s="1">
        <v>7.0</v>
      </c>
    </row>
    <row r="3492" ht="14.25" customHeight="1">
      <c r="A3492" s="1" t="s">
        <v>26</v>
      </c>
      <c r="B3492" s="1" t="s">
        <v>16485</v>
      </c>
      <c r="C3492" s="1" t="s">
        <v>16486</v>
      </c>
      <c r="D3492" s="1">
        <v>18435.0</v>
      </c>
      <c r="E3492" s="1" t="s">
        <v>3238</v>
      </c>
      <c r="F3492" s="1" t="s">
        <v>16487</v>
      </c>
      <c r="G3492" s="1" t="s">
        <v>16488</v>
      </c>
      <c r="H3492" s="1" t="s">
        <v>16489</v>
      </c>
      <c r="I3492" s="1">
        <v>1010.0</v>
      </c>
      <c r="J3492" s="1" t="s">
        <v>16490</v>
      </c>
      <c r="K3492" s="1" t="s">
        <v>16491</v>
      </c>
      <c r="L3492" s="1">
        <v>15.0</v>
      </c>
      <c r="M3492" s="1" t="s">
        <v>2752</v>
      </c>
      <c r="N3492" s="1" t="s">
        <v>1832</v>
      </c>
      <c r="O3492" s="1" t="s">
        <v>12164</v>
      </c>
      <c r="P3492" s="1">
        <v>1400000.0</v>
      </c>
      <c r="Q3492" s="1">
        <v>2006.0</v>
      </c>
      <c r="R3492" s="1">
        <v>533.0</v>
      </c>
      <c r="S3492" s="1">
        <v>323.0</v>
      </c>
      <c r="T3492" s="1">
        <v>164.0</v>
      </c>
      <c r="U3492" s="1">
        <v>1082.0</v>
      </c>
      <c r="V3492" s="1">
        <v>0.0</v>
      </c>
      <c r="W3492" s="1">
        <v>104.0</v>
      </c>
      <c r="X3492" s="1">
        <v>5.0</v>
      </c>
      <c r="Y3492" s="1">
        <v>1.85</v>
      </c>
      <c r="Z3492" s="1">
        <v>5.8</v>
      </c>
    </row>
    <row r="3493" ht="14.25" customHeight="1">
      <c r="A3493" s="1" t="s">
        <v>26</v>
      </c>
      <c r="B3493" s="1" t="s">
        <v>7876</v>
      </c>
      <c r="C3493" s="1" t="s">
        <v>7877</v>
      </c>
      <c r="D3493" s="1">
        <v>3.5266619E7</v>
      </c>
      <c r="E3493" s="1" t="s">
        <v>4777</v>
      </c>
      <c r="F3493" s="1" t="s">
        <v>475</v>
      </c>
      <c r="G3493" s="1" t="s">
        <v>228</v>
      </c>
      <c r="H3493" s="1" t="s">
        <v>7421</v>
      </c>
      <c r="I3493" s="1">
        <v>108248.0</v>
      </c>
      <c r="J3493" s="1" t="s">
        <v>7878</v>
      </c>
      <c r="K3493" s="1" t="s">
        <v>7879</v>
      </c>
      <c r="L3493" s="1">
        <v>371.0</v>
      </c>
      <c r="M3493" s="1" t="s">
        <v>35</v>
      </c>
      <c r="N3493" s="1" t="s">
        <v>36</v>
      </c>
      <c r="O3493" s="1" t="s">
        <v>628</v>
      </c>
      <c r="P3493" s="1">
        <v>3.0E7</v>
      </c>
      <c r="Q3493" s="1">
        <v>2013.0</v>
      </c>
      <c r="R3493" s="1">
        <v>17000.0</v>
      </c>
      <c r="S3493" s="1">
        <v>2000.0</v>
      </c>
      <c r="T3493" s="1">
        <v>534.0</v>
      </c>
      <c r="U3493" s="1">
        <v>20051.0</v>
      </c>
      <c r="V3493" s="1">
        <v>108.0</v>
      </c>
      <c r="W3493" s="1">
        <v>39000.0</v>
      </c>
      <c r="X3493" s="1">
        <v>1.0</v>
      </c>
      <c r="Y3493" s="1">
        <v>2.35</v>
      </c>
      <c r="Z3493" s="1">
        <v>5.9</v>
      </c>
    </row>
    <row r="3494" ht="14.25" customHeight="1">
      <c r="A3494" s="1" t="s">
        <v>26</v>
      </c>
      <c r="B3494" s="1" t="s">
        <v>5922</v>
      </c>
      <c r="C3494" s="1" t="s">
        <v>6881</v>
      </c>
      <c r="D3494" s="1">
        <v>2.6505E7</v>
      </c>
      <c r="E3494" s="1" t="s">
        <v>6019</v>
      </c>
      <c r="F3494" s="1" t="s">
        <v>41</v>
      </c>
      <c r="G3494" s="1" t="s">
        <v>6882</v>
      </c>
      <c r="H3494" s="1" t="s">
        <v>6883</v>
      </c>
      <c r="I3494" s="1">
        <v>149293.0</v>
      </c>
      <c r="J3494" s="1" t="s">
        <v>6884</v>
      </c>
      <c r="K3494" s="1" t="s">
        <v>6885</v>
      </c>
      <c r="L3494" s="1">
        <v>668.0</v>
      </c>
      <c r="M3494" s="1" t="s">
        <v>35</v>
      </c>
      <c r="N3494" s="1" t="s">
        <v>36</v>
      </c>
      <c r="O3494" s="1" t="s">
        <v>6886</v>
      </c>
      <c r="P3494" s="1">
        <v>1800000.0</v>
      </c>
      <c r="Q3494" s="1">
        <v>1984.0</v>
      </c>
      <c r="R3494" s="1">
        <v>40000.0</v>
      </c>
      <c r="S3494" s="1">
        <v>852.0</v>
      </c>
      <c r="T3494" s="1">
        <v>574.0</v>
      </c>
      <c r="U3494" s="1">
        <v>42918.0</v>
      </c>
      <c r="V3494" s="1">
        <v>0.0</v>
      </c>
      <c r="W3494" s="1">
        <v>10000.0</v>
      </c>
      <c r="X3494" s="1">
        <v>1.0</v>
      </c>
      <c r="Y3494" s="1">
        <v>1.85</v>
      </c>
      <c r="Z3494" s="1">
        <v>7.5</v>
      </c>
    </row>
    <row r="3495" ht="14.25" customHeight="1">
      <c r="A3495" s="1" t="s">
        <v>26</v>
      </c>
      <c r="B3495" s="1" t="s">
        <v>11545</v>
      </c>
      <c r="C3495" s="1" t="s">
        <v>16492</v>
      </c>
      <c r="D3495" s="1">
        <v>2957978.0</v>
      </c>
      <c r="E3495" s="1" t="s">
        <v>16493</v>
      </c>
      <c r="F3495" s="1" t="s">
        <v>16494</v>
      </c>
      <c r="G3495" s="1" t="s">
        <v>16495</v>
      </c>
      <c r="H3495" s="1" t="s">
        <v>16496</v>
      </c>
      <c r="I3495" s="1">
        <v>40481.0</v>
      </c>
      <c r="J3495" s="1" t="s">
        <v>16497</v>
      </c>
      <c r="K3495" s="1" t="s">
        <v>16498</v>
      </c>
      <c r="L3495" s="1">
        <v>134.0</v>
      </c>
      <c r="M3495" s="1" t="s">
        <v>35</v>
      </c>
      <c r="N3495" s="1" t="s">
        <v>54</v>
      </c>
      <c r="O3495" s="1" t="s">
        <v>37</v>
      </c>
      <c r="P3495" s="1">
        <v>1000000.0</v>
      </c>
      <c r="Q3495" s="1">
        <v>2008.0</v>
      </c>
      <c r="R3495" s="1">
        <v>41.0</v>
      </c>
      <c r="S3495" s="1">
        <v>27.0</v>
      </c>
      <c r="T3495" s="1">
        <v>0.0</v>
      </c>
      <c r="U3495" s="1">
        <v>68.0</v>
      </c>
      <c r="V3495" s="1">
        <v>120.0</v>
      </c>
      <c r="W3495" s="1">
        <v>0.0</v>
      </c>
      <c r="X3495" s="1">
        <v>0.0</v>
      </c>
      <c r="Y3495" s="1">
        <v>1.85</v>
      </c>
      <c r="Z3495" s="1">
        <v>7.8</v>
      </c>
    </row>
    <row r="3496" ht="14.25" customHeight="1">
      <c r="A3496" s="1" t="s">
        <v>26</v>
      </c>
      <c r="B3496" s="1" t="s">
        <v>16499</v>
      </c>
      <c r="C3496" s="1" t="s">
        <v>16500</v>
      </c>
      <c r="D3496" s="1">
        <v>444044.0</v>
      </c>
      <c r="E3496" s="1" t="s">
        <v>3238</v>
      </c>
      <c r="F3496" s="1" t="s">
        <v>16501</v>
      </c>
      <c r="G3496" s="1" t="s">
        <v>16502</v>
      </c>
      <c r="H3496" s="1" t="s">
        <v>4939</v>
      </c>
      <c r="I3496" s="1">
        <v>744.0</v>
      </c>
      <c r="J3496" s="1" t="s">
        <v>16503</v>
      </c>
      <c r="K3496" s="1" t="s">
        <v>16504</v>
      </c>
      <c r="L3496" s="1">
        <v>19.0</v>
      </c>
      <c r="M3496" s="1" t="s">
        <v>35</v>
      </c>
      <c r="N3496" s="1" t="s">
        <v>36</v>
      </c>
      <c r="O3496" s="1" t="s">
        <v>628</v>
      </c>
      <c r="P3496" s="1">
        <v>1900000.0</v>
      </c>
      <c r="Q3496" s="1">
        <v>2015.0</v>
      </c>
      <c r="R3496" s="1">
        <v>628.0</v>
      </c>
      <c r="S3496" s="1">
        <v>606.0</v>
      </c>
      <c r="T3496" s="1">
        <v>585.0</v>
      </c>
      <c r="U3496" s="1">
        <v>4249.0</v>
      </c>
      <c r="V3496" s="1">
        <v>47.0</v>
      </c>
      <c r="W3496" s="1">
        <v>1000.0</v>
      </c>
      <c r="X3496" s="1">
        <v>6.0</v>
      </c>
      <c r="Y3496" s="1">
        <v>1.85</v>
      </c>
      <c r="Z3496" s="1">
        <v>7.2</v>
      </c>
    </row>
    <row r="3497" ht="14.25" customHeight="1">
      <c r="A3497" s="1" t="s">
        <v>26</v>
      </c>
      <c r="B3497" s="1" t="s">
        <v>16505</v>
      </c>
      <c r="C3497" s="1" t="s">
        <v>16506</v>
      </c>
      <c r="D3497" s="1">
        <v>4.0990055E7</v>
      </c>
      <c r="E3497" s="1" t="s">
        <v>4158</v>
      </c>
      <c r="F3497" s="1" t="s">
        <v>16439</v>
      </c>
      <c r="G3497" s="1" t="s">
        <v>15491</v>
      </c>
      <c r="H3497" s="1" t="s">
        <v>16507</v>
      </c>
      <c r="I3497" s="1">
        <v>41509.0</v>
      </c>
      <c r="J3497" s="1" t="s">
        <v>16508</v>
      </c>
      <c r="K3497" s="1" t="s">
        <v>16509</v>
      </c>
      <c r="L3497" s="1">
        <v>300.0</v>
      </c>
      <c r="M3497" s="1" t="s">
        <v>35</v>
      </c>
      <c r="N3497" s="1" t="s">
        <v>1832</v>
      </c>
      <c r="O3497" s="1" t="s">
        <v>37</v>
      </c>
      <c r="P3497" s="1">
        <v>1800000.0</v>
      </c>
      <c r="Q3497" s="1">
        <v>2010.0</v>
      </c>
      <c r="R3497" s="1">
        <v>463.0</v>
      </c>
      <c r="S3497" s="1">
        <v>400.0</v>
      </c>
      <c r="T3497" s="1">
        <v>308.0</v>
      </c>
      <c r="U3497" s="1">
        <v>1958.0</v>
      </c>
      <c r="V3497" s="1">
        <v>13.0</v>
      </c>
      <c r="W3497" s="1">
        <v>0.0</v>
      </c>
      <c r="X3497" s="1">
        <v>0.0</v>
      </c>
      <c r="Y3497" s="1">
        <v>1.85</v>
      </c>
      <c r="Z3497" s="1">
        <v>5.6</v>
      </c>
    </row>
    <row r="3498" ht="14.25" customHeight="1">
      <c r="A3498" s="1" t="s">
        <v>26</v>
      </c>
      <c r="B3498" s="1" t="s">
        <v>16510</v>
      </c>
      <c r="C3498" s="1" t="s">
        <v>16511</v>
      </c>
      <c r="D3498" s="1">
        <v>5709616.0</v>
      </c>
      <c r="E3498" s="1" t="s">
        <v>206</v>
      </c>
      <c r="F3498" s="1" t="s">
        <v>143</v>
      </c>
      <c r="G3498" s="1" t="s">
        <v>16512</v>
      </c>
      <c r="H3498" s="1" t="s">
        <v>2748</v>
      </c>
      <c r="I3498" s="1">
        <v>11088.0</v>
      </c>
      <c r="J3498" s="1" t="s">
        <v>16513</v>
      </c>
      <c r="K3498" s="1" t="s">
        <v>16514</v>
      </c>
      <c r="L3498" s="1">
        <v>110.0</v>
      </c>
      <c r="M3498" s="1" t="s">
        <v>2648</v>
      </c>
      <c r="N3498" s="1" t="s">
        <v>13128</v>
      </c>
      <c r="O3498" s="1" t="s">
        <v>628</v>
      </c>
      <c r="P3498" s="1">
        <v>1800000.0</v>
      </c>
      <c r="Q3498" s="1">
        <v>2002.0</v>
      </c>
      <c r="R3498" s="1">
        <v>201.0</v>
      </c>
      <c r="S3498" s="1">
        <v>163.0</v>
      </c>
      <c r="T3498" s="1">
        <v>67.0</v>
      </c>
      <c r="U3498" s="1">
        <v>546.0</v>
      </c>
      <c r="V3498" s="1">
        <v>12.0</v>
      </c>
      <c r="W3498" s="1">
        <v>544.0</v>
      </c>
      <c r="X3498" s="1">
        <v>0.0</v>
      </c>
      <c r="Y3498" s="1">
        <v>1.85</v>
      </c>
      <c r="Z3498" s="1">
        <v>6.8</v>
      </c>
    </row>
    <row r="3499" ht="14.25" customHeight="1">
      <c r="A3499" s="1" t="s">
        <v>26</v>
      </c>
      <c r="B3499" s="1" t="s">
        <v>16515</v>
      </c>
      <c r="C3499" s="1" t="s">
        <v>16516</v>
      </c>
      <c r="D3499" s="1">
        <v>1.2784397E7</v>
      </c>
      <c r="E3499" s="1" t="s">
        <v>5030</v>
      </c>
      <c r="F3499" s="1" t="s">
        <v>3544</v>
      </c>
      <c r="G3499" s="1" t="s">
        <v>16517</v>
      </c>
      <c r="H3499" s="1" t="s">
        <v>16518</v>
      </c>
      <c r="I3499" s="1">
        <v>70336.0</v>
      </c>
      <c r="J3499" s="1" t="s">
        <v>16519</v>
      </c>
      <c r="K3499" s="1" t="s">
        <v>16520</v>
      </c>
      <c r="L3499" s="1">
        <v>269.0</v>
      </c>
      <c r="M3499" s="1" t="s">
        <v>35</v>
      </c>
      <c r="N3499" s="1" t="s">
        <v>36</v>
      </c>
      <c r="O3499" s="1" t="s">
        <v>37</v>
      </c>
      <c r="P3499" s="1">
        <v>1800000.0</v>
      </c>
      <c r="Q3499" s="1">
        <v>2012.0</v>
      </c>
      <c r="R3499" s="1">
        <v>2000.0</v>
      </c>
      <c r="S3499" s="1">
        <v>458.0</v>
      </c>
      <c r="T3499" s="1">
        <v>168.0</v>
      </c>
      <c r="U3499" s="1">
        <v>2658.0</v>
      </c>
      <c r="V3499" s="1">
        <v>188.0</v>
      </c>
      <c r="W3499" s="1">
        <v>31000.0</v>
      </c>
      <c r="X3499" s="1">
        <v>0.0</v>
      </c>
      <c r="Y3499" s="1">
        <v>1.85</v>
      </c>
      <c r="Z3499" s="1">
        <v>7.3</v>
      </c>
    </row>
    <row r="3500" ht="14.25" customHeight="1">
      <c r="A3500" s="1" t="s">
        <v>26</v>
      </c>
      <c r="B3500" s="1" t="s">
        <v>16521</v>
      </c>
      <c r="C3500" s="1" t="s">
        <v>16522</v>
      </c>
      <c r="D3500" s="1">
        <v>3050934.0</v>
      </c>
      <c r="E3500" s="1" t="s">
        <v>5819</v>
      </c>
      <c r="F3500" s="1" t="s">
        <v>6056</v>
      </c>
      <c r="G3500" s="1" t="s">
        <v>5200</v>
      </c>
      <c r="H3500" s="1" t="s">
        <v>12119</v>
      </c>
      <c r="I3500" s="1">
        <v>2794.0</v>
      </c>
      <c r="J3500" s="1" t="s">
        <v>16523</v>
      </c>
      <c r="K3500" s="1" t="s">
        <v>16524</v>
      </c>
      <c r="L3500" s="1">
        <v>78.0</v>
      </c>
      <c r="M3500" s="1" t="s">
        <v>35</v>
      </c>
      <c r="N3500" s="1" t="s">
        <v>36</v>
      </c>
      <c r="O3500" s="1" t="s">
        <v>37</v>
      </c>
      <c r="P3500" s="1">
        <v>1800000.0</v>
      </c>
      <c r="Q3500" s="1">
        <v>2000.0</v>
      </c>
      <c r="R3500" s="1">
        <v>767.0</v>
      </c>
      <c r="S3500" s="1">
        <v>380.0</v>
      </c>
      <c r="T3500" s="1">
        <v>280.0</v>
      </c>
      <c r="U3500" s="1">
        <v>2187.0</v>
      </c>
      <c r="V3500" s="1">
        <v>9.0</v>
      </c>
      <c r="W3500" s="1">
        <v>0.0</v>
      </c>
      <c r="X3500" s="1">
        <v>1.0</v>
      </c>
      <c r="Y3500" s="1">
        <v>1.85</v>
      </c>
      <c r="Z3500" s="1">
        <v>7.3</v>
      </c>
    </row>
    <row r="3501" ht="14.25" customHeight="1">
      <c r="A3501" s="1" t="s">
        <v>710</v>
      </c>
      <c r="B3501" s="1" t="s">
        <v>1764</v>
      </c>
      <c r="C3501" s="1" t="s">
        <v>16525</v>
      </c>
      <c r="D3501" s="1">
        <v>7267324.0</v>
      </c>
      <c r="E3501" s="1" t="s">
        <v>1854</v>
      </c>
      <c r="F3501" s="1" t="s">
        <v>2935</v>
      </c>
      <c r="G3501" s="1" t="s">
        <v>16526</v>
      </c>
      <c r="H3501" s="1" t="s">
        <v>16527</v>
      </c>
      <c r="I3501" s="1">
        <v>161471.0</v>
      </c>
      <c r="J3501" s="1" t="s">
        <v>16528</v>
      </c>
      <c r="K3501" s="1" t="s">
        <v>16529</v>
      </c>
      <c r="L3501" s="1">
        <v>709.0</v>
      </c>
      <c r="M3501" s="1" t="s">
        <v>10526</v>
      </c>
      <c r="N3501" s="1" t="s">
        <v>730</v>
      </c>
      <c r="O3501" s="1" t="s">
        <v>628</v>
      </c>
      <c r="P3501" s="1">
        <v>3500000.0</v>
      </c>
      <c r="Q3501" s="1">
        <v>1998.0</v>
      </c>
      <c r="R3501" s="1">
        <v>486.0</v>
      </c>
      <c r="S3501" s="1">
        <v>37.0</v>
      </c>
      <c r="T3501" s="1">
        <v>34.0</v>
      </c>
      <c r="U3501" s="1">
        <v>623.0</v>
      </c>
      <c r="V3501" s="1">
        <v>670.0</v>
      </c>
      <c r="W3501" s="1">
        <v>0.0</v>
      </c>
      <c r="X3501" s="1">
        <v>1.0</v>
      </c>
      <c r="Y3501" s="1">
        <v>1.85</v>
      </c>
      <c r="Z3501" s="1">
        <v>7.8</v>
      </c>
    </row>
    <row r="3502" ht="14.25" customHeight="1">
      <c r="A3502" s="1" t="s">
        <v>26</v>
      </c>
      <c r="B3502" s="1" t="s">
        <v>16530</v>
      </c>
      <c r="C3502" s="1" t="s">
        <v>16531</v>
      </c>
      <c r="D3502" s="1">
        <v>145540.0</v>
      </c>
      <c r="E3502" s="1" t="s">
        <v>14025</v>
      </c>
      <c r="F3502" s="1" t="s">
        <v>15382</v>
      </c>
      <c r="G3502" s="1" t="s">
        <v>16532</v>
      </c>
      <c r="H3502" s="1" t="s">
        <v>10436</v>
      </c>
      <c r="I3502" s="1">
        <v>26773.0</v>
      </c>
      <c r="J3502" s="1" t="s">
        <v>16533</v>
      </c>
      <c r="K3502" s="1" t="s">
        <v>16534</v>
      </c>
      <c r="L3502" s="1">
        <v>277.0</v>
      </c>
      <c r="M3502" s="1" t="s">
        <v>35</v>
      </c>
      <c r="N3502" s="1" t="s">
        <v>36</v>
      </c>
      <c r="O3502" s="1" t="s">
        <v>628</v>
      </c>
      <c r="P3502" s="1">
        <v>500000.0</v>
      </c>
      <c r="Q3502" s="1">
        <v>2002.0</v>
      </c>
      <c r="R3502" s="1">
        <v>701.0</v>
      </c>
      <c r="S3502" s="1">
        <v>461.0</v>
      </c>
      <c r="T3502" s="1">
        <v>446.0</v>
      </c>
      <c r="U3502" s="1">
        <v>2489.0</v>
      </c>
      <c r="V3502" s="1">
        <v>75.0</v>
      </c>
      <c r="W3502" s="1">
        <v>0.0</v>
      </c>
      <c r="X3502" s="1">
        <v>1.0</v>
      </c>
      <c r="Y3502" s="1">
        <v>1.85</v>
      </c>
      <c r="Z3502" s="1">
        <v>6.7</v>
      </c>
    </row>
    <row r="3503" ht="14.25" customHeight="1">
      <c r="A3503" s="1" t="s">
        <v>26</v>
      </c>
      <c r="B3503" s="1" t="s">
        <v>12117</v>
      </c>
      <c r="C3503" s="1" t="s">
        <v>16535</v>
      </c>
      <c r="D3503" s="1">
        <v>3.5918429E7</v>
      </c>
      <c r="E3503" s="1" t="s">
        <v>1854</v>
      </c>
      <c r="F3503" s="1" t="s">
        <v>130</v>
      </c>
      <c r="G3503" s="1" t="s">
        <v>7044</v>
      </c>
      <c r="H3503" s="1" t="s">
        <v>1290</v>
      </c>
      <c r="I3503" s="1">
        <v>32415.0</v>
      </c>
      <c r="J3503" s="1" t="s">
        <v>16536</v>
      </c>
      <c r="K3503" s="1" t="s">
        <v>16537</v>
      </c>
      <c r="L3503" s="1">
        <v>510.0</v>
      </c>
      <c r="M3503" s="1" t="s">
        <v>35</v>
      </c>
      <c r="N3503" s="1" t="s">
        <v>36</v>
      </c>
      <c r="O3503" s="1" t="s">
        <v>628</v>
      </c>
      <c r="P3503" s="1">
        <v>1700000.0</v>
      </c>
      <c r="Q3503" s="1">
        <v>2001.0</v>
      </c>
      <c r="R3503" s="1">
        <v>1000.0</v>
      </c>
      <c r="S3503" s="1">
        <v>874.0</v>
      </c>
      <c r="T3503" s="1">
        <v>783.0</v>
      </c>
      <c r="U3503" s="1">
        <v>3970.0</v>
      </c>
      <c r="V3503" s="1">
        <v>143.0</v>
      </c>
      <c r="W3503" s="1">
        <v>951.0</v>
      </c>
      <c r="X3503" s="1">
        <v>1.0</v>
      </c>
      <c r="Y3503" s="1">
        <v>2.35</v>
      </c>
      <c r="Z3503" s="1">
        <v>7.5</v>
      </c>
    </row>
    <row r="3504" ht="14.25" customHeight="1">
      <c r="A3504" s="1" t="s">
        <v>26</v>
      </c>
      <c r="B3504" s="1" t="s">
        <v>16538</v>
      </c>
      <c r="C3504" s="1" t="s">
        <v>16539</v>
      </c>
      <c r="D3504" s="1">
        <v>92401.0</v>
      </c>
      <c r="E3504" s="1" t="s">
        <v>6278</v>
      </c>
      <c r="F3504" s="1" t="s">
        <v>16540</v>
      </c>
      <c r="G3504" s="1" t="s">
        <v>982</v>
      </c>
      <c r="H3504" s="1" t="s">
        <v>16541</v>
      </c>
      <c r="I3504" s="1">
        <v>56402.0</v>
      </c>
      <c r="J3504" s="1" t="s">
        <v>16542</v>
      </c>
      <c r="K3504" s="1" t="s">
        <v>16543</v>
      </c>
      <c r="L3504" s="1">
        <v>209.0</v>
      </c>
      <c r="M3504" s="1" t="s">
        <v>35</v>
      </c>
      <c r="N3504" s="1" t="s">
        <v>36</v>
      </c>
      <c r="O3504" s="1" t="s">
        <v>628</v>
      </c>
      <c r="P3504" s="1">
        <v>2000000.0</v>
      </c>
      <c r="Q3504" s="1">
        <v>2010.0</v>
      </c>
      <c r="R3504" s="1">
        <v>635.0</v>
      </c>
      <c r="S3504" s="1">
        <v>445.0</v>
      </c>
      <c r="T3504" s="1">
        <v>374.0</v>
      </c>
      <c r="U3504" s="1">
        <v>2423.0</v>
      </c>
      <c r="V3504" s="1">
        <v>68.0</v>
      </c>
      <c r="W3504" s="1">
        <v>17000.0</v>
      </c>
      <c r="X3504" s="1">
        <v>0.0</v>
      </c>
      <c r="Y3504" s="1">
        <v>2.35</v>
      </c>
      <c r="Z3504" s="1">
        <v>6.3</v>
      </c>
    </row>
    <row r="3505" ht="14.25" customHeight="1">
      <c r="A3505" s="1" t="s">
        <v>26</v>
      </c>
      <c r="B3505" s="1" t="s">
        <v>16544</v>
      </c>
      <c r="C3505" s="1" t="s">
        <v>16545</v>
      </c>
      <c r="D3505" s="1">
        <v>1943649.0</v>
      </c>
      <c r="E3505" s="1" t="s">
        <v>4045</v>
      </c>
      <c r="F3505" s="1" t="s">
        <v>16546</v>
      </c>
      <c r="G3505" s="1" t="s">
        <v>7430</v>
      </c>
      <c r="H3505" s="1" t="s">
        <v>2806</v>
      </c>
      <c r="I3505" s="1">
        <v>8697.0</v>
      </c>
      <c r="J3505" s="1" t="s">
        <v>16547</v>
      </c>
      <c r="K3505" s="1" t="s">
        <v>16548</v>
      </c>
      <c r="L3505" s="1">
        <v>122.0</v>
      </c>
      <c r="M3505" s="1" t="s">
        <v>35</v>
      </c>
      <c r="N3505" s="1" t="s">
        <v>36</v>
      </c>
      <c r="O3505" s="1" t="s">
        <v>37</v>
      </c>
      <c r="P3505" s="1">
        <v>1700000.0</v>
      </c>
      <c r="Q3505" s="1">
        <v>1999.0</v>
      </c>
      <c r="R3505" s="1">
        <v>349.0</v>
      </c>
      <c r="S3505" s="1">
        <v>347.0</v>
      </c>
      <c r="T3505" s="1">
        <v>327.0</v>
      </c>
      <c r="U3505" s="1">
        <v>2095.0</v>
      </c>
      <c r="V3505" s="1">
        <v>3.0</v>
      </c>
      <c r="W3505" s="1">
        <v>374.0</v>
      </c>
      <c r="X3505" s="1">
        <v>3.0</v>
      </c>
      <c r="Y3505" s="1">
        <v>1.85</v>
      </c>
      <c r="Z3505" s="1">
        <v>6.3</v>
      </c>
    </row>
    <row r="3506" ht="14.25" customHeight="1">
      <c r="A3506" s="1" t="s">
        <v>26</v>
      </c>
      <c r="B3506" s="1" t="s">
        <v>16549</v>
      </c>
      <c r="C3506" s="1" t="s">
        <v>16550</v>
      </c>
      <c r="D3506" s="1">
        <v>992238.0</v>
      </c>
      <c r="E3506" s="1" t="s">
        <v>206</v>
      </c>
      <c r="F3506" s="1" t="s">
        <v>2199</v>
      </c>
      <c r="G3506" s="1" t="s">
        <v>16551</v>
      </c>
      <c r="H3506" s="1" t="s">
        <v>16552</v>
      </c>
      <c r="I3506" s="1">
        <v>16349.0</v>
      </c>
      <c r="J3506" s="1" t="s">
        <v>16553</v>
      </c>
      <c r="K3506" s="1" t="s">
        <v>16554</v>
      </c>
      <c r="L3506" s="1">
        <v>103.0</v>
      </c>
      <c r="M3506" s="1" t="s">
        <v>35</v>
      </c>
      <c r="N3506" s="1" t="s">
        <v>54</v>
      </c>
      <c r="O3506" s="1" t="s">
        <v>628</v>
      </c>
      <c r="P3506" s="1">
        <v>1700000.0</v>
      </c>
      <c r="Q3506" s="1">
        <v>2004.0</v>
      </c>
      <c r="R3506" s="1">
        <v>680.0</v>
      </c>
      <c r="S3506" s="1">
        <v>46.0</v>
      </c>
      <c r="T3506" s="1">
        <v>34.0</v>
      </c>
      <c r="U3506" s="1">
        <v>763.0</v>
      </c>
      <c r="V3506" s="1">
        <v>84.0</v>
      </c>
      <c r="W3506" s="1">
        <v>869.0</v>
      </c>
      <c r="X3506" s="1">
        <v>0.0</v>
      </c>
      <c r="Y3506" s="1">
        <v>1.85</v>
      </c>
      <c r="Z3506" s="1">
        <v>6.8</v>
      </c>
    </row>
    <row r="3507" ht="14.25" customHeight="1">
      <c r="A3507" s="1" t="s">
        <v>26</v>
      </c>
      <c r="B3507" s="1" t="s">
        <v>16555</v>
      </c>
      <c r="C3507" s="1" t="s">
        <v>16556</v>
      </c>
      <c r="D3507" s="1">
        <v>4231500.0</v>
      </c>
      <c r="E3507" s="1" t="s">
        <v>206</v>
      </c>
      <c r="F3507" s="1" t="s">
        <v>16557</v>
      </c>
      <c r="G3507" s="1" t="s">
        <v>10250</v>
      </c>
      <c r="H3507" s="1" t="s">
        <v>9486</v>
      </c>
      <c r="I3507" s="1">
        <v>30479.0</v>
      </c>
      <c r="J3507" s="1" t="s">
        <v>16558</v>
      </c>
      <c r="K3507" s="1" t="s">
        <v>16559</v>
      </c>
      <c r="L3507" s="1">
        <v>162.0</v>
      </c>
      <c r="M3507" s="1" t="s">
        <v>13092</v>
      </c>
      <c r="N3507" s="1" t="s">
        <v>13093</v>
      </c>
      <c r="O3507" s="1" t="s">
        <v>87</v>
      </c>
      <c r="P3507" s="1">
        <v>1000000.0</v>
      </c>
      <c r="Q3507" s="1">
        <v>2013.0</v>
      </c>
      <c r="R3507" s="1">
        <v>638.0</v>
      </c>
      <c r="S3507" s="1">
        <v>85.0</v>
      </c>
      <c r="T3507" s="1">
        <v>73.0</v>
      </c>
      <c r="U3507" s="1">
        <v>822.0</v>
      </c>
      <c r="V3507" s="1">
        <v>25.0</v>
      </c>
      <c r="W3507" s="1">
        <v>16000.0</v>
      </c>
      <c r="X3507" s="1">
        <v>2.0</v>
      </c>
      <c r="Y3507" s="1">
        <v>2.35</v>
      </c>
      <c r="Z3507" s="1">
        <v>7.8</v>
      </c>
    </row>
    <row r="3508" ht="14.25" customHeight="1">
      <c r="A3508" s="1" t="s">
        <v>26</v>
      </c>
      <c r="B3508" s="1" t="s">
        <v>16560</v>
      </c>
      <c r="C3508" s="1" t="s">
        <v>16561</v>
      </c>
      <c r="D3508" s="1">
        <v>396035.0</v>
      </c>
      <c r="E3508" s="1" t="s">
        <v>206</v>
      </c>
      <c r="F3508" s="1" t="s">
        <v>2207</v>
      </c>
      <c r="G3508" s="1" t="s">
        <v>2234</v>
      </c>
      <c r="H3508" s="1" t="s">
        <v>15566</v>
      </c>
      <c r="I3508" s="1">
        <v>2725.0</v>
      </c>
      <c r="J3508" s="1" t="s">
        <v>16562</v>
      </c>
      <c r="K3508" s="1" t="s">
        <v>16563</v>
      </c>
      <c r="L3508" s="1">
        <v>48.0</v>
      </c>
      <c r="M3508" s="1" t="s">
        <v>35</v>
      </c>
      <c r="N3508" s="1" t="s">
        <v>54</v>
      </c>
      <c r="O3508" s="1" t="s">
        <v>628</v>
      </c>
      <c r="P3508" s="1">
        <v>1000000.0</v>
      </c>
      <c r="Q3508" s="1">
        <v>2004.0</v>
      </c>
      <c r="R3508" s="1">
        <v>887.0</v>
      </c>
      <c r="S3508" s="1">
        <v>805.0</v>
      </c>
      <c r="T3508" s="1">
        <v>420.0</v>
      </c>
      <c r="U3508" s="1">
        <v>2721.0</v>
      </c>
      <c r="V3508" s="1">
        <v>87.0</v>
      </c>
      <c r="W3508" s="1">
        <v>305.0</v>
      </c>
      <c r="X3508" s="1">
        <v>0.0</v>
      </c>
      <c r="Y3508" s="1">
        <v>1.85</v>
      </c>
      <c r="Z3508" s="1">
        <v>6.9</v>
      </c>
    </row>
    <row r="3509" ht="14.25" customHeight="1">
      <c r="A3509" s="1" t="s">
        <v>26</v>
      </c>
      <c r="B3509" s="1" t="s">
        <v>16564</v>
      </c>
      <c r="C3509" s="1" t="s">
        <v>16565</v>
      </c>
      <c r="D3509" s="1">
        <v>1060591.0</v>
      </c>
      <c r="E3509" s="1" t="s">
        <v>1359</v>
      </c>
      <c r="F3509" s="1" t="s">
        <v>16566</v>
      </c>
      <c r="G3509" s="1" t="s">
        <v>16567</v>
      </c>
      <c r="H3509" s="1" t="s">
        <v>16564</v>
      </c>
      <c r="I3509" s="1">
        <v>9750.0</v>
      </c>
      <c r="J3509" s="1" t="s">
        <v>16568</v>
      </c>
      <c r="K3509" s="1" t="s">
        <v>16569</v>
      </c>
      <c r="L3509" s="1">
        <v>66.0</v>
      </c>
      <c r="M3509" s="1" t="s">
        <v>16570</v>
      </c>
      <c r="N3509" s="1" t="s">
        <v>1832</v>
      </c>
      <c r="O3509" s="1" t="s">
        <v>87</v>
      </c>
      <c r="P3509" s="1">
        <v>1300000.0</v>
      </c>
      <c r="Q3509" s="1">
        <v>2007.0</v>
      </c>
      <c r="R3509" s="1">
        <v>227.0</v>
      </c>
      <c r="S3509" s="1">
        <v>4.0</v>
      </c>
      <c r="T3509" s="1">
        <v>0.0</v>
      </c>
      <c r="U3509" s="1">
        <v>231.0</v>
      </c>
      <c r="V3509" s="1">
        <v>0.0</v>
      </c>
      <c r="W3509" s="1">
        <v>0.0</v>
      </c>
      <c r="X3509" s="1">
        <v>0.0</v>
      </c>
      <c r="Y3509" s="1">
        <v>1.85</v>
      </c>
      <c r="Z3509" s="1">
        <v>7.2</v>
      </c>
    </row>
    <row r="3510" ht="14.25" customHeight="1">
      <c r="A3510" s="1" t="s">
        <v>26</v>
      </c>
      <c r="B3510" s="1" t="s">
        <v>16571</v>
      </c>
      <c r="C3510" s="1" t="s">
        <v>16572</v>
      </c>
      <c r="D3510" s="1">
        <v>26893.0</v>
      </c>
      <c r="E3510" s="1" t="s">
        <v>12847</v>
      </c>
      <c r="F3510" s="1" t="s">
        <v>6265</v>
      </c>
      <c r="G3510" s="1" t="s">
        <v>16573</v>
      </c>
      <c r="H3510" s="1" t="s">
        <v>16574</v>
      </c>
      <c r="I3510" s="1">
        <v>4391.0</v>
      </c>
      <c r="J3510" s="1" t="s">
        <v>16575</v>
      </c>
      <c r="K3510" s="1" t="s">
        <v>16576</v>
      </c>
      <c r="L3510" s="1">
        <v>26.0</v>
      </c>
      <c r="M3510" s="1" t="s">
        <v>2752</v>
      </c>
      <c r="N3510" s="1" t="s">
        <v>1832</v>
      </c>
      <c r="O3510" s="1" t="s">
        <v>628</v>
      </c>
      <c r="P3510" s="1">
        <v>1600000.0</v>
      </c>
      <c r="Q3510" s="1">
        <v>1969.0</v>
      </c>
      <c r="R3510" s="1">
        <v>963.0</v>
      </c>
      <c r="S3510" s="1">
        <v>710.0</v>
      </c>
      <c r="T3510" s="1">
        <v>21.0</v>
      </c>
      <c r="U3510" s="1">
        <v>1694.0</v>
      </c>
      <c r="V3510" s="1">
        <v>0.0</v>
      </c>
      <c r="W3510" s="1">
        <v>278.0</v>
      </c>
      <c r="X3510" s="1">
        <v>0.0</v>
      </c>
      <c r="Y3510" s="1">
        <v>2.35</v>
      </c>
      <c r="Z3510" s="1">
        <v>7.2</v>
      </c>
    </row>
    <row r="3511" ht="14.25" customHeight="1">
      <c r="A3511" s="1" t="s">
        <v>26</v>
      </c>
      <c r="B3511" s="1" t="s">
        <v>2723</v>
      </c>
      <c r="C3511" s="1" t="s">
        <v>16577</v>
      </c>
      <c r="D3511" s="1">
        <v>2580.0</v>
      </c>
      <c r="E3511" s="1" t="s">
        <v>7540</v>
      </c>
      <c r="F3511" s="1" t="s">
        <v>228</v>
      </c>
      <c r="G3511" s="1" t="s">
        <v>16578</v>
      </c>
      <c r="H3511" s="1" t="s">
        <v>13773</v>
      </c>
      <c r="I3511" s="1">
        <v>1618.0</v>
      </c>
      <c r="J3511" s="1" t="s">
        <v>16579</v>
      </c>
      <c r="K3511" s="1" t="s">
        <v>16580</v>
      </c>
      <c r="L3511" s="1">
        <v>40.0</v>
      </c>
      <c r="M3511" s="1" t="s">
        <v>35</v>
      </c>
      <c r="N3511" s="1" t="s">
        <v>36</v>
      </c>
      <c r="O3511" s="1" t="s">
        <v>628</v>
      </c>
      <c r="P3511" s="1">
        <v>1650000.0</v>
      </c>
      <c r="Q3511" s="1">
        <v>2003.0</v>
      </c>
      <c r="R3511" s="1">
        <v>2000.0</v>
      </c>
      <c r="S3511" s="1">
        <v>163.0</v>
      </c>
      <c r="T3511" s="1">
        <v>127.0</v>
      </c>
      <c r="U3511" s="1">
        <v>2564.0</v>
      </c>
      <c r="V3511" s="1">
        <v>1000.0</v>
      </c>
      <c r="W3511" s="1">
        <v>63.0</v>
      </c>
      <c r="X3511" s="1">
        <v>2.0</v>
      </c>
      <c r="Y3511" s="1">
        <v>2.35</v>
      </c>
      <c r="Z3511" s="1">
        <v>5.4</v>
      </c>
    </row>
    <row r="3512" ht="14.25" customHeight="1">
      <c r="A3512" s="1" t="s">
        <v>26</v>
      </c>
      <c r="B3512" s="1" t="s">
        <v>103</v>
      </c>
      <c r="C3512" s="1" t="s">
        <v>8249</v>
      </c>
      <c r="D3512" s="1">
        <v>5.8885635E7</v>
      </c>
      <c r="E3512" s="1" t="s">
        <v>4634</v>
      </c>
      <c r="F3512" s="1" t="s">
        <v>911</v>
      </c>
      <c r="G3512" s="1" t="s">
        <v>4147</v>
      </c>
      <c r="H3512" s="1" t="s">
        <v>1470</v>
      </c>
      <c r="I3512" s="1">
        <v>194426.0</v>
      </c>
      <c r="J3512" s="1" t="s">
        <v>8250</v>
      </c>
      <c r="K3512" s="1" t="s">
        <v>8251</v>
      </c>
      <c r="L3512" s="1">
        <v>1057.0</v>
      </c>
      <c r="M3512" s="1" t="s">
        <v>35</v>
      </c>
      <c r="N3512" s="1" t="s">
        <v>36</v>
      </c>
      <c r="O3512" s="1" t="s">
        <v>628</v>
      </c>
      <c r="P3512" s="1">
        <v>2.6E7</v>
      </c>
      <c r="Q3512" s="1">
        <v>2004.0</v>
      </c>
      <c r="R3512" s="1">
        <v>3000.0</v>
      </c>
      <c r="S3512" s="1">
        <v>2000.0</v>
      </c>
      <c r="T3512" s="1">
        <v>1000.0</v>
      </c>
      <c r="U3512" s="1">
        <v>10438.0</v>
      </c>
      <c r="V3512" s="1">
        <v>0.0</v>
      </c>
      <c r="W3512" s="1">
        <v>7000.0</v>
      </c>
      <c r="X3512" s="1">
        <v>0.0</v>
      </c>
      <c r="Y3512" s="1">
        <v>2.35</v>
      </c>
      <c r="Z3512" s="1">
        <v>7.4</v>
      </c>
    </row>
    <row r="3513" ht="14.25" customHeight="1">
      <c r="A3513" s="1" t="s">
        <v>26</v>
      </c>
      <c r="B3513" s="1" t="s">
        <v>16581</v>
      </c>
      <c r="C3513" s="1" t="s">
        <v>16582</v>
      </c>
      <c r="D3513" s="1">
        <v>1.9067631E7</v>
      </c>
      <c r="E3513" s="1" t="s">
        <v>1359</v>
      </c>
      <c r="F3513" s="1" t="s">
        <v>8492</v>
      </c>
      <c r="G3513" s="1" t="s">
        <v>4873</v>
      </c>
      <c r="H3513" s="1" t="s">
        <v>7345</v>
      </c>
      <c r="I3513" s="1">
        <v>37714.0</v>
      </c>
      <c r="J3513" s="1" t="s">
        <v>16583</v>
      </c>
      <c r="K3513" s="1" t="s">
        <v>16584</v>
      </c>
      <c r="L3513" s="1">
        <v>204.0</v>
      </c>
      <c r="M3513" s="1" t="s">
        <v>35</v>
      </c>
      <c r="N3513" s="1" t="s">
        <v>36</v>
      </c>
      <c r="O3513" s="1" t="s">
        <v>37</v>
      </c>
      <c r="P3513" s="1">
        <v>2000000.0</v>
      </c>
      <c r="Q3513" s="1">
        <v>2007.0</v>
      </c>
      <c r="R3513" s="1">
        <v>597.0</v>
      </c>
      <c r="S3513" s="1">
        <v>541.0</v>
      </c>
      <c r="T3513" s="1">
        <v>336.0</v>
      </c>
      <c r="U3513" s="1">
        <v>1981.0</v>
      </c>
      <c r="V3513" s="1">
        <v>191.0</v>
      </c>
      <c r="W3513" s="1">
        <v>0.0</v>
      </c>
      <c r="X3513" s="1">
        <v>1.0</v>
      </c>
      <c r="Y3513" s="1">
        <v>1.85</v>
      </c>
      <c r="Z3513" s="1">
        <v>7.1</v>
      </c>
    </row>
    <row r="3514" ht="14.25" customHeight="1">
      <c r="A3514" s="1" t="s">
        <v>26</v>
      </c>
      <c r="B3514" s="1" t="s">
        <v>16585</v>
      </c>
      <c r="C3514" s="1" t="s">
        <v>16586</v>
      </c>
      <c r="D3514" s="1">
        <v>1.1806119E7</v>
      </c>
      <c r="E3514" s="1" t="s">
        <v>6687</v>
      </c>
      <c r="F3514" s="1" t="s">
        <v>11264</v>
      </c>
      <c r="G3514" s="1" t="s">
        <v>16587</v>
      </c>
      <c r="H3514" s="1" t="s">
        <v>16588</v>
      </c>
      <c r="I3514" s="1">
        <v>57578.0</v>
      </c>
      <c r="J3514" s="1" t="s">
        <v>16589</v>
      </c>
      <c r="K3514" s="1" t="s">
        <v>16590</v>
      </c>
      <c r="L3514" s="1">
        <v>210.0</v>
      </c>
      <c r="M3514" s="1" t="s">
        <v>35</v>
      </c>
      <c r="N3514" s="1" t="s">
        <v>36</v>
      </c>
      <c r="O3514" s="1" t="s">
        <v>628</v>
      </c>
      <c r="P3514" s="1">
        <v>1100000.0</v>
      </c>
      <c r="Q3514" s="1">
        <v>1988.0</v>
      </c>
      <c r="R3514" s="1">
        <v>633.0</v>
      </c>
      <c r="S3514" s="1">
        <v>403.0</v>
      </c>
      <c r="T3514" s="1">
        <v>49.0</v>
      </c>
      <c r="U3514" s="1">
        <v>1168.0</v>
      </c>
      <c r="V3514" s="1">
        <v>15.0</v>
      </c>
      <c r="W3514" s="1">
        <v>0.0</v>
      </c>
      <c r="X3514" s="1">
        <v>1.0</v>
      </c>
      <c r="Y3514" s="1">
        <v>1.85</v>
      </c>
      <c r="Z3514" s="1">
        <v>6.8</v>
      </c>
    </row>
    <row r="3515" ht="14.25" customHeight="1">
      <c r="A3515" s="1" t="s">
        <v>26</v>
      </c>
      <c r="B3515" s="1" t="s">
        <v>13529</v>
      </c>
      <c r="C3515" s="1" t="s">
        <v>16591</v>
      </c>
      <c r="D3515" s="1">
        <v>7362100.0</v>
      </c>
      <c r="E3515" s="1" t="s">
        <v>2422</v>
      </c>
      <c r="F3515" s="1" t="s">
        <v>16592</v>
      </c>
      <c r="G3515" s="1" t="s">
        <v>16593</v>
      </c>
      <c r="H3515" s="1" t="s">
        <v>16594</v>
      </c>
      <c r="I3515" s="1">
        <v>60295.0</v>
      </c>
      <c r="J3515" s="1" t="s">
        <v>16595</v>
      </c>
      <c r="K3515" s="1" t="s">
        <v>16596</v>
      </c>
      <c r="L3515" s="1">
        <v>232.0</v>
      </c>
      <c r="M3515" s="1" t="s">
        <v>35</v>
      </c>
      <c r="N3515" s="1" t="s">
        <v>36</v>
      </c>
      <c r="O3515" s="1" t="s">
        <v>628</v>
      </c>
      <c r="P3515" s="1">
        <v>1500000.0</v>
      </c>
      <c r="Q3515" s="1">
        <v>2005.0</v>
      </c>
      <c r="R3515" s="1">
        <v>436.0</v>
      </c>
      <c r="S3515" s="1">
        <v>25.0</v>
      </c>
      <c r="T3515" s="1">
        <v>18.0</v>
      </c>
      <c r="U3515" s="1">
        <v>479.0</v>
      </c>
      <c r="V3515" s="1">
        <v>387.0</v>
      </c>
      <c r="W3515" s="1">
        <v>0.0</v>
      </c>
      <c r="X3515" s="1">
        <v>0.0</v>
      </c>
      <c r="Y3515" s="1">
        <v>1.85</v>
      </c>
      <c r="Z3515" s="1">
        <v>7.4</v>
      </c>
    </row>
    <row r="3516" ht="14.25" customHeight="1">
      <c r="A3516" s="1" t="s">
        <v>26</v>
      </c>
      <c r="B3516" s="1" t="s">
        <v>8770</v>
      </c>
      <c r="C3516" s="1" t="s">
        <v>16597</v>
      </c>
      <c r="D3516" s="1">
        <v>7022940.0</v>
      </c>
      <c r="E3516" s="1" t="s">
        <v>1359</v>
      </c>
      <c r="F3516" s="1" t="s">
        <v>16598</v>
      </c>
      <c r="G3516" s="1" t="s">
        <v>16599</v>
      </c>
      <c r="H3516" s="1" t="s">
        <v>16600</v>
      </c>
      <c r="I3516" s="1">
        <v>14018.0</v>
      </c>
      <c r="J3516" s="1" t="s">
        <v>16601</v>
      </c>
      <c r="K3516" s="1" t="s">
        <v>16602</v>
      </c>
      <c r="L3516" s="1">
        <v>190.0</v>
      </c>
      <c r="M3516" s="1" t="s">
        <v>35</v>
      </c>
      <c r="N3516" s="1" t="s">
        <v>36</v>
      </c>
      <c r="O3516" s="1" t="s">
        <v>628</v>
      </c>
      <c r="P3516" s="1">
        <v>1000000.0</v>
      </c>
      <c r="Q3516" s="1">
        <v>2001.0</v>
      </c>
      <c r="R3516" s="1">
        <v>378.0</v>
      </c>
      <c r="S3516" s="1">
        <v>321.0</v>
      </c>
      <c r="T3516" s="1">
        <v>117.0</v>
      </c>
      <c r="U3516" s="1">
        <v>1173.0</v>
      </c>
      <c r="V3516" s="1">
        <v>0.0</v>
      </c>
      <c r="W3516" s="1">
        <v>682.0</v>
      </c>
      <c r="X3516" s="1">
        <v>1.0</v>
      </c>
      <c r="Y3516" s="1">
        <v>1.85</v>
      </c>
      <c r="Z3516" s="1">
        <v>6.7</v>
      </c>
    </row>
    <row r="3517" ht="14.25" customHeight="1">
      <c r="A3517" s="1" t="s">
        <v>26</v>
      </c>
      <c r="B3517" s="1" t="s">
        <v>9221</v>
      </c>
      <c r="C3517" s="1" t="s">
        <v>16603</v>
      </c>
      <c r="D3517" s="1">
        <v>5132222.0</v>
      </c>
      <c r="E3517" s="1" t="s">
        <v>3632</v>
      </c>
      <c r="F3517" s="1" t="s">
        <v>346</v>
      </c>
      <c r="G3517" s="1" t="s">
        <v>4116</v>
      </c>
      <c r="H3517" s="1" t="s">
        <v>8006</v>
      </c>
      <c r="I3517" s="1">
        <v>14112.0</v>
      </c>
      <c r="J3517" s="1" t="s">
        <v>16604</v>
      </c>
      <c r="K3517" s="1" t="s">
        <v>16605</v>
      </c>
      <c r="L3517" s="1">
        <v>83.0</v>
      </c>
      <c r="M3517" s="1" t="s">
        <v>35</v>
      </c>
      <c r="N3517" s="1" t="s">
        <v>260</v>
      </c>
      <c r="O3517" s="1" t="s">
        <v>628</v>
      </c>
      <c r="P3517" s="1">
        <v>2000000.0</v>
      </c>
      <c r="Q3517" s="1">
        <v>1994.0</v>
      </c>
      <c r="R3517" s="1">
        <v>991.0</v>
      </c>
      <c r="S3517" s="1">
        <v>971.0</v>
      </c>
      <c r="T3517" s="1">
        <v>900.0</v>
      </c>
      <c r="U3517" s="1">
        <v>2990.0</v>
      </c>
      <c r="V3517" s="1">
        <v>460.0</v>
      </c>
      <c r="W3517" s="1">
        <v>619.0</v>
      </c>
      <c r="X3517" s="1">
        <v>1.0</v>
      </c>
      <c r="Y3517" s="1">
        <v>1.85</v>
      </c>
      <c r="Z3517" s="1">
        <v>7.2</v>
      </c>
    </row>
    <row r="3518" ht="14.25" customHeight="1">
      <c r="A3518" s="1" t="s">
        <v>26</v>
      </c>
      <c r="B3518" s="1" t="s">
        <v>12513</v>
      </c>
      <c r="C3518" s="1" t="s">
        <v>16606</v>
      </c>
      <c r="D3518" s="1">
        <v>2365931.0</v>
      </c>
      <c r="E3518" s="1" t="s">
        <v>2964</v>
      </c>
      <c r="F3518" s="1" t="s">
        <v>3774</v>
      </c>
      <c r="G3518" s="1" t="s">
        <v>12513</v>
      </c>
      <c r="H3518" s="1" t="s">
        <v>16607</v>
      </c>
      <c r="I3518" s="1">
        <v>36657.0</v>
      </c>
      <c r="J3518" s="1" t="s">
        <v>16608</v>
      </c>
      <c r="K3518" s="1" t="s">
        <v>16609</v>
      </c>
      <c r="L3518" s="1">
        <v>318.0</v>
      </c>
      <c r="M3518" s="1" t="s">
        <v>35</v>
      </c>
      <c r="N3518" s="1" t="s">
        <v>36</v>
      </c>
      <c r="O3518" s="1" t="s">
        <v>628</v>
      </c>
      <c r="P3518" s="1">
        <v>1500000.0</v>
      </c>
      <c r="Q3518" s="1">
        <v>1998.0</v>
      </c>
      <c r="R3518" s="1">
        <v>1000.0</v>
      </c>
      <c r="S3518" s="1">
        <v>787.0</v>
      </c>
      <c r="T3518" s="1">
        <v>642.0</v>
      </c>
      <c r="U3518" s="1">
        <v>4762.0</v>
      </c>
      <c r="V3518" s="1">
        <v>787.0</v>
      </c>
      <c r="W3518" s="1">
        <v>0.0</v>
      </c>
      <c r="X3518" s="1">
        <v>2.0</v>
      </c>
      <c r="Y3518" s="1">
        <v>1.85</v>
      </c>
      <c r="Z3518" s="1">
        <v>7.5</v>
      </c>
    </row>
    <row r="3519" ht="14.25" customHeight="1">
      <c r="A3519" s="1" t="s">
        <v>26</v>
      </c>
      <c r="B3519" s="1" t="s">
        <v>324</v>
      </c>
      <c r="C3519" s="1" t="s">
        <v>16610</v>
      </c>
      <c r="D3519" s="1">
        <v>5.3991137E7</v>
      </c>
      <c r="E3519" s="1" t="s">
        <v>2546</v>
      </c>
      <c r="F3519" s="1" t="s">
        <v>6882</v>
      </c>
      <c r="G3519" s="1" t="s">
        <v>14350</v>
      </c>
      <c r="H3519" s="1" t="s">
        <v>16611</v>
      </c>
      <c r="I3519" s="1">
        <v>202800.0</v>
      </c>
      <c r="J3519" s="1" t="s">
        <v>16612</v>
      </c>
      <c r="K3519" s="1" t="s">
        <v>16613</v>
      </c>
      <c r="L3519" s="1">
        <v>752.0</v>
      </c>
      <c r="M3519" s="1" t="s">
        <v>35</v>
      </c>
      <c r="N3519" s="1" t="s">
        <v>36</v>
      </c>
      <c r="O3519" s="1" t="s">
        <v>37</v>
      </c>
      <c r="P3519" s="1">
        <v>1500000.0</v>
      </c>
      <c r="Q3519" s="1">
        <v>2010.0</v>
      </c>
      <c r="R3519" s="1">
        <v>852.0</v>
      </c>
      <c r="S3519" s="1">
        <v>618.0</v>
      </c>
      <c r="T3519" s="1">
        <v>588.0</v>
      </c>
      <c r="U3519" s="1">
        <v>3030.0</v>
      </c>
      <c r="V3519" s="1">
        <v>0.0</v>
      </c>
      <c r="W3519" s="1">
        <v>60000.0</v>
      </c>
      <c r="X3519" s="1">
        <v>1.0</v>
      </c>
      <c r="Y3519" s="1">
        <v>2.35</v>
      </c>
      <c r="Z3519" s="1">
        <v>6.8</v>
      </c>
    </row>
    <row r="3520" ht="14.25" customHeight="1">
      <c r="A3520" s="1" t="s">
        <v>26</v>
      </c>
      <c r="B3520" s="1" t="s">
        <v>16614</v>
      </c>
      <c r="C3520" s="1" t="s">
        <v>16615</v>
      </c>
      <c r="D3520" s="1">
        <v>1221261.0</v>
      </c>
      <c r="E3520" s="1" t="s">
        <v>2045</v>
      </c>
      <c r="F3520" s="1" t="s">
        <v>15739</v>
      </c>
      <c r="G3520" s="1" t="s">
        <v>16616</v>
      </c>
      <c r="H3520" s="1" t="s">
        <v>16617</v>
      </c>
      <c r="I3520" s="1">
        <v>38215.0</v>
      </c>
      <c r="J3520" s="1" t="s">
        <v>16618</v>
      </c>
      <c r="K3520" s="1" t="s">
        <v>16619</v>
      </c>
      <c r="L3520" s="1">
        <v>125.0</v>
      </c>
      <c r="M3520" s="1" t="s">
        <v>2648</v>
      </c>
      <c r="N3520" s="1" t="s">
        <v>15744</v>
      </c>
      <c r="O3520" s="1" t="s">
        <v>628</v>
      </c>
      <c r="P3520" s="1">
        <v>1500000.0</v>
      </c>
      <c r="Q3520" s="1">
        <v>2000.0</v>
      </c>
      <c r="R3520" s="1">
        <v>827.0</v>
      </c>
      <c r="S3520" s="1">
        <v>22.0</v>
      </c>
      <c r="T3520" s="1">
        <v>7.0</v>
      </c>
      <c r="U3520" s="1">
        <v>856.0</v>
      </c>
      <c r="V3520" s="1">
        <v>44.0</v>
      </c>
      <c r="W3520" s="1">
        <v>0.0</v>
      </c>
      <c r="X3520" s="1">
        <v>0.0</v>
      </c>
      <c r="Y3520" s="1">
        <v>1.85</v>
      </c>
      <c r="Z3520" s="1">
        <v>7.9</v>
      </c>
    </row>
    <row r="3521" ht="14.25" customHeight="1">
      <c r="A3521" s="1" t="s">
        <v>26</v>
      </c>
      <c r="B3521" s="1" t="s">
        <v>16620</v>
      </c>
      <c r="C3521" s="1" t="s">
        <v>16621</v>
      </c>
      <c r="D3521" s="1">
        <v>712294.0</v>
      </c>
      <c r="E3521" s="1" t="s">
        <v>3238</v>
      </c>
      <c r="F3521" s="1" t="s">
        <v>6968</v>
      </c>
      <c r="G3521" s="1" t="s">
        <v>4112</v>
      </c>
      <c r="H3521" s="1" t="s">
        <v>16622</v>
      </c>
      <c r="I3521" s="1">
        <v>9408.0</v>
      </c>
      <c r="J3521" s="1" t="s">
        <v>16623</v>
      </c>
      <c r="K3521" s="1" t="s">
        <v>16624</v>
      </c>
      <c r="L3521" s="1">
        <v>68.0</v>
      </c>
      <c r="M3521" s="1" t="s">
        <v>35</v>
      </c>
      <c r="N3521" s="1" t="s">
        <v>36</v>
      </c>
      <c r="O3521" s="1" t="s">
        <v>628</v>
      </c>
      <c r="P3521" s="1">
        <v>1500000.0</v>
      </c>
      <c r="Q3521" s="1">
        <v>2005.0</v>
      </c>
      <c r="R3521" s="1">
        <v>552.0</v>
      </c>
      <c r="S3521" s="1">
        <v>265.0</v>
      </c>
      <c r="T3521" s="1">
        <v>42.0</v>
      </c>
      <c r="U3521" s="1">
        <v>859.0</v>
      </c>
      <c r="V3521" s="1">
        <v>58.0</v>
      </c>
      <c r="W3521" s="1">
        <v>608.0</v>
      </c>
      <c r="X3521" s="1">
        <v>1.0</v>
      </c>
      <c r="Y3521" s="1">
        <v>1.66</v>
      </c>
      <c r="Z3521" s="1">
        <v>6.7</v>
      </c>
    </row>
    <row r="3522" ht="14.25" customHeight="1">
      <c r="A3522" s="1" t="s">
        <v>26</v>
      </c>
      <c r="B3522" s="1" t="s">
        <v>16625</v>
      </c>
      <c r="C3522" s="1" t="s">
        <v>16626</v>
      </c>
      <c r="D3522" s="1">
        <v>3447339.0</v>
      </c>
      <c r="E3522" s="1" t="s">
        <v>1598</v>
      </c>
      <c r="F3522" s="1" t="s">
        <v>1588</v>
      </c>
      <c r="G3522" s="1" t="s">
        <v>11757</v>
      </c>
      <c r="H3522" s="1" t="s">
        <v>1352</v>
      </c>
      <c r="I3522" s="1">
        <v>29517.0</v>
      </c>
      <c r="J3522" s="1" t="s">
        <v>16627</v>
      </c>
      <c r="K3522" s="1" t="s">
        <v>16628</v>
      </c>
      <c r="L3522" s="1">
        <v>79.0</v>
      </c>
      <c r="M3522" s="1" t="s">
        <v>35</v>
      </c>
      <c r="N3522" s="1" t="s">
        <v>36</v>
      </c>
      <c r="O3522" s="1" t="s">
        <v>628</v>
      </c>
      <c r="P3522" s="1">
        <v>1500000.0</v>
      </c>
      <c r="Q3522" s="1">
        <v>2013.0</v>
      </c>
      <c r="R3522" s="1">
        <v>801.0</v>
      </c>
      <c r="S3522" s="1">
        <v>727.0</v>
      </c>
      <c r="T3522" s="1">
        <v>690.0</v>
      </c>
      <c r="U3522" s="1">
        <v>2667.0</v>
      </c>
      <c r="V3522" s="1">
        <v>38.0</v>
      </c>
      <c r="W3522" s="1">
        <v>0.0</v>
      </c>
      <c r="X3522" s="1">
        <v>7.0</v>
      </c>
      <c r="Y3522" s="1">
        <v>1.78</v>
      </c>
      <c r="Z3522" s="1">
        <v>5.8</v>
      </c>
    </row>
    <row r="3523" ht="14.25" customHeight="1">
      <c r="A3523" s="1" t="s">
        <v>26</v>
      </c>
      <c r="B3523" s="1" t="s">
        <v>15529</v>
      </c>
      <c r="C3523" s="1" t="s">
        <v>16629</v>
      </c>
      <c r="D3523" s="1">
        <v>418953.0</v>
      </c>
      <c r="E3523" s="1" t="s">
        <v>2045</v>
      </c>
      <c r="F3523" s="1" t="s">
        <v>5424</v>
      </c>
      <c r="G3523" s="1" t="s">
        <v>16630</v>
      </c>
      <c r="H3523" s="1" t="s">
        <v>16631</v>
      </c>
      <c r="I3523" s="1">
        <v>17322.0</v>
      </c>
      <c r="J3523" s="1" t="s">
        <v>16632</v>
      </c>
      <c r="K3523" s="1" t="s">
        <v>16633</v>
      </c>
      <c r="L3523" s="1">
        <v>93.0</v>
      </c>
      <c r="M3523" s="1" t="s">
        <v>35</v>
      </c>
      <c r="N3523" s="1" t="s">
        <v>1832</v>
      </c>
      <c r="O3523" s="1" t="s">
        <v>628</v>
      </c>
      <c r="P3523" s="1">
        <v>1500000.0</v>
      </c>
      <c r="Q3523" s="1">
        <v>1993.0</v>
      </c>
      <c r="R3523" s="1">
        <v>902.0</v>
      </c>
      <c r="S3523" s="1">
        <v>424.0</v>
      </c>
      <c r="T3523" s="1">
        <v>164.0</v>
      </c>
      <c r="U3523" s="1">
        <v>1582.0</v>
      </c>
      <c r="V3523" s="1">
        <v>675.0</v>
      </c>
      <c r="W3523" s="1">
        <v>853.0</v>
      </c>
      <c r="X3523" s="1">
        <v>0.0</v>
      </c>
      <c r="Y3523" s="1">
        <v>1.85</v>
      </c>
      <c r="Z3523" s="1">
        <v>6.5</v>
      </c>
    </row>
    <row r="3524" ht="14.25" customHeight="1">
      <c r="A3524" s="1" t="s">
        <v>710</v>
      </c>
      <c r="B3524" s="1" t="s">
        <v>16634</v>
      </c>
      <c r="C3524" s="1" t="s">
        <v>16635</v>
      </c>
      <c r="D3524" s="1">
        <v>406035.0</v>
      </c>
      <c r="E3524" s="1" t="s">
        <v>3238</v>
      </c>
      <c r="F3524" s="1" t="s">
        <v>4002</v>
      </c>
      <c r="G3524" s="1" t="s">
        <v>16636</v>
      </c>
      <c r="H3524" s="1" t="s">
        <v>16637</v>
      </c>
      <c r="I3524" s="1">
        <v>30314.0</v>
      </c>
      <c r="J3524" s="1" t="s">
        <v>16638</v>
      </c>
      <c r="K3524" s="1" t="s">
        <v>16639</v>
      </c>
      <c r="L3524" s="1">
        <v>159.0</v>
      </c>
      <c r="M3524" s="1" t="s">
        <v>35</v>
      </c>
      <c r="N3524" s="1" t="s">
        <v>36</v>
      </c>
      <c r="O3524" s="1" t="s">
        <v>628</v>
      </c>
      <c r="P3524" s="1">
        <v>1500000.0</v>
      </c>
      <c r="Q3524" s="1">
        <v>2001.0</v>
      </c>
      <c r="R3524" s="1">
        <v>33000.0</v>
      </c>
      <c r="S3524" s="1">
        <v>243.0</v>
      </c>
      <c r="T3524" s="1">
        <v>76.0</v>
      </c>
      <c r="U3524" s="1">
        <v>33441.0</v>
      </c>
      <c r="V3524" s="1">
        <v>21.0</v>
      </c>
      <c r="W3524" s="1">
        <v>0.0</v>
      </c>
      <c r="X3524" s="1">
        <v>0.0</v>
      </c>
      <c r="Y3524" s="1">
        <v>1.66</v>
      </c>
      <c r="Z3524" s="1">
        <v>7.2</v>
      </c>
    </row>
    <row r="3525" ht="14.25" customHeight="1">
      <c r="A3525" s="1" t="s">
        <v>26</v>
      </c>
      <c r="B3525" s="1" t="s">
        <v>11897</v>
      </c>
      <c r="C3525" s="1" t="s">
        <v>16640</v>
      </c>
      <c r="D3525" s="1">
        <v>373967.0</v>
      </c>
      <c r="E3525" s="1" t="s">
        <v>5924</v>
      </c>
      <c r="F3525" s="1" t="s">
        <v>3567</v>
      </c>
      <c r="G3525" s="1" t="s">
        <v>10324</v>
      </c>
      <c r="H3525" s="1" t="s">
        <v>13605</v>
      </c>
      <c r="I3525" s="1">
        <v>43839.0</v>
      </c>
      <c r="J3525" s="1" t="s">
        <v>16641</v>
      </c>
      <c r="K3525" s="1" t="s">
        <v>16642</v>
      </c>
      <c r="L3525" s="1">
        <v>481.0</v>
      </c>
      <c r="M3525" s="1" t="s">
        <v>35</v>
      </c>
      <c r="N3525" s="1" t="s">
        <v>36</v>
      </c>
      <c r="O3525" s="1" t="s">
        <v>628</v>
      </c>
      <c r="P3525" s="1">
        <v>1500000.0</v>
      </c>
      <c r="Q3525" s="1">
        <v>2001.0</v>
      </c>
      <c r="R3525" s="1">
        <v>210.0</v>
      </c>
      <c r="S3525" s="1">
        <v>148.0</v>
      </c>
      <c r="T3525" s="1">
        <v>83.0</v>
      </c>
      <c r="U3525" s="1">
        <v>469.0</v>
      </c>
      <c r="V3525" s="1">
        <v>122.0</v>
      </c>
      <c r="W3525" s="1">
        <v>0.0</v>
      </c>
      <c r="X3525" s="1">
        <v>0.0</v>
      </c>
      <c r="Y3525" s="1">
        <v>2.35</v>
      </c>
      <c r="Z3525" s="1">
        <v>6.5</v>
      </c>
    </row>
    <row r="3526" ht="14.25" customHeight="1">
      <c r="A3526" s="1" t="s">
        <v>26</v>
      </c>
      <c r="B3526" s="1" t="s">
        <v>404</v>
      </c>
      <c r="C3526" s="1" t="s">
        <v>16643</v>
      </c>
      <c r="D3526" s="1">
        <v>194568.0</v>
      </c>
      <c r="E3526" s="1" t="s">
        <v>1598</v>
      </c>
      <c r="F3526" s="1" t="s">
        <v>16644</v>
      </c>
      <c r="G3526" s="1" t="s">
        <v>404</v>
      </c>
      <c r="H3526" s="1" t="s">
        <v>2035</v>
      </c>
      <c r="I3526" s="1">
        <v>2963.0</v>
      </c>
      <c r="J3526" s="1" t="s">
        <v>16645</v>
      </c>
      <c r="K3526" s="1" t="s">
        <v>16646</v>
      </c>
      <c r="L3526" s="1">
        <v>28.0</v>
      </c>
      <c r="M3526" s="1" t="s">
        <v>35</v>
      </c>
      <c r="N3526" s="1" t="s">
        <v>36</v>
      </c>
      <c r="O3526" s="1" t="s">
        <v>628</v>
      </c>
      <c r="P3526" s="1">
        <v>1500000.0</v>
      </c>
      <c r="Q3526" s="1">
        <v>2006.0</v>
      </c>
      <c r="R3526" s="1">
        <v>813.0</v>
      </c>
      <c r="S3526" s="1">
        <v>522.0</v>
      </c>
      <c r="T3526" s="1">
        <v>423.0</v>
      </c>
      <c r="U3526" s="1">
        <v>2179.0</v>
      </c>
      <c r="V3526" s="1">
        <v>522.0</v>
      </c>
      <c r="W3526" s="1">
        <v>0.0</v>
      </c>
      <c r="X3526" s="1">
        <v>0.0</v>
      </c>
      <c r="Y3526" s="1">
        <v>1.85</v>
      </c>
      <c r="Z3526" s="1">
        <v>6.2</v>
      </c>
    </row>
    <row r="3527" ht="14.25" customHeight="1">
      <c r="A3527" s="1" t="s">
        <v>710</v>
      </c>
      <c r="B3527" s="1" t="s">
        <v>16647</v>
      </c>
      <c r="C3527" s="1" t="s">
        <v>16648</v>
      </c>
      <c r="D3527" s="1">
        <v>163245.0</v>
      </c>
      <c r="E3527" s="1" t="s">
        <v>3731</v>
      </c>
      <c r="F3527" s="1" t="s">
        <v>16649</v>
      </c>
      <c r="G3527" s="1" t="s">
        <v>16650</v>
      </c>
      <c r="H3527" s="1" t="s">
        <v>16651</v>
      </c>
      <c r="I3527" s="1">
        <v>143086.0</v>
      </c>
      <c r="J3527" s="1" t="s">
        <v>16652</v>
      </c>
      <c r="K3527" s="1" t="s">
        <v>16653</v>
      </c>
      <c r="L3527" s="1">
        <v>211.0</v>
      </c>
      <c r="M3527" s="1" t="s">
        <v>35</v>
      </c>
      <c r="N3527" s="1" t="s">
        <v>36</v>
      </c>
      <c r="O3527" s="1" t="s">
        <v>269</v>
      </c>
      <c r="P3527" s="1">
        <v>1500000.0</v>
      </c>
      <c r="Q3527" s="1">
        <v>1936.0</v>
      </c>
      <c r="R3527" s="1">
        <v>309.0</v>
      </c>
      <c r="S3527" s="1">
        <v>8.0</v>
      </c>
      <c r="T3527" s="1">
        <v>8.0</v>
      </c>
      <c r="U3527" s="1">
        <v>352.0</v>
      </c>
      <c r="V3527" s="1">
        <v>0.0</v>
      </c>
      <c r="W3527" s="1">
        <v>0.0</v>
      </c>
      <c r="X3527" s="1">
        <v>1.0</v>
      </c>
      <c r="Y3527" s="1">
        <v>1.37</v>
      </c>
      <c r="Z3527" s="1">
        <v>8.6</v>
      </c>
    </row>
    <row r="3528" ht="14.25" customHeight="1">
      <c r="A3528" s="1" t="s">
        <v>26</v>
      </c>
      <c r="B3528" s="1" t="s">
        <v>16654</v>
      </c>
      <c r="C3528" s="1" t="s">
        <v>16655</v>
      </c>
      <c r="D3528" s="1">
        <v>119841.0</v>
      </c>
      <c r="E3528" s="1" t="s">
        <v>3238</v>
      </c>
      <c r="F3528" s="1" t="s">
        <v>758</v>
      </c>
      <c r="G3528" s="1" t="s">
        <v>6056</v>
      </c>
      <c r="H3528" s="1" t="s">
        <v>4736</v>
      </c>
      <c r="I3528" s="1">
        <v>2419.0</v>
      </c>
      <c r="J3528" s="1" t="s">
        <v>16656</v>
      </c>
      <c r="K3528" s="1" t="s">
        <v>16657</v>
      </c>
      <c r="L3528" s="1">
        <v>55.0</v>
      </c>
      <c r="M3528" s="1" t="s">
        <v>35</v>
      </c>
      <c r="N3528" s="1" t="s">
        <v>36</v>
      </c>
      <c r="O3528" s="1" t="s">
        <v>87</v>
      </c>
      <c r="P3528" s="1">
        <v>1500000.0</v>
      </c>
      <c r="Q3528" s="1">
        <v>2002.0</v>
      </c>
      <c r="R3528" s="1">
        <v>954.0</v>
      </c>
      <c r="S3528" s="1">
        <v>767.0</v>
      </c>
      <c r="T3528" s="1">
        <v>597.0</v>
      </c>
      <c r="U3528" s="1">
        <v>3901.0</v>
      </c>
      <c r="V3528" s="1">
        <v>18.0</v>
      </c>
      <c r="W3528" s="1">
        <v>304.0</v>
      </c>
      <c r="X3528" s="1">
        <v>1.0</v>
      </c>
      <c r="Y3528" s="1">
        <v>1.85</v>
      </c>
      <c r="Z3528" s="1">
        <v>6.5</v>
      </c>
    </row>
    <row r="3529" ht="14.25" customHeight="1">
      <c r="A3529" s="1" t="s">
        <v>26</v>
      </c>
      <c r="B3529" s="1" t="s">
        <v>5864</v>
      </c>
      <c r="C3529" s="1" t="s">
        <v>16658</v>
      </c>
      <c r="D3529" s="1">
        <v>173066.0</v>
      </c>
      <c r="E3529" s="1" t="s">
        <v>2657</v>
      </c>
      <c r="F3529" s="1" t="s">
        <v>13168</v>
      </c>
      <c r="G3529" s="1" t="s">
        <v>15746</v>
      </c>
      <c r="H3529" s="1" t="s">
        <v>16659</v>
      </c>
      <c r="I3529" s="1">
        <v>21379.0</v>
      </c>
      <c r="J3529" s="1" t="s">
        <v>16660</v>
      </c>
      <c r="K3529" s="1" t="s">
        <v>16661</v>
      </c>
      <c r="L3529" s="1">
        <v>88.0</v>
      </c>
      <c r="M3529" s="1" t="s">
        <v>35</v>
      </c>
      <c r="N3529" s="1" t="s">
        <v>36</v>
      </c>
      <c r="O3529" s="1" t="s">
        <v>628</v>
      </c>
      <c r="P3529" s="1">
        <v>1500000.0</v>
      </c>
      <c r="Q3529" s="1">
        <v>2007.0</v>
      </c>
      <c r="R3529" s="1">
        <v>634.0</v>
      </c>
      <c r="S3529" s="1">
        <v>328.0</v>
      </c>
      <c r="T3529" s="1">
        <v>158.0</v>
      </c>
      <c r="U3529" s="1">
        <v>1238.0</v>
      </c>
      <c r="V3529" s="1">
        <v>0.0</v>
      </c>
      <c r="W3529" s="1">
        <v>0.0</v>
      </c>
      <c r="X3529" s="1">
        <v>1.0</v>
      </c>
      <c r="Y3529" s="1">
        <v>1.85</v>
      </c>
      <c r="Z3529" s="1">
        <v>6.3</v>
      </c>
    </row>
    <row r="3530" ht="14.25" customHeight="1">
      <c r="A3530" s="1" t="s">
        <v>26</v>
      </c>
      <c r="B3530" s="1" t="s">
        <v>16662</v>
      </c>
      <c r="C3530" s="1" t="s">
        <v>16663</v>
      </c>
      <c r="D3530" s="1">
        <v>3478.0</v>
      </c>
      <c r="E3530" s="1" t="s">
        <v>6959</v>
      </c>
      <c r="F3530" s="1" t="s">
        <v>1018</v>
      </c>
      <c r="G3530" s="1" t="s">
        <v>16664</v>
      </c>
      <c r="H3530" s="1" t="s">
        <v>16665</v>
      </c>
      <c r="I3530" s="1">
        <v>22212.0</v>
      </c>
      <c r="J3530" s="1" t="s">
        <v>16666</v>
      </c>
      <c r="K3530" s="1" t="s">
        <v>16667</v>
      </c>
      <c r="L3530" s="1">
        <v>142.0</v>
      </c>
      <c r="M3530" s="1" t="s">
        <v>35</v>
      </c>
      <c r="N3530" s="1" t="s">
        <v>260</v>
      </c>
      <c r="O3530" s="1" t="s">
        <v>9252</v>
      </c>
      <c r="P3530" s="1">
        <v>1500000.0</v>
      </c>
      <c r="Q3530" s="1">
        <v>2008.0</v>
      </c>
      <c r="R3530" s="1">
        <v>413.0</v>
      </c>
      <c r="S3530" s="1">
        <v>98.0</v>
      </c>
      <c r="T3530" s="1">
        <v>57.0</v>
      </c>
      <c r="U3530" s="1">
        <v>721.0</v>
      </c>
      <c r="V3530" s="1">
        <v>49.0</v>
      </c>
      <c r="W3530" s="1">
        <v>0.0</v>
      </c>
      <c r="X3530" s="1">
        <v>0.0</v>
      </c>
      <c r="Y3530" s="1">
        <v>2.35</v>
      </c>
      <c r="Z3530" s="1">
        <v>6.7</v>
      </c>
    </row>
    <row r="3531" ht="14.25" customHeight="1">
      <c r="A3531" s="1" t="s">
        <v>26</v>
      </c>
      <c r="B3531" s="1" t="s">
        <v>16668</v>
      </c>
      <c r="C3531" s="1" t="s">
        <v>16669</v>
      </c>
      <c r="D3531" s="1">
        <v>52166.0</v>
      </c>
      <c r="E3531" s="1" t="s">
        <v>3238</v>
      </c>
      <c r="F3531" s="1" t="s">
        <v>502</v>
      </c>
      <c r="G3531" s="1" t="s">
        <v>7569</v>
      </c>
      <c r="H3531" s="1" t="s">
        <v>8686</v>
      </c>
      <c r="I3531" s="1">
        <v>2792.0</v>
      </c>
      <c r="J3531" s="1" t="s">
        <v>16670</v>
      </c>
      <c r="K3531" s="1" t="s">
        <v>16671</v>
      </c>
      <c r="L3531" s="1">
        <v>22.0</v>
      </c>
      <c r="M3531" s="1" t="s">
        <v>35</v>
      </c>
      <c r="N3531" s="1" t="s">
        <v>36</v>
      </c>
      <c r="O3531" s="1" t="s">
        <v>628</v>
      </c>
      <c r="P3531" s="1">
        <v>2000000.0</v>
      </c>
      <c r="Q3531" s="1">
        <v>2008.0</v>
      </c>
      <c r="R3531" s="1">
        <v>87000.0</v>
      </c>
      <c r="S3531" s="1">
        <v>781.0</v>
      </c>
      <c r="T3531" s="1">
        <v>711.0</v>
      </c>
      <c r="U3531" s="1">
        <v>89263.0</v>
      </c>
      <c r="V3531" s="1">
        <v>7.0</v>
      </c>
      <c r="W3531" s="1">
        <v>371.0</v>
      </c>
      <c r="X3531" s="1">
        <v>3.0</v>
      </c>
      <c r="Y3531" s="1">
        <v>2.35</v>
      </c>
      <c r="Z3531" s="1">
        <v>6.7</v>
      </c>
    </row>
    <row r="3532" ht="14.25" customHeight="1">
      <c r="A3532" s="1" t="s">
        <v>26</v>
      </c>
      <c r="B3532" s="1" t="s">
        <v>11561</v>
      </c>
      <c r="C3532" s="1" t="s">
        <v>16672</v>
      </c>
      <c r="D3532" s="1">
        <v>1163508.0</v>
      </c>
      <c r="E3532" s="1" t="s">
        <v>858</v>
      </c>
      <c r="F3532" s="1" t="s">
        <v>12609</v>
      </c>
      <c r="G3532" s="1" t="s">
        <v>13115</v>
      </c>
      <c r="H3532" s="1" t="s">
        <v>14800</v>
      </c>
      <c r="I3532" s="1">
        <v>20376.0</v>
      </c>
      <c r="J3532" s="1" t="s">
        <v>16673</v>
      </c>
      <c r="K3532" s="1" t="s">
        <v>16674</v>
      </c>
      <c r="L3532" s="1">
        <v>166.0</v>
      </c>
      <c r="M3532" s="1" t="s">
        <v>35</v>
      </c>
      <c r="N3532" s="1" t="s">
        <v>36</v>
      </c>
      <c r="O3532" s="1" t="s">
        <v>628</v>
      </c>
      <c r="P3532" s="1">
        <v>2500000.0</v>
      </c>
      <c r="Q3532" s="1">
        <v>2012.0</v>
      </c>
      <c r="R3532" s="1">
        <v>1000.0</v>
      </c>
      <c r="S3532" s="1">
        <v>725.0</v>
      </c>
      <c r="T3532" s="1">
        <v>721.0</v>
      </c>
      <c r="U3532" s="1">
        <v>5158.0</v>
      </c>
      <c r="V3532" s="1">
        <v>0.0</v>
      </c>
      <c r="W3532" s="1">
        <v>15000.0</v>
      </c>
      <c r="X3532" s="1">
        <v>1.0</v>
      </c>
      <c r="Y3532" s="1">
        <v>2.35</v>
      </c>
      <c r="Z3532" s="1">
        <v>5.1</v>
      </c>
    </row>
    <row r="3533" ht="14.25" customHeight="1">
      <c r="A3533" s="1" t="s">
        <v>26</v>
      </c>
      <c r="B3533" s="1" t="s">
        <v>849</v>
      </c>
      <c r="C3533" s="1" t="s">
        <v>3852</v>
      </c>
      <c r="D3533" s="1">
        <v>8.0033643E7</v>
      </c>
      <c r="E3533" s="1" t="s">
        <v>1155</v>
      </c>
      <c r="F3533" s="1" t="s">
        <v>508</v>
      </c>
      <c r="G3533" s="1" t="s">
        <v>1606</v>
      </c>
      <c r="H3533" s="1" t="s">
        <v>1958</v>
      </c>
      <c r="I3533" s="1">
        <v>226583.0</v>
      </c>
      <c r="J3533" s="1" t="s">
        <v>3853</v>
      </c>
      <c r="K3533" s="1" t="s">
        <v>3854</v>
      </c>
      <c r="L3533" s="1">
        <v>448.0</v>
      </c>
      <c r="M3533" s="1" t="s">
        <v>35</v>
      </c>
      <c r="N3533" s="1" t="s">
        <v>36</v>
      </c>
      <c r="O3533" s="1" t="s">
        <v>37</v>
      </c>
      <c r="P3533" s="1">
        <v>6.0E7</v>
      </c>
      <c r="Q3533" s="1">
        <v>2012.0</v>
      </c>
      <c r="R3533" s="1">
        <v>10000.0</v>
      </c>
      <c r="S3533" s="1">
        <v>3000.0</v>
      </c>
      <c r="T3533" s="1">
        <v>1000.0</v>
      </c>
      <c r="U3533" s="1">
        <v>16385.0</v>
      </c>
      <c r="V3533" s="1">
        <v>188.0</v>
      </c>
      <c r="W3533" s="1">
        <v>38000.0</v>
      </c>
      <c r="X3533" s="1">
        <v>2.0</v>
      </c>
      <c r="Y3533" s="1">
        <v>2.35</v>
      </c>
      <c r="Z3533" s="1">
        <v>7.0</v>
      </c>
    </row>
    <row r="3534" ht="14.25" customHeight="1">
      <c r="A3534" s="1" t="s">
        <v>26</v>
      </c>
      <c r="B3534" s="1" t="s">
        <v>16675</v>
      </c>
      <c r="C3534" s="1" t="s">
        <v>16676</v>
      </c>
      <c r="D3534" s="1">
        <v>1.84925485E8</v>
      </c>
      <c r="E3534" s="1" t="s">
        <v>5655</v>
      </c>
      <c r="F3534" s="1" t="s">
        <v>16677</v>
      </c>
      <c r="G3534" s="1" t="s">
        <v>16678</v>
      </c>
      <c r="H3534" s="1" t="s">
        <v>16679</v>
      </c>
      <c r="I3534" s="1">
        <v>133348.0</v>
      </c>
      <c r="J3534" s="1" t="s">
        <v>16680</v>
      </c>
      <c r="K3534" s="1" t="s">
        <v>16681</v>
      </c>
      <c r="L3534" s="1">
        <v>204.0</v>
      </c>
      <c r="M3534" s="1" t="s">
        <v>35</v>
      </c>
      <c r="N3534" s="1" t="s">
        <v>36</v>
      </c>
      <c r="O3534" s="1" t="s">
        <v>5661</v>
      </c>
      <c r="P3534" s="1">
        <v>2000000.0</v>
      </c>
      <c r="Q3534" s="1">
        <v>1937.0</v>
      </c>
      <c r="R3534" s="1">
        <v>82.0</v>
      </c>
      <c r="S3534" s="1">
        <v>47.0</v>
      </c>
      <c r="T3534" s="1">
        <v>31.0</v>
      </c>
      <c r="U3534" s="1">
        <v>229.0</v>
      </c>
      <c r="V3534" s="1">
        <v>0.0</v>
      </c>
      <c r="W3534" s="1">
        <v>0.0</v>
      </c>
      <c r="X3534" s="1">
        <v>1.0</v>
      </c>
      <c r="Y3534" s="1">
        <v>1.37</v>
      </c>
      <c r="Z3534" s="1">
        <v>7.7</v>
      </c>
    </row>
    <row r="3535" ht="14.25" customHeight="1">
      <c r="A3535" s="1" t="s">
        <v>26</v>
      </c>
      <c r="B3535" s="1" t="s">
        <v>16682</v>
      </c>
      <c r="C3535" s="1" t="s">
        <v>16683</v>
      </c>
      <c r="D3535" s="1">
        <v>304124.0</v>
      </c>
      <c r="E3535" s="1" t="s">
        <v>3238</v>
      </c>
      <c r="F3535" s="1" t="s">
        <v>15376</v>
      </c>
      <c r="G3535" s="1" t="s">
        <v>16684</v>
      </c>
      <c r="H3535" s="1" t="s">
        <v>16685</v>
      </c>
      <c r="I3535" s="1">
        <v>2720.0</v>
      </c>
      <c r="J3535" s="1" t="s">
        <v>16686</v>
      </c>
      <c r="K3535" s="1" t="s">
        <v>16687</v>
      </c>
      <c r="L3535" s="1">
        <v>37.0</v>
      </c>
      <c r="M3535" s="1" t="s">
        <v>2648</v>
      </c>
      <c r="N3535" s="1" t="s">
        <v>15744</v>
      </c>
      <c r="O3535" s="1" t="s">
        <v>628</v>
      </c>
      <c r="P3535" s="1">
        <v>1400000.0</v>
      </c>
      <c r="Q3535" s="1">
        <v>2004.0</v>
      </c>
      <c r="R3535" s="1">
        <v>341.0</v>
      </c>
      <c r="S3535" s="1">
        <v>5.0</v>
      </c>
      <c r="T3535" s="1">
        <v>3.0</v>
      </c>
      <c r="U3535" s="1">
        <v>358.0</v>
      </c>
      <c r="V3535" s="1">
        <v>33.0</v>
      </c>
      <c r="W3535" s="1">
        <v>57.0</v>
      </c>
      <c r="X3535" s="1">
        <v>0.0</v>
      </c>
      <c r="Y3535" s="1">
        <v>1.85</v>
      </c>
      <c r="Z3535" s="1">
        <v>6.7</v>
      </c>
    </row>
    <row r="3536" ht="14.25" customHeight="1">
      <c r="A3536" s="1" t="s">
        <v>26</v>
      </c>
      <c r="B3536" s="1" t="s">
        <v>16688</v>
      </c>
      <c r="C3536" s="1" t="s">
        <v>16689</v>
      </c>
      <c r="D3536" s="1">
        <v>36830.0</v>
      </c>
      <c r="E3536" s="1" t="s">
        <v>16690</v>
      </c>
      <c r="F3536" s="1" t="s">
        <v>16688</v>
      </c>
      <c r="G3536" s="1" t="s">
        <v>16691</v>
      </c>
      <c r="H3536" s="1" t="s">
        <v>16692</v>
      </c>
      <c r="I3536" s="1">
        <v>3291.0</v>
      </c>
      <c r="J3536" s="1" t="s">
        <v>16693</v>
      </c>
      <c r="K3536" s="1" t="s">
        <v>16694</v>
      </c>
      <c r="L3536" s="1">
        <v>63.0</v>
      </c>
      <c r="M3536" s="1" t="s">
        <v>35</v>
      </c>
      <c r="N3536" s="1" t="s">
        <v>54</v>
      </c>
      <c r="O3536" s="1" t="s">
        <v>37</v>
      </c>
      <c r="P3536" s="1">
        <v>1400000.0</v>
      </c>
      <c r="Q3536" s="1">
        <v>2004.0</v>
      </c>
      <c r="R3536" s="1">
        <v>87.0</v>
      </c>
      <c r="S3536" s="1">
        <v>70.0</v>
      </c>
      <c r="T3536" s="1">
        <v>37.0</v>
      </c>
      <c r="U3536" s="1">
        <v>256.0</v>
      </c>
      <c r="V3536" s="1">
        <v>87.0</v>
      </c>
      <c r="W3536" s="1">
        <v>400.0</v>
      </c>
      <c r="X3536" s="1">
        <v>0.0</v>
      </c>
      <c r="Y3536" s="1">
        <v>1.85</v>
      </c>
      <c r="Z3536" s="1">
        <v>6.6</v>
      </c>
    </row>
    <row r="3537" ht="14.25" customHeight="1">
      <c r="A3537" s="1" t="s">
        <v>26</v>
      </c>
      <c r="B3537" s="1" t="s">
        <v>1238</v>
      </c>
      <c r="C3537" s="1" t="s">
        <v>16695</v>
      </c>
      <c r="D3537" s="1">
        <v>3650677.0</v>
      </c>
      <c r="E3537" s="1" t="s">
        <v>972</v>
      </c>
      <c r="F3537" s="1" t="s">
        <v>327</v>
      </c>
      <c r="G3537" s="1" t="s">
        <v>651</v>
      </c>
      <c r="H3537" s="1" t="s">
        <v>3276</v>
      </c>
      <c r="I3537" s="1">
        <v>414976.0</v>
      </c>
      <c r="J3537" s="1" t="s">
        <v>16696</v>
      </c>
      <c r="K3537" s="1" t="s">
        <v>16697</v>
      </c>
      <c r="L3537" s="1">
        <v>523.0</v>
      </c>
      <c r="M3537" s="1" t="s">
        <v>35</v>
      </c>
      <c r="N3537" s="1" t="s">
        <v>54</v>
      </c>
      <c r="O3537" s="1" t="s">
        <v>628</v>
      </c>
      <c r="P3537" s="1">
        <v>960000.0</v>
      </c>
      <c r="Q3537" s="1">
        <v>1998.0</v>
      </c>
      <c r="R3537" s="1">
        <v>26000.0</v>
      </c>
      <c r="S3537" s="1">
        <v>1000.0</v>
      </c>
      <c r="T3537" s="1">
        <v>452.0</v>
      </c>
      <c r="U3537" s="1">
        <v>28294.0</v>
      </c>
      <c r="V3537" s="1">
        <v>0.0</v>
      </c>
      <c r="W3537" s="1">
        <v>21000.0</v>
      </c>
      <c r="X3537" s="1">
        <v>1.0</v>
      </c>
      <c r="Y3537" s="1">
        <v>1.85</v>
      </c>
      <c r="Z3537" s="1">
        <v>8.2</v>
      </c>
    </row>
    <row r="3538" ht="14.25" customHeight="1">
      <c r="A3538" s="1" t="s">
        <v>26</v>
      </c>
      <c r="B3538" s="1" t="s">
        <v>14130</v>
      </c>
      <c r="C3538" s="1" t="s">
        <v>16698</v>
      </c>
      <c r="D3538" s="1">
        <v>1647780.0</v>
      </c>
      <c r="E3538" s="1" t="s">
        <v>3238</v>
      </c>
      <c r="F3538" s="1" t="s">
        <v>4179</v>
      </c>
      <c r="G3538" s="1" t="s">
        <v>16699</v>
      </c>
      <c r="H3538" s="1" t="s">
        <v>16700</v>
      </c>
      <c r="I3538" s="1">
        <v>65951.0</v>
      </c>
      <c r="J3538" s="1" t="s">
        <v>16701</v>
      </c>
      <c r="K3538" s="1" t="s">
        <v>16702</v>
      </c>
      <c r="L3538" s="1">
        <v>258.0</v>
      </c>
      <c r="M3538" s="1" t="s">
        <v>13834</v>
      </c>
      <c r="N3538" s="1" t="s">
        <v>7233</v>
      </c>
      <c r="O3538" s="1" t="s">
        <v>628</v>
      </c>
      <c r="P3538" s="1">
        <v>1300000.0</v>
      </c>
      <c r="Q3538" s="1">
        <v>1998.0</v>
      </c>
      <c r="R3538" s="1">
        <v>280.0</v>
      </c>
      <c r="S3538" s="1">
        <v>278.0</v>
      </c>
      <c r="T3538" s="1">
        <v>141.0</v>
      </c>
      <c r="U3538" s="1">
        <v>821.0</v>
      </c>
      <c r="V3538" s="1">
        <v>346.0</v>
      </c>
      <c r="W3538" s="1">
        <v>5000.0</v>
      </c>
      <c r="X3538" s="1">
        <v>1.0</v>
      </c>
      <c r="Y3538" s="1">
        <v>1.33</v>
      </c>
      <c r="Z3538" s="1">
        <v>8.1</v>
      </c>
    </row>
    <row r="3539" ht="14.25" customHeight="1">
      <c r="A3539" s="1" t="s">
        <v>26</v>
      </c>
      <c r="B3539" s="1" t="s">
        <v>264</v>
      </c>
      <c r="C3539" s="1" t="s">
        <v>16703</v>
      </c>
      <c r="D3539" s="1">
        <v>695229.0</v>
      </c>
      <c r="E3539" s="1" t="s">
        <v>2422</v>
      </c>
      <c r="F3539" s="1" t="s">
        <v>264</v>
      </c>
      <c r="G3539" s="1" t="s">
        <v>1754</v>
      </c>
      <c r="H3539" s="1" t="s">
        <v>6348</v>
      </c>
      <c r="I3539" s="1">
        <v>11369.0</v>
      </c>
      <c r="J3539" s="1" t="s">
        <v>16704</v>
      </c>
      <c r="K3539" s="1" t="s">
        <v>16705</v>
      </c>
      <c r="L3539" s="1">
        <v>65.0</v>
      </c>
      <c r="M3539" s="1" t="s">
        <v>35</v>
      </c>
      <c r="N3539" s="1" t="s">
        <v>36</v>
      </c>
      <c r="O3539" s="1" t="s">
        <v>628</v>
      </c>
      <c r="P3539" s="1">
        <v>1300000.0</v>
      </c>
      <c r="Q3539" s="1">
        <v>1996.0</v>
      </c>
      <c r="R3539" s="1">
        <v>12000.0</v>
      </c>
      <c r="S3539" s="1">
        <v>680.0</v>
      </c>
      <c r="T3539" s="1">
        <v>636.0</v>
      </c>
      <c r="U3539" s="1">
        <v>14420.0</v>
      </c>
      <c r="V3539" s="1">
        <v>12000.0</v>
      </c>
      <c r="W3539" s="1">
        <v>872.0</v>
      </c>
      <c r="X3539" s="1">
        <v>1.0</v>
      </c>
      <c r="Y3539" s="1">
        <v>1.85</v>
      </c>
      <c r="Z3539" s="1">
        <v>7.2</v>
      </c>
    </row>
    <row r="3540" ht="14.25" customHeight="1">
      <c r="A3540" s="1" t="s">
        <v>26</v>
      </c>
      <c r="B3540" s="1" t="s">
        <v>16706</v>
      </c>
      <c r="C3540" s="1" t="s">
        <v>16707</v>
      </c>
      <c r="D3540" s="1">
        <v>638951.0</v>
      </c>
      <c r="E3540" s="1" t="s">
        <v>3238</v>
      </c>
      <c r="F3540" s="1" t="s">
        <v>16708</v>
      </c>
      <c r="G3540" s="1" t="s">
        <v>16709</v>
      </c>
      <c r="H3540" s="1" t="s">
        <v>16710</v>
      </c>
      <c r="I3540" s="1">
        <v>775.0</v>
      </c>
      <c r="J3540" s="1" t="s">
        <v>16711</v>
      </c>
      <c r="K3540" s="1" t="s">
        <v>16712</v>
      </c>
      <c r="L3540" s="1">
        <v>19.0</v>
      </c>
      <c r="M3540" s="1" t="s">
        <v>16713</v>
      </c>
      <c r="N3540" s="1" t="s">
        <v>36</v>
      </c>
      <c r="O3540" s="1" t="s">
        <v>628</v>
      </c>
      <c r="P3540" s="1">
        <v>1592000.0</v>
      </c>
      <c r="Q3540" s="1">
        <v>2006.0</v>
      </c>
      <c r="R3540" s="1">
        <v>51.0</v>
      </c>
      <c r="S3540" s="1">
        <v>24.0</v>
      </c>
      <c r="T3540" s="1">
        <v>5.0</v>
      </c>
      <c r="U3540" s="1">
        <v>83.0</v>
      </c>
      <c r="V3540" s="1">
        <v>5.0</v>
      </c>
      <c r="W3540" s="1">
        <v>100.0</v>
      </c>
      <c r="X3540" s="1">
        <v>2.0</v>
      </c>
      <c r="Y3540" s="1">
        <v>1.85</v>
      </c>
      <c r="Z3540" s="1">
        <v>7.4</v>
      </c>
    </row>
    <row r="3541" ht="14.25" customHeight="1">
      <c r="A3541" s="1" t="s">
        <v>26</v>
      </c>
      <c r="B3541" s="1" t="s">
        <v>16714</v>
      </c>
      <c r="C3541" s="1" t="s">
        <v>16715</v>
      </c>
      <c r="D3541" s="1">
        <v>609042.0</v>
      </c>
      <c r="E3541" s="1" t="s">
        <v>3238</v>
      </c>
      <c r="F3541" s="1" t="s">
        <v>3732</v>
      </c>
      <c r="G3541" s="1" t="s">
        <v>1290</v>
      </c>
      <c r="H3541" s="1" t="s">
        <v>3036</v>
      </c>
      <c r="I3541" s="1">
        <v>449.0</v>
      </c>
      <c r="J3541" s="1" t="s">
        <v>16716</v>
      </c>
      <c r="K3541" s="1" t="s">
        <v>16717</v>
      </c>
      <c r="L3541" s="1">
        <v>38.0</v>
      </c>
      <c r="M3541" s="1" t="s">
        <v>35</v>
      </c>
      <c r="N3541" s="1" t="s">
        <v>36</v>
      </c>
      <c r="O3541" s="1" t="s">
        <v>87</v>
      </c>
      <c r="P3541" s="1">
        <v>1300000.0</v>
      </c>
      <c r="Q3541" s="1">
        <v>1999.0</v>
      </c>
      <c r="R3541" s="1">
        <v>2000.0</v>
      </c>
      <c r="S3541" s="1">
        <v>783.0</v>
      </c>
      <c r="T3541" s="1">
        <v>548.0</v>
      </c>
      <c r="U3541" s="1">
        <v>3475.0</v>
      </c>
      <c r="V3541" s="1">
        <v>7.0</v>
      </c>
      <c r="W3541" s="1">
        <v>117.0</v>
      </c>
      <c r="X3541" s="1">
        <v>2.0</v>
      </c>
      <c r="Y3541" s="1">
        <v>1.85</v>
      </c>
      <c r="Z3541" s="1">
        <v>6.5</v>
      </c>
    </row>
    <row r="3542" ht="14.25" customHeight="1">
      <c r="A3542" s="1" t="s">
        <v>26</v>
      </c>
      <c r="B3542" s="1" t="s">
        <v>4069</v>
      </c>
      <c r="C3542" s="1" t="s">
        <v>4070</v>
      </c>
      <c r="D3542" s="1">
        <v>3.2940507E7</v>
      </c>
      <c r="E3542" s="1" t="s">
        <v>449</v>
      </c>
      <c r="F3542" s="1" t="s">
        <v>941</v>
      </c>
      <c r="G3542" s="1" t="s">
        <v>3462</v>
      </c>
      <c r="H3542" s="1" t="s">
        <v>4071</v>
      </c>
      <c r="I3542" s="1">
        <v>54316.0</v>
      </c>
      <c r="J3542" s="1" t="s">
        <v>4072</v>
      </c>
      <c r="K3542" s="1" t="s">
        <v>4073</v>
      </c>
      <c r="L3542" s="1">
        <v>127.0</v>
      </c>
      <c r="M3542" s="1" t="s">
        <v>35</v>
      </c>
      <c r="N3542" s="1" t="s">
        <v>36</v>
      </c>
      <c r="O3542" s="1" t="s">
        <v>628</v>
      </c>
      <c r="P3542" s="1">
        <v>6.0E7</v>
      </c>
      <c r="Q3542" s="1">
        <v>1998.0</v>
      </c>
      <c r="R3542" s="1">
        <v>13000.0</v>
      </c>
      <c r="S3542" s="1">
        <v>969.0</v>
      </c>
      <c r="T3542" s="1">
        <v>652.0</v>
      </c>
      <c r="U3542" s="1">
        <v>16537.0</v>
      </c>
      <c r="V3542" s="1">
        <v>17.0</v>
      </c>
      <c r="W3542" s="1">
        <v>0.0</v>
      </c>
      <c r="X3542" s="1">
        <v>1.0</v>
      </c>
      <c r="Y3542" s="1">
        <v>2.35</v>
      </c>
      <c r="Z3542" s="1">
        <v>6.1</v>
      </c>
    </row>
    <row r="3543" ht="14.25" customHeight="1">
      <c r="A3543" s="1" t="s">
        <v>710</v>
      </c>
      <c r="B3543" s="1" t="s">
        <v>16718</v>
      </c>
      <c r="C3543" s="1" t="s">
        <v>16719</v>
      </c>
      <c r="D3543" s="1">
        <v>19539.0</v>
      </c>
      <c r="E3543" s="1" t="s">
        <v>1885</v>
      </c>
      <c r="F3543" s="1" t="s">
        <v>228</v>
      </c>
      <c r="G3543" s="1" t="s">
        <v>2723</v>
      </c>
      <c r="H3543" s="1" t="s">
        <v>4709</v>
      </c>
      <c r="I3543" s="1">
        <v>4182.0</v>
      </c>
      <c r="J3543" s="1" t="s">
        <v>16720</v>
      </c>
      <c r="K3543" s="1" t="s">
        <v>16721</v>
      </c>
      <c r="L3543" s="1">
        <v>53.0</v>
      </c>
      <c r="M3543" s="1" t="s">
        <v>35</v>
      </c>
      <c r="N3543" s="1" t="s">
        <v>36</v>
      </c>
      <c r="O3543" s="1" t="s">
        <v>628</v>
      </c>
      <c r="P3543" s="1">
        <v>1000000.0</v>
      </c>
      <c r="Q3543" s="1">
        <v>2003.0</v>
      </c>
      <c r="R3543" s="1">
        <v>2000.0</v>
      </c>
      <c r="S3543" s="1">
        <v>1000.0</v>
      </c>
      <c r="T3543" s="1">
        <v>624.0</v>
      </c>
      <c r="U3543" s="1">
        <v>6227.0</v>
      </c>
      <c r="V3543" s="1">
        <v>4.0</v>
      </c>
      <c r="W3543" s="1">
        <v>3000.0</v>
      </c>
      <c r="X3543" s="1">
        <v>1.0</v>
      </c>
      <c r="Y3543" s="1">
        <v>1.85</v>
      </c>
      <c r="Z3543" s="1">
        <v>6.2</v>
      </c>
    </row>
    <row r="3544" ht="14.25" customHeight="1">
      <c r="A3544" s="1" t="s">
        <v>26</v>
      </c>
      <c r="B3544" s="1" t="s">
        <v>6634</v>
      </c>
      <c r="C3544" s="1" t="s">
        <v>16722</v>
      </c>
      <c r="D3544" s="1">
        <v>1.91E7</v>
      </c>
      <c r="E3544" s="1" t="s">
        <v>2882</v>
      </c>
      <c r="F3544" s="1" t="s">
        <v>16723</v>
      </c>
      <c r="G3544" s="1" t="s">
        <v>16724</v>
      </c>
      <c r="H3544" s="1" t="s">
        <v>16725</v>
      </c>
      <c r="I3544" s="1">
        <v>39690.0</v>
      </c>
      <c r="J3544" s="1" t="s">
        <v>16726</v>
      </c>
      <c r="K3544" s="1" t="s">
        <v>16727</v>
      </c>
      <c r="L3544" s="1">
        <v>394.0</v>
      </c>
      <c r="M3544" s="1" t="s">
        <v>35</v>
      </c>
      <c r="N3544" s="1" t="s">
        <v>36</v>
      </c>
      <c r="O3544" s="1" t="s">
        <v>628</v>
      </c>
      <c r="P3544" s="1">
        <v>1250000.0</v>
      </c>
      <c r="Q3544" s="1">
        <v>1981.0</v>
      </c>
      <c r="R3544" s="1">
        <v>309.0</v>
      </c>
      <c r="S3544" s="1">
        <v>121.0</v>
      </c>
      <c r="T3544" s="1">
        <v>59.0</v>
      </c>
      <c r="U3544" s="1">
        <v>707.0</v>
      </c>
      <c r="V3544" s="1">
        <v>49.0</v>
      </c>
      <c r="W3544" s="1">
        <v>0.0</v>
      </c>
      <c r="X3544" s="1">
        <v>0.0</v>
      </c>
      <c r="Y3544" s="1">
        <v>1.85</v>
      </c>
      <c r="Z3544" s="1">
        <v>6.1</v>
      </c>
    </row>
    <row r="3545" ht="14.25" customHeight="1">
      <c r="A3545" s="1" t="s">
        <v>26</v>
      </c>
      <c r="B3545" s="1" t="s">
        <v>1456</v>
      </c>
      <c r="C3545" s="1" t="s">
        <v>16728</v>
      </c>
      <c r="D3545" s="1">
        <v>2.47417E7</v>
      </c>
      <c r="E3545" s="1" t="s">
        <v>3238</v>
      </c>
      <c r="F3545" s="1" t="s">
        <v>4554</v>
      </c>
      <c r="G3545" s="1" t="s">
        <v>16729</v>
      </c>
      <c r="H3545" s="1" t="s">
        <v>2655</v>
      </c>
      <c r="I3545" s="1">
        <v>37785.0</v>
      </c>
      <c r="J3545" s="1" t="s">
        <v>16730</v>
      </c>
      <c r="K3545" s="1" t="s">
        <v>16731</v>
      </c>
      <c r="L3545" s="1">
        <v>95.0</v>
      </c>
      <c r="M3545" s="1" t="s">
        <v>35</v>
      </c>
      <c r="N3545" s="1" t="s">
        <v>36</v>
      </c>
      <c r="O3545" s="1" t="s">
        <v>628</v>
      </c>
      <c r="P3545" s="1">
        <v>1200000.0</v>
      </c>
      <c r="Q3545" s="1">
        <v>1989.0</v>
      </c>
      <c r="R3545" s="1">
        <v>828.0</v>
      </c>
      <c r="S3545" s="1">
        <v>531.0</v>
      </c>
      <c r="T3545" s="1">
        <v>65.0</v>
      </c>
      <c r="U3545" s="1">
        <v>1431.0</v>
      </c>
      <c r="V3545" s="1">
        <v>0.0</v>
      </c>
      <c r="W3545" s="1">
        <v>2000.0</v>
      </c>
      <c r="X3545" s="1">
        <v>2.0</v>
      </c>
      <c r="Y3545" s="1">
        <v>1.85</v>
      </c>
      <c r="Z3545" s="1">
        <v>7.2</v>
      </c>
    </row>
    <row r="3546" ht="14.25" customHeight="1">
      <c r="A3546" s="1" t="s">
        <v>26</v>
      </c>
      <c r="B3546" s="1" t="s">
        <v>324</v>
      </c>
      <c r="C3546" s="1" t="s">
        <v>16732</v>
      </c>
      <c r="D3546" s="1">
        <v>5.5153403E7</v>
      </c>
      <c r="E3546" s="1" t="s">
        <v>2882</v>
      </c>
      <c r="F3546" s="1" t="s">
        <v>2643</v>
      </c>
      <c r="G3546" s="1" t="s">
        <v>2519</v>
      </c>
      <c r="H3546" s="1" t="s">
        <v>12967</v>
      </c>
      <c r="I3546" s="1">
        <v>299127.0</v>
      </c>
      <c r="J3546" s="1" t="s">
        <v>16733</v>
      </c>
      <c r="K3546" s="1" t="s">
        <v>16734</v>
      </c>
      <c r="L3546" s="1">
        <v>1509.0</v>
      </c>
      <c r="M3546" s="1" t="s">
        <v>35</v>
      </c>
      <c r="N3546" s="1" t="s">
        <v>36</v>
      </c>
      <c r="O3546" s="1" t="s">
        <v>628</v>
      </c>
      <c r="P3546" s="1">
        <v>1200000.0</v>
      </c>
      <c r="Q3546" s="1">
        <v>2004.0</v>
      </c>
      <c r="R3546" s="1">
        <v>2000.0</v>
      </c>
      <c r="S3546" s="1">
        <v>878.0</v>
      </c>
      <c r="T3546" s="1">
        <v>651.0</v>
      </c>
      <c r="U3546" s="1">
        <v>5161.0</v>
      </c>
      <c r="V3546" s="1">
        <v>0.0</v>
      </c>
      <c r="W3546" s="1">
        <v>0.0</v>
      </c>
      <c r="X3546" s="1">
        <v>0.0</v>
      </c>
      <c r="Y3546" s="1">
        <v>1.85</v>
      </c>
      <c r="Z3546" s="1">
        <v>7.7</v>
      </c>
    </row>
    <row r="3547" ht="14.25" customHeight="1">
      <c r="A3547" s="1" t="s">
        <v>26</v>
      </c>
      <c r="B3547" s="1" t="s">
        <v>4669</v>
      </c>
      <c r="C3547" s="1" t="s">
        <v>16735</v>
      </c>
      <c r="D3547" s="1">
        <v>1.8488314E7</v>
      </c>
      <c r="E3547" s="1" t="s">
        <v>11297</v>
      </c>
      <c r="F3547" s="1" t="s">
        <v>10365</v>
      </c>
      <c r="G3547" s="1" t="s">
        <v>3520</v>
      </c>
      <c r="H3547" s="1" t="s">
        <v>4669</v>
      </c>
      <c r="I3547" s="1">
        <v>76151.0</v>
      </c>
      <c r="J3547" s="1" t="s">
        <v>16736</v>
      </c>
      <c r="K3547" s="1" t="s">
        <v>16737</v>
      </c>
      <c r="L3547" s="1">
        <v>333.0</v>
      </c>
      <c r="M3547" s="1" t="s">
        <v>35</v>
      </c>
      <c r="N3547" s="1" t="s">
        <v>36</v>
      </c>
      <c r="O3547" s="1" t="s">
        <v>628</v>
      </c>
      <c r="P3547" s="1">
        <v>1200000.0</v>
      </c>
      <c r="Q3547" s="1">
        <v>2001.0</v>
      </c>
      <c r="R3547" s="1">
        <v>816.0</v>
      </c>
      <c r="S3547" s="1">
        <v>577.0</v>
      </c>
      <c r="T3547" s="1">
        <v>422.0</v>
      </c>
      <c r="U3547" s="1">
        <v>2893.0</v>
      </c>
      <c r="V3547" s="1">
        <v>422.0</v>
      </c>
      <c r="W3547" s="1">
        <v>0.0</v>
      </c>
      <c r="X3547" s="1">
        <v>0.0</v>
      </c>
      <c r="Y3547" s="1">
        <v>1.85</v>
      </c>
      <c r="Z3547" s="1">
        <v>7.1</v>
      </c>
    </row>
    <row r="3548" ht="14.25" customHeight="1">
      <c r="A3548" s="1" t="s">
        <v>26</v>
      </c>
      <c r="B3548" s="1" t="s">
        <v>2564</v>
      </c>
      <c r="C3548" s="1" t="s">
        <v>2565</v>
      </c>
      <c r="D3548" s="1">
        <v>7.9363785E7</v>
      </c>
      <c r="E3548" s="1" t="s">
        <v>2566</v>
      </c>
      <c r="F3548" s="1" t="s">
        <v>563</v>
      </c>
      <c r="G3548" s="1" t="s">
        <v>574</v>
      </c>
      <c r="H3548" s="1" t="s">
        <v>2567</v>
      </c>
      <c r="I3548" s="1">
        <v>139426.0</v>
      </c>
      <c r="J3548" s="1" t="s">
        <v>2568</v>
      </c>
      <c r="K3548" s="1" t="s">
        <v>2569</v>
      </c>
      <c r="L3548" s="1">
        <v>698.0</v>
      </c>
      <c r="M3548" s="1" t="s">
        <v>35</v>
      </c>
      <c r="N3548" s="1" t="s">
        <v>36</v>
      </c>
      <c r="O3548" s="1" t="s">
        <v>37</v>
      </c>
      <c r="P3548" s="1">
        <v>8.0E7</v>
      </c>
      <c r="Q3548" s="1">
        <v>2008.0</v>
      </c>
      <c r="R3548" s="1">
        <v>18000.0</v>
      </c>
      <c r="S3548" s="1">
        <v>4000.0</v>
      </c>
      <c r="T3548" s="1">
        <v>71.0</v>
      </c>
      <c r="U3548" s="1">
        <v>22194.0</v>
      </c>
      <c r="V3548" s="1">
        <v>301.0</v>
      </c>
      <c r="W3548" s="1">
        <v>0.0</v>
      </c>
      <c r="X3548" s="1">
        <v>0.0</v>
      </c>
      <c r="Y3548" s="1">
        <v>2.35</v>
      </c>
      <c r="Z3548" s="1">
        <v>5.5</v>
      </c>
    </row>
    <row r="3549" ht="14.25" customHeight="1">
      <c r="A3549" s="1" t="s">
        <v>26</v>
      </c>
      <c r="B3549" s="1" t="s">
        <v>9482</v>
      </c>
      <c r="C3549" s="1" t="s">
        <v>16738</v>
      </c>
      <c r="D3549" s="1">
        <v>1.3876974E7</v>
      </c>
      <c r="E3549" s="1" t="s">
        <v>1359</v>
      </c>
      <c r="F3549" s="1" t="s">
        <v>16739</v>
      </c>
      <c r="G3549" s="1" t="s">
        <v>16740</v>
      </c>
      <c r="H3549" s="1" t="s">
        <v>9486</v>
      </c>
      <c r="I3549" s="1">
        <v>19397.0</v>
      </c>
      <c r="J3549" s="1" t="s">
        <v>16741</v>
      </c>
      <c r="K3549" s="1" t="s">
        <v>16742</v>
      </c>
      <c r="L3549" s="1">
        <v>214.0</v>
      </c>
      <c r="M3549" s="1" t="s">
        <v>13092</v>
      </c>
      <c r="N3549" s="1" t="s">
        <v>13093</v>
      </c>
      <c r="O3549" s="1" t="s">
        <v>628</v>
      </c>
      <c r="P3549" s="1">
        <v>7000000.0</v>
      </c>
      <c r="Q3549" s="1">
        <v>2001.0</v>
      </c>
      <c r="R3549" s="1">
        <v>307.0</v>
      </c>
      <c r="S3549" s="1">
        <v>209.0</v>
      </c>
      <c r="T3549" s="1">
        <v>73.0</v>
      </c>
      <c r="U3549" s="1">
        <v>809.0</v>
      </c>
      <c r="V3549" s="1">
        <v>300.0</v>
      </c>
      <c r="W3549" s="1">
        <v>0.0</v>
      </c>
      <c r="X3549" s="1">
        <v>0.0</v>
      </c>
      <c r="Y3549" s="1">
        <v>1.85</v>
      </c>
      <c r="Z3549" s="1">
        <v>7.4</v>
      </c>
    </row>
    <row r="3550" ht="14.25" customHeight="1">
      <c r="A3550" s="1" t="s">
        <v>26</v>
      </c>
      <c r="B3550" s="1" t="s">
        <v>12168</v>
      </c>
      <c r="C3550" s="1" t="s">
        <v>16743</v>
      </c>
      <c r="D3550" s="1">
        <v>9180275.0</v>
      </c>
      <c r="E3550" s="1" t="s">
        <v>3238</v>
      </c>
      <c r="F3550" s="1" t="s">
        <v>865</v>
      </c>
      <c r="G3550" s="1" t="s">
        <v>3122</v>
      </c>
      <c r="H3550" s="1" t="s">
        <v>2178</v>
      </c>
      <c r="I3550" s="1">
        <v>22145.0</v>
      </c>
      <c r="J3550" s="1" t="s">
        <v>16744</v>
      </c>
      <c r="K3550" s="1" t="s">
        <v>16745</v>
      </c>
      <c r="L3550" s="1">
        <v>231.0</v>
      </c>
      <c r="M3550" s="1" t="s">
        <v>35</v>
      </c>
      <c r="N3550" s="1" t="s">
        <v>36</v>
      </c>
      <c r="O3550" s="1" t="s">
        <v>628</v>
      </c>
      <c r="P3550" s="1">
        <v>1200000.0</v>
      </c>
      <c r="Q3550" s="1">
        <v>2000.0</v>
      </c>
      <c r="R3550" s="1">
        <v>2000.0</v>
      </c>
      <c r="S3550" s="1">
        <v>710.0</v>
      </c>
      <c r="T3550" s="1">
        <v>612.0</v>
      </c>
      <c r="U3550" s="1">
        <v>4288.0</v>
      </c>
      <c r="V3550" s="1">
        <v>50.0</v>
      </c>
      <c r="W3550" s="1">
        <v>756.0</v>
      </c>
      <c r="X3550" s="1">
        <v>0.0</v>
      </c>
      <c r="Y3550" s="1">
        <v>1.85</v>
      </c>
      <c r="Z3550" s="1">
        <v>7.7</v>
      </c>
    </row>
    <row r="3551" ht="14.25" customHeight="1">
      <c r="A3551" s="1" t="s">
        <v>26</v>
      </c>
      <c r="B3551" s="1" t="s">
        <v>5671</v>
      </c>
      <c r="C3551" s="1" t="s">
        <v>8471</v>
      </c>
      <c r="D3551" s="1">
        <v>2.2494487E7</v>
      </c>
      <c r="E3551" s="1" t="s">
        <v>2061</v>
      </c>
      <c r="F3551" s="1" t="s">
        <v>941</v>
      </c>
      <c r="G3551" s="1" t="s">
        <v>451</v>
      </c>
      <c r="H3551" s="1" t="s">
        <v>2612</v>
      </c>
      <c r="I3551" s="1">
        <v>262160.0</v>
      </c>
      <c r="J3551" s="1" t="s">
        <v>8472</v>
      </c>
      <c r="K3551" s="1" t="s">
        <v>8473</v>
      </c>
      <c r="L3551" s="1">
        <v>507.0</v>
      </c>
      <c r="M3551" s="1" t="s">
        <v>35</v>
      </c>
      <c r="N3551" s="1" t="s">
        <v>730</v>
      </c>
      <c r="O3551" s="1" t="s">
        <v>628</v>
      </c>
      <c r="P3551" s="1">
        <v>2.7E7</v>
      </c>
      <c r="Q3551" s="1">
        <v>2006.0</v>
      </c>
      <c r="R3551" s="1">
        <v>13000.0</v>
      </c>
      <c r="S3551" s="1">
        <v>11000.0</v>
      </c>
      <c r="T3551" s="1">
        <v>1000.0</v>
      </c>
      <c r="U3551" s="1">
        <v>26451.0</v>
      </c>
      <c r="V3551" s="1">
        <v>118.0</v>
      </c>
      <c r="W3551" s="1">
        <v>10000.0</v>
      </c>
      <c r="X3551" s="1">
        <v>3.0</v>
      </c>
      <c r="Y3551" s="1">
        <v>2.35</v>
      </c>
      <c r="Z3551" s="1">
        <v>7.8</v>
      </c>
    </row>
    <row r="3552" ht="14.25" customHeight="1">
      <c r="A3552" s="1" t="s">
        <v>26</v>
      </c>
      <c r="B3552" s="1" t="s">
        <v>16746</v>
      </c>
      <c r="C3552" s="1" t="s">
        <v>16747</v>
      </c>
      <c r="D3552" s="1">
        <v>2199853.0</v>
      </c>
      <c r="E3552" s="1" t="s">
        <v>2422</v>
      </c>
      <c r="F3552" s="1" t="s">
        <v>3561</v>
      </c>
      <c r="G3552" s="1" t="s">
        <v>5630</v>
      </c>
      <c r="H3552" s="1" t="s">
        <v>8023</v>
      </c>
      <c r="I3552" s="1">
        <v>19986.0</v>
      </c>
      <c r="J3552" s="1" t="s">
        <v>16748</v>
      </c>
      <c r="K3552" s="1" t="s">
        <v>16749</v>
      </c>
      <c r="L3552" s="1">
        <v>186.0</v>
      </c>
      <c r="M3552" s="1" t="s">
        <v>35</v>
      </c>
      <c r="N3552" s="1" t="s">
        <v>36</v>
      </c>
      <c r="O3552" s="1" t="s">
        <v>628</v>
      </c>
      <c r="P3552" s="1">
        <v>1200000.0</v>
      </c>
      <c r="Q3552" s="1">
        <v>1999.0</v>
      </c>
      <c r="R3552" s="1">
        <v>1000.0</v>
      </c>
      <c r="S3552" s="1">
        <v>1000.0</v>
      </c>
      <c r="T3552" s="1">
        <v>849.0</v>
      </c>
      <c r="U3552" s="1">
        <v>4289.0</v>
      </c>
      <c r="V3552" s="1">
        <v>91.0</v>
      </c>
      <c r="W3552" s="1">
        <v>0.0</v>
      </c>
      <c r="X3552" s="1">
        <v>1.0</v>
      </c>
      <c r="Y3552" s="1">
        <v>1.85</v>
      </c>
      <c r="Z3552" s="1">
        <v>6.6</v>
      </c>
    </row>
    <row r="3553" ht="14.25" customHeight="1">
      <c r="A3553" s="1" t="s">
        <v>26</v>
      </c>
      <c r="B3553" s="1" t="s">
        <v>16750</v>
      </c>
      <c r="C3553" s="1" t="s">
        <v>16751</v>
      </c>
      <c r="D3553" s="1">
        <v>2859955.0</v>
      </c>
      <c r="E3553" s="1" t="s">
        <v>3598</v>
      </c>
      <c r="F3553" s="1" t="s">
        <v>609</v>
      </c>
      <c r="G3553" s="1" t="s">
        <v>13647</v>
      </c>
      <c r="H3553" s="1" t="s">
        <v>5892</v>
      </c>
      <c r="I3553" s="1">
        <v>2417.0</v>
      </c>
      <c r="J3553" s="1" t="s">
        <v>16752</v>
      </c>
      <c r="K3553" s="1" t="s">
        <v>16753</v>
      </c>
      <c r="L3553" s="1">
        <v>32.0</v>
      </c>
      <c r="M3553" s="1" t="s">
        <v>35</v>
      </c>
      <c r="N3553" s="1" t="s">
        <v>36</v>
      </c>
      <c r="O3553" s="1" t="s">
        <v>37</v>
      </c>
      <c r="P3553" s="1">
        <v>1200000.0</v>
      </c>
      <c r="Q3553" s="1">
        <v>2013.0</v>
      </c>
      <c r="R3553" s="1">
        <v>890.0</v>
      </c>
      <c r="S3553" s="1">
        <v>848.0</v>
      </c>
      <c r="T3553" s="1">
        <v>449.0</v>
      </c>
      <c r="U3553" s="1">
        <v>2681.0</v>
      </c>
      <c r="V3553" s="1">
        <v>29.0</v>
      </c>
      <c r="W3553" s="1">
        <v>0.0</v>
      </c>
      <c r="X3553" s="1">
        <v>2.0</v>
      </c>
      <c r="Y3553" s="1">
        <v>2.35</v>
      </c>
      <c r="Z3553" s="1">
        <v>6.0</v>
      </c>
    </row>
    <row r="3554" ht="14.25" customHeight="1">
      <c r="A3554" s="1" t="s">
        <v>26</v>
      </c>
      <c r="B3554" s="1" t="s">
        <v>1681</v>
      </c>
      <c r="C3554" s="1" t="s">
        <v>16754</v>
      </c>
      <c r="D3554" s="1">
        <v>2812029.0</v>
      </c>
      <c r="E3554" s="1" t="s">
        <v>2045</v>
      </c>
      <c r="F3554" s="1" t="s">
        <v>1681</v>
      </c>
      <c r="G3554" s="1" t="s">
        <v>264</v>
      </c>
      <c r="H3554" s="1" t="s">
        <v>4282</v>
      </c>
      <c r="I3554" s="1">
        <v>664719.0</v>
      </c>
      <c r="J3554" s="1" t="s">
        <v>16755</v>
      </c>
      <c r="K3554" s="1" t="s">
        <v>16756</v>
      </c>
      <c r="L3554" s="1">
        <v>931.0</v>
      </c>
      <c r="M3554" s="1" t="s">
        <v>35</v>
      </c>
      <c r="N3554" s="1" t="s">
        <v>36</v>
      </c>
      <c r="O3554" s="1" t="s">
        <v>628</v>
      </c>
      <c r="P3554" s="1">
        <v>1200000.0</v>
      </c>
      <c r="Q3554" s="1">
        <v>1992.0</v>
      </c>
      <c r="R3554" s="1">
        <v>16000.0</v>
      </c>
      <c r="S3554" s="1">
        <v>12000.0</v>
      </c>
      <c r="T3554" s="1">
        <v>455.0</v>
      </c>
      <c r="U3554" s="1">
        <v>28994.0</v>
      </c>
      <c r="V3554" s="1">
        <v>16000.0</v>
      </c>
      <c r="W3554" s="1">
        <v>19000.0</v>
      </c>
      <c r="X3554" s="1">
        <v>0.0</v>
      </c>
      <c r="Y3554" s="1">
        <v>2.35</v>
      </c>
      <c r="Z3554" s="1">
        <v>8.4</v>
      </c>
    </row>
    <row r="3555" ht="14.25" customHeight="1">
      <c r="A3555" s="1" t="s">
        <v>26</v>
      </c>
      <c r="B3555" s="1" t="s">
        <v>8101</v>
      </c>
      <c r="C3555" s="1" t="s">
        <v>16757</v>
      </c>
      <c r="D3555" s="1">
        <v>6100000.0</v>
      </c>
      <c r="E3555" s="1" t="s">
        <v>14463</v>
      </c>
      <c r="F3555" s="1" t="s">
        <v>3503</v>
      </c>
      <c r="G3555" s="1" t="s">
        <v>16758</v>
      </c>
      <c r="H3555" s="1" t="s">
        <v>16759</v>
      </c>
      <c r="I3555" s="1">
        <v>503509.0</v>
      </c>
      <c r="J3555" s="1" t="s">
        <v>16760</v>
      </c>
      <c r="K3555" s="1" t="s">
        <v>16761</v>
      </c>
      <c r="L3555" s="1">
        <v>780.0</v>
      </c>
      <c r="M3555" s="1" t="s">
        <v>9061</v>
      </c>
      <c r="N3555" s="1" t="s">
        <v>8105</v>
      </c>
      <c r="O3555" s="1" t="s">
        <v>5661</v>
      </c>
      <c r="P3555" s="1">
        <v>1200000.0</v>
      </c>
      <c r="Q3555" s="1">
        <v>1966.0</v>
      </c>
      <c r="R3555" s="1">
        <v>16000.0</v>
      </c>
      <c r="S3555" s="1">
        <v>34.0</v>
      </c>
      <c r="T3555" s="1">
        <v>24.0</v>
      </c>
      <c r="U3555" s="1">
        <v>16089.0</v>
      </c>
      <c r="V3555" s="1">
        <v>0.0</v>
      </c>
      <c r="W3555" s="1">
        <v>20000.0</v>
      </c>
      <c r="X3555" s="1">
        <v>3.0</v>
      </c>
      <c r="Y3555" s="1">
        <v>2.35</v>
      </c>
      <c r="Z3555" s="1">
        <v>8.9</v>
      </c>
    </row>
    <row r="3556" ht="14.25" customHeight="1">
      <c r="A3556" s="1" t="s">
        <v>26</v>
      </c>
      <c r="B3556" s="1" t="s">
        <v>16762</v>
      </c>
      <c r="C3556" s="1" t="s">
        <v>16763</v>
      </c>
      <c r="D3556" s="1">
        <v>375723.0</v>
      </c>
      <c r="E3556" s="1" t="s">
        <v>2422</v>
      </c>
      <c r="F3556" s="1" t="s">
        <v>16764</v>
      </c>
      <c r="G3556" s="1" t="s">
        <v>16765</v>
      </c>
      <c r="H3556" s="1" t="s">
        <v>16766</v>
      </c>
      <c r="I3556" s="1">
        <v>7025.0</v>
      </c>
      <c r="J3556" s="1" t="s">
        <v>16767</v>
      </c>
      <c r="K3556" s="1" t="s">
        <v>16768</v>
      </c>
      <c r="L3556" s="1">
        <v>26.0</v>
      </c>
      <c r="M3556" s="1" t="s">
        <v>14505</v>
      </c>
      <c r="N3556" s="1" t="s">
        <v>11794</v>
      </c>
      <c r="O3556" s="1" t="s">
        <v>628</v>
      </c>
      <c r="P3556" s="1">
        <v>4000000.0</v>
      </c>
      <c r="Q3556" s="1">
        <v>2015.0</v>
      </c>
      <c r="R3556" s="1">
        <v>61.0</v>
      </c>
      <c r="S3556" s="1">
        <v>9.0</v>
      </c>
      <c r="T3556" s="1">
        <v>4.0</v>
      </c>
      <c r="U3556" s="1">
        <v>76.0</v>
      </c>
      <c r="V3556" s="1">
        <v>9.0</v>
      </c>
      <c r="W3556" s="1">
        <v>0.0</v>
      </c>
      <c r="X3556" s="1">
        <v>1.0</v>
      </c>
      <c r="Y3556" s="1">
        <v>2.35</v>
      </c>
      <c r="Z3556" s="1">
        <v>7.9</v>
      </c>
    </row>
    <row r="3557" ht="14.25" customHeight="1">
      <c r="A3557" s="1" t="s">
        <v>26</v>
      </c>
      <c r="B3557" s="1" t="s">
        <v>16769</v>
      </c>
      <c r="C3557" s="1" t="s">
        <v>16770</v>
      </c>
      <c r="D3557" s="1">
        <v>594904.0</v>
      </c>
      <c r="E3557" s="1" t="s">
        <v>2422</v>
      </c>
      <c r="F3557" s="1" t="s">
        <v>6614</v>
      </c>
      <c r="G3557" s="1" t="s">
        <v>16771</v>
      </c>
      <c r="H3557" s="1" t="s">
        <v>16772</v>
      </c>
      <c r="I3557" s="1">
        <v>2582.0</v>
      </c>
      <c r="J3557" s="1" t="s">
        <v>16773</v>
      </c>
      <c r="K3557" s="1" t="s">
        <v>16774</v>
      </c>
      <c r="L3557" s="1">
        <v>89.0</v>
      </c>
      <c r="M3557" s="1" t="s">
        <v>35</v>
      </c>
      <c r="N3557" s="1" t="s">
        <v>36</v>
      </c>
      <c r="O3557" s="1" t="s">
        <v>37</v>
      </c>
      <c r="P3557" s="1">
        <v>1200000.0</v>
      </c>
      <c r="Q3557" s="1">
        <v>2012.0</v>
      </c>
      <c r="R3557" s="1">
        <v>1000.0</v>
      </c>
      <c r="S3557" s="1">
        <v>330.0</v>
      </c>
      <c r="T3557" s="1">
        <v>274.0</v>
      </c>
      <c r="U3557" s="1">
        <v>1805.0</v>
      </c>
      <c r="V3557" s="1">
        <v>14.0</v>
      </c>
      <c r="W3557" s="1">
        <v>0.0</v>
      </c>
      <c r="X3557" s="1">
        <v>0.0</v>
      </c>
      <c r="Y3557" s="1">
        <v>1.85</v>
      </c>
      <c r="Z3557" s="1">
        <v>6.0</v>
      </c>
    </row>
    <row r="3558" ht="14.25" customHeight="1">
      <c r="A3558" s="1" t="s">
        <v>26</v>
      </c>
      <c r="B3558" s="1" t="s">
        <v>16775</v>
      </c>
      <c r="C3558" s="1" t="s">
        <v>16776</v>
      </c>
      <c r="D3558" s="1">
        <v>58936.0</v>
      </c>
      <c r="E3558" s="1" t="s">
        <v>7157</v>
      </c>
      <c r="F3558" s="1" t="s">
        <v>16777</v>
      </c>
      <c r="G3558" s="1" t="s">
        <v>16778</v>
      </c>
      <c r="H3558" s="1" t="s">
        <v>16779</v>
      </c>
      <c r="I3558" s="1">
        <v>91.0</v>
      </c>
      <c r="J3558" s="1" t="s">
        <v>16780</v>
      </c>
      <c r="K3558" s="1" t="s">
        <v>16781</v>
      </c>
      <c r="L3558" s="1">
        <v>4.0</v>
      </c>
      <c r="M3558" s="1" t="s">
        <v>35</v>
      </c>
      <c r="N3558" s="1" t="s">
        <v>36</v>
      </c>
      <c r="O3558" s="1" t="s">
        <v>628</v>
      </c>
      <c r="P3558" s="1">
        <v>1200000.0</v>
      </c>
      <c r="Q3558" s="1">
        <v>2001.0</v>
      </c>
      <c r="R3558" s="1">
        <v>268.0</v>
      </c>
      <c r="S3558" s="1">
        <v>44.0</v>
      </c>
      <c r="T3558" s="1">
        <v>3.0</v>
      </c>
      <c r="U3558" s="1">
        <v>318.0</v>
      </c>
      <c r="V3558" s="1">
        <v>0.0</v>
      </c>
      <c r="W3558" s="1">
        <v>27.0</v>
      </c>
      <c r="X3558" s="1">
        <v>0.0</v>
      </c>
      <c r="Y3558" s="1">
        <v>1.78</v>
      </c>
      <c r="Z3558" s="1">
        <v>6.1</v>
      </c>
    </row>
    <row r="3559" ht="14.25" customHeight="1">
      <c r="A3559" s="1" t="s">
        <v>26</v>
      </c>
      <c r="B3559" s="1" t="s">
        <v>3420</v>
      </c>
      <c r="C3559" s="1" t="s">
        <v>16782</v>
      </c>
      <c r="D3559" s="1">
        <v>2850263.0</v>
      </c>
      <c r="E3559" s="1" t="s">
        <v>16783</v>
      </c>
      <c r="F3559" s="1" t="s">
        <v>10665</v>
      </c>
      <c r="G3559" s="1" t="s">
        <v>5204</v>
      </c>
      <c r="H3559" s="1" t="s">
        <v>16784</v>
      </c>
      <c r="I3559" s="1">
        <v>5061.0</v>
      </c>
      <c r="J3559" s="1" t="s">
        <v>16785</v>
      </c>
      <c r="K3559" s="1" t="s">
        <v>16786</v>
      </c>
      <c r="L3559" s="1">
        <v>70.0</v>
      </c>
      <c r="M3559" s="1" t="s">
        <v>35</v>
      </c>
      <c r="N3559" s="1" t="s">
        <v>36</v>
      </c>
      <c r="O3559" s="1" t="s">
        <v>87</v>
      </c>
      <c r="P3559" s="1">
        <v>2600000.0</v>
      </c>
      <c r="Q3559" s="1">
        <v>1993.0</v>
      </c>
      <c r="R3559" s="1">
        <v>584.0</v>
      </c>
      <c r="S3559" s="1">
        <v>399.0</v>
      </c>
      <c r="T3559" s="1">
        <v>117.0</v>
      </c>
      <c r="U3559" s="1">
        <v>1218.0</v>
      </c>
      <c r="V3559" s="1">
        <v>38.0</v>
      </c>
      <c r="W3559" s="1">
        <v>0.0</v>
      </c>
      <c r="X3559" s="1">
        <v>0.0</v>
      </c>
      <c r="Y3559" s="1">
        <v>1.85</v>
      </c>
      <c r="Z3559" s="1">
        <v>6.2</v>
      </c>
    </row>
    <row r="3560" ht="14.25" customHeight="1">
      <c r="A3560" s="1" t="s">
        <v>26</v>
      </c>
      <c r="B3560" s="1" t="s">
        <v>16787</v>
      </c>
      <c r="C3560" s="1" t="s">
        <v>16788</v>
      </c>
      <c r="D3560" s="1">
        <v>1.6101109E7</v>
      </c>
      <c r="E3560" s="1" t="s">
        <v>1885</v>
      </c>
      <c r="F3560" s="1" t="s">
        <v>307</v>
      </c>
      <c r="G3560" s="1" t="s">
        <v>6315</v>
      </c>
      <c r="H3560" s="1" t="s">
        <v>13313</v>
      </c>
      <c r="I3560" s="1">
        <v>76467.0</v>
      </c>
      <c r="J3560" s="1" t="s">
        <v>16789</v>
      </c>
      <c r="K3560" s="1" t="s">
        <v>16790</v>
      </c>
      <c r="L3560" s="1">
        <v>236.0</v>
      </c>
      <c r="M3560" s="1" t="s">
        <v>35</v>
      </c>
      <c r="N3560" s="1" t="s">
        <v>36</v>
      </c>
      <c r="O3560" s="1" t="s">
        <v>628</v>
      </c>
      <c r="P3560" s="1">
        <v>3000000.0</v>
      </c>
      <c r="Q3560" s="1">
        <v>2005.0</v>
      </c>
      <c r="R3560" s="1">
        <v>16000.0</v>
      </c>
      <c r="S3560" s="1">
        <v>1000.0</v>
      </c>
      <c r="T3560" s="1">
        <v>804.0</v>
      </c>
      <c r="U3560" s="1">
        <v>19957.0</v>
      </c>
      <c r="V3560" s="1">
        <v>6.0</v>
      </c>
      <c r="W3560" s="1">
        <v>0.0</v>
      </c>
      <c r="X3560" s="1">
        <v>3.0</v>
      </c>
      <c r="Y3560" s="1">
        <v>1.85</v>
      </c>
      <c r="Z3560" s="1">
        <v>6.8</v>
      </c>
    </row>
    <row r="3561" ht="14.25" customHeight="1">
      <c r="A3561" s="1" t="s">
        <v>26</v>
      </c>
      <c r="B3561" s="1" t="s">
        <v>16791</v>
      </c>
      <c r="C3561" s="1" t="s">
        <v>16792</v>
      </c>
      <c r="D3561" s="1">
        <v>1400000.0</v>
      </c>
      <c r="E3561" s="1" t="s">
        <v>16793</v>
      </c>
      <c r="F3561" s="1" t="s">
        <v>16073</v>
      </c>
      <c r="G3561" s="1" t="s">
        <v>15858</v>
      </c>
      <c r="H3561" s="1" t="s">
        <v>16794</v>
      </c>
      <c r="I3561" s="1">
        <v>1324.0</v>
      </c>
      <c r="J3561" s="1" t="s">
        <v>16795</v>
      </c>
      <c r="K3561" s="1" t="s">
        <v>16796</v>
      </c>
      <c r="L3561" s="1">
        <v>37.0</v>
      </c>
      <c r="M3561" s="1" t="s">
        <v>35</v>
      </c>
      <c r="N3561" s="1" t="s">
        <v>36</v>
      </c>
      <c r="O3561" s="1" t="s">
        <v>628</v>
      </c>
      <c r="P3561" s="1">
        <v>1100000.0</v>
      </c>
      <c r="Q3561" s="1">
        <v>1987.0</v>
      </c>
      <c r="R3561" s="1">
        <v>448.0</v>
      </c>
      <c r="S3561" s="1">
        <v>426.0</v>
      </c>
      <c r="T3561" s="1">
        <v>147.0</v>
      </c>
      <c r="U3561" s="1">
        <v>1329.0</v>
      </c>
      <c r="V3561" s="1">
        <v>155.0</v>
      </c>
      <c r="W3561" s="1">
        <v>241.0</v>
      </c>
      <c r="X3561" s="1">
        <v>0.0</v>
      </c>
      <c r="Y3561" s="1">
        <v>1.85</v>
      </c>
      <c r="Z3561" s="1">
        <v>5.9</v>
      </c>
    </row>
    <row r="3562" ht="14.25" customHeight="1">
      <c r="A3562" s="1" t="s">
        <v>26</v>
      </c>
      <c r="B3562" s="1" t="s">
        <v>16797</v>
      </c>
      <c r="C3562" s="1" t="s">
        <v>16798</v>
      </c>
      <c r="D3562" s="1">
        <v>56129.0</v>
      </c>
      <c r="E3562" s="1" t="s">
        <v>2804</v>
      </c>
      <c r="F3562" s="1" t="s">
        <v>8831</v>
      </c>
      <c r="G3562" s="1" t="s">
        <v>16799</v>
      </c>
      <c r="H3562" s="1" t="s">
        <v>16800</v>
      </c>
      <c r="I3562" s="1">
        <v>6555.0</v>
      </c>
      <c r="J3562" s="1" t="s">
        <v>16801</v>
      </c>
      <c r="K3562" s="1" t="s">
        <v>16802</v>
      </c>
      <c r="L3562" s="1">
        <v>82.0</v>
      </c>
      <c r="M3562" s="1" t="s">
        <v>35</v>
      </c>
      <c r="N3562" s="1" t="s">
        <v>260</v>
      </c>
      <c r="O3562" s="1" t="s">
        <v>628</v>
      </c>
      <c r="P3562" s="1">
        <v>1100000.0</v>
      </c>
      <c r="Q3562" s="1">
        <v>2010.0</v>
      </c>
      <c r="R3562" s="1">
        <v>434.0</v>
      </c>
      <c r="S3562" s="1">
        <v>95.0</v>
      </c>
      <c r="T3562" s="1">
        <v>48.0</v>
      </c>
      <c r="U3562" s="1">
        <v>645.0</v>
      </c>
      <c r="V3562" s="1">
        <v>22.0</v>
      </c>
      <c r="W3562" s="1">
        <v>0.0</v>
      </c>
      <c r="X3562" s="1">
        <v>1.0</v>
      </c>
      <c r="Y3562" s="1">
        <v>2.35</v>
      </c>
      <c r="Z3562" s="1">
        <v>6.1</v>
      </c>
    </row>
    <row r="3563" ht="14.25" customHeight="1">
      <c r="A3563" s="1" t="s">
        <v>26</v>
      </c>
      <c r="B3563" s="1" t="s">
        <v>16803</v>
      </c>
      <c r="C3563" s="1" t="s">
        <v>16804</v>
      </c>
      <c r="D3563" s="1">
        <v>4105123.0</v>
      </c>
      <c r="E3563" s="1" t="s">
        <v>326</v>
      </c>
      <c r="F3563" s="1" t="s">
        <v>16805</v>
      </c>
      <c r="G3563" s="1" t="s">
        <v>16806</v>
      </c>
      <c r="H3563" s="1" t="s">
        <v>16807</v>
      </c>
      <c r="I3563" s="1">
        <v>148221.0</v>
      </c>
      <c r="J3563" s="1" t="s">
        <v>16808</v>
      </c>
      <c r="K3563" s="1" t="s">
        <v>16809</v>
      </c>
      <c r="L3563" s="1">
        <v>316.0</v>
      </c>
      <c r="M3563" s="1" t="s">
        <v>16810</v>
      </c>
      <c r="N3563" s="1" t="s">
        <v>16811</v>
      </c>
      <c r="O3563" s="1" t="s">
        <v>628</v>
      </c>
      <c r="P3563" s="1">
        <v>1100000.0</v>
      </c>
      <c r="Q3563" s="1">
        <v>2011.0</v>
      </c>
      <c r="R3563" s="1">
        <v>1000.0</v>
      </c>
      <c r="S3563" s="1">
        <v>342.0</v>
      </c>
      <c r="T3563" s="1">
        <v>60.0</v>
      </c>
      <c r="U3563" s="1">
        <v>1445.0</v>
      </c>
      <c r="V3563" s="1">
        <v>338.0</v>
      </c>
      <c r="W3563" s="1">
        <v>51000.0</v>
      </c>
      <c r="X3563" s="1">
        <v>0.0</v>
      </c>
      <c r="Y3563" s="1">
        <v>1.85</v>
      </c>
      <c r="Z3563" s="1">
        <v>7.6</v>
      </c>
    </row>
    <row r="3564" ht="14.25" customHeight="1">
      <c r="A3564" s="1" t="s">
        <v>26</v>
      </c>
      <c r="B3564" s="1" t="s">
        <v>5847</v>
      </c>
      <c r="C3564" s="1" t="s">
        <v>16812</v>
      </c>
      <c r="D3564" s="1">
        <v>1.17235247E8</v>
      </c>
      <c r="E3564" s="1" t="s">
        <v>3598</v>
      </c>
      <c r="F3564" s="1" t="s">
        <v>1702</v>
      </c>
      <c r="G3564" s="1" t="s">
        <v>16813</v>
      </c>
      <c r="H3564" s="1" t="s">
        <v>10709</v>
      </c>
      <c r="I3564" s="1">
        <v>375240.0</v>
      </c>
      <c r="J3564" s="1" t="s">
        <v>16814</v>
      </c>
      <c r="K3564" s="1" t="s">
        <v>16815</v>
      </c>
      <c r="L3564" s="1">
        <v>542.0</v>
      </c>
      <c r="M3564" s="1" t="s">
        <v>35</v>
      </c>
      <c r="N3564" s="1" t="s">
        <v>36</v>
      </c>
      <c r="O3564" s="1" t="s">
        <v>87</v>
      </c>
      <c r="P3564" s="1">
        <v>960000.0</v>
      </c>
      <c r="Q3564" s="1">
        <v>1976.0</v>
      </c>
      <c r="R3564" s="1">
        <v>13000.0</v>
      </c>
      <c r="S3564" s="1">
        <v>1000.0</v>
      </c>
      <c r="T3564" s="1">
        <v>794.0</v>
      </c>
      <c r="U3564" s="1">
        <v>16094.0</v>
      </c>
      <c r="V3564" s="1">
        <v>80.0</v>
      </c>
      <c r="W3564" s="1">
        <v>0.0</v>
      </c>
      <c r="X3564" s="1">
        <v>0.0</v>
      </c>
      <c r="Y3564" s="1">
        <v>1.33</v>
      </c>
      <c r="Z3564" s="1">
        <v>8.1</v>
      </c>
    </row>
    <row r="3565" ht="14.25" customHeight="1">
      <c r="A3565" s="1" t="s">
        <v>26</v>
      </c>
      <c r="B3565" s="1" t="s">
        <v>5073</v>
      </c>
      <c r="C3565" s="1" t="s">
        <v>10761</v>
      </c>
      <c r="D3565" s="1">
        <v>2.1378E7</v>
      </c>
      <c r="E3565" s="1" t="s">
        <v>6959</v>
      </c>
      <c r="F3565" s="1" t="s">
        <v>1651</v>
      </c>
      <c r="G3565" s="1" t="s">
        <v>3096</v>
      </c>
      <c r="H3565" s="1" t="s">
        <v>10117</v>
      </c>
      <c r="I3565" s="1">
        <v>46493.0</v>
      </c>
      <c r="J3565" s="1" t="s">
        <v>10762</v>
      </c>
      <c r="K3565" s="1" t="s">
        <v>10763</v>
      </c>
      <c r="L3565" s="1">
        <v>335.0</v>
      </c>
      <c r="M3565" s="1" t="s">
        <v>35</v>
      </c>
      <c r="N3565" s="1" t="s">
        <v>36</v>
      </c>
      <c r="O3565" s="1" t="s">
        <v>628</v>
      </c>
      <c r="P3565" s="1">
        <v>1000000.0</v>
      </c>
      <c r="Q3565" s="1">
        <v>1980.0</v>
      </c>
      <c r="R3565" s="1">
        <v>2000.0</v>
      </c>
      <c r="S3565" s="1">
        <v>826.0</v>
      </c>
      <c r="T3565" s="1">
        <v>606.0</v>
      </c>
      <c r="U3565" s="1">
        <v>4878.0</v>
      </c>
      <c r="V3565" s="1">
        <v>0.0</v>
      </c>
      <c r="W3565" s="1">
        <v>7000.0</v>
      </c>
      <c r="X3565" s="1">
        <v>0.0</v>
      </c>
      <c r="Y3565" s="1">
        <v>2.35</v>
      </c>
      <c r="Z3565" s="1">
        <v>6.8</v>
      </c>
    </row>
    <row r="3566" ht="14.25" customHeight="1">
      <c r="A3566" s="1" t="s">
        <v>26</v>
      </c>
      <c r="B3566" s="1" t="s">
        <v>16816</v>
      </c>
      <c r="C3566" s="1" t="s">
        <v>16817</v>
      </c>
      <c r="D3566" s="1">
        <v>3.153732E7</v>
      </c>
      <c r="E3566" s="1" t="s">
        <v>2882</v>
      </c>
      <c r="F3566" s="1" t="s">
        <v>14988</v>
      </c>
      <c r="G3566" s="1" t="s">
        <v>16818</v>
      </c>
      <c r="H3566" s="1" t="s">
        <v>16819</v>
      </c>
      <c r="I3566" s="1">
        <v>44329.0</v>
      </c>
      <c r="J3566" s="1" t="s">
        <v>16820</v>
      </c>
      <c r="K3566" s="1" t="s">
        <v>16821</v>
      </c>
      <c r="L3566" s="1">
        <v>309.0</v>
      </c>
      <c r="M3566" s="1" t="s">
        <v>35</v>
      </c>
      <c r="N3566" s="1" t="s">
        <v>36</v>
      </c>
      <c r="O3566" s="1" t="s">
        <v>628</v>
      </c>
      <c r="P3566" s="1">
        <v>1000000.0</v>
      </c>
      <c r="Q3566" s="1">
        <v>2014.0</v>
      </c>
      <c r="R3566" s="1">
        <v>707.0</v>
      </c>
      <c r="S3566" s="1">
        <v>305.0</v>
      </c>
      <c r="T3566" s="1">
        <v>142.0</v>
      </c>
      <c r="U3566" s="1">
        <v>1565.0</v>
      </c>
      <c r="V3566" s="1">
        <v>6.0</v>
      </c>
      <c r="W3566" s="1">
        <v>13000.0</v>
      </c>
      <c r="X3566" s="1">
        <v>0.0</v>
      </c>
      <c r="Y3566" s="1">
        <v>1.85</v>
      </c>
      <c r="Z3566" s="1">
        <v>5.7</v>
      </c>
    </row>
    <row r="3567" ht="14.25" customHeight="1">
      <c r="A3567" s="1" t="s">
        <v>26</v>
      </c>
      <c r="B3567" s="1" t="s">
        <v>2700</v>
      </c>
      <c r="C3567" s="1" t="s">
        <v>16822</v>
      </c>
      <c r="D3567" s="1">
        <v>1.7986E7</v>
      </c>
      <c r="E3567" s="1" t="s">
        <v>6019</v>
      </c>
      <c r="F3567" s="1" t="s">
        <v>7766</v>
      </c>
      <c r="G3567" s="1" t="s">
        <v>4964</v>
      </c>
      <c r="H3567" s="1" t="s">
        <v>13115</v>
      </c>
      <c r="I3567" s="1">
        <v>22773.0</v>
      </c>
      <c r="J3567" s="1" t="s">
        <v>16823</v>
      </c>
      <c r="K3567" s="1" t="s">
        <v>16824</v>
      </c>
      <c r="L3567" s="1">
        <v>195.0</v>
      </c>
      <c r="M3567" s="1" t="s">
        <v>35</v>
      </c>
      <c r="N3567" s="1" t="s">
        <v>36</v>
      </c>
      <c r="O3567" s="1" t="s">
        <v>628</v>
      </c>
      <c r="P3567" s="1">
        <v>1000000.0</v>
      </c>
      <c r="Q3567" s="1">
        <v>1981.0</v>
      </c>
      <c r="R3567" s="1">
        <v>1000.0</v>
      </c>
      <c r="S3567" s="1">
        <v>823.0</v>
      </c>
      <c r="T3567" s="1">
        <v>725.0</v>
      </c>
      <c r="U3567" s="1">
        <v>4438.0</v>
      </c>
      <c r="V3567" s="1">
        <v>287.0</v>
      </c>
      <c r="W3567" s="1">
        <v>0.0</v>
      </c>
      <c r="X3567" s="1">
        <v>0.0</v>
      </c>
      <c r="Y3567" s="1">
        <v>1.85</v>
      </c>
      <c r="Z3567" s="1">
        <v>6.6</v>
      </c>
    </row>
    <row r="3568" ht="14.25" customHeight="1">
      <c r="A3568" s="1" t="s">
        <v>26</v>
      </c>
      <c r="B3568" s="1" t="s">
        <v>13722</v>
      </c>
      <c r="C3568" s="1" t="s">
        <v>16825</v>
      </c>
      <c r="D3568" s="1">
        <v>1.6067035E7</v>
      </c>
      <c r="E3568" s="1" t="s">
        <v>48</v>
      </c>
      <c r="F3568" s="1" t="s">
        <v>16826</v>
      </c>
      <c r="G3568" s="1" t="s">
        <v>16827</v>
      </c>
      <c r="H3568" s="1" t="s">
        <v>7532</v>
      </c>
      <c r="I3568" s="1">
        <v>116642.0</v>
      </c>
      <c r="J3568" s="1" t="s">
        <v>16828</v>
      </c>
      <c r="K3568" s="1" t="s">
        <v>16829</v>
      </c>
      <c r="L3568" s="1">
        <v>389.0</v>
      </c>
      <c r="M3568" s="1" t="s">
        <v>35</v>
      </c>
      <c r="N3568" s="1" t="s">
        <v>54</v>
      </c>
      <c r="O3568" s="1" t="s">
        <v>5661</v>
      </c>
      <c r="P3568" s="1">
        <v>1100000.0</v>
      </c>
      <c r="Q3568" s="1">
        <v>1962.0</v>
      </c>
      <c r="R3568" s="1">
        <v>650.0</v>
      </c>
      <c r="S3568" s="1">
        <v>275.0</v>
      </c>
      <c r="T3568" s="1">
        <v>177.0</v>
      </c>
      <c r="U3568" s="1">
        <v>1421.0</v>
      </c>
      <c r="V3568" s="1">
        <v>92.0</v>
      </c>
      <c r="W3568" s="1">
        <v>5000.0</v>
      </c>
      <c r="X3568" s="1">
        <v>4.0</v>
      </c>
      <c r="Y3568" s="1">
        <v>1.37</v>
      </c>
      <c r="Z3568" s="1">
        <v>7.3</v>
      </c>
    </row>
    <row r="3569" ht="14.25" customHeight="1">
      <c r="A3569" s="1" t="s">
        <v>26</v>
      </c>
      <c r="B3569" s="1" t="s">
        <v>16830</v>
      </c>
      <c r="C3569" s="1" t="s">
        <v>16831</v>
      </c>
      <c r="D3569" s="1">
        <v>1.8112929E7</v>
      </c>
      <c r="E3569" s="1" t="s">
        <v>4055</v>
      </c>
      <c r="F3569" s="1" t="s">
        <v>2086</v>
      </c>
      <c r="G3569" s="1" t="s">
        <v>1783</v>
      </c>
      <c r="H3569" s="1" t="s">
        <v>1541</v>
      </c>
      <c r="I3569" s="1">
        <v>52642.0</v>
      </c>
      <c r="J3569" s="1" t="s">
        <v>16832</v>
      </c>
      <c r="K3569" s="1" t="s">
        <v>16833</v>
      </c>
      <c r="L3569" s="1">
        <v>271.0</v>
      </c>
      <c r="M3569" s="1" t="s">
        <v>35</v>
      </c>
      <c r="N3569" s="1" t="s">
        <v>36</v>
      </c>
      <c r="O3569" s="1" t="s">
        <v>628</v>
      </c>
      <c r="P3569" s="1">
        <v>1000000.0</v>
      </c>
      <c r="Q3569" s="1">
        <v>2012.0</v>
      </c>
      <c r="R3569" s="1">
        <v>1000.0</v>
      </c>
      <c r="S3569" s="1">
        <v>466.0</v>
      </c>
      <c r="T3569" s="1">
        <v>300.0</v>
      </c>
      <c r="U3569" s="1">
        <v>2665.0</v>
      </c>
      <c r="V3569" s="1">
        <v>18.0</v>
      </c>
      <c r="W3569" s="1">
        <v>24000.0</v>
      </c>
      <c r="X3569" s="1">
        <v>0.0</v>
      </c>
      <c r="Y3569" s="1">
        <v>1.85</v>
      </c>
      <c r="Z3569" s="1">
        <v>5.0</v>
      </c>
    </row>
    <row r="3570" ht="14.25" customHeight="1">
      <c r="A3570" s="1" t="s">
        <v>26</v>
      </c>
      <c r="B3570" s="1" t="s">
        <v>16834</v>
      </c>
      <c r="C3570" s="1" t="s">
        <v>16835</v>
      </c>
      <c r="D3570" s="1">
        <v>1.4564027E7</v>
      </c>
      <c r="E3570" s="1" t="s">
        <v>6959</v>
      </c>
      <c r="F3570" s="1" t="s">
        <v>16836</v>
      </c>
      <c r="G3570" s="1" t="s">
        <v>16837</v>
      </c>
      <c r="H3570" s="1" t="s">
        <v>16838</v>
      </c>
      <c r="I3570" s="1">
        <v>76407.0</v>
      </c>
      <c r="J3570" s="1" t="s">
        <v>16839</v>
      </c>
      <c r="K3570" s="1" t="s">
        <v>16840</v>
      </c>
      <c r="L3570" s="1">
        <v>335.0</v>
      </c>
      <c r="M3570" s="1" t="s">
        <v>35</v>
      </c>
      <c r="N3570" s="1" t="s">
        <v>54</v>
      </c>
      <c r="O3570" s="1" t="s">
        <v>628</v>
      </c>
      <c r="P3570" s="1">
        <v>1000000.0</v>
      </c>
      <c r="Q3570" s="1">
        <v>1987.0</v>
      </c>
      <c r="R3570" s="1">
        <v>266.0</v>
      </c>
      <c r="S3570" s="1">
        <v>209.0</v>
      </c>
      <c r="T3570" s="1">
        <v>100.0</v>
      </c>
      <c r="U3570" s="1">
        <v>673.0</v>
      </c>
      <c r="V3570" s="1">
        <v>385.0</v>
      </c>
      <c r="W3570" s="1">
        <v>0.0</v>
      </c>
      <c r="X3570" s="1">
        <v>0.0</v>
      </c>
      <c r="Y3570" s="1">
        <v>1.85</v>
      </c>
      <c r="Z3570" s="1">
        <v>7.0</v>
      </c>
    </row>
    <row r="3571" ht="14.25" customHeight="1">
      <c r="A3571" s="1" t="s">
        <v>26</v>
      </c>
      <c r="B3571" s="1" t="s">
        <v>16841</v>
      </c>
      <c r="C3571" s="1" t="s">
        <v>16842</v>
      </c>
      <c r="D3571" s="1">
        <v>2.077307E7</v>
      </c>
      <c r="E3571" s="1" t="s">
        <v>3238</v>
      </c>
      <c r="F3571" s="1" t="s">
        <v>16843</v>
      </c>
      <c r="G3571" s="1" t="s">
        <v>16844</v>
      </c>
      <c r="H3571" s="1" t="s">
        <v>16845</v>
      </c>
      <c r="I3571" s="1">
        <v>4501.0</v>
      </c>
      <c r="J3571" s="1" t="s">
        <v>16846</v>
      </c>
      <c r="K3571" s="1" t="s">
        <v>16847</v>
      </c>
      <c r="L3571" s="1">
        <v>102.0</v>
      </c>
      <c r="M3571" s="1" t="s">
        <v>35</v>
      </c>
      <c r="N3571" s="1" t="s">
        <v>36</v>
      </c>
      <c r="O3571" s="1" t="s">
        <v>87</v>
      </c>
      <c r="P3571" s="1">
        <v>5000000.0</v>
      </c>
      <c r="Q3571" s="1">
        <v>2016.0</v>
      </c>
      <c r="R3571" s="1">
        <v>634.0</v>
      </c>
      <c r="S3571" s="1">
        <v>420.0</v>
      </c>
      <c r="T3571" s="1">
        <v>295.0</v>
      </c>
      <c r="U3571" s="1">
        <v>1810.0</v>
      </c>
      <c r="V3571" s="1">
        <v>18.0</v>
      </c>
      <c r="W3571" s="1">
        <v>0.0</v>
      </c>
      <c r="X3571" s="1">
        <v>11.0</v>
      </c>
      <c r="Y3571" s="1">
        <v>2.35</v>
      </c>
      <c r="Z3571" s="1">
        <v>3.4</v>
      </c>
    </row>
    <row r="3572" ht="14.25" customHeight="1">
      <c r="A3572" s="1" t="s">
        <v>26</v>
      </c>
      <c r="B3572" s="1" t="s">
        <v>8393</v>
      </c>
      <c r="C3572" s="1" t="s">
        <v>16848</v>
      </c>
      <c r="D3572" s="1">
        <v>1.0042266E7</v>
      </c>
      <c r="E3572" s="1" t="s">
        <v>5758</v>
      </c>
      <c r="F3572" s="1" t="s">
        <v>12489</v>
      </c>
      <c r="G3572" s="1" t="s">
        <v>3064</v>
      </c>
      <c r="H3572" s="1" t="s">
        <v>13332</v>
      </c>
      <c r="I3572" s="1">
        <v>23021.0</v>
      </c>
      <c r="J3572" s="1" t="s">
        <v>16849</v>
      </c>
      <c r="K3572" s="1" t="s">
        <v>16850</v>
      </c>
      <c r="L3572" s="1">
        <v>220.0</v>
      </c>
      <c r="M3572" s="1" t="s">
        <v>35</v>
      </c>
      <c r="N3572" s="1" t="s">
        <v>36</v>
      </c>
      <c r="O3572" s="1" t="s">
        <v>37</v>
      </c>
      <c r="P3572" s="1">
        <v>1000000.0</v>
      </c>
      <c r="Q3572" s="1">
        <v>2005.0</v>
      </c>
      <c r="R3572" s="1">
        <v>1000.0</v>
      </c>
      <c r="S3572" s="1">
        <v>989.0</v>
      </c>
      <c r="T3572" s="1">
        <v>683.0</v>
      </c>
      <c r="U3572" s="1">
        <v>3155.0</v>
      </c>
      <c r="V3572" s="1">
        <v>65.0</v>
      </c>
      <c r="W3572" s="1">
        <v>816.0</v>
      </c>
      <c r="X3572" s="1">
        <v>0.0</v>
      </c>
      <c r="Y3572" s="1">
        <v>2.35</v>
      </c>
      <c r="Z3572" s="1">
        <v>5.9</v>
      </c>
    </row>
    <row r="3573" ht="14.25" customHeight="1">
      <c r="A3573" s="1" t="s">
        <v>26</v>
      </c>
      <c r="B3573" s="1" t="s">
        <v>16851</v>
      </c>
      <c r="C3573" s="1" t="s">
        <v>16852</v>
      </c>
      <c r="D3573" s="1">
        <v>1.003739E7</v>
      </c>
      <c r="E3573" s="1" t="s">
        <v>5317</v>
      </c>
      <c r="F3573" s="1" t="s">
        <v>16853</v>
      </c>
      <c r="G3573" s="1" t="s">
        <v>16854</v>
      </c>
      <c r="H3573" s="1" t="s">
        <v>16855</v>
      </c>
      <c r="I3573" s="1">
        <v>5442.0</v>
      </c>
      <c r="J3573" s="1" t="s">
        <v>16856</v>
      </c>
      <c r="K3573" s="1" t="s">
        <v>16857</v>
      </c>
      <c r="L3573" s="1">
        <v>140.0</v>
      </c>
      <c r="M3573" s="1" t="s">
        <v>7281</v>
      </c>
      <c r="N3573" s="1" t="s">
        <v>2821</v>
      </c>
      <c r="O3573" s="1" t="s">
        <v>87</v>
      </c>
      <c r="P3573" s="1">
        <v>1.0E9</v>
      </c>
      <c r="Q3573" s="1">
        <v>1999.0</v>
      </c>
      <c r="R3573" s="1">
        <v>43.0</v>
      </c>
      <c r="S3573" s="1">
        <v>3.0</v>
      </c>
      <c r="T3573" s="1">
        <v>3.0</v>
      </c>
      <c r="U3573" s="1">
        <v>53.0</v>
      </c>
      <c r="V3573" s="1">
        <v>2.0</v>
      </c>
      <c r="W3573" s="1">
        <v>339.0</v>
      </c>
      <c r="X3573" s="1">
        <v>0.0</v>
      </c>
      <c r="Y3573" s="1">
        <v>2.35</v>
      </c>
      <c r="Z3573" s="1">
        <v>6.0</v>
      </c>
    </row>
    <row r="3574" ht="14.25" customHeight="1">
      <c r="A3574" s="1" t="s">
        <v>26</v>
      </c>
      <c r="B3574" s="1" t="s">
        <v>11698</v>
      </c>
      <c r="C3574" s="1" t="s">
        <v>16858</v>
      </c>
      <c r="D3574" s="1">
        <v>9701559.0</v>
      </c>
      <c r="E3574" s="1" t="s">
        <v>206</v>
      </c>
      <c r="F3574" s="1" t="s">
        <v>4002</v>
      </c>
      <c r="G3574" s="1" t="s">
        <v>676</v>
      </c>
      <c r="H3574" s="1" t="s">
        <v>6304</v>
      </c>
      <c r="I3574" s="1">
        <v>141425.0</v>
      </c>
      <c r="J3574" s="1" t="s">
        <v>16859</v>
      </c>
      <c r="K3574" s="1" t="s">
        <v>16860</v>
      </c>
      <c r="L3574" s="1">
        <v>283.0</v>
      </c>
      <c r="M3574" s="1" t="s">
        <v>35</v>
      </c>
      <c r="N3574" s="1" t="s">
        <v>36</v>
      </c>
      <c r="O3574" s="1" t="s">
        <v>628</v>
      </c>
      <c r="P3574" s="1">
        <v>3500000.0</v>
      </c>
      <c r="Q3574" s="1">
        <v>2010.0</v>
      </c>
      <c r="R3574" s="1">
        <v>33000.0</v>
      </c>
      <c r="S3574" s="1">
        <v>2000.0</v>
      </c>
      <c r="T3574" s="1">
        <v>616.0</v>
      </c>
      <c r="U3574" s="1">
        <v>35941.0</v>
      </c>
      <c r="V3574" s="1">
        <v>310.0</v>
      </c>
      <c r="W3574" s="1">
        <v>25000.0</v>
      </c>
      <c r="X3574" s="1">
        <v>0.0</v>
      </c>
      <c r="Y3574" s="1">
        <v>1.66</v>
      </c>
      <c r="Z3574" s="1">
        <v>7.4</v>
      </c>
    </row>
    <row r="3575" ht="14.25" customHeight="1">
      <c r="A3575" s="1" t="s">
        <v>26</v>
      </c>
      <c r="B3575" s="1" t="s">
        <v>16861</v>
      </c>
      <c r="C3575" s="1" t="s">
        <v>16862</v>
      </c>
      <c r="D3575" s="1">
        <v>9013113.0</v>
      </c>
      <c r="E3575" s="1" t="s">
        <v>5085</v>
      </c>
      <c r="F3575" s="1" t="s">
        <v>4147</v>
      </c>
      <c r="G3575" s="1" t="s">
        <v>1844</v>
      </c>
      <c r="H3575" s="1" t="s">
        <v>16863</v>
      </c>
      <c r="I3575" s="1">
        <v>36321.0</v>
      </c>
      <c r="J3575" s="1" t="s">
        <v>16864</v>
      </c>
      <c r="K3575" s="1" t="s">
        <v>16865</v>
      </c>
      <c r="L3575" s="1">
        <v>230.0</v>
      </c>
      <c r="M3575" s="1" t="s">
        <v>35</v>
      </c>
      <c r="N3575" s="1" t="s">
        <v>36</v>
      </c>
      <c r="O3575" s="1" t="s">
        <v>628</v>
      </c>
      <c r="P3575" s="1">
        <v>1000000.0</v>
      </c>
      <c r="Q3575" s="1">
        <v>2005.0</v>
      </c>
      <c r="R3575" s="1">
        <v>2000.0</v>
      </c>
      <c r="S3575" s="1">
        <v>508.0</v>
      </c>
      <c r="T3575" s="1">
        <v>226.0</v>
      </c>
      <c r="U3575" s="1">
        <v>3192.0</v>
      </c>
      <c r="V3575" s="1">
        <v>2.0</v>
      </c>
      <c r="W3575" s="1">
        <v>0.0</v>
      </c>
      <c r="X3575" s="1">
        <v>2.0</v>
      </c>
      <c r="Y3575" s="1">
        <v>1.85</v>
      </c>
      <c r="Z3575" s="1">
        <v>7.4</v>
      </c>
    </row>
    <row r="3576" ht="14.25" customHeight="1">
      <c r="A3576" s="1" t="s">
        <v>26</v>
      </c>
      <c r="B3576" s="1" t="s">
        <v>10087</v>
      </c>
      <c r="C3576" s="1" t="s">
        <v>16866</v>
      </c>
      <c r="D3576" s="1">
        <v>5.3245055E7</v>
      </c>
      <c r="E3576" s="1" t="s">
        <v>6019</v>
      </c>
      <c r="F3576" s="1" t="s">
        <v>16867</v>
      </c>
      <c r="G3576" s="1" t="s">
        <v>16868</v>
      </c>
      <c r="H3576" s="1" t="s">
        <v>9417</v>
      </c>
      <c r="I3576" s="1">
        <v>30570.0</v>
      </c>
      <c r="J3576" s="1" t="s">
        <v>16869</v>
      </c>
      <c r="K3576" s="1" t="s">
        <v>16870</v>
      </c>
      <c r="L3576" s="1">
        <v>290.0</v>
      </c>
      <c r="M3576" s="1" t="s">
        <v>35</v>
      </c>
      <c r="N3576" s="1" t="s">
        <v>36</v>
      </c>
      <c r="O3576" s="1" t="s">
        <v>628</v>
      </c>
      <c r="P3576" s="1">
        <v>1000000.0</v>
      </c>
      <c r="Q3576" s="1">
        <v>2012.0</v>
      </c>
      <c r="R3576" s="1">
        <v>403.0</v>
      </c>
      <c r="S3576" s="1">
        <v>169.0</v>
      </c>
      <c r="T3576" s="1">
        <v>128.0</v>
      </c>
      <c r="U3576" s="1">
        <v>988.0</v>
      </c>
      <c r="V3576" s="1">
        <v>19.0</v>
      </c>
      <c r="W3576" s="1">
        <v>12000.0</v>
      </c>
      <c r="X3576" s="1">
        <v>0.0</v>
      </c>
      <c r="Y3576" s="1">
        <v>1.85</v>
      </c>
      <c r="Z3576" s="1">
        <v>4.2</v>
      </c>
    </row>
    <row r="3577" ht="14.25" customHeight="1">
      <c r="A3577" s="1" t="s">
        <v>26</v>
      </c>
      <c r="B3577" s="1" t="s">
        <v>16871</v>
      </c>
      <c r="C3577" s="1" t="s">
        <v>16872</v>
      </c>
      <c r="D3577" s="1">
        <v>9000000.0</v>
      </c>
      <c r="E3577" s="1" t="s">
        <v>8240</v>
      </c>
      <c r="F3577" s="1" t="s">
        <v>2594</v>
      </c>
      <c r="G3577" s="1" t="s">
        <v>16873</v>
      </c>
      <c r="H3577" s="1" t="s">
        <v>16874</v>
      </c>
      <c r="I3577" s="1">
        <v>7584.0</v>
      </c>
      <c r="J3577" s="1" t="s">
        <v>16875</v>
      </c>
      <c r="K3577" s="1" t="s">
        <v>16876</v>
      </c>
      <c r="L3577" s="1">
        <v>137.0</v>
      </c>
      <c r="M3577" s="1" t="s">
        <v>35</v>
      </c>
      <c r="N3577" s="1" t="s">
        <v>36</v>
      </c>
      <c r="O3577" s="1" t="s">
        <v>6886</v>
      </c>
      <c r="P3577" s="1">
        <v>900000.0</v>
      </c>
      <c r="Q3577" s="1">
        <v>1970.0</v>
      </c>
      <c r="R3577" s="1">
        <v>503.0</v>
      </c>
      <c r="S3577" s="1">
        <v>46.0</v>
      </c>
      <c r="T3577" s="1">
        <v>44.0</v>
      </c>
      <c r="U3577" s="1">
        <v>731.0</v>
      </c>
      <c r="V3577" s="1">
        <v>199.0</v>
      </c>
      <c r="W3577" s="1">
        <v>0.0</v>
      </c>
      <c r="X3577" s="1">
        <v>8.0</v>
      </c>
      <c r="Y3577" s="1">
        <v>2.35</v>
      </c>
      <c r="Z3577" s="1">
        <v>6.2</v>
      </c>
    </row>
    <row r="3578" ht="14.25" customHeight="1">
      <c r="A3578" s="1" t="s">
        <v>26</v>
      </c>
      <c r="B3578" s="1" t="s">
        <v>14171</v>
      </c>
      <c r="C3578" s="1" t="s">
        <v>16877</v>
      </c>
      <c r="D3578" s="1">
        <v>7186670.0</v>
      </c>
      <c r="E3578" s="1" t="s">
        <v>15102</v>
      </c>
      <c r="F3578" s="1" t="s">
        <v>66</v>
      </c>
      <c r="G3578" s="1" t="s">
        <v>974</v>
      </c>
      <c r="H3578" s="1" t="s">
        <v>16878</v>
      </c>
      <c r="I3578" s="1">
        <v>21468.0</v>
      </c>
      <c r="J3578" s="1" t="s">
        <v>16879</v>
      </c>
      <c r="K3578" s="1" t="s">
        <v>16880</v>
      </c>
      <c r="L3578" s="1">
        <v>164.0</v>
      </c>
      <c r="M3578" s="1" t="s">
        <v>35</v>
      </c>
      <c r="N3578" s="1" t="s">
        <v>36</v>
      </c>
      <c r="O3578" s="1" t="s">
        <v>628</v>
      </c>
      <c r="P3578" s="1">
        <v>6000000.0</v>
      </c>
      <c r="Q3578" s="1">
        <v>2013.0</v>
      </c>
      <c r="R3578" s="1">
        <v>640.0</v>
      </c>
      <c r="S3578" s="1">
        <v>550.0</v>
      </c>
      <c r="T3578" s="1">
        <v>389.0</v>
      </c>
      <c r="U3578" s="1">
        <v>2082.0</v>
      </c>
      <c r="V3578" s="1">
        <v>0.0</v>
      </c>
      <c r="W3578" s="1">
        <v>12000.0</v>
      </c>
      <c r="X3578" s="1">
        <v>0.0</v>
      </c>
      <c r="Y3578" s="1">
        <v>2.35</v>
      </c>
      <c r="Z3578" s="1">
        <v>5.4</v>
      </c>
    </row>
    <row r="3579" ht="14.25" customHeight="1">
      <c r="A3579" s="1" t="s">
        <v>26</v>
      </c>
      <c r="B3579" s="1" t="s">
        <v>16881</v>
      </c>
      <c r="C3579" s="1" t="s">
        <v>16882</v>
      </c>
      <c r="D3579" s="1">
        <v>5997134.0</v>
      </c>
      <c r="E3579" s="1" t="s">
        <v>4748</v>
      </c>
      <c r="F3579" s="1" t="s">
        <v>10543</v>
      </c>
      <c r="G3579" s="1" t="s">
        <v>6186</v>
      </c>
      <c r="H3579" s="1" t="s">
        <v>16883</v>
      </c>
      <c r="I3579" s="1">
        <v>36381.0</v>
      </c>
      <c r="J3579" s="1" t="s">
        <v>16884</v>
      </c>
      <c r="K3579" s="1" t="s">
        <v>16885</v>
      </c>
      <c r="L3579" s="1">
        <v>126.0</v>
      </c>
      <c r="M3579" s="1" t="s">
        <v>35</v>
      </c>
      <c r="N3579" s="1" t="s">
        <v>36</v>
      </c>
      <c r="O3579" s="1" t="s">
        <v>628</v>
      </c>
      <c r="P3579" s="1">
        <v>1000000.0</v>
      </c>
      <c r="Q3579" s="1">
        <v>2012.0</v>
      </c>
      <c r="R3579" s="1">
        <v>422.0</v>
      </c>
      <c r="S3579" s="1">
        <v>374.0</v>
      </c>
      <c r="T3579" s="1">
        <v>365.0</v>
      </c>
      <c r="U3579" s="1">
        <v>1899.0</v>
      </c>
      <c r="V3579" s="1">
        <v>20.0</v>
      </c>
      <c r="W3579" s="1">
        <v>11000.0</v>
      </c>
      <c r="X3579" s="1">
        <v>3.0</v>
      </c>
      <c r="Y3579" s="1">
        <v>1.85</v>
      </c>
      <c r="Z3579" s="1">
        <v>7.2</v>
      </c>
    </row>
    <row r="3580" ht="14.25" customHeight="1">
      <c r="A3580" s="1" t="s">
        <v>26</v>
      </c>
      <c r="B3580" s="1" t="s">
        <v>11897</v>
      </c>
      <c r="C3580" s="1" t="s">
        <v>16886</v>
      </c>
      <c r="D3580" s="1">
        <v>3386698.0</v>
      </c>
      <c r="E3580" s="1" t="s">
        <v>1359</v>
      </c>
      <c r="F3580" s="1" t="s">
        <v>662</v>
      </c>
      <c r="G3580" s="1" t="s">
        <v>15949</v>
      </c>
      <c r="H3580" s="1" t="s">
        <v>4342</v>
      </c>
      <c r="I3580" s="1">
        <v>4195.0</v>
      </c>
      <c r="J3580" s="1" t="s">
        <v>16887</v>
      </c>
      <c r="K3580" s="1" t="s">
        <v>16888</v>
      </c>
      <c r="L3580" s="1">
        <v>86.0</v>
      </c>
      <c r="M3580" s="1" t="s">
        <v>35</v>
      </c>
      <c r="N3580" s="1" t="s">
        <v>36</v>
      </c>
      <c r="O3580" s="1" t="s">
        <v>628</v>
      </c>
      <c r="P3580" s="1">
        <v>1000000.0</v>
      </c>
      <c r="Q3580" s="1">
        <v>1998.0</v>
      </c>
      <c r="R3580" s="1">
        <v>22000.0</v>
      </c>
      <c r="S3580" s="1">
        <v>472.0</v>
      </c>
      <c r="T3580" s="1">
        <v>458.0</v>
      </c>
      <c r="U3580" s="1">
        <v>23461.0</v>
      </c>
      <c r="V3580" s="1">
        <v>122.0</v>
      </c>
      <c r="W3580" s="1">
        <v>392.0</v>
      </c>
      <c r="X3580" s="1">
        <v>1.0</v>
      </c>
      <c r="Y3580" s="1">
        <v>1.85</v>
      </c>
      <c r="Z3580" s="1">
        <v>6.7</v>
      </c>
    </row>
    <row r="3581" ht="14.25" customHeight="1">
      <c r="A3581" s="1" t="s">
        <v>26</v>
      </c>
      <c r="B3581" s="1" t="s">
        <v>7666</v>
      </c>
      <c r="C3581" s="1" t="s">
        <v>14231</v>
      </c>
      <c r="D3581" s="1">
        <v>1.4349284E8</v>
      </c>
      <c r="E3581" s="1" t="s">
        <v>1359</v>
      </c>
      <c r="F3581" s="1" t="s">
        <v>74</v>
      </c>
      <c r="G3581" s="1" t="s">
        <v>713</v>
      </c>
      <c r="H3581" s="1" t="s">
        <v>465</v>
      </c>
      <c r="I3581" s="1">
        <v>414345.0</v>
      </c>
      <c r="J3581" s="1" t="s">
        <v>14232</v>
      </c>
      <c r="K3581" s="1" t="s">
        <v>14233</v>
      </c>
      <c r="L3581" s="1">
        <v>881.0</v>
      </c>
      <c r="M3581" s="1" t="s">
        <v>35</v>
      </c>
      <c r="N3581" s="1" t="s">
        <v>36</v>
      </c>
      <c r="O3581" s="1" t="s">
        <v>37</v>
      </c>
      <c r="P3581" s="1">
        <v>7500000.0</v>
      </c>
      <c r="Q3581" s="1">
        <v>2007.0</v>
      </c>
      <c r="R3581" s="1">
        <v>24000.0</v>
      </c>
      <c r="S3581" s="1">
        <v>3000.0</v>
      </c>
      <c r="T3581" s="1">
        <v>973.0</v>
      </c>
      <c r="U3581" s="1">
        <v>28817.0</v>
      </c>
      <c r="V3581" s="1">
        <v>655.0</v>
      </c>
      <c r="W3581" s="1">
        <v>10000.0</v>
      </c>
      <c r="X3581" s="1">
        <v>0.0</v>
      </c>
      <c r="Y3581" s="1">
        <v>1.85</v>
      </c>
      <c r="Z3581" s="1">
        <v>7.5</v>
      </c>
    </row>
    <row r="3582" ht="14.25" customHeight="1">
      <c r="A3582" s="1" t="s">
        <v>26</v>
      </c>
      <c r="B3582" s="1" t="s">
        <v>16889</v>
      </c>
      <c r="C3582" s="1" t="s">
        <v>16890</v>
      </c>
      <c r="D3582" s="1">
        <v>2508841.0</v>
      </c>
      <c r="E3582" s="1" t="s">
        <v>1854</v>
      </c>
      <c r="F3582" s="1" t="s">
        <v>6739</v>
      </c>
      <c r="G3582" s="1" t="s">
        <v>16891</v>
      </c>
      <c r="H3582" s="1" t="s">
        <v>16892</v>
      </c>
      <c r="I3582" s="1">
        <v>21746.0</v>
      </c>
      <c r="J3582" s="1" t="s">
        <v>16893</v>
      </c>
      <c r="K3582" s="1" t="s">
        <v>16894</v>
      </c>
      <c r="L3582" s="1">
        <v>93.0</v>
      </c>
      <c r="M3582" s="1" t="s">
        <v>35</v>
      </c>
      <c r="N3582" s="1" t="s">
        <v>36</v>
      </c>
      <c r="O3582" s="1" t="s">
        <v>628</v>
      </c>
      <c r="P3582" s="1">
        <v>1000000.0</v>
      </c>
      <c r="Q3582" s="1">
        <v>2008.0</v>
      </c>
      <c r="R3582" s="1">
        <v>496.0</v>
      </c>
      <c r="S3582" s="1">
        <v>238.0</v>
      </c>
      <c r="T3582" s="1">
        <v>229.0</v>
      </c>
      <c r="U3582" s="1">
        <v>994.0</v>
      </c>
      <c r="V3582" s="1">
        <v>33.0</v>
      </c>
      <c r="W3582" s="1">
        <v>0.0</v>
      </c>
      <c r="X3582" s="1">
        <v>1.0</v>
      </c>
      <c r="Y3582" s="1">
        <v>1.85</v>
      </c>
      <c r="Z3582" s="1">
        <v>7.2</v>
      </c>
    </row>
    <row r="3583" ht="14.25" customHeight="1">
      <c r="A3583" s="1" t="s">
        <v>26</v>
      </c>
      <c r="B3583" s="1" t="s">
        <v>16895</v>
      </c>
      <c r="C3583" s="1" t="s">
        <v>16896</v>
      </c>
      <c r="D3583" s="1">
        <v>4946250.0</v>
      </c>
      <c r="E3583" s="1" t="s">
        <v>3861</v>
      </c>
      <c r="F3583" s="1" t="s">
        <v>16183</v>
      </c>
      <c r="G3583" s="1" t="s">
        <v>16897</v>
      </c>
      <c r="H3583" s="1" t="s">
        <v>16898</v>
      </c>
      <c r="I3583" s="1">
        <v>9540.0</v>
      </c>
      <c r="J3583" s="1" t="s">
        <v>16899</v>
      </c>
      <c r="K3583" s="1" t="s">
        <v>16900</v>
      </c>
      <c r="L3583" s="1">
        <v>80.0</v>
      </c>
      <c r="M3583" s="1" t="s">
        <v>35</v>
      </c>
      <c r="N3583" s="1" t="s">
        <v>36</v>
      </c>
      <c r="O3583" s="1" t="s">
        <v>37</v>
      </c>
      <c r="P3583" s="1">
        <v>1000000.0</v>
      </c>
      <c r="Q3583" s="1">
        <v>2013.0</v>
      </c>
      <c r="R3583" s="1">
        <v>130.0</v>
      </c>
      <c r="S3583" s="1">
        <v>19.0</v>
      </c>
      <c r="T3583" s="1">
        <v>13.0</v>
      </c>
      <c r="U3583" s="1">
        <v>198.0</v>
      </c>
      <c r="V3583" s="1">
        <v>9.0</v>
      </c>
      <c r="W3583" s="1">
        <v>14000.0</v>
      </c>
      <c r="X3583" s="1">
        <v>0.0</v>
      </c>
      <c r="Y3583" s="1">
        <v>1.78</v>
      </c>
      <c r="Z3583" s="1">
        <v>7.4</v>
      </c>
    </row>
    <row r="3584" ht="14.25" customHeight="1">
      <c r="A3584" s="1" t="s">
        <v>26</v>
      </c>
      <c r="B3584" s="1" t="s">
        <v>14917</v>
      </c>
      <c r="C3584" s="1" t="s">
        <v>16901</v>
      </c>
      <c r="D3584" s="1">
        <v>1950218.0</v>
      </c>
      <c r="E3584" s="1" t="s">
        <v>2422</v>
      </c>
      <c r="F3584" s="1" t="s">
        <v>91</v>
      </c>
      <c r="G3584" s="1" t="s">
        <v>16902</v>
      </c>
      <c r="H3584" s="1" t="s">
        <v>16903</v>
      </c>
      <c r="I3584" s="1">
        <v>5933.0</v>
      </c>
      <c r="J3584" s="1" t="s">
        <v>16904</v>
      </c>
      <c r="K3584" s="1" t="s">
        <v>16905</v>
      </c>
      <c r="L3584" s="1">
        <v>102.0</v>
      </c>
      <c r="M3584" s="1" t="s">
        <v>35</v>
      </c>
      <c r="N3584" s="1" t="s">
        <v>36</v>
      </c>
      <c r="O3584" s="1" t="s">
        <v>628</v>
      </c>
      <c r="P3584" s="1">
        <v>1000000.0</v>
      </c>
      <c r="Q3584" s="1">
        <v>1997.0</v>
      </c>
      <c r="R3584" s="1">
        <v>21000.0</v>
      </c>
      <c r="S3584" s="1">
        <v>104.0</v>
      </c>
      <c r="T3584" s="1">
        <v>13.0</v>
      </c>
      <c r="U3584" s="1">
        <v>21124.0</v>
      </c>
      <c r="V3584" s="1">
        <v>56.0</v>
      </c>
      <c r="W3584" s="1">
        <v>387.0</v>
      </c>
      <c r="X3584" s="1">
        <v>3.0</v>
      </c>
      <c r="Y3584" s="1">
        <v>1.85</v>
      </c>
      <c r="Z3584" s="1">
        <v>5.6</v>
      </c>
    </row>
    <row r="3585" ht="14.25" customHeight="1">
      <c r="A3585" s="1" t="s">
        <v>26</v>
      </c>
      <c r="B3585" s="1" t="s">
        <v>14014</v>
      </c>
      <c r="C3585" s="1" t="s">
        <v>16906</v>
      </c>
      <c r="D3585" s="1">
        <v>1277257.0</v>
      </c>
      <c r="E3585" s="1" t="s">
        <v>1359</v>
      </c>
      <c r="F3585" s="1" t="s">
        <v>4141</v>
      </c>
      <c r="G3585" s="1" t="s">
        <v>2177</v>
      </c>
      <c r="H3585" s="1" t="s">
        <v>3377</v>
      </c>
      <c r="I3585" s="1">
        <v>2629.0</v>
      </c>
      <c r="J3585" s="1" t="s">
        <v>16907</v>
      </c>
      <c r="K3585" s="1" t="s">
        <v>16908</v>
      </c>
      <c r="L3585" s="1">
        <v>32.0</v>
      </c>
      <c r="M3585" s="1" t="s">
        <v>35</v>
      </c>
      <c r="N3585" s="1" t="s">
        <v>54</v>
      </c>
      <c r="O3585" s="1" t="s">
        <v>628</v>
      </c>
      <c r="P3585" s="1">
        <v>1000000.0</v>
      </c>
      <c r="Q3585" s="1">
        <v>1996.0</v>
      </c>
      <c r="R3585" s="1">
        <v>778.0</v>
      </c>
      <c r="S3585" s="1">
        <v>695.0</v>
      </c>
      <c r="T3585" s="1">
        <v>584.0</v>
      </c>
      <c r="U3585" s="1">
        <v>2400.0</v>
      </c>
      <c r="V3585" s="1">
        <v>132.0</v>
      </c>
      <c r="W3585" s="1">
        <v>227.0</v>
      </c>
      <c r="X3585" s="1">
        <v>2.0</v>
      </c>
      <c r="Y3585" s="1">
        <v>1.85</v>
      </c>
      <c r="Z3585" s="1">
        <v>6.8</v>
      </c>
    </row>
    <row r="3586" ht="14.25" customHeight="1">
      <c r="A3586" s="1" t="s">
        <v>26</v>
      </c>
      <c r="B3586" s="1" t="s">
        <v>11849</v>
      </c>
      <c r="C3586" s="1" t="s">
        <v>15696</v>
      </c>
      <c r="D3586" s="1">
        <v>4.5857453E7</v>
      </c>
      <c r="E3586" s="1" t="s">
        <v>8240</v>
      </c>
      <c r="F3586" s="1" t="s">
        <v>130</v>
      </c>
      <c r="G3586" s="1" t="s">
        <v>182</v>
      </c>
      <c r="H3586" s="1" t="s">
        <v>15697</v>
      </c>
      <c r="I3586" s="1">
        <v>82232.0</v>
      </c>
      <c r="J3586" s="1" t="s">
        <v>15698</v>
      </c>
      <c r="K3586" s="1" t="s">
        <v>15699</v>
      </c>
      <c r="L3586" s="1">
        <v>174.0</v>
      </c>
      <c r="M3586" s="1" t="s">
        <v>35</v>
      </c>
      <c r="N3586" s="1" t="s">
        <v>54</v>
      </c>
      <c r="O3586" s="1" t="s">
        <v>628</v>
      </c>
      <c r="P3586" s="1">
        <v>3500000.0</v>
      </c>
      <c r="Q3586" s="1">
        <v>1997.0</v>
      </c>
      <c r="R3586" s="1">
        <v>1000.0</v>
      </c>
      <c r="S3586" s="1">
        <v>891.0</v>
      </c>
      <c r="T3586" s="1">
        <v>121.0</v>
      </c>
      <c r="U3586" s="1">
        <v>2323.0</v>
      </c>
      <c r="V3586" s="1">
        <v>11.0</v>
      </c>
      <c r="W3586" s="1">
        <v>0.0</v>
      </c>
      <c r="X3586" s="1">
        <v>3.0</v>
      </c>
      <c r="Y3586" s="1">
        <v>1.85</v>
      </c>
      <c r="Z3586" s="1">
        <v>7.2</v>
      </c>
    </row>
    <row r="3587" ht="14.25" customHeight="1">
      <c r="A3587" s="1" t="s">
        <v>26</v>
      </c>
      <c r="B3587" s="1" t="s">
        <v>16909</v>
      </c>
      <c r="C3587" s="1" t="s">
        <v>16910</v>
      </c>
      <c r="D3587" s="1">
        <v>1677838.0</v>
      </c>
      <c r="E3587" s="1" t="s">
        <v>15542</v>
      </c>
      <c r="F3587" s="1" t="s">
        <v>935</v>
      </c>
      <c r="G3587" s="1" t="s">
        <v>16911</v>
      </c>
      <c r="H3587" s="1" t="s">
        <v>16912</v>
      </c>
      <c r="I3587" s="1">
        <v>11283.0</v>
      </c>
      <c r="J3587" s="1" t="s">
        <v>16913</v>
      </c>
      <c r="K3587" s="1" t="s">
        <v>16914</v>
      </c>
      <c r="L3587" s="1">
        <v>155.0</v>
      </c>
      <c r="M3587" s="1" t="s">
        <v>35</v>
      </c>
      <c r="N3587" s="1" t="s">
        <v>36</v>
      </c>
      <c r="O3587" s="1" t="s">
        <v>87</v>
      </c>
      <c r="P3587" s="1">
        <v>1000000.0</v>
      </c>
      <c r="Q3587" s="1">
        <v>2006.0</v>
      </c>
      <c r="R3587" s="1">
        <v>783.0</v>
      </c>
      <c r="S3587" s="1">
        <v>659.0</v>
      </c>
      <c r="T3587" s="1">
        <v>5.0</v>
      </c>
      <c r="U3587" s="1">
        <v>1447.0</v>
      </c>
      <c r="V3587" s="1">
        <v>2.0</v>
      </c>
      <c r="W3587" s="1">
        <v>0.0</v>
      </c>
      <c r="X3587" s="1">
        <v>0.0</v>
      </c>
      <c r="Y3587" s="1">
        <v>1.75</v>
      </c>
      <c r="Z3587" s="1">
        <v>7.7</v>
      </c>
    </row>
    <row r="3588" ht="14.25" customHeight="1">
      <c r="A3588" s="1" t="s">
        <v>26</v>
      </c>
      <c r="B3588" s="1" t="s">
        <v>16915</v>
      </c>
      <c r="C3588" s="1" t="s">
        <v>16916</v>
      </c>
      <c r="D3588" s="1">
        <v>1744858.0</v>
      </c>
      <c r="E3588" s="1" t="s">
        <v>4241</v>
      </c>
      <c r="F3588" s="1" t="s">
        <v>1321</v>
      </c>
      <c r="G3588" s="1" t="s">
        <v>5999</v>
      </c>
      <c r="H3588" s="1" t="s">
        <v>8354</v>
      </c>
      <c r="I3588" s="1">
        <v>6084.0</v>
      </c>
      <c r="J3588" s="1" t="s">
        <v>16917</v>
      </c>
      <c r="K3588" s="1" t="s">
        <v>16918</v>
      </c>
      <c r="L3588" s="1">
        <v>120.0</v>
      </c>
      <c r="M3588" s="1" t="s">
        <v>35</v>
      </c>
      <c r="N3588" s="1" t="s">
        <v>36</v>
      </c>
      <c r="O3588" s="1" t="s">
        <v>628</v>
      </c>
      <c r="P3588" s="1">
        <v>1000000.0</v>
      </c>
      <c r="Q3588" s="1">
        <v>2000.0</v>
      </c>
      <c r="R3588" s="1">
        <v>1000.0</v>
      </c>
      <c r="S3588" s="1">
        <v>826.0</v>
      </c>
      <c r="T3588" s="1">
        <v>428.0</v>
      </c>
      <c r="U3588" s="1">
        <v>3085.0</v>
      </c>
      <c r="V3588" s="1">
        <v>112.0</v>
      </c>
      <c r="W3588" s="1">
        <v>671.0</v>
      </c>
      <c r="X3588" s="1">
        <v>1.0</v>
      </c>
      <c r="Y3588" s="1">
        <v>2.35</v>
      </c>
      <c r="Z3588" s="1">
        <v>7.0</v>
      </c>
    </row>
    <row r="3589" ht="14.25" customHeight="1">
      <c r="A3589" s="1" t="s">
        <v>26</v>
      </c>
      <c r="B3589" s="1" t="s">
        <v>461</v>
      </c>
      <c r="C3589" s="1" t="s">
        <v>4217</v>
      </c>
      <c r="D3589" s="1">
        <v>8.002174E7</v>
      </c>
      <c r="E3589" s="1" t="s">
        <v>4218</v>
      </c>
      <c r="F3589" s="1" t="s">
        <v>4219</v>
      </c>
      <c r="G3589" s="1" t="s">
        <v>4220</v>
      </c>
      <c r="H3589" s="1" t="s">
        <v>4221</v>
      </c>
      <c r="I3589" s="1">
        <v>47988.0</v>
      </c>
      <c r="J3589" s="1" t="s">
        <v>4222</v>
      </c>
      <c r="K3589" s="1" t="s">
        <v>4223</v>
      </c>
      <c r="L3589" s="1">
        <v>154.0</v>
      </c>
      <c r="M3589" s="1" t="s">
        <v>35</v>
      </c>
      <c r="N3589" s="1" t="s">
        <v>36</v>
      </c>
      <c r="O3589" s="1" t="s">
        <v>87</v>
      </c>
      <c r="P3589" s="1">
        <v>5.8E7</v>
      </c>
      <c r="Q3589" s="1">
        <v>2015.0</v>
      </c>
      <c r="R3589" s="1">
        <v>2000.0</v>
      </c>
      <c r="S3589" s="1">
        <v>1000.0</v>
      </c>
      <c r="T3589" s="1">
        <v>543.0</v>
      </c>
      <c r="U3589" s="1">
        <v>5497.0</v>
      </c>
      <c r="V3589" s="1">
        <v>11.0</v>
      </c>
      <c r="W3589" s="1">
        <v>35000.0</v>
      </c>
      <c r="X3589" s="1">
        <v>4.0</v>
      </c>
      <c r="Y3589" s="1">
        <v>2.35</v>
      </c>
      <c r="Z3589" s="1">
        <v>6.4</v>
      </c>
    </row>
    <row r="3590" ht="14.25" customHeight="1">
      <c r="A3590" s="1" t="s">
        <v>26</v>
      </c>
      <c r="B3590" s="1" t="s">
        <v>16919</v>
      </c>
      <c r="C3590" s="1" t="s">
        <v>16920</v>
      </c>
      <c r="D3590" s="1">
        <v>982214.0</v>
      </c>
      <c r="E3590" s="1" t="s">
        <v>3238</v>
      </c>
      <c r="F3590" s="1" t="s">
        <v>7472</v>
      </c>
      <c r="G3590" s="1" t="s">
        <v>16921</v>
      </c>
      <c r="H3590" s="1" t="s">
        <v>16922</v>
      </c>
      <c r="I3590" s="1">
        <v>1976.0</v>
      </c>
      <c r="J3590" s="1" t="s">
        <v>16923</v>
      </c>
      <c r="K3590" s="1" t="s">
        <v>16924</v>
      </c>
      <c r="L3590" s="1">
        <v>51.0</v>
      </c>
      <c r="M3590" s="1" t="s">
        <v>35</v>
      </c>
      <c r="N3590" s="1" t="s">
        <v>36</v>
      </c>
      <c r="O3590" s="1" t="s">
        <v>628</v>
      </c>
      <c r="P3590" s="1">
        <v>1000000.0</v>
      </c>
      <c r="Q3590" s="1">
        <v>1998.0</v>
      </c>
      <c r="R3590" s="1">
        <v>245.0</v>
      </c>
      <c r="S3590" s="1">
        <v>38.0</v>
      </c>
      <c r="T3590" s="1">
        <v>6.0</v>
      </c>
      <c r="U3590" s="1">
        <v>295.0</v>
      </c>
      <c r="V3590" s="1">
        <v>12.0</v>
      </c>
      <c r="W3590" s="1">
        <v>603.0</v>
      </c>
      <c r="X3590" s="1">
        <v>0.0</v>
      </c>
      <c r="Y3590" s="1">
        <v>1.85</v>
      </c>
      <c r="Z3590" s="1">
        <v>7.2</v>
      </c>
    </row>
    <row r="3591" ht="14.25" customHeight="1">
      <c r="A3591" s="1" t="s">
        <v>26</v>
      </c>
      <c r="B3591" s="1" t="s">
        <v>16925</v>
      </c>
      <c r="C3591" s="1" t="s">
        <v>16926</v>
      </c>
      <c r="D3591" s="1">
        <v>798341.0</v>
      </c>
      <c r="E3591" s="1" t="s">
        <v>10510</v>
      </c>
      <c r="F3591" s="1" t="s">
        <v>5696</v>
      </c>
      <c r="G3591" s="1" t="s">
        <v>16927</v>
      </c>
      <c r="H3591" s="1" t="s">
        <v>16928</v>
      </c>
      <c r="I3591" s="1">
        <v>983.0</v>
      </c>
      <c r="J3591" s="1" t="s">
        <v>16929</v>
      </c>
      <c r="K3591" s="1" t="s">
        <v>16930</v>
      </c>
      <c r="L3591" s="1">
        <v>63.0</v>
      </c>
      <c r="M3591" s="1" t="s">
        <v>35</v>
      </c>
      <c r="N3591" s="1" t="s">
        <v>36</v>
      </c>
      <c r="O3591" s="1" t="s">
        <v>37</v>
      </c>
      <c r="P3591" s="1">
        <v>1000000.0</v>
      </c>
      <c r="Q3591" s="1">
        <v>2001.0</v>
      </c>
      <c r="R3591" s="1">
        <v>957.0</v>
      </c>
      <c r="S3591" s="1">
        <v>81.0</v>
      </c>
      <c r="T3591" s="1">
        <v>25.0</v>
      </c>
      <c r="U3591" s="1">
        <v>1107.0</v>
      </c>
      <c r="V3591" s="1">
        <v>13.0</v>
      </c>
      <c r="W3591" s="1">
        <v>100.0</v>
      </c>
      <c r="X3591" s="1">
        <v>0.0</v>
      </c>
      <c r="Y3591" s="1">
        <v>1.85</v>
      </c>
      <c r="Z3591" s="1">
        <v>7.2</v>
      </c>
    </row>
    <row r="3592" ht="14.25" customHeight="1">
      <c r="A3592" s="1" t="s">
        <v>26</v>
      </c>
      <c r="B3592" s="1" t="s">
        <v>9702</v>
      </c>
      <c r="C3592" s="1" t="s">
        <v>16931</v>
      </c>
      <c r="D3592" s="1">
        <v>582024.0</v>
      </c>
      <c r="E3592" s="1" t="s">
        <v>5181</v>
      </c>
      <c r="F3592" s="1" t="s">
        <v>9702</v>
      </c>
      <c r="G3592" s="1" t="s">
        <v>16932</v>
      </c>
      <c r="H3592" s="1" t="s">
        <v>16933</v>
      </c>
      <c r="I3592" s="1">
        <v>30396.0</v>
      </c>
      <c r="J3592" s="1" t="s">
        <v>16934</v>
      </c>
      <c r="K3592" s="1" t="s">
        <v>16935</v>
      </c>
      <c r="L3592" s="1">
        <v>168.0</v>
      </c>
      <c r="M3592" s="1" t="s">
        <v>35</v>
      </c>
      <c r="N3592" s="1" t="s">
        <v>36</v>
      </c>
      <c r="O3592" s="1" t="s">
        <v>6326</v>
      </c>
      <c r="P3592" s="1">
        <v>1000000.0</v>
      </c>
      <c r="Q3592" s="1">
        <v>1997.0</v>
      </c>
      <c r="R3592" s="1">
        <v>406.0</v>
      </c>
      <c r="S3592" s="1">
        <v>203.0</v>
      </c>
      <c r="T3592" s="1">
        <v>194.0</v>
      </c>
      <c r="U3592" s="1">
        <v>904.0</v>
      </c>
      <c r="V3592" s="1">
        <v>406.0</v>
      </c>
      <c r="W3592" s="1">
        <v>0.0</v>
      </c>
      <c r="X3592" s="1">
        <v>0.0</v>
      </c>
      <c r="Y3592" s="1">
        <v>1.85</v>
      </c>
      <c r="Z3592" s="1">
        <v>6.2</v>
      </c>
    </row>
    <row r="3593" ht="14.25" customHeight="1">
      <c r="A3593" s="1" t="s">
        <v>26</v>
      </c>
      <c r="B3593" s="1" t="s">
        <v>5119</v>
      </c>
      <c r="C3593" s="1" t="s">
        <v>16936</v>
      </c>
      <c r="D3593" s="1">
        <v>548712.0</v>
      </c>
      <c r="E3593" s="1" t="s">
        <v>206</v>
      </c>
      <c r="F3593" s="1" t="s">
        <v>1868</v>
      </c>
      <c r="G3593" s="1" t="s">
        <v>10685</v>
      </c>
      <c r="H3593" s="1" t="s">
        <v>5494</v>
      </c>
      <c r="I3593" s="1">
        <v>9233.0</v>
      </c>
      <c r="J3593" s="1" t="s">
        <v>16937</v>
      </c>
      <c r="K3593" s="1" t="s">
        <v>16938</v>
      </c>
      <c r="L3593" s="1">
        <v>126.0</v>
      </c>
      <c r="M3593" s="1" t="s">
        <v>35</v>
      </c>
      <c r="N3593" s="1" t="s">
        <v>36</v>
      </c>
      <c r="O3593" s="1" t="s">
        <v>628</v>
      </c>
      <c r="P3593" s="1">
        <v>2500000.0</v>
      </c>
      <c r="Q3593" s="1">
        <v>2003.0</v>
      </c>
      <c r="R3593" s="1">
        <v>11000.0</v>
      </c>
      <c r="S3593" s="1">
        <v>552.0</v>
      </c>
      <c r="T3593" s="1">
        <v>463.0</v>
      </c>
      <c r="U3593" s="1">
        <v>12385.0</v>
      </c>
      <c r="V3593" s="1">
        <v>234.0</v>
      </c>
      <c r="W3593" s="1">
        <v>571.0</v>
      </c>
      <c r="X3593" s="1">
        <v>0.0</v>
      </c>
      <c r="Y3593" s="1">
        <v>2.35</v>
      </c>
      <c r="Z3593" s="1">
        <v>6.9</v>
      </c>
    </row>
    <row r="3594" ht="14.25" customHeight="1">
      <c r="A3594" s="1" t="s">
        <v>26</v>
      </c>
      <c r="B3594" s="1" t="s">
        <v>16939</v>
      </c>
      <c r="C3594" s="1" t="s">
        <v>16940</v>
      </c>
      <c r="D3594" s="1">
        <v>464655.0</v>
      </c>
      <c r="E3594" s="1" t="s">
        <v>2422</v>
      </c>
      <c r="F3594" s="1" t="s">
        <v>9332</v>
      </c>
      <c r="G3594" s="1" t="s">
        <v>4062</v>
      </c>
      <c r="H3594" s="1" t="s">
        <v>12689</v>
      </c>
      <c r="I3594" s="1">
        <v>1524.0</v>
      </c>
      <c r="J3594" s="1" t="s">
        <v>16941</v>
      </c>
      <c r="K3594" s="1" t="s">
        <v>16942</v>
      </c>
      <c r="L3594" s="1">
        <v>29.0</v>
      </c>
      <c r="M3594" s="1" t="s">
        <v>35</v>
      </c>
      <c r="N3594" s="1" t="s">
        <v>36</v>
      </c>
      <c r="O3594" s="1" t="s">
        <v>628</v>
      </c>
      <c r="P3594" s="1">
        <v>1000000.0</v>
      </c>
      <c r="Q3594" s="1">
        <v>1997.0</v>
      </c>
      <c r="R3594" s="1">
        <v>611.0</v>
      </c>
      <c r="S3594" s="1">
        <v>394.0</v>
      </c>
      <c r="T3594" s="1">
        <v>301.0</v>
      </c>
      <c r="U3594" s="1">
        <v>1692.0</v>
      </c>
      <c r="V3594" s="1">
        <v>4.0</v>
      </c>
      <c r="W3594" s="1">
        <v>166.0</v>
      </c>
      <c r="X3594" s="1">
        <v>0.0</v>
      </c>
      <c r="Y3594" s="1">
        <v>1.85</v>
      </c>
      <c r="Z3594" s="1">
        <v>7.0</v>
      </c>
    </row>
    <row r="3595" ht="14.25" customHeight="1">
      <c r="A3595" s="1" t="s">
        <v>26</v>
      </c>
      <c r="B3595" s="1" t="s">
        <v>16943</v>
      </c>
      <c r="C3595" s="1" t="s">
        <v>16944</v>
      </c>
      <c r="D3595" s="1">
        <v>464126.0</v>
      </c>
      <c r="E3595" s="1" t="s">
        <v>3238</v>
      </c>
      <c r="F3595" s="1" t="s">
        <v>3058</v>
      </c>
      <c r="G3595" s="1" t="s">
        <v>5036</v>
      </c>
      <c r="H3595" s="1" t="s">
        <v>11866</v>
      </c>
      <c r="I3595" s="1">
        <v>3142.0</v>
      </c>
      <c r="J3595" s="1" t="s">
        <v>16945</v>
      </c>
      <c r="K3595" s="1" t="s">
        <v>16946</v>
      </c>
      <c r="L3595" s="1">
        <v>68.0</v>
      </c>
      <c r="M3595" s="1" t="s">
        <v>35</v>
      </c>
      <c r="N3595" s="1" t="s">
        <v>36</v>
      </c>
      <c r="O3595" s="1" t="s">
        <v>628</v>
      </c>
      <c r="P3595" s="1">
        <v>1000000.0</v>
      </c>
      <c r="Q3595" s="1">
        <v>2002.0</v>
      </c>
      <c r="R3595" s="1">
        <v>638.0</v>
      </c>
      <c r="S3595" s="1">
        <v>400.0</v>
      </c>
      <c r="T3595" s="1">
        <v>275.0</v>
      </c>
      <c r="U3595" s="1">
        <v>1641.0</v>
      </c>
      <c r="V3595" s="1">
        <v>22.0</v>
      </c>
      <c r="W3595" s="1">
        <v>115.0</v>
      </c>
      <c r="X3595" s="1">
        <v>0.0</v>
      </c>
      <c r="Y3595" s="1">
        <v>1.85</v>
      </c>
      <c r="Z3595" s="1">
        <v>6.7</v>
      </c>
    </row>
    <row r="3596" ht="14.25" customHeight="1">
      <c r="A3596" s="1" t="s">
        <v>26</v>
      </c>
      <c r="B3596" s="1" t="s">
        <v>16947</v>
      </c>
      <c r="C3596" s="1" t="s">
        <v>16948</v>
      </c>
      <c r="D3596" s="1">
        <v>104077.0</v>
      </c>
      <c r="E3596" s="1" t="s">
        <v>2391</v>
      </c>
      <c r="F3596" s="1" t="s">
        <v>2600</v>
      </c>
      <c r="G3596" s="1" t="s">
        <v>3745</v>
      </c>
      <c r="H3596" s="1" t="s">
        <v>13374</v>
      </c>
      <c r="I3596" s="1">
        <v>46076.0</v>
      </c>
      <c r="J3596" s="1" t="s">
        <v>16949</v>
      </c>
      <c r="K3596" s="1" t="s">
        <v>16950</v>
      </c>
      <c r="L3596" s="1">
        <v>88.0</v>
      </c>
      <c r="M3596" s="1" t="s">
        <v>35</v>
      </c>
      <c r="N3596" s="1" t="s">
        <v>36</v>
      </c>
      <c r="O3596" s="1" t="s">
        <v>628</v>
      </c>
      <c r="P3596" s="1">
        <v>1000000.0</v>
      </c>
      <c r="Q3596" s="1">
        <v>2006.0</v>
      </c>
      <c r="R3596" s="1">
        <v>1000.0</v>
      </c>
      <c r="S3596" s="1">
        <v>835.0</v>
      </c>
      <c r="T3596" s="1">
        <v>772.0</v>
      </c>
      <c r="U3596" s="1">
        <v>4720.0</v>
      </c>
      <c r="V3596" s="1">
        <v>21.0</v>
      </c>
      <c r="W3596" s="1">
        <v>11000.0</v>
      </c>
      <c r="X3596" s="1">
        <v>2.0</v>
      </c>
      <c r="Y3596" s="1">
        <v>1.78</v>
      </c>
      <c r="Z3596" s="1">
        <v>7.4</v>
      </c>
    </row>
    <row r="3597" ht="14.25" customHeight="1">
      <c r="A3597" s="1" t="s">
        <v>26</v>
      </c>
      <c r="B3597" s="1" t="s">
        <v>16951</v>
      </c>
      <c r="C3597" s="1" t="s">
        <v>16952</v>
      </c>
      <c r="D3597" s="1">
        <v>279282.0</v>
      </c>
      <c r="E3597" s="1" t="s">
        <v>1359</v>
      </c>
      <c r="F3597" s="1" t="s">
        <v>13258</v>
      </c>
      <c r="G3597" s="1" t="s">
        <v>7913</v>
      </c>
      <c r="H3597" s="1" t="s">
        <v>3463</v>
      </c>
      <c r="I3597" s="1">
        <v>3806.0</v>
      </c>
      <c r="J3597" s="1" t="s">
        <v>16953</v>
      </c>
      <c r="K3597" s="1" t="s">
        <v>16954</v>
      </c>
      <c r="L3597" s="1">
        <v>49.0</v>
      </c>
      <c r="M3597" s="1" t="s">
        <v>35</v>
      </c>
      <c r="N3597" s="1" t="s">
        <v>36</v>
      </c>
      <c r="O3597" s="1" t="s">
        <v>37</v>
      </c>
      <c r="P3597" s="1">
        <v>1000000.0</v>
      </c>
      <c r="Q3597" s="1">
        <v>2003.0</v>
      </c>
      <c r="R3597" s="1">
        <v>855.0</v>
      </c>
      <c r="S3597" s="1">
        <v>577.0</v>
      </c>
      <c r="T3597" s="1">
        <v>551.0</v>
      </c>
      <c r="U3597" s="1">
        <v>2489.0</v>
      </c>
      <c r="V3597" s="1">
        <v>2.0</v>
      </c>
      <c r="W3597" s="1">
        <v>150.0</v>
      </c>
      <c r="X3597" s="1">
        <v>2.0</v>
      </c>
      <c r="Y3597" s="1">
        <v>1.85</v>
      </c>
      <c r="Z3597" s="1">
        <v>6.1</v>
      </c>
    </row>
    <row r="3598" ht="14.25" customHeight="1">
      <c r="A3598" s="1" t="s">
        <v>26</v>
      </c>
      <c r="B3598" s="1" t="s">
        <v>163</v>
      </c>
      <c r="C3598" s="1" t="s">
        <v>1919</v>
      </c>
      <c r="D3598" s="1">
        <v>4.3982842E7</v>
      </c>
      <c r="E3598" s="1" t="s">
        <v>1920</v>
      </c>
      <c r="F3598" s="1" t="s">
        <v>1921</v>
      </c>
      <c r="G3598" s="1" t="s">
        <v>1922</v>
      </c>
      <c r="H3598" s="1" t="s">
        <v>417</v>
      </c>
      <c r="I3598" s="1">
        <v>125114.0</v>
      </c>
      <c r="J3598" s="1" t="s">
        <v>1923</v>
      </c>
      <c r="K3598" s="1" t="s">
        <v>1924</v>
      </c>
      <c r="L3598" s="1">
        <v>593.0</v>
      </c>
      <c r="M3598" s="1" t="s">
        <v>35</v>
      </c>
      <c r="N3598" s="1" t="s">
        <v>36</v>
      </c>
      <c r="O3598" s="1" t="s">
        <v>37</v>
      </c>
      <c r="P3598" s="1">
        <v>6.5E7</v>
      </c>
      <c r="Q3598" s="1">
        <v>2009.0</v>
      </c>
      <c r="R3598" s="1">
        <v>873.0</v>
      </c>
      <c r="S3598" s="1">
        <v>559.0</v>
      </c>
      <c r="T3598" s="1">
        <v>310.0</v>
      </c>
      <c r="U3598" s="1">
        <v>2369.0</v>
      </c>
      <c r="V3598" s="1">
        <v>0.0</v>
      </c>
      <c r="W3598" s="1">
        <v>16000.0</v>
      </c>
      <c r="X3598" s="1">
        <v>1.0</v>
      </c>
      <c r="Y3598" s="1">
        <v>2.35</v>
      </c>
      <c r="Z3598" s="1">
        <v>6.7</v>
      </c>
    </row>
    <row r="3599" ht="14.25" customHeight="1">
      <c r="A3599" s="1" t="s">
        <v>26</v>
      </c>
      <c r="B3599" s="1" t="s">
        <v>16955</v>
      </c>
      <c r="C3599" s="1" t="s">
        <v>16956</v>
      </c>
      <c r="D3599" s="1">
        <v>484221.0</v>
      </c>
      <c r="E3599" s="1" t="s">
        <v>16957</v>
      </c>
      <c r="F3599" s="1" t="s">
        <v>16958</v>
      </c>
      <c r="G3599" s="1" t="s">
        <v>16959</v>
      </c>
      <c r="H3599" s="1" t="s">
        <v>16960</v>
      </c>
      <c r="I3599" s="1">
        <v>23836.0</v>
      </c>
      <c r="J3599" s="1" t="s">
        <v>16961</v>
      </c>
      <c r="K3599" s="1" t="s">
        <v>16962</v>
      </c>
      <c r="L3599" s="1">
        <v>107.0</v>
      </c>
      <c r="M3599" s="1" t="s">
        <v>16810</v>
      </c>
      <c r="N3599" s="1" t="s">
        <v>54</v>
      </c>
      <c r="O3599" s="1" t="s">
        <v>9252</v>
      </c>
      <c r="P3599" s="1">
        <v>1000000.0</v>
      </c>
      <c r="Q3599" s="1">
        <v>2012.0</v>
      </c>
      <c r="R3599" s="1">
        <v>3.0</v>
      </c>
      <c r="S3599" s="1">
        <v>3.0</v>
      </c>
      <c r="T3599" s="1">
        <v>0.0</v>
      </c>
      <c r="U3599" s="1">
        <v>6.0</v>
      </c>
      <c r="V3599" s="1">
        <v>50.0</v>
      </c>
      <c r="W3599" s="1">
        <v>20000.0</v>
      </c>
      <c r="X3599" s="1">
        <v>1.0</v>
      </c>
      <c r="Y3599" s="1">
        <v>1.85</v>
      </c>
      <c r="Z3599" s="1">
        <v>8.2</v>
      </c>
    </row>
    <row r="3600" ht="14.25" customHeight="1">
      <c r="A3600" s="1" t="s">
        <v>26</v>
      </c>
      <c r="B3600" s="1" t="s">
        <v>16963</v>
      </c>
      <c r="C3600" s="1" t="s">
        <v>16964</v>
      </c>
      <c r="D3600" s="1">
        <v>274661.0</v>
      </c>
      <c r="E3600" s="1" t="s">
        <v>16965</v>
      </c>
      <c r="F3600" s="1" t="s">
        <v>16963</v>
      </c>
      <c r="G3600" s="1" t="s">
        <v>16184</v>
      </c>
      <c r="H3600" s="1" t="s">
        <v>16966</v>
      </c>
      <c r="I3600" s="1">
        <v>10564.0</v>
      </c>
      <c r="J3600" s="1" t="s">
        <v>16967</v>
      </c>
      <c r="K3600" s="1" t="s">
        <v>16968</v>
      </c>
      <c r="L3600" s="1">
        <v>40.0</v>
      </c>
      <c r="M3600" s="1" t="s">
        <v>35</v>
      </c>
      <c r="N3600" s="1" t="s">
        <v>36</v>
      </c>
      <c r="O3600" s="1" t="s">
        <v>628</v>
      </c>
      <c r="P3600" s="1">
        <v>1000000.0</v>
      </c>
      <c r="Q3600" s="1">
        <v>2007.0</v>
      </c>
      <c r="R3600" s="1">
        <v>141.0</v>
      </c>
      <c r="S3600" s="1">
        <v>125.0</v>
      </c>
      <c r="T3600" s="1">
        <v>23.0</v>
      </c>
      <c r="U3600" s="1">
        <v>313.0</v>
      </c>
      <c r="V3600" s="1">
        <v>141.0</v>
      </c>
      <c r="W3600" s="1">
        <v>0.0</v>
      </c>
      <c r="X3600" s="1">
        <v>0.0</v>
      </c>
      <c r="Y3600" s="1">
        <v>1.85</v>
      </c>
      <c r="Z3600" s="1">
        <v>7.7</v>
      </c>
    </row>
    <row r="3601" ht="14.25" customHeight="1">
      <c r="A3601" s="1" t="s">
        <v>26</v>
      </c>
      <c r="B3601" s="1" t="s">
        <v>16969</v>
      </c>
      <c r="C3601" s="1" t="s">
        <v>16970</v>
      </c>
      <c r="D3601" s="1">
        <v>144431.0</v>
      </c>
      <c r="E3601" s="1" t="s">
        <v>16971</v>
      </c>
      <c r="F3601" s="1" t="s">
        <v>16972</v>
      </c>
      <c r="G3601" s="1" t="s">
        <v>16973</v>
      </c>
      <c r="H3601" s="1" t="s">
        <v>16974</v>
      </c>
      <c r="I3601" s="1">
        <v>1290.0</v>
      </c>
      <c r="J3601" s="1" t="s">
        <v>16975</v>
      </c>
      <c r="K3601" s="1" t="s">
        <v>16976</v>
      </c>
      <c r="L3601" s="1">
        <v>13.0</v>
      </c>
      <c r="M3601" s="1" t="s">
        <v>35</v>
      </c>
      <c r="N3601" s="1" t="s">
        <v>54</v>
      </c>
      <c r="O3601" s="1" t="s">
        <v>37</v>
      </c>
      <c r="P3601" s="1">
        <v>1000000.0</v>
      </c>
      <c r="Q3601" s="1">
        <v>2006.0</v>
      </c>
      <c r="R3601" s="1">
        <v>102.0</v>
      </c>
      <c r="S3601" s="1">
        <v>7.0</v>
      </c>
      <c r="T3601" s="1">
        <v>5.0</v>
      </c>
      <c r="U3601" s="1">
        <v>118.0</v>
      </c>
      <c r="V3601" s="1">
        <v>10.0</v>
      </c>
      <c r="W3601" s="1">
        <v>587.0</v>
      </c>
      <c r="X3601" s="1">
        <v>0.0</v>
      </c>
      <c r="Y3601" s="1">
        <v>1.85</v>
      </c>
      <c r="Z3601" s="1">
        <v>7.3</v>
      </c>
    </row>
    <row r="3602" ht="14.25" customHeight="1">
      <c r="A3602" s="1" t="s">
        <v>26</v>
      </c>
      <c r="B3602" s="1" t="s">
        <v>16977</v>
      </c>
      <c r="C3602" s="1" t="s">
        <v>16978</v>
      </c>
      <c r="D3602" s="1">
        <v>287761.0</v>
      </c>
      <c r="E3602" s="1" t="s">
        <v>16979</v>
      </c>
      <c r="F3602" s="1" t="s">
        <v>16980</v>
      </c>
      <c r="G3602" s="1" t="s">
        <v>16981</v>
      </c>
      <c r="H3602" s="1" t="s">
        <v>16977</v>
      </c>
      <c r="I3602" s="1">
        <v>2482.0</v>
      </c>
      <c r="J3602" s="1" t="s">
        <v>16982</v>
      </c>
      <c r="K3602" s="1" t="s">
        <v>16983</v>
      </c>
      <c r="L3602" s="1">
        <v>16.0</v>
      </c>
      <c r="M3602" s="1" t="s">
        <v>35</v>
      </c>
      <c r="N3602" s="1" t="s">
        <v>171</v>
      </c>
      <c r="O3602" s="1" t="s">
        <v>87</v>
      </c>
      <c r="P3602" s="1">
        <v>1000000.0</v>
      </c>
      <c r="Q3602" s="1">
        <v>2013.0</v>
      </c>
      <c r="R3602" s="1">
        <v>53.0</v>
      </c>
      <c r="S3602" s="1">
        <v>24.0</v>
      </c>
      <c r="T3602" s="1">
        <v>9.0</v>
      </c>
      <c r="U3602" s="1">
        <v>86.0</v>
      </c>
      <c r="V3602" s="1">
        <v>9.0</v>
      </c>
      <c r="W3602" s="1">
        <v>0.0</v>
      </c>
      <c r="X3602" s="1">
        <v>1.0</v>
      </c>
      <c r="Y3602" s="1">
        <v>1.85</v>
      </c>
      <c r="Z3602" s="1">
        <v>7.6</v>
      </c>
    </row>
    <row r="3603" ht="14.25" customHeight="1">
      <c r="A3603" s="1" t="s">
        <v>26</v>
      </c>
      <c r="B3603" s="1" t="s">
        <v>16984</v>
      </c>
      <c r="C3603" s="1" t="s">
        <v>16985</v>
      </c>
      <c r="D3603" s="1">
        <v>96734.0</v>
      </c>
      <c r="E3603" s="1" t="s">
        <v>740</v>
      </c>
      <c r="F3603" s="1" t="s">
        <v>16986</v>
      </c>
      <c r="G3603" s="1" t="s">
        <v>15131</v>
      </c>
      <c r="H3603" s="1" t="s">
        <v>16987</v>
      </c>
      <c r="I3603" s="1">
        <v>606.0</v>
      </c>
      <c r="J3603" s="1" t="s">
        <v>16988</v>
      </c>
      <c r="K3603" s="1" t="s">
        <v>16989</v>
      </c>
      <c r="L3603" s="1">
        <v>5.0</v>
      </c>
      <c r="M3603" s="1" t="s">
        <v>35</v>
      </c>
      <c r="N3603" s="1" t="s">
        <v>36</v>
      </c>
      <c r="O3603" s="1" t="s">
        <v>37</v>
      </c>
      <c r="P3603" s="1">
        <v>1000000.0</v>
      </c>
      <c r="Q3603" s="1">
        <v>2012.0</v>
      </c>
      <c r="R3603" s="1">
        <v>260000.0</v>
      </c>
      <c r="S3603" s="1">
        <v>984.0</v>
      </c>
      <c r="T3603" s="1">
        <v>891.0</v>
      </c>
      <c r="U3603" s="1">
        <v>263584.0</v>
      </c>
      <c r="V3603" s="1">
        <v>74.0</v>
      </c>
      <c r="W3603" s="1">
        <v>706.0</v>
      </c>
      <c r="X3603" s="1">
        <v>3.0</v>
      </c>
      <c r="Y3603" s="1">
        <v>1.85</v>
      </c>
      <c r="Z3603" s="1">
        <v>5.6</v>
      </c>
    </row>
    <row r="3604" ht="14.25" customHeight="1">
      <c r="A3604" s="1" t="s">
        <v>26</v>
      </c>
      <c r="B3604" s="1" t="s">
        <v>16990</v>
      </c>
      <c r="C3604" s="1" t="s">
        <v>16991</v>
      </c>
      <c r="D3604" s="1">
        <v>100659.0</v>
      </c>
      <c r="E3604" s="1" t="s">
        <v>6019</v>
      </c>
      <c r="F3604" s="1" t="s">
        <v>16992</v>
      </c>
      <c r="G3604" s="1" t="s">
        <v>8780</v>
      </c>
      <c r="H3604" s="1" t="s">
        <v>13115</v>
      </c>
      <c r="I3604" s="1">
        <v>30160.0</v>
      </c>
      <c r="J3604" s="1" t="s">
        <v>16993</v>
      </c>
      <c r="K3604" s="1" t="s">
        <v>16994</v>
      </c>
      <c r="L3604" s="1">
        <v>193.0</v>
      </c>
      <c r="M3604" s="1" t="s">
        <v>35</v>
      </c>
      <c r="N3604" s="1" t="s">
        <v>36</v>
      </c>
      <c r="O3604" s="1" t="s">
        <v>628</v>
      </c>
      <c r="P3604" s="1">
        <v>900000.0</v>
      </c>
      <c r="Q3604" s="1">
        <v>2009.0</v>
      </c>
      <c r="R3604" s="1">
        <v>969.0</v>
      </c>
      <c r="S3604" s="1">
        <v>962.0</v>
      </c>
      <c r="T3604" s="1">
        <v>725.0</v>
      </c>
      <c r="U3604" s="1">
        <v>3833.0</v>
      </c>
      <c r="V3604" s="1">
        <v>243.0</v>
      </c>
      <c r="W3604" s="1">
        <v>0.0</v>
      </c>
      <c r="X3604" s="1">
        <v>0.0</v>
      </c>
      <c r="Y3604" s="1">
        <v>1.85</v>
      </c>
      <c r="Z3604" s="1">
        <v>6.4</v>
      </c>
    </row>
    <row r="3605" ht="14.25" customHeight="1">
      <c r="A3605" s="1" t="s">
        <v>26</v>
      </c>
      <c r="B3605" s="1" t="s">
        <v>16995</v>
      </c>
      <c r="C3605" s="1" t="s">
        <v>16996</v>
      </c>
      <c r="D3605" s="1">
        <v>48430.0</v>
      </c>
      <c r="E3605" s="1" t="s">
        <v>5605</v>
      </c>
      <c r="F3605" s="1" t="s">
        <v>3219</v>
      </c>
      <c r="G3605" s="1" t="s">
        <v>4193</v>
      </c>
      <c r="H3605" s="1" t="s">
        <v>3255</v>
      </c>
      <c r="I3605" s="1">
        <v>20176.0</v>
      </c>
      <c r="J3605" s="1" t="s">
        <v>16997</v>
      </c>
      <c r="K3605" s="1" t="s">
        <v>16998</v>
      </c>
      <c r="L3605" s="1">
        <v>73.0</v>
      </c>
      <c r="M3605" s="1" t="s">
        <v>35</v>
      </c>
      <c r="N3605" s="1" t="s">
        <v>36</v>
      </c>
      <c r="O3605" s="1" t="s">
        <v>628</v>
      </c>
      <c r="P3605" s="1">
        <v>500000.0</v>
      </c>
      <c r="Q3605" s="1">
        <v>2010.0</v>
      </c>
      <c r="R3605" s="1">
        <v>443.0</v>
      </c>
      <c r="S3605" s="1">
        <v>298.0</v>
      </c>
      <c r="T3605" s="1">
        <v>271.0</v>
      </c>
      <c r="U3605" s="1">
        <v>1452.0</v>
      </c>
      <c r="V3605" s="1">
        <v>11.0</v>
      </c>
      <c r="W3605" s="1">
        <v>0.0</v>
      </c>
      <c r="X3605" s="1">
        <v>1.0</v>
      </c>
      <c r="Y3605" s="1">
        <v>1.85</v>
      </c>
      <c r="Z3605" s="1">
        <v>6.8</v>
      </c>
    </row>
    <row r="3606" ht="14.25" customHeight="1">
      <c r="A3606" s="1" t="s">
        <v>26</v>
      </c>
      <c r="B3606" s="1" t="s">
        <v>5722</v>
      </c>
      <c r="C3606" s="1" t="s">
        <v>16999</v>
      </c>
      <c r="D3606" s="1">
        <v>21210.0</v>
      </c>
      <c r="E3606" s="1" t="s">
        <v>972</v>
      </c>
      <c r="F3606" s="1" t="s">
        <v>2051</v>
      </c>
      <c r="G3606" s="1" t="s">
        <v>4026</v>
      </c>
      <c r="H3606" s="1" t="s">
        <v>13974</v>
      </c>
      <c r="I3606" s="1">
        <v>2735.0</v>
      </c>
      <c r="J3606" s="1" t="s">
        <v>17000</v>
      </c>
      <c r="K3606" s="1" t="s">
        <v>17001</v>
      </c>
      <c r="L3606" s="1">
        <v>52.0</v>
      </c>
      <c r="M3606" s="1" t="s">
        <v>35</v>
      </c>
      <c r="N3606" s="1" t="s">
        <v>36</v>
      </c>
      <c r="O3606" s="1" t="s">
        <v>628</v>
      </c>
      <c r="P3606" s="1">
        <v>1000000.0</v>
      </c>
      <c r="Q3606" s="1">
        <v>1998.0</v>
      </c>
      <c r="R3606" s="1">
        <v>499.0</v>
      </c>
      <c r="S3606" s="1">
        <v>230.0</v>
      </c>
      <c r="T3606" s="1">
        <v>117.0</v>
      </c>
      <c r="U3606" s="1">
        <v>1141.0</v>
      </c>
      <c r="V3606" s="1">
        <v>29.0</v>
      </c>
      <c r="W3606" s="1">
        <v>157.0</v>
      </c>
      <c r="X3606" s="1">
        <v>0.0</v>
      </c>
      <c r="Y3606" s="1">
        <v>1.85</v>
      </c>
      <c r="Z3606" s="1">
        <v>6.1</v>
      </c>
    </row>
    <row r="3607" ht="14.25" customHeight="1">
      <c r="A3607" s="1" t="s">
        <v>26</v>
      </c>
      <c r="B3607" s="1" t="s">
        <v>7100</v>
      </c>
      <c r="C3607" s="1" t="s">
        <v>17002</v>
      </c>
      <c r="D3607" s="1">
        <v>12996.0</v>
      </c>
      <c r="E3607" s="1" t="s">
        <v>934</v>
      </c>
      <c r="F3607" s="1" t="s">
        <v>228</v>
      </c>
      <c r="G3607" s="1" t="s">
        <v>629</v>
      </c>
      <c r="H3607" s="1" t="s">
        <v>1808</v>
      </c>
      <c r="I3607" s="1">
        <v>1938.0</v>
      </c>
      <c r="J3607" s="1" t="s">
        <v>17003</v>
      </c>
      <c r="K3607" s="1" t="s">
        <v>17004</v>
      </c>
      <c r="L3607" s="1">
        <v>54.0</v>
      </c>
      <c r="M3607" s="1" t="s">
        <v>35</v>
      </c>
      <c r="N3607" s="1" t="s">
        <v>36</v>
      </c>
      <c r="O3607" s="1" t="s">
        <v>628</v>
      </c>
      <c r="P3607" s="1">
        <v>1000000.0</v>
      </c>
      <c r="Q3607" s="1">
        <v>2000.0</v>
      </c>
      <c r="R3607" s="1">
        <v>2000.0</v>
      </c>
      <c r="S3607" s="1">
        <v>571.0</v>
      </c>
      <c r="T3607" s="1">
        <v>490.0</v>
      </c>
      <c r="U3607" s="1">
        <v>3905.0</v>
      </c>
      <c r="V3607" s="1">
        <v>82.0</v>
      </c>
      <c r="W3607" s="1">
        <v>210.0</v>
      </c>
      <c r="X3607" s="1">
        <v>0.0</v>
      </c>
      <c r="Y3607" s="1">
        <v>1.85</v>
      </c>
      <c r="Z3607" s="1">
        <v>6.0</v>
      </c>
    </row>
    <row r="3608" ht="14.25" customHeight="1">
      <c r="A3608" s="1" t="s">
        <v>710</v>
      </c>
      <c r="B3608" s="1" t="s">
        <v>17005</v>
      </c>
      <c r="C3608" s="1" t="s">
        <v>17006</v>
      </c>
      <c r="D3608" s="1">
        <v>10018.0</v>
      </c>
      <c r="E3608" s="1" t="s">
        <v>2045</v>
      </c>
      <c r="F3608" s="1" t="s">
        <v>17007</v>
      </c>
      <c r="G3608" s="1" t="s">
        <v>16512</v>
      </c>
      <c r="H3608" s="1" t="s">
        <v>17008</v>
      </c>
      <c r="I3608" s="1">
        <v>3228.0</v>
      </c>
      <c r="J3608" s="1" t="s">
        <v>17009</v>
      </c>
      <c r="K3608" s="1" t="s">
        <v>17010</v>
      </c>
      <c r="L3608" s="1">
        <v>31.0</v>
      </c>
      <c r="M3608" s="1" t="s">
        <v>35</v>
      </c>
      <c r="N3608" s="1" t="s">
        <v>36</v>
      </c>
      <c r="O3608" s="1" t="s">
        <v>9252</v>
      </c>
      <c r="P3608" s="1">
        <v>1000000.0</v>
      </c>
      <c r="Q3608" s="1">
        <v>2006.0</v>
      </c>
      <c r="R3608" s="1">
        <v>262.0</v>
      </c>
      <c r="S3608" s="1">
        <v>163.0</v>
      </c>
      <c r="T3608" s="1">
        <v>61.0</v>
      </c>
      <c r="U3608" s="1">
        <v>509.0</v>
      </c>
      <c r="V3608" s="1">
        <v>0.0</v>
      </c>
      <c r="W3608" s="1">
        <v>244.0</v>
      </c>
      <c r="X3608" s="1">
        <v>0.0</v>
      </c>
      <c r="Y3608" s="1">
        <v>1.85</v>
      </c>
      <c r="Z3608" s="1">
        <v>6.1</v>
      </c>
    </row>
    <row r="3609" ht="14.25" customHeight="1">
      <c r="A3609" s="1" t="s">
        <v>26</v>
      </c>
      <c r="B3609" s="1" t="s">
        <v>17011</v>
      </c>
      <c r="C3609" s="1" t="s">
        <v>17012</v>
      </c>
      <c r="D3609" s="1">
        <v>62480.0</v>
      </c>
      <c r="E3609" s="1" t="s">
        <v>1766</v>
      </c>
      <c r="F3609" s="1" t="s">
        <v>10436</v>
      </c>
      <c r="G3609" s="1" t="s">
        <v>17013</v>
      </c>
      <c r="H3609" s="1" t="s">
        <v>17014</v>
      </c>
      <c r="I3609" s="1">
        <v>1048.0</v>
      </c>
      <c r="J3609" s="1" t="s">
        <v>17015</v>
      </c>
      <c r="K3609" s="1" t="s">
        <v>17016</v>
      </c>
      <c r="L3609" s="1">
        <v>7.0</v>
      </c>
      <c r="M3609" s="1" t="s">
        <v>35</v>
      </c>
      <c r="N3609" s="1" t="s">
        <v>36</v>
      </c>
      <c r="O3609" s="1" t="s">
        <v>628</v>
      </c>
      <c r="P3609" s="1">
        <v>1000000.0</v>
      </c>
      <c r="Q3609" s="1">
        <v>2015.0</v>
      </c>
      <c r="R3609" s="1">
        <v>446.0</v>
      </c>
      <c r="S3609" s="1">
        <v>171.0</v>
      </c>
      <c r="T3609" s="1">
        <v>150.0</v>
      </c>
      <c r="U3609" s="1">
        <v>928.0</v>
      </c>
      <c r="V3609" s="1">
        <v>4.0</v>
      </c>
      <c r="W3609" s="1">
        <v>793.0</v>
      </c>
      <c r="X3609" s="1">
        <v>1.0</v>
      </c>
      <c r="Y3609" s="1">
        <v>2.39</v>
      </c>
      <c r="Z3609" s="1">
        <v>5.5</v>
      </c>
    </row>
    <row r="3610" ht="14.25" customHeight="1">
      <c r="A3610" s="1" t="s">
        <v>26</v>
      </c>
      <c r="B3610" s="1" t="s">
        <v>17017</v>
      </c>
      <c r="C3610" s="1" t="s">
        <v>17018</v>
      </c>
      <c r="D3610" s="1">
        <v>6387.0</v>
      </c>
      <c r="E3610" s="1" t="s">
        <v>2172</v>
      </c>
      <c r="F3610" s="1" t="s">
        <v>2418</v>
      </c>
      <c r="G3610" s="1" t="s">
        <v>17019</v>
      </c>
      <c r="H3610" s="1" t="s">
        <v>17020</v>
      </c>
      <c r="I3610" s="1">
        <v>4862.0</v>
      </c>
      <c r="J3610" s="1" t="s">
        <v>17021</v>
      </c>
      <c r="K3610" s="1" t="s">
        <v>17022</v>
      </c>
      <c r="L3610" s="1">
        <v>37.0</v>
      </c>
      <c r="M3610" s="1" t="s">
        <v>35</v>
      </c>
      <c r="N3610" s="1" t="s">
        <v>36</v>
      </c>
      <c r="O3610" s="1" t="s">
        <v>628</v>
      </c>
      <c r="P3610" s="1">
        <v>1000000.0</v>
      </c>
      <c r="Q3610" s="1">
        <v>2006.0</v>
      </c>
      <c r="R3610" s="1">
        <v>975.0</v>
      </c>
      <c r="S3610" s="1">
        <v>645.0</v>
      </c>
      <c r="T3610" s="1">
        <v>394.0</v>
      </c>
      <c r="U3610" s="1">
        <v>2694.0</v>
      </c>
      <c r="V3610" s="1">
        <v>0.0</v>
      </c>
      <c r="W3610" s="1">
        <v>0.0</v>
      </c>
      <c r="X3610" s="1">
        <v>0.0</v>
      </c>
      <c r="Y3610" s="1">
        <v>1.85</v>
      </c>
      <c r="Z3610" s="1">
        <v>6.9</v>
      </c>
    </row>
    <row r="3611" ht="14.25" customHeight="1">
      <c r="A3611" s="1" t="s">
        <v>26</v>
      </c>
      <c r="B3611" s="1" t="s">
        <v>9623</v>
      </c>
      <c r="C3611" s="1" t="s">
        <v>17023</v>
      </c>
      <c r="D3611" s="1">
        <v>721.0</v>
      </c>
      <c r="E3611" s="1" t="s">
        <v>740</v>
      </c>
      <c r="F3611" s="1" t="s">
        <v>3688</v>
      </c>
      <c r="G3611" s="1" t="s">
        <v>17024</v>
      </c>
      <c r="H3611" s="1" t="s">
        <v>17025</v>
      </c>
      <c r="I3611" s="1">
        <v>783.0</v>
      </c>
      <c r="J3611" s="1" t="s">
        <v>17026</v>
      </c>
      <c r="K3611" s="1" t="s">
        <v>17027</v>
      </c>
      <c r="L3611" s="1">
        <v>12.0</v>
      </c>
      <c r="M3611" s="1" t="s">
        <v>35</v>
      </c>
      <c r="N3611" s="1" t="s">
        <v>730</v>
      </c>
      <c r="O3611" s="1" t="s">
        <v>628</v>
      </c>
      <c r="P3611" s="1">
        <v>1000000.0</v>
      </c>
      <c r="Q3611" s="1">
        <v>2006.0</v>
      </c>
      <c r="R3611" s="1">
        <v>563.0</v>
      </c>
      <c r="S3611" s="1">
        <v>288.0</v>
      </c>
      <c r="T3611" s="1">
        <v>176.0</v>
      </c>
      <c r="U3611" s="1">
        <v>1284.0</v>
      </c>
      <c r="V3611" s="1">
        <v>53.0</v>
      </c>
      <c r="W3611" s="1">
        <v>42.0</v>
      </c>
      <c r="X3611" s="1">
        <v>2.0</v>
      </c>
      <c r="Y3611" s="1">
        <v>1.85</v>
      </c>
      <c r="Z3611" s="1">
        <v>4.1</v>
      </c>
    </row>
    <row r="3612" ht="14.25" customHeight="1">
      <c r="A3612" s="1" t="s">
        <v>26</v>
      </c>
      <c r="B3612" s="1" t="s">
        <v>7067</v>
      </c>
      <c r="C3612" s="1" t="s">
        <v>17028</v>
      </c>
      <c r="D3612" s="1">
        <v>703.0</v>
      </c>
      <c r="E3612" s="1" t="s">
        <v>2422</v>
      </c>
      <c r="F3612" s="1" t="s">
        <v>10298</v>
      </c>
      <c r="G3612" s="1" t="s">
        <v>7067</v>
      </c>
      <c r="H3612" s="1" t="s">
        <v>17029</v>
      </c>
      <c r="I3612" s="1">
        <v>480.0</v>
      </c>
      <c r="J3612" s="1" t="s">
        <v>17030</v>
      </c>
      <c r="K3612" s="1" t="s">
        <v>17031</v>
      </c>
      <c r="L3612" s="1">
        <v>21.0</v>
      </c>
      <c r="M3612" s="1" t="s">
        <v>35</v>
      </c>
      <c r="N3612" s="1" t="s">
        <v>36</v>
      </c>
      <c r="O3612" s="1" t="s">
        <v>628</v>
      </c>
      <c r="P3612" s="1">
        <v>1500000.0</v>
      </c>
      <c r="Q3612" s="1">
        <v>2001.0</v>
      </c>
      <c r="R3612" s="1">
        <v>474.0</v>
      </c>
      <c r="S3612" s="1">
        <v>436.0</v>
      </c>
      <c r="T3612" s="1">
        <v>4.0</v>
      </c>
      <c r="U3612" s="1">
        <v>920.0</v>
      </c>
      <c r="V3612" s="1">
        <v>436.0</v>
      </c>
      <c r="W3612" s="1">
        <v>47.0</v>
      </c>
      <c r="X3612" s="1">
        <v>3.0</v>
      </c>
      <c r="Y3612" s="1">
        <v>1.85</v>
      </c>
      <c r="Z3612" s="1">
        <v>5.4</v>
      </c>
    </row>
    <row r="3613" ht="14.25" customHeight="1">
      <c r="A3613" s="1" t="s">
        <v>26</v>
      </c>
      <c r="B3613" s="1" t="s">
        <v>5001</v>
      </c>
      <c r="C3613" s="1" t="s">
        <v>11362</v>
      </c>
      <c r="D3613" s="1">
        <v>2319187.0</v>
      </c>
      <c r="E3613" s="1" t="s">
        <v>2061</v>
      </c>
      <c r="F3613" s="1" t="s">
        <v>947</v>
      </c>
      <c r="G3613" s="1" t="s">
        <v>4287</v>
      </c>
      <c r="H3613" s="1" t="s">
        <v>11363</v>
      </c>
      <c r="I3613" s="1">
        <v>92640.0</v>
      </c>
      <c r="J3613" s="1" t="s">
        <v>11364</v>
      </c>
      <c r="K3613" s="1" t="s">
        <v>11365</v>
      </c>
      <c r="L3613" s="1">
        <v>212.0</v>
      </c>
      <c r="M3613" s="1" t="s">
        <v>35</v>
      </c>
      <c r="N3613" s="1" t="s">
        <v>54</v>
      </c>
      <c r="O3613" s="1" t="s">
        <v>628</v>
      </c>
      <c r="P3613" s="1">
        <v>2.0E7</v>
      </c>
      <c r="Q3613" s="1">
        <v>2013.0</v>
      </c>
      <c r="R3613" s="1">
        <v>3000.0</v>
      </c>
      <c r="S3613" s="1">
        <v>1000.0</v>
      </c>
      <c r="T3613" s="1">
        <v>888.0</v>
      </c>
      <c r="U3613" s="1">
        <v>5056.0</v>
      </c>
      <c r="V3613" s="1">
        <v>0.0</v>
      </c>
      <c r="W3613" s="1">
        <v>23000.0</v>
      </c>
      <c r="X3613" s="1">
        <v>0.0</v>
      </c>
      <c r="Y3613" s="1">
        <v>2.35</v>
      </c>
      <c r="Z3613" s="1">
        <v>7.0</v>
      </c>
    </row>
    <row r="3614" ht="14.25" customHeight="1">
      <c r="A3614" s="1" t="s">
        <v>710</v>
      </c>
      <c r="B3614" s="1" t="s">
        <v>17032</v>
      </c>
      <c r="C3614" s="1" t="s">
        <v>17033</v>
      </c>
      <c r="D3614" s="1">
        <v>9600000.0</v>
      </c>
      <c r="E3614" s="1" t="s">
        <v>12847</v>
      </c>
      <c r="F3614" s="1" t="s">
        <v>113</v>
      </c>
      <c r="G3614" s="1" t="s">
        <v>17034</v>
      </c>
      <c r="H3614" s="1" t="s">
        <v>5449</v>
      </c>
      <c r="I3614" s="1">
        <v>100890.0</v>
      </c>
      <c r="J3614" s="1" t="s">
        <v>17035</v>
      </c>
      <c r="K3614" s="1" t="s">
        <v>17036</v>
      </c>
      <c r="L3614" s="1">
        <v>281.0</v>
      </c>
      <c r="M3614" s="1" t="s">
        <v>35</v>
      </c>
      <c r="N3614" s="1" t="s">
        <v>36</v>
      </c>
      <c r="O3614" s="1" t="s">
        <v>9252</v>
      </c>
      <c r="P3614" s="1">
        <v>910000.0</v>
      </c>
      <c r="Q3614" s="1">
        <v>1954.0</v>
      </c>
      <c r="R3614" s="1">
        <v>10000.0</v>
      </c>
      <c r="S3614" s="1">
        <v>416.0</v>
      </c>
      <c r="T3614" s="1">
        <v>279.0</v>
      </c>
      <c r="U3614" s="1">
        <v>11094.0</v>
      </c>
      <c r="V3614" s="1">
        <v>603.0</v>
      </c>
      <c r="W3614" s="1">
        <v>0.0</v>
      </c>
      <c r="X3614" s="1">
        <v>2.0</v>
      </c>
      <c r="Y3614" s="1">
        <v>1.85</v>
      </c>
      <c r="Z3614" s="1">
        <v>8.2</v>
      </c>
    </row>
    <row r="3615" ht="14.25" customHeight="1">
      <c r="A3615" s="1" t="s">
        <v>26</v>
      </c>
      <c r="B3615" s="1" t="s">
        <v>17037</v>
      </c>
      <c r="C3615" s="1" t="s">
        <v>17038</v>
      </c>
      <c r="D3615" s="1">
        <v>20186.0</v>
      </c>
      <c r="E3615" s="1" t="s">
        <v>1885</v>
      </c>
      <c r="F3615" s="1" t="s">
        <v>11382</v>
      </c>
      <c r="G3615" s="1" t="s">
        <v>10078</v>
      </c>
      <c r="H3615" s="1" t="s">
        <v>17039</v>
      </c>
      <c r="I3615" s="1">
        <v>6025.0</v>
      </c>
      <c r="J3615" s="1" t="s">
        <v>17040</v>
      </c>
      <c r="K3615" s="1" t="s">
        <v>17041</v>
      </c>
      <c r="L3615" s="1">
        <v>15.0</v>
      </c>
      <c r="M3615" s="1" t="s">
        <v>35</v>
      </c>
      <c r="N3615" s="1" t="s">
        <v>36</v>
      </c>
      <c r="O3615" s="1" t="s">
        <v>628</v>
      </c>
      <c r="P3615" s="1">
        <v>930000.0</v>
      </c>
      <c r="Q3615" s="1">
        <v>2011.0</v>
      </c>
      <c r="R3615" s="1">
        <v>945.0</v>
      </c>
      <c r="S3615" s="1">
        <v>756.0</v>
      </c>
      <c r="T3615" s="1">
        <v>501.0</v>
      </c>
      <c r="U3615" s="1">
        <v>2924.0</v>
      </c>
      <c r="V3615" s="1">
        <v>28.0</v>
      </c>
      <c r="W3615" s="1">
        <v>995.0</v>
      </c>
      <c r="X3615" s="1">
        <v>8.0</v>
      </c>
      <c r="Y3615" s="1">
        <v>2.35</v>
      </c>
      <c r="Z3615" s="1">
        <v>5.7</v>
      </c>
    </row>
    <row r="3616" ht="14.25" customHeight="1">
      <c r="A3616" s="1" t="s">
        <v>26</v>
      </c>
      <c r="B3616" s="1" t="s">
        <v>17042</v>
      </c>
      <c r="C3616" s="1" t="s">
        <v>17043</v>
      </c>
      <c r="D3616" s="1">
        <v>1185783.0</v>
      </c>
      <c r="E3616" s="1" t="s">
        <v>3238</v>
      </c>
      <c r="F3616" s="1" t="s">
        <v>17044</v>
      </c>
      <c r="G3616" s="1" t="s">
        <v>17045</v>
      </c>
      <c r="H3616" s="1" t="s">
        <v>17046</v>
      </c>
      <c r="I3616" s="1">
        <v>44763.0</v>
      </c>
      <c r="J3616" s="1" t="s">
        <v>17047</v>
      </c>
      <c r="K3616" s="1" t="s">
        <v>17048</v>
      </c>
      <c r="L3616" s="1">
        <v>172.0</v>
      </c>
      <c r="M3616" s="1" t="s">
        <v>17049</v>
      </c>
      <c r="N3616" s="1" t="s">
        <v>8194</v>
      </c>
      <c r="O3616" s="1" t="s">
        <v>9252</v>
      </c>
      <c r="P3616" s="1">
        <v>590000.0</v>
      </c>
      <c r="Q3616" s="1">
        <v>2007.0</v>
      </c>
      <c r="R3616" s="1">
        <v>131.0</v>
      </c>
      <c r="S3616" s="1">
        <v>60.0</v>
      </c>
      <c r="T3616" s="1">
        <v>27.0</v>
      </c>
      <c r="U3616" s="1">
        <v>264.0</v>
      </c>
      <c r="V3616" s="1">
        <v>163.0</v>
      </c>
      <c r="W3616" s="1">
        <v>14000.0</v>
      </c>
      <c r="X3616" s="1">
        <v>0.0</v>
      </c>
      <c r="Y3616" s="1">
        <v>1.85</v>
      </c>
      <c r="Z3616" s="1">
        <v>7.9</v>
      </c>
    </row>
    <row r="3617" ht="14.25" customHeight="1">
      <c r="A3617" s="1" t="s">
        <v>26</v>
      </c>
      <c r="B3617" s="1" t="s">
        <v>3363</v>
      </c>
      <c r="C3617" s="1" t="s">
        <v>17050</v>
      </c>
      <c r="D3617" s="1">
        <v>1007962.0</v>
      </c>
      <c r="E3617" s="1" t="s">
        <v>2045</v>
      </c>
      <c r="F3617" s="1" t="s">
        <v>17051</v>
      </c>
      <c r="G3617" s="1" t="s">
        <v>17052</v>
      </c>
      <c r="H3617" s="1" t="s">
        <v>17053</v>
      </c>
      <c r="I3617" s="1">
        <v>131969.0</v>
      </c>
      <c r="J3617" s="1" t="s">
        <v>17054</v>
      </c>
      <c r="K3617" s="1" t="s">
        <v>17055</v>
      </c>
      <c r="L3617" s="1">
        <v>651.0</v>
      </c>
      <c r="M3617" s="1" t="s">
        <v>35</v>
      </c>
      <c r="N3617" s="1" t="s">
        <v>36</v>
      </c>
      <c r="O3617" s="1" t="s">
        <v>628</v>
      </c>
      <c r="P3617" s="1">
        <v>950000.0</v>
      </c>
      <c r="Q3617" s="1">
        <v>2005.0</v>
      </c>
      <c r="R3617" s="1">
        <v>109.0</v>
      </c>
      <c r="S3617" s="1">
        <v>8.0</v>
      </c>
      <c r="T3617" s="1">
        <v>0.0</v>
      </c>
      <c r="U3617" s="1">
        <v>117.0</v>
      </c>
      <c r="V3617" s="1">
        <v>171.0</v>
      </c>
      <c r="W3617" s="1">
        <v>12000.0</v>
      </c>
      <c r="X3617" s="1">
        <v>0.0</v>
      </c>
      <c r="Y3617" s="1">
        <v>2.35</v>
      </c>
      <c r="Z3617" s="1">
        <v>7.1</v>
      </c>
    </row>
    <row r="3618" ht="14.25" customHeight="1">
      <c r="A3618" s="1" t="s">
        <v>26</v>
      </c>
      <c r="B3618" s="1" t="s">
        <v>16746</v>
      </c>
      <c r="C3618" s="1" t="s">
        <v>17056</v>
      </c>
      <c r="D3618" s="1">
        <v>381186.0</v>
      </c>
      <c r="E3618" s="1" t="s">
        <v>3868</v>
      </c>
      <c r="F3618" s="1" t="s">
        <v>2491</v>
      </c>
      <c r="G3618" s="1" t="s">
        <v>7380</v>
      </c>
      <c r="H3618" s="1" t="s">
        <v>14854</v>
      </c>
      <c r="I3618" s="1">
        <v>13485.0</v>
      </c>
      <c r="J3618" s="1" t="s">
        <v>17057</v>
      </c>
      <c r="K3618" s="1" t="s">
        <v>17058</v>
      </c>
      <c r="L3618" s="1">
        <v>90.0</v>
      </c>
      <c r="M3618" s="1" t="s">
        <v>35</v>
      </c>
      <c r="N3618" s="1" t="s">
        <v>36</v>
      </c>
      <c r="O3618" s="1" t="s">
        <v>628</v>
      </c>
      <c r="P3618" s="1">
        <v>900000.0</v>
      </c>
      <c r="Q3618" s="1">
        <v>2005.0</v>
      </c>
      <c r="R3618" s="1">
        <v>982.0</v>
      </c>
      <c r="S3618" s="1">
        <v>796.0</v>
      </c>
      <c r="T3618" s="1">
        <v>659.0</v>
      </c>
      <c r="U3618" s="1">
        <v>3299.0</v>
      </c>
      <c r="V3618" s="1">
        <v>91.0</v>
      </c>
      <c r="W3618" s="1">
        <v>698.0</v>
      </c>
      <c r="X3618" s="1">
        <v>0.0</v>
      </c>
      <c r="Y3618" s="1">
        <v>2.35</v>
      </c>
      <c r="Z3618" s="1">
        <v>6.4</v>
      </c>
    </row>
    <row r="3619" ht="14.25" customHeight="1">
      <c r="A3619" s="1" t="s">
        <v>26</v>
      </c>
      <c r="B3619" s="1" t="s">
        <v>6662</v>
      </c>
      <c r="C3619" s="1" t="s">
        <v>17059</v>
      </c>
      <c r="D3619" s="1">
        <v>1.6097842E7</v>
      </c>
      <c r="E3619" s="1" t="s">
        <v>5942</v>
      </c>
      <c r="F3619" s="1" t="s">
        <v>17060</v>
      </c>
      <c r="G3619" s="1" t="s">
        <v>10285</v>
      </c>
      <c r="H3619" s="1" t="s">
        <v>17061</v>
      </c>
      <c r="I3619" s="1">
        <v>53919.0</v>
      </c>
      <c r="J3619" s="1" t="s">
        <v>17062</v>
      </c>
      <c r="K3619" s="1" t="s">
        <v>17063</v>
      </c>
      <c r="L3619" s="1">
        <v>168.0</v>
      </c>
      <c r="M3619" s="1" t="s">
        <v>35</v>
      </c>
      <c r="N3619" s="1" t="s">
        <v>36</v>
      </c>
      <c r="O3619" s="1" t="s">
        <v>628</v>
      </c>
      <c r="P3619" s="1">
        <v>900000.0</v>
      </c>
      <c r="Q3619" s="1">
        <v>2013.0</v>
      </c>
      <c r="R3619" s="1">
        <v>282.0</v>
      </c>
      <c r="S3619" s="1">
        <v>270.0</v>
      </c>
      <c r="T3619" s="1">
        <v>88.0</v>
      </c>
      <c r="U3619" s="1">
        <v>687.0</v>
      </c>
      <c r="V3619" s="1">
        <v>0.0</v>
      </c>
      <c r="W3619" s="1">
        <v>17000.0</v>
      </c>
      <c r="X3619" s="1">
        <v>0.0</v>
      </c>
      <c r="Y3619" s="1">
        <v>1.85</v>
      </c>
      <c r="Z3619" s="1">
        <v>7.5</v>
      </c>
    </row>
    <row r="3620" ht="14.25" customHeight="1">
      <c r="A3620" s="1" t="s">
        <v>26</v>
      </c>
      <c r="B3620" s="1" t="s">
        <v>17064</v>
      </c>
      <c r="C3620" s="1" t="s">
        <v>17065</v>
      </c>
      <c r="D3620" s="1">
        <v>6643.0</v>
      </c>
      <c r="E3620" s="1" t="s">
        <v>17066</v>
      </c>
      <c r="F3620" s="1" t="s">
        <v>597</v>
      </c>
      <c r="G3620" s="1" t="s">
        <v>2214</v>
      </c>
      <c r="H3620" s="1" t="s">
        <v>11757</v>
      </c>
      <c r="I3620" s="1">
        <v>11965.0</v>
      </c>
      <c r="J3620" s="1" t="s">
        <v>17067</v>
      </c>
      <c r="K3620" s="1" t="s">
        <v>17068</v>
      </c>
      <c r="L3620" s="1">
        <v>39.0</v>
      </c>
      <c r="M3620" s="1" t="s">
        <v>35</v>
      </c>
      <c r="N3620" s="1" t="s">
        <v>36</v>
      </c>
      <c r="O3620" s="1" t="s">
        <v>628</v>
      </c>
      <c r="P3620" s="1">
        <v>900000.0</v>
      </c>
      <c r="Q3620" s="1">
        <v>2012.0</v>
      </c>
      <c r="R3620" s="1">
        <v>975.0</v>
      </c>
      <c r="S3620" s="1">
        <v>947.0</v>
      </c>
      <c r="T3620" s="1">
        <v>727.0</v>
      </c>
      <c r="U3620" s="1">
        <v>4184.0</v>
      </c>
      <c r="V3620" s="1">
        <v>6.0</v>
      </c>
      <c r="W3620" s="1">
        <v>0.0</v>
      </c>
      <c r="X3620" s="1">
        <v>2.0</v>
      </c>
      <c r="Y3620" s="1">
        <v>2.35</v>
      </c>
      <c r="Z3620" s="1">
        <v>6.4</v>
      </c>
    </row>
    <row r="3621" ht="14.25" customHeight="1">
      <c r="A3621" s="1" t="s">
        <v>26</v>
      </c>
      <c r="B3621" s="1" t="s">
        <v>11518</v>
      </c>
      <c r="C3621" s="1" t="s">
        <v>11519</v>
      </c>
      <c r="D3621" s="1">
        <v>4.2919096E7</v>
      </c>
      <c r="E3621" s="1" t="s">
        <v>886</v>
      </c>
      <c r="F3621" s="1" t="s">
        <v>1036</v>
      </c>
      <c r="G3621" s="1" t="s">
        <v>4653</v>
      </c>
      <c r="H3621" s="1" t="s">
        <v>5962</v>
      </c>
      <c r="I3621" s="1">
        <v>64748.0</v>
      </c>
      <c r="J3621" s="1" t="s">
        <v>11520</v>
      </c>
      <c r="K3621" s="1" t="s">
        <v>11521</v>
      </c>
      <c r="L3621" s="1">
        <v>122.0</v>
      </c>
      <c r="M3621" s="1" t="s">
        <v>35</v>
      </c>
      <c r="N3621" s="1" t="s">
        <v>36</v>
      </c>
      <c r="O3621" s="1" t="s">
        <v>37</v>
      </c>
      <c r="P3621" s="1">
        <v>1.5E7</v>
      </c>
      <c r="Q3621" s="1">
        <v>2013.0</v>
      </c>
      <c r="R3621" s="1">
        <v>12000.0</v>
      </c>
      <c r="S3621" s="1">
        <v>1000.0</v>
      </c>
      <c r="T3621" s="1">
        <v>874.0</v>
      </c>
      <c r="U3621" s="1">
        <v>15800.0</v>
      </c>
      <c r="V3621" s="1">
        <v>29.0</v>
      </c>
      <c r="W3621" s="1">
        <v>12000.0</v>
      </c>
      <c r="X3621" s="1">
        <v>1.0</v>
      </c>
      <c r="Y3621" s="1">
        <v>2.35</v>
      </c>
      <c r="Z3621" s="1">
        <v>6.5</v>
      </c>
    </row>
    <row r="3622" ht="14.25" customHeight="1">
      <c r="A3622" s="1" t="s">
        <v>26</v>
      </c>
      <c r="B3622" s="1" t="s">
        <v>17069</v>
      </c>
      <c r="C3622" s="1" t="s">
        <v>17070</v>
      </c>
      <c r="D3622" s="1">
        <v>819939.0</v>
      </c>
      <c r="E3622" s="1" t="s">
        <v>1359</v>
      </c>
      <c r="F3622" s="1" t="s">
        <v>60</v>
      </c>
      <c r="G3622" s="1" t="s">
        <v>15970</v>
      </c>
      <c r="H3622" s="1" t="s">
        <v>15300</v>
      </c>
      <c r="I3622" s="1">
        <v>14580.0</v>
      </c>
      <c r="J3622" s="1" t="s">
        <v>17071</v>
      </c>
      <c r="K3622" s="1" t="s">
        <v>17072</v>
      </c>
      <c r="L3622" s="1">
        <v>252.0</v>
      </c>
      <c r="M3622" s="1" t="s">
        <v>35</v>
      </c>
      <c r="N3622" s="1" t="s">
        <v>36</v>
      </c>
      <c r="O3622" s="1" t="s">
        <v>628</v>
      </c>
      <c r="P3622" s="1">
        <v>850000.0</v>
      </c>
      <c r="Q3622" s="1">
        <v>2003.0</v>
      </c>
      <c r="R3622" s="1">
        <v>23000.0</v>
      </c>
      <c r="S3622" s="1">
        <v>813.0</v>
      </c>
      <c r="T3622" s="1">
        <v>522.0</v>
      </c>
      <c r="U3622" s="1">
        <v>26017.0</v>
      </c>
      <c r="V3622" s="1">
        <v>6.0</v>
      </c>
      <c r="W3622" s="1">
        <v>0.0</v>
      </c>
      <c r="X3622" s="1">
        <v>2.0</v>
      </c>
      <c r="Y3622" s="1">
        <v>1.85</v>
      </c>
      <c r="Z3622" s="1">
        <v>7.2</v>
      </c>
    </row>
    <row r="3623" ht="14.25" customHeight="1">
      <c r="A3623" s="1" t="s">
        <v>26</v>
      </c>
      <c r="B3623" s="1" t="s">
        <v>17073</v>
      </c>
      <c r="C3623" s="1" t="s">
        <v>17074</v>
      </c>
      <c r="D3623" s="1">
        <v>1243961.0</v>
      </c>
      <c r="E3623" s="1" t="s">
        <v>1885</v>
      </c>
      <c r="F3623" s="1" t="s">
        <v>10051</v>
      </c>
      <c r="G3623" s="1" t="s">
        <v>10228</v>
      </c>
      <c r="H3623" s="1" t="s">
        <v>10343</v>
      </c>
      <c r="I3623" s="1">
        <v>13421.0</v>
      </c>
      <c r="J3623" s="1" t="s">
        <v>17075</v>
      </c>
      <c r="K3623" s="1" t="s">
        <v>17076</v>
      </c>
      <c r="L3623" s="1">
        <v>34.0</v>
      </c>
      <c r="M3623" s="1" t="s">
        <v>35</v>
      </c>
      <c r="N3623" s="1" t="s">
        <v>36</v>
      </c>
      <c r="O3623" s="1" t="s">
        <v>628</v>
      </c>
      <c r="P3623" s="1">
        <v>850000.0</v>
      </c>
      <c r="Q3623" s="1">
        <v>2012.0</v>
      </c>
      <c r="R3623" s="1">
        <v>938.0</v>
      </c>
      <c r="S3623" s="1">
        <v>904.0</v>
      </c>
      <c r="T3623" s="1">
        <v>567.0</v>
      </c>
      <c r="U3623" s="1">
        <v>3770.0</v>
      </c>
      <c r="V3623" s="1">
        <v>15.0</v>
      </c>
      <c r="W3623" s="1">
        <v>0.0</v>
      </c>
      <c r="X3623" s="1">
        <v>0.0</v>
      </c>
      <c r="Y3623" s="1">
        <v>2.35</v>
      </c>
      <c r="Z3623" s="1">
        <v>6.0</v>
      </c>
    </row>
    <row r="3624" ht="14.25" customHeight="1">
      <c r="A3624" s="1" t="s">
        <v>26</v>
      </c>
      <c r="B3624" s="1" t="s">
        <v>17077</v>
      </c>
      <c r="C3624" s="1" t="s">
        <v>17078</v>
      </c>
      <c r="D3624" s="1">
        <v>15278.0</v>
      </c>
      <c r="E3624" s="1" t="s">
        <v>17079</v>
      </c>
      <c r="F3624" s="1" t="s">
        <v>17080</v>
      </c>
      <c r="G3624" s="1" t="s">
        <v>17081</v>
      </c>
      <c r="H3624" s="1" t="s">
        <v>17082</v>
      </c>
      <c r="I3624" s="1">
        <v>1742.0</v>
      </c>
      <c r="J3624" s="1" t="s">
        <v>17083</v>
      </c>
      <c r="K3624" s="1" t="s">
        <v>17084</v>
      </c>
      <c r="L3624" s="1">
        <v>158.0</v>
      </c>
      <c r="M3624" s="1" t="s">
        <v>35</v>
      </c>
      <c r="N3624" s="1" t="s">
        <v>36</v>
      </c>
      <c r="O3624" s="1" t="s">
        <v>87</v>
      </c>
      <c r="P3624" s="1">
        <v>825000.0</v>
      </c>
      <c r="Q3624" s="1">
        <v>2002.0</v>
      </c>
      <c r="R3624" s="1">
        <v>284.0</v>
      </c>
      <c r="S3624" s="1">
        <v>234.0</v>
      </c>
      <c r="T3624" s="1">
        <v>221.0</v>
      </c>
      <c r="U3624" s="1">
        <v>1185.0</v>
      </c>
      <c r="V3624" s="1">
        <v>14.0</v>
      </c>
      <c r="W3624" s="1">
        <v>409.0</v>
      </c>
      <c r="X3624" s="1">
        <v>1.0</v>
      </c>
      <c r="Y3624" s="1">
        <v>1.85</v>
      </c>
      <c r="Z3624" s="1">
        <v>5.6</v>
      </c>
    </row>
    <row r="3625" ht="14.25" customHeight="1">
      <c r="A3625" s="1" t="s">
        <v>26</v>
      </c>
      <c r="B3625" s="1" t="s">
        <v>17085</v>
      </c>
      <c r="C3625" s="1" t="s">
        <v>17086</v>
      </c>
      <c r="D3625" s="1">
        <v>7098492.0</v>
      </c>
      <c r="E3625" s="1" t="s">
        <v>7540</v>
      </c>
      <c r="F3625" s="1" t="s">
        <v>17087</v>
      </c>
      <c r="G3625" s="1" t="s">
        <v>17088</v>
      </c>
      <c r="H3625" s="1" t="s">
        <v>17089</v>
      </c>
      <c r="I3625" s="1">
        <v>151812.0</v>
      </c>
      <c r="J3625" s="1" t="s">
        <v>17090</v>
      </c>
      <c r="K3625" s="1" t="s">
        <v>17091</v>
      </c>
      <c r="L3625" s="1">
        <v>264.0</v>
      </c>
      <c r="M3625" s="1" t="s">
        <v>17092</v>
      </c>
      <c r="N3625" s="1" t="s">
        <v>12153</v>
      </c>
      <c r="O3625" s="1" t="s">
        <v>37</v>
      </c>
      <c r="P3625" s="1">
        <v>500000.0</v>
      </c>
      <c r="Q3625" s="1">
        <v>2011.0</v>
      </c>
      <c r="R3625" s="1">
        <v>786.0</v>
      </c>
      <c r="S3625" s="1">
        <v>712.0</v>
      </c>
      <c r="T3625" s="1">
        <v>620.0</v>
      </c>
      <c r="U3625" s="1">
        <v>2501.0</v>
      </c>
      <c r="V3625" s="1">
        <v>0.0</v>
      </c>
      <c r="W3625" s="1">
        <v>48000.0</v>
      </c>
      <c r="X3625" s="1">
        <v>2.0</v>
      </c>
      <c r="Y3625" s="1">
        <v>1.85</v>
      </c>
      <c r="Z3625" s="1">
        <v>8.4</v>
      </c>
    </row>
    <row r="3626" ht="14.25" customHeight="1">
      <c r="A3626" s="1" t="s">
        <v>26</v>
      </c>
      <c r="B3626" s="1" t="s">
        <v>17093</v>
      </c>
      <c r="C3626" s="1" t="s">
        <v>17094</v>
      </c>
      <c r="D3626" s="1">
        <v>4771000.0</v>
      </c>
      <c r="E3626" s="1" t="s">
        <v>2422</v>
      </c>
      <c r="F3626" s="1" t="s">
        <v>7612</v>
      </c>
      <c r="G3626" s="1" t="s">
        <v>17095</v>
      </c>
      <c r="H3626" s="1" t="s">
        <v>17096</v>
      </c>
      <c r="I3626" s="1">
        <v>26513.0</v>
      </c>
      <c r="J3626" s="1" t="s">
        <v>17097</v>
      </c>
      <c r="K3626" s="1" t="s">
        <v>17098</v>
      </c>
      <c r="L3626" s="1">
        <v>174.0</v>
      </c>
      <c r="M3626" s="1" t="s">
        <v>35</v>
      </c>
      <c r="N3626" s="1" t="s">
        <v>36</v>
      </c>
      <c r="O3626" s="1" t="s">
        <v>628</v>
      </c>
      <c r="P3626" s="1">
        <v>800000.0</v>
      </c>
      <c r="Q3626" s="1">
        <v>1995.0</v>
      </c>
      <c r="R3626" s="1">
        <v>529.0</v>
      </c>
      <c r="S3626" s="1">
        <v>502.0</v>
      </c>
      <c r="T3626" s="1">
        <v>236.0</v>
      </c>
      <c r="U3626" s="1">
        <v>1502.0</v>
      </c>
      <c r="V3626" s="1">
        <v>377.0</v>
      </c>
      <c r="W3626" s="1">
        <v>0.0</v>
      </c>
      <c r="X3626" s="1">
        <v>1.0</v>
      </c>
      <c r="Y3626" s="1">
        <v>1.85</v>
      </c>
      <c r="Z3626" s="1">
        <v>7.5</v>
      </c>
    </row>
    <row r="3627" ht="14.25" customHeight="1">
      <c r="A3627" s="1" t="s">
        <v>26</v>
      </c>
      <c r="B3627" s="1" t="s">
        <v>16090</v>
      </c>
      <c r="C3627" s="1" t="s">
        <v>17099</v>
      </c>
      <c r="D3627" s="1">
        <v>1001437.0</v>
      </c>
      <c r="E3627" s="1" t="s">
        <v>206</v>
      </c>
      <c r="F3627" s="1" t="s">
        <v>17100</v>
      </c>
      <c r="G3627" s="1" t="s">
        <v>12117</v>
      </c>
      <c r="H3627" s="1" t="s">
        <v>17101</v>
      </c>
      <c r="I3627" s="1">
        <v>2039.0</v>
      </c>
      <c r="J3627" s="1" t="s">
        <v>17102</v>
      </c>
      <c r="K3627" s="1" t="s">
        <v>17103</v>
      </c>
      <c r="L3627" s="1">
        <v>28.0</v>
      </c>
      <c r="M3627" s="1" t="s">
        <v>35</v>
      </c>
      <c r="N3627" s="1" t="s">
        <v>36</v>
      </c>
      <c r="O3627" s="1" t="s">
        <v>628</v>
      </c>
      <c r="P3627" s="1">
        <v>800000.0</v>
      </c>
      <c r="Q3627" s="1">
        <v>1993.0</v>
      </c>
      <c r="R3627" s="1">
        <v>159.0</v>
      </c>
      <c r="S3627" s="1">
        <v>143.0</v>
      </c>
      <c r="T3627" s="1">
        <v>86.0</v>
      </c>
      <c r="U3627" s="1">
        <v>423.0</v>
      </c>
      <c r="V3627" s="1">
        <v>9.0</v>
      </c>
      <c r="W3627" s="1">
        <v>81.0</v>
      </c>
      <c r="X3627" s="1">
        <v>1.0</v>
      </c>
      <c r="Y3627" s="1">
        <v>1.85</v>
      </c>
      <c r="Z3627" s="1">
        <v>7.2</v>
      </c>
    </row>
    <row r="3628" ht="14.25" customHeight="1">
      <c r="A3628" s="1" t="s">
        <v>26</v>
      </c>
      <c r="B3628" s="1" t="s">
        <v>13232</v>
      </c>
      <c r="C3628" s="1" t="s">
        <v>17104</v>
      </c>
      <c r="D3628" s="1">
        <v>2073984.0</v>
      </c>
      <c r="E3628" s="1" t="s">
        <v>206</v>
      </c>
      <c r="F3628" s="1" t="s">
        <v>17105</v>
      </c>
      <c r="G3628" s="1" t="s">
        <v>10285</v>
      </c>
      <c r="H3628" s="1" t="s">
        <v>17106</v>
      </c>
      <c r="I3628" s="1">
        <v>4743.0</v>
      </c>
      <c r="J3628" s="1" t="s">
        <v>17107</v>
      </c>
      <c r="K3628" s="1" t="s">
        <v>17108</v>
      </c>
      <c r="L3628" s="1">
        <v>135.0</v>
      </c>
      <c r="M3628" s="1" t="s">
        <v>35</v>
      </c>
      <c r="N3628" s="1" t="s">
        <v>1832</v>
      </c>
      <c r="O3628" s="1" t="s">
        <v>628</v>
      </c>
      <c r="P3628" s="1">
        <v>800000.0</v>
      </c>
      <c r="Q3628" s="1">
        <v>2002.0</v>
      </c>
      <c r="R3628" s="1">
        <v>302.0</v>
      </c>
      <c r="S3628" s="1">
        <v>270.0</v>
      </c>
      <c r="T3628" s="1">
        <v>68.0</v>
      </c>
      <c r="U3628" s="1">
        <v>663.0</v>
      </c>
      <c r="V3628" s="1">
        <v>6.0</v>
      </c>
      <c r="W3628" s="1">
        <v>219.0</v>
      </c>
      <c r="X3628" s="1">
        <v>1.0</v>
      </c>
      <c r="Y3628" s="1">
        <v>1.85</v>
      </c>
      <c r="Z3628" s="1">
        <v>7.2</v>
      </c>
    </row>
    <row r="3629" ht="14.25" customHeight="1">
      <c r="A3629" s="1" t="s">
        <v>26</v>
      </c>
      <c r="B3629" s="1" t="s">
        <v>4125</v>
      </c>
      <c r="C3629" s="1" t="s">
        <v>17109</v>
      </c>
      <c r="D3629" s="1">
        <v>144583.0</v>
      </c>
      <c r="E3629" s="1" t="s">
        <v>3868</v>
      </c>
      <c r="F3629" s="1" t="s">
        <v>3070</v>
      </c>
      <c r="G3629" s="1" t="s">
        <v>12394</v>
      </c>
      <c r="H3629" s="1" t="s">
        <v>3758</v>
      </c>
      <c r="I3629" s="1">
        <v>2256.0</v>
      </c>
      <c r="J3629" s="1" t="s">
        <v>17110</v>
      </c>
      <c r="K3629" s="1" t="s">
        <v>17111</v>
      </c>
      <c r="L3629" s="1">
        <v>79.0</v>
      </c>
      <c r="M3629" s="1" t="s">
        <v>35</v>
      </c>
      <c r="N3629" s="1" t="s">
        <v>1832</v>
      </c>
      <c r="O3629" s="1" t="s">
        <v>628</v>
      </c>
      <c r="P3629" s="1">
        <v>800000.0</v>
      </c>
      <c r="Q3629" s="1">
        <v>1999.0</v>
      </c>
      <c r="R3629" s="1">
        <v>574.0</v>
      </c>
      <c r="S3629" s="1">
        <v>573.0</v>
      </c>
      <c r="T3629" s="1">
        <v>501.0</v>
      </c>
      <c r="U3629" s="1">
        <v>1983.0</v>
      </c>
      <c r="V3629" s="1">
        <v>37.0</v>
      </c>
      <c r="W3629" s="1">
        <v>130.0</v>
      </c>
      <c r="X3629" s="1">
        <v>0.0</v>
      </c>
      <c r="Y3629" s="1">
        <v>1.85</v>
      </c>
      <c r="Z3629" s="1">
        <v>6.5</v>
      </c>
    </row>
    <row r="3630" ht="14.25" customHeight="1">
      <c r="A3630" s="1" t="s">
        <v>26</v>
      </c>
      <c r="B3630" s="1" t="s">
        <v>4882</v>
      </c>
      <c r="C3630" s="1" t="s">
        <v>17112</v>
      </c>
      <c r="D3630" s="1">
        <v>41709.0</v>
      </c>
      <c r="E3630" s="1" t="s">
        <v>7114</v>
      </c>
      <c r="F3630" s="1" t="s">
        <v>17113</v>
      </c>
      <c r="G3630" s="1" t="s">
        <v>17114</v>
      </c>
      <c r="H3630" s="1" t="s">
        <v>17115</v>
      </c>
      <c r="I3630" s="1">
        <v>54601.0</v>
      </c>
      <c r="J3630" s="1" t="s">
        <v>17116</v>
      </c>
      <c r="K3630" s="1" t="s">
        <v>17117</v>
      </c>
      <c r="L3630" s="1">
        <v>200.0</v>
      </c>
      <c r="M3630" s="1" t="s">
        <v>14952</v>
      </c>
      <c r="N3630" s="1" t="s">
        <v>14953</v>
      </c>
      <c r="O3630" s="1" t="s">
        <v>9252</v>
      </c>
      <c r="P3630" s="1">
        <v>800000.0</v>
      </c>
      <c r="Q3630" s="1">
        <v>2009.0</v>
      </c>
      <c r="R3630" s="1">
        <v>35.0</v>
      </c>
      <c r="S3630" s="1">
        <v>16.0</v>
      </c>
      <c r="T3630" s="1">
        <v>13.0</v>
      </c>
      <c r="U3630" s="1">
        <v>116.0</v>
      </c>
      <c r="V3630" s="1">
        <v>75.0</v>
      </c>
      <c r="W3630" s="1">
        <v>23000.0</v>
      </c>
      <c r="X3630" s="1">
        <v>0.0</v>
      </c>
      <c r="Y3630" s="1">
        <v>1.85</v>
      </c>
      <c r="Z3630" s="1">
        <v>6.4</v>
      </c>
    </row>
    <row r="3631" ht="14.25" customHeight="1">
      <c r="A3631" s="1" t="s">
        <v>26</v>
      </c>
      <c r="B3631" s="1" t="s">
        <v>1376</v>
      </c>
      <c r="C3631" s="1" t="s">
        <v>17118</v>
      </c>
      <c r="D3631" s="1">
        <v>1.15E8</v>
      </c>
      <c r="E3631" s="1" t="s">
        <v>8240</v>
      </c>
      <c r="F3631" s="1" t="s">
        <v>383</v>
      </c>
      <c r="G3631" s="1" t="s">
        <v>813</v>
      </c>
      <c r="H3631" s="1" t="s">
        <v>17119</v>
      </c>
      <c r="I3631" s="1">
        <v>63839.0</v>
      </c>
      <c r="J3631" s="1" t="s">
        <v>17120</v>
      </c>
      <c r="K3631" s="1" t="s">
        <v>17121</v>
      </c>
      <c r="L3631" s="1">
        <v>238.0</v>
      </c>
      <c r="M3631" s="1" t="s">
        <v>35</v>
      </c>
      <c r="N3631" s="1" t="s">
        <v>36</v>
      </c>
      <c r="O3631" s="1" t="s">
        <v>87</v>
      </c>
      <c r="P3631" s="1">
        <v>777000.0</v>
      </c>
      <c r="Q3631" s="1">
        <v>1973.0</v>
      </c>
      <c r="R3631" s="1">
        <v>11000.0</v>
      </c>
      <c r="S3631" s="1">
        <v>2000.0</v>
      </c>
      <c r="T3631" s="1">
        <v>425.0</v>
      </c>
      <c r="U3631" s="1">
        <v>14954.0</v>
      </c>
      <c r="V3631" s="1">
        <v>0.0</v>
      </c>
      <c r="W3631" s="1">
        <v>0.0</v>
      </c>
      <c r="X3631" s="1">
        <v>1.0</v>
      </c>
      <c r="Y3631" s="1">
        <v>2.35</v>
      </c>
      <c r="Z3631" s="1">
        <v>7.5</v>
      </c>
    </row>
    <row r="3632" ht="14.25" customHeight="1">
      <c r="A3632" s="1" t="s">
        <v>26</v>
      </c>
      <c r="B3632" s="1" t="s">
        <v>17122</v>
      </c>
      <c r="C3632" s="1" t="s">
        <v>17123</v>
      </c>
      <c r="D3632" s="1">
        <v>5518918.0</v>
      </c>
      <c r="E3632" s="1" t="s">
        <v>17124</v>
      </c>
      <c r="F3632" s="1" t="s">
        <v>4543</v>
      </c>
      <c r="G3632" s="1" t="s">
        <v>14021</v>
      </c>
      <c r="H3632" s="1" t="s">
        <v>11051</v>
      </c>
      <c r="I3632" s="1">
        <v>12160.0</v>
      </c>
      <c r="J3632" s="1" t="s">
        <v>17125</v>
      </c>
      <c r="K3632" s="1" t="s">
        <v>17126</v>
      </c>
      <c r="L3632" s="1">
        <v>73.0</v>
      </c>
      <c r="M3632" s="1" t="s">
        <v>35</v>
      </c>
      <c r="N3632" s="1" t="s">
        <v>36</v>
      </c>
      <c r="O3632" s="1" t="s">
        <v>628</v>
      </c>
      <c r="P3632" s="1">
        <v>750000.0</v>
      </c>
      <c r="Q3632" s="1">
        <v>2007.0</v>
      </c>
      <c r="R3632" s="1">
        <v>2000.0</v>
      </c>
      <c r="S3632" s="1">
        <v>424.0</v>
      </c>
      <c r="T3632" s="1">
        <v>357.0</v>
      </c>
      <c r="U3632" s="1">
        <v>3071.0</v>
      </c>
      <c r="V3632" s="1">
        <v>8.0</v>
      </c>
      <c r="W3632" s="1">
        <v>307.0</v>
      </c>
      <c r="X3632" s="1">
        <v>0.0</v>
      </c>
      <c r="Y3632" s="1">
        <v>1.85</v>
      </c>
      <c r="Z3632" s="1">
        <v>6.9</v>
      </c>
    </row>
    <row r="3633" ht="14.25" customHeight="1">
      <c r="A3633" s="1" t="s">
        <v>26</v>
      </c>
      <c r="B3633" s="1" t="s">
        <v>225</v>
      </c>
      <c r="C3633" s="1" t="s">
        <v>17127</v>
      </c>
      <c r="D3633" s="1">
        <v>4007792.0</v>
      </c>
      <c r="E3633" s="1" t="s">
        <v>1359</v>
      </c>
      <c r="F3633" s="1" t="s">
        <v>4918</v>
      </c>
      <c r="G3633" s="1" t="s">
        <v>9830</v>
      </c>
      <c r="H3633" s="1" t="s">
        <v>404</v>
      </c>
      <c r="I3633" s="1">
        <v>101287.0</v>
      </c>
      <c r="J3633" s="1" t="s">
        <v>17128</v>
      </c>
      <c r="K3633" s="1" t="s">
        <v>17129</v>
      </c>
      <c r="L3633" s="1">
        <v>260.0</v>
      </c>
      <c r="M3633" s="1" t="s">
        <v>35</v>
      </c>
      <c r="N3633" s="1" t="s">
        <v>36</v>
      </c>
      <c r="O3633" s="1" t="s">
        <v>628</v>
      </c>
      <c r="P3633" s="1">
        <v>750000.0</v>
      </c>
      <c r="Q3633" s="1">
        <v>2012.0</v>
      </c>
      <c r="R3633" s="1">
        <v>934.0</v>
      </c>
      <c r="S3633" s="1">
        <v>830.0</v>
      </c>
      <c r="T3633" s="1">
        <v>522.0</v>
      </c>
      <c r="U3633" s="1">
        <v>2714.0</v>
      </c>
      <c r="V3633" s="1">
        <v>365.0</v>
      </c>
      <c r="W3633" s="1">
        <v>31000.0</v>
      </c>
      <c r="X3633" s="1">
        <v>0.0</v>
      </c>
      <c r="Y3633" s="1">
        <v>2.35</v>
      </c>
      <c r="Z3633" s="1">
        <v>7.0</v>
      </c>
    </row>
    <row r="3634" ht="14.25" customHeight="1">
      <c r="A3634" s="1" t="s">
        <v>26</v>
      </c>
      <c r="B3634" s="1" t="s">
        <v>17130</v>
      </c>
      <c r="C3634" s="1" t="s">
        <v>17131</v>
      </c>
      <c r="D3634" s="1">
        <v>26297.0</v>
      </c>
      <c r="E3634" s="1" t="s">
        <v>6395</v>
      </c>
      <c r="F3634" s="1" t="s">
        <v>14300</v>
      </c>
      <c r="G3634" s="1" t="s">
        <v>9663</v>
      </c>
      <c r="H3634" s="1" t="s">
        <v>3342</v>
      </c>
      <c r="I3634" s="1">
        <v>25750.0</v>
      </c>
      <c r="J3634" s="1" t="s">
        <v>17132</v>
      </c>
      <c r="K3634" s="1" t="s">
        <v>17133</v>
      </c>
      <c r="L3634" s="1">
        <v>209.0</v>
      </c>
      <c r="M3634" s="1" t="s">
        <v>35</v>
      </c>
      <c r="N3634" s="1" t="s">
        <v>54</v>
      </c>
      <c r="O3634" s="1" t="s">
        <v>9252</v>
      </c>
      <c r="P3634" s="1">
        <v>500000.0</v>
      </c>
      <c r="Q3634" s="1">
        <v>2011.0</v>
      </c>
      <c r="R3634" s="1">
        <v>513.0</v>
      </c>
      <c r="S3634" s="1">
        <v>257.0</v>
      </c>
      <c r="T3634" s="1">
        <v>246.0</v>
      </c>
      <c r="U3634" s="1">
        <v>1269.0</v>
      </c>
      <c r="V3634" s="1">
        <v>214.0</v>
      </c>
      <c r="W3634" s="1">
        <v>0.0</v>
      </c>
      <c r="X3634" s="1">
        <v>0.0</v>
      </c>
      <c r="Y3634" s="1">
        <v>2.35</v>
      </c>
      <c r="Z3634" s="1">
        <v>6.3</v>
      </c>
    </row>
    <row r="3635" ht="14.25" customHeight="1">
      <c r="A3635" s="1" t="s">
        <v>26</v>
      </c>
      <c r="B3635" s="1" t="s">
        <v>16990</v>
      </c>
      <c r="C3635" s="1" t="s">
        <v>17134</v>
      </c>
      <c r="D3635" s="1">
        <v>77501.0</v>
      </c>
      <c r="E3635" s="1" t="s">
        <v>6019</v>
      </c>
      <c r="F3635" s="1" t="s">
        <v>16992</v>
      </c>
      <c r="G3635" s="1" t="s">
        <v>17135</v>
      </c>
      <c r="H3635" s="1" t="s">
        <v>17136</v>
      </c>
      <c r="I3635" s="1">
        <v>27260.0</v>
      </c>
      <c r="J3635" s="1" t="s">
        <v>17137</v>
      </c>
      <c r="K3635" s="1" t="s">
        <v>17138</v>
      </c>
      <c r="L3635" s="1">
        <v>247.0</v>
      </c>
      <c r="M3635" s="1" t="s">
        <v>35</v>
      </c>
      <c r="N3635" s="1" t="s">
        <v>36</v>
      </c>
      <c r="O3635" s="1" t="s">
        <v>628</v>
      </c>
      <c r="P3635" s="1">
        <v>750000.0</v>
      </c>
      <c r="Q3635" s="1">
        <v>2011.0</v>
      </c>
      <c r="R3635" s="1">
        <v>969.0</v>
      </c>
      <c r="S3635" s="1">
        <v>128.0</v>
      </c>
      <c r="T3635" s="1">
        <v>74.0</v>
      </c>
      <c r="U3635" s="1">
        <v>1252.0</v>
      </c>
      <c r="V3635" s="1">
        <v>243.0</v>
      </c>
      <c r="W3635" s="1">
        <v>0.0</v>
      </c>
      <c r="X3635" s="1">
        <v>0.0</v>
      </c>
      <c r="Y3635" s="1">
        <v>2.35</v>
      </c>
      <c r="Z3635" s="1">
        <v>5.5</v>
      </c>
    </row>
    <row r="3636" ht="14.25" customHeight="1">
      <c r="A3636" s="1" t="s">
        <v>26</v>
      </c>
      <c r="B3636" s="1" t="s">
        <v>3558</v>
      </c>
      <c r="C3636" s="1" t="s">
        <v>11220</v>
      </c>
      <c r="D3636" s="1">
        <v>4.2638165E7</v>
      </c>
      <c r="E3636" s="1" t="s">
        <v>2013</v>
      </c>
      <c r="F3636" s="1" t="s">
        <v>425</v>
      </c>
      <c r="G3636" s="1" t="s">
        <v>6511</v>
      </c>
      <c r="H3636" s="1" t="s">
        <v>11221</v>
      </c>
      <c r="I3636" s="1">
        <v>42183.0</v>
      </c>
      <c r="J3636" s="1" t="s">
        <v>11222</v>
      </c>
      <c r="K3636" s="1" t="s">
        <v>11223</v>
      </c>
      <c r="L3636" s="1">
        <v>230.0</v>
      </c>
      <c r="M3636" s="1" t="s">
        <v>35</v>
      </c>
      <c r="N3636" s="1" t="s">
        <v>36</v>
      </c>
      <c r="O3636" s="1" t="s">
        <v>37</v>
      </c>
      <c r="P3636" s="1">
        <v>1.6E7</v>
      </c>
      <c r="Q3636" s="1">
        <v>2009.0</v>
      </c>
      <c r="R3636" s="1">
        <v>10000.0</v>
      </c>
      <c r="S3636" s="1">
        <v>787.0</v>
      </c>
      <c r="T3636" s="1">
        <v>389.0</v>
      </c>
      <c r="U3636" s="1">
        <v>12183.0</v>
      </c>
      <c r="V3636" s="1">
        <v>687.0</v>
      </c>
      <c r="W3636" s="1">
        <v>0.0</v>
      </c>
      <c r="X3636" s="1">
        <v>1.0</v>
      </c>
      <c r="Y3636" s="1">
        <v>2.35</v>
      </c>
      <c r="Z3636" s="1">
        <v>4.8</v>
      </c>
    </row>
    <row r="3637" ht="14.25" customHeight="1">
      <c r="A3637" s="1" t="s">
        <v>26</v>
      </c>
      <c r="B3637" s="1" t="s">
        <v>2301</v>
      </c>
      <c r="C3637" s="1" t="s">
        <v>17139</v>
      </c>
      <c r="D3637" s="1">
        <v>47329.0</v>
      </c>
      <c r="E3637" s="1" t="s">
        <v>3238</v>
      </c>
      <c r="F3637" s="1" t="s">
        <v>17140</v>
      </c>
      <c r="G3637" s="1" t="s">
        <v>17141</v>
      </c>
      <c r="H3637" s="1" t="s">
        <v>17142</v>
      </c>
      <c r="I3637" s="1">
        <v>1661.0</v>
      </c>
      <c r="J3637" s="1" t="s">
        <v>17143</v>
      </c>
      <c r="K3637" s="1" t="s">
        <v>17144</v>
      </c>
      <c r="L3637" s="1">
        <v>31.0</v>
      </c>
      <c r="M3637" s="1" t="s">
        <v>35</v>
      </c>
      <c r="N3637" s="1" t="s">
        <v>36</v>
      </c>
      <c r="O3637" s="1" t="s">
        <v>628</v>
      </c>
      <c r="P3637" s="1">
        <v>750000.0</v>
      </c>
      <c r="Q3637" s="1">
        <v>2002.0</v>
      </c>
      <c r="R3637" s="1">
        <v>108.0</v>
      </c>
      <c r="S3637" s="1">
        <v>72.0</v>
      </c>
      <c r="T3637" s="1">
        <v>21.0</v>
      </c>
      <c r="U3637" s="1">
        <v>243.0</v>
      </c>
      <c r="V3637" s="1">
        <v>168.0</v>
      </c>
      <c r="W3637" s="1">
        <v>163.0</v>
      </c>
      <c r="X3637" s="1">
        <v>0.0</v>
      </c>
      <c r="Y3637" s="1">
        <v>1.78</v>
      </c>
      <c r="Z3637" s="1">
        <v>6.6</v>
      </c>
    </row>
    <row r="3638" ht="14.25" customHeight="1">
      <c r="A3638" s="1" t="s">
        <v>26</v>
      </c>
      <c r="B3638" s="1" t="s">
        <v>17145</v>
      </c>
      <c r="C3638" s="1" t="s">
        <v>17146</v>
      </c>
      <c r="D3638" s="1">
        <v>18378.0</v>
      </c>
      <c r="E3638" s="1" t="s">
        <v>6249</v>
      </c>
      <c r="F3638" s="1" t="s">
        <v>12489</v>
      </c>
      <c r="G3638" s="1" t="s">
        <v>17147</v>
      </c>
      <c r="H3638" s="1" t="s">
        <v>9477</v>
      </c>
      <c r="I3638" s="1">
        <v>9376.0</v>
      </c>
      <c r="J3638" s="1" t="s">
        <v>17148</v>
      </c>
      <c r="K3638" s="1" t="s">
        <v>17149</v>
      </c>
      <c r="L3638" s="1">
        <v>74.0</v>
      </c>
      <c r="M3638" s="1" t="s">
        <v>35</v>
      </c>
      <c r="N3638" s="1" t="s">
        <v>54</v>
      </c>
      <c r="O3638" s="1" t="s">
        <v>628</v>
      </c>
      <c r="P3638" s="1">
        <v>900000.0</v>
      </c>
      <c r="Q3638" s="1">
        <v>2008.0</v>
      </c>
      <c r="R3638" s="1">
        <v>1000.0</v>
      </c>
      <c r="S3638" s="1">
        <v>233.0</v>
      </c>
      <c r="T3638" s="1">
        <v>201.0</v>
      </c>
      <c r="U3638" s="1">
        <v>1558.0</v>
      </c>
      <c r="V3638" s="1">
        <v>4.0</v>
      </c>
      <c r="W3638" s="1">
        <v>0.0</v>
      </c>
      <c r="X3638" s="1">
        <v>0.0</v>
      </c>
      <c r="Y3638" s="1">
        <v>1.85</v>
      </c>
      <c r="Z3638" s="1">
        <v>5.2</v>
      </c>
    </row>
    <row r="3639" ht="14.25" customHeight="1">
      <c r="A3639" s="1" t="s">
        <v>26</v>
      </c>
      <c r="B3639" s="1" t="s">
        <v>14074</v>
      </c>
      <c r="C3639" s="1" t="s">
        <v>17150</v>
      </c>
      <c r="D3639" s="1">
        <v>7830611.0</v>
      </c>
      <c r="E3639" s="1" t="s">
        <v>17151</v>
      </c>
      <c r="F3639" s="1" t="s">
        <v>17152</v>
      </c>
      <c r="G3639" s="1" t="s">
        <v>17153</v>
      </c>
      <c r="H3639" s="1" t="s">
        <v>17154</v>
      </c>
      <c r="I3639" s="1">
        <v>18980.0</v>
      </c>
      <c r="J3639" s="1" t="s">
        <v>17155</v>
      </c>
      <c r="K3639" s="1" t="s">
        <v>17156</v>
      </c>
      <c r="L3639" s="1">
        <v>74.0</v>
      </c>
      <c r="M3639" s="1" t="s">
        <v>35</v>
      </c>
      <c r="N3639" s="1" t="s">
        <v>36</v>
      </c>
      <c r="O3639" s="1" t="s">
        <v>37</v>
      </c>
      <c r="P3639" s="1">
        <v>700000.0</v>
      </c>
      <c r="Q3639" s="1">
        <v>1994.0</v>
      </c>
      <c r="R3639" s="1">
        <v>7.0</v>
      </c>
      <c r="S3639" s="1">
        <v>6.0</v>
      </c>
      <c r="T3639" s="1">
        <v>2.0</v>
      </c>
      <c r="U3639" s="1">
        <v>15.0</v>
      </c>
      <c r="V3639" s="1">
        <v>23.0</v>
      </c>
      <c r="W3639" s="1">
        <v>0.0</v>
      </c>
      <c r="X3639" s="1">
        <v>0.0</v>
      </c>
      <c r="Y3639" s="1">
        <v>1.33</v>
      </c>
      <c r="Z3639" s="1">
        <v>8.3</v>
      </c>
    </row>
    <row r="3640" ht="14.25" customHeight="1">
      <c r="A3640" s="1" t="s">
        <v>26</v>
      </c>
      <c r="B3640" s="1" t="s">
        <v>15255</v>
      </c>
      <c r="C3640" s="1" t="s">
        <v>17157</v>
      </c>
      <c r="D3640" s="1">
        <v>1141829.0</v>
      </c>
      <c r="E3640" s="1" t="s">
        <v>1854</v>
      </c>
      <c r="F3640" s="1" t="s">
        <v>2741</v>
      </c>
      <c r="G3640" s="1" t="s">
        <v>5418</v>
      </c>
      <c r="H3640" s="1" t="s">
        <v>17158</v>
      </c>
      <c r="I3640" s="1">
        <v>8509.0</v>
      </c>
      <c r="J3640" s="1" t="s">
        <v>17159</v>
      </c>
      <c r="K3640" s="1" t="s">
        <v>17160</v>
      </c>
      <c r="L3640" s="1">
        <v>109.0</v>
      </c>
      <c r="M3640" s="1" t="s">
        <v>35</v>
      </c>
      <c r="N3640" s="1" t="s">
        <v>36</v>
      </c>
      <c r="O3640" s="1" t="s">
        <v>6326</v>
      </c>
      <c r="P3640" s="1">
        <v>700000.0</v>
      </c>
      <c r="Q3640" s="1">
        <v>2001.0</v>
      </c>
      <c r="R3640" s="1">
        <v>80.0</v>
      </c>
      <c r="S3640" s="1">
        <v>67.0</v>
      </c>
      <c r="T3640" s="1">
        <v>36.0</v>
      </c>
      <c r="U3640" s="1">
        <v>209.0</v>
      </c>
      <c r="V3640" s="1">
        <v>52.0</v>
      </c>
      <c r="W3640" s="1">
        <v>420.0</v>
      </c>
      <c r="X3640" s="1">
        <v>1.0</v>
      </c>
      <c r="Y3640" s="1">
        <v>1.85</v>
      </c>
      <c r="Z3640" s="1">
        <v>7.2</v>
      </c>
    </row>
    <row r="3641" ht="14.25" customHeight="1">
      <c r="A3641" s="1" t="s">
        <v>26</v>
      </c>
      <c r="B3641" s="1" t="s">
        <v>163</v>
      </c>
      <c r="C3641" s="1" t="s">
        <v>198</v>
      </c>
      <c r="D3641" s="1">
        <v>2.1805126E8</v>
      </c>
      <c r="E3641" s="1" t="s">
        <v>199</v>
      </c>
      <c r="F3641" s="1" t="s">
        <v>200</v>
      </c>
      <c r="G3641" s="1" t="s">
        <v>201</v>
      </c>
      <c r="H3641" s="1" t="s">
        <v>202</v>
      </c>
      <c r="I3641" s="1">
        <v>316027.0</v>
      </c>
      <c r="J3641" s="1" t="s">
        <v>203</v>
      </c>
      <c r="K3641" s="1" t="s">
        <v>204</v>
      </c>
      <c r="L3641" s="1">
        <v>2618.0</v>
      </c>
      <c r="M3641" s="1" t="s">
        <v>35</v>
      </c>
      <c r="N3641" s="1" t="s">
        <v>171</v>
      </c>
      <c r="O3641" s="1" t="s">
        <v>37</v>
      </c>
      <c r="P3641" s="1">
        <v>2.07E8</v>
      </c>
      <c r="Q3641" s="1">
        <v>2005.0</v>
      </c>
      <c r="R3641" s="1">
        <v>6000.0</v>
      </c>
      <c r="S3641" s="1">
        <v>918.0</v>
      </c>
      <c r="T3641" s="1">
        <v>84.0</v>
      </c>
      <c r="U3641" s="1">
        <v>7122.0</v>
      </c>
      <c r="V3641" s="1">
        <v>0.0</v>
      </c>
      <c r="W3641" s="1">
        <v>0.0</v>
      </c>
      <c r="X3641" s="1">
        <v>0.0</v>
      </c>
      <c r="Y3641" s="1">
        <v>2.35</v>
      </c>
      <c r="Z3641" s="1">
        <v>7.2</v>
      </c>
    </row>
    <row r="3642" ht="14.25" customHeight="1">
      <c r="A3642" s="1" t="s">
        <v>26</v>
      </c>
      <c r="B3642" s="1" t="s">
        <v>4844</v>
      </c>
      <c r="C3642" s="1" t="s">
        <v>7010</v>
      </c>
      <c r="D3642" s="1">
        <v>3.2048809E7</v>
      </c>
      <c r="E3642" s="1" t="s">
        <v>6019</v>
      </c>
      <c r="F3642" s="1" t="s">
        <v>5412</v>
      </c>
      <c r="G3642" s="1" t="s">
        <v>7011</v>
      </c>
      <c r="H3642" s="1" t="s">
        <v>7012</v>
      </c>
      <c r="I3642" s="1">
        <v>94463.0</v>
      </c>
      <c r="J3642" s="1" t="s">
        <v>7013</v>
      </c>
      <c r="K3642" s="1" t="s">
        <v>7014</v>
      </c>
      <c r="L3642" s="1">
        <v>576.0</v>
      </c>
      <c r="M3642" s="1" t="s">
        <v>35</v>
      </c>
      <c r="N3642" s="1" t="s">
        <v>362</v>
      </c>
      <c r="O3642" s="1" t="s">
        <v>628</v>
      </c>
      <c r="P3642" s="1">
        <v>3.0E7</v>
      </c>
      <c r="Q3642" s="1">
        <v>2005.0</v>
      </c>
      <c r="R3642" s="1">
        <v>730.0</v>
      </c>
      <c r="S3642" s="1">
        <v>716.0</v>
      </c>
      <c r="T3642" s="1">
        <v>324.0</v>
      </c>
      <c r="U3642" s="1">
        <v>2160.0</v>
      </c>
      <c r="V3642" s="1">
        <v>174.0</v>
      </c>
      <c r="W3642" s="1">
        <v>0.0</v>
      </c>
      <c r="X3642" s="1">
        <v>0.0</v>
      </c>
      <c r="Y3642" s="1">
        <v>1.85</v>
      </c>
      <c r="Z3642" s="1">
        <v>5.3</v>
      </c>
    </row>
    <row r="3643" ht="14.25" customHeight="1">
      <c r="A3643" s="1" t="s">
        <v>26</v>
      </c>
      <c r="B3643" s="1" t="s">
        <v>17161</v>
      </c>
      <c r="C3643" s="1" t="s">
        <v>17162</v>
      </c>
      <c r="D3643" s="1">
        <v>2694973.0</v>
      </c>
      <c r="E3643" s="1" t="s">
        <v>3238</v>
      </c>
      <c r="F3643" s="1" t="s">
        <v>4002</v>
      </c>
      <c r="G3643" s="1" t="s">
        <v>4264</v>
      </c>
      <c r="H3643" s="1" t="s">
        <v>17163</v>
      </c>
      <c r="I3643" s="1">
        <v>70885.0</v>
      </c>
      <c r="J3643" s="1" t="s">
        <v>17164</v>
      </c>
      <c r="K3643" s="1" t="s">
        <v>17165</v>
      </c>
      <c r="L3643" s="1">
        <v>189.0</v>
      </c>
      <c r="M3643" s="1" t="s">
        <v>35</v>
      </c>
      <c r="N3643" s="1" t="s">
        <v>36</v>
      </c>
      <c r="O3643" s="1" t="s">
        <v>628</v>
      </c>
      <c r="P3643" s="1">
        <v>700000.0</v>
      </c>
      <c r="Q3643" s="1">
        <v>2006.0</v>
      </c>
      <c r="R3643" s="1">
        <v>33000.0</v>
      </c>
      <c r="S3643" s="1">
        <v>519.0</v>
      </c>
      <c r="T3643" s="1">
        <v>71.0</v>
      </c>
      <c r="U3643" s="1">
        <v>33734.0</v>
      </c>
      <c r="V3643" s="1">
        <v>31.0</v>
      </c>
      <c r="W3643" s="1">
        <v>0.0</v>
      </c>
      <c r="X3643" s="1">
        <v>2.0</v>
      </c>
      <c r="Y3643" s="1">
        <v>1.85</v>
      </c>
      <c r="Z3643" s="1">
        <v>7.2</v>
      </c>
    </row>
    <row r="3644" ht="14.25" customHeight="1">
      <c r="A3644" s="1" t="s">
        <v>710</v>
      </c>
      <c r="B3644" s="1" t="s">
        <v>17166</v>
      </c>
      <c r="C3644" s="1" t="s">
        <v>17167</v>
      </c>
      <c r="D3644" s="1">
        <v>3000000.0</v>
      </c>
      <c r="E3644" s="1" t="s">
        <v>10315</v>
      </c>
      <c r="F3644" s="1" t="s">
        <v>17168</v>
      </c>
      <c r="G3644" s="1" t="s">
        <v>17169</v>
      </c>
      <c r="H3644" s="1" t="s">
        <v>17170</v>
      </c>
      <c r="I3644" s="1">
        <v>13269.0</v>
      </c>
      <c r="J3644" s="1" t="s">
        <v>17171</v>
      </c>
      <c r="K3644" s="1" t="s">
        <v>17172</v>
      </c>
      <c r="L3644" s="1">
        <v>98.0</v>
      </c>
      <c r="M3644" s="1" t="s">
        <v>35</v>
      </c>
      <c r="N3644" s="1" t="s">
        <v>36</v>
      </c>
      <c r="O3644" s="1" t="s">
        <v>5661</v>
      </c>
      <c r="P3644" s="1">
        <v>609000.0</v>
      </c>
      <c r="Q3644" s="1">
        <v>1935.0</v>
      </c>
      <c r="R3644" s="1">
        <v>610.0</v>
      </c>
      <c r="S3644" s="1">
        <v>172.0</v>
      </c>
      <c r="T3644" s="1">
        <v>23.0</v>
      </c>
      <c r="U3644" s="1">
        <v>824.0</v>
      </c>
      <c r="V3644" s="1">
        <v>10.0</v>
      </c>
      <c r="W3644" s="1">
        <v>1000.0</v>
      </c>
      <c r="X3644" s="1">
        <v>2.0</v>
      </c>
      <c r="Y3644" s="1">
        <v>1.37</v>
      </c>
      <c r="Z3644" s="1">
        <v>7.8</v>
      </c>
    </row>
    <row r="3645" ht="14.25" customHeight="1">
      <c r="A3645" s="1" t="s">
        <v>710</v>
      </c>
      <c r="B3645" s="1" t="s">
        <v>17173</v>
      </c>
      <c r="C3645" s="1" t="s">
        <v>17174</v>
      </c>
      <c r="D3645" s="1">
        <v>1.40530114E8</v>
      </c>
      <c r="E3645" s="1" t="s">
        <v>6019</v>
      </c>
      <c r="F3645" s="1" t="s">
        <v>17175</v>
      </c>
      <c r="G3645" s="1" t="s">
        <v>17176</v>
      </c>
      <c r="H3645" s="1" t="s">
        <v>17177</v>
      </c>
      <c r="I3645" s="1">
        <v>186786.0</v>
      </c>
      <c r="J3645" s="1" t="s">
        <v>17178</v>
      </c>
      <c r="K3645" s="1" t="s">
        <v>17179</v>
      </c>
      <c r="L3645" s="1">
        <v>3400.0</v>
      </c>
      <c r="M3645" s="1" t="s">
        <v>35</v>
      </c>
      <c r="N3645" s="1" t="s">
        <v>36</v>
      </c>
      <c r="O3645" s="1" t="s">
        <v>628</v>
      </c>
      <c r="P3645" s="1">
        <v>60000.0</v>
      </c>
      <c r="Q3645" s="1">
        <v>1999.0</v>
      </c>
      <c r="R3645" s="1">
        <v>170.0</v>
      </c>
      <c r="S3645" s="1">
        <v>170.0</v>
      </c>
      <c r="T3645" s="1">
        <v>39.0</v>
      </c>
      <c r="U3645" s="1">
        <v>399.0</v>
      </c>
      <c r="V3645" s="1">
        <v>19.0</v>
      </c>
      <c r="W3645" s="1">
        <v>0.0</v>
      </c>
      <c r="X3645" s="1">
        <v>0.0</v>
      </c>
      <c r="Y3645" s="1">
        <v>1.33</v>
      </c>
      <c r="Z3645" s="1">
        <v>6.4</v>
      </c>
    </row>
    <row r="3646" ht="14.25" customHeight="1">
      <c r="A3646" s="1" t="s">
        <v>26</v>
      </c>
      <c r="B3646" s="1" t="s">
        <v>17180</v>
      </c>
      <c r="C3646" s="1" t="s">
        <v>17181</v>
      </c>
      <c r="D3646" s="1">
        <v>1.33E7</v>
      </c>
      <c r="E3646" s="1" t="s">
        <v>17182</v>
      </c>
      <c r="F3646" s="1" t="s">
        <v>17183</v>
      </c>
      <c r="G3646" s="1" t="s">
        <v>17184</v>
      </c>
      <c r="H3646" s="1" t="s">
        <v>17185</v>
      </c>
      <c r="I3646" s="1">
        <v>12631.0</v>
      </c>
      <c r="J3646" s="1" t="s">
        <v>17186</v>
      </c>
      <c r="K3646" s="1" t="s">
        <v>17187</v>
      </c>
      <c r="L3646" s="1">
        <v>63.0</v>
      </c>
      <c r="M3646" s="1" t="s">
        <v>35</v>
      </c>
      <c r="N3646" s="1" t="s">
        <v>36</v>
      </c>
      <c r="O3646" s="1" t="s">
        <v>628</v>
      </c>
      <c r="P3646" s="1">
        <v>600000.0</v>
      </c>
      <c r="Q3646" s="1">
        <v>1970.0</v>
      </c>
      <c r="R3646" s="1">
        <v>262.0</v>
      </c>
      <c r="S3646" s="1">
        <v>227.0</v>
      </c>
      <c r="T3646" s="1">
        <v>136.0</v>
      </c>
      <c r="U3646" s="1">
        <v>778.0</v>
      </c>
      <c r="V3646" s="1">
        <v>14.0</v>
      </c>
      <c r="W3646" s="1">
        <v>0.0</v>
      </c>
      <c r="X3646" s="1">
        <v>0.0</v>
      </c>
      <c r="Y3646" s="1">
        <v>2.2</v>
      </c>
      <c r="Z3646" s="1">
        <v>8.1</v>
      </c>
    </row>
    <row r="3647" ht="14.25" customHeight="1">
      <c r="A3647" s="1" t="s">
        <v>26</v>
      </c>
      <c r="B3647" s="1" t="s">
        <v>17188</v>
      </c>
      <c r="C3647" s="1" t="s">
        <v>17189</v>
      </c>
      <c r="D3647" s="1">
        <v>171988.0</v>
      </c>
      <c r="E3647" s="1" t="s">
        <v>13449</v>
      </c>
      <c r="F3647" s="1" t="s">
        <v>1265</v>
      </c>
      <c r="G3647" s="1" t="s">
        <v>17190</v>
      </c>
      <c r="H3647" s="1" t="s">
        <v>17191</v>
      </c>
      <c r="I3647" s="1">
        <v>448.0</v>
      </c>
      <c r="J3647" s="1" t="s">
        <v>17192</v>
      </c>
      <c r="K3647" s="1" t="s">
        <v>17193</v>
      </c>
      <c r="L3647" s="1">
        <v>16.0</v>
      </c>
      <c r="M3647" s="1" t="s">
        <v>35</v>
      </c>
      <c r="N3647" s="1" t="s">
        <v>36</v>
      </c>
      <c r="O3647" s="1" t="s">
        <v>37</v>
      </c>
      <c r="P3647" s="1">
        <v>600000.0</v>
      </c>
      <c r="Q3647" s="1">
        <v>2000.0</v>
      </c>
      <c r="R3647" s="1">
        <v>602.0</v>
      </c>
      <c r="S3647" s="1">
        <v>266.0</v>
      </c>
      <c r="T3647" s="1">
        <v>254.0</v>
      </c>
      <c r="U3647" s="1">
        <v>1281.0</v>
      </c>
      <c r="V3647" s="1">
        <v>16.0</v>
      </c>
      <c r="W3647" s="1">
        <v>12.0</v>
      </c>
      <c r="X3647" s="1">
        <v>1.0</v>
      </c>
      <c r="Y3647" s="1">
        <v>1.85</v>
      </c>
      <c r="Z3647" s="1">
        <v>5.6</v>
      </c>
    </row>
    <row r="3648" ht="14.25" customHeight="1">
      <c r="A3648" s="1" t="s">
        <v>26</v>
      </c>
      <c r="B3648" s="1" t="s">
        <v>17194</v>
      </c>
      <c r="C3648" s="1" t="s">
        <v>17195</v>
      </c>
      <c r="D3648" s="1">
        <v>13493.0</v>
      </c>
      <c r="E3648" s="1" t="s">
        <v>3238</v>
      </c>
      <c r="F3648" s="1" t="s">
        <v>2194</v>
      </c>
      <c r="G3648" s="1" t="s">
        <v>9736</v>
      </c>
      <c r="H3648" s="1" t="s">
        <v>17196</v>
      </c>
      <c r="I3648" s="1">
        <v>531.0</v>
      </c>
      <c r="J3648" s="1" t="s">
        <v>17197</v>
      </c>
      <c r="K3648" s="1" t="s">
        <v>17198</v>
      </c>
      <c r="L3648" s="1">
        <v>19.0</v>
      </c>
      <c r="M3648" s="1" t="s">
        <v>35</v>
      </c>
      <c r="N3648" s="1" t="s">
        <v>36</v>
      </c>
      <c r="O3648" s="1" t="s">
        <v>628</v>
      </c>
      <c r="P3648" s="1">
        <v>600000.0</v>
      </c>
      <c r="Q3648" s="1">
        <v>1998.0</v>
      </c>
      <c r="R3648" s="1">
        <v>919.0</v>
      </c>
      <c r="S3648" s="1">
        <v>711.0</v>
      </c>
      <c r="T3648" s="1">
        <v>218.0</v>
      </c>
      <c r="U3648" s="1">
        <v>2288.0</v>
      </c>
      <c r="V3648" s="1">
        <v>4.0</v>
      </c>
      <c r="W3648" s="1">
        <v>51.0</v>
      </c>
      <c r="X3648" s="1">
        <v>0.0</v>
      </c>
      <c r="Y3648" s="1">
        <v>1.85</v>
      </c>
      <c r="Z3648" s="1">
        <v>6.6</v>
      </c>
    </row>
    <row r="3649" ht="14.25" customHeight="1">
      <c r="A3649" s="1" t="s">
        <v>710</v>
      </c>
      <c r="B3649" s="1" t="s">
        <v>4591</v>
      </c>
      <c r="C3649" s="1" t="s">
        <v>17199</v>
      </c>
      <c r="D3649" s="1">
        <v>515005.0</v>
      </c>
      <c r="E3649" s="1" t="s">
        <v>5564</v>
      </c>
      <c r="F3649" s="1" t="s">
        <v>17200</v>
      </c>
      <c r="G3649" s="1" t="s">
        <v>17201</v>
      </c>
      <c r="H3649" s="1" t="s">
        <v>17202</v>
      </c>
      <c r="I3649" s="1">
        <v>31429.0</v>
      </c>
      <c r="J3649" s="1" t="s">
        <v>17203</v>
      </c>
      <c r="K3649" s="1" t="s">
        <v>17204</v>
      </c>
      <c r="L3649" s="1">
        <v>219.0</v>
      </c>
      <c r="M3649" s="1" t="s">
        <v>35</v>
      </c>
      <c r="N3649" s="1" t="s">
        <v>54</v>
      </c>
      <c r="O3649" s="1" t="s">
        <v>5661</v>
      </c>
      <c r="P3649" s="1">
        <v>560000.0</v>
      </c>
      <c r="Q3649" s="1">
        <v>1964.0</v>
      </c>
      <c r="R3649" s="1">
        <v>785.0</v>
      </c>
      <c r="S3649" s="1">
        <v>725.0</v>
      </c>
      <c r="T3649" s="1">
        <v>704.0</v>
      </c>
      <c r="U3649" s="1">
        <v>2538.0</v>
      </c>
      <c r="V3649" s="1">
        <v>44.0</v>
      </c>
      <c r="W3649" s="1">
        <v>0.0</v>
      </c>
      <c r="X3649" s="1">
        <v>1.0</v>
      </c>
      <c r="Y3649" s="1">
        <v>1.75</v>
      </c>
      <c r="Z3649" s="1">
        <v>7.7</v>
      </c>
    </row>
    <row r="3650" ht="14.25" customHeight="1">
      <c r="A3650" s="1" t="s">
        <v>26</v>
      </c>
      <c r="B3650" s="1" t="s">
        <v>16311</v>
      </c>
      <c r="C3650" s="1" t="s">
        <v>17205</v>
      </c>
      <c r="D3650" s="1">
        <v>3.3451479E7</v>
      </c>
      <c r="E3650" s="1" t="s">
        <v>206</v>
      </c>
      <c r="F3650" s="1" t="s">
        <v>17206</v>
      </c>
      <c r="G3650" s="1" t="s">
        <v>17207</v>
      </c>
      <c r="H3650" s="1" t="s">
        <v>17208</v>
      </c>
      <c r="I3650" s="1">
        <v>17068.0</v>
      </c>
      <c r="J3650" s="1" t="s">
        <v>17209</v>
      </c>
      <c r="K3650" s="1" t="s">
        <v>17210</v>
      </c>
      <c r="L3650" s="1">
        <v>215.0</v>
      </c>
      <c r="M3650" s="1" t="s">
        <v>35</v>
      </c>
      <c r="N3650" s="1" t="s">
        <v>36</v>
      </c>
      <c r="O3650" s="1" t="s">
        <v>87</v>
      </c>
      <c r="P3650" s="1">
        <v>500000.0</v>
      </c>
      <c r="Q3650" s="1">
        <v>2008.0</v>
      </c>
      <c r="R3650" s="1">
        <v>848.0</v>
      </c>
      <c r="S3650" s="1">
        <v>153.0</v>
      </c>
      <c r="T3650" s="1">
        <v>150.0</v>
      </c>
      <c r="U3650" s="1">
        <v>1164.0</v>
      </c>
      <c r="V3650" s="1">
        <v>589.0</v>
      </c>
      <c r="W3650" s="1">
        <v>0.0</v>
      </c>
      <c r="X3650" s="1">
        <v>0.0</v>
      </c>
      <c r="Y3650" s="1">
        <v>1.85</v>
      </c>
      <c r="Z3650" s="1">
        <v>6.5</v>
      </c>
    </row>
    <row r="3651" ht="14.25" customHeight="1">
      <c r="A3651" s="1" t="s">
        <v>26</v>
      </c>
      <c r="B3651" s="1" t="s">
        <v>17211</v>
      </c>
      <c r="C3651" s="1" t="s">
        <v>17212</v>
      </c>
      <c r="D3651" s="1">
        <v>3.95526E7</v>
      </c>
      <c r="E3651" s="1" t="s">
        <v>17213</v>
      </c>
      <c r="F3651" s="1" t="s">
        <v>17214</v>
      </c>
      <c r="G3651" s="1" t="s">
        <v>17215</v>
      </c>
      <c r="H3651" s="1" t="s">
        <v>17216</v>
      </c>
      <c r="I3651" s="1">
        <v>3411.0</v>
      </c>
      <c r="J3651" s="1" t="s">
        <v>17217</v>
      </c>
      <c r="K3651" s="1" t="s">
        <v>17218</v>
      </c>
      <c r="L3651" s="1">
        <v>36.0</v>
      </c>
      <c r="M3651" s="1" t="s">
        <v>35</v>
      </c>
      <c r="N3651" s="1" t="s">
        <v>36</v>
      </c>
      <c r="O3651" s="1" t="s">
        <v>269</v>
      </c>
      <c r="P3651" s="1">
        <v>500000.0</v>
      </c>
      <c r="Q3651" s="1">
        <v>1974.0</v>
      </c>
      <c r="R3651" s="1">
        <v>407.0</v>
      </c>
      <c r="S3651" s="1">
        <v>189.0</v>
      </c>
      <c r="T3651" s="1">
        <v>142.0</v>
      </c>
      <c r="U3651" s="1">
        <v>1090.0</v>
      </c>
      <c r="V3651" s="1">
        <v>24.0</v>
      </c>
      <c r="W3651" s="1">
        <v>816.0</v>
      </c>
      <c r="X3651" s="1">
        <v>0.0</v>
      </c>
      <c r="Y3651" s="1">
        <v>1.85</v>
      </c>
      <c r="Z3651" s="1">
        <v>6.1</v>
      </c>
    </row>
    <row r="3652" ht="14.25" customHeight="1">
      <c r="A3652" s="1" t="s">
        <v>26</v>
      </c>
      <c r="B3652" s="1" t="s">
        <v>16301</v>
      </c>
      <c r="C3652" s="1" t="s">
        <v>17219</v>
      </c>
      <c r="D3652" s="1">
        <v>3.0500882E7</v>
      </c>
      <c r="E3652" s="1" t="s">
        <v>17220</v>
      </c>
      <c r="F3652" s="1" t="s">
        <v>17221</v>
      </c>
      <c r="G3652" s="1" t="s">
        <v>17222</v>
      </c>
      <c r="H3652" s="1" t="s">
        <v>17223</v>
      </c>
      <c r="I3652" s="1">
        <v>42256.0</v>
      </c>
      <c r="J3652" s="1" t="s">
        <v>17224</v>
      </c>
      <c r="K3652" s="1" t="s">
        <v>17225</v>
      </c>
      <c r="L3652" s="1">
        <v>916.0</v>
      </c>
      <c r="M3652" s="1" t="s">
        <v>35</v>
      </c>
      <c r="N3652" s="1" t="s">
        <v>36</v>
      </c>
      <c r="O3652" s="1" t="s">
        <v>628</v>
      </c>
      <c r="P3652" s="1">
        <v>500000.0</v>
      </c>
      <c r="Q3652" s="1">
        <v>2003.0</v>
      </c>
      <c r="R3652" s="1">
        <v>48.0</v>
      </c>
      <c r="S3652" s="1">
        <v>10.0</v>
      </c>
      <c r="T3652" s="1">
        <v>7.0</v>
      </c>
      <c r="U3652" s="1">
        <v>67.0</v>
      </c>
      <c r="V3652" s="1">
        <v>9.0</v>
      </c>
      <c r="W3652" s="1">
        <v>0.0</v>
      </c>
      <c r="X3652" s="1">
        <v>1.0</v>
      </c>
      <c r="Y3652" s="1">
        <v>1.85</v>
      </c>
      <c r="Z3652" s="1">
        <v>5.7</v>
      </c>
    </row>
    <row r="3653" ht="14.25" customHeight="1">
      <c r="A3653" s="1" t="s">
        <v>26</v>
      </c>
      <c r="B3653" s="1" t="s">
        <v>17226</v>
      </c>
      <c r="C3653" s="1" t="s">
        <v>17227</v>
      </c>
      <c r="D3653" s="1">
        <v>1.7E7</v>
      </c>
      <c r="E3653" s="1" t="s">
        <v>9409</v>
      </c>
      <c r="F3653" s="1" t="s">
        <v>17228</v>
      </c>
      <c r="G3653" s="1" t="s">
        <v>17229</v>
      </c>
      <c r="H3653" s="1" t="s">
        <v>17230</v>
      </c>
      <c r="I3653" s="1">
        <v>3274.0</v>
      </c>
      <c r="J3653" s="1" t="s">
        <v>17231</v>
      </c>
      <c r="K3653" s="1" t="s">
        <v>17232</v>
      </c>
      <c r="L3653" s="1">
        <v>84.0</v>
      </c>
      <c r="M3653" s="1" t="s">
        <v>35</v>
      </c>
      <c r="N3653" s="1" t="s">
        <v>36</v>
      </c>
      <c r="O3653" s="1" t="s">
        <v>87</v>
      </c>
      <c r="P3653" s="1">
        <v>500000.0</v>
      </c>
      <c r="Q3653" s="1">
        <v>1977.0</v>
      </c>
      <c r="R3653" s="1">
        <v>423.0</v>
      </c>
      <c r="S3653" s="1">
        <v>23.0</v>
      </c>
      <c r="T3653" s="1">
        <v>22.0</v>
      </c>
      <c r="U3653" s="1">
        <v>516.0</v>
      </c>
      <c r="V3653" s="1">
        <v>8.0</v>
      </c>
      <c r="W3653" s="1">
        <v>0.0</v>
      </c>
      <c r="X3653" s="1">
        <v>0.0</v>
      </c>
      <c r="Y3653" s="1">
        <v>1.85</v>
      </c>
      <c r="Z3653" s="1">
        <v>5.9</v>
      </c>
    </row>
    <row r="3654" ht="14.25" customHeight="1">
      <c r="A3654" s="1" t="s">
        <v>26</v>
      </c>
      <c r="B3654" s="1" t="s">
        <v>417</v>
      </c>
      <c r="C3654" s="1" t="s">
        <v>17233</v>
      </c>
      <c r="D3654" s="1">
        <v>5739376.0</v>
      </c>
      <c r="E3654" s="1" t="s">
        <v>2422</v>
      </c>
      <c r="F3654" s="1" t="s">
        <v>141</v>
      </c>
      <c r="G3654" s="1" t="s">
        <v>599</v>
      </c>
      <c r="H3654" s="1" t="s">
        <v>8609</v>
      </c>
      <c r="I3654" s="1">
        <v>58260.0</v>
      </c>
      <c r="J3654" s="1" t="s">
        <v>17234</v>
      </c>
      <c r="K3654" s="1" t="s">
        <v>17235</v>
      </c>
      <c r="L3654" s="1">
        <v>286.0</v>
      </c>
      <c r="M3654" s="1" t="s">
        <v>35</v>
      </c>
      <c r="N3654" s="1" t="s">
        <v>36</v>
      </c>
      <c r="O3654" s="1" t="s">
        <v>628</v>
      </c>
      <c r="P3654" s="1">
        <v>500000.0</v>
      </c>
      <c r="Q3654" s="1">
        <v>2003.0</v>
      </c>
      <c r="R3654" s="1">
        <v>22000.0</v>
      </c>
      <c r="S3654" s="1">
        <v>833.0</v>
      </c>
      <c r="T3654" s="1">
        <v>587.0</v>
      </c>
      <c r="U3654" s="1">
        <v>24419.0</v>
      </c>
      <c r="V3654" s="1">
        <v>310.0</v>
      </c>
      <c r="W3654" s="1">
        <v>0.0</v>
      </c>
      <c r="X3654" s="1">
        <v>0.0</v>
      </c>
      <c r="Y3654" s="1">
        <v>1.85</v>
      </c>
      <c r="Z3654" s="1">
        <v>7.7</v>
      </c>
    </row>
    <row r="3655" ht="14.25" customHeight="1">
      <c r="A3655" s="1" t="s">
        <v>26</v>
      </c>
      <c r="B3655" s="1" t="s">
        <v>17236</v>
      </c>
      <c r="C3655" s="1" t="s">
        <v>17237</v>
      </c>
      <c r="D3655" s="1">
        <v>3773863.0</v>
      </c>
      <c r="E3655" s="1" t="s">
        <v>3238</v>
      </c>
      <c r="F3655" s="1" t="s">
        <v>15131</v>
      </c>
      <c r="G3655" s="1" t="s">
        <v>17238</v>
      </c>
      <c r="H3655" s="1" t="s">
        <v>17081</v>
      </c>
      <c r="I3655" s="1">
        <v>4583.0</v>
      </c>
      <c r="J3655" s="1" t="s">
        <v>17239</v>
      </c>
      <c r="K3655" s="1" t="s">
        <v>17240</v>
      </c>
      <c r="L3655" s="1">
        <v>55.0</v>
      </c>
      <c r="M3655" s="1" t="s">
        <v>35</v>
      </c>
      <c r="N3655" s="1" t="s">
        <v>36</v>
      </c>
      <c r="O3655" s="1" t="s">
        <v>37</v>
      </c>
      <c r="P3655" s="1">
        <v>1000000.0</v>
      </c>
      <c r="Q3655" s="1">
        <v>2009.0</v>
      </c>
      <c r="R3655" s="1">
        <v>984.0</v>
      </c>
      <c r="S3655" s="1">
        <v>801.0</v>
      </c>
      <c r="T3655" s="1">
        <v>234.0</v>
      </c>
      <c r="U3655" s="1">
        <v>2563.0</v>
      </c>
      <c r="V3655" s="1">
        <v>3.0</v>
      </c>
      <c r="W3655" s="1">
        <v>0.0</v>
      </c>
      <c r="X3655" s="1">
        <v>1.0</v>
      </c>
      <c r="Y3655" s="1">
        <v>2.35</v>
      </c>
      <c r="Z3655" s="1">
        <v>7.1</v>
      </c>
    </row>
    <row r="3656" ht="14.25" customHeight="1">
      <c r="A3656" s="1" t="s">
        <v>26</v>
      </c>
      <c r="B3656" s="1" t="s">
        <v>17241</v>
      </c>
      <c r="C3656" s="1" t="s">
        <v>17242</v>
      </c>
      <c r="D3656" s="1">
        <v>2047570.0</v>
      </c>
      <c r="E3656" s="1" t="s">
        <v>17243</v>
      </c>
      <c r="F3656" s="1" t="s">
        <v>17244</v>
      </c>
      <c r="G3656" s="1" t="s">
        <v>17245</v>
      </c>
      <c r="H3656" s="1" t="s">
        <v>17246</v>
      </c>
      <c r="I3656" s="1">
        <v>6790.0</v>
      </c>
      <c r="J3656" s="1" t="s">
        <v>17247</v>
      </c>
      <c r="K3656" s="1" t="s">
        <v>17248</v>
      </c>
      <c r="L3656" s="1">
        <v>80.0</v>
      </c>
      <c r="M3656" s="1" t="s">
        <v>35</v>
      </c>
      <c r="N3656" s="1" t="s">
        <v>36</v>
      </c>
      <c r="O3656" s="1" t="s">
        <v>628</v>
      </c>
      <c r="P3656" s="1">
        <v>500000.0</v>
      </c>
      <c r="Q3656" s="1">
        <v>1999.0</v>
      </c>
      <c r="R3656" s="1">
        <v>54.0</v>
      </c>
      <c r="S3656" s="1">
        <v>44.0</v>
      </c>
      <c r="T3656" s="1">
        <v>43.0</v>
      </c>
      <c r="U3656" s="1">
        <v>194.0</v>
      </c>
      <c r="V3656" s="1">
        <v>6.0</v>
      </c>
      <c r="W3656" s="1">
        <v>491.0</v>
      </c>
      <c r="X3656" s="1">
        <v>3.0</v>
      </c>
      <c r="Y3656" s="1">
        <v>1.85</v>
      </c>
      <c r="Z3656" s="1">
        <v>7.6</v>
      </c>
    </row>
    <row r="3657" ht="14.25" customHeight="1">
      <c r="A3657" s="1" t="s">
        <v>26</v>
      </c>
      <c r="B3657" s="1" t="s">
        <v>17249</v>
      </c>
      <c r="C3657" s="1" t="s">
        <v>17250</v>
      </c>
      <c r="D3657" s="1">
        <v>1127331.0</v>
      </c>
      <c r="E3657" s="1" t="s">
        <v>3238</v>
      </c>
      <c r="F3657" s="1" t="s">
        <v>17251</v>
      </c>
      <c r="G3657" s="1" t="s">
        <v>17252</v>
      </c>
      <c r="H3657" s="1" t="s">
        <v>17253</v>
      </c>
      <c r="I3657" s="1">
        <v>7559.0</v>
      </c>
      <c r="J3657" s="1" t="s">
        <v>17254</v>
      </c>
      <c r="K3657" s="1" t="s">
        <v>17255</v>
      </c>
      <c r="L3657" s="1">
        <v>77.0</v>
      </c>
      <c r="M3657" s="1" t="s">
        <v>10189</v>
      </c>
      <c r="N3657" s="1" t="s">
        <v>17256</v>
      </c>
      <c r="O3657" s="1" t="s">
        <v>37</v>
      </c>
      <c r="P3657" s="1">
        <v>46000.0</v>
      </c>
      <c r="Q3657" s="1">
        <v>2003.0</v>
      </c>
      <c r="R3657" s="1">
        <v>30.0</v>
      </c>
      <c r="S3657" s="1">
        <v>0.0</v>
      </c>
      <c r="T3657" s="1">
        <v>0.0</v>
      </c>
      <c r="U3657" s="1">
        <v>30.0</v>
      </c>
      <c r="V3657" s="1">
        <v>6.0</v>
      </c>
      <c r="W3657" s="1">
        <v>0.0</v>
      </c>
      <c r="X3657" s="1">
        <v>1.0</v>
      </c>
      <c r="Y3657" s="1">
        <v>1.85</v>
      </c>
      <c r="Z3657" s="1">
        <v>7.4</v>
      </c>
    </row>
    <row r="3658" ht="14.25" customHeight="1">
      <c r="A3658" s="1" t="s">
        <v>26</v>
      </c>
      <c r="B3658" s="1" t="s">
        <v>17257</v>
      </c>
      <c r="C3658" s="1" t="s">
        <v>17258</v>
      </c>
      <c r="D3658" s="1">
        <v>906666.0</v>
      </c>
      <c r="E3658" s="1" t="s">
        <v>15542</v>
      </c>
      <c r="F3658" s="1" t="s">
        <v>11111</v>
      </c>
      <c r="G3658" s="1" t="s">
        <v>17259</v>
      </c>
      <c r="H3658" s="1" t="s">
        <v>17260</v>
      </c>
      <c r="I3658" s="1">
        <v>154.0</v>
      </c>
      <c r="J3658" s="1" t="s">
        <v>17261</v>
      </c>
      <c r="K3658" s="1" t="s">
        <v>17262</v>
      </c>
      <c r="L3658" s="1">
        <v>5.0</v>
      </c>
      <c r="M3658" s="1" t="s">
        <v>35</v>
      </c>
      <c r="N3658" s="1" t="s">
        <v>36</v>
      </c>
      <c r="O3658" s="1" t="s">
        <v>12164</v>
      </c>
      <c r="P3658" s="1">
        <v>500000.0</v>
      </c>
      <c r="Q3658" s="1">
        <v>2011.0</v>
      </c>
      <c r="R3658" s="1">
        <v>399.0</v>
      </c>
      <c r="S3658" s="1">
        <v>169.0</v>
      </c>
      <c r="T3658" s="1">
        <v>59.0</v>
      </c>
      <c r="U3658" s="1">
        <v>660.0</v>
      </c>
      <c r="V3658" s="1">
        <v>0.0</v>
      </c>
      <c r="W3658" s="1">
        <v>287.0</v>
      </c>
      <c r="X3658" s="1">
        <v>1.0</v>
      </c>
      <c r="Y3658" s="1">
        <v>16.0</v>
      </c>
      <c r="Z3658" s="1">
        <v>6.8</v>
      </c>
    </row>
    <row r="3659" ht="14.25" customHeight="1">
      <c r="A3659" s="1" t="s">
        <v>26</v>
      </c>
      <c r="B3659" s="1" t="s">
        <v>17263</v>
      </c>
      <c r="C3659" s="1" t="s">
        <v>17264</v>
      </c>
      <c r="D3659" s="1">
        <v>1114943.0</v>
      </c>
      <c r="E3659" s="1" t="s">
        <v>5819</v>
      </c>
      <c r="F3659" s="1" t="s">
        <v>11636</v>
      </c>
      <c r="G3659" s="1" t="s">
        <v>17265</v>
      </c>
      <c r="H3659" s="1" t="s">
        <v>17266</v>
      </c>
      <c r="I3659" s="1">
        <v>3562.0</v>
      </c>
      <c r="J3659" s="1" t="s">
        <v>17267</v>
      </c>
      <c r="K3659" s="1" t="s">
        <v>17268</v>
      </c>
      <c r="L3659" s="1">
        <v>74.0</v>
      </c>
      <c r="M3659" s="1" t="s">
        <v>35</v>
      </c>
      <c r="N3659" s="1" t="s">
        <v>36</v>
      </c>
      <c r="O3659" s="1" t="s">
        <v>628</v>
      </c>
      <c r="P3659" s="1">
        <v>500000.0</v>
      </c>
      <c r="Q3659" s="1">
        <v>2000.0</v>
      </c>
      <c r="R3659" s="1">
        <v>328.0</v>
      </c>
      <c r="S3659" s="1">
        <v>27.0</v>
      </c>
      <c r="T3659" s="1">
        <v>17.0</v>
      </c>
      <c r="U3659" s="1">
        <v>407.0</v>
      </c>
      <c r="V3659" s="1">
        <v>7.0</v>
      </c>
      <c r="W3659" s="1">
        <v>0.0</v>
      </c>
      <c r="X3659" s="1">
        <v>0.0</v>
      </c>
      <c r="Y3659" s="1">
        <v>1.85</v>
      </c>
      <c r="Z3659" s="1">
        <v>6.5</v>
      </c>
    </row>
    <row r="3660" ht="14.25" customHeight="1">
      <c r="A3660" s="1" t="s">
        <v>26</v>
      </c>
      <c r="B3660" s="1" t="s">
        <v>12347</v>
      </c>
      <c r="C3660" s="1" t="s">
        <v>17269</v>
      </c>
      <c r="D3660" s="1">
        <v>985341.0</v>
      </c>
      <c r="E3660" s="1" t="s">
        <v>3238</v>
      </c>
      <c r="F3660" s="1" t="s">
        <v>10786</v>
      </c>
      <c r="G3660" s="1" t="s">
        <v>17270</v>
      </c>
      <c r="H3660" s="1" t="s">
        <v>5267</v>
      </c>
      <c r="I3660" s="1">
        <v>3479.0</v>
      </c>
      <c r="J3660" s="1" t="s">
        <v>17271</v>
      </c>
      <c r="K3660" s="1" t="s">
        <v>17272</v>
      </c>
      <c r="L3660" s="1">
        <v>87.0</v>
      </c>
      <c r="M3660" s="1" t="s">
        <v>35</v>
      </c>
      <c r="N3660" s="1" t="s">
        <v>36</v>
      </c>
      <c r="O3660" s="1" t="s">
        <v>628</v>
      </c>
      <c r="P3660" s="1">
        <v>500000.0</v>
      </c>
      <c r="Q3660" s="1">
        <v>1999.0</v>
      </c>
      <c r="R3660" s="1">
        <v>980.0</v>
      </c>
      <c r="S3660" s="1">
        <v>505.0</v>
      </c>
      <c r="T3660" s="1">
        <v>482.0</v>
      </c>
      <c r="U3660" s="1">
        <v>3166.0</v>
      </c>
      <c r="V3660" s="1">
        <v>35.0</v>
      </c>
      <c r="W3660" s="1">
        <v>180.0</v>
      </c>
      <c r="X3660" s="1">
        <v>0.0</v>
      </c>
      <c r="Y3660" s="1">
        <v>1.85</v>
      </c>
      <c r="Z3660" s="1">
        <v>7.3</v>
      </c>
    </row>
    <row r="3661" ht="14.25" customHeight="1">
      <c r="A3661" s="1" t="s">
        <v>26</v>
      </c>
      <c r="B3661" s="1" t="s">
        <v>17273</v>
      </c>
      <c r="C3661" s="1" t="s">
        <v>17274</v>
      </c>
      <c r="D3661" s="1">
        <v>603943.0</v>
      </c>
      <c r="E3661" s="1" t="s">
        <v>1854</v>
      </c>
      <c r="F3661" s="1" t="s">
        <v>3122</v>
      </c>
      <c r="G3661" s="1" t="s">
        <v>9035</v>
      </c>
      <c r="H3661" s="1" t="s">
        <v>1952</v>
      </c>
      <c r="I3661" s="1">
        <v>26407.0</v>
      </c>
      <c r="J3661" s="1" t="s">
        <v>17275</v>
      </c>
      <c r="K3661" s="1" t="s">
        <v>17276</v>
      </c>
      <c r="L3661" s="1">
        <v>154.0</v>
      </c>
      <c r="M3661" s="1" t="s">
        <v>35</v>
      </c>
      <c r="N3661" s="1" t="s">
        <v>36</v>
      </c>
      <c r="O3661" s="1" t="s">
        <v>628</v>
      </c>
      <c r="P3661" s="1">
        <v>500000.0</v>
      </c>
      <c r="Q3661" s="1">
        <v>2004.0</v>
      </c>
      <c r="R3661" s="1">
        <v>710.0</v>
      </c>
      <c r="S3661" s="1">
        <v>634.0</v>
      </c>
      <c r="T3661" s="1">
        <v>595.0</v>
      </c>
      <c r="U3661" s="1">
        <v>2655.0</v>
      </c>
      <c r="V3661" s="1">
        <v>9.0</v>
      </c>
      <c r="W3661" s="1">
        <v>1000.0</v>
      </c>
      <c r="X3661" s="1">
        <v>0.0</v>
      </c>
      <c r="Y3661" s="1">
        <v>1.85</v>
      </c>
      <c r="Z3661" s="1">
        <v>7.3</v>
      </c>
    </row>
    <row r="3662" ht="14.25" customHeight="1">
      <c r="A3662" s="1" t="s">
        <v>710</v>
      </c>
      <c r="B3662" s="1" t="s">
        <v>15286</v>
      </c>
      <c r="C3662" s="1" t="s">
        <v>17277</v>
      </c>
      <c r="D3662" s="1">
        <v>334041.0</v>
      </c>
      <c r="E3662" s="1" t="s">
        <v>12847</v>
      </c>
      <c r="F3662" s="1" t="s">
        <v>14854</v>
      </c>
      <c r="G3662" s="1" t="s">
        <v>7612</v>
      </c>
      <c r="H3662" s="1" t="s">
        <v>10298</v>
      </c>
      <c r="I3662" s="1">
        <v>1038.0</v>
      </c>
      <c r="J3662" s="1" t="s">
        <v>17278</v>
      </c>
      <c r="K3662" s="1" t="s">
        <v>17279</v>
      </c>
      <c r="L3662" s="1">
        <v>21.0</v>
      </c>
      <c r="M3662" s="1" t="s">
        <v>35</v>
      </c>
      <c r="N3662" s="1" t="s">
        <v>36</v>
      </c>
      <c r="O3662" s="1" t="s">
        <v>628</v>
      </c>
      <c r="P3662" s="1">
        <v>500000.0</v>
      </c>
      <c r="Q3662" s="1">
        <v>1997.0</v>
      </c>
      <c r="R3662" s="1">
        <v>659.0</v>
      </c>
      <c r="S3662" s="1">
        <v>529.0</v>
      </c>
      <c r="T3662" s="1">
        <v>474.0</v>
      </c>
      <c r="U3662" s="1">
        <v>2322.0</v>
      </c>
      <c r="V3662" s="1">
        <v>204.0</v>
      </c>
      <c r="W3662" s="1">
        <v>51.0</v>
      </c>
      <c r="X3662" s="1">
        <v>3.0</v>
      </c>
      <c r="Y3662" s="1">
        <v>1.85</v>
      </c>
      <c r="Z3662" s="1">
        <v>6.5</v>
      </c>
    </row>
    <row r="3663" ht="14.25" customHeight="1">
      <c r="A3663" s="1" t="s">
        <v>26</v>
      </c>
      <c r="B3663" s="1" t="s">
        <v>17280</v>
      </c>
      <c r="C3663" s="1" t="s">
        <v>17281</v>
      </c>
      <c r="D3663" s="1">
        <v>295468.0</v>
      </c>
      <c r="E3663" s="1" t="s">
        <v>1598</v>
      </c>
      <c r="F3663" s="1" t="s">
        <v>141</v>
      </c>
      <c r="G3663" s="1" t="s">
        <v>4808</v>
      </c>
      <c r="H3663" s="1" t="s">
        <v>2658</v>
      </c>
      <c r="I3663" s="1">
        <v>709.0</v>
      </c>
      <c r="J3663" s="1" t="s">
        <v>17282</v>
      </c>
      <c r="K3663" s="1" t="s">
        <v>17283</v>
      </c>
      <c r="L3663" s="1">
        <v>34.0</v>
      </c>
      <c r="M3663" s="1" t="s">
        <v>35</v>
      </c>
      <c r="N3663" s="1" t="s">
        <v>36</v>
      </c>
      <c r="O3663" s="1" t="s">
        <v>628</v>
      </c>
      <c r="P3663" s="1">
        <v>500000.0</v>
      </c>
      <c r="Q3663" s="1">
        <v>2001.0</v>
      </c>
      <c r="R3663" s="1">
        <v>22000.0</v>
      </c>
      <c r="S3663" s="1">
        <v>1000.0</v>
      </c>
      <c r="T3663" s="1">
        <v>658.0</v>
      </c>
      <c r="U3663" s="1">
        <v>24382.0</v>
      </c>
      <c r="V3663" s="1">
        <v>71.0</v>
      </c>
      <c r="W3663" s="1">
        <v>139.0</v>
      </c>
      <c r="X3663" s="1">
        <v>1.0</v>
      </c>
      <c r="Y3663" s="1">
        <v>1.85</v>
      </c>
      <c r="Z3663" s="1">
        <v>6.0</v>
      </c>
    </row>
    <row r="3664" ht="14.25" customHeight="1">
      <c r="A3664" s="1" t="s">
        <v>26</v>
      </c>
      <c r="B3664" s="1" t="s">
        <v>17284</v>
      </c>
      <c r="C3664" s="1" t="s">
        <v>17285</v>
      </c>
      <c r="D3664" s="1">
        <v>243347.0</v>
      </c>
      <c r="E3664" s="1" t="s">
        <v>2045</v>
      </c>
      <c r="F3664" s="1" t="s">
        <v>15079</v>
      </c>
      <c r="G3664" s="1" t="s">
        <v>17286</v>
      </c>
      <c r="H3664" s="1" t="s">
        <v>17287</v>
      </c>
      <c r="I3664" s="1">
        <v>553.0</v>
      </c>
      <c r="J3664" s="1" t="s">
        <v>17288</v>
      </c>
      <c r="K3664" s="1" t="s">
        <v>17289</v>
      </c>
      <c r="L3664" s="1">
        <v>24.0</v>
      </c>
      <c r="M3664" s="1" t="s">
        <v>35</v>
      </c>
      <c r="N3664" s="1" t="s">
        <v>36</v>
      </c>
      <c r="O3664" s="1" t="s">
        <v>628</v>
      </c>
      <c r="P3664" s="1">
        <v>500000.0</v>
      </c>
      <c r="Q3664" s="1">
        <v>2002.0</v>
      </c>
      <c r="R3664" s="1">
        <v>597.0</v>
      </c>
      <c r="S3664" s="1">
        <v>485.0</v>
      </c>
      <c r="T3664" s="1">
        <v>469.0</v>
      </c>
      <c r="U3664" s="1">
        <v>2555.0</v>
      </c>
      <c r="V3664" s="1">
        <v>21.0</v>
      </c>
      <c r="W3664" s="1">
        <v>86.0</v>
      </c>
      <c r="X3664" s="1">
        <v>3.0</v>
      </c>
      <c r="Y3664" s="1">
        <v>1.85</v>
      </c>
      <c r="Z3664" s="1">
        <v>5.3</v>
      </c>
    </row>
    <row r="3665" ht="14.25" customHeight="1">
      <c r="A3665" s="1" t="s">
        <v>26</v>
      </c>
      <c r="B3665" s="1" t="s">
        <v>264</v>
      </c>
      <c r="C3665" s="1" t="s">
        <v>17290</v>
      </c>
      <c r="D3665" s="1">
        <v>154077.0</v>
      </c>
      <c r="E3665" s="1" t="s">
        <v>2422</v>
      </c>
      <c r="F3665" s="1" t="s">
        <v>4141</v>
      </c>
      <c r="G3665" s="1" t="s">
        <v>4487</v>
      </c>
      <c r="H3665" s="1" t="s">
        <v>576</v>
      </c>
      <c r="I3665" s="1">
        <v>6884.0</v>
      </c>
      <c r="J3665" s="1" t="s">
        <v>17291</v>
      </c>
      <c r="K3665" s="1" t="s">
        <v>17292</v>
      </c>
      <c r="L3665" s="1">
        <v>53.0</v>
      </c>
      <c r="M3665" s="1" t="s">
        <v>35</v>
      </c>
      <c r="N3665" s="1" t="s">
        <v>36</v>
      </c>
      <c r="O3665" s="1" t="s">
        <v>628</v>
      </c>
      <c r="P3665" s="1">
        <v>500000.0</v>
      </c>
      <c r="Q3665" s="1">
        <v>2005.0</v>
      </c>
      <c r="R3665" s="1">
        <v>778.0</v>
      </c>
      <c r="S3665" s="1">
        <v>327.0</v>
      </c>
      <c r="T3665" s="1">
        <v>213.0</v>
      </c>
      <c r="U3665" s="1">
        <v>1440.0</v>
      </c>
      <c r="V3665" s="1">
        <v>12000.0</v>
      </c>
      <c r="W3665" s="1">
        <v>238.0</v>
      </c>
      <c r="X3665" s="1">
        <v>0.0</v>
      </c>
      <c r="Y3665" s="1">
        <v>1.85</v>
      </c>
      <c r="Z3665" s="1">
        <v>6.6</v>
      </c>
    </row>
    <row r="3666" ht="14.25" customHeight="1">
      <c r="A3666" s="1" t="s">
        <v>710</v>
      </c>
      <c r="B3666" s="1" t="s">
        <v>17293</v>
      </c>
      <c r="C3666" s="1" t="s">
        <v>17294</v>
      </c>
      <c r="D3666" s="1">
        <v>269061.0</v>
      </c>
      <c r="E3666" s="1" t="s">
        <v>986</v>
      </c>
      <c r="F3666" s="1" t="s">
        <v>17295</v>
      </c>
      <c r="G3666" s="1" t="s">
        <v>17296</v>
      </c>
      <c r="H3666" s="1" t="s">
        <v>17297</v>
      </c>
      <c r="I3666" s="1">
        <v>229012.0</v>
      </c>
      <c r="J3666" s="1" t="s">
        <v>17298</v>
      </c>
      <c r="K3666" s="1" t="s">
        <v>17299</v>
      </c>
      <c r="L3666" s="1">
        <v>596.0</v>
      </c>
      <c r="M3666" s="1" t="s">
        <v>7281</v>
      </c>
      <c r="N3666" s="1" t="s">
        <v>2821</v>
      </c>
      <c r="O3666" s="1" t="s">
        <v>12164</v>
      </c>
      <c r="P3666" s="1">
        <v>2000000.0</v>
      </c>
      <c r="Q3666" s="1">
        <v>1954.0</v>
      </c>
      <c r="R3666" s="1">
        <v>304.0</v>
      </c>
      <c r="S3666" s="1">
        <v>8.0</v>
      </c>
      <c r="T3666" s="1">
        <v>4.0</v>
      </c>
      <c r="U3666" s="1">
        <v>338.0</v>
      </c>
      <c r="V3666" s="1">
        <v>0.0</v>
      </c>
      <c r="W3666" s="1">
        <v>11000.0</v>
      </c>
      <c r="X3666" s="1">
        <v>6.0</v>
      </c>
      <c r="Y3666" s="1">
        <v>1.37</v>
      </c>
      <c r="Z3666" s="1">
        <v>8.7</v>
      </c>
    </row>
    <row r="3667" ht="14.25" customHeight="1">
      <c r="A3667" s="1" t="s">
        <v>26</v>
      </c>
      <c r="B3667" s="1" t="s">
        <v>394</v>
      </c>
      <c r="C3667" s="1" t="s">
        <v>17300</v>
      </c>
      <c r="D3667" s="1">
        <v>52850.0</v>
      </c>
      <c r="E3667" s="1" t="s">
        <v>1885</v>
      </c>
      <c r="F3667" s="1" t="s">
        <v>3869</v>
      </c>
      <c r="G3667" s="1" t="s">
        <v>17301</v>
      </c>
      <c r="H3667" s="1" t="s">
        <v>17302</v>
      </c>
      <c r="I3667" s="1">
        <v>1656.0</v>
      </c>
      <c r="J3667" s="1" t="s">
        <v>17303</v>
      </c>
      <c r="K3667" s="1" t="s">
        <v>17304</v>
      </c>
      <c r="L3667" s="1">
        <v>12.0</v>
      </c>
      <c r="M3667" s="1" t="s">
        <v>35</v>
      </c>
      <c r="N3667" s="1" t="s">
        <v>36</v>
      </c>
      <c r="O3667" s="1" t="s">
        <v>9252</v>
      </c>
      <c r="P3667" s="1">
        <v>500000.0</v>
      </c>
      <c r="Q3667" s="1">
        <v>2007.0</v>
      </c>
      <c r="R3667" s="1">
        <v>239.0</v>
      </c>
      <c r="S3667" s="1">
        <v>172.0</v>
      </c>
      <c r="T3667" s="1">
        <v>143.0</v>
      </c>
      <c r="U3667" s="1">
        <v>734.0</v>
      </c>
      <c r="V3667" s="1">
        <v>681.0</v>
      </c>
      <c r="W3667" s="1">
        <v>155.0</v>
      </c>
      <c r="X3667" s="1">
        <v>0.0</v>
      </c>
      <c r="Y3667" s="1">
        <v>1.85</v>
      </c>
      <c r="Z3667" s="1">
        <v>6.2</v>
      </c>
    </row>
    <row r="3668" ht="14.25" customHeight="1">
      <c r="A3668" s="1" t="s">
        <v>26</v>
      </c>
      <c r="B3668" s="1" t="s">
        <v>17305</v>
      </c>
      <c r="C3668" s="1" t="s">
        <v>17306</v>
      </c>
      <c r="D3668" s="1">
        <v>98017.0</v>
      </c>
      <c r="E3668" s="1" t="s">
        <v>846</v>
      </c>
      <c r="F3668" s="1" t="s">
        <v>4384</v>
      </c>
      <c r="G3668" s="1" t="s">
        <v>9195</v>
      </c>
      <c r="H3668" s="1" t="s">
        <v>17307</v>
      </c>
      <c r="I3668" s="1">
        <v>26185.0</v>
      </c>
      <c r="J3668" s="1" t="s">
        <v>17308</v>
      </c>
      <c r="K3668" s="1" t="s">
        <v>17309</v>
      </c>
      <c r="L3668" s="1">
        <v>170.0</v>
      </c>
      <c r="M3668" s="1" t="s">
        <v>35</v>
      </c>
      <c r="N3668" s="1" t="s">
        <v>1832</v>
      </c>
      <c r="O3668" s="1" t="s">
        <v>628</v>
      </c>
      <c r="P3668" s="1">
        <v>500000.0</v>
      </c>
      <c r="Q3668" s="1">
        <v>2010.0</v>
      </c>
      <c r="R3668" s="1">
        <v>353.0</v>
      </c>
      <c r="S3668" s="1">
        <v>248.0</v>
      </c>
      <c r="T3668" s="1">
        <v>196.0</v>
      </c>
      <c r="U3668" s="1">
        <v>1498.0</v>
      </c>
      <c r="V3668" s="1">
        <v>248.0</v>
      </c>
      <c r="W3668" s="1">
        <v>46000.0</v>
      </c>
      <c r="X3668" s="1">
        <v>0.0</v>
      </c>
      <c r="Y3668" s="1">
        <v>1.85</v>
      </c>
      <c r="Z3668" s="1">
        <v>5.8</v>
      </c>
    </row>
    <row r="3669" ht="14.25" customHeight="1">
      <c r="A3669" s="1" t="s">
        <v>26</v>
      </c>
      <c r="B3669" s="1" t="s">
        <v>1130</v>
      </c>
      <c r="C3669" s="1" t="s">
        <v>1131</v>
      </c>
      <c r="D3669" s="1">
        <v>1.77343675E8</v>
      </c>
      <c r="E3669" s="1" t="s">
        <v>1132</v>
      </c>
      <c r="F3669" s="1" t="s">
        <v>1133</v>
      </c>
      <c r="G3669" s="1" t="s">
        <v>1134</v>
      </c>
      <c r="H3669" s="1" t="s">
        <v>1135</v>
      </c>
      <c r="I3669" s="1">
        <v>70136.0</v>
      </c>
      <c r="J3669" s="1" t="s">
        <v>1136</v>
      </c>
      <c r="K3669" s="1" t="s">
        <v>1137</v>
      </c>
      <c r="L3669" s="1">
        <v>214.0</v>
      </c>
      <c r="M3669" s="1" t="s">
        <v>35</v>
      </c>
      <c r="N3669" s="1" t="s">
        <v>36</v>
      </c>
      <c r="O3669" s="1" t="s">
        <v>87</v>
      </c>
      <c r="P3669" s="1">
        <v>1.35E8</v>
      </c>
      <c r="Q3669" s="1">
        <v>2015.0</v>
      </c>
      <c r="R3669" s="1">
        <v>17000.0</v>
      </c>
      <c r="S3669" s="1">
        <v>523.0</v>
      </c>
      <c r="T3669" s="1">
        <v>183.0</v>
      </c>
      <c r="U3669" s="1">
        <v>17883.0</v>
      </c>
      <c r="V3669" s="1">
        <v>12.0</v>
      </c>
      <c r="W3669" s="1">
        <v>26000.0</v>
      </c>
      <c r="X3669" s="1">
        <v>0.0</v>
      </c>
      <c r="Y3669" s="1">
        <v>1.85</v>
      </c>
      <c r="Z3669" s="1">
        <v>6.7</v>
      </c>
    </row>
    <row r="3670" ht="14.25" customHeight="1">
      <c r="A3670" s="1" t="s">
        <v>26</v>
      </c>
      <c r="B3670" s="1" t="s">
        <v>17069</v>
      </c>
      <c r="C3670" s="1" t="s">
        <v>17310</v>
      </c>
      <c r="D3670" s="1">
        <v>31937.0</v>
      </c>
      <c r="E3670" s="1" t="s">
        <v>1598</v>
      </c>
      <c r="F3670" s="1" t="s">
        <v>17311</v>
      </c>
      <c r="G3670" s="1" t="s">
        <v>17312</v>
      </c>
      <c r="H3670" s="1" t="s">
        <v>17313</v>
      </c>
      <c r="I3670" s="1">
        <v>1358.0</v>
      </c>
      <c r="J3670" s="1" t="s">
        <v>17314</v>
      </c>
      <c r="K3670" s="1" t="s">
        <v>17315</v>
      </c>
      <c r="L3670" s="1">
        <v>10.0</v>
      </c>
      <c r="M3670" s="1" t="s">
        <v>35</v>
      </c>
      <c r="N3670" s="1" t="s">
        <v>36</v>
      </c>
      <c r="O3670" s="1" t="s">
        <v>628</v>
      </c>
      <c r="P3670" s="1">
        <v>500000.0</v>
      </c>
      <c r="Q3670" s="1">
        <v>2007.0</v>
      </c>
      <c r="R3670" s="1">
        <v>396.0</v>
      </c>
      <c r="S3670" s="1">
        <v>326.0</v>
      </c>
      <c r="T3670" s="1">
        <v>325.0</v>
      </c>
      <c r="U3670" s="1">
        <v>2310.0</v>
      </c>
      <c r="V3670" s="1">
        <v>6.0</v>
      </c>
      <c r="W3670" s="1">
        <v>60.0</v>
      </c>
      <c r="X3670" s="1">
        <v>3.0</v>
      </c>
      <c r="Y3670" s="1">
        <v>1.85</v>
      </c>
      <c r="Z3670" s="1">
        <v>5.7</v>
      </c>
    </row>
    <row r="3671" ht="14.25" customHeight="1">
      <c r="A3671" s="1" t="s">
        <v>26</v>
      </c>
      <c r="B3671" s="1" t="s">
        <v>17316</v>
      </c>
      <c r="C3671" s="1" t="s">
        <v>17317</v>
      </c>
      <c r="D3671" s="1">
        <v>13134.0</v>
      </c>
      <c r="E3671" s="1" t="s">
        <v>3598</v>
      </c>
      <c r="F3671" s="1" t="s">
        <v>4002</v>
      </c>
      <c r="G3671" s="1" t="s">
        <v>5630</v>
      </c>
      <c r="H3671" s="1" t="s">
        <v>17318</v>
      </c>
      <c r="I3671" s="1">
        <v>2004.0</v>
      </c>
      <c r="J3671" s="1" t="s">
        <v>17319</v>
      </c>
      <c r="K3671" s="1" t="s">
        <v>17320</v>
      </c>
      <c r="L3671" s="1">
        <v>32.0</v>
      </c>
      <c r="M3671" s="1" t="s">
        <v>35</v>
      </c>
      <c r="N3671" s="1" t="s">
        <v>36</v>
      </c>
      <c r="O3671" s="1" t="s">
        <v>628</v>
      </c>
      <c r="P3671" s="1">
        <v>500000.0</v>
      </c>
      <c r="Q3671" s="1">
        <v>2002.0</v>
      </c>
      <c r="R3671" s="1">
        <v>33000.0</v>
      </c>
      <c r="S3671" s="1">
        <v>1000.0</v>
      </c>
      <c r="T3671" s="1">
        <v>699.0</v>
      </c>
      <c r="U3671" s="1">
        <v>35294.0</v>
      </c>
      <c r="V3671" s="1">
        <v>12.0</v>
      </c>
      <c r="W3671" s="1">
        <v>183.0</v>
      </c>
      <c r="X3671" s="1">
        <v>2.0</v>
      </c>
      <c r="Y3671" s="1">
        <v>2.35</v>
      </c>
      <c r="Z3671" s="1">
        <v>6.1</v>
      </c>
    </row>
    <row r="3672" ht="14.25" customHeight="1">
      <c r="A3672" s="1" t="s">
        <v>26</v>
      </c>
      <c r="B3672" s="1" t="s">
        <v>17321</v>
      </c>
      <c r="C3672" s="1" t="s">
        <v>17322</v>
      </c>
      <c r="D3672" s="1">
        <v>237301.0</v>
      </c>
      <c r="E3672" s="1" t="s">
        <v>2566</v>
      </c>
      <c r="F3672" s="1" t="s">
        <v>4846</v>
      </c>
      <c r="G3672" s="1" t="s">
        <v>17323</v>
      </c>
      <c r="H3672" s="1" t="s">
        <v>17324</v>
      </c>
      <c r="I3672" s="1">
        <v>75669.0</v>
      </c>
      <c r="J3672" s="1" t="s">
        <v>17325</v>
      </c>
      <c r="K3672" s="1" t="s">
        <v>17326</v>
      </c>
      <c r="L3672" s="1">
        <v>451.0</v>
      </c>
      <c r="M3672" s="1" t="s">
        <v>35</v>
      </c>
      <c r="N3672" s="1" t="s">
        <v>54</v>
      </c>
      <c r="O3672" s="1" t="s">
        <v>628</v>
      </c>
      <c r="P3672" s="1">
        <v>500000.0</v>
      </c>
      <c r="Q3672" s="1">
        <v>2010.0</v>
      </c>
      <c r="R3672" s="1">
        <v>660.0</v>
      </c>
      <c r="S3672" s="1">
        <v>280.0</v>
      </c>
      <c r="T3672" s="1">
        <v>113.0</v>
      </c>
      <c r="U3672" s="1">
        <v>1118.0</v>
      </c>
      <c r="V3672" s="1">
        <v>380.0</v>
      </c>
      <c r="W3672" s="1">
        <v>19000.0</v>
      </c>
      <c r="X3672" s="1">
        <v>0.0</v>
      </c>
      <c r="Y3672" s="1">
        <v>2.35</v>
      </c>
      <c r="Z3672" s="1">
        <v>6.4</v>
      </c>
    </row>
    <row r="3673" ht="14.25" customHeight="1">
      <c r="A3673" s="1" t="s">
        <v>26</v>
      </c>
      <c r="B3673" s="1" t="s">
        <v>17327</v>
      </c>
      <c r="C3673" s="1" t="s">
        <v>17328</v>
      </c>
      <c r="D3673" s="1">
        <v>1332.0</v>
      </c>
      <c r="E3673" s="1" t="s">
        <v>7114</v>
      </c>
      <c r="F3673" s="1" t="s">
        <v>12383</v>
      </c>
      <c r="G3673" s="1" t="s">
        <v>7730</v>
      </c>
      <c r="H3673" s="1" t="s">
        <v>17329</v>
      </c>
      <c r="I3673" s="1">
        <v>2038.0</v>
      </c>
      <c r="J3673" s="1" t="s">
        <v>17330</v>
      </c>
      <c r="K3673" s="1" t="s">
        <v>17331</v>
      </c>
      <c r="L3673" s="1">
        <v>20.0</v>
      </c>
      <c r="M3673" s="1" t="s">
        <v>35</v>
      </c>
      <c r="N3673" s="1" t="s">
        <v>36</v>
      </c>
      <c r="O3673" s="1" t="s">
        <v>9252</v>
      </c>
      <c r="P3673" s="1">
        <v>500000.0</v>
      </c>
      <c r="Q3673" s="1">
        <v>2012.0</v>
      </c>
      <c r="R3673" s="1">
        <v>552.0</v>
      </c>
      <c r="S3673" s="1">
        <v>533.0</v>
      </c>
      <c r="T3673" s="1">
        <v>445.0</v>
      </c>
      <c r="U3673" s="1">
        <v>2251.0</v>
      </c>
      <c r="V3673" s="1">
        <v>38.0</v>
      </c>
      <c r="W3673" s="1">
        <v>898.0</v>
      </c>
      <c r="X3673" s="1">
        <v>6.0</v>
      </c>
      <c r="Y3673" s="1">
        <v>2.35</v>
      </c>
      <c r="Z3673" s="1">
        <v>4.6</v>
      </c>
    </row>
    <row r="3674" ht="14.25" customHeight="1">
      <c r="A3674" s="1" t="s">
        <v>26</v>
      </c>
      <c r="B3674" s="1" t="s">
        <v>12628</v>
      </c>
      <c r="C3674" s="1" t="s">
        <v>12629</v>
      </c>
      <c r="D3674" s="1">
        <v>3.7188667E7</v>
      </c>
      <c r="E3674" s="1" t="s">
        <v>2422</v>
      </c>
      <c r="F3674" s="1" t="s">
        <v>12630</v>
      </c>
      <c r="G3674" s="1" t="s">
        <v>12631</v>
      </c>
      <c r="H3674" s="1" t="s">
        <v>12632</v>
      </c>
      <c r="I3674" s="1">
        <v>34219.0</v>
      </c>
      <c r="J3674" s="1" t="s">
        <v>12633</v>
      </c>
      <c r="K3674" s="1" t="s">
        <v>12634</v>
      </c>
      <c r="L3674" s="1">
        <v>578.0</v>
      </c>
      <c r="M3674" s="1" t="s">
        <v>35</v>
      </c>
      <c r="N3674" s="1" t="s">
        <v>36</v>
      </c>
      <c r="O3674" s="1" t="s">
        <v>37</v>
      </c>
      <c r="P3674" s="1">
        <v>1.2E7</v>
      </c>
      <c r="Q3674" s="1">
        <v>2002.0</v>
      </c>
      <c r="R3674" s="1">
        <v>1000.0</v>
      </c>
      <c r="S3674" s="1">
        <v>188.0</v>
      </c>
      <c r="T3674" s="1">
        <v>135.0</v>
      </c>
      <c r="U3674" s="1">
        <v>1531.0</v>
      </c>
      <c r="V3674" s="1">
        <v>33.0</v>
      </c>
      <c r="W3674" s="1">
        <v>0.0</v>
      </c>
      <c r="X3674" s="1">
        <v>1.0</v>
      </c>
      <c r="Y3674" s="1">
        <v>1.85</v>
      </c>
      <c r="Z3674" s="1">
        <v>3.3</v>
      </c>
    </row>
    <row r="3675" ht="14.25" customHeight="1">
      <c r="A3675" s="1" t="s">
        <v>26</v>
      </c>
      <c r="B3675" s="1" t="s">
        <v>71</v>
      </c>
      <c r="C3675" s="1" t="s">
        <v>282</v>
      </c>
      <c r="D3675" s="1">
        <v>2.34903076E8</v>
      </c>
      <c r="E3675" s="1" t="s">
        <v>192</v>
      </c>
      <c r="F3675" s="1" t="s">
        <v>283</v>
      </c>
      <c r="G3675" s="1" t="s">
        <v>284</v>
      </c>
      <c r="H3675" s="1" t="s">
        <v>75</v>
      </c>
      <c r="I3675" s="1">
        <v>175413.0</v>
      </c>
      <c r="J3675" s="1" t="s">
        <v>285</v>
      </c>
      <c r="K3675" s="1" t="s">
        <v>286</v>
      </c>
      <c r="L3675" s="1">
        <v>511.0</v>
      </c>
      <c r="M3675" s="1" t="s">
        <v>35</v>
      </c>
      <c r="N3675" s="1" t="s">
        <v>36</v>
      </c>
      <c r="O3675" s="1" t="s">
        <v>87</v>
      </c>
      <c r="P3675" s="1">
        <v>2.15E8</v>
      </c>
      <c r="Q3675" s="1">
        <v>2013.0</v>
      </c>
      <c r="R3675" s="1">
        <v>44000.0</v>
      </c>
      <c r="S3675" s="1">
        <v>15000.0</v>
      </c>
      <c r="T3675" s="1">
        <v>11000.0</v>
      </c>
      <c r="U3675" s="1">
        <v>73441.0</v>
      </c>
      <c r="V3675" s="1">
        <v>0.0</v>
      </c>
      <c r="W3675" s="1">
        <v>60000.0</v>
      </c>
      <c r="X3675" s="1">
        <v>4.0</v>
      </c>
      <c r="Y3675" s="1">
        <v>2.35</v>
      </c>
      <c r="Z3675" s="1">
        <v>6.4</v>
      </c>
    </row>
    <row r="3676" ht="14.25" customHeight="1">
      <c r="A3676" s="1" t="s">
        <v>26</v>
      </c>
      <c r="B3676" s="1" t="s">
        <v>17332</v>
      </c>
      <c r="C3676" s="1" t="s">
        <v>17333</v>
      </c>
      <c r="D3676" s="1">
        <v>2712293.0</v>
      </c>
      <c r="E3676" s="1" t="s">
        <v>1854</v>
      </c>
      <c r="F3676" s="1" t="s">
        <v>14771</v>
      </c>
      <c r="G3676" s="1" t="s">
        <v>17334</v>
      </c>
      <c r="H3676" s="1" t="s">
        <v>17332</v>
      </c>
      <c r="I3676" s="1">
        <v>475.0</v>
      </c>
      <c r="J3676" s="1" t="s">
        <v>17335</v>
      </c>
      <c r="K3676" s="1" t="s">
        <v>17336</v>
      </c>
      <c r="L3676" s="1">
        <v>11.0</v>
      </c>
      <c r="M3676" s="1" t="s">
        <v>35</v>
      </c>
      <c r="N3676" s="1" t="s">
        <v>36</v>
      </c>
      <c r="O3676" s="1" t="s">
        <v>628</v>
      </c>
      <c r="P3676" s="1">
        <v>450000.0</v>
      </c>
      <c r="Q3676" s="1">
        <v>1991.0</v>
      </c>
      <c r="R3676" s="1">
        <v>353.0</v>
      </c>
      <c r="S3676" s="1">
        <v>12.0</v>
      </c>
      <c r="T3676" s="1">
        <v>10.0</v>
      </c>
      <c r="U3676" s="1">
        <v>380.0</v>
      </c>
      <c r="V3676" s="1">
        <v>10.0</v>
      </c>
      <c r="W3676" s="1">
        <v>123.0</v>
      </c>
      <c r="X3676" s="1">
        <v>4.0</v>
      </c>
      <c r="Y3676" s="1">
        <v>1.85</v>
      </c>
      <c r="Z3676" s="1">
        <v>5.9</v>
      </c>
    </row>
    <row r="3677" ht="14.25" customHeight="1">
      <c r="A3677" s="1" t="s">
        <v>26</v>
      </c>
      <c r="B3677" s="1" t="s">
        <v>1110</v>
      </c>
      <c r="C3677" s="1" t="s">
        <v>17337</v>
      </c>
      <c r="D3677" s="1">
        <v>768045.0</v>
      </c>
      <c r="E3677" s="1" t="s">
        <v>1880</v>
      </c>
      <c r="F3677" s="1" t="s">
        <v>168</v>
      </c>
      <c r="G3677" s="1" t="s">
        <v>17338</v>
      </c>
      <c r="H3677" s="1" t="s">
        <v>17339</v>
      </c>
      <c r="I3677" s="1">
        <v>19732.0</v>
      </c>
      <c r="J3677" s="1" t="s">
        <v>17340</v>
      </c>
      <c r="K3677" s="1" t="s">
        <v>17341</v>
      </c>
      <c r="L3677" s="1">
        <v>120.0</v>
      </c>
      <c r="M3677" s="1" t="s">
        <v>35</v>
      </c>
      <c r="N3677" s="1" t="s">
        <v>54</v>
      </c>
      <c r="O3677" s="1" t="s">
        <v>628</v>
      </c>
      <c r="P3677" s="1">
        <v>2000000.0</v>
      </c>
      <c r="Q3677" s="1">
        <v>2002.0</v>
      </c>
      <c r="R3677" s="1">
        <v>773.0</v>
      </c>
      <c r="S3677" s="1">
        <v>89.0</v>
      </c>
      <c r="T3677" s="1">
        <v>80.0</v>
      </c>
      <c r="U3677" s="1">
        <v>976.0</v>
      </c>
      <c r="V3677" s="1">
        <v>521.0</v>
      </c>
      <c r="W3677" s="1">
        <v>0.0</v>
      </c>
      <c r="X3677" s="1">
        <v>0.0</v>
      </c>
      <c r="Y3677" s="1">
        <v>1.85</v>
      </c>
      <c r="Z3677" s="1">
        <v>7.7</v>
      </c>
    </row>
    <row r="3678" ht="14.25" customHeight="1">
      <c r="A3678" s="1" t="s">
        <v>26</v>
      </c>
      <c r="B3678" s="1" t="s">
        <v>17342</v>
      </c>
      <c r="C3678" s="1" t="s">
        <v>17343</v>
      </c>
      <c r="D3678" s="1">
        <v>379122.0</v>
      </c>
      <c r="E3678" s="1" t="s">
        <v>1359</v>
      </c>
      <c r="F3678" s="1" t="s">
        <v>294</v>
      </c>
      <c r="G3678" s="1" t="s">
        <v>4768</v>
      </c>
      <c r="H3678" s="1" t="s">
        <v>10436</v>
      </c>
      <c r="I3678" s="1">
        <v>10143.0</v>
      </c>
      <c r="J3678" s="1" t="s">
        <v>17344</v>
      </c>
      <c r="K3678" s="1" t="s">
        <v>17345</v>
      </c>
      <c r="L3678" s="1">
        <v>54.0</v>
      </c>
      <c r="M3678" s="1" t="s">
        <v>35</v>
      </c>
      <c r="N3678" s="1" t="s">
        <v>54</v>
      </c>
      <c r="O3678" s="1" t="s">
        <v>628</v>
      </c>
      <c r="P3678" s="1">
        <v>450000.0</v>
      </c>
      <c r="Q3678" s="1">
        <v>2005.0</v>
      </c>
      <c r="R3678" s="1">
        <v>10000.0</v>
      </c>
      <c r="S3678" s="1">
        <v>651.0</v>
      </c>
      <c r="T3678" s="1">
        <v>446.0</v>
      </c>
      <c r="U3678" s="1">
        <v>12496.0</v>
      </c>
      <c r="V3678" s="1">
        <v>3.0</v>
      </c>
      <c r="W3678" s="1">
        <v>0.0</v>
      </c>
      <c r="X3678" s="1">
        <v>0.0</v>
      </c>
      <c r="Y3678" s="1">
        <v>2.39</v>
      </c>
      <c r="Z3678" s="1">
        <v>7.1</v>
      </c>
    </row>
    <row r="3679" ht="14.25" customHeight="1">
      <c r="A3679" s="1" t="s">
        <v>26</v>
      </c>
      <c r="B3679" s="1" t="s">
        <v>17346</v>
      </c>
      <c r="C3679" s="1" t="s">
        <v>17347</v>
      </c>
      <c r="D3679" s="1">
        <v>23000.0</v>
      </c>
      <c r="E3679" s="1" t="s">
        <v>17348</v>
      </c>
      <c r="F3679" s="1" t="s">
        <v>17349</v>
      </c>
      <c r="G3679" s="1" t="s">
        <v>17346</v>
      </c>
      <c r="H3679" s="1" t="s">
        <v>17350</v>
      </c>
      <c r="I3679" s="1">
        <v>5931.0</v>
      </c>
      <c r="J3679" s="1" t="s">
        <v>17351</v>
      </c>
      <c r="K3679" s="1" t="s">
        <v>17352</v>
      </c>
      <c r="L3679" s="1">
        <v>58.0</v>
      </c>
      <c r="M3679" s="1" t="s">
        <v>35</v>
      </c>
      <c r="N3679" s="1" t="s">
        <v>36</v>
      </c>
      <c r="O3679" s="1" t="s">
        <v>12164</v>
      </c>
      <c r="P3679" s="1">
        <v>500000.0</v>
      </c>
      <c r="Q3679" s="1">
        <v>2006.0</v>
      </c>
      <c r="R3679" s="1">
        <v>907.0</v>
      </c>
      <c r="S3679" s="1">
        <v>365.0</v>
      </c>
      <c r="T3679" s="1">
        <v>49.0</v>
      </c>
      <c r="U3679" s="1">
        <v>1411.0</v>
      </c>
      <c r="V3679" s="1">
        <v>365.0</v>
      </c>
      <c r="W3679" s="1">
        <v>0.0</v>
      </c>
      <c r="X3679" s="1">
        <v>0.0</v>
      </c>
      <c r="Y3679" s="1">
        <v>1.85</v>
      </c>
      <c r="Z3679" s="1">
        <v>6.2</v>
      </c>
    </row>
    <row r="3680" ht="14.25" customHeight="1">
      <c r="A3680" s="1" t="s">
        <v>710</v>
      </c>
      <c r="B3680" s="1" t="s">
        <v>17353</v>
      </c>
      <c r="C3680" s="1" t="s">
        <v>17354</v>
      </c>
      <c r="D3680" s="1">
        <v>2300000.0</v>
      </c>
      <c r="E3680" s="1" t="s">
        <v>10315</v>
      </c>
      <c r="F3680" s="1" t="s">
        <v>17168</v>
      </c>
      <c r="G3680" s="1" t="s">
        <v>17355</v>
      </c>
      <c r="H3680" s="1" t="s">
        <v>17356</v>
      </c>
      <c r="I3680" s="1">
        <v>7921.0</v>
      </c>
      <c r="J3680" s="1" t="s">
        <v>17357</v>
      </c>
      <c r="K3680" s="1" t="s">
        <v>17358</v>
      </c>
      <c r="L3680" s="1">
        <v>97.0</v>
      </c>
      <c r="M3680" s="1" t="s">
        <v>35</v>
      </c>
      <c r="N3680" s="1" t="s">
        <v>36</v>
      </c>
      <c r="O3680" s="1" t="s">
        <v>12164</v>
      </c>
      <c r="P3680" s="1">
        <v>439000.0</v>
      </c>
      <c r="Q3680" s="1">
        <v>1933.0</v>
      </c>
      <c r="R3680" s="1">
        <v>610.0</v>
      </c>
      <c r="S3680" s="1">
        <v>105.0</v>
      </c>
      <c r="T3680" s="1">
        <v>45.0</v>
      </c>
      <c r="U3680" s="1">
        <v>995.0</v>
      </c>
      <c r="V3680" s="1">
        <v>24.0</v>
      </c>
      <c r="W3680" s="1">
        <v>439.0</v>
      </c>
      <c r="X3680" s="1">
        <v>2.0</v>
      </c>
      <c r="Y3680" s="1">
        <v>1.37</v>
      </c>
      <c r="Z3680" s="1">
        <v>7.7</v>
      </c>
    </row>
    <row r="3681" ht="14.25" customHeight="1">
      <c r="A3681" s="1" t="s">
        <v>26</v>
      </c>
      <c r="B3681" s="1" t="s">
        <v>17359</v>
      </c>
      <c r="C3681" s="1" t="s">
        <v>17360</v>
      </c>
      <c r="D3681" s="1">
        <v>2938208.0</v>
      </c>
      <c r="E3681" s="1" t="s">
        <v>1359</v>
      </c>
      <c r="F3681" s="1" t="s">
        <v>17361</v>
      </c>
      <c r="G3681" s="1" t="s">
        <v>17362</v>
      </c>
      <c r="H3681" s="1" t="s">
        <v>17363</v>
      </c>
      <c r="I3681" s="1">
        <v>7143.0</v>
      </c>
      <c r="J3681" s="1" t="s">
        <v>17364</v>
      </c>
      <c r="K3681" s="1" t="s">
        <v>17365</v>
      </c>
      <c r="L3681" s="1">
        <v>52.0</v>
      </c>
      <c r="M3681" s="1" t="s">
        <v>35</v>
      </c>
      <c r="N3681" s="1" t="s">
        <v>36</v>
      </c>
      <c r="O3681" s="1" t="s">
        <v>37</v>
      </c>
      <c r="P3681" s="1">
        <v>225000.0</v>
      </c>
      <c r="Q3681" s="1">
        <v>1990.0</v>
      </c>
      <c r="R3681" s="1">
        <v>88.0</v>
      </c>
      <c r="S3681" s="1">
        <v>74.0</v>
      </c>
      <c r="T3681" s="1">
        <v>3.0</v>
      </c>
      <c r="U3681" s="1">
        <v>173.0</v>
      </c>
      <c r="V3681" s="1">
        <v>89.0</v>
      </c>
      <c r="W3681" s="1">
        <v>865.0</v>
      </c>
      <c r="X3681" s="1">
        <v>1.0</v>
      </c>
      <c r="Y3681" s="1">
        <v>1.66</v>
      </c>
      <c r="Z3681" s="1">
        <v>7.5</v>
      </c>
    </row>
    <row r="3682" ht="14.25" customHeight="1">
      <c r="A3682" s="1" t="s">
        <v>26</v>
      </c>
      <c r="B3682" s="1" t="s">
        <v>7391</v>
      </c>
      <c r="C3682" s="1" t="s">
        <v>17366</v>
      </c>
      <c r="D3682" s="1">
        <v>4.4540956E7</v>
      </c>
      <c r="E3682" s="1" t="s">
        <v>1885</v>
      </c>
      <c r="F3682" s="1" t="s">
        <v>1869</v>
      </c>
      <c r="G3682" s="1" t="s">
        <v>827</v>
      </c>
      <c r="H3682" s="1" t="s">
        <v>5267</v>
      </c>
      <c r="I3682" s="1">
        <v>161448.0</v>
      </c>
      <c r="J3682" s="1" t="s">
        <v>17367</v>
      </c>
      <c r="K3682" s="1" t="s">
        <v>17368</v>
      </c>
      <c r="L3682" s="1">
        <v>1473.0</v>
      </c>
      <c r="M3682" s="1" t="s">
        <v>35</v>
      </c>
      <c r="N3682" s="1" t="s">
        <v>36</v>
      </c>
      <c r="O3682" s="1" t="s">
        <v>87</v>
      </c>
      <c r="P3682" s="1">
        <v>400000.0</v>
      </c>
      <c r="Q3682" s="1">
        <v>2004.0</v>
      </c>
      <c r="R3682" s="1">
        <v>970.0</v>
      </c>
      <c r="S3682" s="1">
        <v>759.0</v>
      </c>
      <c r="T3682" s="1">
        <v>482.0</v>
      </c>
      <c r="U3682" s="1">
        <v>3950.0</v>
      </c>
      <c r="V3682" s="1">
        <v>100.0</v>
      </c>
      <c r="W3682" s="1">
        <v>0.0</v>
      </c>
      <c r="X3682" s="1">
        <v>0.0</v>
      </c>
      <c r="Y3682" s="1">
        <v>1.85</v>
      </c>
      <c r="Z3682" s="1">
        <v>6.9</v>
      </c>
    </row>
    <row r="3683" ht="14.25" customHeight="1">
      <c r="A3683" s="1" t="s">
        <v>26</v>
      </c>
      <c r="B3683" s="1" t="s">
        <v>15268</v>
      </c>
      <c r="C3683" s="1" t="s">
        <v>17369</v>
      </c>
      <c r="D3683" s="1">
        <v>258113.0</v>
      </c>
      <c r="E3683" s="1" t="s">
        <v>2045</v>
      </c>
      <c r="F3683" s="1" t="s">
        <v>2671</v>
      </c>
      <c r="G3683" s="1" t="s">
        <v>17370</v>
      </c>
      <c r="H3683" s="1" t="s">
        <v>17371</v>
      </c>
      <c r="I3683" s="1">
        <v>42678.0</v>
      </c>
      <c r="J3683" s="1" t="s">
        <v>17372</v>
      </c>
      <c r="K3683" s="1" t="s">
        <v>17373</v>
      </c>
      <c r="L3683" s="1">
        <v>135.0</v>
      </c>
      <c r="M3683" s="1" t="s">
        <v>35</v>
      </c>
      <c r="N3683" s="1" t="s">
        <v>36</v>
      </c>
      <c r="O3683" s="1" t="s">
        <v>628</v>
      </c>
      <c r="P3683" s="1">
        <v>1066167.0</v>
      </c>
      <c r="Q3683" s="1">
        <v>2013.0</v>
      </c>
      <c r="R3683" s="1">
        <v>1000.0</v>
      </c>
      <c r="S3683" s="1">
        <v>235.0</v>
      </c>
      <c r="T3683" s="1">
        <v>92.0</v>
      </c>
      <c r="U3683" s="1">
        <v>1528.0</v>
      </c>
      <c r="V3683" s="1">
        <v>57.0</v>
      </c>
      <c r="W3683" s="1">
        <v>0.0</v>
      </c>
      <c r="X3683" s="1">
        <v>0.0</v>
      </c>
      <c r="Y3683" s="1">
        <v>2.35</v>
      </c>
      <c r="Z3683" s="1">
        <v>7.1</v>
      </c>
    </row>
    <row r="3684" ht="14.25" customHeight="1">
      <c r="A3684" s="1" t="s">
        <v>26</v>
      </c>
      <c r="B3684" s="1" t="s">
        <v>17374</v>
      </c>
      <c r="C3684" s="1" t="s">
        <v>17375</v>
      </c>
      <c r="D3684" s="1">
        <v>1.07917283E8</v>
      </c>
      <c r="E3684" s="1" t="s">
        <v>6019</v>
      </c>
      <c r="F3684" s="1" t="s">
        <v>15845</v>
      </c>
      <c r="G3684" s="1" t="s">
        <v>17376</v>
      </c>
      <c r="H3684" s="1" t="s">
        <v>17377</v>
      </c>
      <c r="I3684" s="1">
        <v>184824.0</v>
      </c>
      <c r="J3684" s="1" t="s">
        <v>17378</v>
      </c>
      <c r="K3684" s="1" t="s">
        <v>17379</v>
      </c>
      <c r="L3684" s="1">
        <v>1189.0</v>
      </c>
      <c r="M3684" s="1" t="s">
        <v>35</v>
      </c>
      <c r="N3684" s="1" t="s">
        <v>36</v>
      </c>
      <c r="O3684" s="1" t="s">
        <v>628</v>
      </c>
      <c r="P3684" s="1">
        <v>15000.0</v>
      </c>
      <c r="Q3684" s="1">
        <v>2007.0</v>
      </c>
      <c r="R3684" s="1">
        <v>189.0</v>
      </c>
      <c r="S3684" s="1">
        <v>109.0</v>
      </c>
      <c r="T3684" s="1">
        <v>21.0</v>
      </c>
      <c r="U3684" s="1">
        <v>330.0</v>
      </c>
      <c r="V3684" s="1">
        <v>110.0</v>
      </c>
      <c r="W3684" s="1">
        <v>12000.0</v>
      </c>
      <c r="X3684" s="1">
        <v>0.0</v>
      </c>
      <c r="Y3684" s="1">
        <v>1.85</v>
      </c>
      <c r="Z3684" s="1">
        <v>6.3</v>
      </c>
    </row>
    <row r="3685" ht="14.25" customHeight="1">
      <c r="A3685" s="1" t="s">
        <v>26</v>
      </c>
      <c r="B3685" s="1" t="s">
        <v>2661</v>
      </c>
      <c r="C3685" s="1" t="s">
        <v>17380</v>
      </c>
      <c r="D3685" s="1">
        <v>1229197.0</v>
      </c>
      <c r="E3685" s="1" t="s">
        <v>5121</v>
      </c>
      <c r="F3685" s="1" t="s">
        <v>687</v>
      </c>
      <c r="G3685" s="1" t="s">
        <v>2335</v>
      </c>
      <c r="H3685" s="1" t="s">
        <v>17381</v>
      </c>
      <c r="I3685" s="1">
        <v>382240.0</v>
      </c>
      <c r="J3685" s="1" t="s">
        <v>17382</v>
      </c>
      <c r="K3685" s="1" t="s">
        <v>17383</v>
      </c>
      <c r="L3685" s="1">
        <v>660.0</v>
      </c>
      <c r="M3685" s="1" t="s">
        <v>35</v>
      </c>
      <c r="N3685" s="1" t="s">
        <v>54</v>
      </c>
      <c r="O3685" s="1" t="s">
        <v>87</v>
      </c>
      <c r="P3685" s="1">
        <v>229575.0</v>
      </c>
      <c r="Q3685" s="1">
        <v>1975.0</v>
      </c>
      <c r="R3685" s="1">
        <v>795.0</v>
      </c>
      <c r="S3685" s="1">
        <v>561.0</v>
      </c>
      <c r="T3685" s="1">
        <v>332.0</v>
      </c>
      <c r="U3685" s="1">
        <v>2158.0</v>
      </c>
      <c r="V3685" s="1">
        <v>0.0</v>
      </c>
      <c r="W3685" s="1">
        <v>14000.0</v>
      </c>
      <c r="X3685" s="1">
        <v>0.0</v>
      </c>
      <c r="Y3685" s="1">
        <v>1.66</v>
      </c>
      <c r="Z3685" s="1">
        <v>8.3</v>
      </c>
    </row>
    <row r="3686" ht="14.25" customHeight="1">
      <c r="A3686" s="1" t="s">
        <v>26</v>
      </c>
      <c r="B3686" s="1" t="s">
        <v>15096</v>
      </c>
      <c r="C3686" s="1" t="s">
        <v>17384</v>
      </c>
      <c r="D3686" s="1">
        <v>1689999.0</v>
      </c>
      <c r="E3686" s="1" t="s">
        <v>3238</v>
      </c>
      <c r="F3686" s="1" t="s">
        <v>17385</v>
      </c>
      <c r="G3686" s="1" t="s">
        <v>17386</v>
      </c>
      <c r="H3686" s="1" t="s">
        <v>17387</v>
      </c>
      <c r="I3686" s="1">
        <v>3675.0</v>
      </c>
      <c r="J3686" s="1" t="s">
        <v>17388</v>
      </c>
      <c r="K3686" s="1" t="s">
        <v>17389</v>
      </c>
      <c r="L3686" s="1">
        <v>48.0</v>
      </c>
      <c r="M3686" s="1" t="s">
        <v>2648</v>
      </c>
      <c r="N3686" s="1" t="s">
        <v>36</v>
      </c>
      <c r="O3686" s="1" t="s">
        <v>628</v>
      </c>
      <c r="P3686" s="1">
        <v>400000.0</v>
      </c>
      <c r="Q3686" s="1">
        <v>2006.0</v>
      </c>
      <c r="R3686" s="1">
        <v>231.0</v>
      </c>
      <c r="S3686" s="1">
        <v>200.0</v>
      </c>
      <c r="T3686" s="1">
        <v>138.0</v>
      </c>
      <c r="U3686" s="1">
        <v>771.0</v>
      </c>
      <c r="V3686" s="1">
        <v>25.0</v>
      </c>
      <c r="W3686" s="1">
        <v>426.0</v>
      </c>
      <c r="X3686" s="1">
        <v>1.0</v>
      </c>
      <c r="Y3686" s="1">
        <v>2.35</v>
      </c>
      <c r="Z3686" s="1">
        <v>7.1</v>
      </c>
    </row>
    <row r="3687" ht="14.25" customHeight="1">
      <c r="A3687" s="1" t="s">
        <v>26</v>
      </c>
      <c r="B3687" s="1" t="s">
        <v>17390</v>
      </c>
      <c r="C3687" s="1" t="s">
        <v>17391</v>
      </c>
      <c r="D3687" s="1">
        <v>592014.0</v>
      </c>
      <c r="E3687" s="1" t="s">
        <v>17392</v>
      </c>
      <c r="F3687" s="1" t="s">
        <v>17393</v>
      </c>
      <c r="G3687" s="1" t="s">
        <v>17390</v>
      </c>
      <c r="H3687" s="1" t="s">
        <v>17394</v>
      </c>
      <c r="I3687" s="1">
        <v>5709.0</v>
      </c>
      <c r="J3687" s="1" t="s">
        <v>17395</v>
      </c>
      <c r="K3687" s="1" t="s">
        <v>17396</v>
      </c>
      <c r="L3687" s="1">
        <v>114.0</v>
      </c>
      <c r="M3687" s="1" t="s">
        <v>35</v>
      </c>
      <c r="N3687" s="1" t="s">
        <v>36</v>
      </c>
      <c r="O3687" s="1" t="s">
        <v>12164</v>
      </c>
      <c r="P3687" s="1">
        <v>218.0</v>
      </c>
      <c r="Q3687" s="1">
        <v>2003.0</v>
      </c>
      <c r="R3687" s="1">
        <v>58.0</v>
      </c>
      <c r="S3687" s="1">
        <v>20.0</v>
      </c>
      <c r="T3687" s="1">
        <v>0.0</v>
      </c>
      <c r="U3687" s="1">
        <v>78.0</v>
      </c>
      <c r="V3687" s="1">
        <v>20.0</v>
      </c>
      <c r="W3687" s="1">
        <v>754.0</v>
      </c>
      <c r="X3687" s="1">
        <v>3.0</v>
      </c>
      <c r="Y3687" s="1">
        <v>1.37</v>
      </c>
      <c r="Z3687" s="1">
        <v>7.2</v>
      </c>
    </row>
    <row r="3688" ht="14.25" customHeight="1">
      <c r="A3688" s="1" t="s">
        <v>710</v>
      </c>
      <c r="B3688" s="1" t="s">
        <v>17397</v>
      </c>
      <c r="C3688" s="1" t="s">
        <v>17398</v>
      </c>
      <c r="D3688" s="1">
        <v>126387.0</v>
      </c>
      <c r="E3688" s="1" t="s">
        <v>6019</v>
      </c>
      <c r="F3688" s="1" t="s">
        <v>17399</v>
      </c>
      <c r="G3688" s="1" t="s">
        <v>17400</v>
      </c>
      <c r="H3688" s="1" t="s">
        <v>17401</v>
      </c>
      <c r="I3688" s="1">
        <v>14985.0</v>
      </c>
      <c r="J3688" s="1" t="s">
        <v>17402</v>
      </c>
      <c r="K3688" s="1" t="s">
        <v>17403</v>
      </c>
      <c r="L3688" s="1">
        <v>253.0</v>
      </c>
      <c r="M3688" s="1" t="s">
        <v>9061</v>
      </c>
      <c r="N3688" s="1" t="s">
        <v>8105</v>
      </c>
      <c r="O3688" s="1" t="s">
        <v>6886</v>
      </c>
      <c r="P3688" s="1">
        <v>400000.0</v>
      </c>
      <c r="Q3688" s="1">
        <v>1981.0</v>
      </c>
      <c r="R3688" s="1">
        <v>48.0</v>
      </c>
      <c r="S3688" s="1">
        <v>22.0</v>
      </c>
      <c r="T3688" s="1">
        <v>22.0</v>
      </c>
      <c r="U3688" s="1">
        <v>123.0</v>
      </c>
      <c r="V3688" s="1">
        <v>385.0</v>
      </c>
      <c r="W3688" s="1">
        <v>2000.0</v>
      </c>
      <c r="X3688" s="1">
        <v>0.0</v>
      </c>
      <c r="Y3688" s="1">
        <v>2.35</v>
      </c>
      <c r="Z3688" s="1">
        <v>6.9</v>
      </c>
    </row>
    <row r="3689" ht="14.25" customHeight="1">
      <c r="A3689" s="1" t="s">
        <v>26</v>
      </c>
      <c r="B3689" s="1" t="s">
        <v>7588</v>
      </c>
      <c r="C3689" s="1" t="s">
        <v>17404</v>
      </c>
      <c r="D3689" s="1">
        <v>8.0276912E7</v>
      </c>
      <c r="E3689" s="1" t="s">
        <v>1598</v>
      </c>
      <c r="F3689" s="1" t="s">
        <v>3994</v>
      </c>
      <c r="G3689" s="1" t="s">
        <v>6385</v>
      </c>
      <c r="H3689" s="1" t="s">
        <v>17405</v>
      </c>
      <c r="I3689" s="1">
        <v>140740.0</v>
      </c>
      <c r="J3689" s="1" t="s">
        <v>17406</v>
      </c>
      <c r="K3689" s="1" t="s">
        <v>17407</v>
      </c>
      <c r="L3689" s="1">
        <v>151.0</v>
      </c>
      <c r="M3689" s="1" t="s">
        <v>35</v>
      </c>
      <c r="N3689" s="1" t="s">
        <v>36</v>
      </c>
      <c r="O3689" s="1" t="s">
        <v>37</v>
      </c>
      <c r="P3689" s="1">
        <v>3.5E7</v>
      </c>
      <c r="Q3689" s="1">
        <v>2008.0</v>
      </c>
      <c r="R3689" s="1">
        <v>642.0</v>
      </c>
      <c r="S3689" s="1">
        <v>171.0</v>
      </c>
      <c r="T3689" s="1">
        <v>149.0</v>
      </c>
      <c r="U3689" s="1">
        <v>1026.0</v>
      </c>
      <c r="V3689" s="1">
        <v>12.0</v>
      </c>
      <c r="W3689" s="1">
        <v>0.0</v>
      </c>
      <c r="X3689" s="1">
        <v>2.0</v>
      </c>
      <c r="Y3689" s="1">
        <v>2.35</v>
      </c>
      <c r="Z3689" s="1">
        <v>6.1</v>
      </c>
    </row>
    <row r="3690" ht="14.25" customHeight="1">
      <c r="A3690" s="1" t="s">
        <v>710</v>
      </c>
      <c r="B3690" s="1" t="s">
        <v>17408</v>
      </c>
      <c r="C3690" s="1" t="s">
        <v>17409</v>
      </c>
      <c r="D3690" s="1">
        <v>2808000.0</v>
      </c>
      <c r="E3690" s="1" t="s">
        <v>14604</v>
      </c>
      <c r="F3690" s="1" t="s">
        <v>17410</v>
      </c>
      <c r="G3690" s="1" t="s">
        <v>17411</v>
      </c>
      <c r="H3690" s="1" t="s">
        <v>17412</v>
      </c>
      <c r="I3690" s="1">
        <v>4546.0</v>
      </c>
      <c r="J3690" s="1" t="s">
        <v>17413</v>
      </c>
      <c r="K3690" s="1" t="s">
        <v>17414</v>
      </c>
      <c r="L3690" s="1">
        <v>71.0</v>
      </c>
      <c r="M3690" s="1" t="s">
        <v>35</v>
      </c>
      <c r="N3690" s="1" t="s">
        <v>36</v>
      </c>
      <c r="O3690" s="1" t="s">
        <v>15674</v>
      </c>
      <c r="P3690" s="1">
        <v>379000.0</v>
      </c>
      <c r="Q3690" s="1">
        <v>1929.0</v>
      </c>
      <c r="R3690" s="1">
        <v>77.0</v>
      </c>
      <c r="S3690" s="1">
        <v>28.0</v>
      </c>
      <c r="T3690" s="1">
        <v>4.0</v>
      </c>
      <c r="U3690" s="1">
        <v>109.0</v>
      </c>
      <c r="V3690" s="1">
        <v>4.0</v>
      </c>
      <c r="W3690" s="1">
        <v>167.0</v>
      </c>
      <c r="X3690" s="1">
        <v>8.0</v>
      </c>
      <c r="Y3690" s="1">
        <v>1.37</v>
      </c>
      <c r="Z3690" s="1">
        <v>6.3</v>
      </c>
    </row>
    <row r="3691" ht="14.25" customHeight="1">
      <c r="A3691" s="1" t="s">
        <v>26</v>
      </c>
      <c r="B3691" s="1" t="s">
        <v>17415</v>
      </c>
      <c r="C3691" s="1" t="s">
        <v>17416</v>
      </c>
      <c r="D3691" s="1">
        <v>12843.0</v>
      </c>
      <c r="E3691" s="1" t="s">
        <v>6278</v>
      </c>
      <c r="F3691" s="1" t="s">
        <v>17417</v>
      </c>
      <c r="G3691" s="1" t="s">
        <v>17418</v>
      </c>
      <c r="H3691" s="1" t="s">
        <v>17419</v>
      </c>
      <c r="I3691" s="1">
        <v>27297.0</v>
      </c>
      <c r="J3691" s="1" t="s">
        <v>17420</v>
      </c>
      <c r="K3691" s="1" t="s">
        <v>17421</v>
      </c>
      <c r="L3691" s="1">
        <v>131.0</v>
      </c>
      <c r="M3691" s="1" t="s">
        <v>35</v>
      </c>
      <c r="N3691" s="1" t="s">
        <v>1832</v>
      </c>
      <c r="O3691" s="1" t="s">
        <v>9252</v>
      </c>
      <c r="P3691" s="1">
        <v>6000000.0</v>
      </c>
      <c r="Q3691" s="1">
        <v>2012.0</v>
      </c>
      <c r="R3691" s="1">
        <v>470.0</v>
      </c>
      <c r="S3691" s="1">
        <v>378.0</v>
      </c>
      <c r="T3691" s="1">
        <v>118.0</v>
      </c>
      <c r="U3691" s="1">
        <v>1233.0</v>
      </c>
      <c r="V3691" s="1">
        <v>33.0</v>
      </c>
      <c r="W3691" s="1">
        <v>0.0</v>
      </c>
      <c r="X3691" s="1">
        <v>0.0</v>
      </c>
      <c r="Y3691" s="1">
        <v>2.35</v>
      </c>
      <c r="Z3691" s="1">
        <v>6.1</v>
      </c>
    </row>
    <row r="3692" ht="14.25" customHeight="1">
      <c r="A3692" s="1" t="s">
        <v>26</v>
      </c>
      <c r="B3692" s="1" t="s">
        <v>17422</v>
      </c>
      <c r="C3692" s="1" t="s">
        <v>17423</v>
      </c>
      <c r="D3692" s="1">
        <v>1523883.0</v>
      </c>
      <c r="E3692" s="1" t="s">
        <v>16971</v>
      </c>
      <c r="F3692" s="1" t="s">
        <v>17424</v>
      </c>
      <c r="G3692" s="1" t="s">
        <v>17425</v>
      </c>
      <c r="H3692" s="1" t="s">
        <v>17426</v>
      </c>
      <c r="I3692" s="1">
        <v>9037.0</v>
      </c>
      <c r="J3692" s="1" t="s">
        <v>17427</v>
      </c>
      <c r="K3692" s="1" t="s">
        <v>17428</v>
      </c>
      <c r="L3692" s="1">
        <v>70.0</v>
      </c>
      <c r="M3692" s="1" t="s">
        <v>35</v>
      </c>
      <c r="N3692" s="1" t="s">
        <v>36</v>
      </c>
      <c r="O3692" s="1" t="s">
        <v>628</v>
      </c>
      <c r="P3692" s="1">
        <v>1750211.0</v>
      </c>
      <c r="Q3692" s="1">
        <v>2005.0</v>
      </c>
      <c r="R3692" s="1">
        <v>15.0</v>
      </c>
      <c r="S3692" s="1">
        <v>0.0</v>
      </c>
      <c r="T3692" s="1">
        <v>0.0</v>
      </c>
      <c r="U3692" s="1">
        <v>15.0</v>
      </c>
      <c r="V3692" s="1">
        <v>30.0</v>
      </c>
      <c r="W3692" s="1">
        <v>0.0</v>
      </c>
      <c r="X3692" s="1">
        <v>1.0</v>
      </c>
      <c r="Y3692" s="1">
        <v>1.85</v>
      </c>
      <c r="Z3692" s="1">
        <v>7.8</v>
      </c>
    </row>
    <row r="3693" ht="14.25" customHeight="1">
      <c r="A3693" s="1" t="s">
        <v>26</v>
      </c>
      <c r="B3693" s="1" t="s">
        <v>17429</v>
      </c>
      <c r="C3693" s="1" t="s">
        <v>17430</v>
      </c>
      <c r="D3693" s="1">
        <v>4000000.0</v>
      </c>
      <c r="E3693" s="1" t="s">
        <v>740</v>
      </c>
      <c r="F3693" s="1" t="s">
        <v>17431</v>
      </c>
      <c r="G3693" s="1" t="s">
        <v>14074</v>
      </c>
      <c r="H3693" s="1" t="s">
        <v>17432</v>
      </c>
      <c r="I3693" s="1">
        <v>6046.0</v>
      </c>
      <c r="J3693" s="1" t="s">
        <v>17433</v>
      </c>
      <c r="K3693" s="1" t="s">
        <v>17434</v>
      </c>
      <c r="L3693" s="1">
        <v>46.0</v>
      </c>
      <c r="M3693" s="1" t="s">
        <v>35</v>
      </c>
      <c r="N3693" s="1" t="s">
        <v>36</v>
      </c>
      <c r="O3693" s="1" t="s">
        <v>628</v>
      </c>
      <c r="P3693" s="1">
        <v>350000.0</v>
      </c>
      <c r="Q3693" s="1">
        <v>1987.0</v>
      </c>
      <c r="R3693" s="1">
        <v>615.0</v>
      </c>
      <c r="S3693" s="1">
        <v>96.0</v>
      </c>
      <c r="T3693" s="1">
        <v>93.0</v>
      </c>
      <c r="U3693" s="1">
        <v>872.0</v>
      </c>
      <c r="V3693" s="1">
        <v>44.0</v>
      </c>
      <c r="W3693" s="1">
        <v>583.0</v>
      </c>
      <c r="X3693" s="1">
        <v>0.0</v>
      </c>
      <c r="Y3693" s="1">
        <v>1.85</v>
      </c>
      <c r="Z3693" s="1">
        <v>4.7</v>
      </c>
    </row>
    <row r="3694" ht="14.25" customHeight="1">
      <c r="A3694" s="1" t="s">
        <v>26</v>
      </c>
      <c r="B3694" s="1" t="s">
        <v>5073</v>
      </c>
      <c r="C3694" s="1" t="s">
        <v>11025</v>
      </c>
      <c r="D3694" s="1">
        <v>4.7E7</v>
      </c>
      <c r="E3694" s="1" t="s">
        <v>6278</v>
      </c>
      <c r="F3694" s="1" t="s">
        <v>1651</v>
      </c>
      <c r="G3694" s="1" t="s">
        <v>9365</v>
      </c>
      <c r="H3694" s="1" t="s">
        <v>11026</v>
      </c>
      <c r="I3694" s="1">
        <v>157863.0</v>
      </c>
      <c r="J3694" s="1" t="s">
        <v>11027</v>
      </c>
      <c r="K3694" s="1" t="s">
        <v>11028</v>
      </c>
      <c r="L3694" s="1">
        <v>1191.0</v>
      </c>
      <c r="M3694" s="1" t="s">
        <v>35</v>
      </c>
      <c r="N3694" s="1" t="s">
        <v>36</v>
      </c>
      <c r="O3694" s="1" t="s">
        <v>628</v>
      </c>
      <c r="P3694" s="1">
        <v>300000.0</v>
      </c>
      <c r="Q3694" s="1">
        <v>1978.0</v>
      </c>
      <c r="R3694" s="1">
        <v>2000.0</v>
      </c>
      <c r="S3694" s="1">
        <v>742.0</v>
      </c>
      <c r="T3694" s="1">
        <v>598.0</v>
      </c>
      <c r="U3694" s="1">
        <v>4400.0</v>
      </c>
      <c r="V3694" s="1">
        <v>0.0</v>
      </c>
      <c r="W3694" s="1">
        <v>12000.0</v>
      </c>
      <c r="X3694" s="1">
        <v>0.0</v>
      </c>
      <c r="Y3694" s="1">
        <v>2.35</v>
      </c>
      <c r="Z3694" s="1">
        <v>7.9</v>
      </c>
    </row>
    <row r="3695" ht="14.25" customHeight="1">
      <c r="A3695" s="1" t="s">
        <v>26</v>
      </c>
      <c r="B3695" s="1" t="s">
        <v>8016</v>
      </c>
      <c r="C3695" s="1" t="s">
        <v>17435</v>
      </c>
      <c r="D3695" s="1">
        <v>1281176.0</v>
      </c>
      <c r="E3695" s="1" t="s">
        <v>2422</v>
      </c>
      <c r="F3695" s="1" t="s">
        <v>9791</v>
      </c>
      <c r="G3695" s="1" t="s">
        <v>17436</v>
      </c>
      <c r="H3695" s="1" t="s">
        <v>12000</v>
      </c>
      <c r="I3695" s="1">
        <v>2932.0</v>
      </c>
      <c r="J3695" s="1" t="s">
        <v>17437</v>
      </c>
      <c r="K3695" s="1" t="s">
        <v>17438</v>
      </c>
      <c r="L3695" s="1">
        <v>73.0</v>
      </c>
      <c r="M3695" s="1" t="s">
        <v>35</v>
      </c>
      <c r="N3695" s="1" t="s">
        <v>36</v>
      </c>
      <c r="O3695" s="1" t="s">
        <v>37</v>
      </c>
      <c r="P3695" s="1">
        <v>312000.0</v>
      </c>
      <c r="Q3695" s="1">
        <v>1999.0</v>
      </c>
      <c r="R3695" s="1">
        <v>409.0</v>
      </c>
      <c r="S3695" s="1">
        <v>277.0</v>
      </c>
      <c r="T3695" s="1">
        <v>276.0</v>
      </c>
      <c r="U3695" s="1">
        <v>1986.0</v>
      </c>
      <c r="V3695" s="1">
        <v>149.0</v>
      </c>
      <c r="W3695" s="1">
        <v>121.0</v>
      </c>
      <c r="X3695" s="1">
        <v>1.0</v>
      </c>
      <c r="Y3695" s="1">
        <v>1.85</v>
      </c>
      <c r="Z3695" s="1">
        <v>6.7</v>
      </c>
    </row>
    <row r="3696" ht="14.25" customHeight="1">
      <c r="A3696" s="1" t="s">
        <v>26</v>
      </c>
      <c r="B3696" s="1" t="s">
        <v>17439</v>
      </c>
      <c r="C3696" s="1" t="s">
        <v>17440</v>
      </c>
      <c r="D3696" s="1">
        <v>1.6115878E7</v>
      </c>
      <c r="E3696" s="1" t="s">
        <v>17441</v>
      </c>
      <c r="F3696" s="1" t="s">
        <v>2682</v>
      </c>
      <c r="G3696" s="1" t="s">
        <v>2723</v>
      </c>
      <c r="H3696" s="1" t="s">
        <v>2548</v>
      </c>
      <c r="I3696" s="1">
        <v>24438.0</v>
      </c>
      <c r="J3696" s="1" t="s">
        <v>17442</v>
      </c>
      <c r="K3696" s="1" t="s">
        <v>17443</v>
      </c>
      <c r="L3696" s="1">
        <v>194.0</v>
      </c>
      <c r="M3696" s="1" t="s">
        <v>35</v>
      </c>
      <c r="N3696" s="1" t="s">
        <v>36</v>
      </c>
      <c r="O3696" s="1" t="s">
        <v>628</v>
      </c>
      <c r="P3696" s="1">
        <v>8000000.0</v>
      </c>
      <c r="Q3696" s="1">
        <v>1995.0</v>
      </c>
      <c r="R3696" s="1">
        <v>10000.0</v>
      </c>
      <c r="S3696" s="1">
        <v>1000.0</v>
      </c>
      <c r="T3696" s="1">
        <v>912.0</v>
      </c>
      <c r="U3696" s="1">
        <v>13433.0</v>
      </c>
      <c r="V3696" s="1">
        <v>10.0</v>
      </c>
      <c r="W3696" s="1">
        <v>0.0</v>
      </c>
      <c r="X3696" s="1">
        <v>0.0</v>
      </c>
      <c r="Y3696" s="1">
        <v>2.35</v>
      </c>
      <c r="Z3696" s="1">
        <v>6.6</v>
      </c>
    </row>
    <row r="3697" ht="14.25" customHeight="1">
      <c r="A3697" s="1" t="s">
        <v>26</v>
      </c>
      <c r="B3697" s="1" t="s">
        <v>14830</v>
      </c>
      <c r="C3697" s="1" t="s">
        <v>17444</v>
      </c>
      <c r="D3697" s="1">
        <v>1652472.0</v>
      </c>
      <c r="E3697" s="1" t="s">
        <v>1598</v>
      </c>
      <c r="F3697" s="1" t="s">
        <v>17445</v>
      </c>
      <c r="G3697" s="1" t="s">
        <v>15346</v>
      </c>
      <c r="H3697" s="1" t="s">
        <v>17446</v>
      </c>
      <c r="I3697" s="1">
        <v>2843.0</v>
      </c>
      <c r="J3697" s="1" t="s">
        <v>17447</v>
      </c>
      <c r="K3697" s="1" t="s">
        <v>17448</v>
      </c>
      <c r="L3697" s="1">
        <v>25.0</v>
      </c>
      <c r="M3697" s="1" t="s">
        <v>2752</v>
      </c>
      <c r="N3697" s="1" t="s">
        <v>1832</v>
      </c>
      <c r="O3697" s="1" t="s">
        <v>628</v>
      </c>
      <c r="P3697" s="1">
        <v>300000.0</v>
      </c>
      <c r="Q3697" s="1">
        <v>1996.0</v>
      </c>
      <c r="R3697" s="1">
        <v>75.0</v>
      </c>
      <c r="S3697" s="1">
        <v>9.0</v>
      </c>
      <c r="T3697" s="1">
        <v>8.0</v>
      </c>
      <c r="U3697" s="1">
        <v>102.0</v>
      </c>
      <c r="V3697" s="1">
        <v>82.0</v>
      </c>
      <c r="W3697" s="1">
        <v>166.0</v>
      </c>
      <c r="X3697" s="1">
        <v>7.0</v>
      </c>
      <c r="Y3697" s="1">
        <v>1.66</v>
      </c>
      <c r="Z3697" s="1">
        <v>6.9</v>
      </c>
    </row>
    <row r="3698" ht="14.25" customHeight="1">
      <c r="A3698" s="1" t="s">
        <v>26</v>
      </c>
      <c r="B3698" s="1" t="s">
        <v>6106</v>
      </c>
      <c r="C3698" s="1" t="s">
        <v>17449</v>
      </c>
      <c r="D3698" s="1">
        <v>2360184.0</v>
      </c>
      <c r="E3698" s="1" t="s">
        <v>2422</v>
      </c>
      <c r="F3698" s="1" t="s">
        <v>415</v>
      </c>
      <c r="G3698" s="1" t="s">
        <v>2034</v>
      </c>
      <c r="H3698" s="1" t="s">
        <v>8669</v>
      </c>
      <c r="I3698" s="1">
        <v>18035.0</v>
      </c>
      <c r="J3698" s="1" t="s">
        <v>17450</v>
      </c>
      <c r="K3698" s="1" t="s">
        <v>17451</v>
      </c>
      <c r="L3698" s="1">
        <v>177.0</v>
      </c>
      <c r="M3698" s="1" t="s">
        <v>35</v>
      </c>
      <c r="N3698" s="1" t="s">
        <v>36</v>
      </c>
      <c r="O3698" s="1" t="s">
        <v>37</v>
      </c>
      <c r="P3698" s="1">
        <v>300000.0</v>
      </c>
      <c r="Q3698" s="1">
        <v>2003.0</v>
      </c>
      <c r="R3698" s="1">
        <v>1000.0</v>
      </c>
      <c r="S3698" s="1">
        <v>806.0</v>
      </c>
      <c r="T3698" s="1">
        <v>543.0</v>
      </c>
      <c r="U3698" s="1">
        <v>3010.0</v>
      </c>
      <c r="V3698" s="1">
        <v>54.0</v>
      </c>
      <c r="W3698" s="1">
        <v>0.0</v>
      </c>
      <c r="X3698" s="1">
        <v>3.0</v>
      </c>
      <c r="Y3698" s="1">
        <v>1.85</v>
      </c>
      <c r="Z3698" s="1">
        <v>7.1</v>
      </c>
    </row>
    <row r="3699" ht="14.25" customHeight="1">
      <c r="A3699" s="1" t="s">
        <v>26</v>
      </c>
      <c r="B3699" s="1" t="s">
        <v>17452</v>
      </c>
      <c r="C3699" s="1" t="s">
        <v>17453</v>
      </c>
      <c r="D3699" s="1">
        <v>255352.0</v>
      </c>
      <c r="E3699" s="1" t="s">
        <v>3238</v>
      </c>
      <c r="F3699" s="1" t="s">
        <v>17454</v>
      </c>
      <c r="G3699" s="1" t="s">
        <v>5873</v>
      </c>
      <c r="H3699" s="1" t="s">
        <v>17455</v>
      </c>
      <c r="I3699" s="1">
        <v>4423.0</v>
      </c>
      <c r="J3699" s="1" t="s">
        <v>17456</v>
      </c>
      <c r="K3699" s="1" t="s">
        <v>17457</v>
      </c>
      <c r="L3699" s="1">
        <v>57.0</v>
      </c>
      <c r="M3699" s="1" t="s">
        <v>35</v>
      </c>
      <c r="N3699" s="1" t="s">
        <v>36</v>
      </c>
      <c r="O3699" s="1" t="s">
        <v>12164</v>
      </c>
      <c r="P3699" s="1">
        <v>300000.0</v>
      </c>
      <c r="Q3699" s="1">
        <v>2006.0</v>
      </c>
      <c r="R3699" s="1">
        <v>52.0</v>
      </c>
      <c r="S3699" s="1">
        <v>44.0</v>
      </c>
      <c r="T3699" s="1">
        <v>26.0</v>
      </c>
      <c r="U3699" s="1">
        <v>132.0</v>
      </c>
      <c r="V3699" s="1">
        <v>129.0</v>
      </c>
      <c r="W3699" s="1">
        <v>594.0</v>
      </c>
      <c r="X3699" s="1">
        <v>2.0</v>
      </c>
      <c r="Y3699" s="1">
        <v>1.66</v>
      </c>
      <c r="Z3699" s="1">
        <v>6.7</v>
      </c>
    </row>
    <row r="3700" ht="14.25" customHeight="1">
      <c r="A3700" s="1" t="s">
        <v>26</v>
      </c>
      <c r="B3700" s="1" t="s">
        <v>17452</v>
      </c>
      <c r="C3700" s="1" t="s">
        <v>17458</v>
      </c>
      <c r="D3700" s="1">
        <v>856942.0</v>
      </c>
      <c r="E3700" s="1" t="s">
        <v>3238</v>
      </c>
      <c r="F3700" s="1" t="s">
        <v>17459</v>
      </c>
      <c r="G3700" s="1" t="s">
        <v>5873</v>
      </c>
      <c r="H3700" s="1" t="s">
        <v>17455</v>
      </c>
      <c r="I3700" s="1">
        <v>12241.0</v>
      </c>
      <c r="J3700" s="1" t="s">
        <v>17460</v>
      </c>
      <c r="K3700" s="1" t="s">
        <v>17461</v>
      </c>
      <c r="L3700" s="1">
        <v>112.0</v>
      </c>
      <c r="M3700" s="1" t="s">
        <v>35</v>
      </c>
      <c r="N3700" s="1" t="s">
        <v>36</v>
      </c>
      <c r="O3700" s="1" t="s">
        <v>628</v>
      </c>
      <c r="P3700" s="1">
        <v>200000.0</v>
      </c>
      <c r="Q3700" s="1">
        <v>2008.0</v>
      </c>
      <c r="R3700" s="1">
        <v>375.0</v>
      </c>
      <c r="S3700" s="1">
        <v>44.0</v>
      </c>
      <c r="T3700" s="1">
        <v>26.0</v>
      </c>
      <c r="U3700" s="1">
        <v>460.0</v>
      </c>
      <c r="V3700" s="1">
        <v>129.0</v>
      </c>
      <c r="W3700" s="1">
        <v>0.0</v>
      </c>
      <c r="X3700" s="1">
        <v>1.0</v>
      </c>
      <c r="Y3700" s="1">
        <v>1.85</v>
      </c>
      <c r="Z3700" s="1">
        <v>7.1</v>
      </c>
    </row>
    <row r="3701" ht="14.25" customHeight="1">
      <c r="A3701" s="1" t="s">
        <v>26</v>
      </c>
      <c r="B3701" s="1" t="s">
        <v>17462</v>
      </c>
      <c r="C3701" s="1" t="s">
        <v>17463</v>
      </c>
      <c r="D3701" s="1">
        <v>5199.0</v>
      </c>
      <c r="E3701" s="1" t="s">
        <v>3598</v>
      </c>
      <c r="F3701" s="1" t="s">
        <v>17464</v>
      </c>
      <c r="G3701" s="1" t="s">
        <v>17465</v>
      </c>
      <c r="H3701" s="1" t="s">
        <v>17466</v>
      </c>
      <c r="I3701" s="1">
        <v>720.0</v>
      </c>
      <c r="J3701" s="1" t="s">
        <v>17467</v>
      </c>
      <c r="K3701" s="1" t="s">
        <v>17468</v>
      </c>
      <c r="L3701" s="1">
        <v>23.0</v>
      </c>
      <c r="M3701" s="1" t="s">
        <v>35</v>
      </c>
      <c r="N3701" s="1" t="s">
        <v>36</v>
      </c>
      <c r="O3701" s="1" t="s">
        <v>628</v>
      </c>
      <c r="P3701" s="1">
        <v>200000.0</v>
      </c>
      <c r="Q3701" s="1">
        <v>2004.0</v>
      </c>
      <c r="R3701" s="1">
        <v>54.0</v>
      </c>
      <c r="S3701" s="1">
        <v>53.0</v>
      </c>
      <c r="T3701" s="1">
        <v>25.0</v>
      </c>
      <c r="U3701" s="1">
        <v>185.0</v>
      </c>
      <c r="V3701" s="1">
        <v>3.0</v>
      </c>
      <c r="W3701" s="1">
        <v>30.0</v>
      </c>
      <c r="X3701" s="1">
        <v>0.0</v>
      </c>
      <c r="Y3701" s="1">
        <v>2.35</v>
      </c>
      <c r="Z3701" s="1">
        <v>6.6</v>
      </c>
    </row>
    <row r="3702" ht="14.25" customHeight="1">
      <c r="A3702" s="1" t="s">
        <v>26</v>
      </c>
      <c r="B3702" s="1" t="s">
        <v>5519</v>
      </c>
      <c r="C3702" s="1" t="s">
        <v>5520</v>
      </c>
      <c r="D3702" s="1">
        <v>2.4343673E7</v>
      </c>
      <c r="E3702" s="1" t="s">
        <v>5521</v>
      </c>
      <c r="F3702" s="1" t="s">
        <v>1767</v>
      </c>
      <c r="G3702" s="1" t="s">
        <v>5522</v>
      </c>
      <c r="H3702" s="1" t="s">
        <v>5523</v>
      </c>
      <c r="I3702" s="1">
        <v>91863.0</v>
      </c>
      <c r="J3702" s="1" t="s">
        <v>5524</v>
      </c>
      <c r="K3702" s="1" t="s">
        <v>5525</v>
      </c>
      <c r="L3702" s="1">
        <v>524.0</v>
      </c>
      <c r="M3702" s="1" t="s">
        <v>35</v>
      </c>
      <c r="N3702" s="1" t="s">
        <v>36</v>
      </c>
      <c r="O3702" s="1" t="s">
        <v>37</v>
      </c>
      <c r="P3702" s="1">
        <v>4.5E7</v>
      </c>
      <c r="Q3702" s="1">
        <v>2007.0</v>
      </c>
      <c r="R3702" s="1">
        <v>5000.0</v>
      </c>
      <c r="S3702" s="1">
        <v>117.0</v>
      </c>
      <c r="T3702" s="1">
        <v>107.0</v>
      </c>
      <c r="U3702" s="1">
        <v>5405.0</v>
      </c>
      <c r="V3702" s="1">
        <v>278.0</v>
      </c>
      <c r="W3702" s="1">
        <v>14000.0</v>
      </c>
      <c r="X3702" s="1">
        <v>0.0</v>
      </c>
      <c r="Y3702" s="1">
        <v>2.35</v>
      </c>
      <c r="Z3702" s="1">
        <v>7.4</v>
      </c>
    </row>
    <row r="3703" ht="14.25" customHeight="1">
      <c r="A3703" s="1" t="s">
        <v>26</v>
      </c>
      <c r="B3703" s="1" t="s">
        <v>17469</v>
      </c>
      <c r="C3703" s="1" t="s">
        <v>17470</v>
      </c>
      <c r="D3703" s="1">
        <v>2468.0</v>
      </c>
      <c r="E3703" s="1" t="s">
        <v>17471</v>
      </c>
      <c r="F3703" s="1" t="s">
        <v>8446</v>
      </c>
      <c r="G3703" s="1" t="s">
        <v>4373</v>
      </c>
      <c r="H3703" s="1" t="s">
        <v>11340</v>
      </c>
      <c r="I3703" s="1">
        <v>241.0</v>
      </c>
      <c r="J3703" s="1" t="s">
        <v>17472</v>
      </c>
      <c r="K3703" s="1" t="s">
        <v>17473</v>
      </c>
      <c r="L3703" s="1">
        <v>5.0</v>
      </c>
      <c r="M3703" s="1" t="s">
        <v>35</v>
      </c>
      <c r="N3703" s="1" t="s">
        <v>36</v>
      </c>
      <c r="O3703" s="1" t="s">
        <v>628</v>
      </c>
      <c r="P3703" s="1">
        <v>300000.0</v>
      </c>
      <c r="Q3703" s="1">
        <v>2014.0</v>
      </c>
      <c r="R3703" s="1">
        <v>685.0</v>
      </c>
      <c r="S3703" s="1">
        <v>665.0</v>
      </c>
      <c r="T3703" s="1">
        <v>309.0</v>
      </c>
      <c r="U3703" s="1">
        <v>2048.0</v>
      </c>
      <c r="V3703" s="1">
        <v>0.0</v>
      </c>
      <c r="W3703" s="1">
        <v>261.0</v>
      </c>
      <c r="X3703" s="1">
        <v>3.0</v>
      </c>
      <c r="Y3703" s="1">
        <v>1.85</v>
      </c>
      <c r="Z3703" s="1">
        <v>4.8</v>
      </c>
    </row>
    <row r="3704" ht="14.25" customHeight="1">
      <c r="A3704" s="1" t="s">
        <v>26</v>
      </c>
      <c r="B3704" s="1" t="s">
        <v>17474</v>
      </c>
      <c r="C3704" s="1" t="s">
        <v>17475</v>
      </c>
      <c r="D3704" s="1">
        <v>318622.0</v>
      </c>
      <c r="E3704" s="1" t="s">
        <v>11141</v>
      </c>
      <c r="F3704" s="1" t="s">
        <v>8693</v>
      </c>
      <c r="G3704" s="1" t="s">
        <v>11165</v>
      </c>
      <c r="H3704" s="1" t="s">
        <v>17476</v>
      </c>
      <c r="I3704" s="1">
        <v>24668.0</v>
      </c>
      <c r="J3704" s="1" t="s">
        <v>17477</v>
      </c>
      <c r="K3704" s="1" t="s">
        <v>17478</v>
      </c>
      <c r="L3704" s="1">
        <v>175.0</v>
      </c>
      <c r="M3704" s="1" t="s">
        <v>35</v>
      </c>
      <c r="N3704" s="1" t="s">
        <v>36</v>
      </c>
      <c r="O3704" s="1" t="s">
        <v>628</v>
      </c>
      <c r="P3704" s="1">
        <v>270000.0</v>
      </c>
      <c r="Q3704" s="1">
        <v>2012.0</v>
      </c>
      <c r="R3704" s="1">
        <v>601.0</v>
      </c>
      <c r="S3704" s="1">
        <v>260.0</v>
      </c>
      <c r="T3704" s="1">
        <v>235.0</v>
      </c>
      <c r="U3704" s="1">
        <v>1734.0</v>
      </c>
      <c r="V3704" s="1">
        <v>25.0</v>
      </c>
      <c r="W3704" s="1">
        <v>0.0</v>
      </c>
      <c r="X3704" s="1">
        <v>0.0</v>
      </c>
      <c r="Y3704" s="1">
        <v>2.35</v>
      </c>
      <c r="Z3704" s="1">
        <v>6.4</v>
      </c>
    </row>
    <row r="3705" ht="14.25" customHeight="1">
      <c r="A3705" s="1" t="s">
        <v>26</v>
      </c>
      <c r="B3705" s="1" t="s">
        <v>6697</v>
      </c>
      <c r="C3705" s="1" t="s">
        <v>17479</v>
      </c>
      <c r="D3705" s="1">
        <v>1.2006514E7</v>
      </c>
      <c r="E3705" s="1" t="s">
        <v>1359</v>
      </c>
      <c r="F3705" s="1" t="s">
        <v>1113</v>
      </c>
      <c r="G3705" s="1" t="s">
        <v>2003</v>
      </c>
      <c r="H3705" s="1" t="s">
        <v>7569</v>
      </c>
      <c r="I3705" s="1">
        <v>114070.0</v>
      </c>
      <c r="J3705" s="1" t="s">
        <v>17480</v>
      </c>
      <c r="K3705" s="1" t="s">
        <v>17481</v>
      </c>
      <c r="L3705" s="1">
        <v>500.0</v>
      </c>
      <c r="M3705" s="1" t="s">
        <v>35</v>
      </c>
      <c r="N3705" s="1" t="s">
        <v>36</v>
      </c>
      <c r="O3705" s="1" t="s">
        <v>628</v>
      </c>
      <c r="P3705" s="1">
        <v>250000.0</v>
      </c>
      <c r="Q3705" s="1">
        <v>1997.0</v>
      </c>
      <c r="R3705" s="1">
        <v>13000.0</v>
      </c>
      <c r="S3705" s="1">
        <v>1000.0</v>
      </c>
      <c r="T3705" s="1">
        <v>781.0</v>
      </c>
      <c r="U3705" s="1">
        <v>15765.0</v>
      </c>
      <c r="V3705" s="1">
        <v>0.0</v>
      </c>
      <c r="W3705" s="1">
        <v>0.0</v>
      </c>
      <c r="X3705" s="1">
        <v>5.0</v>
      </c>
      <c r="Y3705" s="1">
        <v>1.85</v>
      </c>
      <c r="Z3705" s="1">
        <v>7.3</v>
      </c>
    </row>
    <row r="3706" ht="14.25" customHeight="1">
      <c r="A3706" s="1" t="s">
        <v>26</v>
      </c>
      <c r="B3706" s="1" t="s">
        <v>14014</v>
      </c>
      <c r="C3706" s="1" t="s">
        <v>17482</v>
      </c>
      <c r="D3706" s="1">
        <v>4186931.0</v>
      </c>
      <c r="E3706" s="1" t="s">
        <v>1359</v>
      </c>
      <c r="F3706" s="1" t="s">
        <v>7925</v>
      </c>
      <c r="G3706" s="1" t="s">
        <v>7784</v>
      </c>
      <c r="H3706" s="1" t="s">
        <v>17483</v>
      </c>
      <c r="I3706" s="1">
        <v>6041.0</v>
      </c>
      <c r="J3706" s="1" t="s">
        <v>17484</v>
      </c>
      <c r="K3706" s="1" t="s">
        <v>17485</v>
      </c>
      <c r="L3706" s="1">
        <v>85.0</v>
      </c>
      <c r="M3706" s="1" t="s">
        <v>35</v>
      </c>
      <c r="N3706" s="1" t="s">
        <v>36</v>
      </c>
      <c r="O3706" s="1" t="s">
        <v>628</v>
      </c>
      <c r="P3706" s="1">
        <v>250000.0</v>
      </c>
      <c r="Q3706" s="1">
        <v>2001.0</v>
      </c>
      <c r="R3706" s="1">
        <v>400.0</v>
      </c>
      <c r="S3706" s="1">
        <v>286.0</v>
      </c>
      <c r="T3706" s="1">
        <v>225.0</v>
      </c>
      <c r="U3706" s="1">
        <v>1330.0</v>
      </c>
      <c r="V3706" s="1">
        <v>132.0</v>
      </c>
      <c r="W3706" s="1">
        <v>169.0</v>
      </c>
      <c r="X3706" s="1">
        <v>3.0</v>
      </c>
      <c r="Y3706" s="1">
        <v>1.85</v>
      </c>
      <c r="Z3706" s="1">
        <v>6.9</v>
      </c>
    </row>
    <row r="3707" ht="14.25" customHeight="1">
      <c r="A3707" s="1" t="s">
        <v>26</v>
      </c>
      <c r="B3707" s="1" t="s">
        <v>394</v>
      </c>
      <c r="C3707" s="1" t="s">
        <v>17486</v>
      </c>
      <c r="D3707" s="1">
        <v>3799339.0</v>
      </c>
      <c r="E3707" s="1" t="s">
        <v>12847</v>
      </c>
      <c r="F3707" s="1" t="s">
        <v>17487</v>
      </c>
      <c r="G3707" s="1" t="s">
        <v>17488</v>
      </c>
      <c r="H3707" s="1" t="s">
        <v>17489</v>
      </c>
      <c r="I3707" s="1">
        <v>8000.0</v>
      </c>
      <c r="J3707" s="1" t="s">
        <v>17490</v>
      </c>
      <c r="K3707" s="1" t="s">
        <v>17491</v>
      </c>
      <c r="L3707" s="1">
        <v>138.0</v>
      </c>
      <c r="M3707" s="1" t="s">
        <v>35</v>
      </c>
      <c r="N3707" s="1" t="s">
        <v>36</v>
      </c>
      <c r="O3707" s="1" t="s">
        <v>628</v>
      </c>
      <c r="P3707" s="1">
        <v>250000.0</v>
      </c>
      <c r="Q3707" s="1">
        <v>2002.0</v>
      </c>
      <c r="R3707" s="1">
        <v>94.0</v>
      </c>
      <c r="S3707" s="1">
        <v>26.0</v>
      </c>
      <c r="T3707" s="1">
        <v>13.0</v>
      </c>
      <c r="U3707" s="1">
        <v>139.0</v>
      </c>
      <c r="V3707" s="1">
        <v>681.0</v>
      </c>
      <c r="W3707" s="1">
        <v>661.0</v>
      </c>
      <c r="X3707" s="1">
        <v>1.0</v>
      </c>
      <c r="Y3707" s="1">
        <v>1.85</v>
      </c>
      <c r="Z3707" s="1">
        <v>7.2</v>
      </c>
    </row>
    <row r="3708" ht="14.25" customHeight="1">
      <c r="A3708" s="1" t="s">
        <v>26</v>
      </c>
      <c r="B3708" s="1" t="s">
        <v>17492</v>
      </c>
      <c r="C3708" s="1" t="s">
        <v>17493</v>
      </c>
      <c r="D3708" s="1">
        <v>1977544.0</v>
      </c>
      <c r="E3708" s="1" t="s">
        <v>1359</v>
      </c>
      <c r="F3708" s="1" t="s">
        <v>11655</v>
      </c>
      <c r="G3708" s="1" t="s">
        <v>14076</v>
      </c>
      <c r="H3708" s="1" t="s">
        <v>17494</v>
      </c>
      <c r="I3708" s="1">
        <v>3513.0</v>
      </c>
      <c r="J3708" s="1" t="s">
        <v>17495</v>
      </c>
      <c r="K3708" s="1" t="s">
        <v>17496</v>
      </c>
      <c r="L3708" s="1">
        <v>36.0</v>
      </c>
      <c r="M3708" s="1" t="s">
        <v>35</v>
      </c>
      <c r="N3708" s="1" t="s">
        <v>36</v>
      </c>
      <c r="O3708" s="1" t="s">
        <v>628</v>
      </c>
      <c r="P3708" s="1">
        <v>250000.0</v>
      </c>
      <c r="Q3708" s="1">
        <v>1995.0</v>
      </c>
      <c r="R3708" s="1">
        <v>360.0</v>
      </c>
      <c r="S3708" s="1">
        <v>273.0</v>
      </c>
      <c r="T3708" s="1">
        <v>10.0</v>
      </c>
      <c r="U3708" s="1">
        <v>656.0</v>
      </c>
      <c r="V3708" s="1">
        <v>4.0</v>
      </c>
      <c r="W3708" s="1">
        <v>423.0</v>
      </c>
      <c r="X3708" s="1">
        <v>0.0</v>
      </c>
      <c r="Y3708" s="1">
        <v>1.85</v>
      </c>
      <c r="Z3708" s="1">
        <v>6.5</v>
      </c>
    </row>
    <row r="3709" ht="14.25" customHeight="1">
      <c r="A3709" s="1" t="s">
        <v>26</v>
      </c>
      <c r="B3709" s="1" t="s">
        <v>8315</v>
      </c>
      <c r="C3709" s="1" t="s">
        <v>17497</v>
      </c>
      <c r="D3709" s="1">
        <v>1050600.0</v>
      </c>
      <c r="E3709" s="1" t="s">
        <v>2422</v>
      </c>
      <c r="F3709" s="1" t="s">
        <v>4743</v>
      </c>
      <c r="G3709" s="1" t="s">
        <v>9834</v>
      </c>
      <c r="H3709" s="1" t="s">
        <v>190</v>
      </c>
      <c r="I3709" s="1">
        <v>4662.0</v>
      </c>
      <c r="J3709" s="1" t="s">
        <v>17498</v>
      </c>
      <c r="K3709" s="1" t="s">
        <v>17499</v>
      </c>
      <c r="L3709" s="1">
        <v>136.0</v>
      </c>
      <c r="M3709" s="1" t="s">
        <v>35</v>
      </c>
      <c r="N3709" s="1" t="s">
        <v>36</v>
      </c>
      <c r="O3709" s="1" t="s">
        <v>628</v>
      </c>
      <c r="P3709" s="1">
        <v>250000.0</v>
      </c>
      <c r="Q3709" s="1">
        <v>2000.0</v>
      </c>
      <c r="R3709" s="1">
        <v>625.0</v>
      </c>
      <c r="S3709" s="1">
        <v>487.0</v>
      </c>
      <c r="T3709" s="1">
        <v>129.0</v>
      </c>
      <c r="U3709" s="1">
        <v>1378.0</v>
      </c>
      <c r="V3709" s="1">
        <v>44.0</v>
      </c>
      <c r="W3709" s="1">
        <v>170.0</v>
      </c>
      <c r="X3709" s="1">
        <v>0.0</v>
      </c>
      <c r="Y3709" s="1">
        <v>1.85</v>
      </c>
      <c r="Z3709" s="1">
        <v>6.6</v>
      </c>
    </row>
    <row r="3710" ht="14.25" customHeight="1">
      <c r="A3710" s="1" t="s">
        <v>26</v>
      </c>
      <c r="B3710" s="1" t="s">
        <v>17500</v>
      </c>
      <c r="C3710" s="1" t="s">
        <v>17501</v>
      </c>
      <c r="D3710" s="1">
        <v>902835.0</v>
      </c>
      <c r="E3710" s="1" t="s">
        <v>1359</v>
      </c>
      <c r="F3710" s="1" t="s">
        <v>17502</v>
      </c>
      <c r="G3710" s="1" t="s">
        <v>17503</v>
      </c>
      <c r="H3710" s="1" t="s">
        <v>17504</v>
      </c>
      <c r="I3710" s="1">
        <v>1489.0</v>
      </c>
      <c r="J3710" s="1" t="s">
        <v>17505</v>
      </c>
      <c r="K3710" s="1" t="s">
        <v>17506</v>
      </c>
      <c r="L3710" s="1">
        <v>40.0</v>
      </c>
      <c r="M3710" s="1" t="s">
        <v>35</v>
      </c>
      <c r="N3710" s="1" t="s">
        <v>36</v>
      </c>
      <c r="O3710" s="1" t="s">
        <v>12164</v>
      </c>
      <c r="P3710" s="1">
        <v>250000.0</v>
      </c>
      <c r="Q3710" s="1">
        <v>2001.0</v>
      </c>
      <c r="R3710" s="1">
        <v>250.0</v>
      </c>
      <c r="S3710" s="1">
        <v>89.0</v>
      </c>
      <c r="T3710" s="1">
        <v>51.0</v>
      </c>
      <c r="U3710" s="1">
        <v>454.0</v>
      </c>
      <c r="V3710" s="1">
        <v>0.0</v>
      </c>
      <c r="W3710" s="1">
        <v>133.0</v>
      </c>
      <c r="X3710" s="1">
        <v>2.0</v>
      </c>
      <c r="Y3710" s="1">
        <v>1.85</v>
      </c>
      <c r="Z3710" s="1">
        <v>6.7</v>
      </c>
    </row>
    <row r="3711" ht="14.25" customHeight="1">
      <c r="A3711" s="1" t="s">
        <v>26</v>
      </c>
      <c r="B3711" s="1" t="s">
        <v>8004</v>
      </c>
      <c r="C3711" s="1" t="s">
        <v>17507</v>
      </c>
      <c r="D3711" s="1">
        <v>489220.0</v>
      </c>
      <c r="E3711" s="1" t="s">
        <v>4758</v>
      </c>
      <c r="F3711" s="1" t="s">
        <v>8007</v>
      </c>
      <c r="G3711" s="1" t="s">
        <v>7441</v>
      </c>
      <c r="H3711" s="1" t="s">
        <v>17508</v>
      </c>
      <c r="I3711" s="1">
        <v>160511.0</v>
      </c>
      <c r="J3711" s="1" t="s">
        <v>17509</v>
      </c>
      <c r="K3711" s="1" t="s">
        <v>17510</v>
      </c>
      <c r="L3711" s="1">
        <v>696.0</v>
      </c>
      <c r="M3711" s="1" t="s">
        <v>35</v>
      </c>
      <c r="N3711" s="1" t="s">
        <v>260</v>
      </c>
      <c r="O3711" s="1" t="s">
        <v>628</v>
      </c>
      <c r="P3711" s="1">
        <v>365000.0</v>
      </c>
      <c r="Q3711" s="1">
        <v>1997.0</v>
      </c>
      <c r="R3711" s="1">
        <v>686.0</v>
      </c>
      <c r="S3711" s="1">
        <v>648.0</v>
      </c>
      <c r="T3711" s="1">
        <v>319.0</v>
      </c>
      <c r="U3711" s="1">
        <v>1743.0</v>
      </c>
      <c r="V3711" s="1">
        <v>165.0</v>
      </c>
      <c r="W3711" s="1">
        <v>11000.0</v>
      </c>
      <c r="X3711" s="1">
        <v>0.0</v>
      </c>
      <c r="Y3711" s="1">
        <v>1.85</v>
      </c>
      <c r="Z3711" s="1">
        <v>7.3</v>
      </c>
    </row>
    <row r="3712" ht="14.25" customHeight="1">
      <c r="A3712" s="1" t="s">
        <v>26</v>
      </c>
      <c r="B3712" s="1" t="s">
        <v>17511</v>
      </c>
      <c r="C3712" s="1" t="s">
        <v>17512</v>
      </c>
      <c r="D3712" s="1">
        <v>203134.0</v>
      </c>
      <c r="E3712" s="1" t="s">
        <v>17513</v>
      </c>
      <c r="F3712" s="1" t="s">
        <v>17514</v>
      </c>
      <c r="G3712" s="1" t="s">
        <v>17515</v>
      </c>
      <c r="H3712" s="1" t="s">
        <v>17516</v>
      </c>
      <c r="I3712" s="1">
        <v>1428.0</v>
      </c>
      <c r="J3712" s="1" t="s">
        <v>17517</v>
      </c>
      <c r="K3712" s="1" t="s">
        <v>17518</v>
      </c>
      <c r="L3712" s="1">
        <v>21.0</v>
      </c>
      <c r="M3712" s="1" t="s">
        <v>35</v>
      </c>
      <c r="N3712" s="1" t="s">
        <v>36</v>
      </c>
      <c r="O3712" s="1" t="s">
        <v>628</v>
      </c>
      <c r="P3712" s="1">
        <v>250000.0</v>
      </c>
      <c r="Q3712" s="1">
        <v>1997.0</v>
      </c>
      <c r="R3712" s="1">
        <v>5.0</v>
      </c>
      <c r="S3712" s="1">
        <v>2.0</v>
      </c>
      <c r="T3712" s="1">
        <v>0.0</v>
      </c>
      <c r="U3712" s="1">
        <v>7.0</v>
      </c>
      <c r="V3712" s="1">
        <v>45.0</v>
      </c>
      <c r="W3712" s="1">
        <v>178.0</v>
      </c>
      <c r="X3712" s="1">
        <v>0.0</v>
      </c>
      <c r="Y3712" s="1">
        <v>1.85</v>
      </c>
      <c r="Z3712" s="1">
        <v>7.0</v>
      </c>
    </row>
    <row r="3713" ht="14.25" customHeight="1">
      <c r="A3713" s="1" t="s">
        <v>26</v>
      </c>
      <c r="B3713" s="1" t="s">
        <v>17263</v>
      </c>
      <c r="C3713" s="1" t="s">
        <v>17519</v>
      </c>
      <c r="D3713" s="1">
        <v>191309.0</v>
      </c>
      <c r="E3713" s="1" t="s">
        <v>1842</v>
      </c>
      <c r="F3713" s="1" t="s">
        <v>17520</v>
      </c>
      <c r="G3713" s="1" t="s">
        <v>6240</v>
      </c>
      <c r="H3713" s="1" t="s">
        <v>7466</v>
      </c>
      <c r="I3713" s="1">
        <v>2787.0</v>
      </c>
      <c r="J3713" s="1" t="s">
        <v>17521</v>
      </c>
      <c r="K3713" s="1" t="s">
        <v>17522</v>
      </c>
      <c r="L3713" s="1">
        <v>64.0</v>
      </c>
      <c r="M3713" s="1" t="s">
        <v>35</v>
      </c>
      <c r="N3713" s="1" t="s">
        <v>36</v>
      </c>
      <c r="O3713" s="1" t="s">
        <v>628</v>
      </c>
      <c r="P3713" s="1">
        <v>150000.0</v>
      </c>
      <c r="Q3713" s="1">
        <v>2004.0</v>
      </c>
      <c r="R3713" s="1">
        <v>308.0</v>
      </c>
      <c r="S3713" s="1">
        <v>249.0</v>
      </c>
      <c r="T3713" s="1">
        <v>142.0</v>
      </c>
      <c r="U3713" s="1">
        <v>1008.0</v>
      </c>
      <c r="V3713" s="1">
        <v>7.0</v>
      </c>
      <c r="W3713" s="1">
        <v>98.0</v>
      </c>
      <c r="X3713" s="1">
        <v>1.0</v>
      </c>
      <c r="Y3713" s="1">
        <v>1.85</v>
      </c>
      <c r="Z3713" s="1">
        <v>5.5</v>
      </c>
    </row>
    <row r="3714" ht="14.25" customHeight="1">
      <c r="A3714" s="1" t="s">
        <v>26</v>
      </c>
      <c r="B3714" s="1" t="s">
        <v>17523</v>
      </c>
      <c r="C3714" s="1" t="s">
        <v>17524</v>
      </c>
      <c r="D3714" s="1">
        <v>3388210.0</v>
      </c>
      <c r="E3714" s="1" t="s">
        <v>206</v>
      </c>
      <c r="F3714" s="1" t="s">
        <v>340</v>
      </c>
      <c r="G3714" s="1" t="s">
        <v>17525</v>
      </c>
      <c r="H3714" s="1" t="s">
        <v>17526</v>
      </c>
      <c r="I3714" s="1">
        <v>46813.0</v>
      </c>
      <c r="J3714" s="1" t="s">
        <v>17527</v>
      </c>
      <c r="K3714" s="1" t="s">
        <v>17528</v>
      </c>
      <c r="L3714" s="1">
        <v>150.0</v>
      </c>
      <c r="M3714" s="1" t="s">
        <v>35</v>
      </c>
      <c r="N3714" s="1" t="s">
        <v>36</v>
      </c>
      <c r="O3714" s="1" t="s">
        <v>37</v>
      </c>
      <c r="P3714" s="1">
        <v>250000.0</v>
      </c>
      <c r="Q3714" s="1">
        <v>2011.0</v>
      </c>
      <c r="R3714" s="1">
        <v>34000.0</v>
      </c>
      <c r="S3714" s="1">
        <v>487.0</v>
      </c>
      <c r="T3714" s="1">
        <v>224.0</v>
      </c>
      <c r="U3714" s="1">
        <v>34983.0</v>
      </c>
      <c r="V3714" s="1">
        <v>52.0</v>
      </c>
      <c r="W3714" s="1">
        <v>12000.0</v>
      </c>
      <c r="X3714" s="1">
        <v>1.0</v>
      </c>
      <c r="Y3714" s="1">
        <v>1.78</v>
      </c>
      <c r="Z3714" s="1">
        <v>6.7</v>
      </c>
    </row>
    <row r="3715" ht="14.25" customHeight="1">
      <c r="A3715" s="1" t="s">
        <v>26</v>
      </c>
      <c r="B3715" s="1" t="s">
        <v>14399</v>
      </c>
      <c r="C3715" s="1" t="s">
        <v>17529</v>
      </c>
      <c r="D3715" s="1">
        <v>49494.0</v>
      </c>
      <c r="E3715" s="1" t="s">
        <v>3868</v>
      </c>
      <c r="F3715" s="1" t="s">
        <v>6624</v>
      </c>
      <c r="G3715" s="1" t="s">
        <v>5676</v>
      </c>
      <c r="H3715" s="1" t="s">
        <v>17530</v>
      </c>
      <c r="I3715" s="1">
        <v>8511.0</v>
      </c>
      <c r="J3715" s="1" t="s">
        <v>17531</v>
      </c>
      <c r="K3715" s="1" t="s">
        <v>17532</v>
      </c>
      <c r="L3715" s="1">
        <v>87.0</v>
      </c>
      <c r="M3715" s="1" t="s">
        <v>35</v>
      </c>
      <c r="N3715" s="1" t="s">
        <v>36</v>
      </c>
      <c r="O3715" s="1" t="s">
        <v>628</v>
      </c>
      <c r="P3715" s="1">
        <v>250000.0</v>
      </c>
      <c r="Q3715" s="1">
        <v>2013.0</v>
      </c>
      <c r="R3715" s="1">
        <v>924.0</v>
      </c>
      <c r="S3715" s="1">
        <v>835.0</v>
      </c>
      <c r="T3715" s="1">
        <v>461.0</v>
      </c>
      <c r="U3715" s="1">
        <v>2862.0</v>
      </c>
      <c r="V3715" s="1">
        <v>261.0</v>
      </c>
      <c r="W3715" s="1">
        <v>0.0</v>
      </c>
      <c r="X3715" s="1">
        <v>0.0</v>
      </c>
      <c r="Y3715" s="1">
        <v>2.35</v>
      </c>
      <c r="Z3715" s="1">
        <v>3.9</v>
      </c>
    </row>
    <row r="3716" ht="14.25" customHeight="1">
      <c r="A3716" s="1" t="s">
        <v>26</v>
      </c>
      <c r="B3716" s="1" t="s">
        <v>17533</v>
      </c>
      <c r="C3716" s="1" t="s">
        <v>17534</v>
      </c>
      <c r="D3716" s="1">
        <v>111300.0</v>
      </c>
      <c r="E3716" s="1" t="s">
        <v>15542</v>
      </c>
      <c r="F3716" s="1" t="s">
        <v>17535</v>
      </c>
      <c r="G3716" s="1" t="s">
        <v>17536</v>
      </c>
      <c r="H3716" s="1" t="s">
        <v>17537</v>
      </c>
      <c r="I3716" s="1">
        <v>575.0</v>
      </c>
      <c r="J3716" s="1" t="s">
        <v>17538</v>
      </c>
      <c r="K3716" s="1" t="s">
        <v>17539</v>
      </c>
      <c r="L3716" s="1">
        <v>6.0</v>
      </c>
      <c r="M3716" s="1" t="s">
        <v>35</v>
      </c>
      <c r="N3716" s="1" t="s">
        <v>36</v>
      </c>
      <c r="O3716" s="1" t="s">
        <v>9252</v>
      </c>
      <c r="P3716" s="1">
        <v>225000.0</v>
      </c>
      <c r="Q3716" s="1">
        <v>2012.0</v>
      </c>
      <c r="R3716" s="1">
        <v>2.0</v>
      </c>
      <c r="S3716" s="1">
        <v>0.0</v>
      </c>
      <c r="T3716" s="1">
        <v>0.0</v>
      </c>
      <c r="U3716" s="1">
        <v>2.0</v>
      </c>
      <c r="V3716" s="1">
        <v>15.0</v>
      </c>
      <c r="W3716" s="1">
        <v>801.0</v>
      </c>
      <c r="X3716" s="1">
        <v>0.0</v>
      </c>
      <c r="Y3716" s="1">
        <v>2.35</v>
      </c>
      <c r="Z3716" s="1">
        <v>7.5</v>
      </c>
    </row>
    <row r="3717" ht="14.25" customHeight="1">
      <c r="A3717" s="1" t="s">
        <v>26</v>
      </c>
      <c r="B3717" s="1" t="s">
        <v>17540</v>
      </c>
      <c r="C3717" s="1" t="s">
        <v>17541</v>
      </c>
      <c r="D3717" s="1">
        <v>1027119.0</v>
      </c>
      <c r="E3717" s="1" t="s">
        <v>3238</v>
      </c>
      <c r="F3717" s="1" t="s">
        <v>11817</v>
      </c>
      <c r="G3717" s="1" t="s">
        <v>3750</v>
      </c>
      <c r="H3717" s="1" t="s">
        <v>17542</v>
      </c>
      <c r="I3717" s="1">
        <v>2742.0</v>
      </c>
      <c r="J3717" s="1" t="s">
        <v>17543</v>
      </c>
      <c r="K3717" s="1" t="s">
        <v>17544</v>
      </c>
      <c r="L3717" s="1">
        <v>73.0</v>
      </c>
      <c r="M3717" s="1" t="s">
        <v>35</v>
      </c>
      <c r="N3717" s="1" t="s">
        <v>36</v>
      </c>
      <c r="O3717" s="1" t="s">
        <v>628</v>
      </c>
      <c r="P3717" s="1">
        <v>225000.0</v>
      </c>
      <c r="Q3717" s="1">
        <v>2000.0</v>
      </c>
      <c r="R3717" s="1">
        <v>254.0</v>
      </c>
      <c r="S3717" s="1">
        <v>147.0</v>
      </c>
      <c r="T3717" s="1">
        <v>131.0</v>
      </c>
      <c r="U3717" s="1">
        <v>964.0</v>
      </c>
      <c r="V3717" s="1">
        <v>0.0</v>
      </c>
      <c r="W3717" s="1">
        <v>72.0</v>
      </c>
      <c r="X3717" s="1">
        <v>1.0</v>
      </c>
      <c r="Y3717" s="1">
        <v>1.85</v>
      </c>
      <c r="Z3717" s="1">
        <v>7.0</v>
      </c>
    </row>
    <row r="3718" ht="14.25" customHeight="1">
      <c r="A3718" s="1" t="s">
        <v>710</v>
      </c>
      <c r="B3718" s="1" t="s">
        <v>17545</v>
      </c>
      <c r="C3718" s="1" t="s">
        <v>17546</v>
      </c>
      <c r="D3718" s="1">
        <v>5000000.0</v>
      </c>
      <c r="E3718" s="1" t="s">
        <v>17547</v>
      </c>
      <c r="F3718" s="1" t="s">
        <v>17548</v>
      </c>
      <c r="G3718" s="1" t="s">
        <v>17549</v>
      </c>
      <c r="H3718" s="1" t="s">
        <v>17550</v>
      </c>
      <c r="I3718" s="1">
        <v>4812.0</v>
      </c>
      <c r="J3718" s="1" t="s">
        <v>17551</v>
      </c>
      <c r="K3718" s="1" t="s">
        <v>17552</v>
      </c>
      <c r="L3718" s="1">
        <v>88.0</v>
      </c>
      <c r="M3718" s="1" t="s">
        <v>35</v>
      </c>
      <c r="N3718" s="1" t="s">
        <v>36</v>
      </c>
      <c r="O3718" s="1" t="s">
        <v>5661</v>
      </c>
      <c r="P3718" s="1">
        <v>210000.0</v>
      </c>
      <c r="Q3718" s="1">
        <v>1953.0</v>
      </c>
      <c r="R3718" s="1">
        <v>57.0</v>
      </c>
      <c r="S3718" s="1">
        <v>40.0</v>
      </c>
      <c r="T3718" s="1">
        <v>21.0</v>
      </c>
      <c r="U3718" s="1">
        <v>205.0</v>
      </c>
      <c r="V3718" s="1">
        <v>7.0</v>
      </c>
      <c r="W3718" s="1">
        <v>465.0</v>
      </c>
      <c r="X3718" s="1">
        <v>0.0</v>
      </c>
      <c r="Y3718" s="1">
        <v>1.37</v>
      </c>
      <c r="Z3718" s="1">
        <v>6.7</v>
      </c>
    </row>
    <row r="3719" ht="14.25" customHeight="1">
      <c r="A3719" s="1" t="s">
        <v>26</v>
      </c>
      <c r="B3719" s="1" t="s">
        <v>506</v>
      </c>
      <c r="C3719" s="1" t="s">
        <v>17553</v>
      </c>
      <c r="D3719" s="1">
        <v>4505922.0</v>
      </c>
      <c r="E3719" s="1" t="s">
        <v>2422</v>
      </c>
      <c r="F3719" s="1" t="s">
        <v>243</v>
      </c>
      <c r="G3719" s="1" t="s">
        <v>17554</v>
      </c>
      <c r="H3719" s="1" t="s">
        <v>17555</v>
      </c>
      <c r="I3719" s="1">
        <v>63951.0</v>
      </c>
      <c r="J3719" s="1" t="s">
        <v>17556</v>
      </c>
      <c r="K3719" s="1" t="s">
        <v>17557</v>
      </c>
      <c r="L3719" s="1">
        <v>252.0</v>
      </c>
      <c r="M3719" s="1" t="s">
        <v>35</v>
      </c>
      <c r="N3719" s="1" t="s">
        <v>36</v>
      </c>
      <c r="O3719" s="1" t="s">
        <v>628</v>
      </c>
      <c r="P3719" s="1">
        <v>200000.0</v>
      </c>
      <c r="Q3719" s="1">
        <v>1996.0</v>
      </c>
      <c r="R3719" s="1">
        <v>4000.0</v>
      </c>
      <c r="S3719" s="1">
        <v>135.0</v>
      </c>
      <c r="T3719" s="1">
        <v>31.0</v>
      </c>
      <c r="U3719" s="1">
        <v>4230.0</v>
      </c>
      <c r="V3719" s="1">
        <v>218.0</v>
      </c>
      <c r="W3719" s="1">
        <v>0.0</v>
      </c>
      <c r="X3719" s="1">
        <v>0.0</v>
      </c>
      <c r="Y3719" s="1">
        <v>1.85</v>
      </c>
      <c r="Z3719" s="1">
        <v>7.4</v>
      </c>
    </row>
    <row r="3720" ht="14.25" customHeight="1">
      <c r="A3720" s="1" t="s">
        <v>26</v>
      </c>
      <c r="B3720" s="1" t="s">
        <v>8101</v>
      </c>
      <c r="C3720" s="1" t="s">
        <v>17558</v>
      </c>
      <c r="D3720" s="1">
        <v>3500000.0</v>
      </c>
      <c r="E3720" s="1" t="s">
        <v>9278</v>
      </c>
      <c r="F3720" s="1" t="s">
        <v>3503</v>
      </c>
      <c r="G3720" s="1" t="s">
        <v>17559</v>
      </c>
      <c r="H3720" s="1" t="s">
        <v>17560</v>
      </c>
      <c r="I3720" s="1">
        <v>147566.0</v>
      </c>
      <c r="J3720" s="1" t="s">
        <v>17561</v>
      </c>
      <c r="K3720" s="1" t="s">
        <v>17562</v>
      </c>
      <c r="L3720" s="1">
        <v>235.0</v>
      </c>
      <c r="M3720" s="1" t="s">
        <v>9061</v>
      </c>
      <c r="N3720" s="1" t="s">
        <v>8105</v>
      </c>
      <c r="O3720" s="1" t="s">
        <v>628</v>
      </c>
      <c r="P3720" s="1">
        <v>200000.0</v>
      </c>
      <c r="Q3720" s="1">
        <v>1964.0</v>
      </c>
      <c r="R3720" s="1">
        <v>16000.0</v>
      </c>
      <c r="S3720" s="1">
        <v>360.0</v>
      </c>
      <c r="T3720" s="1">
        <v>93.0</v>
      </c>
      <c r="U3720" s="1">
        <v>16534.0</v>
      </c>
      <c r="V3720" s="1">
        <v>0.0</v>
      </c>
      <c r="W3720" s="1">
        <v>0.0</v>
      </c>
      <c r="X3720" s="1">
        <v>1.0</v>
      </c>
      <c r="Y3720" s="1">
        <v>2.35</v>
      </c>
      <c r="Z3720" s="1">
        <v>8.0</v>
      </c>
    </row>
    <row r="3721" ht="14.25" customHeight="1">
      <c r="A3721" s="1" t="s">
        <v>26</v>
      </c>
      <c r="B3721" s="1" t="s">
        <v>1456</v>
      </c>
      <c r="C3721" s="1" t="s">
        <v>7901</v>
      </c>
      <c r="D3721" s="1">
        <v>3.215441E7</v>
      </c>
      <c r="E3721" s="1" t="s">
        <v>2045</v>
      </c>
      <c r="F3721" s="1" t="s">
        <v>430</v>
      </c>
      <c r="G3721" s="1" t="s">
        <v>4908</v>
      </c>
      <c r="H3721" s="1" t="s">
        <v>7902</v>
      </c>
      <c r="I3721" s="1">
        <v>148334.0</v>
      </c>
      <c r="J3721" s="1" t="s">
        <v>7903</v>
      </c>
      <c r="K3721" s="1" t="s">
        <v>7904</v>
      </c>
      <c r="L3721" s="1">
        <v>274.0</v>
      </c>
      <c r="M3721" s="1" t="s">
        <v>35</v>
      </c>
      <c r="N3721" s="1" t="s">
        <v>36</v>
      </c>
      <c r="O3721" s="1" t="s">
        <v>628</v>
      </c>
      <c r="P3721" s="1">
        <v>3.0E7</v>
      </c>
      <c r="Q3721" s="1">
        <v>2013.0</v>
      </c>
      <c r="R3721" s="1">
        <v>17000.0</v>
      </c>
      <c r="S3721" s="1">
        <v>681.0</v>
      </c>
      <c r="T3721" s="1">
        <v>273.0</v>
      </c>
      <c r="U3721" s="1">
        <v>18469.0</v>
      </c>
      <c r="V3721" s="1">
        <v>0.0</v>
      </c>
      <c r="W3721" s="1">
        <v>29000.0</v>
      </c>
      <c r="X3721" s="1">
        <v>0.0</v>
      </c>
      <c r="Y3721" s="1">
        <v>1.85</v>
      </c>
      <c r="Z3721" s="1">
        <v>7.1</v>
      </c>
    </row>
    <row r="3722" ht="14.25" customHeight="1">
      <c r="A3722" s="1" t="s">
        <v>26</v>
      </c>
      <c r="B3722" s="1" t="s">
        <v>17563</v>
      </c>
      <c r="C3722" s="1" t="s">
        <v>17564</v>
      </c>
      <c r="D3722" s="1">
        <v>1111.0</v>
      </c>
      <c r="E3722" s="1" t="s">
        <v>17565</v>
      </c>
      <c r="F3722" s="1" t="s">
        <v>17566</v>
      </c>
      <c r="G3722" s="1" t="s">
        <v>17567</v>
      </c>
      <c r="H3722" s="1" t="s">
        <v>17568</v>
      </c>
      <c r="I3722" s="1">
        <v>771.0</v>
      </c>
      <c r="J3722" s="1" t="s">
        <v>17569</v>
      </c>
      <c r="K3722" s="1" t="s">
        <v>17570</v>
      </c>
      <c r="L3722" s="1">
        <v>10.0</v>
      </c>
      <c r="M3722" s="1" t="s">
        <v>35</v>
      </c>
      <c r="N3722" s="1" t="s">
        <v>36</v>
      </c>
      <c r="O3722" s="1" t="s">
        <v>37</v>
      </c>
      <c r="P3722" s="1">
        <v>200000.0</v>
      </c>
      <c r="Q3722" s="1">
        <v>2006.0</v>
      </c>
      <c r="R3722" s="1">
        <v>2.0</v>
      </c>
      <c r="S3722" s="1">
        <v>0.0</v>
      </c>
      <c r="T3722" s="1">
        <v>0.0</v>
      </c>
      <c r="U3722" s="1">
        <v>2.0</v>
      </c>
      <c r="V3722" s="1">
        <v>15.0</v>
      </c>
      <c r="W3722" s="1">
        <v>246.0</v>
      </c>
      <c r="X3722" s="1">
        <v>0.0</v>
      </c>
      <c r="Y3722" s="1">
        <v>1.66</v>
      </c>
      <c r="Z3722" s="1">
        <v>7.7</v>
      </c>
    </row>
    <row r="3723" ht="14.25" customHeight="1">
      <c r="A3723" s="1" t="s">
        <v>26</v>
      </c>
      <c r="B3723" s="1" t="s">
        <v>17571</v>
      </c>
      <c r="C3723" s="1" t="s">
        <v>17572</v>
      </c>
      <c r="D3723" s="1">
        <v>925402.0</v>
      </c>
      <c r="E3723" s="1" t="s">
        <v>6707</v>
      </c>
      <c r="F3723" s="1" t="s">
        <v>17573</v>
      </c>
      <c r="G3723" s="1" t="s">
        <v>17574</v>
      </c>
      <c r="H3723" s="1" t="s">
        <v>17575</v>
      </c>
      <c r="I3723" s="1">
        <v>27882.0</v>
      </c>
      <c r="J3723" s="1" t="s">
        <v>17576</v>
      </c>
      <c r="K3723" s="1" t="s">
        <v>17577</v>
      </c>
      <c r="L3723" s="1">
        <v>130.0</v>
      </c>
      <c r="M3723" s="1" t="s">
        <v>17092</v>
      </c>
      <c r="N3723" s="1" t="s">
        <v>12153</v>
      </c>
      <c r="O3723" s="1" t="s">
        <v>87</v>
      </c>
      <c r="P3723" s="1">
        <v>180000.0</v>
      </c>
      <c r="Q3723" s="1">
        <v>1997.0</v>
      </c>
      <c r="R3723" s="1">
        <v>36.0</v>
      </c>
      <c r="S3723" s="1">
        <v>35.0</v>
      </c>
      <c r="T3723" s="1">
        <v>27.0</v>
      </c>
      <c r="U3723" s="1">
        <v>100.0</v>
      </c>
      <c r="V3723" s="1">
        <v>373.0</v>
      </c>
      <c r="W3723" s="1">
        <v>0.0</v>
      </c>
      <c r="X3723" s="1">
        <v>0.0</v>
      </c>
      <c r="Y3723" s="1">
        <v>1.85</v>
      </c>
      <c r="Z3723" s="1">
        <v>8.5</v>
      </c>
    </row>
    <row r="3724" ht="14.25" customHeight="1">
      <c r="A3724" s="1" t="s">
        <v>26</v>
      </c>
      <c r="B3724" s="1" t="s">
        <v>17578</v>
      </c>
      <c r="C3724" s="1" t="s">
        <v>17579</v>
      </c>
      <c r="D3724" s="1">
        <v>469947.0</v>
      </c>
      <c r="E3724" s="1" t="s">
        <v>206</v>
      </c>
      <c r="F3724" s="1" t="s">
        <v>13099</v>
      </c>
      <c r="G3724" s="1" t="s">
        <v>17580</v>
      </c>
      <c r="H3724" s="1" t="s">
        <v>17581</v>
      </c>
      <c r="I3724" s="1">
        <v>19846.0</v>
      </c>
      <c r="J3724" s="1" t="s">
        <v>17582</v>
      </c>
      <c r="K3724" s="1" t="s">
        <v>17583</v>
      </c>
      <c r="L3724" s="1">
        <v>68.0</v>
      </c>
      <c r="M3724" s="1" t="s">
        <v>35</v>
      </c>
      <c r="N3724" s="1" t="s">
        <v>54</v>
      </c>
      <c r="O3724" s="1" t="s">
        <v>9252</v>
      </c>
      <c r="P3724" s="1">
        <v>120000.0</v>
      </c>
      <c r="Q3724" s="1">
        <v>2011.0</v>
      </c>
      <c r="R3724" s="1">
        <v>507.0</v>
      </c>
      <c r="S3724" s="1">
        <v>75.0</v>
      </c>
      <c r="T3724" s="1">
        <v>67.0</v>
      </c>
      <c r="U3724" s="1">
        <v>654.0</v>
      </c>
      <c r="V3724" s="1">
        <v>131.0</v>
      </c>
      <c r="W3724" s="1">
        <v>0.0</v>
      </c>
      <c r="X3724" s="1">
        <v>0.0</v>
      </c>
      <c r="Y3724" s="1">
        <v>1.85</v>
      </c>
      <c r="Z3724" s="1">
        <v>7.7</v>
      </c>
    </row>
    <row r="3725" ht="14.25" customHeight="1">
      <c r="A3725" s="1" t="s">
        <v>710</v>
      </c>
      <c r="B3725" s="1" t="s">
        <v>4801</v>
      </c>
      <c r="C3725" s="1" t="s">
        <v>17584</v>
      </c>
      <c r="D3725" s="1">
        <v>7137502.0</v>
      </c>
      <c r="E3725" s="1" t="s">
        <v>1598</v>
      </c>
      <c r="F3725" s="1" t="s">
        <v>1635</v>
      </c>
      <c r="G3725" s="1" t="s">
        <v>17585</v>
      </c>
      <c r="H3725" s="1" t="s">
        <v>17586</v>
      </c>
      <c r="I3725" s="1">
        <v>4769.0</v>
      </c>
      <c r="J3725" s="1" t="s">
        <v>17587</v>
      </c>
      <c r="K3725" s="1" t="s">
        <v>17588</v>
      </c>
      <c r="L3725" s="1">
        <v>26.0</v>
      </c>
      <c r="M3725" s="1" t="s">
        <v>35</v>
      </c>
      <c r="N3725" s="1" t="s">
        <v>36</v>
      </c>
      <c r="O3725" s="1" t="s">
        <v>628</v>
      </c>
      <c r="P3725" s="1">
        <v>175000.0</v>
      </c>
      <c r="Q3725" s="1">
        <v>1986.0</v>
      </c>
      <c r="R3725" s="1">
        <v>539.0</v>
      </c>
      <c r="S3725" s="1">
        <v>53.0</v>
      </c>
      <c r="T3725" s="1">
        <v>46.0</v>
      </c>
      <c r="U3725" s="1">
        <v>708.0</v>
      </c>
      <c r="V3725" s="1">
        <v>0.0</v>
      </c>
      <c r="W3725" s="1">
        <v>406.0</v>
      </c>
      <c r="X3725" s="1">
        <v>0.0</v>
      </c>
      <c r="Y3725" s="1">
        <v>1.85</v>
      </c>
      <c r="Z3725" s="1">
        <v>6.5</v>
      </c>
    </row>
    <row r="3726" ht="14.25" customHeight="1">
      <c r="A3726" s="1" t="s">
        <v>26</v>
      </c>
      <c r="B3726" s="1" t="s">
        <v>17589</v>
      </c>
      <c r="C3726" s="1" t="s">
        <v>17590</v>
      </c>
      <c r="D3726" s="1">
        <v>1316074.0</v>
      </c>
      <c r="E3726" s="1" t="s">
        <v>8891</v>
      </c>
      <c r="F3726" s="1" t="s">
        <v>17591</v>
      </c>
      <c r="G3726" s="1" t="s">
        <v>8501</v>
      </c>
      <c r="H3726" s="1" t="s">
        <v>17592</v>
      </c>
      <c r="I3726" s="1">
        <v>71387.0</v>
      </c>
      <c r="J3726" s="1" t="s">
        <v>17593</v>
      </c>
      <c r="K3726" s="1" t="s">
        <v>17594</v>
      </c>
      <c r="L3726" s="1">
        <v>228.0</v>
      </c>
      <c r="M3726" s="1" t="s">
        <v>35</v>
      </c>
      <c r="N3726" s="1" t="s">
        <v>36</v>
      </c>
      <c r="O3726" s="1" t="s">
        <v>37</v>
      </c>
      <c r="P3726" s="1">
        <v>100000.0</v>
      </c>
      <c r="Q3726" s="1">
        <v>2011.0</v>
      </c>
      <c r="R3726" s="1">
        <v>574.0</v>
      </c>
      <c r="S3726" s="1">
        <v>399.0</v>
      </c>
      <c r="T3726" s="1">
        <v>259.0</v>
      </c>
      <c r="U3726" s="1">
        <v>1303.0</v>
      </c>
      <c r="V3726" s="1">
        <v>135.0</v>
      </c>
      <c r="W3726" s="1">
        <v>21000.0</v>
      </c>
      <c r="X3726" s="1">
        <v>1.0</v>
      </c>
      <c r="Y3726" s="1">
        <v>1.85</v>
      </c>
      <c r="Z3726" s="1">
        <v>7.0</v>
      </c>
    </row>
    <row r="3727" ht="14.25" customHeight="1">
      <c r="A3727" s="1" t="s">
        <v>26</v>
      </c>
      <c r="B3727" s="1" t="s">
        <v>17595</v>
      </c>
      <c r="C3727" s="1" t="s">
        <v>17596</v>
      </c>
      <c r="D3727" s="1">
        <v>1.518E7</v>
      </c>
      <c r="E3727" s="1" t="s">
        <v>2045</v>
      </c>
      <c r="F3727" s="1" t="s">
        <v>3165</v>
      </c>
      <c r="G3727" s="1" t="s">
        <v>8649</v>
      </c>
      <c r="H3727" s="1" t="s">
        <v>17595</v>
      </c>
      <c r="I3727" s="1">
        <v>3340.0</v>
      </c>
      <c r="J3727" s="1" t="s">
        <v>17597</v>
      </c>
      <c r="K3727" s="1" t="s">
        <v>17598</v>
      </c>
      <c r="L3727" s="1">
        <v>50.0</v>
      </c>
      <c r="M3727" s="1" t="s">
        <v>35</v>
      </c>
      <c r="N3727" s="1" t="s">
        <v>36</v>
      </c>
      <c r="O3727" s="1" t="s">
        <v>628</v>
      </c>
      <c r="P3727" s="1">
        <v>500000.0</v>
      </c>
      <c r="Q3727" s="1">
        <v>1971.0</v>
      </c>
      <c r="R3727" s="1">
        <v>982.0</v>
      </c>
      <c r="S3727" s="1">
        <v>535.0</v>
      </c>
      <c r="T3727" s="1">
        <v>101.0</v>
      </c>
      <c r="U3727" s="1">
        <v>1631.0</v>
      </c>
      <c r="V3727" s="1">
        <v>101.0</v>
      </c>
      <c r="W3727" s="1">
        <v>566.0</v>
      </c>
      <c r="X3727" s="1">
        <v>1.0</v>
      </c>
      <c r="Y3727" s="1">
        <v>1.37</v>
      </c>
      <c r="Z3727" s="1">
        <v>5.5</v>
      </c>
    </row>
    <row r="3728" ht="14.25" customHeight="1">
      <c r="A3728" s="1" t="s">
        <v>26</v>
      </c>
      <c r="B3728" s="1" t="s">
        <v>7719</v>
      </c>
      <c r="C3728" s="1" t="s">
        <v>17599</v>
      </c>
      <c r="D3728" s="1">
        <v>2882062.0</v>
      </c>
      <c r="E3728" s="1" t="s">
        <v>1359</v>
      </c>
      <c r="F3728" s="1" t="s">
        <v>9058</v>
      </c>
      <c r="G3728" s="1" t="s">
        <v>1232</v>
      </c>
      <c r="H3728" s="1" t="s">
        <v>3221</v>
      </c>
      <c r="I3728" s="1">
        <v>5178.0</v>
      </c>
      <c r="J3728" s="1" t="s">
        <v>17600</v>
      </c>
      <c r="K3728" s="1" t="s">
        <v>17601</v>
      </c>
      <c r="L3728" s="1">
        <v>101.0</v>
      </c>
      <c r="M3728" s="1" t="s">
        <v>35</v>
      </c>
      <c r="N3728" s="1" t="s">
        <v>36</v>
      </c>
      <c r="O3728" s="1" t="s">
        <v>37</v>
      </c>
      <c r="P3728" s="1">
        <v>150000.0</v>
      </c>
      <c r="Q3728" s="1">
        <v>2000.0</v>
      </c>
      <c r="R3728" s="1">
        <v>376.0</v>
      </c>
      <c r="S3728" s="1">
        <v>346.0</v>
      </c>
      <c r="T3728" s="1">
        <v>184.0</v>
      </c>
      <c r="U3728" s="1">
        <v>1144.0</v>
      </c>
      <c r="V3728" s="1">
        <v>56.0</v>
      </c>
      <c r="W3728" s="1">
        <v>132.0</v>
      </c>
      <c r="X3728" s="1">
        <v>2.0</v>
      </c>
      <c r="Y3728" s="1">
        <v>1.85</v>
      </c>
      <c r="Z3728" s="1">
        <v>6.3</v>
      </c>
    </row>
    <row r="3729" ht="14.25" customHeight="1">
      <c r="A3729" s="1" t="s">
        <v>26</v>
      </c>
      <c r="B3729" s="1" t="s">
        <v>14087</v>
      </c>
      <c r="C3729" s="1" t="s">
        <v>17602</v>
      </c>
      <c r="D3729" s="1">
        <v>9437933.0</v>
      </c>
      <c r="E3729" s="1" t="s">
        <v>7326</v>
      </c>
      <c r="F3729" s="1" t="s">
        <v>17603</v>
      </c>
      <c r="G3729" s="1" t="s">
        <v>17604</v>
      </c>
      <c r="H3729" s="1" t="s">
        <v>17605</v>
      </c>
      <c r="I3729" s="1">
        <v>90827.0</v>
      </c>
      <c r="J3729" s="1" t="s">
        <v>17606</v>
      </c>
      <c r="K3729" s="1" t="s">
        <v>17607</v>
      </c>
      <c r="L3729" s="1">
        <v>329.0</v>
      </c>
      <c r="M3729" s="1" t="s">
        <v>35</v>
      </c>
      <c r="N3729" s="1" t="s">
        <v>7469</v>
      </c>
      <c r="O3729" s="1" t="s">
        <v>628</v>
      </c>
      <c r="P3729" s="1">
        <v>180000.0</v>
      </c>
      <c r="Q3729" s="1">
        <v>2007.0</v>
      </c>
      <c r="R3729" s="1">
        <v>200.0</v>
      </c>
      <c r="S3729" s="1">
        <v>96.0</v>
      </c>
      <c r="T3729" s="1">
        <v>18.0</v>
      </c>
      <c r="U3729" s="1">
        <v>332.0</v>
      </c>
      <c r="V3729" s="1">
        <v>109.0</v>
      </c>
      <c r="W3729" s="1">
        <v>26000.0</v>
      </c>
      <c r="X3729" s="1">
        <v>0.0</v>
      </c>
      <c r="Y3729" s="1">
        <v>1.85</v>
      </c>
      <c r="Z3729" s="1">
        <v>7.9</v>
      </c>
    </row>
    <row r="3730" ht="14.25" customHeight="1">
      <c r="A3730" s="1" t="s">
        <v>26</v>
      </c>
      <c r="B3730" s="1" t="s">
        <v>17608</v>
      </c>
      <c r="C3730" s="1" t="s">
        <v>17609</v>
      </c>
      <c r="D3730" s="1">
        <v>155984.0</v>
      </c>
      <c r="E3730" s="1" t="s">
        <v>15542</v>
      </c>
      <c r="F3730" s="1" t="s">
        <v>17610</v>
      </c>
      <c r="G3730" s="1" t="s">
        <v>17611</v>
      </c>
      <c r="H3730" s="1" t="s">
        <v>17612</v>
      </c>
      <c r="I3730" s="1">
        <v>586.0</v>
      </c>
      <c r="J3730" s="1" t="s">
        <v>17613</v>
      </c>
      <c r="K3730" s="1" t="s">
        <v>17614</v>
      </c>
      <c r="L3730" s="1">
        <v>9.0</v>
      </c>
      <c r="M3730" s="1" t="s">
        <v>35</v>
      </c>
      <c r="N3730" s="1" t="s">
        <v>36</v>
      </c>
      <c r="O3730" s="1" t="s">
        <v>12164</v>
      </c>
      <c r="P3730" s="1">
        <v>160000.0</v>
      </c>
      <c r="Q3730" s="1">
        <v>2009.0</v>
      </c>
      <c r="R3730" s="1">
        <v>58.0</v>
      </c>
      <c r="S3730" s="1">
        <v>2.0</v>
      </c>
      <c r="T3730" s="1">
        <v>2.0</v>
      </c>
      <c r="U3730" s="1">
        <v>62.0</v>
      </c>
      <c r="V3730" s="1">
        <v>0.0</v>
      </c>
      <c r="W3730" s="1">
        <v>0.0</v>
      </c>
      <c r="X3730" s="1">
        <v>0.0</v>
      </c>
      <c r="Y3730" s="1">
        <v>1.85</v>
      </c>
      <c r="Z3730" s="1">
        <v>7.4</v>
      </c>
    </row>
    <row r="3731" ht="14.25" customHeight="1">
      <c r="A3731" s="1" t="s">
        <v>26</v>
      </c>
      <c r="B3731" s="1" t="s">
        <v>6957</v>
      </c>
      <c r="C3731" s="1" t="s">
        <v>13709</v>
      </c>
      <c r="D3731" s="1">
        <v>3.0859E7</v>
      </c>
      <c r="E3731" s="1" t="s">
        <v>6278</v>
      </c>
      <c r="F3731" s="1" t="s">
        <v>9988</v>
      </c>
      <c r="G3731" s="1" t="s">
        <v>13710</v>
      </c>
      <c r="H3731" s="1" t="s">
        <v>13711</v>
      </c>
      <c r="I3731" s="1">
        <v>96411.0</v>
      </c>
      <c r="J3731" s="1" t="s">
        <v>13712</v>
      </c>
      <c r="K3731" s="1" t="s">
        <v>13713</v>
      </c>
      <c r="L3731" s="1">
        <v>826.0</v>
      </c>
      <c r="M3731" s="1" t="s">
        <v>35</v>
      </c>
      <c r="N3731" s="1" t="s">
        <v>36</v>
      </c>
      <c r="O3731" s="1" t="s">
        <v>628</v>
      </c>
      <c r="P3731" s="1">
        <v>83532.0</v>
      </c>
      <c r="Q3731" s="1">
        <v>1974.0</v>
      </c>
      <c r="R3731" s="1">
        <v>383.0</v>
      </c>
      <c r="S3731" s="1">
        <v>371.0</v>
      </c>
      <c r="T3731" s="1">
        <v>177.0</v>
      </c>
      <c r="U3731" s="1">
        <v>1094.0</v>
      </c>
      <c r="V3731" s="1">
        <v>365.0</v>
      </c>
      <c r="W3731" s="1">
        <v>0.0</v>
      </c>
      <c r="X3731" s="1">
        <v>0.0</v>
      </c>
      <c r="Y3731" s="1">
        <v>1.85</v>
      </c>
      <c r="Z3731" s="1">
        <v>7.5</v>
      </c>
    </row>
    <row r="3732" ht="14.25" customHeight="1">
      <c r="A3732" s="1" t="s">
        <v>26</v>
      </c>
      <c r="B3732" s="1" t="s">
        <v>3607</v>
      </c>
      <c r="C3732" s="1" t="s">
        <v>17615</v>
      </c>
      <c r="D3732" s="1">
        <v>6706368.0</v>
      </c>
      <c r="E3732" s="1" t="s">
        <v>15542</v>
      </c>
      <c r="F3732" s="1" t="s">
        <v>3607</v>
      </c>
      <c r="G3732" s="1" t="s">
        <v>17616</v>
      </c>
      <c r="H3732" s="1" t="s">
        <v>17617</v>
      </c>
      <c r="I3732" s="1">
        <v>22800.0</v>
      </c>
      <c r="J3732" s="1" t="s">
        <v>17618</v>
      </c>
      <c r="K3732" s="1" t="s">
        <v>17619</v>
      </c>
      <c r="L3732" s="1">
        <v>133.0</v>
      </c>
      <c r="M3732" s="1" t="s">
        <v>35</v>
      </c>
      <c r="N3732" s="1" t="s">
        <v>36</v>
      </c>
      <c r="O3732" s="1" t="s">
        <v>628</v>
      </c>
      <c r="P3732" s="1">
        <v>160000.0</v>
      </c>
      <c r="Q3732" s="1">
        <v>1989.0</v>
      </c>
      <c r="R3732" s="1">
        <v>909.0</v>
      </c>
      <c r="S3732" s="1">
        <v>91.0</v>
      </c>
      <c r="T3732" s="1">
        <v>42.0</v>
      </c>
      <c r="U3732" s="1">
        <v>1048.0</v>
      </c>
      <c r="V3732" s="1">
        <v>909.0</v>
      </c>
      <c r="W3732" s="1">
        <v>667.0</v>
      </c>
      <c r="X3732" s="1">
        <v>0.0</v>
      </c>
      <c r="Y3732" s="1">
        <v>1.66</v>
      </c>
      <c r="Z3732" s="1">
        <v>7.5</v>
      </c>
    </row>
    <row r="3733" ht="14.25" customHeight="1">
      <c r="A3733" s="1" t="s">
        <v>26</v>
      </c>
      <c r="B3733" s="1" t="s">
        <v>16311</v>
      </c>
      <c r="C3733" s="1" t="s">
        <v>17620</v>
      </c>
      <c r="D3733" s="1">
        <v>1.0174663E7</v>
      </c>
      <c r="E3733" s="1" t="s">
        <v>3598</v>
      </c>
      <c r="F3733" s="1" t="s">
        <v>16311</v>
      </c>
      <c r="G3733" s="1" t="s">
        <v>17208</v>
      </c>
      <c r="H3733" s="1" t="s">
        <v>17621</v>
      </c>
      <c r="I3733" s="1">
        <v>12399.0</v>
      </c>
      <c r="J3733" s="1" t="s">
        <v>17622</v>
      </c>
      <c r="K3733" s="1" t="s">
        <v>17623</v>
      </c>
      <c r="L3733" s="1">
        <v>382.0</v>
      </c>
      <c r="M3733" s="1" t="s">
        <v>35</v>
      </c>
      <c r="N3733" s="1" t="s">
        <v>36</v>
      </c>
      <c r="O3733" s="1" t="s">
        <v>87</v>
      </c>
      <c r="P3733" s="1">
        <v>100000.0</v>
      </c>
      <c r="Q3733" s="1">
        <v>2006.0</v>
      </c>
      <c r="R3733" s="1">
        <v>589.0</v>
      </c>
      <c r="S3733" s="1">
        <v>150.0</v>
      </c>
      <c r="T3733" s="1">
        <v>51.0</v>
      </c>
      <c r="U3733" s="1">
        <v>916.0</v>
      </c>
      <c r="V3733" s="1">
        <v>589.0</v>
      </c>
      <c r="W3733" s="1">
        <v>0.0</v>
      </c>
      <c r="X3733" s="1">
        <v>0.0</v>
      </c>
      <c r="Y3733" s="1">
        <v>1.85</v>
      </c>
      <c r="Z3733" s="1">
        <v>6.7</v>
      </c>
    </row>
    <row r="3734" ht="14.25" customHeight="1">
      <c r="A3734" s="1" t="s">
        <v>26</v>
      </c>
      <c r="B3734" s="1" t="s">
        <v>17624</v>
      </c>
      <c r="C3734" s="1" t="s">
        <v>17625</v>
      </c>
      <c r="D3734" s="1">
        <v>2.2757819E7</v>
      </c>
      <c r="E3734" s="1" t="s">
        <v>6278</v>
      </c>
      <c r="F3734" s="1" t="s">
        <v>17626</v>
      </c>
      <c r="G3734" s="1" t="s">
        <v>17627</v>
      </c>
      <c r="H3734" s="1" t="s">
        <v>17628</v>
      </c>
      <c r="I3734" s="1">
        <v>13521.0</v>
      </c>
      <c r="J3734" s="1" t="s">
        <v>17629</v>
      </c>
      <c r="K3734" s="1" t="s">
        <v>17630</v>
      </c>
      <c r="L3734" s="1">
        <v>150.0</v>
      </c>
      <c r="M3734" s="1" t="s">
        <v>35</v>
      </c>
      <c r="N3734" s="1" t="s">
        <v>36</v>
      </c>
      <c r="O3734" s="1" t="s">
        <v>628</v>
      </c>
      <c r="P3734" s="1">
        <v>100000.0</v>
      </c>
      <c r="Q3734" s="1">
        <v>2015.0</v>
      </c>
      <c r="R3734" s="1">
        <v>220.0</v>
      </c>
      <c r="S3734" s="1">
        <v>40.0</v>
      </c>
      <c r="T3734" s="1">
        <v>7.0</v>
      </c>
      <c r="U3734" s="1">
        <v>276.0</v>
      </c>
      <c r="V3734" s="1">
        <v>3.0</v>
      </c>
      <c r="W3734" s="1">
        <v>0.0</v>
      </c>
      <c r="X3734" s="1">
        <v>0.0</v>
      </c>
      <c r="Y3734" s="1">
        <v>1.85</v>
      </c>
      <c r="Z3734" s="1">
        <v>4.2</v>
      </c>
    </row>
    <row r="3735" ht="14.25" customHeight="1">
      <c r="A3735" s="1" t="s">
        <v>26</v>
      </c>
      <c r="B3735" s="1" t="s">
        <v>17631</v>
      </c>
      <c r="C3735" s="1" t="s">
        <v>17632</v>
      </c>
      <c r="D3735" s="1">
        <v>5228617.0</v>
      </c>
      <c r="E3735" s="1" t="s">
        <v>1885</v>
      </c>
      <c r="F3735" s="1" t="s">
        <v>17631</v>
      </c>
      <c r="G3735" s="1" t="s">
        <v>3680</v>
      </c>
      <c r="H3735" s="1" t="s">
        <v>15059</v>
      </c>
      <c r="I3735" s="1">
        <v>2770.0</v>
      </c>
      <c r="J3735" s="1" t="s">
        <v>17633</v>
      </c>
      <c r="K3735" s="1" t="s">
        <v>17634</v>
      </c>
      <c r="L3735" s="1">
        <v>32.0</v>
      </c>
      <c r="M3735" s="1" t="s">
        <v>35</v>
      </c>
      <c r="N3735" s="1" t="s">
        <v>36</v>
      </c>
      <c r="O3735" s="1" t="s">
        <v>628</v>
      </c>
      <c r="P3735" s="1">
        <v>100000.0</v>
      </c>
      <c r="Q3735" s="1">
        <v>1987.0</v>
      </c>
      <c r="R3735" s="1">
        <v>467.0</v>
      </c>
      <c r="S3735" s="1">
        <v>322.0</v>
      </c>
      <c r="T3735" s="1">
        <v>287.0</v>
      </c>
      <c r="U3735" s="1">
        <v>1431.0</v>
      </c>
      <c r="V3735" s="1">
        <v>467.0</v>
      </c>
      <c r="W3735" s="1">
        <v>471.0</v>
      </c>
      <c r="X3735" s="1">
        <v>1.0</v>
      </c>
      <c r="Y3735" s="1">
        <v>1.85</v>
      </c>
      <c r="Z3735" s="1">
        <v>7.0</v>
      </c>
    </row>
    <row r="3736" ht="14.25" customHeight="1">
      <c r="A3736" s="1" t="s">
        <v>710</v>
      </c>
      <c r="B3736" s="1" t="s">
        <v>17635</v>
      </c>
      <c r="C3736" s="1" t="s">
        <v>17636</v>
      </c>
      <c r="D3736" s="1">
        <v>110536.0</v>
      </c>
      <c r="E3736" s="1" t="s">
        <v>11406</v>
      </c>
      <c r="F3736" s="1" t="s">
        <v>17637</v>
      </c>
      <c r="G3736" s="1" t="s">
        <v>17638</v>
      </c>
      <c r="H3736" s="1" t="s">
        <v>17635</v>
      </c>
      <c r="I3736" s="1">
        <v>4117.0</v>
      </c>
      <c r="J3736" s="1" t="s">
        <v>17639</v>
      </c>
      <c r="K3736" s="1" t="s">
        <v>17640</v>
      </c>
      <c r="L3736" s="1">
        <v>118.0</v>
      </c>
      <c r="M3736" s="1" t="s">
        <v>35</v>
      </c>
      <c r="N3736" s="1" t="s">
        <v>36</v>
      </c>
      <c r="O3736" s="1" t="s">
        <v>87</v>
      </c>
      <c r="P3736" s="1">
        <v>40000.0</v>
      </c>
      <c r="Q3736" s="1">
        <v>2001.0</v>
      </c>
      <c r="R3736" s="1">
        <v>126.0</v>
      </c>
      <c r="S3736" s="1">
        <v>76.0</v>
      </c>
      <c r="T3736" s="1">
        <v>56.0</v>
      </c>
      <c r="U3736" s="1">
        <v>284.0</v>
      </c>
      <c r="V3736" s="1">
        <v>56.0</v>
      </c>
      <c r="W3736" s="1">
        <v>0.0</v>
      </c>
      <c r="X3736" s="1">
        <v>1.0</v>
      </c>
      <c r="Y3736" s="1">
        <v>1.85</v>
      </c>
      <c r="Z3736" s="1">
        <v>7.0</v>
      </c>
    </row>
    <row r="3737" ht="14.25" customHeight="1">
      <c r="A3737" s="1" t="s">
        <v>26</v>
      </c>
      <c r="B3737" s="1" t="s">
        <v>17641</v>
      </c>
      <c r="C3737" s="1" t="s">
        <v>17642</v>
      </c>
      <c r="D3737" s="1">
        <v>59379.0</v>
      </c>
      <c r="E3737" s="1" t="s">
        <v>17643</v>
      </c>
      <c r="F3737" s="1" t="s">
        <v>12237</v>
      </c>
      <c r="G3737" s="1" t="s">
        <v>2525</v>
      </c>
      <c r="H3737" s="1" t="s">
        <v>17644</v>
      </c>
      <c r="I3737" s="1">
        <v>12796.0</v>
      </c>
      <c r="J3737" s="1" t="s">
        <v>17645</v>
      </c>
      <c r="K3737" s="1" t="s">
        <v>17646</v>
      </c>
      <c r="L3737" s="1">
        <v>52.0</v>
      </c>
      <c r="M3737" s="1" t="s">
        <v>35</v>
      </c>
      <c r="N3737" s="1" t="s">
        <v>36</v>
      </c>
      <c r="O3737" s="1" t="s">
        <v>9252</v>
      </c>
      <c r="P3737" s="1">
        <v>200000.0</v>
      </c>
      <c r="Q3737" s="1">
        <v>2013.0</v>
      </c>
      <c r="R3737" s="1">
        <v>3000.0</v>
      </c>
      <c r="S3737" s="1">
        <v>982.0</v>
      </c>
      <c r="T3737" s="1">
        <v>307.0</v>
      </c>
      <c r="U3737" s="1">
        <v>4729.0</v>
      </c>
      <c r="V3737" s="1">
        <v>3.0</v>
      </c>
      <c r="W3737" s="1">
        <v>0.0</v>
      </c>
      <c r="X3737" s="1">
        <v>3.0</v>
      </c>
      <c r="Y3737" s="1">
        <v>2.35</v>
      </c>
      <c r="Z3737" s="1">
        <v>6.8</v>
      </c>
    </row>
    <row r="3738" ht="14.25" customHeight="1">
      <c r="A3738" s="1" t="s">
        <v>26</v>
      </c>
      <c r="B3738" s="1" t="s">
        <v>11568</v>
      </c>
      <c r="C3738" s="1" t="s">
        <v>11569</v>
      </c>
      <c r="D3738" s="1">
        <v>3.2721635E7</v>
      </c>
      <c r="E3738" s="1" t="s">
        <v>6395</v>
      </c>
      <c r="F3738" s="1" t="s">
        <v>981</v>
      </c>
      <c r="G3738" s="1" t="s">
        <v>2519</v>
      </c>
      <c r="H3738" s="1" t="s">
        <v>11570</v>
      </c>
      <c r="I3738" s="1">
        <v>67824.0</v>
      </c>
      <c r="J3738" s="1" t="s">
        <v>11571</v>
      </c>
      <c r="K3738" s="1" t="s">
        <v>11572</v>
      </c>
      <c r="L3738" s="1">
        <v>279.0</v>
      </c>
      <c r="M3738" s="1" t="s">
        <v>35</v>
      </c>
      <c r="N3738" s="1" t="s">
        <v>36</v>
      </c>
      <c r="O3738" s="1" t="s">
        <v>628</v>
      </c>
      <c r="P3738" s="1">
        <v>1.5E7</v>
      </c>
      <c r="Q3738" s="1">
        <v>2009.0</v>
      </c>
      <c r="R3738" s="1">
        <v>956.0</v>
      </c>
      <c r="S3738" s="1">
        <v>878.0</v>
      </c>
      <c r="T3738" s="1">
        <v>616.0</v>
      </c>
      <c r="U3738" s="1">
        <v>3861.0</v>
      </c>
      <c r="V3738" s="1">
        <v>29.0</v>
      </c>
      <c r="W3738" s="1">
        <v>0.0</v>
      </c>
      <c r="X3738" s="1">
        <v>0.0</v>
      </c>
      <c r="Y3738" s="1">
        <v>1.85</v>
      </c>
      <c r="Z3738" s="1">
        <v>6.6</v>
      </c>
    </row>
    <row r="3739" ht="14.25" customHeight="1">
      <c r="A3739" s="1" t="s">
        <v>710</v>
      </c>
      <c r="B3739" s="1" t="s">
        <v>1159</v>
      </c>
      <c r="C3739" s="1" t="s">
        <v>17647</v>
      </c>
      <c r="D3739" s="1">
        <v>3216970.0</v>
      </c>
      <c r="E3739" s="1" t="s">
        <v>1842</v>
      </c>
      <c r="F3739" s="1" t="s">
        <v>1739</v>
      </c>
      <c r="G3739" s="1" t="s">
        <v>17648</v>
      </c>
      <c r="H3739" s="1" t="s">
        <v>17649</v>
      </c>
      <c r="I3739" s="1">
        <v>142619.0</v>
      </c>
      <c r="J3739" s="1" t="s">
        <v>17650</v>
      </c>
      <c r="K3739" s="1" t="s">
        <v>17651</v>
      </c>
      <c r="L3739" s="1">
        <v>586.0</v>
      </c>
      <c r="M3739" s="1" t="s">
        <v>35</v>
      </c>
      <c r="N3739" s="1" t="s">
        <v>36</v>
      </c>
      <c r="O3739" s="1" t="s">
        <v>628</v>
      </c>
      <c r="P3739" s="1">
        <v>60000.0</v>
      </c>
      <c r="Q3739" s="1">
        <v>1998.0</v>
      </c>
      <c r="R3739" s="1">
        <v>1000.0</v>
      </c>
      <c r="S3739" s="1">
        <v>512.0</v>
      </c>
      <c r="T3739" s="1">
        <v>194.0</v>
      </c>
      <c r="U3739" s="1">
        <v>2065.0</v>
      </c>
      <c r="V3739" s="1">
        <v>0.0</v>
      </c>
      <c r="W3739" s="1">
        <v>24000.0</v>
      </c>
      <c r="X3739" s="1">
        <v>0.0</v>
      </c>
      <c r="Y3739" s="1">
        <v>1.66</v>
      </c>
      <c r="Z3739" s="1">
        <v>7.5</v>
      </c>
    </row>
    <row r="3740" ht="14.25" customHeight="1">
      <c r="A3740" s="1" t="s">
        <v>26</v>
      </c>
      <c r="B3740" s="1" t="s">
        <v>17652</v>
      </c>
      <c r="C3740" s="1" t="s">
        <v>17653</v>
      </c>
      <c r="D3740" s="1">
        <v>536767.0</v>
      </c>
      <c r="E3740" s="1" t="s">
        <v>6775</v>
      </c>
      <c r="F3740" s="1" t="s">
        <v>1652</v>
      </c>
      <c r="G3740" s="1" t="s">
        <v>17654</v>
      </c>
      <c r="H3740" s="1" t="s">
        <v>17655</v>
      </c>
      <c r="I3740" s="1">
        <v>1622.0</v>
      </c>
      <c r="J3740" s="1" t="s">
        <v>17656</v>
      </c>
      <c r="K3740" s="1" t="s">
        <v>17657</v>
      </c>
      <c r="L3740" s="1">
        <v>83.0</v>
      </c>
      <c r="M3740" s="1" t="s">
        <v>35</v>
      </c>
      <c r="N3740" s="1" t="s">
        <v>36</v>
      </c>
      <c r="O3740" s="1" t="s">
        <v>628</v>
      </c>
      <c r="P3740" s="1">
        <v>60000.0</v>
      </c>
      <c r="Q3740" s="1">
        <v>1998.0</v>
      </c>
      <c r="R3740" s="1">
        <v>1000.0</v>
      </c>
      <c r="S3740" s="1">
        <v>184.0</v>
      </c>
      <c r="T3740" s="1">
        <v>153.0</v>
      </c>
      <c r="U3740" s="1">
        <v>1362.0</v>
      </c>
      <c r="V3740" s="1">
        <v>0.0</v>
      </c>
      <c r="W3740" s="1">
        <v>30.0</v>
      </c>
      <c r="X3740" s="1">
        <v>0.0</v>
      </c>
      <c r="Y3740" s="1">
        <v>1.85</v>
      </c>
      <c r="Z3740" s="1">
        <v>5.3</v>
      </c>
    </row>
    <row r="3741" ht="14.25" customHeight="1">
      <c r="A3741" s="1" t="s">
        <v>26</v>
      </c>
      <c r="B3741" s="1" t="s">
        <v>13347</v>
      </c>
      <c r="C3741" s="1" t="s">
        <v>17658</v>
      </c>
      <c r="D3741" s="1">
        <v>1.1529368E7</v>
      </c>
      <c r="E3741" s="1" t="s">
        <v>17659</v>
      </c>
      <c r="F3741" s="1" t="s">
        <v>17660</v>
      </c>
      <c r="G3741" s="1" t="s">
        <v>17661</v>
      </c>
      <c r="H3741" s="1" t="s">
        <v>17662</v>
      </c>
      <c r="I3741" s="1">
        <v>85028.0</v>
      </c>
      <c r="J3741" s="1" t="s">
        <v>17663</v>
      </c>
      <c r="K3741" s="1" t="s">
        <v>17664</v>
      </c>
      <c r="L3741" s="1">
        <v>404.0</v>
      </c>
      <c r="M3741" s="1" t="s">
        <v>35</v>
      </c>
      <c r="N3741" s="1" t="s">
        <v>36</v>
      </c>
      <c r="O3741" s="1" t="s">
        <v>87</v>
      </c>
      <c r="P3741" s="1">
        <v>65000.0</v>
      </c>
      <c r="Q3741" s="1">
        <v>2004.0</v>
      </c>
      <c r="R3741" s="1">
        <v>0.0</v>
      </c>
      <c r="S3741" s="1">
        <v>0.0</v>
      </c>
      <c r="T3741" s="1">
        <v>0.0</v>
      </c>
      <c r="U3741" s="1">
        <v>0.0</v>
      </c>
      <c r="V3741" s="1">
        <v>293.0</v>
      </c>
      <c r="W3741" s="1">
        <v>0.0</v>
      </c>
      <c r="X3741" s="1">
        <v>2.0</v>
      </c>
      <c r="Y3741" s="1">
        <v>1.78</v>
      </c>
      <c r="Z3741" s="1">
        <v>7.3</v>
      </c>
    </row>
    <row r="3742" ht="14.25" customHeight="1">
      <c r="A3742" s="1" t="s">
        <v>26</v>
      </c>
      <c r="B3742" s="1" t="s">
        <v>17665</v>
      </c>
      <c r="C3742" s="1" t="s">
        <v>17666</v>
      </c>
      <c r="D3742" s="1">
        <v>40557.0</v>
      </c>
      <c r="E3742" s="1" t="s">
        <v>1885</v>
      </c>
      <c r="F3742" s="1" t="s">
        <v>373</v>
      </c>
      <c r="G3742" s="1" t="s">
        <v>17667</v>
      </c>
      <c r="H3742" s="1" t="s">
        <v>17668</v>
      </c>
      <c r="I3742" s="1">
        <v>1389.0</v>
      </c>
      <c r="J3742" s="1" t="s">
        <v>17669</v>
      </c>
      <c r="K3742" s="1" t="s">
        <v>17670</v>
      </c>
      <c r="L3742" s="1">
        <v>22.0</v>
      </c>
      <c r="M3742" s="1" t="s">
        <v>35</v>
      </c>
      <c r="N3742" s="1" t="s">
        <v>36</v>
      </c>
      <c r="O3742" s="1" t="s">
        <v>628</v>
      </c>
      <c r="P3742" s="1">
        <v>60000.0</v>
      </c>
      <c r="Q3742" s="1">
        <v>2011.0</v>
      </c>
      <c r="R3742" s="1">
        <v>968.0</v>
      </c>
      <c r="S3742" s="1">
        <v>407.0</v>
      </c>
      <c r="T3742" s="1">
        <v>128.0</v>
      </c>
      <c r="U3742" s="1">
        <v>2046.0</v>
      </c>
      <c r="V3742" s="1">
        <v>32.0</v>
      </c>
      <c r="W3742" s="1">
        <v>0.0</v>
      </c>
      <c r="X3742" s="1">
        <v>0.0</v>
      </c>
      <c r="Y3742" s="1">
        <v>2.35</v>
      </c>
      <c r="Z3742" s="1">
        <v>5.6</v>
      </c>
    </row>
    <row r="3743" ht="14.25" customHeight="1">
      <c r="A3743" s="1" t="s">
        <v>26</v>
      </c>
      <c r="B3743" s="1" t="s">
        <v>17671</v>
      </c>
      <c r="C3743" s="1" t="s">
        <v>17672</v>
      </c>
      <c r="D3743" s="1">
        <v>30084.0</v>
      </c>
      <c r="E3743" s="1" t="s">
        <v>2422</v>
      </c>
      <c r="F3743" s="1" t="s">
        <v>2357</v>
      </c>
      <c r="G3743" s="1" t="s">
        <v>16992</v>
      </c>
      <c r="H3743" s="1" t="s">
        <v>10511</v>
      </c>
      <c r="I3743" s="1">
        <v>5507.0</v>
      </c>
      <c r="J3743" s="1" t="s">
        <v>17673</v>
      </c>
      <c r="K3743" s="1" t="s">
        <v>17674</v>
      </c>
      <c r="L3743" s="1">
        <v>23.0</v>
      </c>
      <c r="M3743" s="1" t="s">
        <v>35</v>
      </c>
      <c r="N3743" s="1" t="s">
        <v>36</v>
      </c>
      <c r="O3743" s="1" t="s">
        <v>628</v>
      </c>
      <c r="P3743" s="1">
        <v>70000.0</v>
      </c>
      <c r="Q3743" s="1">
        <v>2014.0</v>
      </c>
      <c r="R3743" s="1">
        <v>10000.0</v>
      </c>
      <c r="S3743" s="1">
        <v>969.0</v>
      </c>
      <c r="T3743" s="1">
        <v>442.0</v>
      </c>
      <c r="U3743" s="1">
        <v>11642.0</v>
      </c>
      <c r="V3743" s="1">
        <v>217.0</v>
      </c>
      <c r="W3743" s="1">
        <v>812.0</v>
      </c>
      <c r="X3743" s="1">
        <v>3.0</v>
      </c>
      <c r="Y3743" s="1">
        <v>1.85</v>
      </c>
      <c r="Z3743" s="1">
        <v>5.6</v>
      </c>
    </row>
    <row r="3744" ht="14.25" customHeight="1">
      <c r="A3744" s="1" t="s">
        <v>26</v>
      </c>
      <c r="B3744" s="1" t="s">
        <v>15729</v>
      </c>
      <c r="C3744" s="1" t="s">
        <v>17675</v>
      </c>
      <c r="D3744" s="1">
        <v>1.02466E7</v>
      </c>
      <c r="E3744" s="1" t="s">
        <v>1359</v>
      </c>
      <c r="F3744" s="1" t="s">
        <v>17676</v>
      </c>
      <c r="G3744" s="1" t="s">
        <v>15731</v>
      </c>
      <c r="H3744" s="1" t="s">
        <v>17677</v>
      </c>
      <c r="I3744" s="1">
        <v>6375.0</v>
      </c>
      <c r="J3744" s="1" t="s">
        <v>17678</v>
      </c>
      <c r="K3744" s="1" t="s">
        <v>17679</v>
      </c>
      <c r="L3744" s="1">
        <v>36.0</v>
      </c>
      <c r="M3744" s="1" t="s">
        <v>35</v>
      </c>
      <c r="N3744" s="1" t="s">
        <v>36</v>
      </c>
      <c r="O3744" s="1" t="s">
        <v>628</v>
      </c>
      <c r="P3744" s="1">
        <v>25000.0</v>
      </c>
      <c r="Q3744" s="1">
        <v>1995.0</v>
      </c>
      <c r="R3744" s="1">
        <v>138.0</v>
      </c>
      <c r="S3744" s="1">
        <v>111.0</v>
      </c>
      <c r="T3744" s="1">
        <v>73.0</v>
      </c>
      <c r="U3744" s="1">
        <v>388.0</v>
      </c>
      <c r="V3744" s="1">
        <v>0.0</v>
      </c>
      <c r="W3744" s="1">
        <v>265.0</v>
      </c>
      <c r="X3744" s="1">
        <v>0.0</v>
      </c>
      <c r="Y3744" s="1">
        <v>1.85</v>
      </c>
      <c r="Z3744" s="1">
        <v>6.6</v>
      </c>
    </row>
    <row r="3745" ht="14.25" customHeight="1">
      <c r="A3745" s="1" t="s">
        <v>26</v>
      </c>
      <c r="B3745" s="1" t="s">
        <v>16992</v>
      </c>
      <c r="C3745" s="1" t="s">
        <v>17680</v>
      </c>
      <c r="D3745" s="1">
        <v>389804.0</v>
      </c>
      <c r="E3745" s="1" t="s">
        <v>1359</v>
      </c>
      <c r="F3745" s="1" t="s">
        <v>16992</v>
      </c>
      <c r="G3745" s="1" t="s">
        <v>3123</v>
      </c>
      <c r="H3745" s="1" t="s">
        <v>17681</v>
      </c>
      <c r="I3745" s="1">
        <v>11816.0</v>
      </c>
      <c r="J3745" s="1" t="s">
        <v>17682</v>
      </c>
      <c r="K3745" s="1" t="s">
        <v>17683</v>
      </c>
      <c r="L3745" s="1">
        <v>35.0</v>
      </c>
      <c r="M3745" s="1" t="s">
        <v>35</v>
      </c>
      <c r="N3745" s="1" t="s">
        <v>36</v>
      </c>
      <c r="O3745" s="1" t="s">
        <v>9252</v>
      </c>
      <c r="P3745" s="1">
        <v>65000.0</v>
      </c>
      <c r="Q3745" s="1">
        <v>2010.0</v>
      </c>
      <c r="R3745" s="1">
        <v>969.0</v>
      </c>
      <c r="S3745" s="1">
        <v>529.0</v>
      </c>
      <c r="T3745" s="1">
        <v>433.0</v>
      </c>
      <c r="U3745" s="1">
        <v>2530.0</v>
      </c>
      <c r="V3745" s="1">
        <v>969.0</v>
      </c>
      <c r="W3745" s="1">
        <v>0.0</v>
      </c>
      <c r="X3745" s="1">
        <v>0.0</v>
      </c>
      <c r="Y3745" s="1">
        <v>2.35</v>
      </c>
      <c r="Z3745" s="1">
        <v>6.3</v>
      </c>
    </row>
    <row r="3746" ht="14.25" customHeight="1">
      <c r="A3746" s="1" t="s">
        <v>26</v>
      </c>
      <c r="B3746" s="1" t="s">
        <v>5119</v>
      </c>
      <c r="C3746" s="1" t="s">
        <v>17684</v>
      </c>
      <c r="D3746" s="1">
        <v>241816.0</v>
      </c>
      <c r="E3746" s="1" t="s">
        <v>3238</v>
      </c>
      <c r="F3746" s="1" t="s">
        <v>10685</v>
      </c>
      <c r="G3746" s="1" t="s">
        <v>6417</v>
      </c>
      <c r="H3746" s="1" t="s">
        <v>17685</v>
      </c>
      <c r="I3746" s="1">
        <v>6246.0</v>
      </c>
      <c r="J3746" s="1" t="s">
        <v>17686</v>
      </c>
      <c r="K3746" s="1" t="s">
        <v>17687</v>
      </c>
      <c r="L3746" s="1">
        <v>76.0</v>
      </c>
      <c r="M3746" s="1" t="s">
        <v>35</v>
      </c>
      <c r="N3746" s="1" t="s">
        <v>36</v>
      </c>
      <c r="O3746" s="1" t="s">
        <v>12164</v>
      </c>
      <c r="P3746" s="1">
        <v>42000.0</v>
      </c>
      <c r="Q3746" s="1">
        <v>2000.0</v>
      </c>
      <c r="R3746" s="1">
        <v>552.0</v>
      </c>
      <c r="S3746" s="1">
        <v>61.0</v>
      </c>
      <c r="T3746" s="1">
        <v>15.0</v>
      </c>
      <c r="U3746" s="1">
        <v>642.0</v>
      </c>
      <c r="V3746" s="1">
        <v>234.0</v>
      </c>
      <c r="W3746" s="1">
        <v>451.0</v>
      </c>
      <c r="X3746" s="1">
        <v>0.0</v>
      </c>
      <c r="Y3746" s="1">
        <v>2.35</v>
      </c>
      <c r="Z3746" s="1">
        <v>7.5</v>
      </c>
    </row>
    <row r="3747" ht="14.25" customHeight="1">
      <c r="A3747" s="1" t="s">
        <v>26</v>
      </c>
      <c r="B3747" s="1" t="s">
        <v>17688</v>
      </c>
      <c r="C3747" s="1" t="s">
        <v>17689</v>
      </c>
      <c r="D3747" s="1">
        <v>277233.0</v>
      </c>
      <c r="E3747" s="1" t="s">
        <v>1598</v>
      </c>
      <c r="F3747" s="1" t="s">
        <v>17690</v>
      </c>
      <c r="G3747" s="1" t="s">
        <v>17691</v>
      </c>
      <c r="H3747" s="1" t="s">
        <v>17692</v>
      </c>
      <c r="I3747" s="1">
        <v>2631.0</v>
      </c>
      <c r="J3747" s="1" t="s">
        <v>17693</v>
      </c>
      <c r="K3747" s="1" t="s">
        <v>17694</v>
      </c>
      <c r="L3747" s="1">
        <v>26.0</v>
      </c>
      <c r="M3747" s="1" t="s">
        <v>35</v>
      </c>
      <c r="N3747" s="1" t="s">
        <v>36</v>
      </c>
      <c r="O3747" s="1" t="s">
        <v>628</v>
      </c>
      <c r="P3747" s="1">
        <v>40000.0</v>
      </c>
      <c r="Q3747" s="1">
        <v>1999.0</v>
      </c>
      <c r="R3747" s="1">
        <v>20000.0</v>
      </c>
      <c r="S3747" s="1">
        <v>467.0</v>
      </c>
      <c r="T3747" s="1">
        <v>113.0</v>
      </c>
      <c r="U3747" s="1">
        <v>20814.0</v>
      </c>
      <c r="V3747" s="1">
        <v>4.0</v>
      </c>
      <c r="W3747" s="1">
        <v>0.0</v>
      </c>
      <c r="X3747" s="1">
        <v>5.0</v>
      </c>
      <c r="Y3747" s="1">
        <v>1.85</v>
      </c>
      <c r="Z3747" s="1">
        <v>7.6</v>
      </c>
    </row>
    <row r="3748" ht="14.25" customHeight="1">
      <c r="A3748" s="1" t="s">
        <v>710</v>
      </c>
      <c r="B3748" s="1" t="s">
        <v>6697</v>
      </c>
      <c r="C3748" s="1" t="s">
        <v>17695</v>
      </c>
      <c r="D3748" s="1">
        <v>3151130.0</v>
      </c>
      <c r="E3748" s="1" t="s">
        <v>1885</v>
      </c>
      <c r="F3748" s="1" t="s">
        <v>9591</v>
      </c>
      <c r="G3748" s="1" t="s">
        <v>15046</v>
      </c>
      <c r="H3748" s="1" t="s">
        <v>9307</v>
      </c>
      <c r="I3748" s="1">
        <v>181749.0</v>
      </c>
      <c r="J3748" s="1" t="s">
        <v>17696</v>
      </c>
      <c r="K3748" s="1" t="s">
        <v>17697</v>
      </c>
      <c r="L3748" s="1">
        <v>615.0</v>
      </c>
      <c r="M3748" s="1" t="s">
        <v>35</v>
      </c>
      <c r="N3748" s="1" t="s">
        <v>36</v>
      </c>
      <c r="O3748" s="1" t="s">
        <v>628</v>
      </c>
      <c r="P3748" s="1">
        <v>230000.0</v>
      </c>
      <c r="Q3748" s="1">
        <v>1994.0</v>
      </c>
      <c r="R3748" s="1">
        <v>898.0</v>
      </c>
      <c r="S3748" s="1">
        <v>657.0</v>
      </c>
      <c r="T3748" s="1">
        <v>216.0</v>
      </c>
      <c r="U3748" s="1">
        <v>2103.0</v>
      </c>
      <c r="V3748" s="1">
        <v>0.0</v>
      </c>
      <c r="W3748" s="1">
        <v>0.0</v>
      </c>
      <c r="X3748" s="1">
        <v>4.0</v>
      </c>
      <c r="Y3748" s="1">
        <v>1.37</v>
      </c>
      <c r="Z3748" s="1">
        <v>7.8</v>
      </c>
    </row>
    <row r="3749" ht="14.25" customHeight="1">
      <c r="A3749" s="1" t="s">
        <v>26</v>
      </c>
      <c r="B3749" s="1" t="s">
        <v>9311</v>
      </c>
      <c r="C3749" s="1" t="s">
        <v>17698</v>
      </c>
      <c r="D3749" s="1">
        <v>2856622.0</v>
      </c>
      <c r="E3749" s="1" t="s">
        <v>2422</v>
      </c>
      <c r="F3749" s="1" t="s">
        <v>17699</v>
      </c>
      <c r="G3749" s="1" t="s">
        <v>5417</v>
      </c>
      <c r="H3749" s="1" t="s">
        <v>17700</v>
      </c>
      <c r="I3749" s="1">
        <v>11550.0</v>
      </c>
      <c r="J3749" s="1" t="s">
        <v>17701</v>
      </c>
      <c r="K3749" s="1" t="s">
        <v>17702</v>
      </c>
      <c r="L3749" s="1">
        <v>197.0</v>
      </c>
      <c r="M3749" s="1" t="s">
        <v>35</v>
      </c>
      <c r="N3749" s="1" t="s">
        <v>260</v>
      </c>
      <c r="O3749" s="1" t="s">
        <v>628</v>
      </c>
      <c r="P3749" s="1">
        <v>25000.0</v>
      </c>
      <c r="Q3749" s="1">
        <v>1997.0</v>
      </c>
      <c r="R3749" s="1">
        <v>136.0</v>
      </c>
      <c r="S3749" s="1">
        <v>108.0</v>
      </c>
      <c r="T3749" s="1">
        <v>7.0</v>
      </c>
      <c r="U3749" s="1">
        <v>254.0</v>
      </c>
      <c r="V3749" s="1">
        <v>119.0</v>
      </c>
      <c r="W3749" s="1">
        <v>489.0</v>
      </c>
      <c r="X3749" s="1">
        <v>0.0</v>
      </c>
      <c r="Y3749" s="1">
        <v>1.85</v>
      </c>
      <c r="Z3749" s="1">
        <v>7.3</v>
      </c>
    </row>
    <row r="3750" ht="14.25" customHeight="1">
      <c r="A3750" s="1" t="s">
        <v>26</v>
      </c>
      <c r="B3750" s="1" t="s">
        <v>492</v>
      </c>
      <c r="C3750" s="1" t="s">
        <v>7190</v>
      </c>
      <c r="D3750" s="1">
        <v>1.0499968E7</v>
      </c>
      <c r="E3750" s="1" t="s">
        <v>449</v>
      </c>
      <c r="F3750" s="1" t="s">
        <v>336</v>
      </c>
      <c r="G3750" s="1" t="s">
        <v>4032</v>
      </c>
      <c r="H3750" s="1" t="s">
        <v>7191</v>
      </c>
      <c r="I3750" s="1">
        <v>47502.0</v>
      </c>
      <c r="J3750" s="1" t="s">
        <v>7192</v>
      </c>
      <c r="K3750" s="1" t="s">
        <v>7193</v>
      </c>
      <c r="L3750" s="1">
        <v>212.0</v>
      </c>
      <c r="M3750" s="1" t="s">
        <v>35</v>
      </c>
      <c r="N3750" s="1" t="s">
        <v>36</v>
      </c>
      <c r="O3750" s="1" t="s">
        <v>628</v>
      </c>
      <c r="P3750" s="1">
        <v>3.5E7</v>
      </c>
      <c r="Q3750" s="1">
        <v>2014.0</v>
      </c>
      <c r="R3750" s="1">
        <v>1000.0</v>
      </c>
      <c r="S3750" s="1">
        <v>206.0</v>
      </c>
      <c r="T3750" s="1">
        <v>120.0</v>
      </c>
      <c r="U3750" s="1">
        <v>1458.0</v>
      </c>
      <c r="V3750" s="1">
        <v>453.0</v>
      </c>
      <c r="W3750" s="1">
        <v>10000.0</v>
      </c>
      <c r="X3750" s="1">
        <v>3.0</v>
      </c>
      <c r="Y3750" s="1">
        <v>1.85</v>
      </c>
      <c r="Z3750" s="1">
        <v>5.7</v>
      </c>
    </row>
    <row r="3751" ht="14.25" customHeight="1">
      <c r="A3751" s="1" t="s">
        <v>710</v>
      </c>
      <c r="B3751" s="1" t="s">
        <v>8489</v>
      </c>
      <c r="C3751" s="1" t="s">
        <v>17703</v>
      </c>
      <c r="D3751" s="1">
        <v>1227508.0</v>
      </c>
      <c r="E3751" s="1" t="s">
        <v>2422</v>
      </c>
      <c r="F3751" s="1" t="s">
        <v>17704</v>
      </c>
      <c r="G3751" s="1" t="s">
        <v>8489</v>
      </c>
      <c r="H3751" s="1" t="s">
        <v>17705</v>
      </c>
      <c r="I3751" s="1">
        <v>15103.0</v>
      </c>
      <c r="J3751" s="1" t="s">
        <v>17706</v>
      </c>
      <c r="K3751" s="1" t="s">
        <v>17707</v>
      </c>
      <c r="L3751" s="1">
        <v>80.0</v>
      </c>
      <c r="M3751" s="1" t="s">
        <v>35</v>
      </c>
      <c r="N3751" s="1" t="s">
        <v>36</v>
      </c>
      <c r="O3751" s="1" t="s">
        <v>628</v>
      </c>
      <c r="P3751" s="1">
        <v>23000.0</v>
      </c>
      <c r="Q3751" s="1">
        <v>1991.0</v>
      </c>
      <c r="R3751" s="1">
        <v>5.0</v>
      </c>
      <c r="S3751" s="1">
        <v>0.0</v>
      </c>
      <c r="T3751" s="1">
        <v>0.0</v>
      </c>
      <c r="U3751" s="1">
        <v>5.0</v>
      </c>
      <c r="V3751" s="1">
        <v>0.0</v>
      </c>
      <c r="W3751" s="1">
        <v>2000.0</v>
      </c>
      <c r="X3751" s="1">
        <v>0.0</v>
      </c>
      <c r="Y3751" s="1">
        <v>1.37</v>
      </c>
      <c r="Z3751" s="1">
        <v>7.1</v>
      </c>
    </row>
    <row r="3752" ht="14.25" customHeight="1">
      <c r="A3752" s="1" t="s">
        <v>26</v>
      </c>
      <c r="B3752" s="1" t="s">
        <v>12358</v>
      </c>
      <c r="C3752" s="1" t="s">
        <v>17708</v>
      </c>
      <c r="D3752" s="1">
        <v>180483.0</v>
      </c>
      <c r="E3752" s="1" t="s">
        <v>17709</v>
      </c>
      <c r="F3752" s="1" t="s">
        <v>17710</v>
      </c>
      <c r="G3752" s="1" t="s">
        <v>17711</v>
      </c>
      <c r="H3752" s="1" t="s">
        <v>17712</v>
      </c>
      <c r="I3752" s="1">
        <v>16792.0</v>
      </c>
      <c r="J3752" s="1" t="s">
        <v>17713</v>
      </c>
      <c r="K3752" s="1" t="s">
        <v>17714</v>
      </c>
      <c r="L3752" s="1">
        <v>183.0</v>
      </c>
      <c r="M3752" s="1" t="s">
        <v>35</v>
      </c>
      <c r="N3752" s="1" t="s">
        <v>36</v>
      </c>
      <c r="O3752" s="1" t="s">
        <v>6326</v>
      </c>
      <c r="P3752" s="1">
        <v>10000.0</v>
      </c>
      <c r="Q3752" s="1">
        <v>1972.0</v>
      </c>
      <c r="R3752" s="1">
        <v>462.0</v>
      </c>
      <c r="S3752" s="1">
        <v>143.0</v>
      </c>
      <c r="T3752" s="1">
        <v>105.0</v>
      </c>
      <c r="U3752" s="1">
        <v>760.0</v>
      </c>
      <c r="V3752" s="1">
        <v>0.0</v>
      </c>
      <c r="W3752" s="1">
        <v>0.0</v>
      </c>
      <c r="X3752" s="1">
        <v>2.0</v>
      </c>
      <c r="Y3752" s="1">
        <v>1.37</v>
      </c>
      <c r="Z3752" s="1">
        <v>6.1</v>
      </c>
    </row>
    <row r="3753" ht="14.25" customHeight="1">
      <c r="A3753" s="1" t="s">
        <v>26</v>
      </c>
      <c r="B3753" s="1" t="s">
        <v>12388</v>
      </c>
      <c r="C3753" s="1" t="s">
        <v>17715</v>
      </c>
      <c r="D3753" s="1">
        <v>136007.0</v>
      </c>
      <c r="E3753" s="1" t="s">
        <v>7326</v>
      </c>
      <c r="F3753" s="1" t="s">
        <v>5793</v>
      </c>
      <c r="G3753" s="1" t="s">
        <v>17716</v>
      </c>
      <c r="H3753" s="1" t="s">
        <v>9211</v>
      </c>
      <c r="I3753" s="1">
        <v>3924.0</v>
      </c>
      <c r="J3753" s="1" t="s">
        <v>17717</v>
      </c>
      <c r="K3753" s="1" t="s">
        <v>17718</v>
      </c>
      <c r="L3753" s="1">
        <v>39.0</v>
      </c>
      <c r="M3753" s="1" t="s">
        <v>2752</v>
      </c>
      <c r="N3753" s="1" t="s">
        <v>1832</v>
      </c>
      <c r="O3753" s="1" t="s">
        <v>628</v>
      </c>
      <c r="P3753" s="1">
        <v>4500.0</v>
      </c>
      <c r="Q3753" s="1">
        <v>2004.0</v>
      </c>
      <c r="R3753" s="1">
        <v>576.0</v>
      </c>
      <c r="S3753" s="1">
        <v>133.0</v>
      </c>
      <c r="T3753" s="1">
        <v>45.0</v>
      </c>
      <c r="U3753" s="1">
        <v>776.0</v>
      </c>
      <c r="V3753" s="1">
        <v>107.0</v>
      </c>
      <c r="W3753" s="1">
        <v>171.0</v>
      </c>
      <c r="X3753" s="1">
        <v>1.0</v>
      </c>
      <c r="Y3753" s="1">
        <v>2.35</v>
      </c>
      <c r="Z3753" s="1">
        <v>6.9</v>
      </c>
    </row>
    <row r="3754" ht="14.25" customHeight="1">
      <c r="A3754" s="1" t="s">
        <v>26</v>
      </c>
      <c r="B3754" s="1" t="s">
        <v>17719</v>
      </c>
      <c r="C3754" s="1" t="s">
        <v>17720</v>
      </c>
      <c r="D3754" s="1">
        <v>673780.0</v>
      </c>
      <c r="E3754" s="1" t="s">
        <v>3238</v>
      </c>
      <c r="F3754" s="1" t="s">
        <v>17721</v>
      </c>
      <c r="G3754" s="1" t="s">
        <v>17722</v>
      </c>
      <c r="H3754" s="1" t="s">
        <v>17723</v>
      </c>
      <c r="I3754" s="1">
        <v>4555.0</v>
      </c>
      <c r="J3754" s="1" t="s">
        <v>17724</v>
      </c>
      <c r="K3754" s="1" t="s">
        <v>17725</v>
      </c>
      <c r="L3754" s="1">
        <v>26.0</v>
      </c>
      <c r="M3754" s="1" t="s">
        <v>17092</v>
      </c>
      <c r="N3754" s="1" t="s">
        <v>12153</v>
      </c>
      <c r="O3754" s="1" t="s">
        <v>9252</v>
      </c>
      <c r="P3754" s="1">
        <v>10000.0</v>
      </c>
      <c r="Q3754" s="1">
        <v>2000.0</v>
      </c>
      <c r="R3754" s="1">
        <v>5.0</v>
      </c>
      <c r="S3754" s="1">
        <v>0.0</v>
      </c>
      <c r="T3754" s="1">
        <v>0.0</v>
      </c>
      <c r="U3754" s="1">
        <v>5.0</v>
      </c>
      <c r="V3754" s="1">
        <v>397.0</v>
      </c>
      <c r="W3754" s="1">
        <v>697.0</v>
      </c>
      <c r="X3754" s="1">
        <v>0.0</v>
      </c>
      <c r="Y3754" s="1">
        <v>1.85</v>
      </c>
      <c r="Z3754" s="1">
        <v>7.5</v>
      </c>
    </row>
    <row r="3755" ht="14.25" customHeight="1">
      <c r="A3755" s="1" t="s">
        <v>26</v>
      </c>
      <c r="B3755" s="1" t="s">
        <v>17726</v>
      </c>
      <c r="C3755" s="1" t="s">
        <v>17727</v>
      </c>
      <c r="D3755" s="1">
        <v>424760.0</v>
      </c>
      <c r="E3755" s="1" t="s">
        <v>2566</v>
      </c>
      <c r="F3755" s="1" t="s">
        <v>17726</v>
      </c>
      <c r="G3755" s="1" t="s">
        <v>17728</v>
      </c>
      <c r="H3755" s="1" t="s">
        <v>17729</v>
      </c>
      <c r="I3755" s="1">
        <v>72639.0</v>
      </c>
      <c r="J3755" s="1" t="s">
        <v>17730</v>
      </c>
      <c r="K3755" s="1" t="s">
        <v>17731</v>
      </c>
      <c r="L3755" s="1">
        <v>371.0</v>
      </c>
      <c r="M3755" s="1" t="s">
        <v>35</v>
      </c>
      <c r="N3755" s="1" t="s">
        <v>36</v>
      </c>
      <c r="O3755" s="1" t="s">
        <v>37</v>
      </c>
      <c r="P3755" s="1">
        <v>7000.0</v>
      </c>
      <c r="Q3755" s="1">
        <v>2004.0</v>
      </c>
      <c r="R3755" s="1">
        <v>291.0</v>
      </c>
      <c r="S3755" s="1">
        <v>45.0</v>
      </c>
      <c r="T3755" s="1">
        <v>8.0</v>
      </c>
      <c r="U3755" s="1">
        <v>368.0</v>
      </c>
      <c r="V3755" s="1">
        <v>291.0</v>
      </c>
      <c r="W3755" s="1">
        <v>19000.0</v>
      </c>
      <c r="X3755" s="1">
        <v>0.0</v>
      </c>
      <c r="Y3755" s="1">
        <v>1.85</v>
      </c>
      <c r="Z3755" s="1">
        <v>7.0</v>
      </c>
    </row>
    <row r="3756" ht="14.25" customHeight="1">
      <c r="A3756" s="1" t="s">
        <v>26</v>
      </c>
      <c r="B3756" s="1" t="s">
        <v>4632</v>
      </c>
      <c r="C3756" s="1" t="s">
        <v>17732</v>
      </c>
      <c r="D3756" s="1">
        <v>2040920.0</v>
      </c>
      <c r="E3756" s="1" t="s">
        <v>5448</v>
      </c>
      <c r="F3756" s="1" t="s">
        <v>17733</v>
      </c>
      <c r="G3756" s="1" t="s">
        <v>17734</v>
      </c>
      <c r="H3756" s="1" t="s">
        <v>17735</v>
      </c>
      <c r="I3756" s="1">
        <v>52055.0</v>
      </c>
      <c r="J3756" s="1" t="s">
        <v>17736</v>
      </c>
      <c r="K3756" s="1" t="s">
        <v>17737</v>
      </c>
      <c r="L3756" s="1">
        <v>130.0</v>
      </c>
      <c r="M3756" s="1" t="s">
        <v>2648</v>
      </c>
      <c r="N3756" s="1" t="s">
        <v>36</v>
      </c>
      <c r="O3756" s="1" t="s">
        <v>628</v>
      </c>
      <c r="P3756" s="1">
        <v>7000.0</v>
      </c>
      <c r="Q3756" s="1">
        <v>1992.0</v>
      </c>
      <c r="R3756" s="1">
        <v>121.0</v>
      </c>
      <c r="S3756" s="1">
        <v>20.0</v>
      </c>
      <c r="T3756" s="1">
        <v>6.0</v>
      </c>
      <c r="U3756" s="1">
        <v>147.0</v>
      </c>
      <c r="V3756" s="1">
        <v>0.0</v>
      </c>
      <c r="W3756" s="1">
        <v>0.0</v>
      </c>
      <c r="X3756" s="1">
        <v>0.0</v>
      </c>
      <c r="Y3756" s="1">
        <v>1.37</v>
      </c>
      <c r="Z3756" s="1">
        <v>6.9</v>
      </c>
    </row>
    <row r="3757" ht="14.25" customHeight="1">
      <c r="A3757" s="1" t="s">
        <v>26</v>
      </c>
      <c r="B3757" s="1" t="s">
        <v>17188</v>
      </c>
      <c r="C3757" s="1" t="s">
        <v>17738</v>
      </c>
      <c r="D3757" s="1">
        <v>85222.0</v>
      </c>
      <c r="E3757" s="1" t="s">
        <v>15542</v>
      </c>
      <c r="F3757" s="1" t="s">
        <v>17739</v>
      </c>
      <c r="G3757" s="1" t="s">
        <v>17740</v>
      </c>
      <c r="H3757" s="1" t="s">
        <v>17188</v>
      </c>
      <c r="I3757" s="1">
        <v>4285.0</v>
      </c>
      <c r="J3757" s="1" t="s">
        <v>17741</v>
      </c>
      <c r="K3757" s="1" t="s">
        <v>17742</v>
      </c>
      <c r="L3757" s="1">
        <v>84.0</v>
      </c>
      <c r="M3757" s="1" t="s">
        <v>35</v>
      </c>
      <c r="N3757" s="1" t="s">
        <v>36</v>
      </c>
      <c r="O3757" s="1" t="s">
        <v>87</v>
      </c>
      <c r="P3757" s="1">
        <v>1100.0</v>
      </c>
      <c r="Q3757" s="1">
        <v>2004.0</v>
      </c>
      <c r="R3757" s="1">
        <v>86.0</v>
      </c>
      <c r="S3757" s="1">
        <v>23.0</v>
      </c>
      <c r="T3757" s="1">
        <v>16.0</v>
      </c>
      <c r="U3757" s="1">
        <v>163.0</v>
      </c>
      <c r="V3757" s="1">
        <v>16.0</v>
      </c>
      <c r="W3757" s="1">
        <v>456.0</v>
      </c>
      <c r="X3757" s="1">
        <v>0.0</v>
      </c>
      <c r="Y3757" s="1">
        <v>1.85</v>
      </c>
      <c r="Z3757" s="1">
        <v>6.6</v>
      </c>
    </row>
  </sheetData>
  <printOptions/>
  <pageMargins bottom="0.75" footer="0.0" header="0.0" left="0.7" right="0.7" top="0.75"/>
  <pageSetup orientation="landscape"/>
  <drawing r:id="rId1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1.86"/>
    <col customWidth="1" min="3" max="4" width="8.71"/>
    <col customWidth="1" min="5" max="5" width="14.43"/>
    <col customWidth="1" min="6" max="6" width="29.0"/>
    <col customWidth="1" min="7" max="7" width="21.43"/>
    <col customWidth="1" min="8" max="14" width="8.71"/>
  </cols>
  <sheetData>
    <row r="1" ht="14.25" customHeight="1">
      <c r="A1" s="1" t="s">
        <v>17743</v>
      </c>
      <c r="B1" s="1" t="s">
        <v>17744</v>
      </c>
    </row>
    <row r="2" ht="14.25" customHeight="1">
      <c r="A2" s="1">
        <v>7.9</v>
      </c>
      <c r="B2" s="1">
        <v>178.0</v>
      </c>
    </row>
    <row r="3" ht="14.25" customHeight="1">
      <c r="A3" s="1">
        <v>7.1</v>
      </c>
      <c r="B3" s="1">
        <v>169.0</v>
      </c>
      <c r="E3" s="1" t="s">
        <v>17745</v>
      </c>
      <c r="F3" s="1" t="s">
        <v>17746</v>
      </c>
      <c r="G3" s="1" t="s">
        <v>17747</v>
      </c>
    </row>
    <row r="4" ht="14.25" customHeight="1">
      <c r="A4" s="1">
        <v>6.8</v>
      </c>
      <c r="B4" s="1">
        <v>148.0</v>
      </c>
      <c r="E4" s="1">
        <f>AVERAGE(B2:B3757)</f>
        <v>110.2579872</v>
      </c>
      <c r="F4" s="1">
        <f>MEDIAN(B2:B3757)</f>
        <v>106</v>
      </c>
      <c r="G4" s="1">
        <f>STDEV(B2:B3757)</f>
        <v>22.64671656</v>
      </c>
    </row>
    <row r="5" ht="14.25" customHeight="1">
      <c r="A5" s="1">
        <v>8.5</v>
      </c>
      <c r="B5" s="1">
        <v>164.0</v>
      </c>
    </row>
    <row r="6" ht="14.25" customHeight="1">
      <c r="A6" s="1">
        <v>6.6</v>
      </c>
      <c r="B6" s="1">
        <v>132.0</v>
      </c>
    </row>
    <row r="7" ht="14.25" customHeight="1">
      <c r="A7" s="1">
        <v>6.2</v>
      </c>
      <c r="B7" s="1">
        <v>156.0</v>
      </c>
    </row>
    <row r="8" ht="14.25" customHeight="1">
      <c r="A8" s="1">
        <v>7.8</v>
      </c>
      <c r="B8" s="1">
        <v>100.0</v>
      </c>
    </row>
    <row r="9" ht="14.25" customHeight="1">
      <c r="A9" s="1">
        <v>7.5</v>
      </c>
      <c r="B9" s="1">
        <v>141.0</v>
      </c>
    </row>
    <row r="10" ht="14.25" customHeight="1">
      <c r="A10" s="1">
        <v>7.5</v>
      </c>
      <c r="B10" s="1">
        <v>153.0</v>
      </c>
    </row>
    <row r="11" ht="14.25" customHeight="1">
      <c r="A11" s="1">
        <v>6.9</v>
      </c>
      <c r="B11" s="1">
        <v>183.0</v>
      </c>
    </row>
    <row r="12" ht="14.25" customHeight="1">
      <c r="A12" s="1">
        <v>6.1</v>
      </c>
      <c r="B12" s="1">
        <v>169.0</v>
      </c>
    </row>
    <row r="13" ht="14.25" customHeight="1">
      <c r="A13" s="1">
        <v>6.7</v>
      </c>
      <c r="B13" s="1">
        <v>106.0</v>
      </c>
    </row>
    <row r="14" ht="14.25" customHeight="1">
      <c r="A14" s="1">
        <v>7.3</v>
      </c>
      <c r="B14" s="1">
        <v>151.0</v>
      </c>
    </row>
    <row r="15" ht="14.25" customHeight="1">
      <c r="A15" s="1">
        <v>6.5</v>
      </c>
      <c r="B15" s="1">
        <v>150.0</v>
      </c>
    </row>
    <row r="16" ht="14.25" customHeight="1">
      <c r="A16" s="1">
        <v>7.2</v>
      </c>
      <c r="B16" s="1">
        <v>143.0</v>
      </c>
    </row>
    <row r="17" ht="14.25" customHeight="1">
      <c r="A17" s="1">
        <v>6.6</v>
      </c>
      <c r="B17" s="1">
        <v>150.0</v>
      </c>
    </row>
    <row r="18" ht="14.25" customHeight="1">
      <c r="A18" s="1">
        <v>8.1</v>
      </c>
      <c r="B18" s="1">
        <v>173.0</v>
      </c>
    </row>
    <row r="19" ht="14.25" customHeight="1">
      <c r="A19" s="1">
        <v>6.7</v>
      </c>
      <c r="B19" s="1">
        <v>136.0</v>
      </c>
    </row>
    <row r="20" ht="14.25" customHeight="1">
      <c r="A20" s="1">
        <v>6.8</v>
      </c>
      <c r="B20" s="1">
        <v>106.0</v>
      </c>
    </row>
    <row r="21" ht="14.25" customHeight="1">
      <c r="A21" s="1">
        <v>7.5</v>
      </c>
      <c r="B21" s="1">
        <v>164.0</v>
      </c>
    </row>
    <row r="22" ht="14.25" customHeight="1">
      <c r="A22" s="1">
        <v>7.0</v>
      </c>
      <c r="B22" s="1">
        <v>153.0</v>
      </c>
    </row>
    <row r="23" ht="14.25" customHeight="1">
      <c r="A23" s="1">
        <v>6.7</v>
      </c>
      <c r="B23" s="1">
        <v>156.0</v>
      </c>
    </row>
    <row r="24" ht="14.25" customHeight="1">
      <c r="A24" s="1">
        <v>7.9</v>
      </c>
      <c r="B24" s="1">
        <v>186.0</v>
      </c>
    </row>
    <row r="25" ht="14.25" customHeight="1">
      <c r="A25" s="1">
        <v>6.1</v>
      </c>
      <c r="B25" s="1">
        <v>113.0</v>
      </c>
    </row>
    <row r="26" ht="14.25" customHeight="1">
      <c r="A26" s="1">
        <v>7.2</v>
      </c>
      <c r="B26" s="1">
        <v>201.0</v>
      </c>
    </row>
    <row r="27" ht="14.25" customHeight="1">
      <c r="A27" s="1">
        <v>7.7</v>
      </c>
      <c r="B27" s="1">
        <v>194.0</v>
      </c>
    </row>
    <row r="28" ht="14.25" customHeight="1">
      <c r="A28" s="1">
        <v>8.2</v>
      </c>
      <c r="B28" s="1">
        <v>147.0</v>
      </c>
    </row>
    <row r="29" ht="14.25" customHeight="1">
      <c r="A29" s="1">
        <v>5.9</v>
      </c>
      <c r="B29" s="1">
        <v>131.0</v>
      </c>
    </row>
    <row r="30" ht="14.25" customHeight="1">
      <c r="A30" s="1">
        <v>7.0</v>
      </c>
      <c r="B30" s="1">
        <v>124.0</v>
      </c>
    </row>
    <row r="31" ht="14.25" customHeight="1">
      <c r="A31" s="1">
        <v>7.8</v>
      </c>
      <c r="B31" s="1">
        <v>143.0</v>
      </c>
    </row>
    <row r="32" ht="14.25" customHeight="1">
      <c r="A32" s="1">
        <v>7.3</v>
      </c>
      <c r="B32" s="1">
        <v>135.0</v>
      </c>
    </row>
    <row r="33" ht="14.25" customHeight="1">
      <c r="A33" s="1">
        <v>7.2</v>
      </c>
      <c r="B33" s="1">
        <v>195.0</v>
      </c>
    </row>
    <row r="34" ht="14.25" customHeight="1">
      <c r="A34" s="1">
        <v>6.5</v>
      </c>
      <c r="B34" s="1">
        <v>108.0</v>
      </c>
    </row>
    <row r="35" ht="14.25" customHeight="1">
      <c r="A35" s="1">
        <v>6.8</v>
      </c>
      <c r="B35" s="1">
        <v>104.0</v>
      </c>
    </row>
    <row r="36" ht="14.25" customHeight="1">
      <c r="A36" s="1">
        <v>7.3</v>
      </c>
      <c r="B36" s="1">
        <v>104.0</v>
      </c>
    </row>
    <row r="37" ht="14.25" customHeight="1">
      <c r="A37" s="1">
        <v>6.0</v>
      </c>
      <c r="B37" s="1">
        <v>150.0</v>
      </c>
    </row>
    <row r="38" ht="14.25" customHeight="1">
      <c r="A38" s="1">
        <v>5.7</v>
      </c>
      <c r="B38" s="1">
        <v>165.0</v>
      </c>
    </row>
    <row r="39" ht="14.25" customHeight="1">
      <c r="A39" s="1">
        <v>6.4</v>
      </c>
      <c r="B39" s="1">
        <v>130.0</v>
      </c>
    </row>
    <row r="40" ht="14.25" customHeight="1">
      <c r="A40" s="1">
        <v>6.7</v>
      </c>
      <c r="B40" s="1">
        <v>142.0</v>
      </c>
    </row>
    <row r="41" ht="14.25" customHeight="1">
      <c r="A41" s="1">
        <v>6.8</v>
      </c>
      <c r="B41" s="1">
        <v>125.0</v>
      </c>
    </row>
    <row r="42" ht="14.25" customHeight="1">
      <c r="A42" s="1">
        <v>6.3</v>
      </c>
      <c r="B42" s="1">
        <v>106.0</v>
      </c>
    </row>
    <row r="43" ht="14.25" customHeight="1">
      <c r="A43" s="1">
        <v>5.6</v>
      </c>
      <c r="B43" s="1">
        <v>123.0</v>
      </c>
    </row>
    <row r="44" ht="14.25" customHeight="1">
      <c r="A44" s="1">
        <v>8.3</v>
      </c>
      <c r="B44" s="1">
        <v>103.0</v>
      </c>
    </row>
    <row r="45" ht="14.25" customHeight="1">
      <c r="A45" s="1">
        <v>6.6</v>
      </c>
      <c r="B45" s="1">
        <v>118.0</v>
      </c>
    </row>
    <row r="46" ht="14.25" customHeight="1">
      <c r="A46" s="1">
        <v>7.2</v>
      </c>
      <c r="B46" s="1">
        <v>140.0</v>
      </c>
    </row>
    <row r="47" ht="14.25" customHeight="1">
      <c r="A47" s="1">
        <v>7.0</v>
      </c>
      <c r="B47" s="1">
        <v>123.0</v>
      </c>
    </row>
    <row r="48" ht="14.25" customHeight="1">
      <c r="A48" s="1">
        <v>8.0</v>
      </c>
      <c r="B48" s="1">
        <v>149.0</v>
      </c>
    </row>
    <row r="49" ht="14.25" customHeight="1">
      <c r="A49" s="1">
        <v>7.8</v>
      </c>
      <c r="B49" s="1">
        <v>132.0</v>
      </c>
    </row>
    <row r="50" ht="14.25" customHeight="1">
      <c r="A50" s="1">
        <v>6.3</v>
      </c>
      <c r="B50" s="1">
        <v>114.0</v>
      </c>
    </row>
    <row r="51" ht="14.25" customHeight="1">
      <c r="A51" s="1">
        <v>7.3</v>
      </c>
      <c r="B51" s="1">
        <v>143.0</v>
      </c>
    </row>
    <row r="52" ht="14.25" customHeight="1">
      <c r="A52" s="1">
        <v>6.6</v>
      </c>
      <c r="B52" s="1">
        <v>116.0</v>
      </c>
    </row>
    <row r="53" ht="14.25" customHeight="1">
      <c r="A53" s="1">
        <v>7.0</v>
      </c>
      <c r="B53" s="1">
        <v>131.0</v>
      </c>
    </row>
    <row r="54" ht="14.25" customHeight="1">
      <c r="A54" s="1">
        <v>6.3</v>
      </c>
      <c r="B54" s="1">
        <v>154.0</v>
      </c>
    </row>
    <row r="55" ht="14.25" customHeight="1">
      <c r="A55" s="1">
        <v>6.2</v>
      </c>
      <c r="B55" s="1">
        <v>122.0</v>
      </c>
    </row>
    <row r="56" ht="14.25" customHeight="1">
      <c r="A56" s="1">
        <v>7.2</v>
      </c>
      <c r="B56" s="1">
        <v>93.0</v>
      </c>
    </row>
    <row r="57" ht="14.25" customHeight="1">
      <c r="A57" s="1">
        <v>7.5</v>
      </c>
      <c r="B57" s="1">
        <v>122.0</v>
      </c>
    </row>
    <row r="58" ht="14.25" customHeight="1">
      <c r="A58" s="1">
        <v>8.4</v>
      </c>
      <c r="B58" s="1">
        <v>98.0</v>
      </c>
    </row>
    <row r="59" ht="14.25" customHeight="1">
      <c r="A59" s="1">
        <v>6.2</v>
      </c>
      <c r="B59" s="1">
        <v>91.0</v>
      </c>
    </row>
    <row r="60" ht="14.25" customHeight="1">
      <c r="A60" s="1">
        <v>5.8</v>
      </c>
      <c r="B60" s="1">
        <v>158.0</v>
      </c>
    </row>
    <row r="61" ht="14.25" customHeight="1">
      <c r="A61" s="1">
        <v>6.8</v>
      </c>
      <c r="B61" s="1">
        <v>96.0</v>
      </c>
    </row>
    <row r="62" ht="14.25" customHeight="1">
      <c r="A62" s="1">
        <v>5.4</v>
      </c>
      <c r="B62" s="1">
        <v>127.0</v>
      </c>
    </row>
    <row r="63" ht="14.25" customHeight="1">
      <c r="A63" s="1">
        <v>6.6</v>
      </c>
      <c r="B63" s="1">
        <v>110.0</v>
      </c>
    </row>
    <row r="64" ht="14.25" customHeight="1">
      <c r="A64" s="1">
        <v>6.9</v>
      </c>
      <c r="B64" s="1">
        <v>150.0</v>
      </c>
    </row>
    <row r="65" ht="14.25" customHeight="1">
      <c r="A65" s="1">
        <v>7.3</v>
      </c>
      <c r="B65" s="1">
        <v>144.0</v>
      </c>
    </row>
    <row r="66" ht="14.25" customHeight="1">
      <c r="A66" s="1">
        <v>9.0</v>
      </c>
      <c r="B66" s="1">
        <v>152.0</v>
      </c>
    </row>
    <row r="67" ht="14.25" customHeight="1">
      <c r="A67" s="1">
        <v>8.3</v>
      </c>
      <c r="B67" s="1">
        <v>96.0</v>
      </c>
    </row>
    <row r="68" ht="14.25" customHeight="1">
      <c r="A68" s="1">
        <v>6.5</v>
      </c>
      <c r="B68" s="1">
        <v>94.0</v>
      </c>
    </row>
    <row r="69" ht="14.25" customHeight="1">
      <c r="A69" s="1">
        <v>7.9</v>
      </c>
      <c r="B69" s="1">
        <v>126.0</v>
      </c>
    </row>
    <row r="70" ht="14.25" customHeight="1">
      <c r="A70" s="1">
        <v>7.5</v>
      </c>
      <c r="B70" s="1">
        <v>126.0</v>
      </c>
    </row>
    <row r="71" ht="14.25" customHeight="1">
      <c r="A71" s="1">
        <v>4.8</v>
      </c>
      <c r="B71" s="1">
        <v>106.0</v>
      </c>
    </row>
    <row r="72" ht="14.25" customHeight="1">
      <c r="A72" s="1">
        <v>5.2</v>
      </c>
      <c r="B72" s="1">
        <v>112.0</v>
      </c>
    </row>
    <row r="73" ht="14.25" customHeight="1">
      <c r="A73" s="1">
        <v>6.9</v>
      </c>
      <c r="B73" s="1">
        <v>123.0</v>
      </c>
    </row>
    <row r="74" ht="14.25" customHeight="1">
      <c r="A74" s="1">
        <v>5.4</v>
      </c>
      <c r="B74" s="1">
        <v>96.0</v>
      </c>
    </row>
    <row r="75" ht="14.25" customHeight="1">
      <c r="A75" s="1">
        <v>7.9</v>
      </c>
      <c r="B75" s="1">
        <v>113.0</v>
      </c>
    </row>
    <row r="76" ht="14.25" customHeight="1">
      <c r="A76" s="1">
        <v>6.1</v>
      </c>
      <c r="B76" s="1">
        <v>176.0</v>
      </c>
    </row>
    <row r="77" ht="14.25" customHeight="1">
      <c r="A77" s="1">
        <v>5.8</v>
      </c>
      <c r="B77" s="1">
        <v>118.0</v>
      </c>
    </row>
    <row r="78" ht="14.25" customHeight="1">
      <c r="A78" s="1">
        <v>8.3</v>
      </c>
      <c r="B78" s="1">
        <v>95.0</v>
      </c>
    </row>
    <row r="79" ht="14.25" customHeight="1">
      <c r="A79" s="1">
        <v>7.8</v>
      </c>
      <c r="B79" s="1">
        <v>106.0</v>
      </c>
    </row>
    <row r="80" ht="14.25" customHeight="1">
      <c r="A80" s="1">
        <v>7.0</v>
      </c>
      <c r="B80" s="1">
        <v>124.0</v>
      </c>
    </row>
    <row r="81" ht="14.25" customHeight="1">
      <c r="A81" s="1">
        <v>6.1</v>
      </c>
      <c r="B81" s="1">
        <v>132.0</v>
      </c>
    </row>
    <row r="82" ht="14.25" customHeight="1">
      <c r="A82" s="1">
        <v>7.0</v>
      </c>
      <c r="B82" s="1">
        <v>97.0</v>
      </c>
    </row>
    <row r="83" ht="14.25" customHeight="1">
      <c r="A83" s="1">
        <v>7.6</v>
      </c>
      <c r="B83" s="1">
        <v>130.0</v>
      </c>
    </row>
    <row r="84" ht="14.25" customHeight="1">
      <c r="A84" s="1">
        <v>6.3</v>
      </c>
      <c r="B84" s="1">
        <v>128.0</v>
      </c>
    </row>
    <row r="85" ht="14.25" customHeight="1">
      <c r="A85" s="1">
        <v>7.8</v>
      </c>
      <c r="B85" s="1">
        <v>136.0</v>
      </c>
    </row>
    <row r="86" ht="14.25" customHeight="1">
      <c r="A86" s="1">
        <v>6.4</v>
      </c>
      <c r="B86" s="1">
        <v>93.0</v>
      </c>
    </row>
    <row r="87" ht="14.25" customHeight="1">
      <c r="A87" s="1">
        <v>6.5</v>
      </c>
      <c r="B87" s="1">
        <v>130.0</v>
      </c>
    </row>
    <row r="88" ht="14.25" customHeight="1">
      <c r="A88" s="1">
        <v>7.9</v>
      </c>
      <c r="B88" s="1">
        <v>102.0</v>
      </c>
    </row>
    <row r="89" ht="14.25" customHeight="1">
      <c r="A89" s="1">
        <v>7.8</v>
      </c>
      <c r="B89" s="1">
        <v>101.0</v>
      </c>
    </row>
    <row r="90" ht="14.25" customHeight="1">
      <c r="A90" s="1">
        <v>6.6</v>
      </c>
      <c r="B90" s="1">
        <v>100.0</v>
      </c>
    </row>
    <row r="91" ht="14.25" customHeight="1">
      <c r="A91" s="1">
        <v>5.5</v>
      </c>
      <c r="B91" s="1">
        <v>120.0</v>
      </c>
    </row>
    <row r="92" ht="14.25" customHeight="1">
      <c r="A92" s="1">
        <v>8.2</v>
      </c>
      <c r="B92" s="1">
        <v>98.0</v>
      </c>
    </row>
    <row r="93" ht="14.25" customHeight="1">
      <c r="A93" s="1">
        <v>6.4</v>
      </c>
      <c r="B93" s="1">
        <v>109.0</v>
      </c>
    </row>
    <row r="94" ht="14.25" customHeight="1">
      <c r="A94" s="1">
        <v>8.1</v>
      </c>
      <c r="B94" s="1">
        <v>121.0</v>
      </c>
    </row>
    <row r="95" ht="14.25" customHeight="1">
      <c r="A95" s="1">
        <v>8.6</v>
      </c>
      <c r="B95" s="1">
        <v>169.0</v>
      </c>
    </row>
    <row r="96" ht="14.25" customHeight="1">
      <c r="A96" s="1">
        <v>8.8</v>
      </c>
      <c r="B96" s="1">
        <v>148.0</v>
      </c>
    </row>
    <row r="97" ht="14.25" customHeight="1">
      <c r="A97" s="1">
        <v>6.7</v>
      </c>
      <c r="B97" s="1">
        <v>106.0</v>
      </c>
    </row>
    <row r="98" ht="14.25" customHeight="1">
      <c r="A98" s="1">
        <v>7.8</v>
      </c>
      <c r="B98" s="1">
        <v>166.0</v>
      </c>
    </row>
    <row r="99" ht="14.25" customHeight="1">
      <c r="A99" s="1">
        <v>7.8</v>
      </c>
      <c r="B99" s="1">
        <v>132.0</v>
      </c>
    </row>
    <row r="100" ht="14.25" customHeight="1">
      <c r="A100" s="1">
        <v>6.6</v>
      </c>
      <c r="B100" s="1">
        <v>137.0</v>
      </c>
    </row>
    <row r="101" ht="14.25" customHeight="1">
      <c r="A101" s="1">
        <v>6.1</v>
      </c>
      <c r="B101" s="1">
        <v>109.0</v>
      </c>
    </row>
    <row r="102" ht="14.25" customHeight="1">
      <c r="A102" s="1">
        <v>5.6</v>
      </c>
      <c r="B102" s="1">
        <v>98.0</v>
      </c>
    </row>
    <row r="103" ht="14.25" customHeight="1">
      <c r="A103" s="1">
        <v>6.4</v>
      </c>
      <c r="B103" s="1">
        <v>113.0</v>
      </c>
    </row>
    <row r="104" ht="14.25" customHeight="1">
      <c r="A104" s="1">
        <v>6.1</v>
      </c>
      <c r="B104" s="1">
        <v>93.0</v>
      </c>
    </row>
    <row r="105" ht="14.25" customHeight="1">
      <c r="A105" s="1">
        <v>7.3</v>
      </c>
      <c r="B105" s="1">
        <v>123.0</v>
      </c>
    </row>
    <row r="106" ht="14.25" customHeight="1">
      <c r="A106" s="1">
        <v>6.6</v>
      </c>
      <c r="B106" s="1">
        <v>126.0</v>
      </c>
    </row>
    <row r="107" ht="14.25" customHeight="1">
      <c r="A107" s="1">
        <v>6.3</v>
      </c>
      <c r="B107" s="1">
        <v>113.0</v>
      </c>
    </row>
    <row r="108" ht="14.25" customHeight="1">
      <c r="A108" s="1">
        <v>6.1</v>
      </c>
      <c r="B108" s="1">
        <v>184.0</v>
      </c>
    </row>
    <row r="109" ht="14.25" customHeight="1">
      <c r="A109" s="1">
        <v>7.1</v>
      </c>
      <c r="B109" s="1">
        <v>144.0</v>
      </c>
    </row>
    <row r="110" ht="14.25" customHeight="1">
      <c r="A110" s="1">
        <v>5.5</v>
      </c>
      <c r="B110" s="1">
        <v>206.0</v>
      </c>
    </row>
    <row r="111" ht="14.25" customHeight="1">
      <c r="A111" s="1">
        <v>7.5</v>
      </c>
      <c r="B111" s="1">
        <v>138.0</v>
      </c>
    </row>
    <row r="112" ht="14.25" customHeight="1">
      <c r="A112" s="1">
        <v>7.6</v>
      </c>
      <c r="B112" s="1">
        <v>157.0</v>
      </c>
    </row>
    <row r="113" ht="14.25" customHeight="1">
      <c r="A113" s="1">
        <v>6.4</v>
      </c>
      <c r="B113" s="1">
        <v>102.0</v>
      </c>
    </row>
    <row r="114" ht="14.25" customHeight="1">
      <c r="A114" s="1">
        <v>7.2</v>
      </c>
      <c r="B114" s="1">
        <v>104.0</v>
      </c>
    </row>
    <row r="115" ht="14.25" customHeight="1">
      <c r="A115" s="1">
        <v>6.7</v>
      </c>
      <c r="B115" s="1">
        <v>115.0</v>
      </c>
    </row>
    <row r="116" ht="14.25" customHeight="1">
      <c r="A116" s="1">
        <v>8.0</v>
      </c>
      <c r="B116" s="1">
        <v>111.0</v>
      </c>
    </row>
    <row r="117" ht="14.25" customHeight="1">
      <c r="A117" s="1">
        <v>8.3</v>
      </c>
      <c r="B117" s="1">
        <v>128.0</v>
      </c>
    </row>
    <row r="118" ht="14.25" customHeight="1">
      <c r="A118" s="1">
        <v>6.7</v>
      </c>
      <c r="B118" s="1">
        <v>89.0</v>
      </c>
    </row>
    <row r="119" ht="14.25" customHeight="1">
      <c r="A119" s="1">
        <v>5.9</v>
      </c>
      <c r="B119" s="1">
        <v>105.0</v>
      </c>
    </row>
    <row r="120" ht="14.25" customHeight="1">
      <c r="A120" s="1">
        <v>6.7</v>
      </c>
      <c r="B120" s="1">
        <v>119.0</v>
      </c>
    </row>
    <row r="121" ht="14.25" customHeight="1">
      <c r="A121" s="1">
        <v>6.7</v>
      </c>
      <c r="B121" s="1">
        <v>129.0</v>
      </c>
    </row>
    <row r="122" ht="14.25" customHeight="1">
      <c r="A122" s="1">
        <v>7.6</v>
      </c>
      <c r="B122" s="1">
        <v>102.0</v>
      </c>
    </row>
    <row r="123" ht="14.25" customHeight="1">
      <c r="A123" s="1">
        <v>7.2</v>
      </c>
      <c r="B123" s="1">
        <v>138.0</v>
      </c>
    </row>
    <row r="124" ht="14.25" customHeight="1">
      <c r="A124" s="1">
        <v>7.1</v>
      </c>
      <c r="B124" s="1">
        <v>112.0</v>
      </c>
    </row>
    <row r="125" ht="14.25" customHeight="1">
      <c r="A125" s="1">
        <v>8.1</v>
      </c>
      <c r="B125" s="1">
        <v>120.0</v>
      </c>
    </row>
    <row r="126" ht="14.25" customHeight="1">
      <c r="A126" s="1">
        <v>6.7</v>
      </c>
      <c r="B126" s="1">
        <v>146.0</v>
      </c>
    </row>
    <row r="127" ht="14.25" customHeight="1">
      <c r="A127" s="1">
        <v>7.0</v>
      </c>
      <c r="B127" s="1">
        <v>115.0</v>
      </c>
    </row>
    <row r="128" ht="14.25" customHeight="1">
      <c r="A128" s="1">
        <v>6.9</v>
      </c>
      <c r="B128" s="1">
        <v>96.0</v>
      </c>
    </row>
    <row r="129" ht="14.25" customHeight="1">
      <c r="A129" s="1">
        <v>5.1</v>
      </c>
      <c r="B129" s="1">
        <v>88.0</v>
      </c>
    </row>
    <row r="130" ht="14.25" customHeight="1">
      <c r="A130" s="1">
        <v>5.8</v>
      </c>
      <c r="B130" s="1">
        <v>99.0</v>
      </c>
    </row>
    <row r="131" ht="14.25" customHeight="1">
      <c r="A131" s="1">
        <v>6.2</v>
      </c>
      <c r="B131" s="1">
        <v>113.0</v>
      </c>
    </row>
    <row r="132" ht="14.25" customHeight="1">
      <c r="A132" s="1">
        <v>7.4</v>
      </c>
      <c r="B132" s="1">
        <v>131.0</v>
      </c>
    </row>
    <row r="133" ht="14.25" customHeight="1">
      <c r="A133" s="1">
        <v>5.8</v>
      </c>
      <c r="B133" s="1">
        <v>119.0</v>
      </c>
    </row>
    <row r="134" ht="14.25" customHeight="1">
      <c r="A134" s="1">
        <v>6.6</v>
      </c>
      <c r="B134" s="1">
        <v>110.0</v>
      </c>
    </row>
    <row r="135" ht="14.25" customHeight="1">
      <c r="A135" s="1">
        <v>6.2</v>
      </c>
      <c r="B135" s="1">
        <v>91.0</v>
      </c>
    </row>
    <row r="136" ht="14.25" customHeight="1">
      <c r="A136" s="1">
        <v>7.3</v>
      </c>
      <c r="B136" s="1">
        <v>90.0</v>
      </c>
    </row>
    <row r="137" ht="14.25" customHeight="1">
      <c r="A137" s="1">
        <v>4.2</v>
      </c>
      <c r="B137" s="1">
        <v>103.0</v>
      </c>
    </row>
    <row r="138" ht="14.25" customHeight="1">
      <c r="A138" s="1">
        <v>6.9</v>
      </c>
      <c r="B138" s="1">
        <v>124.0</v>
      </c>
    </row>
    <row r="139" ht="14.25" customHeight="1">
      <c r="A139" s="1">
        <v>6.4</v>
      </c>
      <c r="B139" s="1">
        <v>131.0</v>
      </c>
    </row>
    <row r="140" ht="14.25" customHeight="1">
      <c r="A140" s="1">
        <v>5.4</v>
      </c>
      <c r="B140" s="1">
        <v>88.0</v>
      </c>
    </row>
    <row r="141" ht="14.25" customHeight="1">
      <c r="A141" s="1">
        <v>6.7</v>
      </c>
      <c r="B141" s="1">
        <v>85.0</v>
      </c>
    </row>
    <row r="142" ht="14.25" customHeight="1">
      <c r="A142" s="1">
        <v>5.8</v>
      </c>
      <c r="B142" s="1">
        <v>111.0</v>
      </c>
    </row>
    <row r="143" ht="14.25" customHeight="1">
      <c r="A143" s="1">
        <v>6.9</v>
      </c>
      <c r="B143" s="1">
        <v>92.0</v>
      </c>
    </row>
    <row r="144" ht="14.25" customHeight="1">
      <c r="A144" s="1">
        <v>7.2</v>
      </c>
      <c r="B144" s="1">
        <v>196.0</v>
      </c>
    </row>
    <row r="145" ht="14.25" customHeight="1">
      <c r="A145" s="1">
        <v>6.9</v>
      </c>
      <c r="B145" s="1">
        <v>93.0</v>
      </c>
    </row>
    <row r="146" ht="14.25" customHeight="1">
      <c r="A146" s="1">
        <v>6.1</v>
      </c>
      <c r="B146" s="1">
        <v>133.0</v>
      </c>
    </row>
    <row r="147" ht="14.25" customHeight="1">
      <c r="A147" s="1">
        <v>5.5</v>
      </c>
      <c r="B147" s="1">
        <v>116.0</v>
      </c>
    </row>
    <row r="148" ht="14.25" customHeight="1">
      <c r="A148" s="1">
        <v>6.6</v>
      </c>
      <c r="B148" s="1">
        <v>153.0</v>
      </c>
    </row>
    <row r="149" ht="14.25" customHeight="1">
      <c r="A149" s="1">
        <v>6.1</v>
      </c>
      <c r="B149" s="1">
        <v>88.0</v>
      </c>
    </row>
    <row r="150" ht="14.25" customHeight="1">
      <c r="A150" s="1">
        <v>6.3</v>
      </c>
      <c r="B150" s="1">
        <v>115.0</v>
      </c>
    </row>
    <row r="151" ht="14.25" customHeight="1">
      <c r="A151" s="1">
        <v>7.2</v>
      </c>
      <c r="B151" s="1">
        <v>95.0</v>
      </c>
    </row>
    <row r="152" ht="14.25" customHeight="1">
      <c r="A152" s="1">
        <v>7.4</v>
      </c>
      <c r="B152" s="1">
        <v>133.0</v>
      </c>
    </row>
    <row r="153" ht="14.25" customHeight="1">
      <c r="A153" s="1">
        <v>7.3</v>
      </c>
      <c r="B153" s="1">
        <v>97.0</v>
      </c>
    </row>
    <row r="154" ht="14.25" customHeight="1">
      <c r="A154" s="1">
        <v>6.1</v>
      </c>
      <c r="B154" s="1">
        <v>90.0</v>
      </c>
    </row>
    <row r="155" ht="14.25" customHeight="1">
      <c r="A155" s="1">
        <v>7.7</v>
      </c>
      <c r="B155" s="1">
        <v>154.0</v>
      </c>
    </row>
    <row r="156" ht="14.25" customHeight="1">
      <c r="A156" s="1">
        <v>6.1</v>
      </c>
      <c r="B156" s="1">
        <v>150.0</v>
      </c>
    </row>
    <row r="157" ht="14.25" customHeight="1">
      <c r="A157" s="1">
        <v>8.0</v>
      </c>
      <c r="B157" s="1">
        <v>127.0</v>
      </c>
    </row>
    <row r="158" ht="14.25" customHeight="1">
      <c r="A158" s="1">
        <v>7.3</v>
      </c>
      <c r="B158" s="1">
        <v>121.0</v>
      </c>
    </row>
    <row r="159" ht="14.25" customHeight="1">
      <c r="A159" s="1">
        <v>7.9</v>
      </c>
      <c r="B159" s="1">
        <v>102.0</v>
      </c>
    </row>
    <row r="160" ht="14.25" customHeight="1">
      <c r="A160" s="1">
        <v>5.5</v>
      </c>
      <c r="B160" s="1">
        <v>126.0</v>
      </c>
    </row>
    <row r="161" ht="14.25" customHeight="1">
      <c r="A161" s="1">
        <v>5.0</v>
      </c>
      <c r="B161" s="1">
        <v>121.0</v>
      </c>
    </row>
    <row r="162" ht="14.25" customHeight="1">
      <c r="A162" s="1">
        <v>7.7</v>
      </c>
      <c r="B162" s="1">
        <v>215.0</v>
      </c>
    </row>
    <row r="163" ht="14.25" customHeight="1">
      <c r="A163" s="1">
        <v>6.6</v>
      </c>
      <c r="B163" s="1">
        <v>127.0</v>
      </c>
    </row>
    <row r="164" ht="14.25" customHeight="1">
      <c r="A164" s="1">
        <v>5.7</v>
      </c>
      <c r="B164" s="1">
        <v>138.0</v>
      </c>
    </row>
    <row r="165" ht="14.25" customHeight="1">
      <c r="A165" s="1">
        <v>5.8</v>
      </c>
      <c r="B165" s="1">
        <v>122.0</v>
      </c>
    </row>
    <row r="166" ht="14.25" customHeight="1">
      <c r="A166" s="1">
        <v>6.0</v>
      </c>
      <c r="B166" s="1">
        <v>124.0</v>
      </c>
    </row>
    <row r="167" ht="14.25" customHeight="1">
      <c r="A167" s="1">
        <v>6.4</v>
      </c>
      <c r="B167" s="1">
        <v>106.0</v>
      </c>
    </row>
    <row r="168" ht="14.25" customHeight="1">
      <c r="A168" s="1">
        <v>6.9</v>
      </c>
      <c r="B168" s="1">
        <v>124.0</v>
      </c>
    </row>
    <row r="169" ht="14.25" customHeight="1">
      <c r="A169" s="1">
        <v>6.4</v>
      </c>
      <c r="B169" s="1">
        <v>128.0</v>
      </c>
    </row>
    <row r="170" ht="14.25" customHeight="1">
      <c r="A170" s="1">
        <v>7.4</v>
      </c>
      <c r="B170" s="1">
        <v>138.0</v>
      </c>
    </row>
    <row r="171" ht="14.25" customHeight="1">
      <c r="A171" s="1">
        <v>5.5</v>
      </c>
      <c r="B171" s="1">
        <v>115.0</v>
      </c>
    </row>
    <row r="172" ht="14.25" customHeight="1">
      <c r="A172" s="1">
        <v>5.9</v>
      </c>
      <c r="B172" s="1">
        <v>100.0</v>
      </c>
    </row>
    <row r="173" ht="14.25" customHeight="1">
      <c r="A173" s="1">
        <v>6.8</v>
      </c>
      <c r="B173" s="1">
        <v>135.0</v>
      </c>
    </row>
    <row r="174" ht="14.25" customHeight="1">
      <c r="A174" s="1">
        <v>6.8</v>
      </c>
      <c r="B174" s="1">
        <v>117.0</v>
      </c>
    </row>
    <row r="175" ht="14.25" customHeight="1">
      <c r="A175" s="1">
        <v>8.1</v>
      </c>
      <c r="B175" s="1">
        <v>156.0</v>
      </c>
    </row>
    <row r="176" ht="14.25" customHeight="1">
      <c r="A176" s="1">
        <v>6.5</v>
      </c>
      <c r="B176" s="1">
        <v>96.0</v>
      </c>
    </row>
    <row r="177" ht="14.25" customHeight="1">
      <c r="A177" s="1">
        <v>7.2</v>
      </c>
      <c r="B177" s="1">
        <v>107.0</v>
      </c>
    </row>
    <row r="178" ht="14.25" customHeight="1">
      <c r="A178" s="1">
        <v>6.7</v>
      </c>
      <c r="B178" s="1">
        <v>92.0</v>
      </c>
    </row>
    <row r="179" ht="14.25" customHeight="1">
      <c r="A179" s="1">
        <v>8.1</v>
      </c>
      <c r="B179" s="1">
        <v>115.0</v>
      </c>
    </row>
    <row r="180" ht="14.25" customHeight="1">
      <c r="A180" s="1">
        <v>7.6</v>
      </c>
      <c r="B180" s="1">
        <v>92.0</v>
      </c>
    </row>
    <row r="181" ht="14.25" customHeight="1">
      <c r="A181" s="1">
        <v>7.4</v>
      </c>
      <c r="B181" s="1">
        <v>117.0</v>
      </c>
    </row>
    <row r="182" ht="14.25" customHeight="1">
      <c r="A182" s="1">
        <v>7.6</v>
      </c>
      <c r="B182" s="1">
        <v>146.0</v>
      </c>
    </row>
    <row r="183" ht="14.25" customHeight="1">
      <c r="A183" s="1">
        <v>5.5</v>
      </c>
      <c r="B183" s="1">
        <v>115.0</v>
      </c>
    </row>
    <row r="184" ht="14.25" customHeight="1">
      <c r="A184" s="1">
        <v>6.7</v>
      </c>
      <c r="B184" s="1">
        <v>94.0</v>
      </c>
    </row>
    <row r="185" ht="14.25" customHeight="1">
      <c r="A185" s="1">
        <v>6.5</v>
      </c>
      <c r="B185" s="1">
        <v>116.0</v>
      </c>
    </row>
    <row r="186" ht="14.25" customHeight="1">
      <c r="A186" s="1">
        <v>6.6</v>
      </c>
      <c r="B186" s="1">
        <v>147.0</v>
      </c>
    </row>
    <row r="187" ht="14.25" customHeight="1">
      <c r="A187" s="1">
        <v>6.7</v>
      </c>
      <c r="B187" s="1">
        <v>90.0</v>
      </c>
    </row>
    <row r="188" ht="14.25" customHeight="1">
      <c r="A188" s="1">
        <v>6.4</v>
      </c>
      <c r="B188" s="1">
        <v>101.0</v>
      </c>
    </row>
    <row r="189" ht="14.25" customHeight="1">
      <c r="A189" s="1">
        <v>5.8</v>
      </c>
      <c r="B189" s="1">
        <v>138.0</v>
      </c>
    </row>
    <row r="190" ht="14.25" customHeight="1">
      <c r="A190" s="1">
        <v>7.4</v>
      </c>
      <c r="B190" s="1">
        <v>107.0</v>
      </c>
    </row>
    <row r="191" ht="14.25" customHeight="1">
      <c r="A191" s="1">
        <v>7.8</v>
      </c>
      <c r="B191" s="1">
        <v>142.0</v>
      </c>
    </row>
    <row r="192" ht="14.25" customHeight="1">
      <c r="A192" s="1">
        <v>6.6</v>
      </c>
      <c r="B192" s="1">
        <v>165.0</v>
      </c>
    </row>
    <row r="193" ht="14.25" customHeight="1">
      <c r="A193" s="1">
        <v>4.9</v>
      </c>
      <c r="B193" s="1">
        <v>100.0</v>
      </c>
    </row>
    <row r="194" ht="14.25" customHeight="1">
      <c r="A194" s="1">
        <v>6.5</v>
      </c>
      <c r="B194" s="1">
        <v>82.0</v>
      </c>
    </row>
    <row r="195" ht="14.25" customHeight="1">
      <c r="A195" s="1">
        <v>6.2</v>
      </c>
      <c r="B195" s="1">
        <v>98.0</v>
      </c>
    </row>
    <row r="196" ht="14.25" customHeight="1">
      <c r="A196" s="1">
        <v>7.3</v>
      </c>
      <c r="B196" s="1">
        <v>95.0</v>
      </c>
    </row>
    <row r="197" ht="14.25" customHeight="1">
      <c r="A197" s="1">
        <v>7.5</v>
      </c>
      <c r="B197" s="1">
        <v>159.0</v>
      </c>
    </row>
    <row r="198" ht="14.25" customHeight="1">
      <c r="A198" s="1">
        <v>5.6</v>
      </c>
      <c r="B198" s="1">
        <v>96.0</v>
      </c>
    </row>
    <row r="199" ht="14.25" customHeight="1">
      <c r="A199" s="1">
        <v>8.1</v>
      </c>
      <c r="B199" s="1">
        <v>143.0</v>
      </c>
    </row>
    <row r="200" ht="14.25" customHeight="1">
      <c r="A200" s="1">
        <v>6.7</v>
      </c>
      <c r="B200" s="1">
        <v>123.0</v>
      </c>
    </row>
    <row r="201" ht="14.25" customHeight="1">
      <c r="A201" s="1">
        <v>6.6</v>
      </c>
      <c r="B201" s="1">
        <v>174.0</v>
      </c>
    </row>
    <row r="202" ht="14.25" customHeight="1">
      <c r="A202" s="1">
        <v>6.4</v>
      </c>
      <c r="B202" s="1">
        <v>101.0</v>
      </c>
    </row>
    <row r="203" ht="14.25" customHeight="1">
      <c r="A203" s="1">
        <v>7.5</v>
      </c>
      <c r="B203" s="1">
        <v>134.0</v>
      </c>
    </row>
    <row r="204" ht="14.25" customHeight="1">
      <c r="A204" s="1">
        <v>7.3</v>
      </c>
      <c r="B204" s="1">
        <v>132.0</v>
      </c>
    </row>
    <row r="205" ht="14.25" customHeight="1">
      <c r="A205" s="1">
        <v>7.5</v>
      </c>
      <c r="B205" s="1">
        <v>129.0</v>
      </c>
    </row>
    <row r="206" ht="14.25" customHeight="1">
      <c r="A206" s="1">
        <v>5.8</v>
      </c>
      <c r="B206" s="1">
        <v>106.0</v>
      </c>
    </row>
    <row r="207" ht="14.25" customHeight="1">
      <c r="A207" s="1">
        <v>7.5</v>
      </c>
      <c r="B207" s="1">
        <v>113.0</v>
      </c>
    </row>
    <row r="208" ht="14.25" customHeight="1">
      <c r="A208" s="1">
        <v>6.6</v>
      </c>
      <c r="B208" s="1">
        <v>102.0</v>
      </c>
    </row>
    <row r="209" ht="14.25" customHeight="1">
      <c r="A209" s="1">
        <v>6.7</v>
      </c>
      <c r="B209" s="1">
        <v>135.0</v>
      </c>
    </row>
    <row r="210" ht="14.25" customHeight="1">
      <c r="A210" s="1">
        <v>3.7</v>
      </c>
      <c r="B210" s="1">
        <v>125.0</v>
      </c>
    </row>
    <row r="211" ht="14.25" customHeight="1">
      <c r="A211" s="1">
        <v>6.0</v>
      </c>
      <c r="B211" s="1">
        <v>110.0</v>
      </c>
    </row>
    <row r="212" ht="14.25" customHeight="1">
      <c r="A212" s="1">
        <v>6.4</v>
      </c>
      <c r="B212" s="1">
        <v>124.0</v>
      </c>
    </row>
    <row r="213" ht="14.25" customHeight="1">
      <c r="A213" s="1">
        <v>6.1</v>
      </c>
      <c r="B213" s="1">
        <v>123.0</v>
      </c>
    </row>
    <row r="214" ht="14.25" customHeight="1">
      <c r="A214" s="1">
        <v>6.4</v>
      </c>
      <c r="B214" s="1">
        <v>130.0</v>
      </c>
    </row>
    <row r="215" ht="14.25" customHeight="1">
      <c r="A215" s="1">
        <v>5.6</v>
      </c>
      <c r="B215" s="1">
        <v>92.0</v>
      </c>
    </row>
    <row r="216" ht="14.25" customHeight="1">
      <c r="A216" s="1">
        <v>8.0</v>
      </c>
      <c r="B216" s="1">
        <v>127.0</v>
      </c>
    </row>
    <row r="217" ht="14.25" customHeight="1">
      <c r="A217" s="1">
        <v>5.2</v>
      </c>
      <c r="B217" s="1">
        <v>123.0</v>
      </c>
    </row>
    <row r="218" ht="14.25" customHeight="1">
      <c r="A218" s="1">
        <v>7.1</v>
      </c>
      <c r="B218" s="1">
        <v>123.0</v>
      </c>
    </row>
    <row r="219" ht="14.25" customHeight="1">
      <c r="A219" s="1">
        <v>4.8</v>
      </c>
      <c r="B219" s="1">
        <v>107.0</v>
      </c>
    </row>
    <row r="220" ht="14.25" customHeight="1">
      <c r="A220" s="1">
        <v>7.0</v>
      </c>
      <c r="B220" s="1">
        <v>124.0</v>
      </c>
    </row>
    <row r="221" ht="14.25" customHeight="1">
      <c r="A221" s="1">
        <v>5.4</v>
      </c>
      <c r="B221" s="1">
        <v>77.0</v>
      </c>
    </row>
    <row r="222" ht="14.25" customHeight="1">
      <c r="A222" s="1">
        <v>6.6</v>
      </c>
      <c r="B222" s="1">
        <v>109.0</v>
      </c>
    </row>
    <row r="223" ht="14.25" customHeight="1">
      <c r="A223" s="1">
        <v>6.7</v>
      </c>
      <c r="B223" s="1">
        <v>134.0</v>
      </c>
    </row>
    <row r="224" ht="14.25" customHeight="1">
      <c r="A224" s="1">
        <v>6.2</v>
      </c>
      <c r="B224" s="1">
        <v>117.0</v>
      </c>
    </row>
    <row r="225" ht="14.25" customHeight="1">
      <c r="A225" s="1">
        <v>6.1</v>
      </c>
      <c r="B225" s="1">
        <v>135.0</v>
      </c>
    </row>
    <row r="226" ht="14.25" customHeight="1">
      <c r="A226" s="1">
        <v>5.3</v>
      </c>
      <c r="B226" s="1">
        <v>121.0</v>
      </c>
    </row>
    <row r="227" ht="14.25" customHeight="1">
      <c r="A227" s="1">
        <v>6.3</v>
      </c>
      <c r="B227" s="1">
        <v>117.0</v>
      </c>
    </row>
    <row r="228" ht="14.25" customHeight="1">
      <c r="A228" s="1">
        <v>7.0</v>
      </c>
      <c r="B228" s="1">
        <v>124.0</v>
      </c>
    </row>
    <row r="229" ht="14.25" customHeight="1">
      <c r="A229" s="1">
        <v>7.6</v>
      </c>
      <c r="B229" s="1">
        <v>140.0</v>
      </c>
    </row>
    <row r="230" ht="14.25" customHeight="1">
      <c r="A230" s="1">
        <v>6.7</v>
      </c>
      <c r="B230" s="1">
        <v>142.0</v>
      </c>
    </row>
    <row r="231" ht="14.25" customHeight="1">
      <c r="A231" s="1">
        <v>8.1</v>
      </c>
      <c r="B231" s="1">
        <v>92.0</v>
      </c>
    </row>
    <row r="232" ht="14.25" customHeight="1">
      <c r="A232" s="1">
        <v>6.7</v>
      </c>
      <c r="B232" s="1">
        <v>138.0</v>
      </c>
    </row>
    <row r="233" ht="14.25" customHeight="1">
      <c r="A233" s="1">
        <v>6.5</v>
      </c>
      <c r="B233" s="1">
        <v>136.0</v>
      </c>
    </row>
    <row r="234" ht="14.25" customHeight="1">
      <c r="A234" s="1">
        <v>7.3</v>
      </c>
      <c r="B234" s="1">
        <v>98.0</v>
      </c>
    </row>
    <row r="235" ht="14.25" customHeight="1">
      <c r="A235" s="1">
        <v>6.0</v>
      </c>
      <c r="B235" s="1">
        <v>153.0</v>
      </c>
    </row>
    <row r="236" ht="14.25" customHeight="1">
      <c r="A236" s="1">
        <v>6.1</v>
      </c>
      <c r="B236" s="1">
        <v>120.0</v>
      </c>
    </row>
    <row r="237" ht="14.25" customHeight="1">
      <c r="A237" s="1">
        <v>5.9</v>
      </c>
      <c r="B237" s="1">
        <v>101.0</v>
      </c>
    </row>
    <row r="238" ht="14.25" customHeight="1">
      <c r="A238" s="1">
        <v>7.8</v>
      </c>
      <c r="B238" s="1">
        <v>91.0</v>
      </c>
    </row>
    <row r="239" ht="14.25" customHeight="1">
      <c r="A239" s="1">
        <v>5.8</v>
      </c>
      <c r="B239" s="1">
        <v>108.0</v>
      </c>
    </row>
    <row r="240" ht="14.25" customHeight="1">
      <c r="A240" s="1">
        <v>4.3</v>
      </c>
      <c r="B240" s="1">
        <v>100.0</v>
      </c>
    </row>
    <row r="241" ht="14.25" customHeight="1">
      <c r="A241" s="1">
        <v>6.4</v>
      </c>
      <c r="B241" s="1">
        <v>108.0</v>
      </c>
    </row>
    <row r="242" ht="14.25" customHeight="1">
      <c r="A242" s="1">
        <v>6.1</v>
      </c>
      <c r="B242" s="1">
        <v>114.0</v>
      </c>
    </row>
    <row r="243" ht="14.25" customHeight="1">
      <c r="A243" s="1">
        <v>6.5</v>
      </c>
      <c r="B243" s="1">
        <v>119.0</v>
      </c>
    </row>
    <row r="244" ht="14.25" customHeight="1">
      <c r="A244" s="1">
        <v>7.1</v>
      </c>
      <c r="B244" s="1">
        <v>142.0</v>
      </c>
    </row>
    <row r="245" ht="14.25" customHeight="1">
      <c r="A245" s="1">
        <v>6.4</v>
      </c>
      <c r="B245" s="1">
        <v>125.0</v>
      </c>
    </row>
    <row r="246" ht="14.25" customHeight="1">
      <c r="A246" s="1">
        <v>6.5</v>
      </c>
      <c r="B246" s="1">
        <v>126.0</v>
      </c>
    </row>
    <row r="247" ht="14.25" customHeight="1">
      <c r="A247" s="1">
        <v>6.3</v>
      </c>
      <c r="B247" s="1">
        <v>119.0</v>
      </c>
    </row>
    <row r="248" ht="14.25" customHeight="1">
      <c r="A248" s="1">
        <v>7.5</v>
      </c>
      <c r="B248" s="1">
        <v>170.0</v>
      </c>
    </row>
    <row r="249" ht="14.25" customHeight="1">
      <c r="A249" s="1">
        <v>4.9</v>
      </c>
      <c r="B249" s="1">
        <v>85.0</v>
      </c>
    </row>
    <row r="250" ht="14.25" customHeight="1">
      <c r="A250" s="1">
        <v>5.8</v>
      </c>
      <c r="B250" s="1">
        <v>119.0</v>
      </c>
    </row>
    <row r="251" ht="14.25" customHeight="1">
      <c r="A251" s="1">
        <v>6.2</v>
      </c>
      <c r="B251" s="1">
        <v>102.0</v>
      </c>
    </row>
    <row r="252" ht="14.25" customHeight="1">
      <c r="A252" s="1">
        <v>5.5</v>
      </c>
      <c r="B252" s="1">
        <v>103.0</v>
      </c>
    </row>
    <row r="253" ht="14.25" customHeight="1">
      <c r="A253" s="1">
        <v>5.4</v>
      </c>
      <c r="B253" s="1">
        <v>76.0</v>
      </c>
    </row>
    <row r="254" ht="14.25" customHeight="1">
      <c r="A254" s="1">
        <v>5.8</v>
      </c>
      <c r="B254" s="1">
        <v>120.0</v>
      </c>
    </row>
    <row r="255" ht="14.25" customHeight="1">
      <c r="A255" s="1">
        <v>7.1</v>
      </c>
      <c r="B255" s="1">
        <v>127.0</v>
      </c>
    </row>
    <row r="256" ht="14.25" customHeight="1">
      <c r="A256" s="1">
        <v>5.4</v>
      </c>
      <c r="B256" s="1">
        <v>105.0</v>
      </c>
    </row>
    <row r="257" ht="14.25" customHeight="1">
      <c r="A257" s="1">
        <v>3.7</v>
      </c>
      <c r="B257" s="1">
        <v>121.0</v>
      </c>
    </row>
    <row r="258" ht="14.25" customHeight="1">
      <c r="A258" s="1">
        <v>6.7</v>
      </c>
      <c r="B258" s="1">
        <v>114.0</v>
      </c>
    </row>
    <row r="259" ht="14.25" customHeight="1">
      <c r="A259" s="1">
        <v>7.2</v>
      </c>
      <c r="B259" s="1">
        <v>129.0</v>
      </c>
    </row>
    <row r="260" ht="14.25" customHeight="1">
      <c r="A260" s="1">
        <v>8.8</v>
      </c>
      <c r="B260" s="1">
        <v>171.0</v>
      </c>
    </row>
    <row r="261" ht="14.25" customHeight="1">
      <c r="A261" s="1">
        <v>5.8</v>
      </c>
      <c r="B261" s="1">
        <v>120.0</v>
      </c>
    </row>
    <row r="262" ht="14.25" customHeight="1">
      <c r="A262" s="1">
        <v>6.8</v>
      </c>
      <c r="B262" s="1">
        <v>165.0</v>
      </c>
    </row>
    <row r="263" ht="14.25" customHeight="1">
      <c r="A263" s="1">
        <v>3.8</v>
      </c>
      <c r="B263" s="1">
        <v>82.0</v>
      </c>
    </row>
    <row r="264" ht="14.25" customHeight="1">
      <c r="A264" s="1">
        <v>7.1</v>
      </c>
      <c r="B264" s="1">
        <v>115.0</v>
      </c>
    </row>
    <row r="265" ht="14.25" customHeight="1">
      <c r="A265" s="1">
        <v>7.2</v>
      </c>
      <c r="B265" s="1">
        <v>194.0</v>
      </c>
    </row>
    <row r="266" ht="14.25" customHeight="1">
      <c r="A266" s="1">
        <v>5.9</v>
      </c>
      <c r="B266" s="1">
        <v>84.0</v>
      </c>
    </row>
    <row r="267" ht="14.25" customHeight="1">
      <c r="A267" s="1">
        <v>7.1</v>
      </c>
      <c r="B267" s="1">
        <v>97.0</v>
      </c>
    </row>
    <row r="268" ht="14.25" customHeight="1">
      <c r="A268" s="1">
        <v>8.1</v>
      </c>
      <c r="B268" s="1">
        <v>151.0</v>
      </c>
    </row>
    <row r="269" ht="14.25" customHeight="1">
      <c r="A269" s="1">
        <v>6.9</v>
      </c>
      <c r="B269" s="1">
        <v>136.0</v>
      </c>
    </row>
    <row r="270" ht="14.25" customHeight="1">
      <c r="A270" s="1">
        <v>4.4</v>
      </c>
      <c r="B270" s="1">
        <v>104.0</v>
      </c>
    </row>
    <row r="271" ht="14.25" customHeight="1">
      <c r="A271" s="1">
        <v>6.5</v>
      </c>
      <c r="B271" s="1">
        <v>127.0</v>
      </c>
    </row>
    <row r="272" ht="14.25" customHeight="1">
      <c r="A272" s="1">
        <v>8.5</v>
      </c>
      <c r="B272" s="1">
        <v>171.0</v>
      </c>
    </row>
    <row r="273" ht="14.25" customHeight="1">
      <c r="A273" s="1">
        <v>7.7</v>
      </c>
      <c r="B273" s="1">
        <v>145.0</v>
      </c>
    </row>
    <row r="274" ht="14.25" customHeight="1">
      <c r="A274" s="1">
        <v>7.4</v>
      </c>
      <c r="B274" s="1">
        <v>174.0</v>
      </c>
    </row>
    <row r="275" ht="14.25" customHeight="1">
      <c r="A275" s="1">
        <v>8.0</v>
      </c>
      <c r="B275" s="1">
        <v>144.0</v>
      </c>
    </row>
    <row r="276" ht="14.25" customHeight="1">
      <c r="A276" s="1">
        <v>5.7</v>
      </c>
      <c r="B276" s="1">
        <v>119.0</v>
      </c>
    </row>
    <row r="277" ht="14.25" customHeight="1">
      <c r="A277" s="1">
        <v>8.5</v>
      </c>
      <c r="B277" s="1">
        <v>153.0</v>
      </c>
    </row>
    <row r="278" ht="14.25" customHeight="1">
      <c r="A278" s="1">
        <v>7.0</v>
      </c>
      <c r="B278" s="1">
        <v>140.0</v>
      </c>
    </row>
    <row r="279" ht="14.25" customHeight="1">
      <c r="A279" s="1">
        <v>7.8</v>
      </c>
      <c r="B279" s="1">
        <v>176.0</v>
      </c>
    </row>
    <row r="280" ht="14.25" customHeight="1">
      <c r="A280" s="1">
        <v>7.2</v>
      </c>
      <c r="B280" s="1">
        <v>141.0</v>
      </c>
    </row>
    <row r="281" ht="14.25" customHeight="1">
      <c r="A281" s="1">
        <v>6.4</v>
      </c>
      <c r="B281" s="1">
        <v>106.0</v>
      </c>
    </row>
    <row r="282" ht="14.25" customHeight="1">
      <c r="A282" s="1">
        <v>5.5</v>
      </c>
      <c r="B282" s="1">
        <v>98.0</v>
      </c>
    </row>
    <row r="283" ht="14.25" customHeight="1">
      <c r="A283" s="1">
        <v>6.7</v>
      </c>
      <c r="B283" s="1">
        <v>116.0</v>
      </c>
    </row>
    <row r="284" ht="14.25" customHeight="1">
      <c r="A284" s="1">
        <v>6.1</v>
      </c>
      <c r="B284" s="1">
        <v>115.0</v>
      </c>
    </row>
    <row r="285" ht="14.25" customHeight="1">
      <c r="A285" s="1">
        <v>8.5</v>
      </c>
      <c r="B285" s="1">
        <v>165.0</v>
      </c>
    </row>
    <row r="286" ht="14.25" customHeight="1">
      <c r="A286" s="1">
        <v>6.9</v>
      </c>
      <c r="B286" s="1">
        <v>91.0</v>
      </c>
    </row>
    <row r="287" ht="14.25" customHeight="1">
      <c r="A287" s="1">
        <v>7.3</v>
      </c>
      <c r="B287" s="1">
        <v>78.0</v>
      </c>
    </row>
    <row r="288" ht="14.25" customHeight="1">
      <c r="A288" s="1">
        <v>6.7</v>
      </c>
      <c r="B288" s="1">
        <v>103.0</v>
      </c>
    </row>
    <row r="289" ht="14.25" customHeight="1">
      <c r="A289" s="1">
        <v>6.9</v>
      </c>
      <c r="B289" s="1">
        <v>131.0</v>
      </c>
    </row>
    <row r="290" ht="14.25" customHeight="1">
      <c r="A290" s="1">
        <v>5.1</v>
      </c>
      <c r="B290" s="1">
        <v>104.0</v>
      </c>
    </row>
    <row r="291" ht="14.25" customHeight="1">
      <c r="A291" s="1">
        <v>6.8</v>
      </c>
      <c r="B291" s="1">
        <v>101.0</v>
      </c>
    </row>
    <row r="292" ht="14.25" customHeight="1">
      <c r="A292" s="1">
        <v>5.8</v>
      </c>
      <c r="B292" s="1">
        <v>111.0</v>
      </c>
    </row>
    <row r="293" ht="14.25" customHeight="1">
      <c r="A293" s="1">
        <v>6.7</v>
      </c>
      <c r="B293" s="1">
        <v>102.0</v>
      </c>
    </row>
    <row r="294" ht="14.25" customHeight="1">
      <c r="A294" s="1">
        <v>6.0</v>
      </c>
      <c r="B294" s="1">
        <v>103.0</v>
      </c>
    </row>
    <row r="295" ht="14.25" customHeight="1">
      <c r="A295" s="1">
        <v>5.7</v>
      </c>
      <c r="B295" s="1">
        <v>121.0</v>
      </c>
    </row>
    <row r="296" ht="14.25" customHeight="1">
      <c r="A296" s="1">
        <v>8.0</v>
      </c>
      <c r="B296" s="1">
        <v>143.0</v>
      </c>
    </row>
    <row r="297" ht="14.25" customHeight="1">
      <c r="A297" s="1">
        <v>8.2</v>
      </c>
      <c r="B297" s="1">
        <v>240.0</v>
      </c>
    </row>
    <row r="298" ht="14.25" customHeight="1">
      <c r="A298" s="1">
        <v>5.4</v>
      </c>
      <c r="B298" s="1">
        <v>121.0</v>
      </c>
    </row>
    <row r="299" ht="14.25" customHeight="1">
      <c r="A299" s="1">
        <v>7.2</v>
      </c>
      <c r="B299" s="1">
        <v>129.0</v>
      </c>
    </row>
    <row r="300" ht="14.25" customHeight="1">
      <c r="A300" s="1">
        <v>7.5</v>
      </c>
      <c r="B300" s="1">
        <v>172.0</v>
      </c>
    </row>
    <row r="301" ht="14.25" customHeight="1">
      <c r="A301" s="1">
        <v>7.0</v>
      </c>
      <c r="B301" s="1">
        <v>101.0</v>
      </c>
    </row>
    <row r="302" ht="14.25" customHeight="1">
      <c r="A302" s="1">
        <v>3.3</v>
      </c>
      <c r="B302" s="1">
        <v>87.0</v>
      </c>
    </row>
    <row r="303" ht="14.25" customHeight="1">
      <c r="A303" s="1">
        <v>6.0</v>
      </c>
      <c r="B303" s="1">
        <v>101.0</v>
      </c>
    </row>
    <row r="304" ht="14.25" customHeight="1">
      <c r="A304" s="1">
        <v>7.1</v>
      </c>
      <c r="B304" s="1">
        <v>95.0</v>
      </c>
    </row>
    <row r="305" ht="14.25" customHeight="1">
      <c r="A305" s="1">
        <v>5.4</v>
      </c>
      <c r="B305" s="1">
        <v>102.0</v>
      </c>
    </row>
    <row r="306" ht="14.25" customHeight="1">
      <c r="A306" s="1">
        <v>6.1</v>
      </c>
      <c r="B306" s="1">
        <v>131.0</v>
      </c>
    </row>
    <row r="307" ht="14.25" customHeight="1">
      <c r="A307" s="1">
        <v>5.3</v>
      </c>
      <c r="B307" s="1">
        <v>114.0</v>
      </c>
    </row>
    <row r="308" ht="14.25" customHeight="1">
      <c r="A308" s="1">
        <v>2.2</v>
      </c>
      <c r="B308" s="1">
        <v>94.0</v>
      </c>
    </row>
    <row r="309" ht="14.25" customHeight="1">
      <c r="A309" s="1">
        <v>7.0</v>
      </c>
      <c r="B309" s="1">
        <v>122.0</v>
      </c>
    </row>
    <row r="310" ht="14.25" customHeight="1">
      <c r="A310" s="1">
        <v>3.8</v>
      </c>
      <c r="B310" s="1">
        <v>95.0</v>
      </c>
    </row>
    <row r="311" ht="14.25" customHeight="1">
      <c r="A311" s="1">
        <v>6.9</v>
      </c>
      <c r="B311" s="1">
        <v>115.0</v>
      </c>
    </row>
    <row r="312" ht="14.25" customHeight="1">
      <c r="A312" s="1">
        <v>7.2</v>
      </c>
      <c r="B312" s="1">
        <v>88.0</v>
      </c>
    </row>
    <row r="313" ht="14.25" customHeight="1">
      <c r="A313" s="1">
        <v>7.3</v>
      </c>
      <c r="B313" s="1">
        <v>110.0</v>
      </c>
    </row>
    <row r="314" ht="14.25" customHeight="1">
      <c r="A314" s="1">
        <v>6.3</v>
      </c>
      <c r="B314" s="1">
        <v>130.0</v>
      </c>
    </row>
    <row r="315" ht="14.25" customHeight="1">
      <c r="A315" s="1">
        <v>7.5</v>
      </c>
      <c r="B315" s="1">
        <v>216.0</v>
      </c>
    </row>
    <row r="316" ht="14.25" customHeight="1">
      <c r="A316" s="1">
        <v>7.6</v>
      </c>
      <c r="B316" s="1">
        <v>146.0</v>
      </c>
    </row>
    <row r="317" ht="14.25" customHeight="1">
      <c r="A317" s="1">
        <v>6.8</v>
      </c>
      <c r="B317" s="1">
        <v>85.0</v>
      </c>
    </row>
    <row r="318" ht="14.25" customHeight="1">
      <c r="A318" s="1">
        <v>5.2</v>
      </c>
      <c r="B318" s="1">
        <v>93.0</v>
      </c>
    </row>
    <row r="319" ht="14.25" customHeight="1">
      <c r="A319" s="1">
        <v>7.7</v>
      </c>
      <c r="B319" s="1">
        <v>152.0</v>
      </c>
    </row>
    <row r="320" ht="14.25" customHeight="1">
      <c r="A320" s="1">
        <v>6.2</v>
      </c>
      <c r="B320" s="1">
        <v>85.0</v>
      </c>
    </row>
    <row r="321" ht="14.25" customHeight="1">
      <c r="A321" s="1">
        <v>7.7</v>
      </c>
      <c r="B321" s="1">
        <v>126.0</v>
      </c>
    </row>
    <row r="322" ht="14.25" customHeight="1">
      <c r="A322" s="1">
        <v>4.3</v>
      </c>
      <c r="B322" s="1">
        <v>146.0</v>
      </c>
    </row>
    <row r="323" ht="14.25" customHeight="1">
      <c r="A323" s="1">
        <v>6.9</v>
      </c>
      <c r="B323" s="1">
        <v>89.0</v>
      </c>
    </row>
    <row r="324" ht="14.25" customHeight="1">
      <c r="A324" s="1">
        <v>6.6</v>
      </c>
      <c r="B324" s="1">
        <v>88.0</v>
      </c>
    </row>
    <row r="325" ht="14.25" customHeight="1">
      <c r="A325" s="1">
        <v>7.0</v>
      </c>
      <c r="B325" s="1">
        <v>105.0</v>
      </c>
    </row>
    <row r="326" ht="14.25" customHeight="1">
      <c r="A326" s="1">
        <v>6.7</v>
      </c>
      <c r="B326" s="1">
        <v>135.0</v>
      </c>
    </row>
    <row r="327" ht="14.25" customHeight="1">
      <c r="A327" s="1">
        <v>8.2</v>
      </c>
      <c r="B327" s="1">
        <v>100.0</v>
      </c>
    </row>
    <row r="328" ht="14.25" customHeight="1">
      <c r="A328" s="1">
        <v>8.9</v>
      </c>
      <c r="B328" s="1">
        <v>192.0</v>
      </c>
    </row>
    <row r="329" ht="14.25" customHeight="1">
      <c r="A329" s="1">
        <v>8.7</v>
      </c>
      <c r="B329" s="1">
        <v>172.0</v>
      </c>
    </row>
    <row r="330" ht="14.25" customHeight="1">
      <c r="A330" s="1">
        <v>5.5</v>
      </c>
      <c r="B330" s="1">
        <v>102.0</v>
      </c>
    </row>
    <row r="331" ht="14.25" customHeight="1">
      <c r="A331" s="1">
        <v>5.7</v>
      </c>
      <c r="B331" s="1">
        <v>100.0</v>
      </c>
    </row>
    <row r="332" ht="14.25" customHeight="1">
      <c r="A332" s="1">
        <v>6.3</v>
      </c>
      <c r="B332" s="1">
        <v>119.0</v>
      </c>
    </row>
    <row r="333" ht="14.25" customHeight="1">
      <c r="A333" s="1">
        <v>5.9</v>
      </c>
      <c r="B333" s="1">
        <v>92.0</v>
      </c>
    </row>
    <row r="334" ht="14.25" customHeight="1">
      <c r="A334" s="1">
        <v>7.6</v>
      </c>
      <c r="B334" s="1">
        <v>105.0</v>
      </c>
    </row>
    <row r="335" ht="14.25" customHeight="1">
      <c r="A335" s="1">
        <v>6.6</v>
      </c>
      <c r="B335" s="1">
        <v>107.0</v>
      </c>
    </row>
    <row r="336" ht="14.25" customHeight="1">
      <c r="A336" s="1">
        <v>5.3</v>
      </c>
      <c r="B336" s="1">
        <v>101.0</v>
      </c>
    </row>
    <row r="337" ht="14.25" customHeight="1">
      <c r="A337" s="1">
        <v>6.0</v>
      </c>
      <c r="B337" s="1">
        <v>137.0</v>
      </c>
    </row>
    <row r="338" ht="14.25" customHeight="1">
      <c r="A338" s="1">
        <v>8.0</v>
      </c>
      <c r="B338" s="1">
        <v>115.0</v>
      </c>
    </row>
    <row r="339" ht="14.25" customHeight="1">
      <c r="A339" s="1">
        <v>5.6</v>
      </c>
      <c r="B339" s="1">
        <v>124.0</v>
      </c>
    </row>
    <row r="340" ht="14.25" customHeight="1">
      <c r="A340" s="1">
        <v>5.9</v>
      </c>
      <c r="B340" s="1">
        <v>118.0</v>
      </c>
    </row>
    <row r="341" ht="14.25" customHeight="1">
      <c r="A341" s="1">
        <v>7.3</v>
      </c>
      <c r="B341" s="1">
        <v>98.0</v>
      </c>
    </row>
    <row r="342" ht="14.25" customHeight="1">
      <c r="A342" s="1">
        <v>7.9</v>
      </c>
      <c r="B342" s="1">
        <v>82.0</v>
      </c>
    </row>
    <row r="343" ht="14.25" customHeight="1">
      <c r="A343" s="1">
        <v>6.8</v>
      </c>
      <c r="B343" s="1">
        <v>98.0</v>
      </c>
    </row>
    <row r="344" ht="14.25" customHeight="1">
      <c r="A344" s="1">
        <v>6.6</v>
      </c>
      <c r="B344" s="1">
        <v>90.0</v>
      </c>
    </row>
    <row r="345" ht="14.25" customHeight="1">
      <c r="A345" s="1">
        <v>6.6</v>
      </c>
      <c r="B345" s="1">
        <v>130.0</v>
      </c>
    </row>
    <row r="346" ht="14.25" customHeight="1">
      <c r="A346" s="1">
        <v>7.0</v>
      </c>
      <c r="B346" s="1">
        <v>90.0</v>
      </c>
    </row>
    <row r="347" ht="14.25" customHeight="1">
      <c r="A347" s="1">
        <v>7.0</v>
      </c>
      <c r="B347" s="1">
        <v>94.0</v>
      </c>
    </row>
    <row r="348" ht="14.25" customHeight="1">
      <c r="A348" s="1">
        <v>7.3</v>
      </c>
      <c r="B348" s="1">
        <v>114.0</v>
      </c>
    </row>
    <row r="349" ht="14.25" customHeight="1">
      <c r="A349" s="1">
        <v>5.5</v>
      </c>
      <c r="B349" s="1">
        <v>94.0</v>
      </c>
    </row>
    <row r="350" ht="14.25" customHeight="1">
      <c r="A350" s="1">
        <v>8.5</v>
      </c>
      <c r="B350" s="1">
        <v>151.0</v>
      </c>
    </row>
    <row r="351" ht="14.25" customHeight="1">
      <c r="A351" s="1">
        <v>7.5</v>
      </c>
      <c r="B351" s="1">
        <v>88.0</v>
      </c>
    </row>
    <row r="352" ht="14.25" customHeight="1">
      <c r="A352" s="1">
        <v>7.0</v>
      </c>
      <c r="B352" s="1">
        <v>121.0</v>
      </c>
    </row>
    <row r="353" ht="14.25" customHeight="1">
      <c r="A353" s="1">
        <v>7.8</v>
      </c>
      <c r="B353" s="1">
        <v>158.0</v>
      </c>
    </row>
    <row r="354" ht="14.25" customHeight="1">
      <c r="A354" s="1">
        <v>7.6</v>
      </c>
      <c r="B354" s="1">
        <v>128.0</v>
      </c>
    </row>
    <row r="355" ht="14.25" customHeight="1">
      <c r="A355" s="1">
        <v>7.6</v>
      </c>
      <c r="B355" s="1">
        <v>128.0</v>
      </c>
    </row>
    <row r="356" ht="14.25" customHeight="1">
      <c r="A356" s="1">
        <v>6.8</v>
      </c>
      <c r="B356" s="1">
        <v>95.0</v>
      </c>
    </row>
    <row r="357" ht="14.25" customHeight="1">
      <c r="A357" s="1">
        <v>5.0</v>
      </c>
      <c r="B357" s="1">
        <v>92.0</v>
      </c>
    </row>
    <row r="358" ht="14.25" customHeight="1">
      <c r="A358" s="1">
        <v>7.1</v>
      </c>
      <c r="B358" s="1">
        <v>121.0</v>
      </c>
    </row>
    <row r="359" ht="14.25" customHeight="1">
      <c r="A359" s="1">
        <v>5.5</v>
      </c>
      <c r="B359" s="1">
        <v>113.0</v>
      </c>
    </row>
    <row r="360" ht="14.25" customHeight="1">
      <c r="A360" s="1">
        <v>5.6</v>
      </c>
      <c r="B360" s="1">
        <v>106.0</v>
      </c>
    </row>
    <row r="361" ht="14.25" customHeight="1">
      <c r="A361" s="1">
        <v>7.1</v>
      </c>
      <c r="B361" s="1">
        <v>146.0</v>
      </c>
    </row>
    <row r="362" ht="14.25" customHeight="1">
      <c r="A362" s="1">
        <v>4.9</v>
      </c>
      <c r="B362" s="1">
        <v>88.0</v>
      </c>
    </row>
    <row r="363" ht="14.25" customHeight="1">
      <c r="A363" s="1">
        <v>7.4</v>
      </c>
      <c r="B363" s="1">
        <v>150.0</v>
      </c>
    </row>
    <row r="364" ht="14.25" customHeight="1">
      <c r="A364" s="1">
        <v>5.7</v>
      </c>
      <c r="B364" s="1">
        <v>119.0</v>
      </c>
    </row>
    <row r="365" ht="14.25" customHeight="1">
      <c r="A365" s="1">
        <v>6.4</v>
      </c>
      <c r="B365" s="1">
        <v>128.0</v>
      </c>
    </row>
    <row r="366" ht="14.25" customHeight="1">
      <c r="A366" s="1">
        <v>5.9</v>
      </c>
      <c r="B366" s="1">
        <v>106.0</v>
      </c>
    </row>
    <row r="367" ht="14.25" customHeight="1">
      <c r="A367" s="1">
        <v>5.5</v>
      </c>
      <c r="B367" s="1">
        <v>117.0</v>
      </c>
    </row>
    <row r="368" ht="14.25" customHeight="1">
      <c r="A368" s="1">
        <v>6.9</v>
      </c>
      <c r="B368" s="1">
        <v>129.0</v>
      </c>
    </row>
    <row r="369" ht="14.25" customHeight="1">
      <c r="A369" s="1">
        <v>6.2</v>
      </c>
      <c r="B369" s="1">
        <v>116.0</v>
      </c>
    </row>
    <row r="370" ht="14.25" customHeight="1">
      <c r="A370" s="1">
        <v>7.0</v>
      </c>
      <c r="B370" s="1">
        <v>114.0</v>
      </c>
    </row>
    <row r="371" ht="14.25" customHeight="1">
      <c r="A371" s="1">
        <v>5.6</v>
      </c>
      <c r="B371" s="1">
        <v>114.0</v>
      </c>
    </row>
    <row r="372" ht="14.25" customHeight="1">
      <c r="A372" s="1">
        <v>7.0</v>
      </c>
      <c r="B372" s="1">
        <v>96.0</v>
      </c>
    </row>
    <row r="373" ht="14.25" customHeight="1">
      <c r="A373" s="1">
        <v>6.8</v>
      </c>
      <c r="B373" s="1">
        <v>132.0</v>
      </c>
    </row>
    <row r="374" ht="14.25" customHeight="1">
      <c r="A374" s="1">
        <v>5.4</v>
      </c>
      <c r="B374" s="1">
        <v>104.0</v>
      </c>
    </row>
    <row r="375" ht="14.25" customHeight="1">
      <c r="A375" s="1">
        <v>6.1</v>
      </c>
      <c r="B375" s="1">
        <v>111.0</v>
      </c>
    </row>
    <row r="376" ht="14.25" customHeight="1">
      <c r="A376" s="1">
        <v>6.7</v>
      </c>
      <c r="B376" s="1">
        <v>138.0</v>
      </c>
    </row>
    <row r="377" ht="14.25" customHeight="1">
      <c r="A377" s="1">
        <v>4.3</v>
      </c>
      <c r="B377" s="1">
        <v>100.0</v>
      </c>
    </row>
    <row r="378" ht="14.25" customHeight="1">
      <c r="A378" s="1">
        <v>6.9</v>
      </c>
      <c r="B378" s="1">
        <v>129.0</v>
      </c>
    </row>
    <row r="379" ht="14.25" customHeight="1">
      <c r="A379" s="1">
        <v>8.0</v>
      </c>
      <c r="B379" s="1">
        <v>144.0</v>
      </c>
    </row>
    <row r="380" ht="14.25" customHeight="1">
      <c r="A380" s="1">
        <v>4.4</v>
      </c>
      <c r="B380" s="1">
        <v>110.0</v>
      </c>
    </row>
    <row r="381" ht="14.25" customHeight="1">
      <c r="A381" s="1">
        <v>7.3</v>
      </c>
      <c r="B381" s="1">
        <v>140.0</v>
      </c>
    </row>
    <row r="382" ht="14.25" customHeight="1">
      <c r="A382" s="1">
        <v>6.3</v>
      </c>
      <c r="B382" s="1">
        <v>113.0</v>
      </c>
    </row>
    <row r="383" ht="14.25" customHeight="1">
      <c r="A383" s="1">
        <v>6.7</v>
      </c>
      <c r="B383" s="1">
        <v>106.0</v>
      </c>
    </row>
    <row r="384" ht="14.25" customHeight="1">
      <c r="A384" s="1">
        <v>7.7</v>
      </c>
      <c r="B384" s="1">
        <v>143.0</v>
      </c>
    </row>
    <row r="385" ht="14.25" customHeight="1">
      <c r="A385" s="1">
        <v>6.5</v>
      </c>
      <c r="B385" s="1">
        <v>108.0</v>
      </c>
    </row>
    <row r="386" ht="14.25" customHeight="1">
      <c r="A386" s="1">
        <v>7.8</v>
      </c>
      <c r="B386" s="1">
        <v>108.0</v>
      </c>
    </row>
    <row r="387" ht="14.25" customHeight="1">
      <c r="A387" s="1">
        <v>6.4</v>
      </c>
      <c r="B387" s="1">
        <v>124.0</v>
      </c>
    </row>
    <row r="388" ht="14.25" customHeight="1">
      <c r="A388" s="1">
        <v>7.8</v>
      </c>
      <c r="B388" s="1">
        <v>116.0</v>
      </c>
    </row>
    <row r="389" ht="14.25" customHeight="1">
      <c r="A389" s="1">
        <v>5.8</v>
      </c>
      <c r="B389" s="1">
        <v>110.0</v>
      </c>
    </row>
    <row r="390" ht="14.25" customHeight="1">
      <c r="A390" s="1">
        <v>7.1</v>
      </c>
      <c r="B390" s="1">
        <v>91.0</v>
      </c>
    </row>
    <row r="391" ht="14.25" customHeight="1">
      <c r="A391" s="1">
        <v>7.1</v>
      </c>
      <c r="B391" s="1">
        <v>107.0</v>
      </c>
    </row>
    <row r="392" ht="14.25" customHeight="1">
      <c r="A392" s="1">
        <v>6.8</v>
      </c>
      <c r="B392" s="1">
        <v>115.0</v>
      </c>
    </row>
    <row r="393" ht="14.25" customHeight="1">
      <c r="A393" s="1">
        <v>4.8</v>
      </c>
      <c r="B393" s="1">
        <v>100.0</v>
      </c>
    </row>
    <row r="394" ht="14.25" customHeight="1">
      <c r="A394" s="1">
        <v>6.2</v>
      </c>
      <c r="B394" s="1">
        <v>104.0</v>
      </c>
    </row>
    <row r="395" ht="14.25" customHeight="1">
      <c r="A395" s="1">
        <v>6.9</v>
      </c>
      <c r="B395" s="1">
        <v>138.0</v>
      </c>
    </row>
    <row r="396" ht="14.25" customHeight="1">
      <c r="A396" s="1">
        <v>7.3</v>
      </c>
      <c r="B396" s="1">
        <v>140.0</v>
      </c>
    </row>
    <row r="397" ht="14.25" customHeight="1">
      <c r="A397" s="1">
        <v>6.6</v>
      </c>
      <c r="B397" s="1">
        <v>120.0</v>
      </c>
    </row>
    <row r="398" ht="14.25" customHeight="1">
      <c r="A398" s="1">
        <v>6.9</v>
      </c>
      <c r="B398" s="1">
        <v>122.0</v>
      </c>
    </row>
    <row r="399" ht="14.25" customHeight="1">
      <c r="A399" s="1">
        <v>6.2</v>
      </c>
      <c r="B399" s="1">
        <v>83.0</v>
      </c>
    </row>
    <row r="400" ht="14.25" customHeight="1">
      <c r="A400" s="1">
        <v>6.7</v>
      </c>
      <c r="B400" s="1">
        <v>139.0</v>
      </c>
    </row>
    <row r="401" ht="14.25" customHeight="1">
      <c r="A401" s="1">
        <v>7.6</v>
      </c>
      <c r="B401" s="1">
        <v>131.0</v>
      </c>
    </row>
    <row r="402" ht="14.25" customHeight="1">
      <c r="A402" s="1">
        <v>6.7</v>
      </c>
      <c r="B402" s="1">
        <v>104.0</v>
      </c>
    </row>
    <row r="403" ht="14.25" customHeight="1">
      <c r="A403" s="1">
        <v>6.2</v>
      </c>
      <c r="B403" s="1">
        <v>130.0</v>
      </c>
    </row>
    <row r="404" ht="14.25" customHeight="1">
      <c r="A404" s="1">
        <v>7.3</v>
      </c>
      <c r="B404" s="1">
        <v>145.0</v>
      </c>
    </row>
    <row r="405" ht="14.25" customHeight="1">
      <c r="A405" s="1">
        <v>6.0</v>
      </c>
      <c r="B405" s="1">
        <v>104.0</v>
      </c>
    </row>
    <row r="406" ht="14.25" customHeight="1">
      <c r="A406" s="1">
        <v>7.1</v>
      </c>
      <c r="B406" s="1">
        <v>97.0</v>
      </c>
    </row>
    <row r="407" ht="14.25" customHeight="1">
      <c r="A407" s="1">
        <v>7.1</v>
      </c>
      <c r="B407" s="1">
        <v>178.0</v>
      </c>
    </row>
    <row r="408" ht="14.25" customHeight="1">
      <c r="A408" s="1">
        <v>5.5</v>
      </c>
      <c r="B408" s="1">
        <v>108.0</v>
      </c>
    </row>
    <row r="409" ht="14.25" customHeight="1">
      <c r="A409" s="1">
        <v>5.6</v>
      </c>
      <c r="B409" s="1">
        <v>106.0</v>
      </c>
    </row>
    <row r="410" ht="14.25" customHeight="1">
      <c r="A410" s="1">
        <v>7.5</v>
      </c>
      <c r="B410" s="1">
        <v>112.0</v>
      </c>
    </row>
    <row r="411" ht="14.25" customHeight="1">
      <c r="A411" s="1">
        <v>5.4</v>
      </c>
      <c r="B411" s="1">
        <v>135.0</v>
      </c>
    </row>
    <row r="412" ht="14.25" customHeight="1">
      <c r="A412" s="1">
        <v>4.3</v>
      </c>
      <c r="B412" s="1">
        <v>109.0</v>
      </c>
    </row>
    <row r="413" ht="14.25" customHeight="1">
      <c r="A413" s="1">
        <v>4.9</v>
      </c>
      <c r="B413" s="1">
        <v>86.0</v>
      </c>
    </row>
    <row r="414" ht="14.25" customHeight="1">
      <c r="A414" s="1">
        <v>7.1</v>
      </c>
      <c r="B414" s="1">
        <v>95.0</v>
      </c>
    </row>
    <row r="415" ht="14.25" customHeight="1">
      <c r="A415" s="1">
        <v>6.4</v>
      </c>
      <c r="B415" s="1">
        <v>107.0</v>
      </c>
    </row>
    <row r="416" ht="14.25" customHeight="1">
      <c r="A416" s="1">
        <v>4.3</v>
      </c>
      <c r="B416" s="1">
        <v>82.0</v>
      </c>
    </row>
    <row r="417" ht="14.25" customHeight="1">
      <c r="A417" s="1">
        <v>6.1</v>
      </c>
      <c r="B417" s="1">
        <v>88.0</v>
      </c>
    </row>
    <row r="418" ht="14.25" customHeight="1">
      <c r="A418" s="1">
        <v>7.0</v>
      </c>
      <c r="B418" s="1">
        <v>120.0</v>
      </c>
    </row>
    <row r="419" ht="14.25" customHeight="1">
      <c r="A419" s="1">
        <v>7.7</v>
      </c>
      <c r="B419" s="1">
        <v>162.0</v>
      </c>
    </row>
    <row r="420" ht="14.25" customHeight="1">
      <c r="A420" s="1">
        <v>5.9</v>
      </c>
      <c r="B420" s="1">
        <v>123.0</v>
      </c>
    </row>
    <row r="421" ht="14.25" customHeight="1">
      <c r="A421" s="1">
        <v>6.7</v>
      </c>
      <c r="B421" s="1">
        <v>101.0</v>
      </c>
    </row>
    <row r="422" ht="14.25" customHeight="1">
      <c r="A422" s="1">
        <v>6.5</v>
      </c>
      <c r="B422" s="1">
        <v>113.0</v>
      </c>
    </row>
    <row r="423" ht="14.25" customHeight="1">
      <c r="A423" s="1">
        <v>7.1</v>
      </c>
      <c r="B423" s="1">
        <v>110.0</v>
      </c>
    </row>
    <row r="424" ht="14.25" customHeight="1">
      <c r="A424" s="1">
        <v>7.3</v>
      </c>
      <c r="B424" s="1">
        <v>142.0</v>
      </c>
    </row>
    <row r="425" ht="14.25" customHeight="1">
      <c r="A425" s="1">
        <v>6.5</v>
      </c>
      <c r="B425" s="1">
        <v>102.0</v>
      </c>
    </row>
    <row r="426" ht="14.25" customHeight="1">
      <c r="A426" s="1">
        <v>7.0</v>
      </c>
      <c r="B426" s="1">
        <v>126.0</v>
      </c>
    </row>
    <row r="427" ht="14.25" customHeight="1">
      <c r="A427" s="1">
        <v>6.8</v>
      </c>
      <c r="B427" s="1">
        <v>83.0</v>
      </c>
    </row>
    <row r="428" ht="14.25" customHeight="1">
      <c r="A428" s="1">
        <v>7.2</v>
      </c>
      <c r="B428" s="1">
        <v>85.0</v>
      </c>
    </row>
    <row r="429" ht="14.25" customHeight="1">
      <c r="A429" s="1">
        <v>6.1</v>
      </c>
      <c r="B429" s="1">
        <v>120.0</v>
      </c>
    </row>
    <row r="430" ht="14.25" customHeight="1">
      <c r="A430" s="1">
        <v>6.7</v>
      </c>
      <c r="B430" s="1">
        <v>116.0</v>
      </c>
    </row>
    <row r="431" ht="14.25" customHeight="1">
      <c r="A431" s="1">
        <v>6.4</v>
      </c>
      <c r="B431" s="1">
        <v>113.0</v>
      </c>
    </row>
    <row r="432" ht="14.25" customHeight="1">
      <c r="A432" s="1">
        <v>4.4</v>
      </c>
      <c r="B432" s="1">
        <v>87.0</v>
      </c>
    </row>
    <row r="433" ht="14.25" customHeight="1">
      <c r="A433" s="1">
        <v>5.4</v>
      </c>
      <c r="B433" s="1">
        <v>101.0</v>
      </c>
    </row>
    <row r="434" ht="14.25" customHeight="1">
      <c r="A434" s="1">
        <v>6.5</v>
      </c>
      <c r="B434" s="1">
        <v>110.0</v>
      </c>
    </row>
    <row r="435" ht="14.25" customHeight="1">
      <c r="A435" s="1">
        <v>6.7</v>
      </c>
      <c r="B435" s="1">
        <v>128.0</v>
      </c>
    </row>
    <row r="436" ht="14.25" customHeight="1">
      <c r="A436" s="1">
        <v>8.1</v>
      </c>
      <c r="B436" s="1">
        <v>138.0</v>
      </c>
    </row>
    <row r="437" ht="14.25" customHeight="1">
      <c r="A437" s="1">
        <v>5.6</v>
      </c>
      <c r="B437" s="1">
        <v>88.0</v>
      </c>
    </row>
    <row r="438" ht="14.25" customHeight="1">
      <c r="A438" s="1">
        <v>6.3</v>
      </c>
      <c r="B438" s="1">
        <v>91.0</v>
      </c>
    </row>
    <row r="439" ht="14.25" customHeight="1">
      <c r="A439" s="1">
        <v>7.3</v>
      </c>
      <c r="B439" s="1">
        <v>138.0</v>
      </c>
    </row>
    <row r="440" ht="14.25" customHeight="1">
      <c r="A440" s="1">
        <v>6.1</v>
      </c>
      <c r="B440" s="1">
        <v>99.0</v>
      </c>
    </row>
    <row r="441" ht="14.25" customHeight="1">
      <c r="A441" s="1">
        <v>7.7</v>
      </c>
      <c r="B441" s="1">
        <v>117.0</v>
      </c>
    </row>
    <row r="442" ht="14.25" customHeight="1">
      <c r="A442" s="1">
        <v>6.4</v>
      </c>
      <c r="B442" s="1">
        <v>117.0</v>
      </c>
    </row>
    <row r="443" ht="14.25" customHeight="1">
      <c r="A443" s="1">
        <v>6.8</v>
      </c>
      <c r="B443" s="1">
        <v>123.0</v>
      </c>
    </row>
    <row r="444" ht="14.25" customHeight="1">
      <c r="A444" s="1">
        <v>6.6</v>
      </c>
      <c r="B444" s="1">
        <v>118.0</v>
      </c>
    </row>
    <row r="445" ht="14.25" customHeight="1">
      <c r="A445" s="1">
        <v>7.2</v>
      </c>
      <c r="B445" s="1">
        <v>154.0</v>
      </c>
    </row>
    <row r="446" ht="14.25" customHeight="1">
      <c r="A446" s="1">
        <v>6.9</v>
      </c>
      <c r="B446" s="1">
        <v>118.0</v>
      </c>
    </row>
    <row r="447" ht="14.25" customHeight="1">
      <c r="A447" s="1">
        <v>5.2</v>
      </c>
      <c r="B447" s="1">
        <v>90.0</v>
      </c>
    </row>
    <row r="448" ht="14.25" customHeight="1">
      <c r="A448" s="1">
        <v>4.9</v>
      </c>
      <c r="B448" s="1">
        <v>113.0</v>
      </c>
    </row>
    <row r="449" ht="14.25" customHeight="1">
      <c r="A449" s="1">
        <v>6.3</v>
      </c>
      <c r="B449" s="1">
        <v>88.0</v>
      </c>
    </row>
    <row r="450" ht="14.25" customHeight="1">
      <c r="A450" s="1">
        <v>5.6</v>
      </c>
      <c r="B450" s="1">
        <v>93.0</v>
      </c>
    </row>
    <row r="451" ht="14.25" customHeight="1">
      <c r="A451" s="1">
        <v>5.5</v>
      </c>
      <c r="B451" s="1">
        <v>104.0</v>
      </c>
    </row>
    <row r="452" ht="14.25" customHeight="1">
      <c r="A452" s="1">
        <v>6.7</v>
      </c>
      <c r="B452" s="1">
        <v>135.0</v>
      </c>
    </row>
    <row r="453" ht="14.25" customHeight="1">
      <c r="A453" s="1">
        <v>7.6</v>
      </c>
      <c r="B453" s="1">
        <v>134.0</v>
      </c>
    </row>
    <row r="454" ht="14.25" customHeight="1">
      <c r="A454" s="1">
        <v>5.7</v>
      </c>
      <c r="B454" s="1">
        <v>98.0</v>
      </c>
    </row>
    <row r="455" ht="14.25" customHeight="1">
      <c r="A455" s="1">
        <v>4.6</v>
      </c>
      <c r="B455" s="1">
        <v>80.0</v>
      </c>
    </row>
    <row r="456" ht="14.25" customHeight="1">
      <c r="A456" s="1">
        <v>7.0</v>
      </c>
      <c r="B456" s="1">
        <v>83.0</v>
      </c>
    </row>
    <row r="457" ht="14.25" customHeight="1">
      <c r="A457" s="1">
        <v>5.2</v>
      </c>
      <c r="B457" s="1">
        <v>102.0</v>
      </c>
    </row>
    <row r="458" ht="14.25" customHeight="1">
      <c r="A458" s="1">
        <v>5.1</v>
      </c>
      <c r="B458" s="1">
        <v>130.0</v>
      </c>
    </row>
    <row r="459" ht="14.25" customHeight="1">
      <c r="A459" s="1">
        <v>6.6</v>
      </c>
      <c r="B459" s="1">
        <v>129.0</v>
      </c>
    </row>
    <row r="460" ht="14.25" customHeight="1">
      <c r="A460" s="1">
        <v>6.7</v>
      </c>
      <c r="B460" s="1">
        <v>89.0</v>
      </c>
    </row>
    <row r="461" ht="14.25" customHeight="1">
      <c r="A461" s="1">
        <v>7.3</v>
      </c>
      <c r="B461" s="1">
        <v>74.0</v>
      </c>
    </row>
    <row r="462" ht="14.25" customHeight="1">
      <c r="A462" s="1">
        <v>5.9</v>
      </c>
      <c r="B462" s="1">
        <v>96.0</v>
      </c>
    </row>
    <row r="463" ht="14.25" customHeight="1">
      <c r="A463" s="1">
        <v>5.6</v>
      </c>
      <c r="B463" s="1">
        <v>114.0</v>
      </c>
    </row>
    <row r="464" ht="14.25" customHeight="1">
      <c r="A464" s="1">
        <v>6.5</v>
      </c>
      <c r="B464" s="1">
        <v>99.0</v>
      </c>
    </row>
    <row r="465" ht="14.25" customHeight="1">
      <c r="A465" s="1">
        <v>5.9</v>
      </c>
      <c r="B465" s="1">
        <v>129.0</v>
      </c>
    </row>
    <row r="466" ht="14.25" customHeight="1">
      <c r="A466" s="1">
        <v>7.0</v>
      </c>
      <c r="B466" s="1">
        <v>113.0</v>
      </c>
    </row>
    <row r="467" ht="14.25" customHeight="1">
      <c r="A467" s="1">
        <v>5.3</v>
      </c>
      <c r="B467" s="1">
        <v>90.0</v>
      </c>
    </row>
    <row r="468" ht="14.25" customHeight="1">
      <c r="A468" s="1">
        <v>5.9</v>
      </c>
      <c r="B468" s="1">
        <v>118.0</v>
      </c>
    </row>
    <row r="469" ht="14.25" customHeight="1">
      <c r="A469" s="1">
        <v>6.3</v>
      </c>
      <c r="B469" s="1">
        <v>106.0</v>
      </c>
    </row>
    <row r="470" ht="14.25" customHeight="1">
      <c r="A470" s="1">
        <v>6.3</v>
      </c>
      <c r="B470" s="1">
        <v>89.0</v>
      </c>
    </row>
    <row r="471" ht="14.25" customHeight="1">
      <c r="A471" s="1">
        <v>7.3</v>
      </c>
      <c r="B471" s="1">
        <v>145.0</v>
      </c>
    </row>
    <row r="472" ht="14.25" customHeight="1">
      <c r="A472" s="1">
        <v>5.8</v>
      </c>
      <c r="B472" s="1">
        <v>114.0</v>
      </c>
    </row>
    <row r="473" ht="14.25" customHeight="1">
      <c r="A473" s="1">
        <v>5.2</v>
      </c>
      <c r="B473" s="1">
        <v>87.0</v>
      </c>
    </row>
    <row r="474" ht="14.25" customHeight="1">
      <c r="A474" s="1">
        <v>2.4</v>
      </c>
      <c r="B474" s="1">
        <v>119.0</v>
      </c>
    </row>
    <row r="475" ht="14.25" customHeight="1">
      <c r="A475" s="1">
        <v>5.7</v>
      </c>
      <c r="B475" s="1">
        <v>91.0</v>
      </c>
    </row>
    <row r="476" ht="14.25" customHeight="1">
      <c r="A476" s="1">
        <v>5.8</v>
      </c>
      <c r="B476" s="1">
        <v>118.0</v>
      </c>
    </row>
    <row r="477" ht="14.25" customHeight="1">
      <c r="A477" s="1">
        <v>5.6</v>
      </c>
      <c r="B477" s="1">
        <v>116.0</v>
      </c>
    </row>
    <row r="478" ht="14.25" customHeight="1">
      <c r="A478" s="1">
        <v>6.0</v>
      </c>
      <c r="B478" s="1">
        <v>177.0</v>
      </c>
    </row>
    <row r="479" ht="14.25" customHeight="1">
      <c r="A479" s="1">
        <v>5.8</v>
      </c>
      <c r="B479" s="1">
        <v>97.0</v>
      </c>
    </row>
    <row r="480" ht="14.25" customHeight="1">
      <c r="A480" s="1">
        <v>6.0</v>
      </c>
      <c r="B480" s="1">
        <v>106.0</v>
      </c>
    </row>
    <row r="481" ht="14.25" customHeight="1">
      <c r="A481" s="1">
        <v>5.7</v>
      </c>
      <c r="B481" s="1">
        <v>106.0</v>
      </c>
    </row>
    <row r="482" ht="14.25" customHeight="1">
      <c r="A482" s="1">
        <v>6.0</v>
      </c>
      <c r="B482" s="1">
        <v>94.0</v>
      </c>
    </row>
    <row r="483" ht="14.25" customHeight="1">
      <c r="A483" s="1">
        <v>7.8</v>
      </c>
      <c r="B483" s="1">
        <v>104.0</v>
      </c>
    </row>
    <row r="484" ht="14.25" customHeight="1">
      <c r="A484" s="1">
        <v>4.2</v>
      </c>
      <c r="B484" s="1">
        <v>102.0</v>
      </c>
    </row>
    <row r="485" ht="14.25" customHeight="1">
      <c r="A485" s="1">
        <v>5.6</v>
      </c>
      <c r="B485" s="1">
        <v>105.0</v>
      </c>
    </row>
    <row r="486" ht="14.25" customHeight="1">
      <c r="A486" s="1">
        <v>8.2</v>
      </c>
      <c r="B486" s="1">
        <v>135.0</v>
      </c>
    </row>
    <row r="487" ht="14.25" customHeight="1">
      <c r="A487" s="1">
        <v>8.5</v>
      </c>
      <c r="B487" s="1">
        <v>73.0</v>
      </c>
    </row>
    <row r="488" ht="14.25" customHeight="1">
      <c r="A488" s="1">
        <v>5.8</v>
      </c>
      <c r="B488" s="1">
        <v>94.0</v>
      </c>
    </row>
    <row r="489" ht="14.25" customHeight="1">
      <c r="A489" s="1">
        <v>6.5</v>
      </c>
      <c r="B489" s="1">
        <v>95.0</v>
      </c>
    </row>
    <row r="490" ht="14.25" customHeight="1">
      <c r="A490" s="1">
        <v>7.2</v>
      </c>
      <c r="B490" s="1">
        <v>124.0</v>
      </c>
    </row>
    <row r="491" ht="14.25" customHeight="1">
      <c r="A491" s="1">
        <v>6.7</v>
      </c>
      <c r="B491" s="1">
        <v>136.0</v>
      </c>
    </row>
    <row r="492" ht="14.25" customHeight="1">
      <c r="A492" s="1">
        <v>3.4</v>
      </c>
      <c r="B492" s="1">
        <v>91.0</v>
      </c>
    </row>
    <row r="493" ht="14.25" customHeight="1">
      <c r="A493" s="1">
        <v>5.9</v>
      </c>
      <c r="B493" s="1">
        <v>107.0</v>
      </c>
    </row>
    <row r="494" ht="14.25" customHeight="1">
      <c r="A494" s="1">
        <v>7.8</v>
      </c>
      <c r="B494" s="1">
        <v>108.0</v>
      </c>
    </row>
    <row r="495" ht="14.25" customHeight="1">
      <c r="A495" s="1">
        <v>5.9</v>
      </c>
      <c r="B495" s="1">
        <v>99.0</v>
      </c>
    </row>
    <row r="496" ht="14.25" customHeight="1">
      <c r="A496" s="1">
        <v>4.1</v>
      </c>
      <c r="B496" s="1">
        <v>92.0</v>
      </c>
    </row>
    <row r="497" ht="14.25" customHeight="1">
      <c r="A497" s="1">
        <v>6.8</v>
      </c>
      <c r="B497" s="1">
        <v>87.0</v>
      </c>
    </row>
    <row r="498" ht="14.25" customHeight="1">
      <c r="A498" s="1">
        <v>5.8</v>
      </c>
      <c r="B498" s="1">
        <v>110.0</v>
      </c>
    </row>
    <row r="499" ht="14.25" customHeight="1">
      <c r="A499" s="1">
        <v>7.5</v>
      </c>
      <c r="B499" s="1">
        <v>98.0</v>
      </c>
    </row>
    <row r="500" ht="14.25" customHeight="1">
      <c r="A500" s="1">
        <v>6.9</v>
      </c>
      <c r="B500" s="1">
        <v>154.0</v>
      </c>
    </row>
    <row r="501" ht="14.25" customHeight="1">
      <c r="A501" s="1">
        <v>6.5</v>
      </c>
      <c r="B501" s="1">
        <v>129.0</v>
      </c>
    </row>
    <row r="502" ht="14.25" customHeight="1">
      <c r="A502" s="1">
        <v>6.9</v>
      </c>
      <c r="B502" s="1">
        <v>86.0</v>
      </c>
    </row>
    <row r="503" ht="14.25" customHeight="1">
      <c r="A503" s="1">
        <v>7.9</v>
      </c>
      <c r="B503" s="1">
        <v>109.0</v>
      </c>
    </row>
    <row r="504" ht="14.25" customHeight="1">
      <c r="A504" s="1">
        <v>7.4</v>
      </c>
      <c r="B504" s="1">
        <v>104.0</v>
      </c>
    </row>
    <row r="505" ht="14.25" customHeight="1">
      <c r="A505" s="1">
        <v>6.7</v>
      </c>
      <c r="B505" s="1">
        <v>110.0</v>
      </c>
    </row>
    <row r="506" ht="14.25" customHeight="1">
      <c r="A506" s="1">
        <v>7.4</v>
      </c>
      <c r="B506" s="1">
        <v>136.0</v>
      </c>
    </row>
    <row r="507" ht="14.25" customHeight="1">
      <c r="A507" s="1">
        <v>6.9</v>
      </c>
      <c r="B507" s="1">
        <v>115.0</v>
      </c>
    </row>
    <row r="508" ht="14.25" customHeight="1">
      <c r="A508" s="1">
        <v>6.8</v>
      </c>
      <c r="B508" s="1">
        <v>99.0</v>
      </c>
    </row>
    <row r="509" ht="14.25" customHeight="1">
      <c r="A509" s="1">
        <v>6.7</v>
      </c>
      <c r="B509" s="1">
        <v>117.0</v>
      </c>
    </row>
    <row r="510" ht="14.25" customHeight="1">
      <c r="A510" s="1">
        <v>5.1</v>
      </c>
      <c r="B510" s="1">
        <v>125.0</v>
      </c>
    </row>
    <row r="511" ht="14.25" customHeight="1">
      <c r="A511" s="1">
        <v>4.1</v>
      </c>
      <c r="B511" s="1">
        <v>110.0</v>
      </c>
    </row>
    <row r="512" ht="14.25" customHeight="1">
      <c r="A512" s="1">
        <v>7.3</v>
      </c>
      <c r="B512" s="1">
        <v>125.0</v>
      </c>
    </row>
    <row r="513" ht="14.25" customHeight="1">
      <c r="A513" s="1">
        <v>6.0</v>
      </c>
      <c r="B513" s="1">
        <v>102.0</v>
      </c>
    </row>
    <row r="514" ht="14.25" customHeight="1">
      <c r="A514" s="1">
        <v>7.3</v>
      </c>
      <c r="B514" s="1">
        <v>128.0</v>
      </c>
    </row>
    <row r="515" ht="14.25" customHeight="1">
      <c r="A515" s="1">
        <v>5.4</v>
      </c>
      <c r="B515" s="1">
        <v>100.0</v>
      </c>
    </row>
    <row r="516" ht="14.25" customHeight="1">
      <c r="A516" s="1">
        <v>5.9</v>
      </c>
      <c r="B516" s="1">
        <v>124.0</v>
      </c>
    </row>
    <row r="517" ht="14.25" customHeight="1">
      <c r="A517" s="1">
        <v>7.1</v>
      </c>
      <c r="B517" s="1">
        <v>102.0</v>
      </c>
    </row>
    <row r="518" ht="14.25" customHeight="1">
      <c r="A518" s="1">
        <v>6.0</v>
      </c>
      <c r="B518" s="1">
        <v>90.0</v>
      </c>
    </row>
    <row r="519" ht="14.25" customHeight="1">
      <c r="A519" s="1">
        <v>6.5</v>
      </c>
      <c r="B519" s="1">
        <v>130.0</v>
      </c>
    </row>
    <row r="520" ht="14.25" customHeight="1">
      <c r="A520" s="1">
        <v>5.7</v>
      </c>
      <c r="B520" s="1">
        <v>118.0</v>
      </c>
    </row>
    <row r="521" ht="14.25" customHeight="1">
      <c r="A521" s="1">
        <v>7.6</v>
      </c>
      <c r="B521" s="1">
        <v>163.0</v>
      </c>
    </row>
    <row r="522" ht="14.25" customHeight="1">
      <c r="A522" s="1">
        <v>6.6</v>
      </c>
      <c r="B522" s="1">
        <v>142.0</v>
      </c>
    </row>
    <row r="523" ht="14.25" customHeight="1">
      <c r="A523" s="1">
        <v>5.4</v>
      </c>
      <c r="B523" s="1">
        <v>100.0</v>
      </c>
    </row>
    <row r="524" ht="14.25" customHeight="1">
      <c r="A524" s="1">
        <v>7.3</v>
      </c>
      <c r="B524" s="1">
        <v>116.0</v>
      </c>
    </row>
    <row r="525" ht="14.25" customHeight="1">
      <c r="A525" s="1">
        <v>6.5</v>
      </c>
      <c r="B525" s="1">
        <v>131.0</v>
      </c>
    </row>
    <row r="526" ht="14.25" customHeight="1">
      <c r="A526" s="1">
        <v>6.6</v>
      </c>
      <c r="B526" s="1">
        <v>91.0</v>
      </c>
    </row>
    <row r="527" ht="14.25" customHeight="1">
      <c r="A527" s="1">
        <v>6.6</v>
      </c>
      <c r="B527" s="1">
        <v>123.0</v>
      </c>
    </row>
    <row r="528" ht="14.25" customHeight="1">
      <c r="A528" s="1">
        <v>5.9</v>
      </c>
      <c r="B528" s="1">
        <v>134.0</v>
      </c>
    </row>
    <row r="529" ht="14.25" customHeight="1">
      <c r="A529" s="1">
        <v>6.7</v>
      </c>
      <c r="B529" s="1">
        <v>148.0</v>
      </c>
    </row>
    <row r="530" ht="14.25" customHeight="1">
      <c r="A530" s="1">
        <v>6.1</v>
      </c>
      <c r="B530" s="1">
        <v>110.0</v>
      </c>
    </row>
    <row r="531" ht="14.25" customHeight="1">
      <c r="A531" s="1">
        <v>6.6</v>
      </c>
      <c r="B531" s="1">
        <v>113.0</v>
      </c>
    </row>
    <row r="532" ht="14.25" customHeight="1">
      <c r="A532" s="1">
        <v>6.6</v>
      </c>
      <c r="B532" s="1">
        <v>94.0</v>
      </c>
    </row>
    <row r="533" ht="14.25" customHeight="1">
      <c r="A533" s="1">
        <v>5.3</v>
      </c>
      <c r="B533" s="1">
        <v>116.0</v>
      </c>
    </row>
    <row r="534" ht="14.25" customHeight="1">
      <c r="A534" s="1">
        <v>6.0</v>
      </c>
      <c r="B534" s="1">
        <v>99.0</v>
      </c>
    </row>
    <row r="535" ht="14.25" customHeight="1">
      <c r="A535" s="1">
        <v>4.7</v>
      </c>
      <c r="B535" s="1">
        <v>93.0</v>
      </c>
    </row>
    <row r="536" ht="14.25" customHeight="1">
      <c r="A536" s="1">
        <v>6.1</v>
      </c>
      <c r="B536" s="1">
        <v>113.0</v>
      </c>
    </row>
    <row r="537" ht="14.25" customHeight="1">
      <c r="A537" s="1">
        <v>7.2</v>
      </c>
      <c r="B537" s="1">
        <v>106.0</v>
      </c>
    </row>
    <row r="538" ht="14.25" customHeight="1">
      <c r="A538" s="1">
        <v>6.4</v>
      </c>
      <c r="B538" s="1">
        <v>91.0</v>
      </c>
    </row>
    <row r="539" ht="14.25" customHeight="1">
      <c r="A539" s="1">
        <v>6.1</v>
      </c>
      <c r="B539" s="1">
        <v>128.0</v>
      </c>
    </row>
    <row r="540" ht="14.25" customHeight="1">
      <c r="A540" s="1">
        <v>5.9</v>
      </c>
      <c r="B540" s="1">
        <v>98.0</v>
      </c>
    </row>
    <row r="541" ht="14.25" customHeight="1">
      <c r="A541" s="1">
        <v>6.0</v>
      </c>
      <c r="B541" s="1">
        <v>134.0</v>
      </c>
    </row>
    <row r="542" ht="14.25" customHeight="1">
      <c r="A542" s="1">
        <v>6.3</v>
      </c>
      <c r="B542" s="1">
        <v>97.0</v>
      </c>
    </row>
    <row r="543" ht="14.25" customHeight="1">
      <c r="A543" s="1">
        <v>5.6</v>
      </c>
      <c r="B543" s="1">
        <v>112.0</v>
      </c>
    </row>
    <row r="544" ht="14.25" customHeight="1">
      <c r="A544" s="1">
        <v>6.4</v>
      </c>
      <c r="B544" s="1">
        <v>153.0</v>
      </c>
    </row>
    <row r="545" ht="14.25" customHeight="1">
      <c r="A545" s="1">
        <v>7.1</v>
      </c>
      <c r="B545" s="1">
        <v>110.0</v>
      </c>
    </row>
    <row r="546" ht="14.25" customHeight="1">
      <c r="A546" s="1">
        <v>6.6</v>
      </c>
      <c r="B546" s="1">
        <v>122.0</v>
      </c>
    </row>
    <row r="547" ht="14.25" customHeight="1">
      <c r="A547" s="1">
        <v>4.6</v>
      </c>
      <c r="B547" s="1">
        <v>87.0</v>
      </c>
    </row>
    <row r="548" ht="14.25" customHeight="1">
      <c r="A548" s="1">
        <v>8.4</v>
      </c>
      <c r="B548" s="1">
        <v>178.0</v>
      </c>
    </row>
    <row r="549" ht="14.25" customHeight="1">
      <c r="A549" s="1">
        <v>7.1</v>
      </c>
      <c r="B549" s="1">
        <v>125.0</v>
      </c>
    </row>
    <row r="550" ht="14.25" customHeight="1">
      <c r="A550" s="1">
        <v>7.4</v>
      </c>
      <c r="B550" s="1">
        <v>87.0</v>
      </c>
    </row>
    <row r="551" ht="14.25" customHeight="1">
      <c r="A551" s="1">
        <v>6.9</v>
      </c>
      <c r="B551" s="1">
        <v>152.0</v>
      </c>
    </row>
    <row r="552" ht="14.25" customHeight="1">
      <c r="A552" s="1">
        <v>4.5</v>
      </c>
      <c r="B552" s="1">
        <v>116.0</v>
      </c>
    </row>
    <row r="553" ht="14.25" customHeight="1">
      <c r="A553" s="1">
        <v>7.1</v>
      </c>
      <c r="B553" s="1">
        <v>109.0</v>
      </c>
    </row>
    <row r="554" ht="14.25" customHeight="1">
      <c r="A554" s="1">
        <v>6.5</v>
      </c>
      <c r="B554" s="1">
        <v>108.0</v>
      </c>
    </row>
    <row r="555" ht="14.25" customHeight="1">
      <c r="A555" s="1">
        <v>5.3</v>
      </c>
      <c r="B555" s="1">
        <v>85.0</v>
      </c>
    </row>
    <row r="556" ht="14.25" customHeight="1">
      <c r="A556" s="1">
        <v>6.7</v>
      </c>
      <c r="B556" s="1">
        <v>106.0</v>
      </c>
    </row>
    <row r="557" ht="14.25" customHeight="1">
      <c r="A557" s="1">
        <v>7.2</v>
      </c>
      <c r="B557" s="1">
        <v>93.0</v>
      </c>
    </row>
    <row r="558" ht="14.25" customHeight="1">
      <c r="A558" s="1">
        <v>7.2</v>
      </c>
      <c r="B558" s="1">
        <v>117.0</v>
      </c>
    </row>
    <row r="559" ht="14.25" customHeight="1">
      <c r="A559" s="1">
        <v>5.5</v>
      </c>
      <c r="B559" s="1">
        <v>116.0</v>
      </c>
    </row>
    <row r="560" ht="14.25" customHeight="1">
      <c r="A560" s="1">
        <v>5.8</v>
      </c>
      <c r="B560" s="1">
        <v>132.0</v>
      </c>
    </row>
    <row r="561" ht="14.25" customHeight="1">
      <c r="A561" s="1">
        <v>6.0</v>
      </c>
      <c r="B561" s="1">
        <v>92.0</v>
      </c>
    </row>
    <row r="562" ht="14.25" customHeight="1">
      <c r="A562" s="1">
        <v>6.6</v>
      </c>
      <c r="B562" s="1">
        <v>139.0</v>
      </c>
    </row>
    <row r="563" ht="14.25" customHeight="1">
      <c r="A563" s="1">
        <v>8.3</v>
      </c>
      <c r="B563" s="1">
        <v>153.0</v>
      </c>
    </row>
    <row r="564" ht="14.25" customHeight="1">
      <c r="A564" s="1">
        <v>6.7</v>
      </c>
      <c r="B564" s="1">
        <v>142.0</v>
      </c>
    </row>
    <row r="565" ht="14.25" customHeight="1">
      <c r="A565" s="1">
        <v>6.0</v>
      </c>
      <c r="B565" s="1">
        <v>101.0</v>
      </c>
    </row>
    <row r="566" ht="14.25" customHeight="1">
      <c r="A566" s="1">
        <v>7.1</v>
      </c>
      <c r="B566" s="1">
        <v>124.0</v>
      </c>
    </row>
    <row r="567" ht="14.25" customHeight="1">
      <c r="A567" s="1">
        <v>6.0</v>
      </c>
      <c r="B567" s="1">
        <v>117.0</v>
      </c>
    </row>
    <row r="568" ht="14.25" customHeight="1">
      <c r="A568" s="1">
        <v>6.9</v>
      </c>
      <c r="B568" s="1">
        <v>141.0</v>
      </c>
    </row>
    <row r="569" ht="14.25" customHeight="1">
      <c r="A569" s="1">
        <v>5.6</v>
      </c>
      <c r="B569" s="1">
        <v>110.0</v>
      </c>
    </row>
    <row r="570" ht="14.25" customHeight="1">
      <c r="A570" s="1">
        <v>5.6</v>
      </c>
      <c r="B570" s="1">
        <v>109.0</v>
      </c>
    </row>
    <row r="571" ht="14.25" customHeight="1">
      <c r="A571" s="1">
        <v>4.5</v>
      </c>
      <c r="B571" s="1">
        <v>88.0</v>
      </c>
    </row>
    <row r="572" ht="14.25" customHeight="1">
      <c r="A572" s="1">
        <v>7.1</v>
      </c>
      <c r="B572" s="1">
        <v>124.0</v>
      </c>
    </row>
    <row r="573" ht="14.25" customHeight="1">
      <c r="A573" s="1">
        <v>6.5</v>
      </c>
      <c r="B573" s="1">
        <v>119.0</v>
      </c>
    </row>
    <row r="574" ht="14.25" customHeight="1">
      <c r="A574" s="1">
        <v>6.4</v>
      </c>
      <c r="B574" s="1">
        <v>103.0</v>
      </c>
    </row>
    <row r="575" ht="14.25" customHeight="1">
      <c r="A575" s="1">
        <v>5.8</v>
      </c>
      <c r="B575" s="1">
        <v>116.0</v>
      </c>
    </row>
    <row r="576" ht="14.25" customHeight="1">
      <c r="A576" s="1">
        <v>8.0</v>
      </c>
      <c r="B576" s="1">
        <v>125.0</v>
      </c>
    </row>
    <row r="577" ht="14.25" customHeight="1">
      <c r="A577" s="1">
        <v>6.2</v>
      </c>
      <c r="B577" s="1">
        <v>125.0</v>
      </c>
    </row>
    <row r="578" ht="14.25" customHeight="1">
      <c r="A578" s="1">
        <v>7.2</v>
      </c>
      <c r="B578" s="1">
        <v>146.0</v>
      </c>
    </row>
    <row r="579" ht="14.25" customHeight="1">
      <c r="A579" s="1">
        <v>6.1</v>
      </c>
      <c r="B579" s="1">
        <v>118.0</v>
      </c>
    </row>
    <row r="580" ht="14.25" customHeight="1">
      <c r="A580" s="1">
        <v>7.6</v>
      </c>
      <c r="B580" s="1">
        <v>171.0</v>
      </c>
    </row>
    <row r="581" ht="14.25" customHeight="1">
      <c r="A581" s="1">
        <v>6.3</v>
      </c>
      <c r="B581" s="1">
        <v>136.0</v>
      </c>
    </row>
    <row r="582" ht="14.25" customHeight="1">
      <c r="A582" s="1">
        <v>6.3</v>
      </c>
      <c r="B582" s="1">
        <v>92.0</v>
      </c>
    </row>
    <row r="583" ht="14.25" customHeight="1">
      <c r="A583" s="1">
        <v>6.3</v>
      </c>
      <c r="B583" s="1">
        <v>116.0</v>
      </c>
    </row>
    <row r="584" ht="14.25" customHeight="1">
      <c r="A584" s="1">
        <v>7.7</v>
      </c>
      <c r="B584" s="1">
        <v>127.0</v>
      </c>
    </row>
    <row r="585" ht="14.25" customHeight="1">
      <c r="A585" s="1">
        <v>7.0</v>
      </c>
      <c r="B585" s="1">
        <v>136.0</v>
      </c>
    </row>
    <row r="586" ht="14.25" customHeight="1">
      <c r="A586" s="1">
        <v>5.3</v>
      </c>
      <c r="B586" s="1">
        <v>111.0</v>
      </c>
    </row>
    <row r="587" ht="14.25" customHeight="1">
      <c r="A587" s="1">
        <v>5.6</v>
      </c>
      <c r="B587" s="1">
        <v>116.0</v>
      </c>
    </row>
    <row r="588" ht="14.25" customHeight="1">
      <c r="A588" s="1">
        <v>5.2</v>
      </c>
      <c r="B588" s="1">
        <v>113.0</v>
      </c>
    </row>
    <row r="589" ht="14.25" customHeight="1">
      <c r="A589" s="1">
        <v>5.4</v>
      </c>
      <c r="B589" s="1">
        <v>97.0</v>
      </c>
    </row>
    <row r="590" ht="14.25" customHeight="1">
      <c r="A590" s="1">
        <v>6.4</v>
      </c>
      <c r="B590" s="1">
        <v>88.0</v>
      </c>
    </row>
    <row r="591" ht="14.25" customHeight="1">
      <c r="A591" s="1">
        <v>5.9</v>
      </c>
      <c r="B591" s="1">
        <v>136.0</v>
      </c>
    </row>
    <row r="592" ht="14.25" customHeight="1">
      <c r="A592" s="1">
        <v>6.3</v>
      </c>
      <c r="B592" s="1">
        <v>125.0</v>
      </c>
    </row>
    <row r="593" ht="14.25" customHeight="1">
      <c r="A593" s="1">
        <v>6.5</v>
      </c>
      <c r="B593" s="1">
        <v>116.0</v>
      </c>
    </row>
    <row r="594" ht="14.25" customHeight="1">
      <c r="A594" s="1">
        <v>3.0</v>
      </c>
      <c r="B594" s="1">
        <v>98.0</v>
      </c>
    </row>
    <row r="595" ht="14.25" customHeight="1">
      <c r="A595" s="1">
        <v>3.6</v>
      </c>
      <c r="B595" s="1">
        <v>91.0</v>
      </c>
    </row>
    <row r="596" ht="14.25" customHeight="1">
      <c r="A596" s="1">
        <v>5.8</v>
      </c>
      <c r="B596" s="1">
        <v>97.0</v>
      </c>
    </row>
    <row r="597" ht="14.25" customHeight="1">
      <c r="A597" s="1">
        <v>6.2</v>
      </c>
      <c r="B597" s="1">
        <v>95.0</v>
      </c>
    </row>
    <row r="598" ht="14.25" customHeight="1">
      <c r="A598" s="1">
        <v>5.4</v>
      </c>
      <c r="B598" s="1">
        <v>133.0</v>
      </c>
    </row>
    <row r="599" ht="14.25" customHeight="1">
      <c r="A599" s="1">
        <v>6.1</v>
      </c>
      <c r="B599" s="1">
        <v>106.0</v>
      </c>
    </row>
    <row r="600" ht="14.25" customHeight="1">
      <c r="A600" s="1">
        <v>4.2</v>
      </c>
      <c r="B600" s="1">
        <v>116.0</v>
      </c>
    </row>
    <row r="601" ht="14.25" customHeight="1">
      <c r="A601" s="1">
        <v>6.7</v>
      </c>
      <c r="B601" s="1">
        <v>115.0</v>
      </c>
    </row>
    <row r="602" ht="14.25" customHeight="1">
      <c r="A602" s="1">
        <v>4.2</v>
      </c>
      <c r="B602" s="1">
        <v>99.0</v>
      </c>
    </row>
    <row r="603" ht="14.25" customHeight="1">
      <c r="A603" s="1">
        <v>6.4</v>
      </c>
      <c r="B603" s="1">
        <v>124.0</v>
      </c>
    </row>
    <row r="604" ht="14.25" customHeight="1">
      <c r="A604" s="1">
        <v>4.9</v>
      </c>
      <c r="B604" s="1">
        <v>124.0</v>
      </c>
    </row>
    <row r="605" ht="14.25" customHeight="1">
      <c r="A605" s="1">
        <v>6.8</v>
      </c>
      <c r="B605" s="1">
        <v>124.0</v>
      </c>
    </row>
    <row r="606" ht="14.25" customHeight="1">
      <c r="A606" s="1">
        <v>7.7</v>
      </c>
      <c r="B606" s="1">
        <v>87.0</v>
      </c>
    </row>
    <row r="607" ht="14.25" customHeight="1">
      <c r="A607" s="1">
        <v>5.6</v>
      </c>
      <c r="B607" s="1">
        <v>105.0</v>
      </c>
    </row>
    <row r="608" ht="14.25" customHeight="1">
      <c r="A608" s="1">
        <v>6.4</v>
      </c>
      <c r="B608" s="1">
        <v>125.0</v>
      </c>
    </row>
    <row r="609" ht="14.25" customHeight="1">
      <c r="A609" s="1">
        <v>7.2</v>
      </c>
      <c r="B609" s="1">
        <v>141.0</v>
      </c>
    </row>
    <row r="610" ht="14.25" customHeight="1">
      <c r="A610" s="1">
        <v>6.0</v>
      </c>
      <c r="B610" s="1">
        <v>121.0</v>
      </c>
    </row>
    <row r="611" ht="14.25" customHeight="1">
      <c r="A611" s="1">
        <v>5.9</v>
      </c>
      <c r="B611" s="1">
        <v>111.0</v>
      </c>
    </row>
    <row r="612" ht="14.25" customHeight="1">
      <c r="A612" s="1">
        <v>7.9</v>
      </c>
      <c r="B612" s="1">
        <v>157.0</v>
      </c>
    </row>
    <row r="613" ht="14.25" customHeight="1">
      <c r="A613" s="1">
        <v>7.1</v>
      </c>
      <c r="B613" s="1">
        <v>128.0</v>
      </c>
    </row>
    <row r="614" ht="14.25" customHeight="1">
      <c r="A614" s="1">
        <v>5.9</v>
      </c>
      <c r="B614" s="1">
        <v>105.0</v>
      </c>
    </row>
    <row r="615" ht="14.25" customHeight="1">
      <c r="A615" s="1">
        <v>6.2</v>
      </c>
      <c r="B615" s="1">
        <v>113.0</v>
      </c>
    </row>
    <row r="616" ht="14.25" customHeight="1">
      <c r="A616" s="1">
        <v>7.0</v>
      </c>
      <c r="B616" s="1">
        <v>121.0</v>
      </c>
    </row>
    <row r="617" ht="14.25" customHeight="1">
      <c r="A617" s="1">
        <v>5.4</v>
      </c>
      <c r="B617" s="1">
        <v>102.0</v>
      </c>
    </row>
    <row r="618" ht="14.25" customHeight="1">
      <c r="A618" s="1">
        <v>8.6</v>
      </c>
      <c r="B618" s="1">
        <v>169.0</v>
      </c>
    </row>
    <row r="619" ht="14.25" customHeight="1">
      <c r="A619" s="1">
        <v>6.5</v>
      </c>
      <c r="B619" s="1">
        <v>132.0</v>
      </c>
    </row>
    <row r="620" ht="14.25" customHeight="1">
      <c r="A620" s="1">
        <v>6.4</v>
      </c>
      <c r="B620" s="1">
        <v>127.0</v>
      </c>
    </row>
    <row r="621" ht="14.25" customHeight="1">
      <c r="A621" s="1">
        <v>7.6</v>
      </c>
      <c r="B621" s="1">
        <v>103.0</v>
      </c>
    </row>
    <row r="622" ht="14.25" customHeight="1">
      <c r="A622" s="1">
        <v>5.5</v>
      </c>
      <c r="B622" s="1">
        <v>136.0</v>
      </c>
    </row>
    <row r="623" ht="14.25" customHeight="1">
      <c r="A623" s="1">
        <v>7.4</v>
      </c>
      <c r="B623" s="1">
        <v>150.0</v>
      </c>
    </row>
    <row r="624" ht="14.25" customHeight="1">
      <c r="A624" s="1">
        <v>8.7</v>
      </c>
      <c r="B624" s="1">
        <v>136.0</v>
      </c>
    </row>
    <row r="625" ht="14.25" customHeight="1">
      <c r="A625" s="1">
        <v>7.6</v>
      </c>
      <c r="B625" s="1">
        <v>140.0</v>
      </c>
    </row>
    <row r="626" ht="14.25" customHeight="1">
      <c r="A626" s="1">
        <v>7.5</v>
      </c>
      <c r="B626" s="1">
        <v>113.0</v>
      </c>
    </row>
    <row r="627" ht="14.25" customHeight="1">
      <c r="A627" s="1">
        <v>5.5</v>
      </c>
      <c r="B627" s="1">
        <v>104.0</v>
      </c>
    </row>
    <row r="628" ht="14.25" customHeight="1">
      <c r="A628" s="1">
        <v>7.6</v>
      </c>
      <c r="B628" s="1">
        <v>158.0</v>
      </c>
    </row>
    <row r="629" ht="14.25" customHeight="1">
      <c r="A629" s="1">
        <v>6.5</v>
      </c>
      <c r="B629" s="1">
        <v>119.0</v>
      </c>
    </row>
    <row r="630" ht="14.25" customHeight="1">
      <c r="A630" s="1">
        <v>6.9</v>
      </c>
      <c r="B630" s="1">
        <v>106.0</v>
      </c>
    </row>
    <row r="631" ht="14.25" customHeight="1">
      <c r="A631" s="1">
        <v>6.7</v>
      </c>
      <c r="B631" s="1">
        <v>136.0</v>
      </c>
    </row>
    <row r="632" ht="14.25" customHeight="1">
      <c r="A632" s="1">
        <v>6.6</v>
      </c>
      <c r="B632" s="1">
        <v>95.0</v>
      </c>
    </row>
    <row r="633" ht="14.25" customHeight="1">
      <c r="A633" s="1">
        <v>7.2</v>
      </c>
      <c r="B633" s="1">
        <v>137.0</v>
      </c>
    </row>
    <row r="634" ht="14.25" customHeight="1">
      <c r="A634" s="1">
        <v>6.4</v>
      </c>
      <c r="B634" s="1">
        <v>130.0</v>
      </c>
    </row>
    <row r="635" ht="14.25" customHeight="1">
      <c r="A635" s="1">
        <v>6.4</v>
      </c>
      <c r="B635" s="1">
        <v>124.0</v>
      </c>
    </row>
    <row r="636" ht="14.25" customHeight="1">
      <c r="A636" s="1">
        <v>6.0</v>
      </c>
      <c r="B636" s="1">
        <v>108.0</v>
      </c>
    </row>
    <row r="637" ht="14.25" customHeight="1">
      <c r="A637" s="1">
        <v>6.1</v>
      </c>
      <c r="B637" s="1">
        <v>104.0</v>
      </c>
    </row>
    <row r="638" ht="14.25" customHeight="1">
      <c r="A638" s="1">
        <v>6.0</v>
      </c>
      <c r="B638" s="1">
        <v>129.0</v>
      </c>
    </row>
    <row r="639" ht="14.25" customHeight="1">
      <c r="A639" s="1">
        <v>6.4</v>
      </c>
      <c r="B639" s="1">
        <v>117.0</v>
      </c>
    </row>
    <row r="640" ht="14.25" customHeight="1">
      <c r="A640" s="1">
        <v>6.4</v>
      </c>
      <c r="B640" s="1">
        <v>99.0</v>
      </c>
    </row>
    <row r="641" ht="14.25" customHeight="1">
      <c r="A641" s="1">
        <v>7.3</v>
      </c>
      <c r="B641" s="1">
        <v>159.0</v>
      </c>
    </row>
    <row r="642" ht="14.25" customHeight="1">
      <c r="A642" s="1">
        <v>5.2</v>
      </c>
      <c r="B642" s="1">
        <v>118.0</v>
      </c>
    </row>
    <row r="643" ht="14.25" customHeight="1">
      <c r="A643" s="1">
        <v>6.6</v>
      </c>
      <c r="B643" s="1">
        <v>105.0</v>
      </c>
    </row>
    <row r="644" ht="14.25" customHeight="1">
      <c r="A644" s="1">
        <v>6.3</v>
      </c>
      <c r="B644" s="1">
        <v>103.0</v>
      </c>
    </row>
    <row r="645" ht="14.25" customHeight="1">
      <c r="A645" s="1">
        <v>5.9</v>
      </c>
      <c r="B645" s="1">
        <v>122.0</v>
      </c>
    </row>
    <row r="646" ht="14.25" customHeight="1">
      <c r="A646" s="1">
        <v>6.7</v>
      </c>
      <c r="B646" s="1">
        <v>143.0</v>
      </c>
    </row>
    <row r="647" ht="14.25" customHeight="1">
      <c r="A647" s="1">
        <v>5.4</v>
      </c>
      <c r="B647" s="1">
        <v>96.0</v>
      </c>
    </row>
    <row r="648" ht="14.25" customHeight="1">
      <c r="A648" s="1">
        <v>6.4</v>
      </c>
      <c r="B648" s="1">
        <v>111.0</v>
      </c>
    </row>
    <row r="649" ht="14.25" customHeight="1">
      <c r="A649" s="1">
        <v>6.7</v>
      </c>
      <c r="B649" s="1">
        <v>121.0</v>
      </c>
    </row>
    <row r="650" ht="14.25" customHeight="1">
      <c r="A650" s="1">
        <v>6.2</v>
      </c>
      <c r="B650" s="1">
        <v>135.0</v>
      </c>
    </row>
    <row r="651" ht="14.25" customHeight="1">
      <c r="A651" s="1">
        <v>6.1</v>
      </c>
      <c r="B651" s="1">
        <v>101.0</v>
      </c>
    </row>
    <row r="652" ht="14.25" customHeight="1">
      <c r="A652" s="1">
        <v>8.8</v>
      </c>
      <c r="B652" s="1">
        <v>151.0</v>
      </c>
    </row>
    <row r="653" ht="14.25" customHeight="1">
      <c r="A653" s="1">
        <v>7.1</v>
      </c>
      <c r="B653" s="1">
        <v>131.0</v>
      </c>
    </row>
    <row r="654" ht="14.25" customHeight="1">
      <c r="A654" s="1">
        <v>5.7</v>
      </c>
      <c r="B654" s="1">
        <v>100.0</v>
      </c>
    </row>
    <row r="655" ht="14.25" customHeight="1">
      <c r="A655" s="1">
        <v>5.0</v>
      </c>
      <c r="B655" s="1">
        <v>105.0</v>
      </c>
    </row>
    <row r="656" ht="14.25" customHeight="1">
      <c r="A656" s="1">
        <v>5.1</v>
      </c>
      <c r="B656" s="1">
        <v>92.0</v>
      </c>
    </row>
    <row r="657" ht="14.25" customHeight="1">
      <c r="A657" s="1">
        <v>6.9</v>
      </c>
      <c r="B657" s="1">
        <v>130.0</v>
      </c>
    </row>
    <row r="658" ht="14.25" customHeight="1">
      <c r="A658" s="1">
        <v>4.8</v>
      </c>
      <c r="B658" s="1">
        <v>100.0</v>
      </c>
    </row>
    <row r="659" ht="14.25" customHeight="1">
      <c r="A659" s="1">
        <v>6.5</v>
      </c>
      <c r="B659" s="1">
        <v>102.0</v>
      </c>
    </row>
    <row r="660" ht="14.25" customHeight="1">
      <c r="A660" s="1">
        <v>5.1</v>
      </c>
      <c r="B660" s="1">
        <v>133.0</v>
      </c>
    </row>
    <row r="661" ht="14.25" customHeight="1">
      <c r="A661" s="1">
        <v>7.1</v>
      </c>
      <c r="B661" s="1">
        <v>121.0</v>
      </c>
    </row>
    <row r="662" ht="14.25" customHeight="1">
      <c r="A662" s="1">
        <v>7.5</v>
      </c>
      <c r="B662" s="1">
        <v>147.0</v>
      </c>
    </row>
    <row r="663" ht="14.25" customHeight="1">
      <c r="A663" s="1">
        <v>6.2</v>
      </c>
      <c r="B663" s="1">
        <v>94.0</v>
      </c>
    </row>
    <row r="664" ht="14.25" customHeight="1">
      <c r="A664" s="1">
        <v>6.3</v>
      </c>
      <c r="B664" s="1">
        <v>94.0</v>
      </c>
    </row>
    <row r="665" ht="14.25" customHeight="1">
      <c r="A665" s="1">
        <v>8.1</v>
      </c>
      <c r="B665" s="1">
        <v>127.0</v>
      </c>
    </row>
    <row r="666" ht="14.25" customHeight="1">
      <c r="A666" s="1">
        <v>6.6</v>
      </c>
      <c r="B666" s="1">
        <v>212.0</v>
      </c>
    </row>
    <row r="667" ht="14.25" customHeight="1">
      <c r="A667" s="1">
        <v>6.9</v>
      </c>
      <c r="B667" s="1">
        <v>141.0</v>
      </c>
    </row>
    <row r="668" ht="14.25" customHeight="1">
      <c r="A668" s="1">
        <v>6.1</v>
      </c>
      <c r="B668" s="1">
        <v>103.0</v>
      </c>
    </row>
    <row r="669" ht="14.25" customHeight="1">
      <c r="A669" s="1">
        <v>4.3</v>
      </c>
      <c r="B669" s="1">
        <v>98.0</v>
      </c>
    </row>
    <row r="670" ht="14.25" customHeight="1">
      <c r="A670" s="1">
        <v>6.6</v>
      </c>
      <c r="B670" s="1">
        <v>116.0</v>
      </c>
    </row>
    <row r="671" ht="14.25" customHeight="1">
      <c r="A671" s="1">
        <v>6.8</v>
      </c>
      <c r="B671" s="1">
        <v>114.0</v>
      </c>
    </row>
    <row r="672" ht="14.25" customHeight="1">
      <c r="A672" s="1">
        <v>3.8</v>
      </c>
      <c r="B672" s="1">
        <v>87.0</v>
      </c>
    </row>
    <row r="673" ht="14.25" customHeight="1">
      <c r="A673" s="1">
        <v>5.9</v>
      </c>
      <c r="B673" s="1">
        <v>125.0</v>
      </c>
    </row>
    <row r="674" ht="14.25" customHeight="1">
      <c r="A674" s="1">
        <v>7.9</v>
      </c>
      <c r="B674" s="1">
        <v>187.0</v>
      </c>
    </row>
    <row r="675" ht="14.25" customHeight="1">
      <c r="A675" s="1">
        <v>6.3</v>
      </c>
      <c r="B675" s="1">
        <v>93.0</v>
      </c>
    </row>
    <row r="676" ht="14.25" customHeight="1">
      <c r="A676" s="1">
        <v>5.5</v>
      </c>
      <c r="B676" s="1">
        <v>95.0</v>
      </c>
    </row>
    <row r="677" ht="14.25" customHeight="1">
      <c r="A677" s="1">
        <v>7.7</v>
      </c>
      <c r="B677" s="1">
        <v>117.0</v>
      </c>
    </row>
    <row r="678" ht="14.25" customHeight="1">
      <c r="A678" s="1">
        <v>6.3</v>
      </c>
      <c r="B678" s="1">
        <v>106.0</v>
      </c>
    </row>
    <row r="679" ht="14.25" customHeight="1">
      <c r="A679" s="1">
        <v>7.1</v>
      </c>
      <c r="B679" s="1">
        <v>115.0</v>
      </c>
    </row>
    <row r="680" ht="14.25" customHeight="1">
      <c r="A680" s="1">
        <v>8.5</v>
      </c>
      <c r="B680" s="1">
        <v>189.0</v>
      </c>
    </row>
    <row r="681" ht="14.25" customHeight="1">
      <c r="A681" s="1">
        <v>5.8</v>
      </c>
      <c r="B681" s="1">
        <v>81.0</v>
      </c>
    </row>
    <row r="682" ht="14.25" customHeight="1">
      <c r="A682" s="1">
        <v>8.1</v>
      </c>
      <c r="B682" s="1">
        <v>149.0</v>
      </c>
    </row>
    <row r="683" ht="14.25" customHeight="1">
      <c r="A683" s="1">
        <v>7.9</v>
      </c>
      <c r="B683" s="1">
        <v>119.0</v>
      </c>
    </row>
    <row r="684" ht="14.25" customHeight="1">
      <c r="A684" s="1">
        <v>7.2</v>
      </c>
      <c r="B684" s="1">
        <v>130.0</v>
      </c>
    </row>
    <row r="685" ht="14.25" customHeight="1">
      <c r="A685" s="1">
        <v>6.3</v>
      </c>
      <c r="B685" s="1">
        <v>116.0</v>
      </c>
    </row>
    <row r="686" ht="14.25" customHeight="1">
      <c r="A686" s="1">
        <v>8.1</v>
      </c>
      <c r="B686" s="1">
        <v>103.0</v>
      </c>
    </row>
    <row r="687" ht="14.25" customHeight="1">
      <c r="A687" s="1">
        <v>7.0</v>
      </c>
      <c r="B687" s="1">
        <v>99.0</v>
      </c>
    </row>
    <row r="688" ht="14.25" customHeight="1">
      <c r="A688" s="1">
        <v>5.5</v>
      </c>
      <c r="B688" s="1">
        <v>92.0</v>
      </c>
    </row>
    <row r="689" ht="14.25" customHeight="1">
      <c r="A689" s="1">
        <v>6.7</v>
      </c>
      <c r="B689" s="1">
        <v>109.0</v>
      </c>
    </row>
    <row r="690" ht="14.25" customHeight="1">
      <c r="A690" s="1">
        <v>5.2</v>
      </c>
      <c r="B690" s="1">
        <v>87.0</v>
      </c>
    </row>
    <row r="691" ht="14.25" customHeight="1">
      <c r="A691" s="1">
        <v>7.0</v>
      </c>
      <c r="B691" s="1">
        <v>111.0</v>
      </c>
    </row>
    <row r="692" ht="14.25" customHeight="1">
      <c r="A692" s="1">
        <v>6.1</v>
      </c>
      <c r="B692" s="1">
        <v>101.0</v>
      </c>
    </row>
    <row r="693" ht="14.25" customHeight="1">
      <c r="A693" s="1">
        <v>6.6</v>
      </c>
      <c r="B693" s="1">
        <v>83.0</v>
      </c>
    </row>
    <row r="694" ht="14.25" customHeight="1">
      <c r="A694" s="1">
        <v>5.5</v>
      </c>
      <c r="B694" s="1">
        <v>113.0</v>
      </c>
    </row>
    <row r="695" ht="14.25" customHeight="1">
      <c r="A695" s="1">
        <v>5.9</v>
      </c>
      <c r="B695" s="1">
        <v>107.0</v>
      </c>
    </row>
    <row r="696" ht="14.25" customHeight="1">
      <c r="A696" s="1">
        <v>5.4</v>
      </c>
      <c r="B696" s="1">
        <v>94.0</v>
      </c>
    </row>
    <row r="697" ht="14.25" customHeight="1">
      <c r="A697" s="1">
        <v>6.4</v>
      </c>
      <c r="B697" s="1">
        <v>132.0</v>
      </c>
    </row>
    <row r="698" ht="14.25" customHeight="1">
      <c r="A698" s="1">
        <v>5.7</v>
      </c>
      <c r="B698" s="1">
        <v>140.0</v>
      </c>
    </row>
    <row r="699" ht="14.25" customHeight="1">
      <c r="A699" s="1">
        <v>6.7</v>
      </c>
      <c r="B699" s="1">
        <v>125.0</v>
      </c>
    </row>
    <row r="700" ht="14.25" customHeight="1">
      <c r="A700" s="1">
        <v>7.1</v>
      </c>
      <c r="B700" s="1">
        <v>111.0</v>
      </c>
    </row>
    <row r="701" ht="14.25" customHeight="1">
      <c r="A701" s="1">
        <v>6.8</v>
      </c>
      <c r="B701" s="1">
        <v>156.0</v>
      </c>
    </row>
    <row r="702" ht="14.25" customHeight="1">
      <c r="A702" s="1">
        <v>6.5</v>
      </c>
      <c r="B702" s="1">
        <v>170.0</v>
      </c>
    </row>
    <row r="703" ht="14.25" customHeight="1">
      <c r="A703" s="1">
        <v>7.6</v>
      </c>
      <c r="B703" s="1">
        <v>120.0</v>
      </c>
    </row>
    <row r="704" ht="14.25" customHeight="1">
      <c r="A704" s="1">
        <v>5.5</v>
      </c>
      <c r="B704" s="1">
        <v>100.0</v>
      </c>
    </row>
    <row r="705" ht="14.25" customHeight="1">
      <c r="A705" s="1">
        <v>6.5</v>
      </c>
      <c r="B705" s="1">
        <v>115.0</v>
      </c>
    </row>
    <row r="706" ht="14.25" customHeight="1">
      <c r="A706" s="1">
        <v>7.0</v>
      </c>
      <c r="B706" s="1">
        <v>130.0</v>
      </c>
    </row>
    <row r="707" ht="14.25" customHeight="1">
      <c r="A707" s="1">
        <v>5.8</v>
      </c>
      <c r="B707" s="1">
        <v>105.0</v>
      </c>
    </row>
    <row r="708" ht="14.25" customHeight="1">
      <c r="A708" s="1">
        <v>7.3</v>
      </c>
      <c r="B708" s="1">
        <v>111.0</v>
      </c>
    </row>
    <row r="709" ht="14.25" customHeight="1">
      <c r="A709" s="1">
        <v>6.6</v>
      </c>
      <c r="B709" s="1">
        <v>106.0</v>
      </c>
    </row>
    <row r="710" ht="14.25" customHeight="1">
      <c r="A710" s="1">
        <v>4.4</v>
      </c>
      <c r="B710" s="1">
        <v>89.0</v>
      </c>
    </row>
    <row r="711" ht="14.25" customHeight="1">
      <c r="A711" s="1">
        <v>7.7</v>
      </c>
      <c r="B711" s="1">
        <v>100.0</v>
      </c>
    </row>
    <row r="712" ht="14.25" customHeight="1">
      <c r="A712" s="1">
        <v>5.0</v>
      </c>
      <c r="B712" s="1">
        <v>91.0</v>
      </c>
    </row>
    <row r="713" ht="14.25" customHeight="1">
      <c r="A713" s="1">
        <v>7.7</v>
      </c>
      <c r="B713" s="1">
        <v>146.0</v>
      </c>
    </row>
    <row r="714" ht="14.25" customHeight="1">
      <c r="A714" s="1">
        <v>4.4</v>
      </c>
      <c r="B714" s="1">
        <v>98.0</v>
      </c>
    </row>
    <row r="715" ht="14.25" customHeight="1">
      <c r="A715" s="1">
        <v>6.1</v>
      </c>
      <c r="B715" s="1">
        <v>101.0</v>
      </c>
    </row>
    <row r="716" ht="14.25" customHeight="1">
      <c r="A716" s="1">
        <v>5.4</v>
      </c>
      <c r="B716" s="1">
        <v>94.0</v>
      </c>
    </row>
    <row r="717" ht="14.25" customHeight="1">
      <c r="A717" s="1">
        <v>6.8</v>
      </c>
      <c r="B717" s="1">
        <v>132.0</v>
      </c>
    </row>
    <row r="718" ht="14.25" customHeight="1">
      <c r="A718" s="1">
        <v>6.5</v>
      </c>
      <c r="B718" s="1">
        <v>115.0</v>
      </c>
    </row>
    <row r="719" ht="14.25" customHeight="1">
      <c r="A719" s="1">
        <v>7.0</v>
      </c>
      <c r="B719" s="1">
        <v>92.0</v>
      </c>
    </row>
    <row r="720" ht="14.25" customHeight="1">
      <c r="A720" s="1">
        <v>6.3</v>
      </c>
      <c r="B720" s="1">
        <v>124.0</v>
      </c>
    </row>
    <row r="721" ht="14.25" customHeight="1">
      <c r="A721" s="1">
        <v>6.3</v>
      </c>
      <c r="B721" s="1">
        <v>119.0</v>
      </c>
    </row>
    <row r="722" ht="14.25" customHeight="1">
      <c r="A722" s="1">
        <v>6.1</v>
      </c>
      <c r="B722" s="1">
        <v>124.0</v>
      </c>
    </row>
    <row r="723" ht="14.25" customHeight="1">
      <c r="A723" s="1">
        <v>6.1</v>
      </c>
      <c r="B723" s="1">
        <v>93.0</v>
      </c>
    </row>
    <row r="724" ht="14.25" customHeight="1">
      <c r="A724" s="1">
        <v>5.3</v>
      </c>
      <c r="B724" s="1">
        <v>98.0</v>
      </c>
    </row>
    <row r="725" ht="14.25" customHeight="1">
      <c r="A725" s="1">
        <v>5.4</v>
      </c>
      <c r="B725" s="1">
        <v>92.0</v>
      </c>
    </row>
    <row r="726" ht="14.25" customHeight="1">
      <c r="A726" s="1">
        <v>6.2</v>
      </c>
      <c r="B726" s="1">
        <v>105.0</v>
      </c>
    </row>
    <row r="727" ht="14.25" customHeight="1">
      <c r="A727" s="1">
        <v>6.6</v>
      </c>
      <c r="B727" s="1">
        <v>124.0</v>
      </c>
    </row>
    <row r="728" ht="14.25" customHeight="1">
      <c r="A728" s="1">
        <v>5.9</v>
      </c>
      <c r="B728" s="1">
        <v>99.0</v>
      </c>
    </row>
    <row r="729" ht="14.25" customHeight="1">
      <c r="A729" s="1">
        <v>6.3</v>
      </c>
      <c r="B729" s="1">
        <v>116.0</v>
      </c>
    </row>
    <row r="730" ht="14.25" customHeight="1">
      <c r="A730" s="1">
        <v>7.2</v>
      </c>
      <c r="B730" s="1">
        <v>124.0</v>
      </c>
    </row>
    <row r="731" ht="14.25" customHeight="1">
      <c r="A731" s="1">
        <v>6.8</v>
      </c>
      <c r="B731" s="1">
        <v>96.0</v>
      </c>
    </row>
    <row r="732" ht="14.25" customHeight="1">
      <c r="A732" s="1">
        <v>6.1</v>
      </c>
      <c r="B732" s="1">
        <v>104.0</v>
      </c>
    </row>
    <row r="733" ht="14.25" customHeight="1">
      <c r="A733" s="1">
        <v>7.8</v>
      </c>
      <c r="B733" s="1">
        <v>100.0</v>
      </c>
    </row>
    <row r="734" ht="14.25" customHeight="1">
      <c r="A734" s="1">
        <v>5.0</v>
      </c>
      <c r="B734" s="1">
        <v>115.0</v>
      </c>
    </row>
    <row r="735" ht="14.25" customHeight="1">
      <c r="A735" s="1">
        <v>6.2</v>
      </c>
      <c r="B735" s="1">
        <v>101.0</v>
      </c>
    </row>
    <row r="736" ht="14.25" customHeight="1">
      <c r="A736" s="1">
        <v>6.7</v>
      </c>
      <c r="B736" s="1">
        <v>113.0</v>
      </c>
    </row>
    <row r="737" ht="14.25" customHeight="1">
      <c r="A737" s="1">
        <v>4.9</v>
      </c>
      <c r="B737" s="1">
        <v>100.0</v>
      </c>
    </row>
    <row r="738" ht="14.25" customHeight="1">
      <c r="A738" s="1">
        <v>7.4</v>
      </c>
      <c r="B738" s="1">
        <v>134.0</v>
      </c>
    </row>
    <row r="739" ht="14.25" customHeight="1">
      <c r="A739" s="1">
        <v>6.2</v>
      </c>
      <c r="B739" s="1">
        <v>125.0</v>
      </c>
    </row>
    <row r="740" ht="14.25" customHeight="1">
      <c r="A740" s="1">
        <v>4.9</v>
      </c>
      <c r="B740" s="1">
        <v>94.0</v>
      </c>
    </row>
    <row r="741" ht="14.25" customHeight="1">
      <c r="A741" s="1">
        <v>6.1</v>
      </c>
      <c r="B741" s="1">
        <v>107.0</v>
      </c>
    </row>
    <row r="742" ht="14.25" customHeight="1">
      <c r="A742" s="1">
        <v>6.1</v>
      </c>
      <c r="B742" s="1">
        <v>91.0</v>
      </c>
    </row>
    <row r="743" ht="14.25" customHeight="1">
      <c r="A743" s="1">
        <v>6.4</v>
      </c>
      <c r="B743" s="1">
        <v>116.0</v>
      </c>
    </row>
    <row r="744" ht="14.25" customHeight="1">
      <c r="A744" s="1">
        <v>6.3</v>
      </c>
      <c r="B744" s="1">
        <v>100.0</v>
      </c>
    </row>
    <row r="745" ht="14.25" customHeight="1">
      <c r="A745" s="1">
        <v>6.6</v>
      </c>
      <c r="B745" s="1">
        <v>117.0</v>
      </c>
    </row>
    <row r="746" ht="14.25" customHeight="1">
      <c r="A746" s="1">
        <v>5.7</v>
      </c>
      <c r="B746" s="1">
        <v>110.0</v>
      </c>
    </row>
    <row r="747" ht="14.25" customHeight="1">
      <c r="A747" s="1">
        <v>5.9</v>
      </c>
      <c r="B747" s="1">
        <v>96.0</v>
      </c>
    </row>
    <row r="748" ht="14.25" customHeight="1">
      <c r="A748" s="1">
        <v>6.0</v>
      </c>
      <c r="B748" s="1">
        <v>101.0</v>
      </c>
    </row>
    <row r="749" ht="14.25" customHeight="1">
      <c r="A749" s="1">
        <v>6.1</v>
      </c>
      <c r="B749" s="1">
        <v>111.0</v>
      </c>
    </row>
    <row r="750" ht="14.25" customHeight="1">
      <c r="A750" s="1">
        <v>6.7</v>
      </c>
      <c r="B750" s="1">
        <v>117.0</v>
      </c>
    </row>
    <row r="751" ht="14.25" customHeight="1">
      <c r="A751" s="1">
        <v>6.7</v>
      </c>
      <c r="B751" s="1">
        <v>126.0</v>
      </c>
    </row>
    <row r="752" ht="14.25" customHeight="1">
      <c r="A752" s="1">
        <v>7.9</v>
      </c>
      <c r="B752" s="1">
        <v>152.0</v>
      </c>
    </row>
    <row r="753" ht="14.25" customHeight="1">
      <c r="A753" s="1">
        <v>4.3</v>
      </c>
      <c r="B753" s="1">
        <v>101.0</v>
      </c>
    </row>
    <row r="754" ht="14.25" customHeight="1">
      <c r="A754" s="1">
        <v>5.7</v>
      </c>
      <c r="B754" s="1">
        <v>87.0</v>
      </c>
    </row>
    <row r="755" ht="14.25" customHeight="1">
      <c r="A755" s="1">
        <v>6.7</v>
      </c>
      <c r="B755" s="1">
        <v>85.0</v>
      </c>
    </row>
    <row r="756" ht="14.25" customHeight="1">
      <c r="A756" s="1">
        <v>6.7</v>
      </c>
      <c r="B756" s="1">
        <v>130.0</v>
      </c>
    </row>
    <row r="757" ht="14.25" customHeight="1">
      <c r="A757" s="1">
        <v>8.1</v>
      </c>
      <c r="B757" s="1">
        <v>173.0</v>
      </c>
    </row>
    <row r="758" ht="14.25" customHeight="1">
      <c r="A758" s="1">
        <v>6.1</v>
      </c>
      <c r="B758" s="1">
        <v>104.0</v>
      </c>
    </row>
    <row r="759" ht="14.25" customHeight="1">
      <c r="A759" s="1">
        <v>5.6</v>
      </c>
      <c r="B759" s="1">
        <v>121.0</v>
      </c>
    </row>
    <row r="760" ht="14.25" customHeight="1">
      <c r="A760" s="1">
        <v>6.6</v>
      </c>
      <c r="B760" s="1">
        <v>140.0</v>
      </c>
    </row>
    <row r="761" ht="14.25" customHeight="1">
      <c r="A761" s="1">
        <v>6.9</v>
      </c>
      <c r="B761" s="1">
        <v>131.0</v>
      </c>
    </row>
    <row r="762" ht="14.25" customHeight="1">
      <c r="A762" s="1">
        <v>4.8</v>
      </c>
      <c r="B762" s="1">
        <v>91.0</v>
      </c>
    </row>
    <row r="763" ht="14.25" customHeight="1">
      <c r="A763" s="1">
        <v>6.2</v>
      </c>
      <c r="B763" s="1">
        <v>118.0</v>
      </c>
    </row>
    <row r="764" ht="14.25" customHeight="1">
      <c r="A764" s="1">
        <v>6.0</v>
      </c>
      <c r="B764" s="1">
        <v>130.0</v>
      </c>
    </row>
    <row r="765" ht="14.25" customHeight="1">
      <c r="A765" s="1">
        <v>4.9</v>
      </c>
      <c r="B765" s="1">
        <v>90.0</v>
      </c>
    </row>
    <row r="766" ht="14.25" customHeight="1">
      <c r="A766" s="1">
        <v>5.6</v>
      </c>
      <c r="B766" s="1">
        <v>103.0</v>
      </c>
    </row>
    <row r="767" ht="14.25" customHeight="1">
      <c r="A767" s="1">
        <v>6.1</v>
      </c>
      <c r="B767" s="1">
        <v>122.0</v>
      </c>
    </row>
    <row r="768" ht="14.25" customHeight="1">
      <c r="A768" s="1">
        <v>6.1</v>
      </c>
      <c r="B768" s="1">
        <v>106.0</v>
      </c>
    </row>
    <row r="769" ht="14.25" customHeight="1">
      <c r="A769" s="1">
        <v>4.8</v>
      </c>
      <c r="B769" s="1">
        <v>103.0</v>
      </c>
    </row>
    <row r="770" ht="14.25" customHeight="1">
      <c r="A770" s="1">
        <v>5.5</v>
      </c>
      <c r="B770" s="1">
        <v>107.0</v>
      </c>
    </row>
    <row r="771" ht="14.25" customHeight="1">
      <c r="A771" s="1">
        <v>3.8</v>
      </c>
      <c r="B771" s="1">
        <v>156.0</v>
      </c>
    </row>
    <row r="772" ht="14.25" customHeight="1">
      <c r="A772" s="1">
        <v>6.5</v>
      </c>
      <c r="B772" s="1">
        <v>127.0</v>
      </c>
    </row>
    <row r="773" ht="14.25" customHeight="1">
      <c r="A773" s="1">
        <v>6.7</v>
      </c>
      <c r="B773" s="1">
        <v>132.0</v>
      </c>
    </row>
    <row r="774" ht="14.25" customHeight="1">
      <c r="A774" s="1">
        <v>8.1</v>
      </c>
      <c r="B774" s="1">
        <v>108.0</v>
      </c>
    </row>
    <row r="775" ht="14.25" customHeight="1">
      <c r="A775" s="1">
        <v>4.9</v>
      </c>
      <c r="B775" s="1">
        <v>114.0</v>
      </c>
    </row>
    <row r="776" ht="14.25" customHeight="1">
      <c r="A776" s="1">
        <v>7.3</v>
      </c>
      <c r="B776" s="1">
        <v>133.0</v>
      </c>
    </row>
    <row r="777" ht="14.25" customHeight="1">
      <c r="A777" s="1">
        <v>6.4</v>
      </c>
      <c r="B777" s="1">
        <v>103.0</v>
      </c>
    </row>
    <row r="778" ht="14.25" customHeight="1">
      <c r="A778" s="1">
        <v>6.7</v>
      </c>
      <c r="B778" s="1">
        <v>95.0</v>
      </c>
    </row>
    <row r="779" ht="14.25" customHeight="1">
      <c r="A779" s="1">
        <v>3.6</v>
      </c>
      <c r="B779" s="1">
        <v>90.0</v>
      </c>
    </row>
    <row r="780" ht="14.25" customHeight="1">
      <c r="A780" s="1">
        <v>5.7</v>
      </c>
      <c r="B780" s="1">
        <v>87.0</v>
      </c>
    </row>
    <row r="781" ht="14.25" customHeight="1">
      <c r="A781" s="1">
        <v>6.0</v>
      </c>
      <c r="B781" s="1">
        <v>114.0</v>
      </c>
    </row>
    <row r="782" ht="14.25" customHeight="1">
      <c r="A782" s="1">
        <v>4.7</v>
      </c>
      <c r="B782" s="1">
        <v>103.0</v>
      </c>
    </row>
    <row r="783" ht="14.25" customHeight="1">
      <c r="A783" s="1">
        <v>6.3</v>
      </c>
      <c r="B783" s="1">
        <v>125.0</v>
      </c>
    </row>
    <row r="784" ht="14.25" customHeight="1">
      <c r="A784" s="1">
        <v>5.9</v>
      </c>
      <c r="B784" s="1">
        <v>97.0</v>
      </c>
    </row>
    <row r="785" ht="14.25" customHeight="1">
      <c r="A785" s="1">
        <v>5.9</v>
      </c>
      <c r="B785" s="1">
        <v>125.0</v>
      </c>
    </row>
    <row r="786" ht="14.25" customHeight="1">
      <c r="A786" s="1">
        <v>7.5</v>
      </c>
      <c r="B786" s="1">
        <v>136.0</v>
      </c>
    </row>
    <row r="787" ht="14.25" customHeight="1">
      <c r="A787" s="1">
        <v>5.6</v>
      </c>
      <c r="B787" s="1">
        <v>116.0</v>
      </c>
    </row>
    <row r="788" ht="14.25" customHeight="1">
      <c r="A788" s="1">
        <v>6.4</v>
      </c>
      <c r="B788" s="1">
        <v>103.0</v>
      </c>
    </row>
    <row r="789" ht="14.25" customHeight="1">
      <c r="A789" s="1">
        <v>6.3</v>
      </c>
      <c r="B789" s="1">
        <v>97.0</v>
      </c>
    </row>
    <row r="790" ht="14.25" customHeight="1">
      <c r="A790" s="1">
        <v>4.3</v>
      </c>
      <c r="B790" s="1">
        <v>96.0</v>
      </c>
    </row>
    <row r="791" ht="14.25" customHeight="1">
      <c r="A791" s="1">
        <v>5.9</v>
      </c>
      <c r="B791" s="1">
        <v>131.0</v>
      </c>
    </row>
    <row r="792" ht="14.25" customHeight="1">
      <c r="A792" s="1">
        <v>5.5</v>
      </c>
      <c r="B792" s="1">
        <v>95.0</v>
      </c>
    </row>
    <row r="793" ht="14.25" customHeight="1">
      <c r="A793" s="1">
        <v>6.2</v>
      </c>
      <c r="B793" s="1">
        <v>86.0</v>
      </c>
    </row>
    <row r="794" ht="14.25" customHeight="1">
      <c r="A794" s="1">
        <v>8.8</v>
      </c>
      <c r="B794" s="1">
        <v>142.0</v>
      </c>
    </row>
    <row r="795" ht="14.25" customHeight="1">
      <c r="A795" s="1">
        <v>5.2</v>
      </c>
      <c r="B795" s="1">
        <v>92.0</v>
      </c>
    </row>
    <row r="796" ht="14.25" customHeight="1">
      <c r="A796" s="1">
        <v>7.0</v>
      </c>
      <c r="B796" s="1">
        <v>108.0</v>
      </c>
    </row>
    <row r="797" ht="14.25" customHeight="1">
      <c r="A797" s="1">
        <v>6.6</v>
      </c>
      <c r="B797" s="1">
        <v>84.0</v>
      </c>
    </row>
    <row r="798" ht="14.25" customHeight="1">
      <c r="A798" s="1">
        <v>7.3</v>
      </c>
      <c r="B798" s="1">
        <v>188.0</v>
      </c>
    </row>
    <row r="799" ht="14.25" customHeight="1">
      <c r="A799" s="1">
        <v>5.6</v>
      </c>
      <c r="B799" s="1">
        <v>95.0</v>
      </c>
    </row>
    <row r="800" ht="14.25" customHeight="1">
      <c r="A800" s="1">
        <v>6.6</v>
      </c>
      <c r="B800" s="1">
        <v>118.0</v>
      </c>
    </row>
    <row r="801" ht="14.25" customHeight="1">
      <c r="A801" s="1">
        <v>5.4</v>
      </c>
      <c r="B801" s="1">
        <v>92.0</v>
      </c>
    </row>
    <row r="802" ht="14.25" customHeight="1">
      <c r="A802" s="1">
        <v>6.3</v>
      </c>
      <c r="B802" s="1">
        <v>74.0</v>
      </c>
    </row>
    <row r="803" ht="14.25" customHeight="1">
      <c r="A803" s="1">
        <v>7.9</v>
      </c>
      <c r="B803" s="1">
        <v>134.0</v>
      </c>
    </row>
    <row r="804" ht="14.25" customHeight="1">
      <c r="A804" s="1">
        <v>6.3</v>
      </c>
      <c r="B804" s="1">
        <v>101.0</v>
      </c>
    </row>
    <row r="805" ht="14.25" customHeight="1">
      <c r="A805" s="1">
        <v>6.0</v>
      </c>
      <c r="B805" s="1">
        <v>100.0</v>
      </c>
    </row>
    <row r="806" ht="14.25" customHeight="1">
      <c r="A806" s="1">
        <v>7.2</v>
      </c>
      <c r="B806" s="1">
        <v>132.0</v>
      </c>
    </row>
    <row r="807" ht="14.25" customHeight="1">
      <c r="A807" s="1">
        <v>5.1</v>
      </c>
      <c r="B807" s="1">
        <v>105.0</v>
      </c>
    </row>
    <row r="808" ht="14.25" customHeight="1">
      <c r="A808" s="1">
        <v>7.3</v>
      </c>
      <c r="B808" s="1">
        <v>123.0</v>
      </c>
    </row>
    <row r="809" ht="14.25" customHeight="1">
      <c r="A809" s="1">
        <v>8.0</v>
      </c>
      <c r="B809" s="1">
        <v>117.0</v>
      </c>
    </row>
    <row r="810" ht="14.25" customHeight="1">
      <c r="A810" s="1">
        <v>6.2</v>
      </c>
      <c r="B810" s="1">
        <v>98.0</v>
      </c>
    </row>
    <row r="811" ht="14.25" customHeight="1">
      <c r="A811" s="1">
        <v>6.0</v>
      </c>
      <c r="B811" s="1">
        <v>128.0</v>
      </c>
    </row>
    <row r="812" ht="14.25" customHeight="1">
      <c r="A812" s="1">
        <v>6.7</v>
      </c>
      <c r="B812" s="1">
        <v>114.0</v>
      </c>
    </row>
    <row r="813" ht="14.25" customHeight="1">
      <c r="A813" s="1">
        <v>8.1</v>
      </c>
      <c r="B813" s="1">
        <v>111.0</v>
      </c>
    </row>
    <row r="814" ht="14.25" customHeight="1">
      <c r="A814" s="1">
        <v>6.4</v>
      </c>
      <c r="B814" s="1">
        <v>85.0</v>
      </c>
    </row>
    <row r="815" ht="14.25" customHeight="1">
      <c r="A815" s="1">
        <v>8.0</v>
      </c>
      <c r="B815" s="1">
        <v>137.0</v>
      </c>
    </row>
    <row r="816" ht="14.25" customHeight="1">
      <c r="A816" s="1">
        <v>6.3</v>
      </c>
      <c r="B816" s="1">
        <v>97.0</v>
      </c>
    </row>
    <row r="817" ht="14.25" customHeight="1">
      <c r="A817" s="1">
        <v>6.4</v>
      </c>
      <c r="B817" s="1">
        <v>104.0</v>
      </c>
    </row>
    <row r="818" ht="14.25" customHeight="1">
      <c r="A818" s="1">
        <v>6.6</v>
      </c>
      <c r="B818" s="1">
        <v>110.0</v>
      </c>
    </row>
    <row r="819" ht="14.25" customHeight="1">
      <c r="A819" s="1">
        <v>6.4</v>
      </c>
      <c r="B819" s="1">
        <v>133.0</v>
      </c>
    </row>
    <row r="820" ht="14.25" customHeight="1">
      <c r="A820" s="1">
        <v>6.0</v>
      </c>
      <c r="B820" s="1">
        <v>94.0</v>
      </c>
    </row>
    <row r="821" ht="14.25" customHeight="1">
      <c r="A821" s="1">
        <v>6.6</v>
      </c>
      <c r="B821" s="1">
        <v>104.0</v>
      </c>
    </row>
    <row r="822" ht="14.25" customHeight="1">
      <c r="A822" s="1">
        <v>5.9</v>
      </c>
      <c r="B822" s="1">
        <v>91.0</v>
      </c>
    </row>
    <row r="823" ht="14.25" customHeight="1">
      <c r="A823" s="1">
        <v>6.4</v>
      </c>
      <c r="B823" s="1">
        <v>145.0</v>
      </c>
    </row>
    <row r="824" ht="14.25" customHeight="1">
      <c r="A824" s="1">
        <v>6.3</v>
      </c>
      <c r="B824" s="1">
        <v>135.0</v>
      </c>
    </row>
    <row r="825" ht="14.25" customHeight="1">
      <c r="A825" s="1">
        <v>7.3</v>
      </c>
      <c r="B825" s="1">
        <v>122.0</v>
      </c>
    </row>
    <row r="826" ht="14.25" customHeight="1">
      <c r="A826" s="1">
        <v>6.8</v>
      </c>
      <c r="B826" s="1">
        <v>110.0</v>
      </c>
    </row>
    <row r="827" ht="14.25" customHeight="1">
      <c r="A827" s="1">
        <v>7.2</v>
      </c>
      <c r="B827" s="1">
        <v>95.0</v>
      </c>
    </row>
    <row r="828" ht="14.25" customHeight="1">
      <c r="A828" s="1">
        <v>5.7</v>
      </c>
      <c r="B828" s="1">
        <v>102.0</v>
      </c>
    </row>
    <row r="829" ht="14.25" customHeight="1">
      <c r="A829" s="1">
        <v>6.0</v>
      </c>
      <c r="B829" s="1">
        <v>94.0</v>
      </c>
    </row>
    <row r="830" ht="14.25" customHeight="1">
      <c r="A830" s="1">
        <v>6.5</v>
      </c>
      <c r="B830" s="1">
        <v>126.0</v>
      </c>
    </row>
    <row r="831" ht="14.25" customHeight="1">
      <c r="A831" s="1">
        <v>5.8</v>
      </c>
      <c r="B831" s="1">
        <v>118.0</v>
      </c>
    </row>
    <row r="832" ht="14.25" customHeight="1">
      <c r="A832" s="1">
        <v>5.8</v>
      </c>
      <c r="B832" s="1">
        <v>99.0</v>
      </c>
    </row>
    <row r="833" ht="14.25" customHeight="1">
      <c r="A833" s="1">
        <v>6.7</v>
      </c>
      <c r="B833" s="1">
        <v>88.0</v>
      </c>
    </row>
    <row r="834" ht="14.25" customHeight="1">
      <c r="A834" s="1">
        <v>7.8</v>
      </c>
      <c r="B834" s="1">
        <v>141.0</v>
      </c>
    </row>
    <row r="835" ht="14.25" customHeight="1">
      <c r="A835" s="1">
        <v>5.6</v>
      </c>
      <c r="B835" s="1">
        <v>107.0</v>
      </c>
    </row>
    <row r="836" ht="14.25" customHeight="1">
      <c r="A836" s="1">
        <v>5.8</v>
      </c>
      <c r="B836" s="1">
        <v>116.0</v>
      </c>
    </row>
    <row r="837" ht="14.25" customHeight="1">
      <c r="A837" s="1">
        <v>7.4</v>
      </c>
      <c r="B837" s="1">
        <v>143.0</v>
      </c>
    </row>
    <row r="838" ht="14.25" customHeight="1">
      <c r="A838" s="1">
        <v>6.9</v>
      </c>
      <c r="B838" s="1">
        <v>114.0</v>
      </c>
    </row>
    <row r="839" ht="14.25" customHeight="1">
      <c r="A839" s="1">
        <v>5.5</v>
      </c>
      <c r="B839" s="1">
        <v>93.0</v>
      </c>
    </row>
    <row r="840" ht="14.25" customHeight="1">
      <c r="A840" s="1">
        <v>6.3</v>
      </c>
      <c r="B840" s="1">
        <v>280.0</v>
      </c>
    </row>
    <row r="841" ht="14.25" customHeight="1">
      <c r="A841" s="1">
        <v>4.7</v>
      </c>
      <c r="B841" s="1">
        <v>100.0</v>
      </c>
    </row>
    <row r="842" ht="14.25" customHeight="1">
      <c r="A842" s="1">
        <v>5.6</v>
      </c>
      <c r="B842" s="1">
        <v>107.0</v>
      </c>
    </row>
    <row r="843" ht="14.25" customHeight="1">
      <c r="A843" s="1">
        <v>6.4</v>
      </c>
      <c r="B843" s="1">
        <v>119.0</v>
      </c>
    </row>
    <row r="844" ht="14.25" customHeight="1">
      <c r="A844" s="1">
        <v>4.2</v>
      </c>
      <c r="B844" s="1">
        <v>95.0</v>
      </c>
    </row>
    <row r="845" ht="14.25" customHeight="1">
      <c r="A845" s="1">
        <v>6.4</v>
      </c>
      <c r="B845" s="1">
        <v>119.0</v>
      </c>
    </row>
    <row r="846" ht="14.25" customHeight="1">
      <c r="A846" s="1">
        <v>7.7</v>
      </c>
      <c r="B846" s="1">
        <v>133.0</v>
      </c>
    </row>
    <row r="847" ht="14.25" customHeight="1">
      <c r="A847" s="1">
        <v>6.7</v>
      </c>
      <c r="B847" s="1">
        <v>117.0</v>
      </c>
    </row>
    <row r="848" ht="14.25" customHeight="1">
      <c r="A848" s="1">
        <v>7.7</v>
      </c>
      <c r="B848" s="1">
        <v>123.0</v>
      </c>
    </row>
    <row r="849" ht="14.25" customHeight="1">
      <c r="A849" s="1">
        <v>5.7</v>
      </c>
      <c r="B849" s="1">
        <v>92.0</v>
      </c>
    </row>
    <row r="850" ht="14.25" customHeight="1">
      <c r="A850" s="1">
        <v>7.6</v>
      </c>
      <c r="B850" s="1">
        <v>170.0</v>
      </c>
    </row>
    <row r="851" ht="14.25" customHeight="1">
      <c r="A851" s="1">
        <v>6.4</v>
      </c>
      <c r="B851" s="1">
        <v>123.0</v>
      </c>
    </row>
    <row r="852" ht="14.25" customHeight="1">
      <c r="A852" s="1">
        <v>5.6</v>
      </c>
      <c r="B852" s="1">
        <v>110.0</v>
      </c>
    </row>
    <row r="853" ht="14.25" customHeight="1">
      <c r="A853" s="1">
        <v>6.8</v>
      </c>
      <c r="B853" s="1">
        <v>116.0</v>
      </c>
    </row>
    <row r="854" ht="14.25" customHeight="1">
      <c r="A854" s="1">
        <v>2.4</v>
      </c>
      <c r="B854" s="1">
        <v>121.0</v>
      </c>
    </row>
    <row r="855" ht="14.25" customHeight="1">
      <c r="A855" s="1">
        <v>6.2</v>
      </c>
      <c r="B855" s="1">
        <v>128.0</v>
      </c>
    </row>
    <row r="856" ht="14.25" customHeight="1">
      <c r="A856" s="1">
        <v>5.9</v>
      </c>
      <c r="B856" s="1">
        <v>99.0</v>
      </c>
    </row>
    <row r="857" ht="14.25" customHeight="1">
      <c r="A857" s="1">
        <v>7.1</v>
      </c>
      <c r="B857" s="1">
        <v>94.0</v>
      </c>
    </row>
    <row r="858" ht="14.25" customHeight="1">
      <c r="A858" s="1">
        <v>7.6</v>
      </c>
      <c r="B858" s="1">
        <v>127.0</v>
      </c>
    </row>
    <row r="859" ht="14.25" customHeight="1">
      <c r="A859" s="1">
        <v>5.5</v>
      </c>
      <c r="B859" s="1">
        <v>89.0</v>
      </c>
    </row>
    <row r="860" ht="14.25" customHeight="1">
      <c r="A860" s="1">
        <v>7.0</v>
      </c>
      <c r="B860" s="1">
        <v>123.0</v>
      </c>
    </row>
    <row r="861" ht="14.25" customHeight="1">
      <c r="A861" s="1">
        <v>7.1</v>
      </c>
      <c r="B861" s="1">
        <v>135.0</v>
      </c>
    </row>
    <row r="862" ht="14.25" customHeight="1">
      <c r="A862" s="1">
        <v>7.4</v>
      </c>
      <c r="B862" s="1">
        <v>118.0</v>
      </c>
    </row>
    <row r="863" ht="14.25" customHeight="1">
      <c r="A863" s="1">
        <v>7.6</v>
      </c>
      <c r="B863" s="1">
        <v>189.0</v>
      </c>
    </row>
    <row r="864" ht="14.25" customHeight="1">
      <c r="A864" s="1">
        <v>5.9</v>
      </c>
      <c r="B864" s="1">
        <v>172.0</v>
      </c>
    </row>
    <row r="865" ht="14.25" customHeight="1">
      <c r="A865" s="1">
        <v>5.9</v>
      </c>
      <c r="B865" s="1">
        <v>124.0</v>
      </c>
    </row>
    <row r="866" ht="14.25" customHeight="1">
      <c r="A866" s="1">
        <v>8.0</v>
      </c>
      <c r="B866" s="1">
        <v>141.0</v>
      </c>
    </row>
    <row r="867" ht="14.25" customHeight="1">
      <c r="A867" s="1">
        <v>7.4</v>
      </c>
      <c r="B867" s="1">
        <v>157.0</v>
      </c>
    </row>
    <row r="868" ht="14.25" customHeight="1">
      <c r="A868" s="1">
        <v>5.8</v>
      </c>
      <c r="B868" s="1">
        <v>106.0</v>
      </c>
    </row>
    <row r="869" ht="14.25" customHeight="1">
      <c r="A869" s="1">
        <v>6.3</v>
      </c>
      <c r="B869" s="1">
        <v>108.0</v>
      </c>
    </row>
    <row r="870" ht="14.25" customHeight="1">
      <c r="A870" s="1">
        <v>5.7</v>
      </c>
      <c r="B870" s="1">
        <v>125.0</v>
      </c>
    </row>
    <row r="871" ht="14.25" customHeight="1">
      <c r="A871" s="1">
        <v>5.1</v>
      </c>
      <c r="B871" s="1">
        <v>107.0</v>
      </c>
    </row>
    <row r="872" ht="14.25" customHeight="1">
      <c r="A872" s="1">
        <v>7.6</v>
      </c>
      <c r="B872" s="1">
        <v>215.0</v>
      </c>
    </row>
    <row r="873" ht="14.25" customHeight="1">
      <c r="A873" s="1">
        <v>6.4</v>
      </c>
      <c r="B873" s="1">
        <v>118.0</v>
      </c>
    </row>
    <row r="874" ht="14.25" customHeight="1">
      <c r="A874" s="1">
        <v>7.4</v>
      </c>
      <c r="B874" s="1">
        <v>118.0</v>
      </c>
    </row>
    <row r="875" ht="14.25" customHeight="1">
      <c r="A875" s="1">
        <v>8.2</v>
      </c>
      <c r="B875" s="1">
        <v>178.0</v>
      </c>
    </row>
    <row r="876" ht="14.25" customHeight="1">
      <c r="A876" s="1">
        <v>6.5</v>
      </c>
      <c r="B876" s="1">
        <v>92.0</v>
      </c>
    </row>
    <row r="877" ht="14.25" customHeight="1">
      <c r="A877" s="1">
        <v>5.5</v>
      </c>
      <c r="B877" s="1">
        <v>104.0</v>
      </c>
    </row>
    <row r="878" ht="14.25" customHeight="1">
      <c r="A878" s="1">
        <v>6.5</v>
      </c>
      <c r="B878" s="1">
        <v>116.0</v>
      </c>
    </row>
    <row r="879" ht="14.25" customHeight="1">
      <c r="A879" s="1">
        <v>5.6</v>
      </c>
      <c r="B879" s="1">
        <v>90.0</v>
      </c>
    </row>
    <row r="880" ht="14.25" customHeight="1">
      <c r="A880" s="1">
        <v>4.6</v>
      </c>
      <c r="B880" s="1">
        <v>130.0</v>
      </c>
    </row>
    <row r="881" ht="14.25" customHeight="1">
      <c r="A881" s="1">
        <v>7.9</v>
      </c>
      <c r="B881" s="1">
        <v>90.0</v>
      </c>
    </row>
    <row r="882" ht="14.25" customHeight="1">
      <c r="A882" s="1">
        <v>7.1</v>
      </c>
      <c r="B882" s="1">
        <v>106.0</v>
      </c>
    </row>
    <row r="883" ht="14.25" customHeight="1">
      <c r="A883" s="1">
        <v>6.9</v>
      </c>
      <c r="B883" s="1">
        <v>155.0</v>
      </c>
    </row>
    <row r="884" ht="14.25" customHeight="1">
      <c r="A884" s="1">
        <v>7.3</v>
      </c>
      <c r="B884" s="1">
        <v>139.0</v>
      </c>
    </row>
    <row r="885" ht="14.25" customHeight="1">
      <c r="A885" s="1">
        <v>7.0</v>
      </c>
      <c r="B885" s="1">
        <v>112.0</v>
      </c>
    </row>
    <row r="886" ht="14.25" customHeight="1">
      <c r="A886" s="1">
        <v>7.7</v>
      </c>
      <c r="B886" s="1">
        <v>139.0</v>
      </c>
    </row>
    <row r="887" ht="14.25" customHeight="1">
      <c r="A887" s="1">
        <v>6.7</v>
      </c>
      <c r="B887" s="1">
        <v>115.0</v>
      </c>
    </row>
    <row r="888" ht="14.25" customHeight="1">
      <c r="A888" s="1">
        <v>6.3</v>
      </c>
      <c r="B888" s="1">
        <v>143.0</v>
      </c>
    </row>
    <row r="889" ht="14.25" customHeight="1">
      <c r="A889" s="1">
        <v>5.8</v>
      </c>
      <c r="B889" s="1">
        <v>96.0</v>
      </c>
    </row>
    <row r="890" ht="14.25" customHeight="1">
      <c r="A890" s="1">
        <v>7.1</v>
      </c>
      <c r="B890" s="1">
        <v>112.0</v>
      </c>
    </row>
    <row r="891" ht="14.25" customHeight="1">
      <c r="A891" s="1">
        <v>7.3</v>
      </c>
      <c r="B891" s="1">
        <v>131.0</v>
      </c>
    </row>
    <row r="892" ht="14.25" customHeight="1">
      <c r="A892" s="1">
        <v>6.4</v>
      </c>
      <c r="B892" s="1">
        <v>116.0</v>
      </c>
    </row>
    <row r="893" ht="14.25" customHeight="1">
      <c r="A893" s="1">
        <v>7.1</v>
      </c>
      <c r="B893" s="1">
        <v>112.0</v>
      </c>
    </row>
    <row r="894" ht="14.25" customHeight="1">
      <c r="A894" s="1">
        <v>7.6</v>
      </c>
      <c r="B894" s="1">
        <v>123.0</v>
      </c>
    </row>
    <row r="895" ht="14.25" customHeight="1">
      <c r="A895" s="1">
        <v>6.8</v>
      </c>
      <c r="B895" s="1">
        <v>104.0</v>
      </c>
    </row>
    <row r="896" ht="14.25" customHeight="1">
      <c r="A896" s="1">
        <v>6.6</v>
      </c>
      <c r="B896" s="1">
        <v>107.0</v>
      </c>
    </row>
    <row r="897" ht="14.25" customHeight="1">
      <c r="A897" s="1">
        <v>6.7</v>
      </c>
      <c r="B897" s="1">
        <v>124.0</v>
      </c>
    </row>
    <row r="898" ht="14.25" customHeight="1">
      <c r="A898" s="1">
        <v>6.1</v>
      </c>
      <c r="B898" s="1">
        <v>96.0</v>
      </c>
    </row>
    <row r="899" ht="14.25" customHeight="1">
      <c r="A899" s="1">
        <v>6.0</v>
      </c>
      <c r="B899" s="1">
        <v>125.0</v>
      </c>
    </row>
    <row r="900" ht="14.25" customHeight="1">
      <c r="A900" s="1">
        <v>7.6</v>
      </c>
      <c r="B900" s="1">
        <v>129.0</v>
      </c>
    </row>
    <row r="901" ht="14.25" customHeight="1">
      <c r="A901" s="1">
        <v>7.1</v>
      </c>
      <c r="B901" s="1">
        <v>90.0</v>
      </c>
    </row>
    <row r="902" ht="14.25" customHeight="1">
      <c r="A902" s="1">
        <v>5.0</v>
      </c>
      <c r="B902" s="1">
        <v>109.0</v>
      </c>
    </row>
    <row r="903" ht="14.25" customHeight="1">
      <c r="A903" s="1">
        <v>6.2</v>
      </c>
      <c r="B903" s="1">
        <v>121.0</v>
      </c>
    </row>
    <row r="904" ht="14.25" customHeight="1">
      <c r="A904" s="1">
        <v>5.6</v>
      </c>
      <c r="B904" s="1">
        <v>95.0</v>
      </c>
    </row>
    <row r="905" ht="14.25" customHeight="1">
      <c r="A905" s="1">
        <v>7.4</v>
      </c>
      <c r="B905" s="1">
        <v>118.0</v>
      </c>
    </row>
    <row r="906" ht="14.25" customHeight="1">
      <c r="A906" s="1">
        <v>5.0</v>
      </c>
      <c r="B906" s="1">
        <v>80.0</v>
      </c>
    </row>
    <row r="907" ht="14.25" customHeight="1">
      <c r="A907" s="1">
        <v>5.2</v>
      </c>
      <c r="B907" s="1">
        <v>99.0</v>
      </c>
    </row>
    <row r="908" ht="14.25" customHeight="1">
      <c r="A908" s="1">
        <v>7.6</v>
      </c>
      <c r="B908" s="1">
        <v>133.0</v>
      </c>
    </row>
    <row r="909" ht="14.25" customHeight="1">
      <c r="A909" s="1">
        <v>6.6</v>
      </c>
      <c r="B909" s="1">
        <v>127.0</v>
      </c>
    </row>
    <row r="910" ht="14.25" customHeight="1">
      <c r="A910" s="1">
        <v>7.0</v>
      </c>
      <c r="B910" s="1">
        <v>106.0</v>
      </c>
    </row>
    <row r="911" ht="14.25" customHeight="1">
      <c r="A911" s="1">
        <v>5.7</v>
      </c>
      <c r="B911" s="1">
        <v>98.0</v>
      </c>
    </row>
    <row r="912" ht="14.25" customHeight="1">
      <c r="A912" s="1">
        <v>8.2</v>
      </c>
      <c r="B912" s="1">
        <v>132.0</v>
      </c>
    </row>
    <row r="913" ht="14.25" customHeight="1">
      <c r="A913" s="1">
        <v>6.2</v>
      </c>
      <c r="B913" s="1">
        <v>114.0</v>
      </c>
    </row>
    <row r="914" ht="14.25" customHeight="1">
      <c r="A914" s="1">
        <v>6.6</v>
      </c>
      <c r="B914" s="1">
        <v>78.0</v>
      </c>
    </row>
    <row r="915" ht="14.25" customHeight="1">
      <c r="A915" s="1">
        <v>4.7</v>
      </c>
      <c r="B915" s="1">
        <v>101.0</v>
      </c>
    </row>
    <row r="916" ht="14.25" customHeight="1">
      <c r="A916" s="1">
        <v>6.3</v>
      </c>
      <c r="B916" s="1">
        <v>113.0</v>
      </c>
    </row>
    <row r="917" ht="14.25" customHeight="1">
      <c r="A917" s="1">
        <v>6.1</v>
      </c>
      <c r="B917" s="1">
        <v>98.0</v>
      </c>
    </row>
    <row r="918" ht="14.25" customHeight="1">
      <c r="A918" s="1">
        <v>6.7</v>
      </c>
      <c r="B918" s="1">
        <v>124.0</v>
      </c>
    </row>
    <row r="919" ht="14.25" customHeight="1">
      <c r="A919" s="1">
        <v>6.1</v>
      </c>
      <c r="B919" s="1">
        <v>109.0</v>
      </c>
    </row>
    <row r="920" ht="14.25" customHeight="1">
      <c r="A920" s="1">
        <v>7.0</v>
      </c>
      <c r="B920" s="1">
        <v>128.0</v>
      </c>
    </row>
    <row r="921" ht="14.25" customHeight="1">
      <c r="A921" s="1">
        <v>7.4</v>
      </c>
      <c r="B921" s="1">
        <v>144.0</v>
      </c>
    </row>
    <row r="922" ht="14.25" customHeight="1">
      <c r="A922" s="1">
        <v>7.3</v>
      </c>
      <c r="B922" s="1">
        <v>95.0</v>
      </c>
    </row>
    <row r="923" ht="14.25" customHeight="1">
      <c r="A923" s="1">
        <v>5.8</v>
      </c>
      <c r="B923" s="1">
        <v>105.0</v>
      </c>
    </row>
    <row r="924" ht="14.25" customHeight="1">
      <c r="A924" s="1">
        <v>6.7</v>
      </c>
      <c r="B924" s="1">
        <v>121.0</v>
      </c>
    </row>
    <row r="925" ht="14.25" customHeight="1">
      <c r="A925" s="1">
        <v>5.8</v>
      </c>
      <c r="B925" s="1">
        <v>125.0</v>
      </c>
    </row>
    <row r="926" ht="14.25" customHeight="1">
      <c r="A926" s="1">
        <v>7.8</v>
      </c>
      <c r="B926" s="1">
        <v>129.0</v>
      </c>
    </row>
    <row r="927" ht="14.25" customHeight="1">
      <c r="A927" s="1">
        <v>6.6</v>
      </c>
      <c r="B927" s="1">
        <v>132.0</v>
      </c>
    </row>
    <row r="928" ht="14.25" customHeight="1">
      <c r="A928" s="1">
        <v>6.5</v>
      </c>
      <c r="B928" s="1">
        <v>118.0</v>
      </c>
    </row>
    <row r="929" ht="14.25" customHeight="1">
      <c r="A929" s="1">
        <v>6.7</v>
      </c>
      <c r="B929" s="1">
        <v>113.0</v>
      </c>
    </row>
    <row r="930" ht="14.25" customHeight="1">
      <c r="A930" s="1">
        <v>7.3</v>
      </c>
      <c r="B930" s="1">
        <v>140.0</v>
      </c>
    </row>
    <row r="931" ht="14.25" customHeight="1">
      <c r="A931" s="1">
        <v>5.8</v>
      </c>
      <c r="B931" s="1">
        <v>89.0</v>
      </c>
    </row>
    <row r="932" ht="14.25" customHeight="1">
      <c r="A932" s="1">
        <v>5.5</v>
      </c>
      <c r="B932" s="1">
        <v>104.0</v>
      </c>
    </row>
    <row r="933" ht="14.25" customHeight="1">
      <c r="A933" s="1">
        <v>6.3</v>
      </c>
      <c r="B933" s="1">
        <v>106.0</v>
      </c>
    </row>
    <row r="934" ht="14.25" customHeight="1">
      <c r="A934" s="1">
        <v>7.4</v>
      </c>
      <c r="B934" s="1">
        <v>141.0</v>
      </c>
    </row>
    <row r="935" ht="14.25" customHeight="1">
      <c r="A935" s="1">
        <v>5.9</v>
      </c>
      <c r="B935" s="1">
        <v>124.0</v>
      </c>
    </row>
    <row r="936" ht="14.25" customHeight="1">
      <c r="A936" s="1">
        <v>6.2</v>
      </c>
      <c r="B936" s="1">
        <v>98.0</v>
      </c>
    </row>
    <row r="937" ht="14.25" customHeight="1">
      <c r="A937" s="1">
        <v>5.9</v>
      </c>
      <c r="B937" s="1">
        <v>108.0</v>
      </c>
    </row>
    <row r="938" ht="14.25" customHeight="1">
      <c r="A938" s="1">
        <v>6.5</v>
      </c>
      <c r="B938" s="1">
        <v>114.0</v>
      </c>
    </row>
    <row r="939" ht="14.25" customHeight="1">
      <c r="A939" s="1">
        <v>4.4</v>
      </c>
      <c r="B939" s="1">
        <v>101.0</v>
      </c>
    </row>
    <row r="940" ht="14.25" customHeight="1">
      <c r="A940" s="1">
        <v>3.5</v>
      </c>
      <c r="B940" s="1">
        <v>93.0</v>
      </c>
    </row>
    <row r="941" ht="14.25" customHeight="1">
      <c r="A941" s="1">
        <v>6.6</v>
      </c>
      <c r="B941" s="1">
        <v>119.0</v>
      </c>
    </row>
    <row r="942" ht="14.25" customHeight="1">
      <c r="A942" s="1">
        <v>6.0</v>
      </c>
      <c r="B942" s="1">
        <v>119.0</v>
      </c>
    </row>
    <row r="943" ht="14.25" customHeight="1">
      <c r="A943" s="1">
        <v>6.4</v>
      </c>
      <c r="B943" s="1">
        <v>99.0</v>
      </c>
    </row>
    <row r="944" ht="14.25" customHeight="1">
      <c r="A944" s="1">
        <v>6.5</v>
      </c>
      <c r="B944" s="1">
        <v>137.0</v>
      </c>
    </row>
    <row r="945" ht="14.25" customHeight="1">
      <c r="A945" s="1">
        <v>4.3</v>
      </c>
      <c r="B945" s="1">
        <v>117.0</v>
      </c>
    </row>
    <row r="946" ht="14.25" customHeight="1">
      <c r="A946" s="1">
        <v>4.2</v>
      </c>
      <c r="B946" s="1">
        <v>87.0</v>
      </c>
    </row>
    <row r="947" ht="14.25" customHeight="1">
      <c r="A947" s="1">
        <v>6.5</v>
      </c>
      <c r="B947" s="1">
        <v>129.0</v>
      </c>
    </row>
    <row r="948" ht="14.25" customHeight="1">
      <c r="A948" s="1">
        <v>6.1</v>
      </c>
      <c r="B948" s="1">
        <v>115.0</v>
      </c>
    </row>
    <row r="949" ht="14.25" customHeight="1">
      <c r="A949" s="1">
        <v>6.3</v>
      </c>
      <c r="B949" s="1">
        <v>132.0</v>
      </c>
    </row>
    <row r="950" ht="14.25" customHeight="1">
      <c r="A950" s="1">
        <v>6.2</v>
      </c>
      <c r="B950" s="1">
        <v>131.0</v>
      </c>
    </row>
    <row r="951" ht="14.25" customHeight="1">
      <c r="A951" s="1">
        <v>5.9</v>
      </c>
      <c r="B951" s="1">
        <v>95.0</v>
      </c>
    </row>
    <row r="952" ht="14.25" customHeight="1">
      <c r="A952" s="1">
        <v>5.9</v>
      </c>
      <c r="B952" s="1">
        <v>125.0</v>
      </c>
    </row>
    <row r="953" ht="14.25" customHeight="1">
      <c r="A953" s="1">
        <v>6.5</v>
      </c>
      <c r="B953" s="1">
        <v>98.0</v>
      </c>
    </row>
    <row r="954" ht="14.25" customHeight="1">
      <c r="A954" s="1">
        <v>6.4</v>
      </c>
      <c r="B954" s="1">
        <v>110.0</v>
      </c>
    </row>
    <row r="955" ht="14.25" customHeight="1">
      <c r="A955" s="1">
        <v>6.5</v>
      </c>
      <c r="B955" s="1">
        <v>118.0</v>
      </c>
    </row>
    <row r="956" ht="14.25" customHeight="1">
      <c r="A956" s="1">
        <v>5.7</v>
      </c>
      <c r="B956" s="1">
        <v>101.0</v>
      </c>
    </row>
    <row r="957" ht="14.25" customHeight="1">
      <c r="A957" s="1">
        <v>8.0</v>
      </c>
      <c r="B957" s="1">
        <v>90.0</v>
      </c>
    </row>
    <row r="958" ht="14.25" customHeight="1">
      <c r="A958" s="1">
        <v>7.3</v>
      </c>
      <c r="B958" s="1">
        <v>119.0</v>
      </c>
    </row>
    <row r="959" ht="14.25" customHeight="1">
      <c r="A959" s="1">
        <v>6.7</v>
      </c>
      <c r="B959" s="1">
        <v>139.0</v>
      </c>
    </row>
    <row r="960" ht="14.25" customHeight="1">
      <c r="A960" s="1">
        <v>7.5</v>
      </c>
      <c r="B960" s="1">
        <v>130.0</v>
      </c>
    </row>
    <row r="961" ht="14.25" customHeight="1">
      <c r="A961" s="1">
        <v>5.4</v>
      </c>
      <c r="B961" s="1">
        <v>100.0</v>
      </c>
    </row>
    <row r="962" ht="14.25" customHeight="1">
      <c r="A962" s="1">
        <v>6.6</v>
      </c>
      <c r="B962" s="1">
        <v>114.0</v>
      </c>
    </row>
    <row r="963" ht="14.25" customHeight="1">
      <c r="A963" s="1">
        <v>7.7</v>
      </c>
      <c r="B963" s="1">
        <v>96.0</v>
      </c>
    </row>
    <row r="964" ht="14.25" customHeight="1">
      <c r="A964" s="1">
        <v>5.8</v>
      </c>
      <c r="B964" s="1">
        <v>110.0</v>
      </c>
    </row>
    <row r="965" ht="14.25" customHeight="1">
      <c r="A965" s="1">
        <v>6.4</v>
      </c>
      <c r="B965" s="1">
        <v>158.0</v>
      </c>
    </row>
    <row r="966" ht="14.25" customHeight="1">
      <c r="A966" s="1">
        <v>5.6</v>
      </c>
      <c r="B966" s="1">
        <v>102.0</v>
      </c>
    </row>
    <row r="967" ht="14.25" customHeight="1">
      <c r="A967" s="1">
        <v>6.0</v>
      </c>
      <c r="B967" s="1">
        <v>84.0</v>
      </c>
    </row>
    <row r="968" ht="14.25" customHeight="1">
      <c r="A968" s="1">
        <v>6.2</v>
      </c>
      <c r="B968" s="1">
        <v>115.0</v>
      </c>
    </row>
    <row r="969" ht="14.25" customHeight="1">
      <c r="A969" s="1">
        <v>5.9</v>
      </c>
      <c r="B969" s="1">
        <v>99.0</v>
      </c>
    </row>
    <row r="970" ht="14.25" customHeight="1">
      <c r="A970" s="1">
        <v>5.1</v>
      </c>
      <c r="B970" s="1">
        <v>135.0</v>
      </c>
    </row>
    <row r="971" ht="14.25" customHeight="1">
      <c r="A971" s="1">
        <v>6.8</v>
      </c>
      <c r="B971" s="1">
        <v>108.0</v>
      </c>
    </row>
    <row r="972" ht="14.25" customHeight="1">
      <c r="A972" s="1">
        <v>6.0</v>
      </c>
      <c r="B972" s="1">
        <v>127.0</v>
      </c>
    </row>
    <row r="973" ht="14.25" customHeight="1">
      <c r="A973" s="1">
        <v>5.1</v>
      </c>
      <c r="B973" s="1">
        <v>107.0</v>
      </c>
    </row>
    <row r="974" ht="14.25" customHeight="1">
      <c r="A974" s="1">
        <v>5.8</v>
      </c>
      <c r="B974" s="1">
        <v>95.0</v>
      </c>
    </row>
    <row r="975" ht="14.25" customHeight="1">
      <c r="A975" s="1">
        <v>6.2</v>
      </c>
      <c r="B975" s="1">
        <v>124.0</v>
      </c>
    </row>
    <row r="976" ht="14.25" customHeight="1">
      <c r="A976" s="1">
        <v>6.4</v>
      </c>
      <c r="B976" s="1">
        <v>109.0</v>
      </c>
    </row>
    <row r="977" ht="14.25" customHeight="1">
      <c r="A977" s="1">
        <v>4.8</v>
      </c>
      <c r="B977" s="1">
        <v>102.0</v>
      </c>
    </row>
    <row r="978" ht="14.25" customHeight="1">
      <c r="A978" s="1">
        <v>4.9</v>
      </c>
      <c r="B978" s="1">
        <v>88.0</v>
      </c>
    </row>
    <row r="979" ht="14.25" customHeight="1">
      <c r="A979" s="1">
        <v>5.6</v>
      </c>
      <c r="B979" s="1">
        <v>87.0</v>
      </c>
    </row>
    <row r="980" ht="14.25" customHeight="1">
      <c r="A980" s="1">
        <v>5.5</v>
      </c>
      <c r="B980" s="1">
        <v>104.0</v>
      </c>
    </row>
    <row r="981" ht="14.25" customHeight="1">
      <c r="A981" s="1">
        <v>3.7</v>
      </c>
      <c r="B981" s="1">
        <v>96.0</v>
      </c>
    </row>
    <row r="982" ht="14.25" customHeight="1">
      <c r="A982" s="1">
        <v>5.9</v>
      </c>
      <c r="B982" s="1">
        <v>85.0</v>
      </c>
    </row>
    <row r="983" ht="14.25" customHeight="1">
      <c r="A983" s="1">
        <v>6.3</v>
      </c>
      <c r="B983" s="1">
        <v>104.0</v>
      </c>
    </row>
    <row r="984" ht="14.25" customHeight="1">
      <c r="A984" s="1">
        <v>7.6</v>
      </c>
      <c r="B984" s="1">
        <v>190.0</v>
      </c>
    </row>
    <row r="985" ht="14.25" customHeight="1">
      <c r="A985" s="1">
        <v>8.3</v>
      </c>
      <c r="B985" s="1">
        <v>127.0</v>
      </c>
    </row>
    <row r="986" ht="14.25" customHeight="1">
      <c r="A986" s="1">
        <v>6.9</v>
      </c>
      <c r="B986" s="1">
        <v>120.0</v>
      </c>
    </row>
    <row r="987" ht="14.25" customHeight="1">
      <c r="A987" s="1">
        <v>6.7</v>
      </c>
      <c r="B987" s="1">
        <v>118.0</v>
      </c>
    </row>
    <row r="988" ht="14.25" customHeight="1">
      <c r="A988" s="1">
        <v>6.8</v>
      </c>
      <c r="B988" s="1">
        <v>112.0</v>
      </c>
    </row>
    <row r="989" ht="14.25" customHeight="1">
      <c r="A989" s="1">
        <v>7.1</v>
      </c>
      <c r="B989" s="1">
        <v>114.0</v>
      </c>
    </row>
    <row r="990" ht="14.25" customHeight="1">
      <c r="A990" s="1">
        <v>6.4</v>
      </c>
      <c r="B990" s="1">
        <v>137.0</v>
      </c>
    </row>
    <row r="991" ht="14.25" customHeight="1">
      <c r="A991" s="1">
        <v>6.4</v>
      </c>
      <c r="B991" s="1">
        <v>112.0</v>
      </c>
    </row>
    <row r="992" ht="14.25" customHeight="1">
      <c r="A992" s="1">
        <v>7.4</v>
      </c>
      <c r="B992" s="1">
        <v>120.0</v>
      </c>
    </row>
    <row r="993" ht="14.25" customHeight="1">
      <c r="A993" s="1">
        <v>6.4</v>
      </c>
      <c r="B993" s="1">
        <v>123.0</v>
      </c>
    </row>
    <row r="994" ht="14.25" customHeight="1">
      <c r="A994" s="1">
        <v>6.0</v>
      </c>
      <c r="B994" s="1">
        <v>93.0</v>
      </c>
    </row>
    <row r="995" ht="14.25" customHeight="1">
      <c r="A995" s="1">
        <v>6.5</v>
      </c>
      <c r="B995" s="1">
        <v>123.0</v>
      </c>
    </row>
    <row r="996" ht="14.25" customHeight="1">
      <c r="A996" s="1">
        <v>7.8</v>
      </c>
      <c r="B996" s="1">
        <v>122.0</v>
      </c>
    </row>
    <row r="997" ht="14.25" customHeight="1">
      <c r="A997" s="1">
        <v>6.0</v>
      </c>
      <c r="B997" s="1">
        <v>115.0</v>
      </c>
    </row>
    <row r="998" ht="14.25" customHeight="1">
      <c r="A998" s="1">
        <v>7.0</v>
      </c>
      <c r="B998" s="1">
        <v>123.0</v>
      </c>
    </row>
    <row r="999" ht="14.25" customHeight="1">
      <c r="A999" s="1">
        <v>6.0</v>
      </c>
      <c r="B999" s="1">
        <v>96.0</v>
      </c>
    </row>
    <row r="1000" ht="14.25" customHeight="1">
      <c r="A1000" s="1">
        <v>6.1</v>
      </c>
      <c r="B1000" s="1">
        <v>105.0</v>
      </c>
    </row>
    <row r="1001" ht="14.25" customHeight="1">
      <c r="A1001" s="1">
        <v>6.8</v>
      </c>
      <c r="B1001" s="1">
        <v>113.0</v>
      </c>
    </row>
    <row r="1002" ht="14.25" customHeight="1">
      <c r="A1002" s="1">
        <v>6.4</v>
      </c>
      <c r="B1002" s="1">
        <v>132.0</v>
      </c>
    </row>
    <row r="1003" ht="14.25" customHeight="1">
      <c r="A1003" s="1">
        <v>4.5</v>
      </c>
      <c r="B1003" s="1">
        <v>75.0</v>
      </c>
    </row>
    <row r="1004" ht="14.25" customHeight="1">
      <c r="A1004" s="1">
        <v>5.8</v>
      </c>
      <c r="B1004" s="1">
        <v>108.0</v>
      </c>
    </row>
    <row r="1005" ht="14.25" customHeight="1">
      <c r="A1005" s="1">
        <v>6.3</v>
      </c>
      <c r="B1005" s="1">
        <v>105.0</v>
      </c>
    </row>
    <row r="1006" ht="14.25" customHeight="1">
      <c r="A1006" s="1">
        <v>5.7</v>
      </c>
      <c r="B1006" s="1">
        <v>102.0</v>
      </c>
    </row>
    <row r="1007" ht="14.25" customHeight="1">
      <c r="A1007" s="1">
        <v>7.2</v>
      </c>
      <c r="B1007" s="1">
        <v>118.0</v>
      </c>
    </row>
    <row r="1008" ht="14.25" customHeight="1">
      <c r="A1008" s="1">
        <v>7.6</v>
      </c>
      <c r="B1008" s="1">
        <v>111.0</v>
      </c>
    </row>
    <row r="1009" ht="14.25" customHeight="1">
      <c r="A1009" s="1">
        <v>4.7</v>
      </c>
      <c r="B1009" s="1">
        <v>81.0</v>
      </c>
    </row>
    <row r="1010" ht="14.25" customHeight="1">
      <c r="A1010" s="1">
        <v>6.6</v>
      </c>
      <c r="B1010" s="1">
        <v>116.0</v>
      </c>
    </row>
    <row r="1011" ht="14.25" customHeight="1">
      <c r="A1011" s="1">
        <v>6.8</v>
      </c>
      <c r="B1011" s="1">
        <v>86.0</v>
      </c>
    </row>
    <row r="1012" ht="14.25" customHeight="1">
      <c r="A1012" s="1">
        <v>4.8</v>
      </c>
      <c r="B1012" s="1">
        <v>91.0</v>
      </c>
    </row>
    <row r="1013" ht="14.25" customHeight="1">
      <c r="A1013" s="1">
        <v>6.3</v>
      </c>
      <c r="B1013" s="1">
        <v>98.0</v>
      </c>
    </row>
    <row r="1014" ht="14.25" customHeight="1">
      <c r="A1014" s="1">
        <v>5.5</v>
      </c>
      <c r="B1014" s="1">
        <v>84.0</v>
      </c>
    </row>
    <row r="1015" ht="14.25" customHeight="1">
      <c r="A1015" s="1">
        <v>6.2</v>
      </c>
      <c r="B1015" s="1">
        <v>109.0</v>
      </c>
    </row>
    <row r="1016" ht="14.25" customHeight="1">
      <c r="A1016" s="1">
        <v>5.8</v>
      </c>
      <c r="B1016" s="1">
        <v>93.0</v>
      </c>
    </row>
    <row r="1017" ht="14.25" customHeight="1">
      <c r="A1017" s="1">
        <v>5.7</v>
      </c>
      <c r="B1017" s="1">
        <v>113.0</v>
      </c>
    </row>
    <row r="1018" ht="14.25" customHeight="1">
      <c r="A1018" s="1">
        <v>6.5</v>
      </c>
      <c r="B1018" s="1">
        <v>141.0</v>
      </c>
    </row>
    <row r="1019" ht="14.25" customHeight="1">
      <c r="A1019" s="1">
        <v>6.7</v>
      </c>
      <c r="B1019" s="1">
        <v>119.0</v>
      </c>
    </row>
    <row r="1020" ht="14.25" customHeight="1">
      <c r="A1020" s="1">
        <v>7.4</v>
      </c>
      <c r="B1020" s="1">
        <v>97.0</v>
      </c>
    </row>
    <row r="1021" ht="14.25" customHeight="1">
      <c r="A1021" s="1">
        <v>6.9</v>
      </c>
      <c r="B1021" s="1">
        <v>117.0</v>
      </c>
    </row>
    <row r="1022" ht="14.25" customHeight="1">
      <c r="A1022" s="1">
        <v>5.5</v>
      </c>
      <c r="B1022" s="1">
        <v>101.0</v>
      </c>
    </row>
    <row r="1023" ht="14.25" customHeight="1">
      <c r="A1023" s="1">
        <v>8.1</v>
      </c>
      <c r="B1023" s="1">
        <v>153.0</v>
      </c>
    </row>
    <row r="1024" ht="14.25" customHeight="1">
      <c r="A1024" s="1">
        <v>7.7</v>
      </c>
      <c r="B1024" s="1">
        <v>122.0</v>
      </c>
    </row>
    <row r="1025" ht="14.25" customHeight="1">
      <c r="A1025" s="1">
        <v>7.3</v>
      </c>
      <c r="B1025" s="1">
        <v>102.0</v>
      </c>
    </row>
    <row r="1026" ht="14.25" customHeight="1">
      <c r="A1026" s="1">
        <v>5.2</v>
      </c>
      <c r="B1026" s="1">
        <v>83.0</v>
      </c>
    </row>
    <row r="1027" ht="14.25" customHeight="1">
      <c r="A1027" s="1">
        <v>7.1</v>
      </c>
      <c r="B1027" s="1">
        <v>103.0</v>
      </c>
    </row>
    <row r="1028" ht="14.25" customHeight="1">
      <c r="A1028" s="1">
        <v>7.1</v>
      </c>
      <c r="B1028" s="1">
        <v>110.0</v>
      </c>
    </row>
    <row r="1029" ht="14.25" customHeight="1">
      <c r="A1029" s="1">
        <v>7.2</v>
      </c>
      <c r="B1029" s="1">
        <v>136.0</v>
      </c>
    </row>
    <row r="1030" ht="14.25" customHeight="1">
      <c r="A1030" s="1">
        <v>6.5</v>
      </c>
      <c r="B1030" s="1">
        <v>91.0</v>
      </c>
    </row>
    <row r="1031" ht="14.25" customHeight="1">
      <c r="A1031" s="1">
        <v>4.6</v>
      </c>
      <c r="B1031" s="1">
        <v>89.0</v>
      </c>
    </row>
    <row r="1032" ht="14.25" customHeight="1">
      <c r="A1032" s="1">
        <v>5.6</v>
      </c>
      <c r="B1032" s="1">
        <v>107.0</v>
      </c>
    </row>
    <row r="1033" ht="14.25" customHeight="1">
      <c r="A1033" s="1">
        <v>7.7</v>
      </c>
      <c r="B1033" s="1">
        <v>129.0</v>
      </c>
    </row>
    <row r="1034" ht="14.25" customHeight="1">
      <c r="A1034" s="1">
        <v>7.2</v>
      </c>
      <c r="B1034" s="1">
        <v>95.0</v>
      </c>
    </row>
    <row r="1035" ht="14.25" customHeight="1">
      <c r="A1035" s="1">
        <v>6.8</v>
      </c>
      <c r="B1035" s="1">
        <v>122.0</v>
      </c>
    </row>
    <row r="1036" ht="14.25" customHeight="1">
      <c r="A1036" s="1">
        <v>5.4</v>
      </c>
      <c r="B1036" s="1">
        <v>110.0</v>
      </c>
    </row>
    <row r="1037" ht="14.25" customHeight="1">
      <c r="A1037" s="1">
        <v>6.3</v>
      </c>
      <c r="B1037" s="1">
        <v>135.0</v>
      </c>
    </row>
    <row r="1038" ht="14.25" customHeight="1">
      <c r="A1038" s="1">
        <v>5.6</v>
      </c>
      <c r="B1038" s="1">
        <v>95.0</v>
      </c>
    </row>
    <row r="1039" ht="14.25" customHeight="1">
      <c r="A1039" s="1">
        <v>6.8</v>
      </c>
      <c r="B1039" s="1">
        <v>109.0</v>
      </c>
    </row>
    <row r="1040" ht="14.25" customHeight="1">
      <c r="A1040" s="1">
        <v>4.3</v>
      </c>
      <c r="B1040" s="1">
        <v>93.0</v>
      </c>
    </row>
    <row r="1041" ht="14.25" customHeight="1">
      <c r="A1041" s="1">
        <v>6.3</v>
      </c>
      <c r="B1041" s="1">
        <v>94.0</v>
      </c>
    </row>
    <row r="1042" ht="14.25" customHeight="1">
      <c r="A1042" s="1">
        <v>6.5</v>
      </c>
      <c r="B1042" s="1">
        <v>117.0</v>
      </c>
    </row>
    <row r="1043" ht="14.25" customHeight="1">
      <c r="A1043" s="1">
        <v>6.4</v>
      </c>
      <c r="B1043" s="1">
        <v>112.0</v>
      </c>
    </row>
    <row r="1044" ht="14.25" customHeight="1">
      <c r="A1044" s="1">
        <v>6.3</v>
      </c>
      <c r="B1044" s="1">
        <v>111.0</v>
      </c>
    </row>
    <row r="1045" ht="14.25" customHeight="1">
      <c r="A1045" s="1">
        <v>5.9</v>
      </c>
      <c r="B1045" s="1">
        <v>96.0</v>
      </c>
    </row>
    <row r="1046" ht="14.25" customHeight="1">
      <c r="A1046" s="1">
        <v>6.5</v>
      </c>
      <c r="B1046" s="1">
        <v>141.0</v>
      </c>
    </row>
    <row r="1047" ht="14.25" customHeight="1">
      <c r="A1047" s="1">
        <v>6.5</v>
      </c>
      <c r="B1047" s="1">
        <v>94.0</v>
      </c>
    </row>
    <row r="1048" ht="14.25" customHeight="1">
      <c r="A1048" s="1">
        <v>6.1</v>
      </c>
      <c r="B1048" s="1">
        <v>87.0</v>
      </c>
    </row>
    <row r="1049" ht="14.25" customHeight="1">
      <c r="A1049" s="1">
        <v>5.9</v>
      </c>
      <c r="B1049" s="1">
        <v>88.0</v>
      </c>
    </row>
    <row r="1050" ht="14.25" customHeight="1">
      <c r="A1050" s="1">
        <v>6.6</v>
      </c>
      <c r="B1050" s="1">
        <v>177.0</v>
      </c>
    </row>
    <row r="1051" ht="14.25" customHeight="1">
      <c r="A1051" s="1">
        <v>7.4</v>
      </c>
      <c r="B1051" s="1">
        <v>133.0</v>
      </c>
    </row>
    <row r="1052" ht="14.25" customHeight="1">
      <c r="A1052" s="1">
        <v>7.3</v>
      </c>
      <c r="B1052" s="1">
        <v>119.0</v>
      </c>
    </row>
    <row r="1053" ht="14.25" customHeight="1">
      <c r="A1053" s="1">
        <v>6.6</v>
      </c>
      <c r="B1053" s="1">
        <v>102.0</v>
      </c>
    </row>
    <row r="1054" ht="14.25" customHeight="1">
      <c r="A1054" s="1">
        <v>5.6</v>
      </c>
      <c r="B1054" s="1">
        <v>101.0</v>
      </c>
    </row>
    <row r="1055" ht="14.25" customHeight="1">
      <c r="A1055" s="1">
        <v>5.3</v>
      </c>
      <c r="B1055" s="1">
        <v>91.0</v>
      </c>
    </row>
    <row r="1056" ht="14.25" customHeight="1">
      <c r="A1056" s="1">
        <v>6.0</v>
      </c>
      <c r="B1056" s="1">
        <v>117.0</v>
      </c>
    </row>
    <row r="1057" ht="14.25" customHeight="1">
      <c r="A1057" s="1">
        <v>5.4</v>
      </c>
      <c r="B1057" s="1">
        <v>86.0</v>
      </c>
    </row>
    <row r="1058" ht="14.25" customHeight="1">
      <c r="A1058" s="1">
        <v>6.8</v>
      </c>
      <c r="B1058" s="1">
        <v>124.0</v>
      </c>
    </row>
    <row r="1059" ht="14.25" customHeight="1">
      <c r="A1059" s="1">
        <v>6.4</v>
      </c>
      <c r="B1059" s="1">
        <v>134.0</v>
      </c>
    </row>
    <row r="1060" ht="14.25" customHeight="1">
      <c r="A1060" s="1">
        <v>7.1</v>
      </c>
      <c r="B1060" s="1">
        <v>95.0</v>
      </c>
    </row>
    <row r="1061" ht="14.25" customHeight="1">
      <c r="A1061" s="1">
        <v>4.9</v>
      </c>
      <c r="B1061" s="1">
        <v>100.0</v>
      </c>
    </row>
    <row r="1062" ht="14.25" customHeight="1">
      <c r="A1062" s="1">
        <v>5.8</v>
      </c>
      <c r="B1062" s="1">
        <v>220.0</v>
      </c>
    </row>
    <row r="1063" ht="14.25" customHeight="1">
      <c r="A1063" s="1">
        <v>7.1</v>
      </c>
      <c r="B1063" s="1">
        <v>212.0</v>
      </c>
    </row>
    <row r="1064" ht="14.25" customHeight="1">
      <c r="A1064" s="1">
        <v>7.2</v>
      </c>
      <c r="B1064" s="1">
        <v>128.0</v>
      </c>
    </row>
    <row r="1065" ht="14.25" customHeight="1">
      <c r="A1065" s="1">
        <v>6.0</v>
      </c>
      <c r="B1065" s="1">
        <v>106.0</v>
      </c>
    </row>
    <row r="1066" ht="14.25" customHeight="1">
      <c r="A1066" s="1">
        <v>6.0</v>
      </c>
      <c r="B1066" s="1">
        <v>160.0</v>
      </c>
    </row>
    <row r="1067" ht="14.25" customHeight="1">
      <c r="A1067" s="1">
        <v>7.0</v>
      </c>
      <c r="B1067" s="1">
        <v>114.0</v>
      </c>
    </row>
    <row r="1068" ht="14.25" customHeight="1">
      <c r="A1068" s="1">
        <v>5.4</v>
      </c>
      <c r="B1068" s="1">
        <v>99.0</v>
      </c>
    </row>
    <row r="1069" ht="14.25" customHeight="1">
      <c r="A1069" s="1">
        <v>6.5</v>
      </c>
      <c r="B1069" s="1">
        <v>74.0</v>
      </c>
    </row>
    <row r="1070" ht="14.25" customHeight="1">
      <c r="A1070" s="1">
        <v>6.4</v>
      </c>
      <c r="B1070" s="1">
        <v>139.0</v>
      </c>
    </row>
    <row r="1071" ht="14.25" customHeight="1">
      <c r="A1071" s="1">
        <v>4.9</v>
      </c>
      <c r="B1071" s="1">
        <v>103.0</v>
      </c>
    </row>
    <row r="1072" ht="14.25" customHeight="1">
      <c r="A1072" s="1">
        <v>6.3</v>
      </c>
      <c r="B1072" s="1">
        <v>101.0</v>
      </c>
    </row>
    <row r="1073" ht="14.25" customHeight="1">
      <c r="A1073" s="1">
        <v>7.7</v>
      </c>
      <c r="B1073" s="1">
        <v>130.0</v>
      </c>
    </row>
    <row r="1074" ht="14.25" customHeight="1">
      <c r="A1074" s="1">
        <v>7.8</v>
      </c>
      <c r="B1074" s="1">
        <v>130.0</v>
      </c>
    </row>
    <row r="1075" ht="14.25" customHeight="1">
      <c r="A1075" s="1">
        <v>5.5</v>
      </c>
      <c r="B1075" s="1">
        <v>110.0</v>
      </c>
    </row>
    <row r="1076" ht="14.25" customHeight="1">
      <c r="A1076" s="1">
        <v>7.5</v>
      </c>
      <c r="B1076" s="1">
        <v>147.0</v>
      </c>
    </row>
    <row r="1077" ht="14.25" customHeight="1">
      <c r="A1077" s="1">
        <v>6.4</v>
      </c>
      <c r="B1077" s="1">
        <v>96.0</v>
      </c>
    </row>
    <row r="1078" ht="14.25" customHeight="1">
      <c r="A1078" s="1">
        <v>5.6</v>
      </c>
      <c r="B1078" s="1">
        <v>118.0</v>
      </c>
    </row>
    <row r="1079" ht="14.25" customHeight="1">
      <c r="A1079" s="1">
        <v>7.5</v>
      </c>
      <c r="B1079" s="1">
        <v>88.0</v>
      </c>
    </row>
    <row r="1080" ht="14.25" customHeight="1">
      <c r="A1080" s="1">
        <v>6.8</v>
      </c>
      <c r="B1080" s="1">
        <v>325.0</v>
      </c>
    </row>
    <row r="1081" ht="14.25" customHeight="1">
      <c r="A1081" s="1">
        <v>6.8</v>
      </c>
      <c r="B1081" s="1">
        <v>102.0</v>
      </c>
    </row>
    <row r="1082" ht="14.25" customHeight="1">
      <c r="A1082" s="1">
        <v>6.0</v>
      </c>
      <c r="B1082" s="1">
        <v>110.0</v>
      </c>
    </row>
    <row r="1083" ht="14.25" customHeight="1">
      <c r="A1083" s="1">
        <v>7.3</v>
      </c>
      <c r="B1083" s="1">
        <v>136.0</v>
      </c>
    </row>
    <row r="1084" ht="14.25" customHeight="1">
      <c r="A1084" s="1">
        <v>6.0</v>
      </c>
      <c r="B1084" s="1">
        <v>103.0</v>
      </c>
    </row>
    <row r="1085" ht="14.25" customHeight="1">
      <c r="A1085" s="1">
        <v>7.0</v>
      </c>
      <c r="B1085" s="1">
        <v>103.0</v>
      </c>
    </row>
    <row r="1086" ht="14.25" customHeight="1">
      <c r="A1086" s="1">
        <v>5.1</v>
      </c>
      <c r="B1086" s="1">
        <v>90.0</v>
      </c>
    </row>
    <row r="1087" ht="14.25" customHeight="1">
      <c r="A1087" s="1">
        <v>6.8</v>
      </c>
      <c r="B1087" s="1">
        <v>154.0</v>
      </c>
    </row>
    <row r="1088" ht="14.25" customHeight="1">
      <c r="A1088" s="1">
        <v>6.5</v>
      </c>
      <c r="B1088" s="1">
        <v>99.0</v>
      </c>
    </row>
    <row r="1089" ht="14.25" customHeight="1">
      <c r="A1089" s="1">
        <v>6.6</v>
      </c>
      <c r="B1089" s="1">
        <v>93.0</v>
      </c>
    </row>
    <row r="1090" ht="14.25" customHeight="1">
      <c r="A1090" s="1">
        <v>7.2</v>
      </c>
      <c r="B1090" s="1">
        <v>109.0</v>
      </c>
    </row>
    <row r="1091" ht="14.25" customHeight="1">
      <c r="A1091" s="1">
        <v>7.0</v>
      </c>
      <c r="B1091" s="1">
        <v>124.0</v>
      </c>
    </row>
    <row r="1092" ht="14.25" customHeight="1">
      <c r="A1092" s="1">
        <v>7.0</v>
      </c>
      <c r="B1092" s="1">
        <v>84.0</v>
      </c>
    </row>
    <row r="1093" ht="14.25" customHeight="1">
      <c r="A1093" s="1">
        <v>5.9</v>
      </c>
      <c r="B1093" s="1">
        <v>90.0</v>
      </c>
    </row>
    <row r="1094" ht="14.25" customHeight="1">
      <c r="A1094" s="1">
        <v>5.4</v>
      </c>
      <c r="B1094" s="1">
        <v>117.0</v>
      </c>
    </row>
    <row r="1095" ht="14.25" customHeight="1">
      <c r="A1095" s="1">
        <v>6.6</v>
      </c>
      <c r="B1095" s="1">
        <v>123.0</v>
      </c>
    </row>
    <row r="1096" ht="14.25" customHeight="1">
      <c r="A1096" s="1">
        <v>7.0</v>
      </c>
      <c r="B1096" s="1">
        <v>251.0</v>
      </c>
    </row>
    <row r="1097" ht="14.25" customHeight="1">
      <c r="A1097" s="1">
        <v>6.5</v>
      </c>
      <c r="B1097" s="1">
        <v>105.0</v>
      </c>
    </row>
    <row r="1098" ht="14.25" customHeight="1">
      <c r="A1098" s="1">
        <v>6.3</v>
      </c>
      <c r="B1098" s="1">
        <v>115.0</v>
      </c>
    </row>
    <row r="1099" ht="14.25" customHeight="1">
      <c r="A1099" s="1">
        <v>6.5</v>
      </c>
      <c r="B1099" s="1">
        <v>122.0</v>
      </c>
    </row>
    <row r="1100" ht="14.25" customHeight="1">
      <c r="A1100" s="1">
        <v>6.5</v>
      </c>
      <c r="B1100" s="1">
        <v>119.0</v>
      </c>
    </row>
    <row r="1101" ht="14.25" customHeight="1">
      <c r="A1101" s="1">
        <v>5.8</v>
      </c>
      <c r="B1101" s="1">
        <v>81.0</v>
      </c>
    </row>
    <row r="1102" ht="14.25" customHeight="1">
      <c r="A1102" s="1">
        <v>6.6</v>
      </c>
      <c r="B1102" s="1">
        <v>133.0</v>
      </c>
    </row>
    <row r="1103" ht="14.25" customHeight="1">
      <c r="A1103" s="1">
        <v>5.4</v>
      </c>
      <c r="B1103" s="1">
        <v>100.0</v>
      </c>
    </row>
    <row r="1104" ht="14.25" customHeight="1">
      <c r="A1104" s="1">
        <v>6.1</v>
      </c>
      <c r="B1104" s="1">
        <v>120.0</v>
      </c>
    </row>
    <row r="1105" ht="14.25" customHeight="1">
      <c r="A1105" s="1">
        <v>4.0</v>
      </c>
      <c r="B1105" s="1">
        <v>104.0</v>
      </c>
    </row>
    <row r="1106" ht="14.25" customHeight="1">
      <c r="A1106" s="1">
        <v>7.6</v>
      </c>
      <c r="B1106" s="1">
        <v>122.0</v>
      </c>
    </row>
    <row r="1107" ht="14.25" customHeight="1">
      <c r="A1107" s="1">
        <v>7.9</v>
      </c>
      <c r="B1107" s="1">
        <v>80.0</v>
      </c>
    </row>
    <row r="1108" ht="14.25" customHeight="1">
      <c r="A1108" s="1">
        <v>5.3</v>
      </c>
      <c r="B1108" s="1">
        <v>91.0</v>
      </c>
    </row>
    <row r="1109" ht="14.25" customHeight="1">
      <c r="A1109" s="1">
        <v>6.6</v>
      </c>
      <c r="B1109" s="1">
        <v>112.0</v>
      </c>
    </row>
    <row r="1110" ht="14.25" customHeight="1">
      <c r="A1110" s="1">
        <v>6.3</v>
      </c>
      <c r="B1110" s="1">
        <v>100.0</v>
      </c>
    </row>
    <row r="1111" ht="14.25" customHeight="1">
      <c r="A1111" s="1">
        <v>7.2</v>
      </c>
      <c r="B1111" s="1">
        <v>105.0</v>
      </c>
    </row>
    <row r="1112" ht="14.25" customHeight="1">
      <c r="A1112" s="1">
        <v>7.0</v>
      </c>
      <c r="B1112" s="1">
        <v>110.0</v>
      </c>
    </row>
    <row r="1113" ht="14.25" customHeight="1">
      <c r="A1113" s="1">
        <v>6.9</v>
      </c>
      <c r="B1113" s="1">
        <v>144.0</v>
      </c>
    </row>
    <row r="1114" ht="14.25" customHeight="1">
      <c r="A1114" s="1">
        <v>5.2</v>
      </c>
      <c r="B1114" s="1">
        <v>108.0</v>
      </c>
    </row>
    <row r="1115" ht="14.25" customHeight="1">
      <c r="A1115" s="1">
        <v>8.1</v>
      </c>
      <c r="B1115" s="1">
        <v>107.0</v>
      </c>
    </row>
    <row r="1116" ht="14.25" customHeight="1">
      <c r="A1116" s="1">
        <v>6.6</v>
      </c>
      <c r="B1116" s="1">
        <v>102.0</v>
      </c>
    </row>
    <row r="1117" ht="14.25" customHeight="1">
      <c r="A1117" s="1">
        <v>6.2</v>
      </c>
      <c r="B1117" s="1">
        <v>100.0</v>
      </c>
    </row>
    <row r="1118" ht="14.25" customHeight="1">
      <c r="A1118" s="1">
        <v>7.2</v>
      </c>
      <c r="B1118" s="1">
        <v>126.0</v>
      </c>
    </row>
    <row r="1119" ht="14.25" customHeight="1">
      <c r="A1119" s="1">
        <v>7.3</v>
      </c>
      <c r="B1119" s="1">
        <v>138.0</v>
      </c>
    </row>
    <row r="1120" ht="14.25" customHeight="1">
      <c r="A1120" s="1">
        <v>6.7</v>
      </c>
      <c r="B1120" s="1">
        <v>108.0</v>
      </c>
    </row>
    <row r="1121" ht="14.25" customHeight="1">
      <c r="A1121" s="1">
        <v>6.4</v>
      </c>
      <c r="B1121" s="1">
        <v>105.0</v>
      </c>
    </row>
    <row r="1122" ht="14.25" customHeight="1">
      <c r="A1122" s="1">
        <v>7.8</v>
      </c>
      <c r="B1122" s="1">
        <v>108.0</v>
      </c>
    </row>
    <row r="1123" ht="14.25" customHeight="1">
      <c r="A1123" s="1">
        <v>6.4</v>
      </c>
      <c r="B1123" s="1">
        <v>89.0</v>
      </c>
    </row>
    <row r="1124" ht="14.25" customHeight="1">
      <c r="A1124" s="1">
        <v>4.1</v>
      </c>
      <c r="B1124" s="1">
        <v>129.0</v>
      </c>
    </row>
    <row r="1125" ht="14.25" customHeight="1">
      <c r="A1125" s="1">
        <v>4.1</v>
      </c>
      <c r="B1125" s="1">
        <v>84.0</v>
      </c>
    </row>
    <row r="1126" ht="14.25" customHeight="1">
      <c r="A1126" s="1">
        <v>7.4</v>
      </c>
      <c r="B1126" s="1">
        <v>149.0</v>
      </c>
    </row>
    <row r="1127" ht="14.25" customHeight="1">
      <c r="A1127" s="1">
        <v>5.8</v>
      </c>
      <c r="B1127" s="1">
        <v>94.0</v>
      </c>
    </row>
    <row r="1128" ht="14.25" customHeight="1">
      <c r="A1128" s="1">
        <v>7.6</v>
      </c>
      <c r="B1128" s="1">
        <v>121.0</v>
      </c>
    </row>
    <row r="1129" ht="14.25" customHeight="1">
      <c r="A1129" s="1">
        <v>7.2</v>
      </c>
      <c r="B1129" s="1">
        <v>128.0</v>
      </c>
    </row>
    <row r="1130" ht="14.25" customHeight="1">
      <c r="A1130" s="1">
        <v>7.8</v>
      </c>
      <c r="B1130" s="1">
        <v>134.0</v>
      </c>
    </row>
    <row r="1131" ht="14.25" customHeight="1">
      <c r="A1131" s="1">
        <v>7.7</v>
      </c>
      <c r="B1131" s="1">
        <v>120.0</v>
      </c>
    </row>
    <row r="1132" ht="14.25" customHeight="1">
      <c r="A1132" s="1">
        <v>6.4</v>
      </c>
      <c r="B1132" s="1">
        <v>129.0</v>
      </c>
    </row>
    <row r="1133" ht="14.25" customHeight="1">
      <c r="A1133" s="1">
        <v>5.1</v>
      </c>
      <c r="B1133" s="1">
        <v>89.0</v>
      </c>
    </row>
    <row r="1134" ht="14.25" customHeight="1">
      <c r="A1134" s="1">
        <v>5.5</v>
      </c>
      <c r="B1134" s="1">
        <v>116.0</v>
      </c>
    </row>
    <row r="1135" ht="14.25" customHeight="1">
      <c r="A1135" s="1">
        <v>7.4</v>
      </c>
      <c r="B1135" s="1">
        <v>118.0</v>
      </c>
    </row>
    <row r="1136" ht="14.25" customHeight="1">
      <c r="A1136" s="1">
        <v>6.0</v>
      </c>
      <c r="B1136" s="1">
        <v>107.0</v>
      </c>
    </row>
    <row r="1137" ht="14.25" customHeight="1">
      <c r="A1137" s="1">
        <v>7.5</v>
      </c>
      <c r="B1137" s="1">
        <v>155.0</v>
      </c>
    </row>
    <row r="1138" ht="14.25" customHeight="1">
      <c r="A1138" s="1">
        <v>7.0</v>
      </c>
      <c r="B1138" s="1">
        <v>123.0</v>
      </c>
    </row>
    <row r="1139" ht="14.25" customHeight="1">
      <c r="A1139" s="1">
        <v>7.5</v>
      </c>
      <c r="B1139" s="1">
        <v>128.0</v>
      </c>
    </row>
    <row r="1140" ht="14.25" customHeight="1">
      <c r="A1140" s="1">
        <v>7.3</v>
      </c>
      <c r="B1140" s="1">
        <v>139.0</v>
      </c>
    </row>
    <row r="1141" ht="14.25" customHeight="1">
      <c r="A1141" s="1">
        <v>5.7</v>
      </c>
      <c r="B1141" s="1">
        <v>109.0</v>
      </c>
    </row>
    <row r="1142" ht="14.25" customHeight="1">
      <c r="A1142" s="1">
        <v>7.3</v>
      </c>
      <c r="B1142" s="1">
        <v>120.0</v>
      </c>
    </row>
    <row r="1143" ht="14.25" customHeight="1">
      <c r="A1143" s="1">
        <v>7.2</v>
      </c>
      <c r="B1143" s="1">
        <v>121.0</v>
      </c>
    </row>
    <row r="1144" ht="14.25" customHeight="1">
      <c r="A1144" s="1">
        <v>5.9</v>
      </c>
      <c r="B1144" s="1">
        <v>102.0</v>
      </c>
    </row>
    <row r="1145" ht="14.25" customHeight="1">
      <c r="A1145" s="1">
        <v>7.8</v>
      </c>
      <c r="B1145" s="1">
        <v>117.0</v>
      </c>
    </row>
    <row r="1146" ht="14.25" customHeight="1">
      <c r="A1146" s="1">
        <v>7.7</v>
      </c>
      <c r="B1146" s="1">
        <v>178.0</v>
      </c>
    </row>
    <row r="1147" ht="14.25" customHeight="1">
      <c r="A1147" s="1">
        <v>8.1</v>
      </c>
      <c r="B1147" s="1">
        <v>147.0</v>
      </c>
    </row>
    <row r="1148" ht="14.25" customHeight="1">
      <c r="A1148" s="1">
        <v>6.6</v>
      </c>
      <c r="B1148" s="1">
        <v>90.0</v>
      </c>
    </row>
    <row r="1149" ht="14.25" customHeight="1">
      <c r="A1149" s="1">
        <v>7.1</v>
      </c>
      <c r="B1149" s="1">
        <v>105.0</v>
      </c>
    </row>
    <row r="1150" ht="14.25" customHeight="1">
      <c r="A1150" s="1">
        <v>5.9</v>
      </c>
      <c r="B1150" s="1">
        <v>114.0</v>
      </c>
    </row>
    <row r="1151" ht="14.25" customHeight="1">
      <c r="A1151" s="1">
        <v>8.0</v>
      </c>
      <c r="B1151" s="1">
        <v>206.0</v>
      </c>
    </row>
    <row r="1152" ht="14.25" customHeight="1">
      <c r="A1152" s="1">
        <v>4.6</v>
      </c>
      <c r="B1152" s="1">
        <v>99.0</v>
      </c>
    </row>
    <row r="1153" ht="14.25" customHeight="1">
      <c r="A1153" s="1">
        <v>6.1</v>
      </c>
      <c r="B1153" s="1">
        <v>123.0</v>
      </c>
    </row>
    <row r="1154" ht="14.25" customHeight="1">
      <c r="A1154" s="1">
        <v>7.2</v>
      </c>
      <c r="B1154" s="1">
        <v>137.0</v>
      </c>
    </row>
    <row r="1155" ht="14.25" customHeight="1">
      <c r="A1155" s="1">
        <v>6.4</v>
      </c>
      <c r="B1155" s="1">
        <v>102.0</v>
      </c>
    </row>
    <row r="1156" ht="14.25" customHeight="1">
      <c r="A1156" s="1">
        <v>6.0</v>
      </c>
      <c r="B1156" s="1">
        <v>109.0</v>
      </c>
    </row>
    <row r="1157" ht="14.25" customHeight="1">
      <c r="A1157" s="1">
        <v>5.2</v>
      </c>
      <c r="B1157" s="1">
        <v>82.0</v>
      </c>
    </row>
    <row r="1158" ht="14.25" customHeight="1">
      <c r="A1158" s="1">
        <v>7.6</v>
      </c>
      <c r="B1158" s="1">
        <v>142.0</v>
      </c>
    </row>
    <row r="1159" ht="14.25" customHeight="1">
      <c r="A1159" s="1">
        <v>6.4</v>
      </c>
      <c r="B1159" s="1">
        <v>106.0</v>
      </c>
    </row>
    <row r="1160" ht="14.25" customHeight="1">
      <c r="A1160" s="1">
        <v>6.1</v>
      </c>
      <c r="B1160" s="1">
        <v>106.0</v>
      </c>
    </row>
    <row r="1161" ht="14.25" customHeight="1">
      <c r="A1161" s="1">
        <v>6.1</v>
      </c>
      <c r="B1161" s="1">
        <v>108.0</v>
      </c>
    </row>
    <row r="1162" ht="14.25" customHeight="1">
      <c r="A1162" s="1">
        <v>5.2</v>
      </c>
      <c r="B1162" s="1">
        <v>98.0</v>
      </c>
    </row>
    <row r="1163" ht="14.25" customHeight="1">
      <c r="A1163" s="1">
        <v>7.7</v>
      </c>
      <c r="B1163" s="1">
        <v>131.0</v>
      </c>
    </row>
    <row r="1164" ht="14.25" customHeight="1">
      <c r="A1164" s="1">
        <v>7.3</v>
      </c>
      <c r="B1164" s="1">
        <v>118.0</v>
      </c>
    </row>
    <row r="1165" ht="14.25" customHeight="1">
      <c r="A1165" s="1">
        <v>6.9</v>
      </c>
      <c r="B1165" s="1">
        <v>113.0</v>
      </c>
    </row>
    <row r="1166" ht="14.25" customHeight="1">
      <c r="A1166" s="1">
        <v>8.5</v>
      </c>
      <c r="B1166" s="1">
        <v>130.0</v>
      </c>
    </row>
    <row r="1167" ht="14.25" customHeight="1">
      <c r="A1167" s="1">
        <v>6.3</v>
      </c>
      <c r="B1167" s="1">
        <v>116.0</v>
      </c>
    </row>
    <row r="1168" ht="14.25" customHeight="1">
      <c r="A1168" s="1">
        <v>5.9</v>
      </c>
      <c r="B1168" s="1">
        <v>89.0</v>
      </c>
    </row>
    <row r="1169" ht="14.25" customHeight="1">
      <c r="A1169" s="1">
        <v>7.8</v>
      </c>
      <c r="B1169" s="1">
        <v>139.0</v>
      </c>
    </row>
    <row r="1170" ht="14.25" customHeight="1">
      <c r="A1170" s="1">
        <v>6.7</v>
      </c>
      <c r="B1170" s="1">
        <v>130.0</v>
      </c>
    </row>
    <row r="1171" ht="14.25" customHeight="1">
      <c r="A1171" s="1">
        <v>6.4</v>
      </c>
      <c r="B1171" s="1">
        <v>107.0</v>
      </c>
    </row>
    <row r="1172" ht="14.25" customHeight="1">
      <c r="A1172" s="1">
        <v>5.9</v>
      </c>
      <c r="B1172" s="1">
        <v>116.0</v>
      </c>
    </row>
    <row r="1173" ht="14.25" customHeight="1">
      <c r="A1173" s="1">
        <v>6.6</v>
      </c>
      <c r="B1173" s="1">
        <v>96.0</v>
      </c>
    </row>
    <row r="1174" ht="14.25" customHeight="1">
      <c r="A1174" s="1">
        <v>6.8</v>
      </c>
      <c r="B1174" s="1">
        <v>99.0</v>
      </c>
    </row>
    <row r="1175" ht="14.25" customHeight="1">
      <c r="A1175" s="1">
        <v>6.5</v>
      </c>
      <c r="B1175" s="1">
        <v>104.0</v>
      </c>
    </row>
    <row r="1176" ht="14.25" customHeight="1">
      <c r="A1176" s="1">
        <v>6.6</v>
      </c>
      <c r="B1176" s="1">
        <v>105.0</v>
      </c>
    </row>
    <row r="1177" ht="14.25" customHeight="1">
      <c r="A1177" s="1">
        <v>5.8</v>
      </c>
      <c r="B1177" s="1">
        <v>101.0</v>
      </c>
    </row>
    <row r="1178" ht="14.25" customHeight="1">
      <c r="A1178" s="1">
        <v>6.9</v>
      </c>
      <c r="B1178" s="1">
        <v>134.0</v>
      </c>
    </row>
    <row r="1179" ht="14.25" customHeight="1">
      <c r="A1179" s="1">
        <v>7.1</v>
      </c>
      <c r="B1179" s="1">
        <v>135.0</v>
      </c>
    </row>
    <row r="1180" ht="14.25" customHeight="1">
      <c r="A1180" s="1">
        <v>5.8</v>
      </c>
      <c r="B1180" s="1">
        <v>98.0</v>
      </c>
    </row>
    <row r="1181" ht="14.25" customHeight="1">
      <c r="A1181" s="1">
        <v>7.2</v>
      </c>
      <c r="B1181" s="1">
        <v>155.0</v>
      </c>
    </row>
    <row r="1182" ht="14.25" customHeight="1">
      <c r="A1182" s="1">
        <v>6.0</v>
      </c>
      <c r="B1182" s="1">
        <v>106.0</v>
      </c>
    </row>
    <row r="1183" ht="14.25" customHeight="1">
      <c r="A1183" s="1">
        <v>4.7</v>
      </c>
      <c r="B1183" s="1">
        <v>102.0</v>
      </c>
    </row>
    <row r="1184" ht="14.25" customHeight="1">
      <c r="A1184" s="1">
        <v>5.2</v>
      </c>
      <c r="B1184" s="1">
        <v>95.0</v>
      </c>
    </row>
    <row r="1185" ht="14.25" customHeight="1">
      <c r="A1185" s="1">
        <v>5.5</v>
      </c>
      <c r="B1185" s="1">
        <v>103.0</v>
      </c>
    </row>
    <row r="1186" ht="14.25" customHeight="1">
      <c r="A1186" s="1">
        <v>7.0</v>
      </c>
      <c r="B1186" s="1">
        <v>109.0</v>
      </c>
    </row>
    <row r="1187" ht="14.25" customHeight="1">
      <c r="A1187" s="1">
        <v>5.8</v>
      </c>
      <c r="B1187" s="1">
        <v>95.0</v>
      </c>
    </row>
    <row r="1188" ht="14.25" customHeight="1">
      <c r="A1188" s="1">
        <v>6.2</v>
      </c>
      <c r="B1188" s="1">
        <v>111.0</v>
      </c>
    </row>
    <row r="1189" ht="14.25" customHeight="1">
      <c r="A1189" s="1">
        <v>6.5</v>
      </c>
      <c r="B1189" s="1">
        <v>123.0</v>
      </c>
    </row>
    <row r="1190" ht="14.25" customHeight="1">
      <c r="A1190" s="1">
        <v>7.2</v>
      </c>
      <c r="B1190" s="1">
        <v>140.0</v>
      </c>
    </row>
    <row r="1191" ht="14.25" customHeight="1">
      <c r="A1191" s="1">
        <v>5.1</v>
      </c>
      <c r="B1191" s="1">
        <v>94.0</v>
      </c>
    </row>
    <row r="1192" ht="14.25" customHeight="1">
      <c r="A1192" s="1">
        <v>4.7</v>
      </c>
      <c r="B1192" s="1">
        <v>94.0</v>
      </c>
    </row>
    <row r="1193" ht="14.25" customHeight="1">
      <c r="A1193" s="1">
        <v>5.9</v>
      </c>
      <c r="B1193" s="1">
        <v>92.0</v>
      </c>
    </row>
    <row r="1194" ht="14.25" customHeight="1">
      <c r="A1194" s="1">
        <v>5.8</v>
      </c>
      <c r="B1194" s="1">
        <v>102.0</v>
      </c>
    </row>
    <row r="1195" ht="14.25" customHeight="1">
      <c r="A1195" s="1">
        <v>7.2</v>
      </c>
      <c r="B1195" s="1">
        <v>123.0</v>
      </c>
    </row>
    <row r="1196" ht="14.25" customHeight="1">
      <c r="A1196" s="1">
        <v>6.2</v>
      </c>
      <c r="B1196" s="1">
        <v>104.0</v>
      </c>
    </row>
    <row r="1197" ht="14.25" customHeight="1">
      <c r="A1197" s="1">
        <v>5.7</v>
      </c>
      <c r="B1197" s="1">
        <v>102.0</v>
      </c>
    </row>
    <row r="1198" ht="14.25" customHeight="1">
      <c r="A1198" s="1">
        <v>6.1</v>
      </c>
      <c r="B1198" s="1">
        <v>136.0</v>
      </c>
    </row>
    <row r="1199" ht="14.25" customHeight="1">
      <c r="A1199" s="1">
        <v>6.0</v>
      </c>
      <c r="B1199" s="1">
        <v>93.0</v>
      </c>
    </row>
    <row r="1200" ht="14.25" customHeight="1">
      <c r="A1200" s="1">
        <v>6.9</v>
      </c>
      <c r="B1200" s="1">
        <v>129.0</v>
      </c>
    </row>
    <row r="1201" ht="14.25" customHeight="1">
      <c r="A1201" s="1">
        <v>6.5</v>
      </c>
      <c r="B1201" s="1">
        <v>107.0</v>
      </c>
    </row>
    <row r="1202" ht="14.25" customHeight="1">
      <c r="A1202" s="1">
        <v>5.0</v>
      </c>
      <c r="B1202" s="1">
        <v>117.0</v>
      </c>
    </row>
    <row r="1203" ht="14.25" customHeight="1">
      <c r="A1203" s="1">
        <v>5.7</v>
      </c>
      <c r="B1203" s="1">
        <v>116.0</v>
      </c>
    </row>
    <row r="1204" ht="14.25" customHeight="1">
      <c r="A1204" s="1">
        <v>7.0</v>
      </c>
      <c r="B1204" s="1">
        <v>135.0</v>
      </c>
    </row>
    <row r="1205" ht="14.25" customHeight="1">
      <c r="A1205" s="1">
        <v>5.1</v>
      </c>
      <c r="B1205" s="1">
        <v>107.0</v>
      </c>
    </row>
    <row r="1206" ht="14.25" customHeight="1">
      <c r="A1206" s="1">
        <v>5.3</v>
      </c>
      <c r="B1206" s="1">
        <v>90.0</v>
      </c>
    </row>
    <row r="1207" ht="14.25" customHeight="1">
      <c r="A1207" s="1">
        <v>4.4</v>
      </c>
      <c r="B1207" s="1">
        <v>99.0</v>
      </c>
    </row>
    <row r="1208" ht="14.25" customHeight="1">
      <c r="A1208" s="1">
        <v>4.7</v>
      </c>
      <c r="B1208" s="1">
        <v>104.0</v>
      </c>
    </row>
    <row r="1209" ht="14.25" customHeight="1">
      <c r="A1209" s="1">
        <v>6.7</v>
      </c>
      <c r="B1209" s="1">
        <v>115.0</v>
      </c>
    </row>
    <row r="1210" ht="14.25" customHeight="1">
      <c r="A1210" s="1">
        <v>6.7</v>
      </c>
      <c r="B1210" s="1">
        <v>119.0</v>
      </c>
    </row>
    <row r="1211" ht="14.25" customHeight="1">
      <c r="A1211" s="1">
        <v>5.7</v>
      </c>
      <c r="B1211" s="1">
        <v>99.0</v>
      </c>
    </row>
    <row r="1212" ht="14.25" customHeight="1">
      <c r="A1212" s="1">
        <v>7.4</v>
      </c>
      <c r="B1212" s="1">
        <v>112.0</v>
      </c>
    </row>
    <row r="1213" ht="14.25" customHeight="1">
      <c r="A1213" s="1">
        <v>6.1</v>
      </c>
      <c r="B1213" s="1">
        <v>128.0</v>
      </c>
    </row>
    <row r="1214" ht="14.25" customHeight="1">
      <c r="A1214" s="1">
        <v>6.4</v>
      </c>
      <c r="B1214" s="1">
        <v>112.0</v>
      </c>
    </row>
    <row r="1215" ht="14.25" customHeight="1">
      <c r="A1215" s="1">
        <v>6.2</v>
      </c>
      <c r="B1215" s="1">
        <v>86.0</v>
      </c>
    </row>
    <row r="1216" ht="14.25" customHeight="1">
      <c r="A1216" s="1">
        <v>6.2</v>
      </c>
      <c r="B1216" s="1">
        <v>108.0</v>
      </c>
    </row>
    <row r="1217" ht="14.25" customHeight="1">
      <c r="A1217" s="1">
        <v>5.9</v>
      </c>
      <c r="B1217" s="1">
        <v>128.0</v>
      </c>
    </row>
    <row r="1218" ht="14.25" customHeight="1">
      <c r="A1218" s="1">
        <v>4.0</v>
      </c>
      <c r="B1218" s="1">
        <v>84.0</v>
      </c>
    </row>
    <row r="1219" ht="14.25" customHeight="1">
      <c r="A1219" s="1">
        <v>6.2</v>
      </c>
      <c r="B1219" s="1">
        <v>111.0</v>
      </c>
    </row>
    <row r="1220" ht="14.25" customHeight="1">
      <c r="A1220" s="1">
        <v>4.6</v>
      </c>
      <c r="B1220" s="1">
        <v>131.0</v>
      </c>
    </row>
    <row r="1221" ht="14.25" customHeight="1">
      <c r="A1221" s="1">
        <v>6.4</v>
      </c>
      <c r="B1221" s="1">
        <v>123.0</v>
      </c>
    </row>
    <row r="1222" ht="14.25" customHeight="1">
      <c r="A1222" s="1">
        <v>5.9</v>
      </c>
      <c r="B1222" s="1">
        <v>101.0</v>
      </c>
    </row>
    <row r="1223" ht="14.25" customHeight="1">
      <c r="A1223" s="1">
        <v>5.1</v>
      </c>
      <c r="B1223" s="1">
        <v>102.0</v>
      </c>
    </row>
    <row r="1224" ht="14.25" customHeight="1">
      <c r="A1224" s="1">
        <v>7.6</v>
      </c>
      <c r="B1224" s="1">
        <v>114.0</v>
      </c>
    </row>
    <row r="1225" ht="14.25" customHeight="1">
      <c r="A1225" s="1">
        <v>4.2</v>
      </c>
      <c r="B1225" s="1">
        <v>107.0</v>
      </c>
    </row>
    <row r="1226" ht="14.25" customHeight="1">
      <c r="A1226" s="1">
        <v>7.8</v>
      </c>
      <c r="B1226" s="1">
        <v>87.0</v>
      </c>
    </row>
    <row r="1227" ht="14.25" customHeight="1">
      <c r="A1227" s="1">
        <v>5.8</v>
      </c>
      <c r="B1227" s="1">
        <v>103.0</v>
      </c>
    </row>
    <row r="1228" ht="14.25" customHeight="1">
      <c r="A1228" s="1">
        <v>5.9</v>
      </c>
      <c r="B1228" s="1">
        <v>99.0</v>
      </c>
    </row>
    <row r="1229" ht="14.25" customHeight="1">
      <c r="A1229" s="1">
        <v>8.4</v>
      </c>
      <c r="B1229" s="1">
        <v>122.0</v>
      </c>
    </row>
    <row r="1230" ht="14.25" customHeight="1">
      <c r="A1230" s="1">
        <v>4.8</v>
      </c>
      <c r="B1230" s="1">
        <v>91.0</v>
      </c>
    </row>
    <row r="1231" ht="14.25" customHeight="1">
      <c r="A1231" s="1">
        <v>6.2</v>
      </c>
      <c r="B1231" s="1">
        <v>103.0</v>
      </c>
    </row>
    <row r="1232" ht="14.25" customHeight="1">
      <c r="A1232" s="1">
        <v>6.5</v>
      </c>
      <c r="B1232" s="1">
        <v>107.0</v>
      </c>
    </row>
    <row r="1233" ht="14.25" customHeight="1">
      <c r="A1233" s="1">
        <v>6.3</v>
      </c>
      <c r="B1233" s="1">
        <v>106.0</v>
      </c>
    </row>
    <row r="1234" ht="14.25" customHeight="1">
      <c r="A1234" s="1">
        <v>3.3</v>
      </c>
      <c r="B1234" s="1">
        <v>101.0</v>
      </c>
    </row>
    <row r="1235" ht="14.25" customHeight="1">
      <c r="A1235" s="1">
        <v>5.9</v>
      </c>
      <c r="B1235" s="1">
        <v>109.0</v>
      </c>
    </row>
    <row r="1236" ht="14.25" customHeight="1">
      <c r="A1236" s="1">
        <v>6.0</v>
      </c>
      <c r="B1236" s="1">
        <v>110.0</v>
      </c>
    </row>
    <row r="1237" ht="14.25" customHeight="1">
      <c r="A1237" s="1">
        <v>5.8</v>
      </c>
      <c r="B1237" s="1">
        <v>89.0</v>
      </c>
    </row>
    <row r="1238" ht="14.25" customHeight="1">
      <c r="A1238" s="1">
        <v>4.7</v>
      </c>
      <c r="B1238" s="1">
        <v>119.0</v>
      </c>
    </row>
    <row r="1239" ht="14.25" customHeight="1">
      <c r="A1239" s="1">
        <v>4.1</v>
      </c>
      <c r="B1239" s="1">
        <v>83.0</v>
      </c>
    </row>
    <row r="1240" ht="14.25" customHeight="1">
      <c r="A1240" s="1">
        <v>6.8</v>
      </c>
      <c r="B1240" s="1">
        <v>108.0</v>
      </c>
    </row>
    <row r="1241" ht="14.25" customHeight="1">
      <c r="A1241" s="1">
        <v>6.2</v>
      </c>
      <c r="B1241" s="1">
        <v>102.0</v>
      </c>
    </row>
    <row r="1242" ht="14.25" customHeight="1">
      <c r="A1242" s="1">
        <v>4.5</v>
      </c>
      <c r="B1242" s="1">
        <v>93.0</v>
      </c>
    </row>
    <row r="1243" ht="14.25" customHeight="1">
      <c r="A1243" s="1">
        <v>5.8</v>
      </c>
      <c r="B1243" s="1">
        <v>84.0</v>
      </c>
    </row>
    <row r="1244" ht="14.25" customHeight="1">
      <c r="A1244" s="1">
        <v>7.3</v>
      </c>
      <c r="B1244" s="1">
        <v>107.0</v>
      </c>
    </row>
    <row r="1245" ht="14.25" customHeight="1">
      <c r="A1245" s="1">
        <v>5.9</v>
      </c>
      <c r="B1245" s="1">
        <v>91.0</v>
      </c>
    </row>
    <row r="1246" ht="14.25" customHeight="1">
      <c r="A1246" s="1">
        <v>4.4</v>
      </c>
      <c r="B1246" s="1">
        <v>94.0</v>
      </c>
    </row>
    <row r="1247" ht="14.25" customHeight="1">
      <c r="A1247" s="1">
        <v>5.8</v>
      </c>
      <c r="B1247" s="1">
        <v>115.0</v>
      </c>
    </row>
    <row r="1248" ht="14.25" customHeight="1">
      <c r="A1248" s="1">
        <v>5.1</v>
      </c>
      <c r="B1248" s="1">
        <v>93.0</v>
      </c>
    </row>
    <row r="1249" ht="14.25" customHeight="1">
      <c r="A1249" s="1">
        <v>6.9</v>
      </c>
      <c r="B1249" s="1">
        <v>105.0</v>
      </c>
    </row>
    <row r="1250" ht="14.25" customHeight="1">
      <c r="A1250" s="1">
        <v>6.2</v>
      </c>
      <c r="B1250" s="1">
        <v>107.0</v>
      </c>
    </row>
    <row r="1251" ht="14.25" customHeight="1">
      <c r="A1251" s="1">
        <v>6.9</v>
      </c>
      <c r="B1251" s="1">
        <v>101.0</v>
      </c>
    </row>
    <row r="1252" ht="14.25" customHeight="1">
      <c r="A1252" s="1">
        <v>7.3</v>
      </c>
      <c r="B1252" s="1">
        <v>111.0</v>
      </c>
    </row>
    <row r="1253" ht="14.25" customHeight="1">
      <c r="A1253" s="1">
        <v>7.1</v>
      </c>
      <c r="B1253" s="1">
        <v>113.0</v>
      </c>
    </row>
    <row r="1254" ht="14.25" customHeight="1">
      <c r="A1254" s="1">
        <v>6.0</v>
      </c>
      <c r="B1254" s="1">
        <v>112.0</v>
      </c>
    </row>
    <row r="1255" ht="14.25" customHeight="1">
      <c r="A1255" s="1">
        <v>7.0</v>
      </c>
      <c r="B1255" s="1">
        <v>126.0</v>
      </c>
    </row>
    <row r="1256" ht="14.25" customHeight="1">
      <c r="A1256" s="1">
        <v>7.6</v>
      </c>
      <c r="B1256" s="1">
        <v>98.0</v>
      </c>
    </row>
    <row r="1257" ht="14.25" customHeight="1">
      <c r="A1257" s="1">
        <v>7.1</v>
      </c>
      <c r="B1257" s="1">
        <v>107.0</v>
      </c>
    </row>
    <row r="1258" ht="14.25" customHeight="1">
      <c r="A1258" s="1">
        <v>6.7</v>
      </c>
      <c r="B1258" s="1">
        <v>106.0</v>
      </c>
    </row>
    <row r="1259" ht="14.25" customHeight="1">
      <c r="A1259" s="1">
        <v>7.0</v>
      </c>
      <c r="B1259" s="1">
        <v>87.0</v>
      </c>
    </row>
    <row r="1260" ht="14.25" customHeight="1">
      <c r="A1260" s="1">
        <v>8.0</v>
      </c>
      <c r="B1260" s="1">
        <v>119.0</v>
      </c>
    </row>
    <row r="1261" ht="14.25" customHeight="1">
      <c r="A1261" s="1">
        <v>5.3</v>
      </c>
      <c r="B1261" s="1">
        <v>110.0</v>
      </c>
    </row>
    <row r="1262" ht="14.25" customHeight="1">
      <c r="A1262" s="1">
        <v>4.9</v>
      </c>
      <c r="B1262" s="1">
        <v>125.0</v>
      </c>
    </row>
    <row r="1263" ht="14.25" customHeight="1">
      <c r="A1263" s="1">
        <v>6.4</v>
      </c>
      <c r="B1263" s="1">
        <v>113.0</v>
      </c>
    </row>
    <row r="1264" ht="14.25" customHeight="1">
      <c r="A1264" s="1">
        <v>7.4</v>
      </c>
      <c r="B1264" s="1">
        <v>150.0</v>
      </c>
    </row>
    <row r="1265" ht="14.25" customHeight="1">
      <c r="A1265" s="1">
        <v>6.1</v>
      </c>
      <c r="B1265" s="1">
        <v>108.0</v>
      </c>
    </row>
    <row r="1266" ht="14.25" customHeight="1">
      <c r="A1266" s="1">
        <v>6.5</v>
      </c>
      <c r="B1266" s="1">
        <v>96.0</v>
      </c>
    </row>
    <row r="1267" ht="14.25" customHeight="1">
      <c r="A1267" s="1">
        <v>5.7</v>
      </c>
      <c r="B1267" s="1">
        <v>93.0</v>
      </c>
    </row>
    <row r="1268" ht="14.25" customHeight="1">
      <c r="A1268" s="1">
        <v>5.1</v>
      </c>
      <c r="B1268" s="1">
        <v>100.0</v>
      </c>
    </row>
    <row r="1269" ht="14.25" customHeight="1">
      <c r="A1269" s="1">
        <v>6.6</v>
      </c>
      <c r="B1269" s="1">
        <v>118.0</v>
      </c>
    </row>
    <row r="1270" ht="14.25" customHeight="1">
      <c r="A1270" s="1">
        <v>6.5</v>
      </c>
      <c r="B1270" s="1">
        <v>122.0</v>
      </c>
    </row>
    <row r="1271" ht="14.25" customHeight="1">
      <c r="A1271" s="1">
        <v>6.9</v>
      </c>
      <c r="B1271" s="1">
        <v>120.0</v>
      </c>
    </row>
    <row r="1272" ht="14.25" customHeight="1">
      <c r="A1272" s="1">
        <v>7.6</v>
      </c>
      <c r="B1272" s="1">
        <v>146.0</v>
      </c>
    </row>
    <row r="1273" ht="14.25" customHeight="1">
      <c r="A1273" s="1">
        <v>5.6</v>
      </c>
      <c r="B1273" s="1">
        <v>115.0</v>
      </c>
    </row>
    <row r="1274" ht="14.25" customHeight="1">
      <c r="A1274" s="1">
        <v>6.2</v>
      </c>
      <c r="B1274" s="1">
        <v>123.0</v>
      </c>
    </row>
    <row r="1275" ht="14.25" customHeight="1">
      <c r="A1275" s="1">
        <v>4.4</v>
      </c>
      <c r="B1275" s="1">
        <v>94.0</v>
      </c>
    </row>
    <row r="1276" ht="14.25" customHeight="1">
      <c r="A1276" s="1">
        <v>5.6</v>
      </c>
      <c r="B1276" s="1">
        <v>102.0</v>
      </c>
    </row>
    <row r="1277" ht="14.25" customHeight="1">
      <c r="A1277" s="1">
        <v>5.5</v>
      </c>
      <c r="B1277" s="1">
        <v>98.0</v>
      </c>
    </row>
    <row r="1278" ht="14.25" customHeight="1">
      <c r="A1278" s="1">
        <v>6.7</v>
      </c>
      <c r="B1278" s="1">
        <v>133.0</v>
      </c>
    </row>
    <row r="1279" ht="14.25" customHeight="1">
      <c r="A1279" s="1">
        <v>6.1</v>
      </c>
      <c r="B1279" s="1">
        <v>118.0</v>
      </c>
    </row>
    <row r="1280" ht="14.25" customHeight="1">
      <c r="A1280" s="1">
        <v>6.2</v>
      </c>
      <c r="B1280" s="1">
        <v>105.0</v>
      </c>
    </row>
    <row r="1281" ht="14.25" customHeight="1">
      <c r="A1281" s="1">
        <v>7.3</v>
      </c>
      <c r="B1281" s="1">
        <v>109.0</v>
      </c>
    </row>
    <row r="1282" ht="14.25" customHeight="1">
      <c r="A1282" s="1">
        <v>6.6</v>
      </c>
      <c r="B1282" s="1">
        <v>129.0</v>
      </c>
    </row>
    <row r="1283" ht="14.25" customHeight="1">
      <c r="A1283" s="1">
        <v>8.2</v>
      </c>
      <c r="B1283" s="1">
        <v>109.0</v>
      </c>
    </row>
    <row r="1284" ht="14.25" customHeight="1">
      <c r="A1284" s="1">
        <v>6.4</v>
      </c>
      <c r="B1284" s="1">
        <v>127.0</v>
      </c>
    </row>
    <row r="1285" ht="14.25" customHeight="1">
      <c r="A1285" s="1">
        <v>6.4</v>
      </c>
      <c r="B1285" s="1">
        <v>118.0</v>
      </c>
    </row>
    <row r="1286" ht="14.25" customHeight="1">
      <c r="A1286" s="1">
        <v>5.2</v>
      </c>
      <c r="B1286" s="1">
        <v>110.0</v>
      </c>
    </row>
    <row r="1287" ht="14.25" customHeight="1">
      <c r="A1287" s="1">
        <v>6.5</v>
      </c>
      <c r="B1287" s="1">
        <v>90.0</v>
      </c>
    </row>
    <row r="1288" ht="14.25" customHeight="1">
      <c r="A1288" s="1">
        <v>7.1</v>
      </c>
      <c r="B1288" s="1">
        <v>144.0</v>
      </c>
    </row>
    <row r="1289" ht="14.25" customHeight="1">
      <c r="A1289" s="1">
        <v>7.3</v>
      </c>
      <c r="B1289" s="1">
        <v>130.0</v>
      </c>
    </row>
    <row r="1290" ht="14.25" customHeight="1">
      <c r="A1290" s="1">
        <v>5.2</v>
      </c>
      <c r="B1290" s="1">
        <v>112.0</v>
      </c>
    </row>
    <row r="1291" ht="14.25" customHeight="1">
      <c r="A1291" s="1">
        <v>7.7</v>
      </c>
      <c r="B1291" s="1">
        <v>133.0</v>
      </c>
    </row>
    <row r="1292" ht="14.25" customHeight="1">
      <c r="A1292" s="1">
        <v>7.6</v>
      </c>
      <c r="B1292" s="1">
        <v>150.0</v>
      </c>
    </row>
    <row r="1293" ht="14.25" customHeight="1">
      <c r="A1293" s="1">
        <v>5.7</v>
      </c>
      <c r="B1293" s="1">
        <v>110.0</v>
      </c>
    </row>
    <row r="1294" ht="14.25" customHeight="1">
      <c r="A1294" s="1">
        <v>7.0</v>
      </c>
      <c r="B1294" s="1">
        <v>96.0</v>
      </c>
    </row>
    <row r="1295" ht="14.25" customHeight="1">
      <c r="A1295" s="1">
        <v>6.0</v>
      </c>
      <c r="B1295" s="1">
        <v>96.0</v>
      </c>
    </row>
    <row r="1296" ht="14.25" customHeight="1">
      <c r="A1296" s="1">
        <v>8.1</v>
      </c>
      <c r="B1296" s="1">
        <v>123.0</v>
      </c>
    </row>
    <row r="1297" ht="14.25" customHeight="1">
      <c r="A1297" s="1">
        <v>8.0</v>
      </c>
      <c r="B1297" s="1">
        <v>188.0</v>
      </c>
    </row>
    <row r="1298" ht="14.25" customHeight="1">
      <c r="A1298" s="1">
        <v>5.6</v>
      </c>
      <c r="B1298" s="1">
        <v>107.0</v>
      </c>
    </row>
    <row r="1299" ht="14.25" customHeight="1">
      <c r="A1299" s="1">
        <v>6.1</v>
      </c>
      <c r="B1299" s="1">
        <v>110.0</v>
      </c>
    </row>
    <row r="1300" ht="14.25" customHeight="1">
      <c r="A1300" s="1">
        <v>6.9</v>
      </c>
      <c r="B1300" s="1">
        <v>113.0</v>
      </c>
    </row>
    <row r="1301" ht="14.25" customHeight="1">
      <c r="A1301" s="1">
        <v>5.2</v>
      </c>
      <c r="B1301" s="1">
        <v>122.0</v>
      </c>
    </row>
    <row r="1302" ht="14.25" customHeight="1">
      <c r="A1302" s="1">
        <v>7.0</v>
      </c>
      <c r="B1302" s="1">
        <v>116.0</v>
      </c>
    </row>
    <row r="1303" ht="14.25" customHeight="1">
      <c r="A1303" s="1">
        <v>6.3</v>
      </c>
      <c r="B1303" s="1">
        <v>93.0</v>
      </c>
    </row>
    <row r="1304" ht="14.25" customHeight="1">
      <c r="A1304" s="1">
        <v>7.0</v>
      </c>
      <c r="B1304" s="1">
        <v>118.0</v>
      </c>
    </row>
    <row r="1305" ht="14.25" customHeight="1">
      <c r="A1305" s="1">
        <v>6.9</v>
      </c>
      <c r="B1305" s="1">
        <v>93.0</v>
      </c>
    </row>
    <row r="1306" ht="14.25" customHeight="1">
      <c r="A1306" s="1">
        <v>6.2</v>
      </c>
      <c r="B1306" s="1">
        <v>121.0</v>
      </c>
    </row>
    <row r="1307" ht="14.25" customHeight="1">
      <c r="A1307" s="1">
        <v>6.4</v>
      </c>
      <c r="B1307" s="1">
        <v>101.0</v>
      </c>
    </row>
    <row r="1308" ht="14.25" customHeight="1">
      <c r="A1308" s="1">
        <v>6.4</v>
      </c>
      <c r="B1308" s="1">
        <v>107.0</v>
      </c>
    </row>
    <row r="1309" ht="14.25" customHeight="1">
      <c r="A1309" s="1">
        <v>5.7</v>
      </c>
      <c r="B1309" s="1">
        <v>124.0</v>
      </c>
    </row>
    <row r="1310" ht="14.25" customHeight="1">
      <c r="A1310" s="1">
        <v>6.1</v>
      </c>
      <c r="B1310" s="1">
        <v>109.0</v>
      </c>
    </row>
    <row r="1311" ht="14.25" customHeight="1">
      <c r="A1311" s="1">
        <v>5.4</v>
      </c>
      <c r="B1311" s="1">
        <v>105.0</v>
      </c>
    </row>
    <row r="1312" ht="14.25" customHeight="1">
      <c r="A1312" s="1">
        <v>6.7</v>
      </c>
      <c r="B1312" s="1">
        <v>130.0</v>
      </c>
    </row>
    <row r="1313" ht="14.25" customHeight="1">
      <c r="A1313" s="1">
        <v>6.8</v>
      </c>
      <c r="B1313" s="1">
        <v>127.0</v>
      </c>
    </row>
    <row r="1314" ht="14.25" customHeight="1">
      <c r="A1314" s="1">
        <v>6.0</v>
      </c>
      <c r="B1314" s="1">
        <v>114.0</v>
      </c>
    </row>
    <row r="1315" ht="14.25" customHeight="1">
      <c r="A1315" s="1">
        <v>7.8</v>
      </c>
      <c r="B1315" s="1">
        <v>106.0</v>
      </c>
    </row>
    <row r="1316" ht="14.25" customHeight="1">
      <c r="A1316" s="1">
        <v>5.3</v>
      </c>
      <c r="B1316" s="1">
        <v>95.0</v>
      </c>
    </row>
    <row r="1317" ht="14.25" customHeight="1">
      <c r="A1317" s="1">
        <v>4.5</v>
      </c>
      <c r="B1317" s="1">
        <v>81.0</v>
      </c>
    </row>
    <row r="1318" ht="14.25" customHeight="1">
      <c r="A1318" s="1">
        <v>5.4</v>
      </c>
      <c r="B1318" s="1">
        <v>95.0</v>
      </c>
    </row>
    <row r="1319" ht="14.25" customHeight="1">
      <c r="A1319" s="1">
        <v>7.8</v>
      </c>
      <c r="B1319" s="1">
        <v>108.0</v>
      </c>
    </row>
    <row r="1320" ht="14.25" customHeight="1">
      <c r="A1320" s="1">
        <v>7.2</v>
      </c>
      <c r="B1320" s="1">
        <v>105.0</v>
      </c>
    </row>
    <row r="1321" ht="14.25" customHeight="1">
      <c r="A1321" s="1">
        <v>6.6</v>
      </c>
      <c r="B1321" s="1">
        <v>95.0</v>
      </c>
    </row>
    <row r="1322" ht="14.25" customHeight="1">
      <c r="A1322" s="1">
        <v>7.6</v>
      </c>
      <c r="B1322" s="1">
        <v>126.0</v>
      </c>
    </row>
    <row r="1323" ht="14.25" customHeight="1">
      <c r="A1323" s="1">
        <v>5.9</v>
      </c>
      <c r="B1323" s="1">
        <v>102.0</v>
      </c>
    </row>
    <row r="1324" ht="14.25" customHeight="1">
      <c r="A1324" s="1">
        <v>6.7</v>
      </c>
      <c r="B1324" s="1">
        <v>121.0</v>
      </c>
    </row>
    <row r="1325" ht="14.25" customHeight="1">
      <c r="A1325" s="1">
        <v>7.7</v>
      </c>
      <c r="B1325" s="1">
        <v>129.0</v>
      </c>
    </row>
    <row r="1326" ht="14.25" customHeight="1">
      <c r="A1326" s="1">
        <v>5.4</v>
      </c>
      <c r="B1326" s="1">
        <v>88.0</v>
      </c>
    </row>
    <row r="1327" ht="14.25" customHeight="1">
      <c r="A1327" s="1">
        <v>6.9</v>
      </c>
      <c r="B1327" s="1">
        <v>106.0</v>
      </c>
    </row>
    <row r="1328" ht="14.25" customHeight="1">
      <c r="A1328" s="1">
        <v>7.7</v>
      </c>
      <c r="B1328" s="1">
        <v>110.0</v>
      </c>
    </row>
    <row r="1329" ht="14.25" customHeight="1">
      <c r="A1329" s="1">
        <v>6.8</v>
      </c>
      <c r="B1329" s="1">
        <v>109.0</v>
      </c>
    </row>
    <row r="1330" ht="14.25" customHeight="1">
      <c r="A1330" s="1">
        <v>6.4</v>
      </c>
      <c r="B1330" s="1">
        <v>143.0</v>
      </c>
    </row>
    <row r="1331" ht="14.25" customHeight="1">
      <c r="A1331" s="1">
        <v>5.7</v>
      </c>
      <c r="B1331" s="1">
        <v>120.0</v>
      </c>
    </row>
    <row r="1332" ht="14.25" customHeight="1">
      <c r="A1332" s="1">
        <v>7.3</v>
      </c>
      <c r="B1332" s="1">
        <v>128.0</v>
      </c>
    </row>
    <row r="1333" ht="14.25" customHeight="1">
      <c r="A1333" s="1">
        <v>6.8</v>
      </c>
      <c r="B1333" s="1">
        <v>123.0</v>
      </c>
    </row>
    <row r="1334" ht="14.25" customHeight="1">
      <c r="A1334" s="1">
        <v>6.3</v>
      </c>
      <c r="B1334" s="1">
        <v>129.0</v>
      </c>
    </row>
    <row r="1335" ht="14.25" customHeight="1">
      <c r="A1335" s="1">
        <v>5.9</v>
      </c>
      <c r="B1335" s="1">
        <v>105.0</v>
      </c>
    </row>
    <row r="1336" ht="14.25" customHeight="1">
      <c r="A1336" s="1">
        <v>7.4</v>
      </c>
      <c r="B1336" s="1">
        <v>162.0</v>
      </c>
    </row>
    <row r="1337" ht="14.25" customHeight="1">
      <c r="A1337" s="1">
        <v>8.3</v>
      </c>
      <c r="B1337" s="1">
        <v>138.0</v>
      </c>
    </row>
    <row r="1338" ht="14.25" customHeight="1">
      <c r="A1338" s="1">
        <v>6.2</v>
      </c>
      <c r="B1338" s="1">
        <v>100.0</v>
      </c>
    </row>
    <row r="1339" ht="14.25" customHeight="1">
      <c r="A1339" s="1">
        <v>6.3</v>
      </c>
      <c r="B1339" s="1">
        <v>90.0</v>
      </c>
    </row>
    <row r="1340" ht="14.25" customHeight="1">
      <c r="A1340" s="1">
        <v>5.8</v>
      </c>
      <c r="B1340" s="1">
        <v>108.0</v>
      </c>
    </row>
    <row r="1341" ht="14.25" customHeight="1">
      <c r="A1341" s="1">
        <v>7.5</v>
      </c>
      <c r="B1341" s="1">
        <v>101.0</v>
      </c>
    </row>
    <row r="1342" ht="14.25" customHeight="1">
      <c r="A1342" s="1">
        <v>6.3</v>
      </c>
      <c r="B1342" s="1">
        <v>109.0</v>
      </c>
    </row>
    <row r="1343" ht="14.25" customHeight="1">
      <c r="A1343" s="1">
        <v>6.4</v>
      </c>
      <c r="B1343" s="1">
        <v>132.0</v>
      </c>
    </row>
    <row r="1344" ht="14.25" customHeight="1">
      <c r="A1344" s="1">
        <v>7.2</v>
      </c>
      <c r="B1344" s="1">
        <v>123.0</v>
      </c>
    </row>
    <row r="1345" ht="14.25" customHeight="1">
      <c r="A1345" s="1">
        <v>6.3</v>
      </c>
      <c r="B1345" s="1">
        <v>87.0</v>
      </c>
    </row>
    <row r="1346" ht="14.25" customHeight="1">
      <c r="A1346" s="1">
        <v>6.9</v>
      </c>
      <c r="B1346" s="1">
        <v>109.0</v>
      </c>
    </row>
    <row r="1347" ht="14.25" customHeight="1">
      <c r="A1347" s="1">
        <v>6.6</v>
      </c>
      <c r="B1347" s="1">
        <v>109.0</v>
      </c>
    </row>
    <row r="1348" ht="14.25" customHeight="1">
      <c r="A1348" s="1">
        <v>6.0</v>
      </c>
      <c r="B1348" s="1">
        <v>92.0</v>
      </c>
    </row>
    <row r="1349" ht="14.25" customHeight="1">
      <c r="A1349" s="1">
        <v>7.5</v>
      </c>
      <c r="B1349" s="1">
        <v>125.0</v>
      </c>
    </row>
    <row r="1350" ht="14.25" customHeight="1">
      <c r="A1350" s="1">
        <v>7.7</v>
      </c>
      <c r="B1350" s="1">
        <v>202.0</v>
      </c>
    </row>
    <row r="1351" ht="14.25" customHeight="1">
      <c r="A1351" s="1">
        <v>6.2</v>
      </c>
      <c r="B1351" s="1">
        <v>134.0</v>
      </c>
    </row>
    <row r="1352" ht="14.25" customHeight="1">
      <c r="A1352" s="1">
        <v>5.4</v>
      </c>
      <c r="B1352" s="1">
        <v>88.0</v>
      </c>
    </row>
    <row r="1353" ht="14.25" customHeight="1">
      <c r="A1353" s="1">
        <v>6.6</v>
      </c>
      <c r="B1353" s="1">
        <v>92.0</v>
      </c>
    </row>
    <row r="1354" ht="14.25" customHeight="1">
      <c r="A1354" s="1">
        <v>5.3</v>
      </c>
      <c r="B1354" s="1">
        <v>91.0</v>
      </c>
    </row>
    <row r="1355" ht="14.25" customHeight="1">
      <c r="A1355" s="1">
        <v>5.6</v>
      </c>
      <c r="B1355" s="1">
        <v>75.0</v>
      </c>
    </row>
    <row r="1356" ht="14.25" customHeight="1">
      <c r="A1356" s="1">
        <v>5.9</v>
      </c>
      <c r="B1356" s="1">
        <v>98.0</v>
      </c>
    </row>
    <row r="1357" ht="14.25" customHeight="1">
      <c r="A1357" s="1">
        <v>7.8</v>
      </c>
      <c r="B1357" s="1">
        <v>147.0</v>
      </c>
    </row>
    <row r="1358" ht="14.25" customHeight="1">
      <c r="A1358" s="1">
        <v>6.7</v>
      </c>
      <c r="B1358" s="1">
        <v>100.0</v>
      </c>
    </row>
    <row r="1359" ht="14.25" customHeight="1">
      <c r="A1359" s="1">
        <v>7.4</v>
      </c>
      <c r="B1359" s="1">
        <v>120.0</v>
      </c>
    </row>
    <row r="1360" ht="14.25" customHeight="1">
      <c r="A1360" s="1">
        <v>6.2</v>
      </c>
      <c r="B1360" s="1">
        <v>104.0</v>
      </c>
    </row>
    <row r="1361" ht="14.25" customHeight="1">
      <c r="A1361" s="1">
        <v>5.4</v>
      </c>
      <c r="B1361" s="1">
        <v>103.0</v>
      </c>
    </row>
    <row r="1362" ht="14.25" customHeight="1">
      <c r="A1362" s="1">
        <v>6.7</v>
      </c>
      <c r="B1362" s="1">
        <v>109.0</v>
      </c>
    </row>
    <row r="1363" ht="14.25" customHeight="1">
      <c r="A1363" s="1">
        <v>5.3</v>
      </c>
      <c r="B1363" s="1">
        <v>104.0</v>
      </c>
    </row>
    <row r="1364" ht="14.25" customHeight="1">
      <c r="A1364" s="1">
        <v>5.9</v>
      </c>
      <c r="B1364" s="1">
        <v>112.0</v>
      </c>
    </row>
    <row r="1365" ht="14.25" customHeight="1">
      <c r="A1365" s="1">
        <v>4.8</v>
      </c>
      <c r="B1365" s="1">
        <v>95.0</v>
      </c>
    </row>
    <row r="1366" ht="14.25" customHeight="1">
      <c r="A1366" s="1">
        <v>3.8</v>
      </c>
      <c r="B1366" s="1">
        <v>102.0</v>
      </c>
    </row>
    <row r="1367" ht="14.25" customHeight="1">
      <c r="A1367" s="1">
        <v>8.5</v>
      </c>
      <c r="B1367" s="1">
        <v>150.0</v>
      </c>
    </row>
    <row r="1368" ht="14.25" customHeight="1">
      <c r="A1368" s="1">
        <v>6.8</v>
      </c>
      <c r="B1368" s="1">
        <v>122.0</v>
      </c>
    </row>
    <row r="1369" ht="14.25" customHeight="1">
      <c r="A1369" s="1">
        <v>6.8</v>
      </c>
      <c r="B1369" s="1">
        <v>101.0</v>
      </c>
    </row>
    <row r="1370" ht="14.25" customHeight="1">
      <c r="A1370" s="1">
        <v>5.3</v>
      </c>
      <c r="B1370" s="1">
        <v>108.0</v>
      </c>
    </row>
    <row r="1371" ht="14.25" customHeight="1">
      <c r="A1371" s="1">
        <v>7.3</v>
      </c>
      <c r="B1371" s="1">
        <v>98.0</v>
      </c>
    </row>
    <row r="1372" ht="14.25" customHeight="1">
      <c r="A1372" s="1">
        <v>6.6</v>
      </c>
      <c r="B1372" s="1">
        <v>137.0</v>
      </c>
    </row>
    <row r="1373" ht="14.25" customHeight="1">
      <c r="A1373" s="1">
        <v>6.2</v>
      </c>
      <c r="B1373" s="1">
        <v>112.0</v>
      </c>
    </row>
    <row r="1374" ht="14.25" customHeight="1">
      <c r="A1374" s="1">
        <v>5.2</v>
      </c>
      <c r="B1374" s="1">
        <v>101.0</v>
      </c>
    </row>
    <row r="1375" ht="14.25" customHeight="1">
      <c r="A1375" s="1">
        <v>6.2</v>
      </c>
      <c r="B1375" s="1">
        <v>103.0</v>
      </c>
    </row>
    <row r="1376" ht="14.25" customHeight="1">
      <c r="A1376" s="1">
        <v>6.2</v>
      </c>
      <c r="B1376" s="1">
        <v>101.0</v>
      </c>
    </row>
    <row r="1377" ht="14.25" customHeight="1">
      <c r="A1377" s="1">
        <v>6.6</v>
      </c>
      <c r="B1377" s="1">
        <v>112.0</v>
      </c>
    </row>
    <row r="1378" ht="14.25" customHeight="1">
      <c r="A1378" s="1">
        <v>6.2</v>
      </c>
      <c r="B1378" s="1">
        <v>102.0</v>
      </c>
    </row>
    <row r="1379" ht="14.25" customHeight="1">
      <c r="A1379" s="1">
        <v>5.1</v>
      </c>
      <c r="B1379" s="1">
        <v>101.0</v>
      </c>
    </row>
    <row r="1380" ht="14.25" customHeight="1">
      <c r="A1380" s="1">
        <v>6.6</v>
      </c>
      <c r="B1380" s="1">
        <v>155.0</v>
      </c>
    </row>
    <row r="1381" ht="14.25" customHeight="1">
      <c r="A1381" s="1">
        <v>6.1</v>
      </c>
      <c r="B1381" s="1">
        <v>109.0</v>
      </c>
    </row>
    <row r="1382" ht="14.25" customHeight="1">
      <c r="A1382" s="1">
        <v>6.6</v>
      </c>
      <c r="B1382" s="1">
        <v>140.0</v>
      </c>
    </row>
    <row r="1383" ht="14.25" customHeight="1">
      <c r="A1383" s="1">
        <v>5.9</v>
      </c>
      <c r="B1383" s="1">
        <v>108.0</v>
      </c>
    </row>
    <row r="1384" ht="14.25" customHeight="1">
      <c r="A1384" s="1">
        <v>6.3</v>
      </c>
      <c r="B1384" s="1">
        <v>96.0</v>
      </c>
    </row>
    <row r="1385" ht="14.25" customHeight="1">
      <c r="A1385" s="1">
        <v>7.1</v>
      </c>
      <c r="B1385" s="1">
        <v>123.0</v>
      </c>
    </row>
    <row r="1386" ht="14.25" customHeight="1">
      <c r="A1386" s="1">
        <v>5.0</v>
      </c>
      <c r="B1386" s="1">
        <v>106.0</v>
      </c>
    </row>
    <row r="1387" ht="14.25" customHeight="1">
      <c r="A1387" s="1">
        <v>5.6</v>
      </c>
      <c r="B1387" s="1">
        <v>76.0</v>
      </c>
    </row>
    <row r="1388" ht="14.25" customHeight="1">
      <c r="A1388" s="1">
        <v>7.4</v>
      </c>
      <c r="B1388" s="1">
        <v>107.0</v>
      </c>
    </row>
    <row r="1389" ht="14.25" customHeight="1">
      <c r="A1389" s="1">
        <v>4.5</v>
      </c>
      <c r="B1389" s="1">
        <v>82.0</v>
      </c>
    </row>
    <row r="1390" ht="14.25" customHeight="1">
      <c r="A1390" s="1">
        <v>6.2</v>
      </c>
      <c r="B1390" s="1">
        <v>109.0</v>
      </c>
    </row>
    <row r="1391" ht="14.25" customHeight="1">
      <c r="A1391" s="1">
        <v>5.0</v>
      </c>
      <c r="B1391" s="1">
        <v>99.0</v>
      </c>
    </row>
    <row r="1392" ht="14.25" customHeight="1">
      <c r="A1392" s="1">
        <v>6.5</v>
      </c>
      <c r="B1392" s="1">
        <v>91.0</v>
      </c>
    </row>
    <row r="1393" ht="14.25" customHeight="1">
      <c r="A1393" s="1">
        <v>5.1</v>
      </c>
      <c r="B1393" s="1">
        <v>87.0</v>
      </c>
    </row>
    <row r="1394" ht="14.25" customHeight="1">
      <c r="A1394" s="1">
        <v>6.5</v>
      </c>
      <c r="B1394" s="1">
        <v>125.0</v>
      </c>
    </row>
    <row r="1395" ht="14.25" customHeight="1">
      <c r="A1395" s="1">
        <v>6.2</v>
      </c>
      <c r="B1395" s="1">
        <v>118.0</v>
      </c>
    </row>
    <row r="1396" ht="14.25" customHeight="1">
      <c r="A1396" s="1">
        <v>6.3</v>
      </c>
      <c r="B1396" s="1">
        <v>98.0</v>
      </c>
    </row>
    <row r="1397" ht="14.25" customHeight="1">
      <c r="A1397" s="1">
        <v>3.8</v>
      </c>
      <c r="B1397" s="1">
        <v>92.0</v>
      </c>
    </row>
    <row r="1398" ht="14.25" customHeight="1">
      <c r="A1398" s="1">
        <v>6.2</v>
      </c>
      <c r="B1398" s="1">
        <v>92.0</v>
      </c>
    </row>
    <row r="1399" ht="14.25" customHeight="1">
      <c r="A1399" s="1">
        <v>5.7</v>
      </c>
      <c r="B1399" s="1">
        <v>115.0</v>
      </c>
    </row>
    <row r="1400" ht="14.25" customHeight="1">
      <c r="A1400" s="1">
        <v>6.7</v>
      </c>
      <c r="B1400" s="1">
        <v>120.0</v>
      </c>
    </row>
    <row r="1401" ht="14.25" customHeight="1">
      <c r="A1401" s="1">
        <v>6.8</v>
      </c>
      <c r="B1401" s="1">
        <v>111.0</v>
      </c>
    </row>
    <row r="1402" ht="14.25" customHeight="1">
      <c r="A1402" s="1">
        <v>6.0</v>
      </c>
      <c r="B1402" s="1">
        <v>94.0</v>
      </c>
    </row>
    <row r="1403" ht="14.25" customHeight="1">
      <c r="A1403" s="1">
        <v>7.3</v>
      </c>
      <c r="B1403" s="1">
        <v>100.0</v>
      </c>
    </row>
    <row r="1404" ht="14.25" customHeight="1">
      <c r="A1404" s="1">
        <v>5.5</v>
      </c>
      <c r="B1404" s="1">
        <v>101.0</v>
      </c>
    </row>
    <row r="1405" ht="14.25" customHeight="1">
      <c r="A1405" s="1">
        <v>6.7</v>
      </c>
      <c r="B1405" s="1">
        <v>139.0</v>
      </c>
    </row>
    <row r="1406" ht="14.25" customHeight="1">
      <c r="A1406" s="1">
        <v>4.8</v>
      </c>
      <c r="B1406" s="1">
        <v>91.0</v>
      </c>
    </row>
    <row r="1407" ht="14.25" customHeight="1">
      <c r="A1407" s="1">
        <v>5.7</v>
      </c>
      <c r="B1407" s="1">
        <v>109.0</v>
      </c>
    </row>
    <row r="1408" ht="14.25" customHeight="1">
      <c r="A1408" s="1">
        <v>5.1</v>
      </c>
      <c r="B1408" s="1">
        <v>102.0</v>
      </c>
    </row>
    <row r="1409" ht="14.25" customHeight="1">
      <c r="A1409" s="1">
        <v>6.0</v>
      </c>
      <c r="B1409" s="1">
        <v>103.0</v>
      </c>
    </row>
    <row r="1410" ht="14.25" customHeight="1">
      <c r="A1410" s="1">
        <v>4.2</v>
      </c>
      <c r="B1410" s="1">
        <v>83.0</v>
      </c>
    </row>
    <row r="1411" ht="14.25" customHeight="1">
      <c r="A1411" s="1">
        <v>7.4</v>
      </c>
      <c r="B1411" s="1">
        <v>123.0</v>
      </c>
    </row>
    <row r="1412" ht="14.25" customHeight="1">
      <c r="A1412" s="1">
        <v>4.6</v>
      </c>
      <c r="B1412" s="1">
        <v>101.0</v>
      </c>
    </row>
    <row r="1413" ht="14.25" customHeight="1">
      <c r="A1413" s="1">
        <v>6.9</v>
      </c>
      <c r="B1413" s="1">
        <v>117.0</v>
      </c>
    </row>
    <row r="1414" ht="14.25" customHeight="1">
      <c r="A1414" s="1">
        <v>6.9</v>
      </c>
      <c r="B1414" s="1">
        <v>114.0</v>
      </c>
    </row>
    <row r="1415" ht="14.25" customHeight="1">
      <c r="A1415" s="1">
        <v>8.0</v>
      </c>
      <c r="B1415" s="1">
        <v>330.0</v>
      </c>
    </row>
    <row r="1416" ht="14.25" customHeight="1">
      <c r="A1416" s="1">
        <v>6.4</v>
      </c>
      <c r="B1416" s="1">
        <v>121.0</v>
      </c>
    </row>
    <row r="1417" ht="14.25" customHeight="1">
      <c r="A1417" s="1">
        <v>6.3</v>
      </c>
      <c r="B1417" s="1">
        <v>114.0</v>
      </c>
    </row>
    <row r="1418" ht="14.25" customHeight="1">
      <c r="A1418" s="1">
        <v>6.8</v>
      </c>
      <c r="B1418" s="1">
        <v>148.0</v>
      </c>
    </row>
    <row r="1419" ht="14.25" customHeight="1">
      <c r="A1419" s="1">
        <v>6.8</v>
      </c>
      <c r="B1419" s="1">
        <v>113.0</v>
      </c>
    </row>
    <row r="1420" ht="14.25" customHeight="1">
      <c r="A1420" s="1">
        <v>5.4</v>
      </c>
      <c r="B1420" s="1">
        <v>91.0</v>
      </c>
    </row>
    <row r="1421" ht="14.25" customHeight="1">
      <c r="A1421" s="1">
        <v>7.2</v>
      </c>
      <c r="B1421" s="1">
        <v>139.0</v>
      </c>
    </row>
    <row r="1422" ht="14.25" customHeight="1">
      <c r="A1422" s="1">
        <v>7.3</v>
      </c>
      <c r="B1422" s="1">
        <v>96.0</v>
      </c>
    </row>
    <row r="1423" ht="14.25" customHeight="1">
      <c r="A1423" s="1">
        <v>5.2</v>
      </c>
      <c r="B1423" s="1">
        <v>102.0</v>
      </c>
    </row>
    <row r="1424" ht="14.25" customHeight="1">
      <c r="A1424" s="1">
        <v>5.5</v>
      </c>
      <c r="B1424" s="1">
        <v>96.0</v>
      </c>
    </row>
    <row r="1425" ht="14.25" customHeight="1">
      <c r="A1425" s="1">
        <v>7.7</v>
      </c>
      <c r="B1425" s="1">
        <v>101.0</v>
      </c>
    </row>
    <row r="1426" ht="14.25" customHeight="1">
      <c r="A1426" s="1">
        <v>7.1</v>
      </c>
      <c r="B1426" s="1">
        <v>128.0</v>
      </c>
    </row>
    <row r="1427" ht="14.25" customHeight="1">
      <c r="A1427" s="1">
        <v>5.3</v>
      </c>
      <c r="B1427" s="1">
        <v>109.0</v>
      </c>
    </row>
    <row r="1428" ht="14.25" customHeight="1">
      <c r="A1428" s="1">
        <v>5.6</v>
      </c>
      <c r="B1428" s="1">
        <v>114.0</v>
      </c>
    </row>
    <row r="1429" ht="14.25" customHeight="1">
      <c r="A1429" s="1">
        <v>5.7</v>
      </c>
      <c r="B1429" s="1">
        <v>105.0</v>
      </c>
    </row>
    <row r="1430" ht="14.25" customHeight="1">
      <c r="A1430" s="1">
        <v>7.1</v>
      </c>
      <c r="B1430" s="1">
        <v>141.0</v>
      </c>
    </row>
    <row r="1431" ht="14.25" customHeight="1">
      <c r="A1431" s="1">
        <v>7.6</v>
      </c>
      <c r="B1431" s="1">
        <v>138.0</v>
      </c>
    </row>
    <row r="1432" ht="14.25" customHeight="1">
      <c r="A1432" s="1">
        <v>5.5</v>
      </c>
      <c r="B1432" s="1">
        <v>101.0</v>
      </c>
    </row>
    <row r="1433" ht="14.25" customHeight="1">
      <c r="A1433" s="1">
        <v>5.1</v>
      </c>
      <c r="B1433" s="1">
        <v>99.0</v>
      </c>
    </row>
    <row r="1434" ht="14.25" customHeight="1">
      <c r="A1434" s="1">
        <v>4.9</v>
      </c>
      <c r="B1434" s="1">
        <v>89.0</v>
      </c>
    </row>
    <row r="1435" ht="14.25" customHeight="1">
      <c r="A1435" s="1">
        <v>6.5</v>
      </c>
      <c r="B1435" s="1">
        <v>99.0</v>
      </c>
    </row>
    <row r="1436" ht="14.25" customHeight="1">
      <c r="A1436" s="1">
        <v>5.6</v>
      </c>
      <c r="B1436" s="1">
        <v>105.0</v>
      </c>
    </row>
    <row r="1437" ht="14.25" customHeight="1">
      <c r="A1437" s="1">
        <v>5.3</v>
      </c>
      <c r="B1437" s="1">
        <v>97.0</v>
      </c>
    </row>
    <row r="1438" ht="14.25" customHeight="1">
      <c r="A1438" s="1">
        <v>6.5</v>
      </c>
      <c r="B1438" s="1">
        <v>140.0</v>
      </c>
    </row>
    <row r="1439" ht="14.25" customHeight="1">
      <c r="A1439" s="1">
        <v>6.8</v>
      </c>
      <c r="B1439" s="1">
        <v>118.0</v>
      </c>
    </row>
    <row r="1440" ht="14.25" customHeight="1">
      <c r="A1440" s="1">
        <v>6.5</v>
      </c>
      <c r="B1440" s="1">
        <v>94.0</v>
      </c>
    </row>
    <row r="1441" ht="14.25" customHeight="1">
      <c r="A1441" s="1">
        <v>6.0</v>
      </c>
      <c r="B1441" s="1">
        <v>124.0</v>
      </c>
    </row>
    <row r="1442" ht="14.25" customHeight="1">
      <c r="A1442" s="1">
        <v>8.4</v>
      </c>
      <c r="B1442" s="1">
        <v>134.0</v>
      </c>
    </row>
    <row r="1443" ht="14.25" customHeight="1">
      <c r="A1443" s="1">
        <v>6.0</v>
      </c>
      <c r="B1443" s="1">
        <v>113.0</v>
      </c>
    </row>
    <row r="1444" ht="14.25" customHeight="1">
      <c r="A1444" s="1">
        <v>7.6</v>
      </c>
      <c r="B1444" s="1">
        <v>124.0</v>
      </c>
    </row>
    <row r="1445" ht="14.25" customHeight="1">
      <c r="A1445" s="1">
        <v>6.9</v>
      </c>
      <c r="B1445" s="1">
        <v>97.0</v>
      </c>
    </row>
    <row r="1446" ht="14.25" customHeight="1">
      <c r="A1446" s="1">
        <v>6.4</v>
      </c>
      <c r="B1446" s="1">
        <v>123.0</v>
      </c>
    </row>
    <row r="1447" ht="14.25" customHeight="1">
      <c r="A1447" s="1">
        <v>5.1</v>
      </c>
      <c r="B1447" s="1">
        <v>99.0</v>
      </c>
    </row>
    <row r="1448" ht="14.25" customHeight="1">
      <c r="A1448" s="1">
        <v>7.0</v>
      </c>
      <c r="B1448" s="1">
        <v>101.0</v>
      </c>
    </row>
    <row r="1449" ht="14.25" customHeight="1">
      <c r="A1449" s="1">
        <v>5.7</v>
      </c>
      <c r="B1449" s="1">
        <v>92.0</v>
      </c>
    </row>
    <row r="1450" ht="14.25" customHeight="1">
      <c r="A1450" s="1">
        <v>6.8</v>
      </c>
      <c r="B1450" s="1">
        <v>131.0</v>
      </c>
    </row>
    <row r="1451" ht="14.25" customHeight="1">
      <c r="A1451" s="1">
        <v>6.7</v>
      </c>
      <c r="B1451" s="1">
        <v>107.0</v>
      </c>
    </row>
    <row r="1452" ht="14.25" customHeight="1">
      <c r="A1452" s="1">
        <v>6.2</v>
      </c>
      <c r="B1452" s="1">
        <v>103.0</v>
      </c>
    </row>
    <row r="1453" ht="14.25" customHeight="1">
      <c r="A1453" s="1">
        <v>7.2</v>
      </c>
      <c r="B1453" s="1">
        <v>129.0</v>
      </c>
    </row>
    <row r="1454" ht="14.25" customHeight="1">
      <c r="A1454" s="1">
        <v>6.2</v>
      </c>
      <c r="B1454" s="1">
        <v>107.0</v>
      </c>
    </row>
    <row r="1455" ht="14.25" customHeight="1">
      <c r="A1455" s="1">
        <v>5.6</v>
      </c>
      <c r="B1455" s="1">
        <v>89.0</v>
      </c>
    </row>
    <row r="1456" ht="14.25" customHeight="1">
      <c r="A1456" s="1">
        <v>4.4</v>
      </c>
      <c r="B1456" s="1">
        <v>113.0</v>
      </c>
    </row>
    <row r="1457" ht="14.25" customHeight="1">
      <c r="A1457" s="1">
        <v>7.5</v>
      </c>
      <c r="B1457" s="1">
        <v>93.0</v>
      </c>
    </row>
    <row r="1458" ht="14.25" customHeight="1">
      <c r="A1458" s="1">
        <v>7.1</v>
      </c>
      <c r="B1458" s="1">
        <v>120.0</v>
      </c>
    </row>
    <row r="1459" ht="14.25" customHeight="1">
      <c r="A1459" s="1">
        <v>6.4</v>
      </c>
      <c r="B1459" s="1">
        <v>98.0</v>
      </c>
    </row>
    <row r="1460" ht="14.25" customHeight="1">
      <c r="A1460" s="1">
        <v>7.1</v>
      </c>
      <c r="B1460" s="1">
        <v>105.0</v>
      </c>
    </row>
    <row r="1461" ht="14.25" customHeight="1">
      <c r="A1461" s="1">
        <v>6.9</v>
      </c>
      <c r="B1461" s="1">
        <v>98.0</v>
      </c>
    </row>
    <row r="1462" ht="14.25" customHeight="1">
      <c r="A1462" s="1">
        <v>7.5</v>
      </c>
      <c r="B1462" s="1">
        <v>96.0</v>
      </c>
    </row>
    <row r="1463" ht="14.25" customHeight="1">
      <c r="A1463" s="1">
        <v>6.3</v>
      </c>
      <c r="B1463" s="1">
        <v>87.0</v>
      </c>
    </row>
    <row r="1464" ht="14.25" customHeight="1">
      <c r="A1464" s="1">
        <v>6.4</v>
      </c>
      <c r="B1464" s="1">
        <v>107.0</v>
      </c>
    </row>
    <row r="1465" ht="14.25" customHeight="1">
      <c r="A1465" s="1">
        <v>5.9</v>
      </c>
      <c r="B1465" s="1">
        <v>90.0</v>
      </c>
    </row>
    <row r="1466" ht="14.25" customHeight="1">
      <c r="A1466" s="1">
        <v>6.8</v>
      </c>
      <c r="B1466" s="1">
        <v>121.0</v>
      </c>
    </row>
    <row r="1467" ht="14.25" customHeight="1">
      <c r="A1467" s="1">
        <v>6.3</v>
      </c>
      <c r="B1467" s="1">
        <v>119.0</v>
      </c>
    </row>
    <row r="1468" ht="14.25" customHeight="1">
      <c r="A1468" s="1">
        <v>3.6</v>
      </c>
      <c r="B1468" s="1">
        <v>107.0</v>
      </c>
    </row>
    <row r="1469" ht="14.25" customHeight="1">
      <c r="A1469" s="1">
        <v>5.3</v>
      </c>
      <c r="B1469" s="1">
        <v>110.0</v>
      </c>
    </row>
    <row r="1470" ht="14.25" customHeight="1">
      <c r="A1470" s="1">
        <v>5.9</v>
      </c>
      <c r="B1470" s="1">
        <v>100.0</v>
      </c>
    </row>
    <row r="1471" ht="14.25" customHeight="1">
      <c r="A1471" s="1">
        <v>6.9</v>
      </c>
      <c r="B1471" s="1">
        <v>75.0</v>
      </c>
    </row>
    <row r="1472" ht="14.25" customHeight="1">
      <c r="A1472" s="1">
        <v>6.9</v>
      </c>
      <c r="B1472" s="1">
        <v>132.0</v>
      </c>
    </row>
    <row r="1473" ht="14.25" customHeight="1">
      <c r="A1473" s="1">
        <v>6.1</v>
      </c>
      <c r="B1473" s="1">
        <v>105.0</v>
      </c>
    </row>
    <row r="1474" ht="14.25" customHeight="1">
      <c r="A1474" s="1">
        <v>8.5</v>
      </c>
      <c r="B1474" s="1">
        <v>289.0</v>
      </c>
    </row>
    <row r="1475" ht="14.25" customHeight="1">
      <c r="A1475" s="1">
        <v>6.3</v>
      </c>
      <c r="B1475" s="1">
        <v>102.0</v>
      </c>
    </row>
    <row r="1476" ht="14.25" customHeight="1">
      <c r="A1476" s="1">
        <v>7.3</v>
      </c>
      <c r="B1476" s="1">
        <v>143.0</v>
      </c>
    </row>
    <row r="1477" ht="14.25" customHeight="1">
      <c r="A1477" s="1">
        <v>6.3</v>
      </c>
      <c r="B1477" s="1">
        <v>113.0</v>
      </c>
    </row>
    <row r="1478" ht="14.25" customHeight="1">
      <c r="A1478" s="1">
        <v>7.2</v>
      </c>
      <c r="B1478" s="1">
        <v>161.0</v>
      </c>
    </row>
    <row r="1479" ht="14.25" customHeight="1">
      <c r="A1479" s="1">
        <v>7.3</v>
      </c>
      <c r="B1479" s="1">
        <v>138.0</v>
      </c>
    </row>
    <row r="1480" ht="14.25" customHeight="1">
      <c r="A1480" s="1">
        <v>6.3</v>
      </c>
      <c r="B1480" s="1">
        <v>126.0</v>
      </c>
    </row>
    <row r="1481" ht="14.25" customHeight="1">
      <c r="A1481" s="1">
        <v>8.1</v>
      </c>
      <c r="B1481" s="1">
        <v>99.0</v>
      </c>
    </row>
    <row r="1482" ht="14.25" customHeight="1">
      <c r="A1482" s="1">
        <v>6.9</v>
      </c>
      <c r="B1482" s="1">
        <v>101.0</v>
      </c>
    </row>
    <row r="1483" ht="14.25" customHeight="1">
      <c r="A1483" s="1">
        <v>6.3</v>
      </c>
      <c r="B1483" s="1">
        <v>103.0</v>
      </c>
    </row>
    <row r="1484" ht="14.25" customHeight="1">
      <c r="A1484" s="1">
        <v>7.3</v>
      </c>
      <c r="B1484" s="1">
        <v>118.0</v>
      </c>
    </row>
    <row r="1485" ht="14.25" customHeight="1">
      <c r="A1485" s="1">
        <v>5.5</v>
      </c>
      <c r="B1485" s="1">
        <v>116.0</v>
      </c>
    </row>
    <row r="1486" ht="14.25" customHeight="1">
      <c r="A1486" s="1">
        <v>6.1</v>
      </c>
      <c r="B1486" s="1">
        <v>99.0</v>
      </c>
    </row>
    <row r="1487" ht="14.25" customHeight="1">
      <c r="A1487" s="1">
        <v>6.9</v>
      </c>
      <c r="B1487" s="1">
        <v>105.0</v>
      </c>
    </row>
    <row r="1488" ht="14.25" customHeight="1">
      <c r="A1488" s="1">
        <v>7.2</v>
      </c>
      <c r="B1488" s="1">
        <v>113.0</v>
      </c>
    </row>
    <row r="1489" ht="14.25" customHeight="1">
      <c r="A1489" s="1">
        <v>6.4</v>
      </c>
      <c r="B1489" s="1">
        <v>93.0</v>
      </c>
    </row>
    <row r="1490" ht="14.25" customHeight="1">
      <c r="A1490" s="1">
        <v>6.4</v>
      </c>
      <c r="B1490" s="1">
        <v>108.0</v>
      </c>
    </row>
    <row r="1491" ht="14.25" customHeight="1">
      <c r="A1491" s="1">
        <v>8.3</v>
      </c>
      <c r="B1491" s="1">
        <v>74.0</v>
      </c>
    </row>
    <row r="1492" ht="14.25" customHeight="1">
      <c r="A1492" s="1">
        <v>7.2</v>
      </c>
      <c r="B1492" s="1">
        <v>116.0</v>
      </c>
    </row>
    <row r="1493" ht="14.25" customHeight="1">
      <c r="A1493" s="1">
        <v>6.8</v>
      </c>
      <c r="B1493" s="1">
        <v>104.0</v>
      </c>
    </row>
    <row r="1494" ht="14.25" customHeight="1">
      <c r="A1494" s="1">
        <v>6.5</v>
      </c>
      <c r="B1494" s="1">
        <v>106.0</v>
      </c>
    </row>
    <row r="1495" ht="14.25" customHeight="1">
      <c r="A1495" s="1">
        <v>7.8</v>
      </c>
      <c r="B1495" s="1">
        <v>120.0</v>
      </c>
    </row>
    <row r="1496" ht="14.25" customHeight="1">
      <c r="A1496" s="1">
        <v>7.6</v>
      </c>
      <c r="B1496" s="1">
        <v>135.0</v>
      </c>
    </row>
    <row r="1497" ht="14.25" customHeight="1">
      <c r="A1497" s="1">
        <v>7.2</v>
      </c>
      <c r="B1497" s="1">
        <v>132.0</v>
      </c>
    </row>
    <row r="1498" ht="14.25" customHeight="1">
      <c r="A1498" s="1">
        <v>6.7</v>
      </c>
      <c r="B1498" s="1">
        <v>92.0</v>
      </c>
    </row>
    <row r="1499" ht="14.25" customHeight="1">
      <c r="A1499" s="1">
        <v>6.8</v>
      </c>
      <c r="B1499" s="1">
        <v>99.0</v>
      </c>
    </row>
    <row r="1500" ht="14.25" customHeight="1">
      <c r="A1500" s="1">
        <v>6.3</v>
      </c>
      <c r="B1500" s="1">
        <v>90.0</v>
      </c>
    </row>
    <row r="1501" ht="14.25" customHeight="1">
      <c r="A1501" s="1">
        <v>6.2</v>
      </c>
      <c r="B1501" s="1">
        <v>111.0</v>
      </c>
    </row>
    <row r="1502" ht="14.25" customHeight="1">
      <c r="A1502" s="1">
        <v>6.2</v>
      </c>
      <c r="B1502" s="1">
        <v>103.0</v>
      </c>
    </row>
    <row r="1503" ht="14.25" customHeight="1">
      <c r="A1503" s="1">
        <v>8.6</v>
      </c>
      <c r="B1503" s="1">
        <v>127.0</v>
      </c>
    </row>
    <row r="1504" ht="14.25" customHeight="1">
      <c r="A1504" s="1">
        <v>8.0</v>
      </c>
      <c r="B1504" s="1">
        <v>112.0</v>
      </c>
    </row>
    <row r="1505" ht="14.25" customHeight="1">
      <c r="A1505" s="1">
        <v>7.0</v>
      </c>
      <c r="B1505" s="1">
        <v>87.0</v>
      </c>
    </row>
    <row r="1506" ht="14.25" customHeight="1">
      <c r="A1506" s="1">
        <v>8.0</v>
      </c>
      <c r="B1506" s="1">
        <v>138.0</v>
      </c>
    </row>
    <row r="1507" ht="14.25" customHeight="1">
      <c r="A1507" s="1">
        <v>8.1</v>
      </c>
      <c r="B1507" s="1">
        <v>132.0</v>
      </c>
    </row>
    <row r="1508" ht="14.25" customHeight="1">
      <c r="A1508" s="1">
        <v>6.7</v>
      </c>
      <c r="B1508" s="1">
        <v>103.0</v>
      </c>
    </row>
    <row r="1509" ht="14.25" customHeight="1">
      <c r="A1509" s="1">
        <v>7.9</v>
      </c>
      <c r="B1509" s="1">
        <v>123.0</v>
      </c>
    </row>
    <row r="1510" ht="14.25" customHeight="1">
      <c r="A1510" s="1">
        <v>6.1</v>
      </c>
      <c r="B1510" s="1">
        <v>111.0</v>
      </c>
    </row>
    <row r="1511" ht="14.25" customHeight="1">
      <c r="A1511" s="1">
        <v>4.2</v>
      </c>
      <c r="B1511" s="1">
        <v>102.0</v>
      </c>
    </row>
    <row r="1512" ht="14.25" customHeight="1">
      <c r="A1512" s="1">
        <v>6.1</v>
      </c>
      <c r="B1512" s="1">
        <v>78.0</v>
      </c>
    </row>
    <row r="1513" ht="14.25" customHeight="1">
      <c r="A1513" s="1">
        <v>6.6</v>
      </c>
      <c r="B1513" s="1">
        <v>132.0</v>
      </c>
    </row>
    <row r="1514" ht="14.25" customHeight="1">
      <c r="A1514" s="1">
        <v>7.5</v>
      </c>
      <c r="B1514" s="1">
        <v>133.0</v>
      </c>
    </row>
    <row r="1515" ht="14.25" customHeight="1">
      <c r="A1515" s="1">
        <v>7.4</v>
      </c>
      <c r="B1515" s="1">
        <v>108.0</v>
      </c>
    </row>
    <row r="1516" ht="14.25" customHeight="1">
      <c r="A1516" s="1">
        <v>7.2</v>
      </c>
      <c r="B1516" s="1">
        <v>125.0</v>
      </c>
    </row>
    <row r="1517" ht="14.25" customHeight="1">
      <c r="A1517" s="1">
        <v>6.9</v>
      </c>
      <c r="B1517" s="1">
        <v>98.0</v>
      </c>
    </row>
    <row r="1518" ht="14.25" customHeight="1">
      <c r="A1518" s="1">
        <v>7.4</v>
      </c>
      <c r="B1518" s="1">
        <v>119.0</v>
      </c>
    </row>
    <row r="1519" ht="14.25" customHeight="1">
      <c r="A1519" s="1">
        <v>5.4</v>
      </c>
      <c r="B1519" s="1">
        <v>87.0</v>
      </c>
    </row>
    <row r="1520" ht="14.25" customHeight="1">
      <c r="A1520" s="1">
        <v>6.8</v>
      </c>
      <c r="B1520" s="1">
        <v>91.0</v>
      </c>
    </row>
    <row r="1521" ht="14.25" customHeight="1">
      <c r="A1521" s="1">
        <v>6.3</v>
      </c>
      <c r="B1521" s="1">
        <v>100.0</v>
      </c>
    </row>
    <row r="1522" ht="14.25" customHeight="1">
      <c r="A1522" s="1">
        <v>7.2</v>
      </c>
      <c r="B1522" s="1">
        <v>118.0</v>
      </c>
    </row>
    <row r="1523" ht="14.25" customHeight="1">
      <c r="A1523" s="1">
        <v>6.9</v>
      </c>
      <c r="B1523" s="1">
        <v>109.0</v>
      </c>
    </row>
    <row r="1524" ht="14.25" customHeight="1">
      <c r="A1524" s="1">
        <v>6.0</v>
      </c>
      <c r="B1524" s="1">
        <v>99.0</v>
      </c>
    </row>
    <row r="1525" ht="14.25" customHeight="1">
      <c r="A1525" s="1">
        <v>5.9</v>
      </c>
      <c r="B1525" s="1">
        <v>114.0</v>
      </c>
    </row>
    <row r="1526" ht="14.25" customHeight="1">
      <c r="A1526" s="1">
        <v>5.4</v>
      </c>
      <c r="B1526" s="1">
        <v>89.0</v>
      </c>
    </row>
    <row r="1527" ht="14.25" customHeight="1">
      <c r="A1527" s="1">
        <v>5.9</v>
      </c>
      <c r="B1527" s="1">
        <v>95.0</v>
      </c>
    </row>
    <row r="1528" ht="14.25" customHeight="1">
      <c r="A1528" s="1">
        <v>6.1</v>
      </c>
      <c r="B1528" s="1">
        <v>98.0</v>
      </c>
    </row>
    <row r="1529" ht="14.25" customHeight="1">
      <c r="A1529" s="1">
        <v>7.7</v>
      </c>
      <c r="B1529" s="1">
        <v>94.0</v>
      </c>
    </row>
    <row r="1530" ht="14.25" customHeight="1">
      <c r="A1530" s="1">
        <v>5.8</v>
      </c>
      <c r="B1530" s="1">
        <v>85.0</v>
      </c>
    </row>
    <row r="1531" ht="14.25" customHeight="1">
      <c r="A1531" s="1">
        <v>7.6</v>
      </c>
      <c r="B1531" s="1">
        <v>124.0</v>
      </c>
    </row>
    <row r="1532" ht="14.25" customHeight="1">
      <c r="A1532" s="1">
        <v>6.1</v>
      </c>
      <c r="B1532" s="1">
        <v>131.0</v>
      </c>
    </row>
    <row r="1533" ht="14.25" customHeight="1">
      <c r="A1533" s="1">
        <v>5.4</v>
      </c>
      <c r="B1533" s="1">
        <v>107.0</v>
      </c>
    </row>
    <row r="1534" ht="14.25" customHeight="1">
      <c r="A1534" s="1">
        <v>5.1</v>
      </c>
      <c r="B1534" s="1">
        <v>99.0</v>
      </c>
    </row>
    <row r="1535" ht="14.25" customHeight="1">
      <c r="A1535" s="1">
        <v>6.4</v>
      </c>
      <c r="B1535" s="1">
        <v>83.0</v>
      </c>
    </row>
    <row r="1536" ht="14.25" customHeight="1">
      <c r="A1536" s="1">
        <v>6.3</v>
      </c>
      <c r="B1536" s="1">
        <v>131.0</v>
      </c>
    </row>
    <row r="1537" ht="14.25" customHeight="1">
      <c r="A1537" s="1">
        <v>7.5</v>
      </c>
      <c r="B1537" s="1">
        <v>85.0</v>
      </c>
    </row>
    <row r="1538" ht="14.25" customHeight="1">
      <c r="A1538" s="1">
        <v>7.1</v>
      </c>
      <c r="B1538" s="1">
        <v>126.0</v>
      </c>
    </row>
    <row r="1539" ht="14.25" customHeight="1">
      <c r="A1539" s="1">
        <v>7.8</v>
      </c>
      <c r="B1539" s="1">
        <v>123.0</v>
      </c>
    </row>
    <row r="1540" ht="14.25" customHeight="1">
      <c r="A1540" s="1">
        <v>6.5</v>
      </c>
      <c r="B1540" s="1">
        <v>105.0</v>
      </c>
    </row>
    <row r="1541" ht="14.25" customHeight="1">
      <c r="A1541" s="1">
        <v>6.6</v>
      </c>
      <c r="B1541" s="1">
        <v>125.0</v>
      </c>
    </row>
    <row r="1542" ht="14.25" customHeight="1">
      <c r="A1542" s="1">
        <v>7.4</v>
      </c>
      <c r="B1542" s="1">
        <v>77.0</v>
      </c>
    </row>
    <row r="1543" ht="14.25" customHeight="1">
      <c r="A1543" s="1">
        <v>7.6</v>
      </c>
      <c r="B1543" s="1">
        <v>121.0</v>
      </c>
    </row>
    <row r="1544" ht="14.25" customHeight="1">
      <c r="A1544" s="1">
        <v>7.5</v>
      </c>
      <c r="B1544" s="1">
        <v>124.0</v>
      </c>
    </row>
    <row r="1545" ht="14.25" customHeight="1">
      <c r="A1545" s="1">
        <v>6.6</v>
      </c>
      <c r="B1545" s="1">
        <v>99.0</v>
      </c>
    </row>
    <row r="1546" ht="14.25" customHeight="1">
      <c r="A1546" s="1">
        <v>7.2</v>
      </c>
      <c r="B1546" s="1">
        <v>112.0</v>
      </c>
    </row>
    <row r="1547" ht="14.25" customHeight="1">
      <c r="A1547" s="1">
        <v>7.6</v>
      </c>
      <c r="B1547" s="1">
        <v>111.0</v>
      </c>
    </row>
    <row r="1548" ht="14.25" customHeight="1">
      <c r="A1548" s="1">
        <v>6.2</v>
      </c>
      <c r="B1548" s="1">
        <v>107.0</v>
      </c>
    </row>
    <row r="1549" ht="14.25" customHeight="1">
      <c r="A1549" s="1">
        <v>5.6</v>
      </c>
      <c r="B1549" s="1">
        <v>104.0</v>
      </c>
    </row>
    <row r="1550" ht="14.25" customHeight="1">
      <c r="A1550" s="1">
        <v>7.6</v>
      </c>
      <c r="B1550" s="1">
        <v>113.0</v>
      </c>
    </row>
    <row r="1551" ht="14.25" customHeight="1">
      <c r="A1551" s="1">
        <v>6.6</v>
      </c>
      <c r="B1551" s="1">
        <v>113.0</v>
      </c>
    </row>
    <row r="1552" ht="14.25" customHeight="1">
      <c r="A1552" s="1">
        <v>7.0</v>
      </c>
      <c r="B1552" s="1">
        <v>95.0</v>
      </c>
    </row>
    <row r="1553" ht="14.25" customHeight="1">
      <c r="A1553" s="1">
        <v>2.7</v>
      </c>
      <c r="B1553" s="1">
        <v>86.0</v>
      </c>
    </row>
    <row r="1554" ht="14.25" customHeight="1">
      <c r="A1554" s="1">
        <v>7.6</v>
      </c>
      <c r="B1554" s="1">
        <v>126.0</v>
      </c>
    </row>
    <row r="1555" ht="14.25" customHeight="1">
      <c r="A1555" s="1">
        <v>6.6</v>
      </c>
      <c r="B1555" s="1">
        <v>101.0</v>
      </c>
    </row>
    <row r="1556" ht="14.25" customHeight="1">
      <c r="A1556" s="1">
        <v>6.9</v>
      </c>
      <c r="B1556" s="1">
        <v>102.0</v>
      </c>
    </row>
    <row r="1557" ht="14.25" customHeight="1">
      <c r="A1557" s="1">
        <v>6.8</v>
      </c>
      <c r="B1557" s="1">
        <v>111.0</v>
      </c>
    </row>
    <row r="1558" ht="14.25" customHeight="1">
      <c r="A1558" s="1">
        <v>3.7</v>
      </c>
      <c r="B1558" s="1">
        <v>95.0</v>
      </c>
    </row>
    <row r="1559" ht="14.25" customHeight="1">
      <c r="A1559" s="1">
        <v>6.1</v>
      </c>
      <c r="B1559" s="1">
        <v>98.0</v>
      </c>
    </row>
    <row r="1560" ht="14.25" customHeight="1">
      <c r="A1560" s="1">
        <v>5.9</v>
      </c>
      <c r="B1560" s="1">
        <v>100.0</v>
      </c>
    </row>
    <row r="1561" ht="14.25" customHeight="1">
      <c r="A1561" s="1">
        <v>6.7</v>
      </c>
      <c r="B1561" s="1">
        <v>118.0</v>
      </c>
    </row>
    <row r="1562" ht="14.25" customHeight="1">
      <c r="A1562" s="1">
        <v>6.9</v>
      </c>
      <c r="B1562" s="1">
        <v>125.0</v>
      </c>
    </row>
    <row r="1563" ht="14.25" customHeight="1">
      <c r="A1563" s="1">
        <v>5.5</v>
      </c>
      <c r="B1563" s="1">
        <v>94.0</v>
      </c>
    </row>
    <row r="1564" ht="14.25" customHeight="1">
      <c r="A1564" s="1">
        <v>7.1</v>
      </c>
      <c r="B1564" s="1">
        <v>79.0</v>
      </c>
    </row>
    <row r="1565" ht="14.25" customHeight="1">
      <c r="A1565" s="1">
        <v>7.1</v>
      </c>
      <c r="B1565" s="1">
        <v>106.0</v>
      </c>
    </row>
    <row r="1566" ht="14.25" customHeight="1">
      <c r="A1566" s="1">
        <v>7.3</v>
      </c>
      <c r="B1566" s="1">
        <v>63.0</v>
      </c>
    </row>
    <row r="1567" ht="14.25" customHeight="1">
      <c r="A1567" s="1">
        <v>3.4</v>
      </c>
      <c r="B1567" s="1">
        <v>85.0</v>
      </c>
    </row>
    <row r="1568" ht="14.25" customHeight="1">
      <c r="A1568" s="1">
        <v>6.8</v>
      </c>
      <c r="B1568" s="1">
        <v>108.0</v>
      </c>
    </row>
    <row r="1569" ht="14.25" customHeight="1">
      <c r="A1569" s="1">
        <v>6.9</v>
      </c>
      <c r="B1569" s="1">
        <v>139.0</v>
      </c>
    </row>
    <row r="1570" ht="14.25" customHeight="1">
      <c r="A1570" s="1">
        <v>7.0</v>
      </c>
      <c r="B1570" s="1">
        <v>127.0</v>
      </c>
    </row>
    <row r="1571" ht="14.25" customHeight="1">
      <c r="A1571" s="1">
        <v>5.5</v>
      </c>
      <c r="B1571" s="1">
        <v>106.0</v>
      </c>
    </row>
    <row r="1572" ht="14.25" customHeight="1">
      <c r="A1572" s="1">
        <v>5.1</v>
      </c>
      <c r="B1572" s="1">
        <v>95.0</v>
      </c>
    </row>
    <row r="1573" ht="14.25" customHeight="1">
      <c r="A1573" s="1">
        <v>6.2</v>
      </c>
      <c r="B1573" s="1">
        <v>118.0</v>
      </c>
    </row>
    <row r="1574" ht="14.25" customHeight="1">
      <c r="A1574" s="1">
        <v>5.9</v>
      </c>
      <c r="B1574" s="1">
        <v>108.0</v>
      </c>
    </row>
    <row r="1575" ht="14.25" customHeight="1">
      <c r="A1575" s="1">
        <v>5.2</v>
      </c>
      <c r="B1575" s="1">
        <v>105.0</v>
      </c>
    </row>
    <row r="1576" ht="14.25" customHeight="1">
      <c r="A1576" s="1">
        <v>6.2</v>
      </c>
      <c r="B1576" s="1">
        <v>131.0</v>
      </c>
    </row>
    <row r="1577" ht="14.25" customHeight="1">
      <c r="A1577" s="1">
        <v>5.5</v>
      </c>
      <c r="B1577" s="1">
        <v>104.0</v>
      </c>
    </row>
    <row r="1578" ht="14.25" customHeight="1">
      <c r="A1578" s="1">
        <v>7.4</v>
      </c>
      <c r="B1578" s="1">
        <v>133.0</v>
      </c>
    </row>
    <row r="1579" ht="14.25" customHeight="1">
      <c r="A1579" s="1">
        <v>4.4</v>
      </c>
      <c r="B1579" s="1">
        <v>94.0</v>
      </c>
    </row>
    <row r="1580" ht="14.25" customHeight="1">
      <c r="A1580" s="1">
        <v>6.3</v>
      </c>
      <c r="B1580" s="1">
        <v>109.0</v>
      </c>
    </row>
    <row r="1581" ht="14.25" customHeight="1">
      <c r="A1581" s="1">
        <v>6.1</v>
      </c>
      <c r="B1581" s="1">
        <v>96.0</v>
      </c>
    </row>
    <row r="1582" ht="14.25" customHeight="1">
      <c r="A1582" s="1">
        <v>5.3</v>
      </c>
      <c r="B1582" s="1">
        <v>105.0</v>
      </c>
    </row>
    <row r="1583" ht="14.25" customHeight="1">
      <c r="A1583" s="1">
        <v>5.4</v>
      </c>
      <c r="B1583" s="1">
        <v>99.0</v>
      </c>
    </row>
    <row r="1584" ht="14.25" customHeight="1">
      <c r="A1584" s="1">
        <v>6.7</v>
      </c>
      <c r="B1584" s="1">
        <v>112.0</v>
      </c>
    </row>
    <row r="1585" ht="14.25" customHeight="1">
      <c r="A1585" s="1">
        <v>5.9</v>
      </c>
      <c r="B1585" s="1">
        <v>108.0</v>
      </c>
    </row>
    <row r="1586" ht="14.25" customHeight="1">
      <c r="A1586" s="1">
        <v>7.3</v>
      </c>
      <c r="B1586" s="1">
        <v>126.0</v>
      </c>
    </row>
    <row r="1587" ht="14.25" customHeight="1">
      <c r="A1587" s="1">
        <v>5.5</v>
      </c>
      <c r="B1587" s="1">
        <v>98.0</v>
      </c>
    </row>
    <row r="1588" ht="14.25" customHeight="1">
      <c r="A1588" s="1">
        <v>5.8</v>
      </c>
      <c r="B1588" s="1">
        <v>104.0</v>
      </c>
    </row>
    <row r="1589" ht="14.25" customHeight="1">
      <c r="A1589" s="1">
        <v>4.6</v>
      </c>
      <c r="B1589" s="1">
        <v>110.0</v>
      </c>
    </row>
    <row r="1590" ht="14.25" customHeight="1">
      <c r="A1590" s="1">
        <v>6.7</v>
      </c>
      <c r="B1590" s="1">
        <v>130.0</v>
      </c>
    </row>
    <row r="1591" ht="14.25" customHeight="1">
      <c r="A1591" s="1">
        <v>5.1</v>
      </c>
      <c r="B1591" s="1">
        <v>93.0</v>
      </c>
    </row>
    <row r="1592" ht="14.25" customHeight="1">
      <c r="A1592" s="1">
        <v>5.6</v>
      </c>
      <c r="B1592" s="1">
        <v>96.0</v>
      </c>
    </row>
    <row r="1593" ht="14.25" customHeight="1">
      <c r="A1593" s="1">
        <v>7.0</v>
      </c>
      <c r="B1593" s="1">
        <v>114.0</v>
      </c>
    </row>
    <row r="1594" ht="14.25" customHeight="1">
      <c r="A1594" s="1">
        <v>6.4</v>
      </c>
      <c r="B1594" s="1">
        <v>106.0</v>
      </c>
    </row>
    <row r="1595" ht="14.25" customHeight="1">
      <c r="A1595" s="1">
        <v>6.7</v>
      </c>
      <c r="B1595" s="1">
        <v>150.0</v>
      </c>
    </row>
    <row r="1596" ht="14.25" customHeight="1">
      <c r="A1596" s="1">
        <v>4.1</v>
      </c>
      <c r="B1596" s="1">
        <v>100.0</v>
      </c>
    </row>
    <row r="1597" ht="14.25" customHeight="1">
      <c r="A1597" s="1">
        <v>5.5</v>
      </c>
      <c r="B1597" s="1">
        <v>100.0</v>
      </c>
    </row>
    <row r="1598" ht="14.25" customHeight="1">
      <c r="A1598" s="1">
        <v>2.7</v>
      </c>
      <c r="B1598" s="1">
        <v>100.0</v>
      </c>
    </row>
    <row r="1599" ht="14.25" customHeight="1">
      <c r="A1599" s="1">
        <v>6.4</v>
      </c>
      <c r="B1599" s="1">
        <v>107.0</v>
      </c>
    </row>
    <row r="1600" ht="14.25" customHeight="1">
      <c r="A1600" s="1">
        <v>4.8</v>
      </c>
      <c r="B1600" s="1">
        <v>102.0</v>
      </c>
    </row>
    <row r="1601" ht="14.25" customHeight="1">
      <c r="A1601" s="1">
        <v>6.1</v>
      </c>
      <c r="B1601" s="1">
        <v>101.0</v>
      </c>
    </row>
    <row r="1602" ht="14.25" customHeight="1">
      <c r="A1602" s="1">
        <v>4.8</v>
      </c>
      <c r="B1602" s="1">
        <v>86.0</v>
      </c>
    </row>
    <row r="1603" ht="14.25" customHeight="1">
      <c r="A1603" s="1">
        <v>7.0</v>
      </c>
      <c r="B1603" s="1">
        <v>108.0</v>
      </c>
    </row>
    <row r="1604" ht="14.25" customHeight="1">
      <c r="A1604" s="1">
        <v>6.8</v>
      </c>
      <c r="B1604" s="1">
        <v>123.0</v>
      </c>
    </row>
    <row r="1605" ht="14.25" customHeight="1">
      <c r="A1605" s="1">
        <v>5.6</v>
      </c>
      <c r="B1605" s="1">
        <v>88.0</v>
      </c>
    </row>
    <row r="1606" ht="14.25" customHeight="1">
      <c r="A1606" s="1">
        <v>6.1</v>
      </c>
      <c r="B1606" s="1">
        <v>109.0</v>
      </c>
    </row>
    <row r="1607" ht="14.25" customHeight="1">
      <c r="A1607" s="1">
        <v>7.9</v>
      </c>
      <c r="B1607" s="1">
        <v>122.0</v>
      </c>
    </row>
    <row r="1608" ht="14.25" customHeight="1">
      <c r="A1608" s="1">
        <v>8.4</v>
      </c>
      <c r="B1608" s="1">
        <v>251.0</v>
      </c>
    </row>
    <row r="1609" ht="14.25" customHeight="1">
      <c r="A1609" s="1">
        <v>6.5</v>
      </c>
      <c r="B1609" s="1">
        <v>118.0</v>
      </c>
    </row>
    <row r="1610" ht="14.25" customHeight="1">
      <c r="A1610" s="1">
        <v>7.1</v>
      </c>
      <c r="B1610" s="1">
        <v>131.0</v>
      </c>
    </row>
    <row r="1611" ht="14.25" customHeight="1">
      <c r="A1611" s="1">
        <v>6.6</v>
      </c>
      <c r="B1611" s="1">
        <v>109.0</v>
      </c>
    </row>
    <row r="1612" ht="14.25" customHeight="1">
      <c r="A1612" s="1">
        <v>7.0</v>
      </c>
      <c r="B1612" s="1">
        <v>88.0</v>
      </c>
    </row>
    <row r="1613" ht="14.25" customHeight="1">
      <c r="A1613" s="1">
        <v>5.6</v>
      </c>
      <c r="B1613" s="1">
        <v>103.0</v>
      </c>
    </row>
    <row r="1614" ht="14.25" customHeight="1">
      <c r="A1614" s="1">
        <v>4.8</v>
      </c>
      <c r="B1614" s="1">
        <v>87.0</v>
      </c>
    </row>
    <row r="1615" ht="14.25" customHeight="1">
      <c r="A1615" s="1">
        <v>7.5</v>
      </c>
      <c r="B1615" s="1">
        <v>160.0</v>
      </c>
    </row>
    <row r="1616" ht="14.25" customHeight="1">
      <c r="A1616" s="1">
        <v>6.0</v>
      </c>
      <c r="B1616" s="1">
        <v>121.0</v>
      </c>
    </row>
    <row r="1617" ht="14.25" customHeight="1">
      <c r="A1617" s="1">
        <v>6.8</v>
      </c>
      <c r="B1617" s="1">
        <v>129.0</v>
      </c>
    </row>
    <row r="1618" ht="14.25" customHeight="1">
      <c r="A1618" s="1">
        <v>6.5</v>
      </c>
      <c r="B1618" s="1">
        <v>115.0</v>
      </c>
    </row>
    <row r="1619" ht="14.25" customHeight="1">
      <c r="A1619" s="1">
        <v>7.9</v>
      </c>
      <c r="B1619" s="1">
        <v>153.0</v>
      </c>
    </row>
    <row r="1620" ht="14.25" customHeight="1">
      <c r="A1620" s="1">
        <v>6.4</v>
      </c>
      <c r="B1620" s="1">
        <v>128.0</v>
      </c>
    </row>
    <row r="1621" ht="14.25" customHeight="1">
      <c r="A1621" s="1">
        <v>5.8</v>
      </c>
      <c r="B1621" s="1">
        <v>89.0</v>
      </c>
    </row>
    <row r="1622" ht="14.25" customHeight="1">
      <c r="A1622" s="1">
        <v>7.7</v>
      </c>
      <c r="B1622" s="1">
        <v>122.0</v>
      </c>
    </row>
    <row r="1623" ht="14.25" customHeight="1">
      <c r="A1623" s="1">
        <v>5.3</v>
      </c>
      <c r="B1623" s="1">
        <v>99.0</v>
      </c>
    </row>
    <row r="1624" ht="14.25" customHeight="1">
      <c r="A1624" s="1">
        <v>5.3</v>
      </c>
      <c r="B1624" s="1">
        <v>99.0</v>
      </c>
    </row>
    <row r="1625" ht="14.25" customHeight="1">
      <c r="A1625" s="1">
        <v>7.5</v>
      </c>
      <c r="B1625" s="1">
        <v>147.0</v>
      </c>
    </row>
    <row r="1626" ht="14.25" customHeight="1">
      <c r="A1626" s="1">
        <v>6.9</v>
      </c>
      <c r="B1626" s="1">
        <v>112.0</v>
      </c>
    </row>
    <row r="1627" ht="14.25" customHeight="1">
      <c r="A1627" s="1">
        <v>4.9</v>
      </c>
      <c r="B1627" s="1">
        <v>88.0</v>
      </c>
    </row>
    <row r="1628" ht="14.25" customHeight="1">
      <c r="A1628" s="1">
        <v>7.1</v>
      </c>
      <c r="B1628" s="1">
        <v>94.0</v>
      </c>
    </row>
    <row r="1629" ht="14.25" customHeight="1">
      <c r="A1629" s="1">
        <v>8.0</v>
      </c>
      <c r="B1629" s="1">
        <v>90.0</v>
      </c>
    </row>
    <row r="1630" ht="14.25" customHeight="1">
      <c r="A1630" s="1">
        <v>7.9</v>
      </c>
      <c r="B1630" s="1">
        <v>167.0</v>
      </c>
    </row>
    <row r="1631" ht="14.25" customHeight="1">
      <c r="A1631" s="1">
        <v>7.6</v>
      </c>
      <c r="B1631" s="1">
        <v>118.0</v>
      </c>
    </row>
    <row r="1632" ht="14.25" customHeight="1">
      <c r="A1632" s="1">
        <v>5.9</v>
      </c>
      <c r="B1632" s="1">
        <v>83.0</v>
      </c>
    </row>
    <row r="1633" ht="14.25" customHeight="1">
      <c r="A1633" s="1">
        <v>6.3</v>
      </c>
      <c r="B1633" s="1">
        <v>104.0</v>
      </c>
    </row>
    <row r="1634" ht="14.25" customHeight="1">
      <c r="A1634" s="1">
        <v>6.4</v>
      </c>
      <c r="B1634" s="1">
        <v>102.0</v>
      </c>
    </row>
    <row r="1635" ht="14.25" customHeight="1">
      <c r="A1635" s="1">
        <v>8.2</v>
      </c>
      <c r="B1635" s="1">
        <v>131.0</v>
      </c>
    </row>
    <row r="1636" ht="14.25" customHeight="1">
      <c r="A1636" s="1">
        <v>6.9</v>
      </c>
      <c r="B1636" s="1">
        <v>101.0</v>
      </c>
    </row>
    <row r="1637" ht="14.25" customHeight="1">
      <c r="A1637" s="1">
        <v>7.8</v>
      </c>
      <c r="B1637" s="1">
        <v>130.0</v>
      </c>
    </row>
    <row r="1638" ht="14.25" customHeight="1">
      <c r="A1638" s="1">
        <v>6.7</v>
      </c>
      <c r="B1638" s="1">
        <v>120.0</v>
      </c>
    </row>
    <row r="1639" ht="14.25" customHeight="1">
      <c r="A1639" s="1">
        <v>7.5</v>
      </c>
      <c r="B1639" s="1">
        <v>135.0</v>
      </c>
    </row>
    <row r="1640" ht="14.25" customHeight="1">
      <c r="A1640" s="1">
        <v>7.4</v>
      </c>
      <c r="B1640" s="1">
        <v>110.0</v>
      </c>
    </row>
    <row r="1641" ht="14.25" customHeight="1">
      <c r="A1641" s="1">
        <v>5.2</v>
      </c>
      <c r="B1641" s="1">
        <v>103.0</v>
      </c>
    </row>
    <row r="1642" ht="14.25" customHeight="1">
      <c r="A1642" s="1">
        <v>7.6</v>
      </c>
      <c r="B1642" s="1">
        <v>110.0</v>
      </c>
    </row>
    <row r="1643" ht="14.25" customHeight="1">
      <c r="A1643" s="1">
        <v>7.3</v>
      </c>
      <c r="B1643" s="1">
        <v>91.0</v>
      </c>
    </row>
    <row r="1644" ht="14.25" customHeight="1">
      <c r="A1644" s="1">
        <v>6.6</v>
      </c>
      <c r="B1644" s="1">
        <v>105.0</v>
      </c>
    </row>
    <row r="1645" ht="14.25" customHeight="1">
      <c r="A1645" s="1">
        <v>6.8</v>
      </c>
      <c r="B1645" s="1">
        <v>127.0</v>
      </c>
    </row>
    <row r="1646" ht="14.25" customHeight="1">
      <c r="A1646" s="1">
        <v>6.9</v>
      </c>
      <c r="B1646" s="1">
        <v>82.0</v>
      </c>
    </row>
    <row r="1647" ht="14.25" customHeight="1">
      <c r="A1647" s="1">
        <v>5.8</v>
      </c>
      <c r="B1647" s="1">
        <v>99.0</v>
      </c>
    </row>
    <row r="1648" ht="14.25" customHeight="1">
      <c r="A1648" s="1">
        <v>6.6</v>
      </c>
      <c r="B1648" s="1">
        <v>90.0</v>
      </c>
    </row>
    <row r="1649" ht="14.25" customHeight="1">
      <c r="A1649" s="1">
        <v>6.7</v>
      </c>
      <c r="B1649" s="1">
        <v>115.0</v>
      </c>
    </row>
    <row r="1650" ht="14.25" customHeight="1">
      <c r="A1650" s="1">
        <v>6.7</v>
      </c>
      <c r="B1650" s="1">
        <v>96.0</v>
      </c>
    </row>
    <row r="1651" ht="14.25" customHeight="1">
      <c r="A1651" s="1">
        <v>6.3</v>
      </c>
      <c r="B1651" s="1">
        <v>104.0</v>
      </c>
    </row>
    <row r="1652" ht="14.25" customHeight="1">
      <c r="A1652" s="1">
        <v>7.7</v>
      </c>
      <c r="B1652" s="1">
        <v>117.0</v>
      </c>
    </row>
    <row r="1653" ht="14.25" customHeight="1">
      <c r="A1653" s="1">
        <v>6.1</v>
      </c>
      <c r="B1653" s="1">
        <v>83.0</v>
      </c>
    </row>
    <row r="1654" ht="14.25" customHeight="1">
      <c r="A1654" s="1">
        <v>4.9</v>
      </c>
      <c r="B1654" s="1">
        <v>99.0</v>
      </c>
    </row>
    <row r="1655" ht="14.25" customHeight="1">
      <c r="A1655" s="1">
        <v>6.2</v>
      </c>
      <c r="B1655" s="1">
        <v>81.0</v>
      </c>
    </row>
    <row r="1656" ht="14.25" customHeight="1">
      <c r="A1656" s="1">
        <v>7.8</v>
      </c>
      <c r="B1656" s="1">
        <v>135.0</v>
      </c>
    </row>
    <row r="1657" ht="14.25" customHeight="1">
      <c r="A1657" s="1">
        <v>8.2</v>
      </c>
      <c r="B1657" s="1">
        <v>117.0</v>
      </c>
    </row>
    <row r="1658" ht="14.25" customHeight="1">
      <c r="A1658" s="1">
        <v>6.9</v>
      </c>
      <c r="B1658" s="1">
        <v>139.0</v>
      </c>
    </row>
    <row r="1659" ht="14.25" customHeight="1">
      <c r="A1659" s="1">
        <v>6.2</v>
      </c>
      <c r="B1659" s="1">
        <v>123.0</v>
      </c>
    </row>
    <row r="1660" ht="14.25" customHeight="1">
      <c r="A1660" s="1">
        <v>6.9</v>
      </c>
      <c r="B1660" s="1">
        <v>117.0</v>
      </c>
    </row>
    <row r="1661" ht="14.25" customHeight="1">
      <c r="A1661" s="1">
        <v>4.8</v>
      </c>
      <c r="B1661" s="1">
        <v>97.0</v>
      </c>
    </row>
    <row r="1662" ht="14.25" customHeight="1">
      <c r="A1662" s="1">
        <v>5.3</v>
      </c>
      <c r="B1662" s="1">
        <v>103.0</v>
      </c>
    </row>
    <row r="1663" ht="14.25" customHeight="1">
      <c r="A1663" s="1">
        <v>6.7</v>
      </c>
      <c r="B1663" s="1">
        <v>119.0</v>
      </c>
    </row>
    <row r="1664" ht="14.25" customHeight="1">
      <c r="A1664" s="1">
        <v>5.4</v>
      </c>
      <c r="B1664" s="1">
        <v>94.0</v>
      </c>
    </row>
    <row r="1665" ht="14.25" customHeight="1">
      <c r="A1665" s="1">
        <v>5.4</v>
      </c>
      <c r="B1665" s="1">
        <v>89.0</v>
      </c>
    </row>
    <row r="1666" ht="14.25" customHeight="1">
      <c r="A1666" s="1">
        <v>4.9</v>
      </c>
      <c r="B1666" s="1">
        <v>98.0</v>
      </c>
    </row>
    <row r="1667" ht="14.25" customHeight="1">
      <c r="A1667" s="1">
        <v>6.1</v>
      </c>
      <c r="B1667" s="1">
        <v>107.0</v>
      </c>
    </row>
    <row r="1668" ht="14.25" customHeight="1">
      <c r="A1668" s="1">
        <v>5.8</v>
      </c>
      <c r="B1668" s="1">
        <v>108.0</v>
      </c>
    </row>
    <row r="1669" ht="14.25" customHeight="1">
      <c r="A1669" s="1">
        <v>7.0</v>
      </c>
      <c r="B1669" s="1">
        <v>134.0</v>
      </c>
    </row>
    <row r="1670" ht="14.25" customHeight="1">
      <c r="A1670" s="1">
        <v>6.5</v>
      </c>
      <c r="B1670" s="1">
        <v>110.0</v>
      </c>
    </row>
    <row r="1671" ht="14.25" customHeight="1">
      <c r="A1671" s="1">
        <v>6.6</v>
      </c>
      <c r="B1671" s="1">
        <v>103.0</v>
      </c>
    </row>
    <row r="1672" ht="14.25" customHeight="1">
      <c r="A1672" s="1">
        <v>5.7</v>
      </c>
      <c r="B1672" s="1">
        <v>100.0</v>
      </c>
    </row>
    <row r="1673" ht="14.25" customHeight="1">
      <c r="A1673" s="1">
        <v>6.6</v>
      </c>
      <c r="B1673" s="1">
        <v>131.0</v>
      </c>
    </row>
    <row r="1674" ht="14.25" customHeight="1">
      <c r="A1674" s="1">
        <v>7.0</v>
      </c>
      <c r="B1674" s="1">
        <v>133.0</v>
      </c>
    </row>
    <row r="1675" ht="14.25" customHeight="1">
      <c r="A1675" s="1">
        <v>7.4</v>
      </c>
      <c r="B1675" s="1">
        <v>109.0</v>
      </c>
    </row>
    <row r="1676" ht="14.25" customHeight="1">
      <c r="A1676" s="1">
        <v>5.3</v>
      </c>
      <c r="B1676" s="1">
        <v>114.0</v>
      </c>
    </row>
    <row r="1677" ht="14.25" customHeight="1">
      <c r="A1677" s="1">
        <v>7.4</v>
      </c>
      <c r="B1677" s="1">
        <v>164.0</v>
      </c>
    </row>
    <row r="1678" ht="14.25" customHeight="1">
      <c r="A1678" s="1">
        <v>7.4</v>
      </c>
      <c r="B1678" s="1">
        <v>92.0</v>
      </c>
    </row>
    <row r="1679" ht="14.25" customHeight="1">
      <c r="A1679" s="1">
        <v>6.8</v>
      </c>
      <c r="B1679" s="1">
        <v>122.0</v>
      </c>
    </row>
    <row r="1680" ht="14.25" customHeight="1">
      <c r="A1680" s="1">
        <v>7.2</v>
      </c>
      <c r="B1680" s="1">
        <v>110.0</v>
      </c>
    </row>
    <row r="1681" ht="14.25" customHeight="1">
      <c r="A1681" s="1">
        <v>6.0</v>
      </c>
      <c r="B1681" s="1">
        <v>116.0</v>
      </c>
    </row>
    <row r="1682" ht="14.25" customHeight="1">
      <c r="A1682" s="1">
        <v>7.8</v>
      </c>
      <c r="B1682" s="1">
        <v>106.0</v>
      </c>
    </row>
    <row r="1683" ht="14.25" customHeight="1">
      <c r="A1683" s="1">
        <v>6.6</v>
      </c>
      <c r="B1683" s="1">
        <v>115.0</v>
      </c>
    </row>
    <row r="1684" ht="14.25" customHeight="1">
      <c r="A1684" s="1">
        <v>7.9</v>
      </c>
      <c r="B1684" s="1">
        <v>148.0</v>
      </c>
    </row>
    <row r="1685" ht="14.25" customHeight="1">
      <c r="A1685" s="1">
        <v>5.7</v>
      </c>
      <c r="B1685" s="1">
        <v>118.0</v>
      </c>
    </row>
    <row r="1686" ht="14.25" customHeight="1">
      <c r="A1686" s="1">
        <v>7.1</v>
      </c>
      <c r="B1686" s="1">
        <v>101.0</v>
      </c>
    </row>
    <row r="1687" ht="14.25" customHeight="1">
      <c r="A1687" s="1">
        <v>5.6</v>
      </c>
      <c r="B1687" s="1">
        <v>82.0</v>
      </c>
    </row>
    <row r="1688" ht="14.25" customHeight="1">
      <c r="A1688" s="1">
        <v>7.8</v>
      </c>
      <c r="B1688" s="1">
        <v>110.0</v>
      </c>
    </row>
    <row r="1689" ht="14.25" customHeight="1">
      <c r="A1689" s="1">
        <v>7.9</v>
      </c>
      <c r="B1689" s="1">
        <v>193.0</v>
      </c>
    </row>
    <row r="1690" ht="14.25" customHeight="1">
      <c r="A1690" s="1">
        <v>6.9</v>
      </c>
      <c r="B1690" s="1">
        <v>130.0</v>
      </c>
    </row>
    <row r="1691" ht="14.25" customHeight="1">
      <c r="A1691" s="1">
        <v>7.7</v>
      </c>
      <c r="B1691" s="1">
        <v>111.0</v>
      </c>
    </row>
    <row r="1692" ht="14.25" customHeight="1">
      <c r="A1692" s="1">
        <v>6.9</v>
      </c>
      <c r="B1692" s="1">
        <v>110.0</v>
      </c>
    </row>
    <row r="1693" ht="14.25" customHeight="1">
      <c r="A1693" s="1">
        <v>6.0</v>
      </c>
      <c r="B1693" s="1">
        <v>123.0</v>
      </c>
    </row>
    <row r="1694" ht="14.25" customHeight="1">
      <c r="A1694" s="1">
        <v>6.2</v>
      </c>
      <c r="B1694" s="1">
        <v>109.0</v>
      </c>
    </row>
    <row r="1695" ht="14.25" customHeight="1">
      <c r="A1695" s="1">
        <v>5.9</v>
      </c>
      <c r="B1695" s="1">
        <v>99.0</v>
      </c>
    </row>
    <row r="1696" ht="14.25" customHeight="1">
      <c r="A1696" s="1">
        <v>6.8</v>
      </c>
      <c r="B1696" s="1">
        <v>106.0</v>
      </c>
    </row>
    <row r="1697" ht="14.25" customHeight="1">
      <c r="A1697" s="1">
        <v>3.6</v>
      </c>
      <c r="B1697" s="1">
        <v>89.0</v>
      </c>
    </row>
    <row r="1698" ht="14.25" customHeight="1">
      <c r="A1698" s="1">
        <v>6.7</v>
      </c>
      <c r="B1698" s="1">
        <v>98.0</v>
      </c>
    </row>
    <row r="1699" ht="14.25" customHeight="1">
      <c r="A1699" s="1">
        <v>6.3</v>
      </c>
      <c r="B1699" s="1">
        <v>93.0</v>
      </c>
    </row>
    <row r="1700" ht="14.25" customHeight="1">
      <c r="A1700" s="1">
        <v>6.4</v>
      </c>
      <c r="B1700" s="1">
        <v>112.0</v>
      </c>
    </row>
    <row r="1701" ht="14.25" customHeight="1">
      <c r="A1701" s="1">
        <v>6.4</v>
      </c>
      <c r="B1701" s="1">
        <v>101.0</v>
      </c>
    </row>
    <row r="1702" ht="14.25" customHeight="1">
      <c r="A1702" s="1">
        <v>5.7</v>
      </c>
      <c r="B1702" s="1">
        <v>104.0</v>
      </c>
    </row>
    <row r="1703" ht="14.25" customHeight="1">
      <c r="A1703" s="1">
        <v>6.2</v>
      </c>
      <c r="B1703" s="1">
        <v>120.0</v>
      </c>
    </row>
    <row r="1704" ht="14.25" customHeight="1">
      <c r="A1704" s="1">
        <v>5.2</v>
      </c>
      <c r="B1704" s="1">
        <v>91.0</v>
      </c>
    </row>
    <row r="1705" ht="14.25" customHeight="1">
      <c r="A1705" s="1">
        <v>6.1</v>
      </c>
      <c r="B1705" s="1">
        <v>97.0</v>
      </c>
    </row>
    <row r="1706" ht="14.25" customHeight="1">
      <c r="A1706" s="1">
        <v>7.1</v>
      </c>
      <c r="B1706" s="1">
        <v>133.0</v>
      </c>
    </row>
    <row r="1707" ht="14.25" customHeight="1">
      <c r="A1707" s="1">
        <v>7.2</v>
      </c>
      <c r="B1707" s="1">
        <v>123.0</v>
      </c>
    </row>
    <row r="1708" ht="14.25" customHeight="1">
      <c r="A1708" s="1">
        <v>6.5</v>
      </c>
      <c r="B1708" s="1">
        <v>114.0</v>
      </c>
    </row>
    <row r="1709" ht="14.25" customHeight="1">
      <c r="A1709" s="1">
        <v>6.0</v>
      </c>
      <c r="B1709" s="1">
        <v>111.0</v>
      </c>
    </row>
    <row r="1710" ht="14.25" customHeight="1">
      <c r="A1710" s="1">
        <v>7.0</v>
      </c>
      <c r="B1710" s="1">
        <v>117.0</v>
      </c>
    </row>
    <row r="1711" ht="14.25" customHeight="1">
      <c r="A1711" s="1">
        <v>7.0</v>
      </c>
      <c r="B1711" s="1">
        <v>121.0</v>
      </c>
    </row>
    <row r="1712" ht="14.25" customHeight="1">
      <c r="A1712" s="1">
        <v>7.5</v>
      </c>
      <c r="B1712" s="1">
        <v>139.0</v>
      </c>
    </row>
    <row r="1713" ht="14.25" customHeight="1">
      <c r="A1713" s="1">
        <v>6.6</v>
      </c>
      <c r="B1713" s="1">
        <v>115.0</v>
      </c>
    </row>
    <row r="1714" ht="14.25" customHeight="1">
      <c r="A1714" s="1">
        <v>7.4</v>
      </c>
      <c r="B1714" s="1">
        <v>175.0</v>
      </c>
    </row>
    <row r="1715" ht="14.25" customHeight="1">
      <c r="A1715" s="1">
        <v>6.5</v>
      </c>
      <c r="B1715" s="1">
        <v>85.0</v>
      </c>
    </row>
    <row r="1716" ht="14.25" customHeight="1">
      <c r="A1716" s="1">
        <v>6.2</v>
      </c>
      <c r="B1716" s="1">
        <v>90.0</v>
      </c>
    </row>
    <row r="1717" ht="14.25" customHeight="1">
      <c r="A1717" s="1">
        <v>7.8</v>
      </c>
      <c r="B1717" s="1">
        <v>107.0</v>
      </c>
    </row>
    <row r="1718" ht="14.25" customHeight="1">
      <c r="A1718" s="1">
        <v>5.2</v>
      </c>
      <c r="B1718" s="1">
        <v>100.0</v>
      </c>
    </row>
    <row r="1719" ht="14.25" customHeight="1">
      <c r="A1719" s="1">
        <v>6.5</v>
      </c>
      <c r="B1719" s="1">
        <v>129.0</v>
      </c>
    </row>
    <row r="1720" ht="14.25" customHeight="1">
      <c r="A1720" s="1">
        <v>6.5</v>
      </c>
      <c r="B1720" s="1">
        <v>109.0</v>
      </c>
    </row>
    <row r="1721" ht="14.25" customHeight="1">
      <c r="A1721" s="1">
        <v>5.2</v>
      </c>
      <c r="B1721" s="1">
        <v>94.0</v>
      </c>
    </row>
    <row r="1722" ht="14.25" customHeight="1">
      <c r="A1722" s="1">
        <v>7.2</v>
      </c>
      <c r="B1722" s="1">
        <v>133.0</v>
      </c>
    </row>
    <row r="1723" ht="14.25" customHeight="1">
      <c r="A1723" s="1">
        <v>7.1</v>
      </c>
      <c r="B1723" s="1">
        <v>105.0</v>
      </c>
    </row>
    <row r="1724" ht="14.25" customHeight="1">
      <c r="A1724" s="1">
        <v>4.5</v>
      </c>
      <c r="B1724" s="1">
        <v>100.0</v>
      </c>
    </row>
    <row r="1725" ht="14.25" customHeight="1">
      <c r="A1725" s="1">
        <v>5.7</v>
      </c>
      <c r="B1725" s="1">
        <v>113.0</v>
      </c>
    </row>
    <row r="1726" ht="14.25" customHeight="1">
      <c r="A1726" s="1">
        <v>6.0</v>
      </c>
      <c r="B1726" s="1">
        <v>118.0</v>
      </c>
    </row>
    <row r="1727" ht="14.25" customHeight="1">
      <c r="A1727" s="1">
        <v>6.4</v>
      </c>
      <c r="B1727" s="1">
        <v>110.0</v>
      </c>
    </row>
    <row r="1728" ht="14.25" customHeight="1">
      <c r="A1728" s="1">
        <v>5.2</v>
      </c>
      <c r="B1728" s="1">
        <v>110.0</v>
      </c>
    </row>
    <row r="1729" ht="14.25" customHeight="1">
      <c r="A1729" s="1">
        <v>4.3</v>
      </c>
      <c r="B1729" s="1">
        <v>99.0</v>
      </c>
    </row>
    <row r="1730" ht="14.25" customHeight="1">
      <c r="A1730" s="1">
        <v>6.1</v>
      </c>
      <c r="B1730" s="1">
        <v>101.0</v>
      </c>
    </row>
    <row r="1731" ht="14.25" customHeight="1">
      <c r="A1731" s="1">
        <v>6.8</v>
      </c>
      <c r="B1731" s="1">
        <v>103.0</v>
      </c>
    </row>
    <row r="1732" ht="14.25" customHeight="1">
      <c r="A1732" s="1">
        <v>5.2</v>
      </c>
      <c r="B1732" s="1">
        <v>95.0</v>
      </c>
    </row>
    <row r="1733" ht="14.25" customHeight="1">
      <c r="A1733" s="1">
        <v>6.5</v>
      </c>
      <c r="B1733" s="1">
        <v>117.0</v>
      </c>
    </row>
    <row r="1734" ht="14.25" customHeight="1">
      <c r="A1734" s="1">
        <v>7.5</v>
      </c>
      <c r="B1734" s="1">
        <v>129.0</v>
      </c>
    </row>
    <row r="1735" ht="14.25" customHeight="1">
      <c r="A1735" s="1">
        <v>7.1</v>
      </c>
      <c r="B1735" s="1">
        <v>120.0</v>
      </c>
    </row>
    <row r="1736" ht="14.25" customHeight="1">
      <c r="A1736" s="1">
        <v>6.9</v>
      </c>
      <c r="B1736" s="1">
        <v>125.0</v>
      </c>
    </row>
    <row r="1737" ht="14.25" customHeight="1">
      <c r="A1737" s="1">
        <v>8.0</v>
      </c>
      <c r="B1737" s="1">
        <v>133.0</v>
      </c>
    </row>
    <row r="1738" ht="14.25" customHeight="1">
      <c r="A1738" s="1">
        <v>8.2</v>
      </c>
      <c r="B1738" s="1">
        <v>116.0</v>
      </c>
    </row>
    <row r="1739" ht="14.25" customHeight="1">
      <c r="A1739" s="1">
        <v>6.4</v>
      </c>
      <c r="B1739" s="1">
        <v>129.0</v>
      </c>
    </row>
    <row r="1740" ht="14.25" customHeight="1">
      <c r="A1740" s="1">
        <v>7.9</v>
      </c>
      <c r="B1740" s="1">
        <v>93.0</v>
      </c>
    </row>
    <row r="1741" ht="14.25" customHeight="1">
      <c r="A1741" s="1">
        <v>6.7</v>
      </c>
      <c r="B1741" s="1">
        <v>118.0</v>
      </c>
    </row>
    <row r="1742" ht="14.25" customHeight="1">
      <c r="A1742" s="1">
        <v>6.1</v>
      </c>
      <c r="B1742" s="1">
        <v>129.0</v>
      </c>
    </row>
    <row r="1743" ht="14.25" customHeight="1">
      <c r="A1743" s="1">
        <v>8.9</v>
      </c>
      <c r="B1743" s="1">
        <v>185.0</v>
      </c>
    </row>
    <row r="1744" ht="14.25" customHeight="1">
      <c r="A1744" s="1">
        <v>8.1</v>
      </c>
      <c r="B1744" s="1">
        <v>146.0</v>
      </c>
    </row>
    <row r="1745" ht="14.25" customHeight="1">
      <c r="A1745" s="1">
        <v>6.2</v>
      </c>
      <c r="B1745" s="1">
        <v>128.0</v>
      </c>
    </row>
    <row r="1746" ht="14.25" customHeight="1">
      <c r="A1746" s="1">
        <v>4.9</v>
      </c>
      <c r="B1746" s="1">
        <v>93.0</v>
      </c>
    </row>
    <row r="1747" ht="14.25" customHeight="1">
      <c r="A1747" s="1">
        <v>5.8</v>
      </c>
      <c r="B1747" s="1">
        <v>97.0</v>
      </c>
    </row>
    <row r="1748" ht="14.25" customHeight="1">
      <c r="A1748" s="1">
        <v>6.0</v>
      </c>
      <c r="B1748" s="1">
        <v>82.0</v>
      </c>
    </row>
    <row r="1749" ht="14.25" customHeight="1">
      <c r="A1749" s="1">
        <v>7.0</v>
      </c>
      <c r="B1749" s="1">
        <v>85.0</v>
      </c>
    </row>
    <row r="1750" ht="14.25" customHeight="1">
      <c r="A1750" s="1">
        <v>6.0</v>
      </c>
      <c r="B1750" s="1">
        <v>88.0</v>
      </c>
    </row>
    <row r="1751" ht="14.25" customHeight="1">
      <c r="A1751" s="1">
        <v>7.9</v>
      </c>
      <c r="B1751" s="1">
        <v>119.0</v>
      </c>
    </row>
    <row r="1752" ht="14.25" customHeight="1">
      <c r="A1752" s="1">
        <v>8.1</v>
      </c>
      <c r="B1752" s="1">
        <v>122.0</v>
      </c>
    </row>
    <row r="1753" ht="14.25" customHeight="1">
      <c r="A1753" s="1">
        <v>6.2</v>
      </c>
      <c r="B1753" s="1">
        <v>99.0</v>
      </c>
    </row>
    <row r="1754" ht="14.25" customHeight="1">
      <c r="A1754" s="1">
        <v>6.7</v>
      </c>
      <c r="B1754" s="1">
        <v>97.0</v>
      </c>
    </row>
    <row r="1755" ht="14.25" customHeight="1">
      <c r="A1755" s="1">
        <v>7.3</v>
      </c>
      <c r="B1755" s="1">
        <v>121.0</v>
      </c>
    </row>
    <row r="1756" ht="14.25" customHeight="1">
      <c r="A1756" s="1">
        <v>4.6</v>
      </c>
      <c r="B1756" s="1">
        <v>95.0</v>
      </c>
    </row>
    <row r="1757" ht="14.25" customHeight="1">
      <c r="A1757" s="1">
        <v>6.1</v>
      </c>
      <c r="B1757" s="1">
        <v>105.0</v>
      </c>
    </row>
    <row r="1758" ht="14.25" customHeight="1">
      <c r="A1758" s="1">
        <v>6.2</v>
      </c>
      <c r="B1758" s="1">
        <v>108.0</v>
      </c>
    </row>
    <row r="1759" ht="14.25" customHeight="1">
      <c r="A1759" s="1">
        <v>7.8</v>
      </c>
      <c r="B1759" s="1">
        <v>134.0</v>
      </c>
    </row>
    <row r="1760" ht="14.25" customHeight="1">
      <c r="A1760" s="1">
        <v>6.1</v>
      </c>
      <c r="B1760" s="1">
        <v>115.0</v>
      </c>
    </row>
    <row r="1761" ht="14.25" customHeight="1">
      <c r="A1761" s="1">
        <v>5.8</v>
      </c>
      <c r="B1761" s="1">
        <v>86.0</v>
      </c>
    </row>
    <row r="1762" ht="14.25" customHeight="1">
      <c r="A1762" s="1">
        <v>6.5</v>
      </c>
      <c r="B1762" s="1">
        <v>101.0</v>
      </c>
    </row>
    <row r="1763" ht="14.25" customHeight="1">
      <c r="A1763" s="1">
        <v>7.2</v>
      </c>
      <c r="B1763" s="1">
        <v>96.0</v>
      </c>
    </row>
    <row r="1764" ht="14.25" customHeight="1">
      <c r="A1764" s="1">
        <v>7.8</v>
      </c>
      <c r="B1764" s="1">
        <v>101.0</v>
      </c>
    </row>
    <row r="1765" ht="14.25" customHeight="1">
      <c r="A1765" s="1">
        <v>4.7</v>
      </c>
      <c r="B1765" s="1">
        <v>100.0</v>
      </c>
    </row>
    <row r="1766" ht="14.25" customHeight="1">
      <c r="A1766" s="1">
        <v>6.8</v>
      </c>
      <c r="B1766" s="1">
        <v>117.0</v>
      </c>
    </row>
    <row r="1767" ht="14.25" customHeight="1">
      <c r="A1767" s="1">
        <v>5.9</v>
      </c>
      <c r="B1767" s="1">
        <v>101.0</v>
      </c>
    </row>
    <row r="1768" ht="14.25" customHeight="1">
      <c r="A1768" s="1">
        <v>7.2</v>
      </c>
      <c r="B1768" s="1">
        <v>98.0</v>
      </c>
    </row>
    <row r="1769" ht="14.25" customHeight="1">
      <c r="A1769" s="1">
        <v>8.7</v>
      </c>
      <c r="B1769" s="1">
        <v>146.0</v>
      </c>
    </row>
    <row r="1770" ht="14.25" customHeight="1">
      <c r="A1770" s="1">
        <v>5.0</v>
      </c>
      <c r="B1770" s="1">
        <v>102.0</v>
      </c>
    </row>
    <row r="1771" ht="14.25" customHeight="1">
      <c r="A1771" s="1">
        <v>6.6</v>
      </c>
      <c r="B1771" s="1">
        <v>97.0</v>
      </c>
    </row>
    <row r="1772" ht="14.25" customHeight="1">
      <c r="A1772" s="1">
        <v>8.3</v>
      </c>
      <c r="B1772" s="1">
        <v>142.0</v>
      </c>
    </row>
    <row r="1773" ht="14.25" customHeight="1">
      <c r="A1773" s="1">
        <v>6.7</v>
      </c>
      <c r="B1773" s="1">
        <v>98.0</v>
      </c>
    </row>
    <row r="1774" ht="14.25" customHeight="1">
      <c r="A1774" s="1">
        <v>7.8</v>
      </c>
      <c r="B1774" s="1">
        <v>219.0</v>
      </c>
    </row>
    <row r="1775" ht="14.25" customHeight="1">
      <c r="A1775" s="1">
        <v>6.5</v>
      </c>
      <c r="B1775" s="1">
        <v>109.0</v>
      </c>
    </row>
    <row r="1776" ht="14.25" customHeight="1">
      <c r="A1776" s="1">
        <v>6.1</v>
      </c>
      <c r="B1776" s="1">
        <v>97.0</v>
      </c>
    </row>
    <row r="1777" ht="14.25" customHeight="1">
      <c r="A1777" s="1">
        <v>8.1</v>
      </c>
      <c r="B1777" s="1">
        <v>158.0</v>
      </c>
    </row>
    <row r="1778" ht="14.25" customHeight="1">
      <c r="A1778" s="1">
        <v>5.2</v>
      </c>
      <c r="B1778" s="1">
        <v>85.0</v>
      </c>
    </row>
    <row r="1779" ht="14.25" customHeight="1">
      <c r="A1779" s="1">
        <v>5.6</v>
      </c>
      <c r="B1779" s="1">
        <v>80.0</v>
      </c>
    </row>
    <row r="1780" ht="14.25" customHeight="1">
      <c r="A1780" s="1">
        <v>5.8</v>
      </c>
      <c r="B1780" s="1">
        <v>86.0</v>
      </c>
    </row>
    <row r="1781" ht="14.25" customHeight="1">
      <c r="A1781" s="1">
        <v>6.6</v>
      </c>
      <c r="B1781" s="1">
        <v>119.0</v>
      </c>
    </row>
    <row r="1782" ht="14.25" customHeight="1">
      <c r="A1782" s="1">
        <v>6.6</v>
      </c>
      <c r="B1782" s="1">
        <v>98.0</v>
      </c>
    </row>
    <row r="1783" ht="14.25" customHeight="1">
      <c r="A1783" s="1">
        <v>5.5</v>
      </c>
      <c r="B1783" s="1">
        <v>97.0</v>
      </c>
    </row>
    <row r="1784" ht="14.25" customHeight="1">
      <c r="A1784" s="1">
        <v>7.0</v>
      </c>
      <c r="B1784" s="1">
        <v>124.0</v>
      </c>
    </row>
    <row r="1785" ht="14.25" customHeight="1">
      <c r="A1785" s="1">
        <v>6.5</v>
      </c>
      <c r="B1785" s="1">
        <v>97.0</v>
      </c>
    </row>
    <row r="1786" ht="14.25" customHeight="1">
      <c r="A1786" s="1">
        <v>5.8</v>
      </c>
      <c r="B1786" s="1">
        <v>105.0</v>
      </c>
    </row>
    <row r="1787" ht="14.25" customHeight="1">
      <c r="A1787" s="1">
        <v>5.6</v>
      </c>
      <c r="B1787" s="1">
        <v>104.0</v>
      </c>
    </row>
    <row r="1788" ht="14.25" customHeight="1">
      <c r="A1788" s="1">
        <v>5.6</v>
      </c>
      <c r="B1788" s="1">
        <v>101.0</v>
      </c>
    </row>
    <row r="1789" ht="14.25" customHeight="1">
      <c r="A1789" s="1">
        <v>5.8</v>
      </c>
      <c r="B1789" s="1">
        <v>101.0</v>
      </c>
    </row>
    <row r="1790" ht="14.25" customHeight="1">
      <c r="A1790" s="1">
        <v>7.6</v>
      </c>
      <c r="B1790" s="1">
        <v>114.0</v>
      </c>
    </row>
    <row r="1791" ht="14.25" customHeight="1">
      <c r="A1791" s="1">
        <v>6.4</v>
      </c>
      <c r="B1791" s="1">
        <v>105.0</v>
      </c>
    </row>
    <row r="1792" ht="14.25" customHeight="1">
      <c r="A1792" s="1">
        <v>6.3</v>
      </c>
      <c r="B1792" s="1">
        <v>90.0</v>
      </c>
    </row>
    <row r="1793" ht="14.25" customHeight="1">
      <c r="A1793" s="1">
        <v>4.6</v>
      </c>
      <c r="B1793" s="1">
        <v>97.0</v>
      </c>
    </row>
    <row r="1794" ht="14.25" customHeight="1">
      <c r="A1794" s="1">
        <v>6.5</v>
      </c>
      <c r="B1794" s="1">
        <v>144.0</v>
      </c>
    </row>
    <row r="1795" ht="14.25" customHeight="1">
      <c r="A1795" s="1">
        <v>7.5</v>
      </c>
      <c r="B1795" s="1">
        <v>114.0</v>
      </c>
    </row>
    <row r="1796" ht="14.25" customHeight="1">
      <c r="A1796" s="1">
        <v>7.5</v>
      </c>
      <c r="B1796" s="1">
        <v>124.0</v>
      </c>
    </row>
    <row r="1797" ht="14.25" customHeight="1">
      <c r="A1797" s="1">
        <v>5.3</v>
      </c>
      <c r="B1797" s="1">
        <v>89.0</v>
      </c>
    </row>
    <row r="1798" ht="14.25" customHeight="1">
      <c r="A1798" s="1">
        <v>7.5</v>
      </c>
      <c r="B1798" s="1">
        <v>160.0</v>
      </c>
    </row>
    <row r="1799" ht="14.25" customHeight="1">
      <c r="A1799" s="1">
        <v>3.3</v>
      </c>
      <c r="B1799" s="1">
        <v>93.0</v>
      </c>
    </row>
    <row r="1800" ht="14.25" customHeight="1">
      <c r="A1800" s="1">
        <v>3.5</v>
      </c>
      <c r="B1800" s="1">
        <v>88.0</v>
      </c>
    </row>
    <row r="1801" ht="14.25" customHeight="1">
      <c r="A1801" s="1">
        <v>9.3</v>
      </c>
      <c r="B1801" s="1">
        <v>142.0</v>
      </c>
    </row>
    <row r="1802" ht="14.25" customHeight="1">
      <c r="A1802" s="1">
        <v>4.8</v>
      </c>
      <c r="B1802" s="1">
        <v>92.0</v>
      </c>
    </row>
    <row r="1803" ht="14.25" customHeight="1">
      <c r="A1803" s="1">
        <v>6.9</v>
      </c>
      <c r="B1803" s="1">
        <v>117.0</v>
      </c>
    </row>
    <row r="1804" ht="14.25" customHeight="1">
      <c r="A1804" s="1">
        <v>6.0</v>
      </c>
      <c r="B1804" s="1">
        <v>111.0</v>
      </c>
    </row>
    <row r="1805" ht="14.25" customHeight="1">
      <c r="A1805" s="1">
        <v>7.3</v>
      </c>
      <c r="B1805" s="1">
        <v>121.0</v>
      </c>
    </row>
    <row r="1806" ht="14.25" customHeight="1">
      <c r="A1806" s="1">
        <v>6.6</v>
      </c>
      <c r="B1806" s="1">
        <v>107.0</v>
      </c>
    </row>
    <row r="1807" ht="14.25" customHeight="1">
      <c r="A1807" s="1">
        <v>7.5</v>
      </c>
      <c r="B1807" s="1">
        <v>106.0</v>
      </c>
    </row>
    <row r="1808" ht="14.25" customHeight="1">
      <c r="A1808" s="1">
        <v>6.9</v>
      </c>
      <c r="B1808" s="1">
        <v>136.0</v>
      </c>
    </row>
    <row r="1809" ht="14.25" customHeight="1">
      <c r="A1809" s="1">
        <v>6.8</v>
      </c>
      <c r="B1809" s="1">
        <v>97.0</v>
      </c>
    </row>
    <row r="1810" ht="14.25" customHeight="1">
      <c r="A1810" s="1">
        <v>6.4</v>
      </c>
      <c r="B1810" s="1">
        <v>97.0</v>
      </c>
    </row>
    <row r="1811" ht="14.25" customHeight="1">
      <c r="A1811" s="1">
        <v>5.6</v>
      </c>
      <c r="B1811" s="1">
        <v>99.0</v>
      </c>
    </row>
    <row r="1812" ht="14.25" customHeight="1">
      <c r="A1812" s="1">
        <v>6.3</v>
      </c>
      <c r="B1812" s="1">
        <v>103.0</v>
      </c>
    </row>
    <row r="1813" ht="14.25" customHeight="1">
      <c r="A1813" s="1">
        <v>7.3</v>
      </c>
      <c r="B1813" s="1">
        <v>95.0</v>
      </c>
    </row>
    <row r="1814" ht="14.25" customHeight="1">
      <c r="A1814" s="1">
        <v>6.6</v>
      </c>
      <c r="B1814" s="1">
        <v>93.0</v>
      </c>
    </row>
    <row r="1815" ht="14.25" customHeight="1">
      <c r="A1815" s="1">
        <v>4.6</v>
      </c>
      <c r="B1815" s="1">
        <v>98.0</v>
      </c>
    </row>
    <row r="1816" ht="14.25" customHeight="1">
      <c r="A1816" s="1">
        <v>5.1</v>
      </c>
      <c r="B1816" s="1">
        <v>90.0</v>
      </c>
    </row>
    <row r="1817" ht="14.25" customHeight="1">
      <c r="A1817" s="1">
        <v>5.6</v>
      </c>
      <c r="B1817" s="1">
        <v>107.0</v>
      </c>
    </row>
    <row r="1818" ht="14.25" customHeight="1">
      <c r="A1818" s="1">
        <v>5.3</v>
      </c>
      <c r="B1818" s="1">
        <v>90.0</v>
      </c>
    </row>
    <row r="1819" ht="14.25" customHeight="1">
      <c r="A1819" s="1">
        <v>5.6</v>
      </c>
      <c r="B1819" s="1">
        <v>115.0</v>
      </c>
    </row>
    <row r="1820" ht="14.25" customHeight="1">
      <c r="A1820" s="1">
        <v>5.9</v>
      </c>
      <c r="B1820" s="1">
        <v>93.0</v>
      </c>
    </row>
    <row r="1821" ht="14.25" customHeight="1">
      <c r="A1821" s="1">
        <v>4.7</v>
      </c>
      <c r="B1821" s="1">
        <v>99.0</v>
      </c>
    </row>
    <row r="1822" ht="14.25" customHeight="1">
      <c r="A1822" s="1">
        <v>4.8</v>
      </c>
      <c r="B1822" s="1">
        <v>107.0</v>
      </c>
    </row>
    <row r="1823" ht="14.25" customHeight="1">
      <c r="A1823" s="1">
        <v>6.8</v>
      </c>
      <c r="B1823" s="1">
        <v>110.0</v>
      </c>
    </row>
    <row r="1824" ht="14.25" customHeight="1">
      <c r="A1824" s="1">
        <v>5.4</v>
      </c>
      <c r="B1824" s="1">
        <v>101.0</v>
      </c>
    </row>
    <row r="1825" ht="14.25" customHeight="1">
      <c r="A1825" s="1">
        <v>5.1</v>
      </c>
      <c r="B1825" s="1">
        <v>85.0</v>
      </c>
    </row>
    <row r="1826" ht="14.25" customHeight="1">
      <c r="A1826" s="1">
        <v>7.0</v>
      </c>
      <c r="B1826" s="1">
        <v>132.0</v>
      </c>
    </row>
    <row r="1827" ht="14.25" customHeight="1">
      <c r="A1827" s="1">
        <v>4.0</v>
      </c>
      <c r="B1827" s="1">
        <v>90.0</v>
      </c>
    </row>
    <row r="1828" ht="14.25" customHeight="1">
      <c r="A1828" s="1">
        <v>7.3</v>
      </c>
      <c r="B1828" s="1">
        <v>145.0</v>
      </c>
    </row>
    <row r="1829" ht="14.25" customHeight="1">
      <c r="A1829" s="1">
        <v>6.8</v>
      </c>
      <c r="B1829" s="1">
        <v>110.0</v>
      </c>
    </row>
    <row r="1830" ht="14.25" customHeight="1">
      <c r="A1830" s="1">
        <v>7.0</v>
      </c>
      <c r="B1830" s="1">
        <v>122.0</v>
      </c>
    </row>
    <row r="1831" ht="14.25" customHeight="1">
      <c r="A1831" s="1">
        <v>7.1</v>
      </c>
      <c r="B1831" s="1">
        <v>107.0</v>
      </c>
    </row>
    <row r="1832" ht="14.25" customHeight="1">
      <c r="A1832" s="1">
        <v>6.9</v>
      </c>
      <c r="B1832" s="1">
        <v>127.0</v>
      </c>
    </row>
    <row r="1833" ht="14.25" customHeight="1">
      <c r="A1833" s="1">
        <v>7.3</v>
      </c>
      <c r="B1833" s="1">
        <v>99.0</v>
      </c>
    </row>
    <row r="1834" ht="14.25" customHeight="1">
      <c r="A1834" s="1">
        <v>8.2</v>
      </c>
      <c r="B1834" s="1">
        <v>140.0</v>
      </c>
    </row>
    <row r="1835" ht="14.25" customHeight="1">
      <c r="A1835" s="1">
        <v>7.1</v>
      </c>
      <c r="B1835" s="1">
        <v>133.0</v>
      </c>
    </row>
    <row r="1836" ht="14.25" customHeight="1">
      <c r="A1836" s="1">
        <v>7.7</v>
      </c>
      <c r="B1836" s="1">
        <v>271.0</v>
      </c>
    </row>
    <row r="1837" ht="14.25" customHeight="1">
      <c r="A1837" s="1">
        <v>6.5</v>
      </c>
      <c r="B1837" s="1">
        <v>112.0</v>
      </c>
    </row>
    <row r="1838" ht="14.25" customHeight="1">
      <c r="A1838" s="1">
        <v>4.9</v>
      </c>
      <c r="B1838" s="1">
        <v>99.0</v>
      </c>
    </row>
    <row r="1839" ht="14.25" customHeight="1">
      <c r="A1839" s="1">
        <v>6.4</v>
      </c>
      <c r="B1839" s="1">
        <v>100.0</v>
      </c>
    </row>
    <row r="1840" ht="14.25" customHeight="1">
      <c r="A1840" s="1">
        <v>5.9</v>
      </c>
      <c r="B1840" s="1">
        <v>92.0</v>
      </c>
    </row>
    <row r="1841" ht="14.25" customHeight="1">
      <c r="A1841" s="1">
        <v>6.2</v>
      </c>
      <c r="B1841" s="1">
        <v>105.0</v>
      </c>
    </row>
    <row r="1842" ht="14.25" customHeight="1">
      <c r="A1842" s="1">
        <v>5.8</v>
      </c>
      <c r="B1842" s="1">
        <v>110.0</v>
      </c>
    </row>
    <row r="1843" ht="14.25" customHeight="1">
      <c r="A1843" s="1">
        <v>6.7</v>
      </c>
      <c r="B1843" s="1">
        <v>116.0</v>
      </c>
    </row>
    <row r="1844" ht="14.25" customHeight="1">
      <c r="A1844" s="1">
        <v>5.9</v>
      </c>
      <c r="B1844" s="1">
        <v>88.0</v>
      </c>
    </row>
    <row r="1845" ht="14.25" customHeight="1">
      <c r="A1845" s="1">
        <v>7.3</v>
      </c>
      <c r="B1845" s="1">
        <v>111.0</v>
      </c>
    </row>
    <row r="1846" ht="14.25" customHeight="1">
      <c r="A1846" s="1">
        <v>4.1</v>
      </c>
      <c r="B1846" s="1">
        <v>95.0</v>
      </c>
    </row>
    <row r="1847" ht="14.25" customHeight="1">
      <c r="A1847" s="1">
        <v>4.9</v>
      </c>
      <c r="B1847" s="1">
        <v>95.0</v>
      </c>
    </row>
    <row r="1848" ht="14.25" customHeight="1">
      <c r="A1848" s="1">
        <v>7.9</v>
      </c>
      <c r="B1848" s="1">
        <v>127.0</v>
      </c>
    </row>
    <row r="1849" ht="14.25" customHeight="1">
      <c r="A1849" s="1">
        <v>5.6</v>
      </c>
      <c r="B1849" s="1">
        <v>105.0</v>
      </c>
    </row>
    <row r="1850" ht="14.25" customHeight="1">
      <c r="A1850" s="1">
        <v>5.2</v>
      </c>
      <c r="B1850" s="1">
        <v>104.0</v>
      </c>
    </row>
    <row r="1851" ht="14.25" customHeight="1">
      <c r="A1851" s="1">
        <v>4.1</v>
      </c>
      <c r="B1851" s="1">
        <v>95.0</v>
      </c>
    </row>
    <row r="1852" ht="14.25" customHeight="1">
      <c r="A1852" s="1">
        <v>6.6</v>
      </c>
      <c r="B1852" s="1">
        <v>121.0</v>
      </c>
    </row>
    <row r="1853" ht="14.25" customHeight="1">
      <c r="A1853" s="1">
        <v>2.9</v>
      </c>
      <c r="B1853" s="1">
        <v>92.0</v>
      </c>
    </row>
    <row r="1854" ht="14.25" customHeight="1">
      <c r="A1854" s="1">
        <v>6.5</v>
      </c>
      <c r="B1854" s="1">
        <v>107.0</v>
      </c>
    </row>
    <row r="1855" ht="14.25" customHeight="1">
      <c r="A1855" s="1">
        <v>7.2</v>
      </c>
      <c r="B1855" s="1">
        <v>117.0</v>
      </c>
    </row>
    <row r="1856" ht="14.25" customHeight="1">
      <c r="A1856" s="1">
        <v>6.8</v>
      </c>
      <c r="B1856" s="1">
        <v>107.0</v>
      </c>
    </row>
    <row r="1857" ht="14.25" customHeight="1">
      <c r="A1857" s="1">
        <v>7.8</v>
      </c>
      <c r="B1857" s="1">
        <v>131.0</v>
      </c>
    </row>
    <row r="1858" ht="14.25" customHeight="1">
      <c r="A1858" s="1">
        <v>6.7</v>
      </c>
      <c r="B1858" s="1">
        <v>122.0</v>
      </c>
    </row>
    <row r="1859" ht="14.25" customHeight="1">
      <c r="A1859" s="1">
        <v>7.1</v>
      </c>
      <c r="B1859" s="1">
        <v>134.0</v>
      </c>
    </row>
    <row r="1860" ht="14.25" customHeight="1">
      <c r="A1860" s="1">
        <v>5.7</v>
      </c>
      <c r="B1860" s="1">
        <v>117.0</v>
      </c>
    </row>
    <row r="1861" ht="14.25" customHeight="1">
      <c r="A1861" s="1">
        <v>5.3</v>
      </c>
      <c r="B1861" s="1">
        <v>138.0</v>
      </c>
    </row>
    <row r="1862" ht="14.25" customHeight="1">
      <c r="A1862" s="1">
        <v>7.7</v>
      </c>
      <c r="B1862" s="1">
        <v>119.0</v>
      </c>
    </row>
    <row r="1863" ht="14.25" customHeight="1">
      <c r="A1863" s="1">
        <v>6.1</v>
      </c>
      <c r="B1863" s="1">
        <v>137.0</v>
      </c>
    </row>
    <row r="1864" ht="14.25" customHeight="1">
      <c r="A1864" s="1">
        <v>7.3</v>
      </c>
      <c r="B1864" s="1">
        <v>119.0</v>
      </c>
    </row>
    <row r="1865" ht="14.25" customHeight="1">
      <c r="A1865" s="1">
        <v>7.2</v>
      </c>
      <c r="B1865" s="1">
        <v>139.0</v>
      </c>
    </row>
    <row r="1866" ht="14.25" customHeight="1">
      <c r="A1866" s="1">
        <v>5.3</v>
      </c>
      <c r="B1866" s="1">
        <v>114.0</v>
      </c>
    </row>
    <row r="1867" ht="14.25" customHeight="1">
      <c r="A1867" s="1">
        <v>6.1</v>
      </c>
      <c r="B1867" s="1">
        <v>120.0</v>
      </c>
    </row>
    <row r="1868" ht="14.25" customHeight="1">
      <c r="A1868" s="1">
        <v>5.8</v>
      </c>
      <c r="B1868" s="1">
        <v>98.0</v>
      </c>
    </row>
    <row r="1869" ht="14.25" customHeight="1">
      <c r="A1869" s="1">
        <v>5.7</v>
      </c>
      <c r="B1869" s="1">
        <v>106.0</v>
      </c>
    </row>
    <row r="1870" ht="14.25" customHeight="1">
      <c r="A1870" s="1">
        <v>6.7</v>
      </c>
      <c r="B1870" s="1">
        <v>98.0</v>
      </c>
    </row>
    <row r="1871" ht="14.25" customHeight="1">
      <c r="A1871" s="1">
        <v>6.5</v>
      </c>
      <c r="B1871" s="1">
        <v>107.0</v>
      </c>
    </row>
    <row r="1872" ht="14.25" customHeight="1">
      <c r="A1872" s="1">
        <v>7.2</v>
      </c>
      <c r="B1872" s="1">
        <v>88.0</v>
      </c>
    </row>
    <row r="1873" ht="14.25" customHeight="1">
      <c r="A1873" s="1">
        <v>7.6</v>
      </c>
      <c r="B1873" s="1">
        <v>137.0</v>
      </c>
    </row>
    <row r="1874" ht="14.25" customHeight="1">
      <c r="A1874" s="1">
        <v>4.6</v>
      </c>
      <c r="B1874" s="1">
        <v>100.0</v>
      </c>
    </row>
    <row r="1875" ht="14.25" customHeight="1">
      <c r="A1875" s="1">
        <v>6.9</v>
      </c>
      <c r="B1875" s="1">
        <v>115.0</v>
      </c>
    </row>
    <row r="1876" ht="14.25" customHeight="1">
      <c r="A1876" s="1">
        <v>6.6</v>
      </c>
      <c r="B1876" s="1">
        <v>101.0</v>
      </c>
    </row>
    <row r="1877" ht="14.25" customHeight="1">
      <c r="A1877" s="1">
        <v>6.3</v>
      </c>
      <c r="B1877" s="1">
        <v>110.0</v>
      </c>
    </row>
    <row r="1878" ht="14.25" customHeight="1">
      <c r="A1878" s="1">
        <v>6.2</v>
      </c>
      <c r="B1878" s="1">
        <v>94.0</v>
      </c>
    </row>
    <row r="1879" ht="14.25" customHeight="1">
      <c r="A1879" s="1">
        <v>5.3</v>
      </c>
      <c r="B1879" s="1">
        <v>88.0</v>
      </c>
    </row>
    <row r="1880" ht="14.25" customHeight="1">
      <c r="A1880" s="1">
        <v>7.3</v>
      </c>
      <c r="B1880" s="1">
        <v>127.0</v>
      </c>
    </row>
    <row r="1881" ht="14.25" customHeight="1">
      <c r="A1881" s="1">
        <v>5.6</v>
      </c>
      <c r="B1881" s="1">
        <v>95.0</v>
      </c>
    </row>
    <row r="1882" ht="14.25" customHeight="1">
      <c r="A1882" s="1">
        <v>6.2</v>
      </c>
      <c r="B1882" s="1">
        <v>87.0</v>
      </c>
    </row>
    <row r="1883" ht="14.25" customHeight="1">
      <c r="A1883" s="1">
        <v>5.2</v>
      </c>
      <c r="B1883" s="1">
        <v>118.0</v>
      </c>
    </row>
    <row r="1884" ht="14.25" customHeight="1">
      <c r="A1884" s="1">
        <v>5.3</v>
      </c>
      <c r="B1884" s="1">
        <v>107.0</v>
      </c>
    </row>
    <row r="1885" ht="14.25" customHeight="1">
      <c r="A1885" s="1">
        <v>5.4</v>
      </c>
      <c r="B1885" s="1">
        <v>124.0</v>
      </c>
    </row>
    <row r="1886" ht="14.25" customHeight="1">
      <c r="A1886" s="1">
        <v>4.9</v>
      </c>
      <c r="B1886" s="1">
        <v>89.0</v>
      </c>
    </row>
    <row r="1887" ht="14.25" customHeight="1">
      <c r="A1887" s="1">
        <v>5.5</v>
      </c>
      <c r="B1887" s="1">
        <v>88.0</v>
      </c>
    </row>
    <row r="1888" ht="14.25" customHeight="1">
      <c r="A1888" s="1">
        <v>6.7</v>
      </c>
      <c r="B1888" s="1">
        <v>118.0</v>
      </c>
    </row>
    <row r="1889" ht="14.25" customHeight="1">
      <c r="A1889" s="1">
        <v>7.2</v>
      </c>
      <c r="B1889" s="1">
        <v>80.0</v>
      </c>
    </row>
    <row r="1890" ht="14.25" customHeight="1">
      <c r="A1890" s="1">
        <v>5.1</v>
      </c>
      <c r="B1890" s="1">
        <v>120.0</v>
      </c>
    </row>
    <row r="1891" ht="14.25" customHeight="1">
      <c r="A1891" s="1">
        <v>6.5</v>
      </c>
      <c r="B1891" s="1">
        <v>98.0</v>
      </c>
    </row>
    <row r="1892" ht="14.25" customHeight="1">
      <c r="A1892" s="1">
        <v>8.2</v>
      </c>
      <c r="B1892" s="1">
        <v>119.0</v>
      </c>
    </row>
    <row r="1893" ht="14.25" customHeight="1">
      <c r="A1893" s="1">
        <v>7.7</v>
      </c>
      <c r="B1893" s="1">
        <v>88.0</v>
      </c>
    </row>
    <row r="1894" ht="14.25" customHeight="1">
      <c r="A1894" s="1">
        <v>7.2</v>
      </c>
      <c r="B1894" s="1">
        <v>201.0</v>
      </c>
    </row>
    <row r="1895" ht="14.25" customHeight="1">
      <c r="A1895" s="1">
        <v>6.1</v>
      </c>
      <c r="B1895" s="1">
        <v>90.0</v>
      </c>
    </row>
    <row r="1896" ht="14.25" customHeight="1">
      <c r="A1896" s="1">
        <v>8.8</v>
      </c>
      <c r="B1896" s="1">
        <v>127.0</v>
      </c>
    </row>
    <row r="1897" ht="14.25" customHeight="1">
      <c r="A1897" s="1">
        <v>6.8</v>
      </c>
      <c r="B1897" s="1">
        <v>119.0</v>
      </c>
    </row>
    <row r="1898" ht="14.25" customHeight="1">
      <c r="A1898" s="1">
        <v>6.8</v>
      </c>
      <c r="B1898" s="1">
        <v>85.0</v>
      </c>
    </row>
    <row r="1899" ht="14.25" customHeight="1">
      <c r="A1899" s="1">
        <v>6.7</v>
      </c>
      <c r="B1899" s="1">
        <v>98.0</v>
      </c>
    </row>
    <row r="1900" ht="14.25" customHeight="1">
      <c r="A1900" s="1">
        <v>7.1</v>
      </c>
      <c r="B1900" s="1">
        <v>101.0</v>
      </c>
    </row>
    <row r="1901" ht="14.25" customHeight="1">
      <c r="A1901" s="1">
        <v>7.1</v>
      </c>
      <c r="B1901" s="1">
        <v>112.0</v>
      </c>
    </row>
    <row r="1902" ht="14.25" customHeight="1">
      <c r="A1902" s="1">
        <v>6.1</v>
      </c>
      <c r="B1902" s="1">
        <v>97.0</v>
      </c>
    </row>
    <row r="1903" ht="14.25" customHeight="1">
      <c r="A1903" s="1">
        <v>8.0</v>
      </c>
      <c r="B1903" s="1">
        <v>126.0</v>
      </c>
    </row>
    <row r="1904" ht="14.25" customHeight="1">
      <c r="A1904" s="1">
        <v>7.5</v>
      </c>
      <c r="B1904" s="1">
        <v>106.0</v>
      </c>
    </row>
    <row r="1905" ht="14.25" customHeight="1">
      <c r="A1905" s="1">
        <v>6.6</v>
      </c>
      <c r="B1905" s="1">
        <v>97.0</v>
      </c>
    </row>
    <row r="1906" ht="14.25" customHeight="1">
      <c r="A1906" s="1">
        <v>5.4</v>
      </c>
      <c r="B1906" s="1">
        <v>100.0</v>
      </c>
    </row>
    <row r="1907" ht="14.25" customHeight="1">
      <c r="A1907" s="1">
        <v>6.1</v>
      </c>
      <c r="B1907" s="1">
        <v>114.0</v>
      </c>
    </row>
    <row r="1908" ht="14.25" customHeight="1">
      <c r="A1908" s="1">
        <v>6.1</v>
      </c>
      <c r="B1908" s="1">
        <v>101.0</v>
      </c>
    </row>
    <row r="1909" ht="14.25" customHeight="1">
      <c r="A1909" s="1">
        <v>5.6</v>
      </c>
      <c r="B1909" s="1">
        <v>88.0</v>
      </c>
    </row>
    <row r="1910" ht="14.25" customHeight="1">
      <c r="A1910" s="1">
        <v>5.8</v>
      </c>
      <c r="B1910" s="1">
        <v>93.0</v>
      </c>
    </row>
    <row r="1911" ht="14.25" customHeight="1">
      <c r="A1911" s="1">
        <v>2.8</v>
      </c>
      <c r="B1911" s="1">
        <v>92.0</v>
      </c>
    </row>
    <row r="1912" ht="14.25" customHeight="1">
      <c r="A1912" s="1">
        <v>6.7</v>
      </c>
      <c r="B1912" s="1">
        <v>98.0</v>
      </c>
    </row>
    <row r="1913" ht="14.25" customHeight="1">
      <c r="A1913" s="1">
        <v>5.1</v>
      </c>
      <c r="B1913" s="1">
        <v>94.0</v>
      </c>
    </row>
    <row r="1914" ht="14.25" customHeight="1">
      <c r="A1914" s="1">
        <v>7.2</v>
      </c>
      <c r="B1914" s="1">
        <v>102.0</v>
      </c>
    </row>
    <row r="1915" ht="14.25" customHeight="1">
      <c r="A1915" s="1">
        <v>6.0</v>
      </c>
      <c r="B1915" s="1">
        <v>98.0</v>
      </c>
    </row>
    <row r="1916" ht="14.25" customHeight="1">
      <c r="A1916" s="1">
        <v>6.7</v>
      </c>
      <c r="B1916" s="1">
        <v>111.0</v>
      </c>
    </row>
    <row r="1917" ht="14.25" customHeight="1">
      <c r="A1917" s="1">
        <v>6.2</v>
      </c>
      <c r="B1917" s="1">
        <v>100.0</v>
      </c>
    </row>
    <row r="1918" ht="14.25" customHeight="1">
      <c r="A1918" s="1">
        <v>6.2</v>
      </c>
      <c r="B1918" s="1">
        <v>141.0</v>
      </c>
    </row>
    <row r="1919" ht="14.25" customHeight="1">
      <c r="A1919" s="1">
        <v>6.8</v>
      </c>
      <c r="B1919" s="1">
        <v>114.0</v>
      </c>
    </row>
    <row r="1920" ht="14.25" customHeight="1">
      <c r="A1920" s="1">
        <v>7.1</v>
      </c>
      <c r="B1920" s="1">
        <v>96.0</v>
      </c>
    </row>
    <row r="1921" ht="14.25" customHeight="1">
      <c r="A1921" s="1">
        <v>7.1</v>
      </c>
      <c r="B1921" s="1">
        <v>111.0</v>
      </c>
    </row>
    <row r="1922" ht="14.25" customHeight="1">
      <c r="A1922" s="1">
        <v>7.0</v>
      </c>
      <c r="B1922" s="1">
        <v>127.0</v>
      </c>
    </row>
    <row r="1923" ht="14.25" customHeight="1">
      <c r="A1923" s="1">
        <v>7.1</v>
      </c>
      <c r="B1923" s="1">
        <v>107.0</v>
      </c>
    </row>
    <row r="1924" ht="14.25" customHeight="1">
      <c r="A1924" s="1">
        <v>6.4</v>
      </c>
      <c r="B1924" s="1">
        <v>97.0</v>
      </c>
    </row>
    <row r="1925" ht="14.25" customHeight="1">
      <c r="A1925" s="1">
        <v>7.0</v>
      </c>
      <c r="B1925" s="1">
        <v>127.0</v>
      </c>
    </row>
    <row r="1926" ht="14.25" customHeight="1">
      <c r="A1926" s="1">
        <v>6.2</v>
      </c>
      <c r="B1926" s="1">
        <v>110.0</v>
      </c>
    </row>
    <row r="1927" ht="14.25" customHeight="1">
      <c r="A1927" s="1">
        <v>7.5</v>
      </c>
      <c r="B1927" s="1">
        <v>135.0</v>
      </c>
    </row>
    <row r="1928" ht="14.25" customHeight="1">
      <c r="A1928" s="1">
        <v>4.8</v>
      </c>
      <c r="B1928" s="1">
        <v>84.0</v>
      </c>
    </row>
    <row r="1929" ht="14.25" customHeight="1">
      <c r="A1929" s="1">
        <v>7.3</v>
      </c>
      <c r="B1929" s="1">
        <v>122.0</v>
      </c>
    </row>
    <row r="1930" ht="14.25" customHeight="1">
      <c r="A1930" s="1">
        <v>5.8</v>
      </c>
      <c r="B1930" s="1">
        <v>114.0</v>
      </c>
    </row>
    <row r="1931" ht="14.25" customHeight="1">
      <c r="A1931" s="1">
        <v>7.6</v>
      </c>
      <c r="B1931" s="1">
        <v>132.0</v>
      </c>
    </row>
    <row r="1932" ht="14.25" customHeight="1">
      <c r="A1932" s="1">
        <v>5.6</v>
      </c>
      <c r="B1932" s="1">
        <v>170.0</v>
      </c>
    </row>
    <row r="1933" ht="14.25" customHeight="1">
      <c r="A1933" s="1">
        <v>7.0</v>
      </c>
      <c r="B1933" s="1">
        <v>133.0</v>
      </c>
    </row>
    <row r="1934" ht="14.25" customHeight="1">
      <c r="A1934" s="1">
        <v>6.6</v>
      </c>
      <c r="B1934" s="1">
        <v>112.0</v>
      </c>
    </row>
    <row r="1935" ht="14.25" customHeight="1">
      <c r="A1935" s="1">
        <v>6.5</v>
      </c>
      <c r="B1935" s="1">
        <v>108.0</v>
      </c>
    </row>
    <row r="1936" ht="14.25" customHeight="1">
      <c r="A1936" s="1">
        <v>7.4</v>
      </c>
      <c r="B1936" s="1">
        <v>115.0</v>
      </c>
    </row>
    <row r="1937" ht="14.25" customHeight="1">
      <c r="A1937" s="1">
        <v>4.6</v>
      </c>
      <c r="B1937" s="1">
        <v>83.0</v>
      </c>
    </row>
    <row r="1938" ht="14.25" customHeight="1">
      <c r="A1938" s="1">
        <v>6.4</v>
      </c>
      <c r="B1938" s="1">
        <v>105.0</v>
      </c>
    </row>
    <row r="1939" ht="14.25" customHeight="1">
      <c r="A1939" s="1">
        <v>6.0</v>
      </c>
      <c r="B1939" s="1">
        <v>110.0</v>
      </c>
    </row>
    <row r="1940" ht="14.25" customHeight="1">
      <c r="A1940" s="1">
        <v>5.9</v>
      </c>
      <c r="B1940" s="1">
        <v>96.0</v>
      </c>
    </row>
    <row r="1941" ht="14.25" customHeight="1">
      <c r="A1941" s="1">
        <v>6.4</v>
      </c>
      <c r="B1941" s="1">
        <v>94.0</v>
      </c>
    </row>
    <row r="1942" ht="14.25" customHeight="1">
      <c r="A1942" s="1">
        <v>6.6</v>
      </c>
      <c r="B1942" s="1">
        <v>142.0</v>
      </c>
    </row>
    <row r="1943" ht="14.25" customHeight="1">
      <c r="A1943" s="1">
        <v>6.9</v>
      </c>
      <c r="B1943" s="1">
        <v>104.0</v>
      </c>
    </row>
    <row r="1944" ht="14.25" customHeight="1">
      <c r="A1944" s="1">
        <v>6.9</v>
      </c>
      <c r="B1944" s="1">
        <v>136.0</v>
      </c>
    </row>
    <row r="1945" ht="14.25" customHeight="1">
      <c r="A1945" s="1">
        <v>5.8</v>
      </c>
      <c r="B1945" s="1">
        <v>106.0</v>
      </c>
    </row>
    <row r="1946" ht="14.25" customHeight="1">
      <c r="A1946" s="1">
        <v>6.4</v>
      </c>
      <c r="B1946" s="1">
        <v>106.0</v>
      </c>
    </row>
    <row r="1947" ht="14.25" customHeight="1">
      <c r="A1947" s="1">
        <v>5.3</v>
      </c>
      <c r="B1947" s="1">
        <v>98.0</v>
      </c>
    </row>
    <row r="1948" ht="14.25" customHeight="1">
      <c r="A1948" s="1">
        <v>6.5</v>
      </c>
      <c r="B1948" s="1">
        <v>100.0</v>
      </c>
    </row>
    <row r="1949" ht="14.25" customHeight="1">
      <c r="A1949" s="1">
        <v>5.7</v>
      </c>
      <c r="B1949" s="1">
        <v>95.0</v>
      </c>
    </row>
    <row r="1950" ht="14.25" customHeight="1">
      <c r="A1950" s="1">
        <v>6.7</v>
      </c>
      <c r="B1950" s="1">
        <v>107.0</v>
      </c>
    </row>
    <row r="1951" ht="14.25" customHeight="1">
      <c r="A1951" s="1">
        <v>3.9</v>
      </c>
      <c r="B1951" s="1">
        <v>104.0</v>
      </c>
    </row>
    <row r="1952" ht="14.25" customHeight="1">
      <c r="A1952" s="1">
        <v>4.1</v>
      </c>
      <c r="B1952" s="1">
        <v>104.0</v>
      </c>
    </row>
    <row r="1953" ht="14.25" customHeight="1">
      <c r="A1953" s="1">
        <v>6.2</v>
      </c>
      <c r="B1953" s="1">
        <v>143.0</v>
      </c>
    </row>
    <row r="1954" ht="14.25" customHeight="1">
      <c r="A1954" s="1">
        <v>3.8</v>
      </c>
      <c r="B1954" s="1">
        <v>77.0</v>
      </c>
    </row>
    <row r="1955" ht="14.25" customHeight="1">
      <c r="A1955" s="1">
        <v>5.1</v>
      </c>
      <c r="B1955" s="1">
        <v>96.0</v>
      </c>
    </row>
    <row r="1956" ht="14.25" customHeight="1">
      <c r="A1956" s="1">
        <v>7.8</v>
      </c>
      <c r="B1956" s="1">
        <v>145.0</v>
      </c>
    </row>
    <row r="1957" ht="14.25" customHeight="1">
      <c r="A1957" s="1">
        <v>7.8</v>
      </c>
      <c r="B1957" s="1">
        <v>116.0</v>
      </c>
    </row>
    <row r="1958" ht="14.25" customHeight="1">
      <c r="A1958" s="1">
        <v>6.1</v>
      </c>
      <c r="B1958" s="1">
        <v>100.0</v>
      </c>
    </row>
    <row r="1959" ht="14.25" customHeight="1">
      <c r="A1959" s="1">
        <v>5.8</v>
      </c>
      <c r="B1959" s="1">
        <v>104.0</v>
      </c>
    </row>
    <row r="1960" ht="14.25" customHeight="1">
      <c r="A1960" s="1">
        <v>6.3</v>
      </c>
      <c r="B1960" s="1">
        <v>92.0</v>
      </c>
    </row>
    <row r="1961" ht="14.25" customHeight="1">
      <c r="A1961" s="1">
        <v>5.4</v>
      </c>
      <c r="B1961" s="1">
        <v>105.0</v>
      </c>
    </row>
    <row r="1962" ht="14.25" customHeight="1">
      <c r="A1962" s="1">
        <v>7.3</v>
      </c>
      <c r="B1962" s="1">
        <v>120.0</v>
      </c>
    </row>
    <row r="1963" ht="14.25" customHeight="1">
      <c r="A1963" s="1">
        <v>6.8</v>
      </c>
      <c r="B1963" s="1">
        <v>116.0</v>
      </c>
    </row>
    <row r="1964" ht="14.25" customHeight="1">
      <c r="A1964" s="1">
        <v>7.3</v>
      </c>
      <c r="B1964" s="1">
        <v>119.0</v>
      </c>
    </row>
    <row r="1965" ht="14.25" customHeight="1">
      <c r="A1965" s="1">
        <v>6.5</v>
      </c>
      <c r="B1965" s="1">
        <v>101.0</v>
      </c>
    </row>
    <row r="1966" ht="14.25" customHeight="1">
      <c r="A1966" s="1">
        <v>7.2</v>
      </c>
      <c r="B1966" s="1">
        <v>117.0</v>
      </c>
    </row>
    <row r="1967" ht="14.25" customHeight="1">
      <c r="A1967" s="1">
        <v>6.3</v>
      </c>
      <c r="B1967" s="1">
        <v>112.0</v>
      </c>
    </row>
    <row r="1968" ht="14.25" customHeight="1">
      <c r="A1968" s="1">
        <v>5.9</v>
      </c>
      <c r="B1968" s="1">
        <v>136.0</v>
      </c>
    </row>
    <row r="1969" ht="14.25" customHeight="1">
      <c r="A1969" s="1">
        <v>7.8</v>
      </c>
      <c r="B1969" s="1">
        <v>81.0</v>
      </c>
    </row>
    <row r="1970" ht="14.25" customHeight="1">
      <c r="A1970" s="1">
        <v>7.4</v>
      </c>
      <c r="B1970" s="1">
        <v>87.0</v>
      </c>
    </row>
    <row r="1971" ht="14.25" customHeight="1">
      <c r="A1971" s="1">
        <v>4.8</v>
      </c>
      <c r="B1971" s="1">
        <v>96.0</v>
      </c>
    </row>
    <row r="1972" ht="14.25" customHeight="1">
      <c r="A1972" s="1">
        <v>6.3</v>
      </c>
      <c r="B1972" s="1">
        <v>106.0</v>
      </c>
    </row>
    <row r="1973" ht="14.25" customHeight="1">
      <c r="A1973" s="1">
        <v>7.8</v>
      </c>
      <c r="B1973" s="1">
        <v>122.0</v>
      </c>
    </row>
    <row r="1974" ht="14.25" customHeight="1">
      <c r="A1974" s="1">
        <v>7.5</v>
      </c>
      <c r="B1974" s="1">
        <v>123.0</v>
      </c>
    </row>
    <row r="1975" ht="14.25" customHeight="1">
      <c r="A1975" s="1">
        <v>6.8</v>
      </c>
      <c r="B1975" s="1">
        <v>92.0</v>
      </c>
    </row>
    <row r="1976" ht="14.25" customHeight="1">
      <c r="A1976" s="1">
        <v>6.6</v>
      </c>
      <c r="B1976" s="1">
        <v>110.0</v>
      </c>
    </row>
    <row r="1977" ht="14.25" customHeight="1">
      <c r="A1977" s="1">
        <v>4.6</v>
      </c>
      <c r="B1977" s="1">
        <v>104.0</v>
      </c>
    </row>
    <row r="1978" ht="14.25" customHeight="1">
      <c r="A1978" s="1">
        <v>7.1</v>
      </c>
      <c r="B1978" s="1">
        <v>98.0</v>
      </c>
    </row>
    <row r="1979" ht="14.25" customHeight="1">
      <c r="A1979" s="1">
        <v>6.1</v>
      </c>
      <c r="B1979" s="1">
        <v>120.0</v>
      </c>
    </row>
    <row r="1980" ht="14.25" customHeight="1">
      <c r="A1980" s="1">
        <v>6.7</v>
      </c>
      <c r="B1980" s="1">
        <v>112.0</v>
      </c>
    </row>
    <row r="1981" ht="14.25" customHeight="1">
      <c r="A1981" s="1">
        <v>7.1</v>
      </c>
      <c r="B1981" s="1">
        <v>127.0</v>
      </c>
    </row>
    <row r="1982" ht="14.25" customHeight="1">
      <c r="A1982" s="1">
        <v>5.8</v>
      </c>
      <c r="B1982" s="1">
        <v>102.0</v>
      </c>
    </row>
    <row r="1983" ht="14.25" customHeight="1">
      <c r="A1983" s="1">
        <v>6.7</v>
      </c>
      <c r="B1983" s="1">
        <v>91.0</v>
      </c>
    </row>
    <row r="1984" ht="14.25" customHeight="1">
      <c r="A1984" s="1">
        <v>5.8</v>
      </c>
      <c r="B1984" s="1">
        <v>114.0</v>
      </c>
    </row>
    <row r="1985" ht="14.25" customHeight="1">
      <c r="A1985" s="1">
        <v>6.8</v>
      </c>
      <c r="B1985" s="1">
        <v>115.0</v>
      </c>
    </row>
    <row r="1986" ht="14.25" customHeight="1">
      <c r="A1986" s="1">
        <v>8.5</v>
      </c>
      <c r="B1986" s="1">
        <v>115.0</v>
      </c>
    </row>
    <row r="1987" ht="14.25" customHeight="1">
      <c r="A1987" s="1">
        <v>6.6</v>
      </c>
      <c r="B1987" s="1">
        <v>120.0</v>
      </c>
    </row>
    <row r="1988" ht="14.25" customHeight="1">
      <c r="A1988" s="1">
        <v>7.7</v>
      </c>
      <c r="B1988" s="1">
        <v>135.0</v>
      </c>
    </row>
    <row r="1989" ht="14.25" customHeight="1">
      <c r="A1989" s="1">
        <v>4.7</v>
      </c>
      <c r="B1989" s="1">
        <v>90.0</v>
      </c>
    </row>
    <row r="1990" ht="14.25" customHeight="1">
      <c r="A1990" s="1">
        <v>6.4</v>
      </c>
      <c r="B1990" s="1">
        <v>100.0</v>
      </c>
    </row>
    <row r="1991" ht="14.25" customHeight="1">
      <c r="A1991" s="1">
        <v>5.5</v>
      </c>
      <c r="B1991" s="1">
        <v>105.0</v>
      </c>
    </row>
    <row r="1992" ht="14.25" customHeight="1">
      <c r="A1992" s="1">
        <v>8.6</v>
      </c>
      <c r="B1992" s="1">
        <v>138.0</v>
      </c>
    </row>
    <row r="1993" ht="14.25" customHeight="1">
      <c r="A1993" s="1">
        <v>7.0</v>
      </c>
      <c r="B1993" s="1">
        <v>94.0</v>
      </c>
    </row>
    <row r="1994" ht="14.25" customHeight="1">
      <c r="A1994" s="1">
        <v>7.1</v>
      </c>
      <c r="B1994" s="1">
        <v>101.0</v>
      </c>
    </row>
    <row r="1995" ht="14.25" customHeight="1">
      <c r="A1995" s="1">
        <v>5.7</v>
      </c>
      <c r="B1995" s="1">
        <v>131.0</v>
      </c>
    </row>
    <row r="1996" ht="14.25" customHeight="1">
      <c r="A1996" s="1">
        <v>3.7</v>
      </c>
      <c r="B1996" s="1">
        <v>91.0</v>
      </c>
    </row>
    <row r="1997" ht="14.25" customHeight="1">
      <c r="A1997" s="1">
        <v>7.5</v>
      </c>
      <c r="B1997" s="1">
        <v>112.0</v>
      </c>
    </row>
    <row r="1998" ht="14.25" customHeight="1">
      <c r="A1998" s="1">
        <v>4.6</v>
      </c>
      <c r="B1998" s="1">
        <v>95.0</v>
      </c>
    </row>
    <row r="1999" ht="14.25" customHeight="1">
      <c r="A1999" s="1">
        <v>4.9</v>
      </c>
      <c r="B1999" s="1">
        <v>100.0</v>
      </c>
    </row>
    <row r="2000" ht="14.25" customHeight="1">
      <c r="A2000" s="1">
        <v>6.9</v>
      </c>
      <c r="B2000" s="1">
        <v>105.0</v>
      </c>
    </row>
    <row r="2001" ht="14.25" customHeight="1">
      <c r="A2001" s="1">
        <v>7.1</v>
      </c>
      <c r="B2001" s="1">
        <v>108.0</v>
      </c>
    </row>
    <row r="2002" ht="14.25" customHeight="1">
      <c r="A2002" s="1">
        <v>5.8</v>
      </c>
      <c r="B2002" s="1">
        <v>101.0</v>
      </c>
    </row>
    <row r="2003" ht="14.25" customHeight="1">
      <c r="A2003" s="1">
        <v>7.0</v>
      </c>
      <c r="B2003" s="1">
        <v>114.0</v>
      </c>
    </row>
    <row r="2004" ht="14.25" customHeight="1">
      <c r="A2004" s="1">
        <v>5.4</v>
      </c>
      <c r="B2004" s="1">
        <v>109.0</v>
      </c>
    </row>
    <row r="2005" ht="14.25" customHeight="1">
      <c r="A2005" s="1">
        <v>7.3</v>
      </c>
      <c r="B2005" s="1">
        <v>115.0</v>
      </c>
    </row>
    <row r="2006" ht="14.25" customHeight="1">
      <c r="A2006" s="1">
        <v>7.1</v>
      </c>
      <c r="B2006" s="1">
        <v>117.0</v>
      </c>
    </row>
    <row r="2007" ht="14.25" customHeight="1">
      <c r="A2007" s="1">
        <v>5.8</v>
      </c>
      <c r="B2007" s="1">
        <v>107.0</v>
      </c>
    </row>
    <row r="2008" ht="14.25" customHeight="1">
      <c r="A2008" s="1">
        <v>8.1</v>
      </c>
      <c r="B2008" s="1">
        <v>134.0</v>
      </c>
    </row>
    <row r="2009" ht="14.25" customHeight="1">
      <c r="A2009" s="1">
        <v>5.7</v>
      </c>
      <c r="B2009" s="1">
        <v>118.0</v>
      </c>
    </row>
    <row r="2010" ht="14.25" customHeight="1">
      <c r="A2010" s="1">
        <v>4.4</v>
      </c>
      <c r="B2010" s="1">
        <v>121.0</v>
      </c>
    </row>
    <row r="2011" ht="14.25" customHeight="1">
      <c r="A2011" s="1">
        <v>7.9</v>
      </c>
      <c r="B2011" s="1">
        <v>105.0</v>
      </c>
    </row>
    <row r="2012" ht="14.25" customHeight="1">
      <c r="A2012" s="1">
        <v>7.6</v>
      </c>
      <c r="B2012" s="1">
        <v>110.0</v>
      </c>
    </row>
    <row r="2013" ht="14.25" customHeight="1">
      <c r="A2013" s="1">
        <v>4.8</v>
      </c>
      <c r="B2013" s="1">
        <v>114.0</v>
      </c>
    </row>
    <row r="2014" ht="14.25" customHeight="1">
      <c r="A2014" s="1">
        <v>2.7</v>
      </c>
      <c r="B2014" s="1">
        <v>85.0</v>
      </c>
    </row>
    <row r="2015" ht="14.25" customHeight="1">
      <c r="A2015" s="1">
        <v>5.8</v>
      </c>
      <c r="B2015" s="1">
        <v>72.0</v>
      </c>
    </row>
    <row r="2016" ht="14.25" customHeight="1">
      <c r="A2016" s="1">
        <v>7.5</v>
      </c>
      <c r="B2016" s="1">
        <v>128.0</v>
      </c>
    </row>
    <row r="2017" ht="14.25" customHeight="1">
      <c r="A2017" s="1">
        <v>5.4</v>
      </c>
      <c r="B2017" s="1">
        <v>72.0</v>
      </c>
    </row>
    <row r="2018" ht="14.25" customHeight="1">
      <c r="A2018" s="1">
        <v>4.1</v>
      </c>
      <c r="B2018" s="1">
        <v>89.0</v>
      </c>
    </row>
    <row r="2019" ht="14.25" customHeight="1">
      <c r="A2019" s="1">
        <v>5.9</v>
      </c>
      <c r="B2019" s="1">
        <v>96.0</v>
      </c>
    </row>
    <row r="2020" ht="14.25" customHeight="1">
      <c r="A2020" s="1">
        <v>6.3</v>
      </c>
      <c r="B2020" s="1">
        <v>77.0</v>
      </c>
    </row>
    <row r="2021" ht="14.25" customHeight="1">
      <c r="A2021" s="1">
        <v>6.8</v>
      </c>
      <c r="B2021" s="1">
        <v>111.0</v>
      </c>
    </row>
    <row r="2022" ht="14.25" customHeight="1">
      <c r="A2022" s="1">
        <v>2.3</v>
      </c>
      <c r="B2022" s="1">
        <v>93.0</v>
      </c>
    </row>
    <row r="2023" ht="14.25" customHeight="1">
      <c r="A2023" s="1">
        <v>6.9</v>
      </c>
      <c r="B2023" s="1">
        <v>129.0</v>
      </c>
    </row>
    <row r="2024" ht="14.25" customHeight="1">
      <c r="A2024" s="1">
        <v>8.1</v>
      </c>
      <c r="B2024" s="1">
        <v>128.0</v>
      </c>
    </row>
    <row r="2025" ht="14.25" customHeight="1">
      <c r="A2025" s="1">
        <v>6.1</v>
      </c>
      <c r="B2025" s="1">
        <v>110.0</v>
      </c>
    </row>
    <row r="2026" ht="14.25" customHeight="1">
      <c r="A2026" s="1">
        <v>5.0</v>
      </c>
      <c r="B2026" s="1">
        <v>137.0</v>
      </c>
    </row>
    <row r="2027" ht="14.25" customHeight="1">
      <c r="A2027" s="1">
        <v>5.5</v>
      </c>
      <c r="B2027" s="1">
        <v>124.0</v>
      </c>
    </row>
    <row r="2028" ht="14.25" customHeight="1">
      <c r="A2028" s="1">
        <v>6.2</v>
      </c>
      <c r="B2028" s="1">
        <v>93.0</v>
      </c>
    </row>
    <row r="2029" ht="14.25" customHeight="1">
      <c r="A2029" s="1">
        <v>6.2</v>
      </c>
      <c r="B2029" s="1">
        <v>115.0</v>
      </c>
    </row>
    <row r="2030" ht="14.25" customHeight="1">
      <c r="A2030" s="1">
        <v>6.3</v>
      </c>
      <c r="B2030" s="1">
        <v>105.0</v>
      </c>
    </row>
    <row r="2031" ht="14.25" customHeight="1">
      <c r="A2031" s="1">
        <v>6.7</v>
      </c>
      <c r="B2031" s="1">
        <v>127.0</v>
      </c>
    </row>
    <row r="2032" ht="14.25" customHeight="1">
      <c r="A2032" s="1">
        <v>3.5</v>
      </c>
      <c r="B2032" s="1">
        <v>82.0</v>
      </c>
    </row>
    <row r="2033" ht="14.25" customHeight="1">
      <c r="A2033" s="1">
        <v>7.5</v>
      </c>
      <c r="B2033" s="1">
        <v>143.0</v>
      </c>
    </row>
    <row r="2034" ht="14.25" customHeight="1">
      <c r="A2034" s="1">
        <v>6.6</v>
      </c>
      <c r="B2034" s="1">
        <v>103.0</v>
      </c>
    </row>
    <row r="2035" ht="14.25" customHeight="1">
      <c r="A2035" s="1">
        <v>7.5</v>
      </c>
      <c r="B2035" s="1">
        <v>104.0</v>
      </c>
    </row>
    <row r="2036" ht="14.25" customHeight="1">
      <c r="A2036" s="1">
        <v>7.2</v>
      </c>
      <c r="B2036" s="1">
        <v>98.0</v>
      </c>
    </row>
    <row r="2037" ht="14.25" customHeight="1">
      <c r="A2037" s="1">
        <v>4.8</v>
      </c>
      <c r="B2037" s="1">
        <v>92.0</v>
      </c>
    </row>
    <row r="2038" ht="14.25" customHeight="1">
      <c r="A2038" s="1">
        <v>6.6</v>
      </c>
      <c r="B2038" s="1">
        <v>123.0</v>
      </c>
    </row>
    <row r="2039" ht="14.25" customHeight="1">
      <c r="A2039" s="1">
        <v>3.5</v>
      </c>
      <c r="B2039" s="1">
        <v>88.0</v>
      </c>
    </row>
    <row r="2040" ht="14.25" customHeight="1">
      <c r="A2040" s="1">
        <v>7.6</v>
      </c>
      <c r="B2040" s="1">
        <v>128.0</v>
      </c>
    </row>
    <row r="2041" ht="14.25" customHeight="1">
      <c r="A2041" s="1">
        <v>6.3</v>
      </c>
      <c r="B2041" s="1">
        <v>107.0</v>
      </c>
    </row>
    <row r="2042" ht="14.25" customHeight="1">
      <c r="A2042" s="1">
        <v>5.5</v>
      </c>
      <c r="B2042" s="1">
        <v>91.0</v>
      </c>
    </row>
    <row r="2043" ht="14.25" customHeight="1">
      <c r="A2043" s="1">
        <v>6.3</v>
      </c>
      <c r="B2043" s="1">
        <v>90.0</v>
      </c>
    </row>
    <row r="2044" ht="14.25" customHeight="1">
      <c r="A2044" s="1">
        <v>6.5</v>
      </c>
      <c r="B2044" s="1">
        <v>115.0</v>
      </c>
    </row>
    <row r="2045" ht="14.25" customHeight="1">
      <c r="A2045" s="1">
        <v>6.9</v>
      </c>
      <c r="B2045" s="1">
        <v>113.0</v>
      </c>
    </row>
    <row r="2046" ht="14.25" customHeight="1">
      <c r="A2046" s="1">
        <v>7.6</v>
      </c>
      <c r="B2046" s="1">
        <v>113.0</v>
      </c>
    </row>
    <row r="2047" ht="14.25" customHeight="1">
      <c r="A2047" s="1">
        <v>3.9</v>
      </c>
      <c r="B2047" s="1">
        <v>87.0</v>
      </c>
    </row>
    <row r="2048" ht="14.25" customHeight="1">
      <c r="A2048" s="1">
        <v>6.1</v>
      </c>
      <c r="B2048" s="1">
        <v>101.0</v>
      </c>
    </row>
    <row r="2049" ht="14.25" customHeight="1">
      <c r="A2049" s="1">
        <v>7.3</v>
      </c>
      <c r="B2049" s="1">
        <v>111.0</v>
      </c>
    </row>
    <row r="2050" ht="14.25" customHeight="1">
      <c r="A2050" s="1">
        <v>8.3</v>
      </c>
      <c r="B2050" s="1">
        <v>108.0</v>
      </c>
    </row>
    <row r="2051" ht="14.25" customHeight="1">
      <c r="A2051" s="1">
        <v>5.8</v>
      </c>
      <c r="B2051" s="1">
        <v>105.0</v>
      </c>
    </row>
    <row r="2052" ht="14.25" customHeight="1">
      <c r="A2052" s="1">
        <v>6.8</v>
      </c>
      <c r="B2052" s="1">
        <v>109.0</v>
      </c>
    </row>
    <row r="2053" ht="14.25" customHeight="1">
      <c r="A2053" s="1">
        <v>7.0</v>
      </c>
      <c r="B2053" s="1">
        <v>109.0</v>
      </c>
    </row>
    <row r="2054" ht="14.25" customHeight="1">
      <c r="A2054" s="1">
        <v>5.9</v>
      </c>
      <c r="B2054" s="1">
        <v>99.0</v>
      </c>
    </row>
    <row r="2055" ht="14.25" customHeight="1">
      <c r="A2055" s="1">
        <v>6.5</v>
      </c>
      <c r="B2055" s="1">
        <v>98.0</v>
      </c>
    </row>
    <row r="2056" ht="14.25" customHeight="1">
      <c r="A2056" s="1">
        <v>6.4</v>
      </c>
      <c r="B2056" s="1">
        <v>104.0</v>
      </c>
    </row>
    <row r="2057" ht="14.25" customHeight="1">
      <c r="A2057" s="1">
        <v>5.8</v>
      </c>
      <c r="B2057" s="1">
        <v>109.0</v>
      </c>
    </row>
    <row r="2058" ht="14.25" customHeight="1">
      <c r="A2058" s="1">
        <v>5.1</v>
      </c>
      <c r="B2058" s="1">
        <v>75.0</v>
      </c>
    </row>
    <row r="2059" ht="14.25" customHeight="1">
      <c r="A2059" s="1">
        <v>6.8</v>
      </c>
      <c r="B2059" s="1">
        <v>119.0</v>
      </c>
    </row>
    <row r="2060" ht="14.25" customHeight="1">
      <c r="A2060" s="1">
        <v>5.3</v>
      </c>
      <c r="B2060" s="1">
        <v>90.0</v>
      </c>
    </row>
    <row r="2061" ht="14.25" customHeight="1">
      <c r="A2061" s="1">
        <v>5.3</v>
      </c>
      <c r="B2061" s="1">
        <v>97.0</v>
      </c>
    </row>
    <row r="2062" ht="14.25" customHeight="1">
      <c r="A2062" s="1">
        <v>4.9</v>
      </c>
      <c r="B2062" s="1">
        <v>89.0</v>
      </c>
    </row>
    <row r="2063" ht="14.25" customHeight="1">
      <c r="A2063" s="1">
        <v>6.8</v>
      </c>
      <c r="B2063" s="1">
        <v>106.0</v>
      </c>
    </row>
    <row r="2064" ht="14.25" customHeight="1">
      <c r="A2064" s="1">
        <v>6.1</v>
      </c>
      <c r="B2064" s="1">
        <v>104.0</v>
      </c>
    </row>
    <row r="2065" ht="14.25" customHeight="1">
      <c r="A2065" s="1">
        <v>8.5</v>
      </c>
      <c r="B2065" s="1">
        <v>108.0</v>
      </c>
    </row>
    <row r="2066" ht="14.25" customHeight="1">
      <c r="A2066" s="1">
        <v>5.9</v>
      </c>
      <c r="B2066" s="1">
        <v>112.0</v>
      </c>
    </row>
    <row r="2067" ht="14.25" customHeight="1">
      <c r="A2067" s="1">
        <v>6.3</v>
      </c>
      <c r="B2067" s="1">
        <v>104.0</v>
      </c>
    </row>
    <row r="2068" ht="14.25" customHeight="1">
      <c r="A2068" s="1">
        <v>5.9</v>
      </c>
      <c r="B2068" s="1">
        <v>113.0</v>
      </c>
    </row>
    <row r="2069" ht="14.25" customHeight="1">
      <c r="A2069" s="1">
        <v>5.4</v>
      </c>
      <c r="B2069" s="1">
        <v>98.0</v>
      </c>
    </row>
    <row r="2070" ht="14.25" customHeight="1">
      <c r="A2070" s="1">
        <v>6.9</v>
      </c>
      <c r="B2070" s="1">
        <v>114.0</v>
      </c>
    </row>
    <row r="2071" ht="14.25" customHeight="1">
      <c r="A2071" s="1">
        <v>7.5</v>
      </c>
      <c r="B2071" s="1">
        <v>124.0</v>
      </c>
    </row>
    <row r="2072" ht="14.25" customHeight="1">
      <c r="A2072" s="1">
        <v>8.2</v>
      </c>
      <c r="B2072" s="1">
        <v>148.0</v>
      </c>
    </row>
    <row r="2073" ht="14.25" customHeight="1">
      <c r="A2073" s="1">
        <v>5.9</v>
      </c>
      <c r="B2073" s="1">
        <v>108.0</v>
      </c>
    </row>
    <row r="2074" ht="14.25" customHeight="1">
      <c r="A2074" s="1">
        <v>5.0</v>
      </c>
      <c r="B2074" s="1">
        <v>95.0</v>
      </c>
    </row>
    <row r="2075" ht="14.25" customHeight="1">
      <c r="A2075" s="1">
        <v>7.3</v>
      </c>
      <c r="B2075" s="1">
        <v>108.0</v>
      </c>
    </row>
    <row r="2076" ht="14.25" customHeight="1">
      <c r="A2076" s="1">
        <v>6.4</v>
      </c>
      <c r="B2076" s="1">
        <v>68.0</v>
      </c>
    </row>
    <row r="2077" ht="14.25" customHeight="1">
      <c r="A2077" s="1">
        <v>6.6</v>
      </c>
      <c r="B2077" s="1">
        <v>103.0</v>
      </c>
    </row>
    <row r="2078" ht="14.25" customHeight="1">
      <c r="A2078" s="1">
        <v>7.8</v>
      </c>
      <c r="B2078" s="1">
        <v>99.0</v>
      </c>
    </row>
    <row r="2079" ht="14.25" customHeight="1">
      <c r="A2079" s="1">
        <v>4.0</v>
      </c>
      <c r="B2079" s="1">
        <v>88.0</v>
      </c>
    </row>
    <row r="2080" ht="14.25" customHeight="1">
      <c r="A2080" s="1">
        <v>7.6</v>
      </c>
      <c r="B2080" s="1">
        <v>128.0</v>
      </c>
    </row>
    <row r="2081" ht="14.25" customHeight="1">
      <c r="A2081" s="1">
        <v>7.7</v>
      </c>
      <c r="B2081" s="1">
        <v>124.0</v>
      </c>
    </row>
    <row r="2082" ht="14.25" customHeight="1">
      <c r="A2082" s="1">
        <v>5.8</v>
      </c>
      <c r="B2082" s="1">
        <v>84.0</v>
      </c>
    </row>
    <row r="2083" ht="14.25" customHeight="1">
      <c r="A2083" s="1">
        <v>5.2</v>
      </c>
      <c r="B2083" s="1">
        <v>122.0</v>
      </c>
    </row>
    <row r="2084" ht="14.25" customHeight="1">
      <c r="A2084" s="1">
        <v>5.6</v>
      </c>
      <c r="B2084" s="1">
        <v>101.0</v>
      </c>
    </row>
    <row r="2085" ht="14.25" customHeight="1">
      <c r="A2085" s="1">
        <v>5.3</v>
      </c>
      <c r="B2085" s="1">
        <v>98.0</v>
      </c>
    </row>
    <row r="2086" ht="14.25" customHeight="1">
      <c r="A2086" s="1">
        <v>6.6</v>
      </c>
      <c r="B2086" s="1">
        <v>225.0</v>
      </c>
    </row>
    <row r="2087" ht="14.25" customHeight="1">
      <c r="A2087" s="1">
        <v>1.9</v>
      </c>
      <c r="B2087" s="1">
        <v>88.0</v>
      </c>
    </row>
    <row r="2088" ht="14.25" customHeight="1">
      <c r="A2088" s="1">
        <v>5.7</v>
      </c>
      <c r="B2088" s="1">
        <v>88.0</v>
      </c>
    </row>
    <row r="2089" ht="14.25" customHeight="1">
      <c r="A2089" s="1">
        <v>6.6</v>
      </c>
      <c r="B2089" s="1">
        <v>94.0</v>
      </c>
    </row>
    <row r="2090" ht="14.25" customHeight="1">
      <c r="A2090" s="1">
        <v>6.0</v>
      </c>
      <c r="B2090" s="1">
        <v>117.0</v>
      </c>
    </row>
    <row r="2091" ht="14.25" customHeight="1">
      <c r="A2091" s="1">
        <v>6.1</v>
      </c>
      <c r="B2091" s="1">
        <v>95.0</v>
      </c>
    </row>
    <row r="2092" ht="14.25" customHeight="1">
      <c r="A2092" s="1">
        <v>4.8</v>
      </c>
      <c r="B2092" s="1">
        <v>99.0</v>
      </c>
    </row>
    <row r="2093" ht="14.25" customHeight="1">
      <c r="A2093" s="1">
        <v>6.2</v>
      </c>
      <c r="B2093" s="1">
        <v>96.0</v>
      </c>
    </row>
    <row r="2094" ht="14.25" customHeight="1">
      <c r="A2094" s="1">
        <v>7.5</v>
      </c>
      <c r="B2094" s="1">
        <v>98.0</v>
      </c>
    </row>
    <row r="2095" ht="14.25" customHeight="1">
      <c r="A2095" s="1">
        <v>6.3</v>
      </c>
      <c r="B2095" s="1">
        <v>123.0</v>
      </c>
    </row>
    <row r="2096" ht="14.25" customHeight="1">
      <c r="A2096" s="1">
        <v>7.1</v>
      </c>
      <c r="B2096" s="1">
        <v>101.0</v>
      </c>
    </row>
    <row r="2097" ht="14.25" customHeight="1">
      <c r="A2097" s="1">
        <v>6.6</v>
      </c>
      <c r="B2097" s="1">
        <v>102.0</v>
      </c>
    </row>
    <row r="2098" ht="14.25" customHeight="1">
      <c r="A2098" s="1">
        <v>6.1</v>
      </c>
      <c r="B2098" s="1">
        <v>94.0</v>
      </c>
    </row>
    <row r="2099" ht="14.25" customHeight="1">
      <c r="A2099" s="1">
        <v>6.7</v>
      </c>
      <c r="B2099" s="1">
        <v>102.0</v>
      </c>
    </row>
    <row r="2100" ht="14.25" customHeight="1">
      <c r="A2100" s="1">
        <v>5.6</v>
      </c>
      <c r="B2100" s="1">
        <v>108.0</v>
      </c>
    </row>
    <row r="2101" ht="14.25" customHeight="1">
      <c r="A2101" s="1">
        <v>7.2</v>
      </c>
      <c r="B2101" s="1">
        <v>116.0</v>
      </c>
    </row>
    <row r="2102" ht="14.25" customHeight="1">
      <c r="A2102" s="1">
        <v>4.3</v>
      </c>
      <c r="B2102" s="1">
        <v>93.0</v>
      </c>
    </row>
    <row r="2103" ht="14.25" customHeight="1">
      <c r="A2103" s="1">
        <v>6.4</v>
      </c>
      <c r="B2103" s="1">
        <v>102.0</v>
      </c>
    </row>
    <row r="2104" ht="14.25" customHeight="1">
      <c r="A2104" s="1">
        <v>7.1</v>
      </c>
      <c r="B2104" s="1">
        <v>103.0</v>
      </c>
    </row>
    <row r="2105" ht="14.25" customHeight="1">
      <c r="A2105" s="1">
        <v>6.3</v>
      </c>
      <c r="B2105" s="1">
        <v>115.0</v>
      </c>
    </row>
    <row r="2106" ht="14.25" customHeight="1">
      <c r="A2106" s="1">
        <v>7.4</v>
      </c>
      <c r="B2106" s="1">
        <v>96.0</v>
      </c>
    </row>
    <row r="2107" ht="14.25" customHeight="1">
      <c r="A2107" s="1">
        <v>6.1</v>
      </c>
      <c r="B2107" s="1">
        <v>98.0</v>
      </c>
    </row>
    <row r="2108" ht="14.25" customHeight="1">
      <c r="A2108" s="1">
        <v>6.6</v>
      </c>
      <c r="B2108" s="1">
        <v>101.0</v>
      </c>
    </row>
    <row r="2109" ht="14.25" customHeight="1">
      <c r="A2109" s="1">
        <v>6.0</v>
      </c>
      <c r="B2109" s="1">
        <v>106.0</v>
      </c>
    </row>
    <row r="2110" ht="14.25" customHeight="1">
      <c r="A2110" s="1">
        <v>6.8</v>
      </c>
      <c r="B2110" s="1">
        <v>101.0</v>
      </c>
    </row>
    <row r="2111" ht="14.25" customHeight="1">
      <c r="A2111" s="1">
        <v>7.4</v>
      </c>
      <c r="B2111" s="1">
        <v>87.0</v>
      </c>
    </row>
    <row r="2112" ht="14.25" customHeight="1">
      <c r="A2112" s="1">
        <v>6.8</v>
      </c>
      <c r="B2112" s="1">
        <v>111.0</v>
      </c>
    </row>
    <row r="2113" ht="14.25" customHeight="1">
      <c r="A2113" s="1">
        <v>7.2</v>
      </c>
      <c r="B2113" s="1">
        <v>99.0</v>
      </c>
    </row>
    <row r="2114" ht="14.25" customHeight="1">
      <c r="A2114" s="1">
        <v>1.9</v>
      </c>
      <c r="B2114" s="1">
        <v>88.0</v>
      </c>
    </row>
    <row r="2115" ht="14.25" customHeight="1">
      <c r="A2115" s="1">
        <v>5.5</v>
      </c>
      <c r="B2115" s="1">
        <v>83.0</v>
      </c>
    </row>
    <row r="2116" ht="14.25" customHeight="1">
      <c r="A2116" s="1">
        <v>4.5</v>
      </c>
      <c r="B2116" s="1">
        <v>91.0</v>
      </c>
    </row>
    <row r="2117" ht="14.25" customHeight="1">
      <c r="A2117" s="1">
        <v>6.3</v>
      </c>
      <c r="B2117" s="1">
        <v>108.0</v>
      </c>
    </row>
    <row r="2118" ht="14.25" customHeight="1">
      <c r="A2118" s="1">
        <v>6.7</v>
      </c>
      <c r="B2118" s="1">
        <v>148.0</v>
      </c>
    </row>
    <row r="2119" ht="14.25" customHeight="1">
      <c r="A2119" s="1">
        <v>2.8</v>
      </c>
      <c r="B2119" s="1">
        <v>77.0</v>
      </c>
    </row>
    <row r="2120" ht="14.25" customHeight="1">
      <c r="A2120" s="1">
        <v>5.0</v>
      </c>
      <c r="B2120" s="1">
        <v>110.0</v>
      </c>
    </row>
    <row r="2121" ht="14.25" customHeight="1">
      <c r="A2121" s="1">
        <v>4.3</v>
      </c>
      <c r="B2121" s="1">
        <v>83.0</v>
      </c>
    </row>
    <row r="2122" ht="14.25" customHeight="1">
      <c r="A2122" s="1">
        <v>5.6</v>
      </c>
      <c r="B2122" s="1">
        <v>107.0</v>
      </c>
    </row>
    <row r="2123" ht="14.25" customHeight="1">
      <c r="A2123" s="1">
        <v>6.2</v>
      </c>
      <c r="B2123" s="1">
        <v>100.0</v>
      </c>
    </row>
    <row r="2124" ht="14.25" customHeight="1">
      <c r="A2124" s="1">
        <v>5.3</v>
      </c>
      <c r="B2124" s="1">
        <v>87.0</v>
      </c>
    </row>
    <row r="2125" ht="14.25" customHeight="1">
      <c r="A2125" s="1">
        <v>7.4</v>
      </c>
      <c r="B2125" s="1">
        <v>154.0</v>
      </c>
    </row>
    <row r="2126" ht="14.25" customHeight="1">
      <c r="A2126" s="1">
        <v>6.5</v>
      </c>
      <c r="B2126" s="1">
        <v>99.0</v>
      </c>
    </row>
    <row r="2127" ht="14.25" customHeight="1">
      <c r="A2127" s="1">
        <v>7.1</v>
      </c>
      <c r="B2127" s="1">
        <v>100.0</v>
      </c>
    </row>
    <row r="2128" ht="14.25" customHeight="1">
      <c r="A2128" s="1">
        <v>7.2</v>
      </c>
      <c r="B2128" s="1">
        <v>116.0</v>
      </c>
    </row>
    <row r="2129" ht="14.25" customHeight="1">
      <c r="A2129" s="1">
        <v>2.3</v>
      </c>
      <c r="B2129" s="1">
        <v>94.0</v>
      </c>
    </row>
    <row r="2130" ht="14.25" customHeight="1">
      <c r="A2130" s="1">
        <v>6.4</v>
      </c>
      <c r="B2130" s="1">
        <v>111.0</v>
      </c>
    </row>
    <row r="2131" ht="14.25" customHeight="1">
      <c r="A2131" s="1">
        <v>6.1</v>
      </c>
      <c r="B2131" s="1">
        <v>100.0</v>
      </c>
    </row>
    <row r="2132" ht="14.25" customHeight="1">
      <c r="A2132" s="1">
        <v>7.0</v>
      </c>
      <c r="B2132" s="1">
        <v>125.0</v>
      </c>
    </row>
    <row r="2133" ht="14.25" customHeight="1">
      <c r="A2133" s="1">
        <v>7.0</v>
      </c>
      <c r="B2133" s="1">
        <v>119.0</v>
      </c>
    </row>
    <row r="2134" ht="14.25" customHeight="1">
      <c r="A2134" s="1">
        <v>7.0</v>
      </c>
      <c r="B2134" s="1">
        <v>135.0</v>
      </c>
    </row>
    <row r="2135" ht="14.25" customHeight="1">
      <c r="A2135" s="1">
        <v>4.9</v>
      </c>
      <c r="B2135" s="1">
        <v>93.0</v>
      </c>
    </row>
    <row r="2136" ht="14.25" customHeight="1">
      <c r="A2136" s="1">
        <v>6.9</v>
      </c>
      <c r="B2136" s="1">
        <v>114.0</v>
      </c>
    </row>
    <row r="2137" ht="14.25" customHeight="1">
      <c r="A2137" s="1">
        <v>7.5</v>
      </c>
      <c r="B2137" s="1">
        <v>124.0</v>
      </c>
    </row>
    <row r="2138" ht="14.25" customHeight="1">
      <c r="A2138" s="1">
        <v>8.4</v>
      </c>
      <c r="B2138" s="1">
        <v>134.0</v>
      </c>
    </row>
    <row r="2139" ht="14.25" customHeight="1">
      <c r="A2139" s="1">
        <v>6.9</v>
      </c>
      <c r="B2139" s="1">
        <v>114.0</v>
      </c>
    </row>
    <row r="2140" ht="14.25" customHeight="1">
      <c r="A2140" s="1">
        <v>4.5</v>
      </c>
      <c r="B2140" s="1">
        <v>124.0</v>
      </c>
    </row>
    <row r="2141" ht="14.25" customHeight="1">
      <c r="A2141" s="1">
        <v>7.4</v>
      </c>
      <c r="B2141" s="1">
        <v>104.0</v>
      </c>
    </row>
    <row r="2142" ht="14.25" customHeight="1">
      <c r="A2142" s="1">
        <v>7.0</v>
      </c>
      <c r="B2142" s="1">
        <v>118.0</v>
      </c>
    </row>
    <row r="2143" ht="14.25" customHeight="1">
      <c r="A2143" s="1">
        <v>2.8</v>
      </c>
      <c r="B2143" s="1">
        <v>80.0</v>
      </c>
    </row>
    <row r="2144" ht="14.25" customHeight="1">
      <c r="A2144" s="1">
        <v>7.5</v>
      </c>
      <c r="B2144" s="1">
        <v>107.0</v>
      </c>
    </row>
    <row r="2145" ht="14.25" customHeight="1">
      <c r="A2145" s="1">
        <v>7.1</v>
      </c>
      <c r="B2145" s="1">
        <v>125.0</v>
      </c>
    </row>
    <row r="2146" ht="14.25" customHeight="1">
      <c r="A2146" s="1">
        <v>6.4</v>
      </c>
      <c r="B2146" s="1">
        <v>115.0</v>
      </c>
    </row>
    <row r="2147" ht="14.25" customHeight="1">
      <c r="A2147" s="1">
        <v>5.3</v>
      </c>
      <c r="B2147" s="1">
        <v>122.0</v>
      </c>
    </row>
    <row r="2148" ht="14.25" customHeight="1">
      <c r="A2148" s="1">
        <v>6.9</v>
      </c>
      <c r="B2148" s="1">
        <v>103.0</v>
      </c>
    </row>
    <row r="2149" ht="14.25" customHeight="1">
      <c r="A2149" s="1">
        <v>6.2</v>
      </c>
      <c r="B2149" s="1">
        <v>101.0</v>
      </c>
    </row>
    <row r="2150" ht="14.25" customHeight="1">
      <c r="A2150" s="1">
        <v>6.4</v>
      </c>
      <c r="B2150" s="1">
        <v>107.0</v>
      </c>
    </row>
    <row r="2151" ht="14.25" customHeight="1">
      <c r="A2151" s="1">
        <v>5.1</v>
      </c>
      <c r="B2151" s="1">
        <v>107.0</v>
      </c>
    </row>
    <row r="2152" ht="14.25" customHeight="1">
      <c r="A2152" s="1">
        <v>5.5</v>
      </c>
      <c r="B2152" s="1">
        <v>100.0</v>
      </c>
    </row>
    <row r="2153" ht="14.25" customHeight="1">
      <c r="A2153" s="1">
        <v>5.4</v>
      </c>
      <c r="B2153" s="1">
        <v>110.0</v>
      </c>
    </row>
    <row r="2154" ht="14.25" customHeight="1">
      <c r="A2154" s="1">
        <v>7.5</v>
      </c>
      <c r="B2154" s="1">
        <v>125.0</v>
      </c>
    </row>
    <row r="2155" ht="14.25" customHeight="1">
      <c r="A2155" s="1">
        <v>7.4</v>
      </c>
      <c r="B2155" s="1">
        <v>184.0</v>
      </c>
    </row>
    <row r="2156" ht="14.25" customHeight="1">
      <c r="A2156" s="1">
        <v>8.0</v>
      </c>
      <c r="B2156" s="1">
        <v>236.0</v>
      </c>
    </row>
    <row r="2157" ht="14.25" customHeight="1">
      <c r="A2157" s="1">
        <v>5.7</v>
      </c>
      <c r="B2157" s="1">
        <v>97.0</v>
      </c>
    </row>
    <row r="2158" ht="14.25" customHeight="1">
      <c r="A2158" s="1">
        <v>6.8</v>
      </c>
      <c r="B2158" s="1">
        <v>113.0</v>
      </c>
    </row>
    <row r="2159" ht="14.25" customHeight="1">
      <c r="A2159" s="1">
        <v>5.9</v>
      </c>
      <c r="B2159" s="1">
        <v>95.0</v>
      </c>
    </row>
    <row r="2160" ht="14.25" customHeight="1">
      <c r="A2160" s="1">
        <v>7.2</v>
      </c>
      <c r="B2160" s="1">
        <v>103.0</v>
      </c>
    </row>
    <row r="2161" ht="14.25" customHeight="1">
      <c r="A2161" s="1">
        <v>5.5</v>
      </c>
      <c r="B2161" s="1">
        <v>91.0</v>
      </c>
    </row>
    <row r="2162" ht="14.25" customHeight="1">
      <c r="A2162" s="1">
        <v>8.5</v>
      </c>
      <c r="B2162" s="1">
        <v>116.0</v>
      </c>
    </row>
    <row r="2163" ht="14.25" customHeight="1">
      <c r="A2163" s="1">
        <v>5.6</v>
      </c>
      <c r="B2163" s="1">
        <v>93.0</v>
      </c>
    </row>
    <row r="2164" ht="14.25" customHeight="1">
      <c r="A2164" s="1">
        <v>4.1</v>
      </c>
      <c r="B2164" s="1">
        <v>113.0</v>
      </c>
    </row>
    <row r="2165" ht="14.25" customHeight="1">
      <c r="A2165" s="1">
        <v>6.1</v>
      </c>
      <c r="B2165" s="1">
        <v>101.0</v>
      </c>
    </row>
    <row r="2166" ht="14.25" customHeight="1">
      <c r="A2166" s="1">
        <v>5.4</v>
      </c>
      <c r="B2166" s="1">
        <v>95.0</v>
      </c>
    </row>
    <row r="2167" ht="14.25" customHeight="1">
      <c r="A2167" s="1">
        <v>7.1</v>
      </c>
      <c r="B2167" s="1">
        <v>109.0</v>
      </c>
    </row>
    <row r="2168" ht="14.25" customHeight="1">
      <c r="A2168" s="1">
        <v>3.6</v>
      </c>
      <c r="B2168" s="1">
        <v>85.0</v>
      </c>
    </row>
    <row r="2169" ht="14.25" customHeight="1">
      <c r="A2169" s="1">
        <v>6.5</v>
      </c>
      <c r="B2169" s="1">
        <v>101.0</v>
      </c>
    </row>
    <row r="2170" ht="14.25" customHeight="1">
      <c r="A2170" s="1">
        <v>8.6</v>
      </c>
      <c r="B2170" s="1">
        <v>125.0</v>
      </c>
    </row>
    <row r="2171" ht="14.25" customHeight="1">
      <c r="A2171" s="1">
        <v>7.0</v>
      </c>
      <c r="B2171" s="1">
        <v>132.0</v>
      </c>
    </row>
    <row r="2172" ht="14.25" customHeight="1">
      <c r="A2172" s="1">
        <v>7.6</v>
      </c>
      <c r="B2172" s="1">
        <v>131.0</v>
      </c>
    </row>
    <row r="2173" ht="14.25" customHeight="1">
      <c r="A2173" s="1">
        <v>6.5</v>
      </c>
      <c r="B2173" s="1">
        <v>129.0</v>
      </c>
    </row>
    <row r="2174" ht="14.25" customHeight="1">
      <c r="A2174" s="1">
        <v>6.4</v>
      </c>
      <c r="B2174" s="1">
        <v>100.0</v>
      </c>
    </row>
    <row r="2175" ht="14.25" customHeight="1">
      <c r="A2175" s="1">
        <v>6.3</v>
      </c>
      <c r="B2175" s="1">
        <v>97.0</v>
      </c>
    </row>
    <row r="2176" ht="14.25" customHeight="1">
      <c r="A2176" s="1">
        <v>5.7</v>
      </c>
      <c r="B2176" s="1">
        <v>92.0</v>
      </c>
    </row>
    <row r="2177" ht="14.25" customHeight="1">
      <c r="A2177" s="1">
        <v>6.3</v>
      </c>
      <c r="B2177" s="1">
        <v>116.0</v>
      </c>
    </row>
    <row r="2178" ht="14.25" customHeight="1">
      <c r="A2178" s="1">
        <v>6.0</v>
      </c>
      <c r="B2178" s="1">
        <v>90.0</v>
      </c>
    </row>
    <row r="2179" ht="14.25" customHeight="1">
      <c r="A2179" s="1">
        <v>7.7</v>
      </c>
      <c r="B2179" s="1">
        <v>81.0</v>
      </c>
    </row>
    <row r="2180" ht="14.25" customHeight="1">
      <c r="A2180" s="1">
        <v>6.2</v>
      </c>
      <c r="B2180" s="1">
        <v>97.0</v>
      </c>
    </row>
    <row r="2181" ht="14.25" customHeight="1">
      <c r="A2181" s="1">
        <v>7.7</v>
      </c>
      <c r="B2181" s="1">
        <v>118.0</v>
      </c>
    </row>
    <row r="2182" ht="14.25" customHeight="1">
      <c r="A2182" s="1">
        <v>6.4</v>
      </c>
      <c r="B2182" s="1">
        <v>100.0</v>
      </c>
    </row>
    <row r="2183" ht="14.25" customHeight="1">
      <c r="A2183" s="1">
        <v>6.4</v>
      </c>
      <c r="B2183" s="1">
        <v>97.0</v>
      </c>
    </row>
    <row r="2184" ht="14.25" customHeight="1">
      <c r="A2184" s="1">
        <v>6.9</v>
      </c>
      <c r="B2184" s="1">
        <v>114.0</v>
      </c>
    </row>
    <row r="2185" ht="14.25" customHeight="1">
      <c r="A2185" s="1">
        <v>7.3</v>
      </c>
      <c r="B2185" s="1">
        <v>130.0</v>
      </c>
    </row>
    <row r="2186" ht="14.25" customHeight="1">
      <c r="A2186" s="1">
        <v>7.3</v>
      </c>
      <c r="B2186" s="1">
        <v>82.0</v>
      </c>
    </row>
    <row r="2187" ht="14.25" customHeight="1">
      <c r="A2187" s="1">
        <v>6.2</v>
      </c>
      <c r="B2187" s="1">
        <v>96.0</v>
      </c>
    </row>
    <row r="2188" ht="14.25" customHeight="1">
      <c r="A2188" s="1">
        <v>6.6</v>
      </c>
      <c r="B2188" s="1">
        <v>105.0</v>
      </c>
    </row>
    <row r="2189" ht="14.25" customHeight="1">
      <c r="A2189" s="1">
        <v>6.7</v>
      </c>
      <c r="B2189" s="1">
        <v>122.0</v>
      </c>
    </row>
    <row r="2190" ht="14.25" customHeight="1">
      <c r="A2190" s="1">
        <v>5.7</v>
      </c>
      <c r="B2190" s="1">
        <v>88.0</v>
      </c>
    </row>
    <row r="2191" ht="14.25" customHeight="1">
      <c r="A2191" s="1">
        <v>3.1</v>
      </c>
      <c r="B2191" s="1">
        <v>110.0</v>
      </c>
    </row>
    <row r="2192" ht="14.25" customHeight="1">
      <c r="A2192" s="1">
        <v>6.3</v>
      </c>
      <c r="B2192" s="1">
        <v>103.0</v>
      </c>
    </row>
    <row r="2193" ht="14.25" customHeight="1">
      <c r="A2193" s="1">
        <v>5.7</v>
      </c>
      <c r="B2193" s="1">
        <v>106.0</v>
      </c>
    </row>
    <row r="2194" ht="14.25" customHeight="1">
      <c r="A2194" s="1">
        <v>7.1</v>
      </c>
      <c r="B2194" s="1">
        <v>98.0</v>
      </c>
    </row>
    <row r="2195" ht="14.25" customHeight="1">
      <c r="A2195" s="1">
        <v>7.0</v>
      </c>
      <c r="B2195" s="1">
        <v>68.0</v>
      </c>
    </row>
    <row r="2196" ht="14.25" customHeight="1">
      <c r="A2196" s="1">
        <v>6.1</v>
      </c>
      <c r="B2196" s="1">
        <v>94.0</v>
      </c>
    </row>
    <row r="2197" ht="14.25" customHeight="1">
      <c r="A2197" s="1">
        <v>6.6</v>
      </c>
      <c r="B2197" s="1">
        <v>99.0</v>
      </c>
    </row>
    <row r="2198" ht="14.25" customHeight="1">
      <c r="A2198" s="1">
        <v>7.8</v>
      </c>
      <c r="B2198" s="1">
        <v>107.0</v>
      </c>
    </row>
    <row r="2199" ht="14.25" customHeight="1">
      <c r="A2199" s="1">
        <v>8.3</v>
      </c>
      <c r="B2199" s="1">
        <v>180.0</v>
      </c>
    </row>
    <row r="2200" ht="14.25" customHeight="1">
      <c r="A2200" s="1">
        <v>3.9</v>
      </c>
      <c r="B2200" s="1">
        <v>89.0</v>
      </c>
    </row>
    <row r="2201" ht="14.25" customHeight="1">
      <c r="A2201" s="1">
        <v>7.0</v>
      </c>
      <c r="B2201" s="1">
        <v>97.0</v>
      </c>
    </row>
    <row r="2202" ht="14.25" customHeight="1">
      <c r="A2202" s="1">
        <v>6.7</v>
      </c>
      <c r="B2202" s="1">
        <v>113.0</v>
      </c>
    </row>
    <row r="2203" ht="14.25" customHeight="1">
      <c r="A2203" s="1">
        <v>7.3</v>
      </c>
      <c r="B2203" s="1">
        <v>131.0</v>
      </c>
    </row>
    <row r="2204" ht="14.25" customHeight="1">
      <c r="A2204" s="1">
        <v>6.3</v>
      </c>
      <c r="B2204" s="1">
        <v>103.0</v>
      </c>
    </row>
    <row r="2205" ht="14.25" customHeight="1">
      <c r="A2205" s="1">
        <v>7.8</v>
      </c>
      <c r="B2205" s="1">
        <v>119.0</v>
      </c>
    </row>
    <row r="2206" ht="14.25" customHeight="1">
      <c r="A2206" s="1">
        <v>7.3</v>
      </c>
      <c r="B2206" s="1">
        <v>98.0</v>
      </c>
    </row>
    <row r="2207" ht="14.25" customHeight="1">
      <c r="A2207" s="1">
        <v>7.6</v>
      </c>
      <c r="B2207" s="1">
        <v>111.0</v>
      </c>
    </row>
    <row r="2208" ht="14.25" customHeight="1">
      <c r="A2208" s="1">
        <v>5.3</v>
      </c>
      <c r="B2208" s="1">
        <v>94.0</v>
      </c>
    </row>
    <row r="2209" ht="14.25" customHeight="1">
      <c r="A2209" s="1">
        <v>7.9</v>
      </c>
      <c r="B2209" s="1">
        <v>122.0</v>
      </c>
    </row>
    <row r="2210" ht="14.25" customHeight="1">
      <c r="A2210" s="1">
        <v>5.3</v>
      </c>
      <c r="B2210" s="1">
        <v>81.0</v>
      </c>
    </row>
    <row r="2211" ht="14.25" customHeight="1">
      <c r="A2211" s="1">
        <v>6.8</v>
      </c>
      <c r="B2211" s="1">
        <v>89.0</v>
      </c>
    </row>
    <row r="2212" ht="14.25" customHeight="1">
      <c r="A2212" s="1">
        <v>7.1</v>
      </c>
      <c r="B2212" s="1">
        <v>106.0</v>
      </c>
    </row>
    <row r="2213" ht="14.25" customHeight="1">
      <c r="A2213" s="1">
        <v>5.8</v>
      </c>
      <c r="B2213" s="1">
        <v>86.0</v>
      </c>
    </row>
    <row r="2214" ht="14.25" customHeight="1">
      <c r="A2214" s="1">
        <v>5.8</v>
      </c>
      <c r="B2214" s="1">
        <v>103.0</v>
      </c>
    </row>
    <row r="2215" ht="14.25" customHeight="1">
      <c r="A2215" s="1">
        <v>8.3</v>
      </c>
      <c r="B2215" s="1">
        <v>121.0</v>
      </c>
    </row>
    <row r="2216" ht="14.25" customHeight="1">
      <c r="A2216" s="1">
        <v>5.6</v>
      </c>
      <c r="B2216" s="1">
        <v>109.0</v>
      </c>
    </row>
    <row r="2217" ht="14.25" customHeight="1">
      <c r="A2217" s="1">
        <v>6.8</v>
      </c>
      <c r="B2217" s="1">
        <v>109.0</v>
      </c>
    </row>
    <row r="2218" ht="14.25" customHeight="1">
      <c r="A2218" s="1">
        <v>5.0</v>
      </c>
      <c r="B2218" s="1">
        <v>123.0</v>
      </c>
    </row>
    <row r="2219" ht="14.25" customHeight="1">
      <c r="A2219" s="1">
        <v>7.6</v>
      </c>
      <c r="B2219" s="1">
        <v>94.0</v>
      </c>
    </row>
    <row r="2220" ht="14.25" customHeight="1">
      <c r="A2220" s="1">
        <v>6.7</v>
      </c>
      <c r="B2220" s="1">
        <v>94.0</v>
      </c>
    </row>
    <row r="2221" ht="14.25" customHeight="1">
      <c r="A2221" s="1">
        <v>6.7</v>
      </c>
      <c r="B2221" s="1">
        <v>115.0</v>
      </c>
    </row>
    <row r="2222" ht="14.25" customHeight="1">
      <c r="A2222" s="1">
        <v>5.7</v>
      </c>
      <c r="B2222" s="1">
        <v>107.0</v>
      </c>
    </row>
    <row r="2223" ht="14.25" customHeight="1">
      <c r="A2223" s="1">
        <v>5.2</v>
      </c>
      <c r="B2223" s="1">
        <v>91.0</v>
      </c>
    </row>
    <row r="2224" ht="14.25" customHeight="1">
      <c r="A2224" s="1">
        <v>7.5</v>
      </c>
      <c r="B2224" s="1">
        <v>125.0</v>
      </c>
    </row>
    <row r="2225" ht="14.25" customHeight="1">
      <c r="A2225" s="1">
        <v>7.2</v>
      </c>
      <c r="B2225" s="1">
        <v>122.0</v>
      </c>
    </row>
    <row r="2226" ht="14.25" customHeight="1">
      <c r="A2226" s="1">
        <v>5.3</v>
      </c>
      <c r="B2226" s="1">
        <v>102.0</v>
      </c>
    </row>
    <row r="2227" ht="14.25" customHeight="1">
      <c r="A2227" s="1">
        <v>6.5</v>
      </c>
      <c r="B2227" s="1">
        <v>90.0</v>
      </c>
    </row>
    <row r="2228" ht="14.25" customHeight="1">
      <c r="A2228" s="1">
        <v>5.0</v>
      </c>
      <c r="B2228" s="1">
        <v>98.0</v>
      </c>
    </row>
    <row r="2229" ht="14.25" customHeight="1">
      <c r="A2229" s="1">
        <v>6.1</v>
      </c>
      <c r="B2229" s="1">
        <v>109.0</v>
      </c>
    </row>
    <row r="2230" ht="14.25" customHeight="1">
      <c r="A2230" s="1">
        <v>4.4</v>
      </c>
      <c r="B2230" s="1">
        <v>90.0</v>
      </c>
    </row>
    <row r="2231" ht="14.25" customHeight="1">
      <c r="A2231" s="1">
        <v>7.5</v>
      </c>
      <c r="B2231" s="1">
        <v>112.0</v>
      </c>
    </row>
    <row r="2232" ht="14.25" customHeight="1">
      <c r="A2232" s="1">
        <v>5.7</v>
      </c>
      <c r="B2232" s="1">
        <v>94.0</v>
      </c>
    </row>
    <row r="2233" ht="14.25" customHeight="1">
      <c r="A2233" s="1">
        <v>5.5</v>
      </c>
      <c r="B2233" s="1">
        <v>105.0</v>
      </c>
    </row>
    <row r="2234" ht="14.25" customHeight="1">
      <c r="A2234" s="1">
        <v>7.1</v>
      </c>
      <c r="B2234" s="1">
        <v>104.0</v>
      </c>
    </row>
    <row r="2235" ht="14.25" customHeight="1">
      <c r="A2235" s="1">
        <v>5.9</v>
      </c>
      <c r="B2235" s="1">
        <v>112.0</v>
      </c>
    </row>
    <row r="2236" ht="14.25" customHeight="1">
      <c r="A2236" s="1">
        <v>6.7</v>
      </c>
      <c r="B2236" s="1">
        <v>108.0</v>
      </c>
    </row>
    <row r="2237" ht="14.25" customHeight="1">
      <c r="A2237" s="1">
        <v>7.0</v>
      </c>
      <c r="B2237" s="1">
        <v>112.0</v>
      </c>
    </row>
    <row r="2238" ht="14.25" customHeight="1">
      <c r="A2238" s="1">
        <v>7.9</v>
      </c>
      <c r="B2238" s="1">
        <v>127.0</v>
      </c>
    </row>
    <row r="2239" ht="14.25" customHeight="1">
      <c r="A2239" s="1">
        <v>6.9</v>
      </c>
      <c r="B2239" s="1">
        <v>111.0</v>
      </c>
    </row>
    <row r="2240" ht="14.25" customHeight="1">
      <c r="A2240" s="1">
        <v>7.3</v>
      </c>
      <c r="B2240" s="1">
        <v>126.0</v>
      </c>
    </row>
    <row r="2241" ht="14.25" customHeight="1">
      <c r="A2241" s="1">
        <v>7.3</v>
      </c>
      <c r="B2241" s="1">
        <v>114.0</v>
      </c>
    </row>
    <row r="2242" ht="14.25" customHeight="1">
      <c r="A2242" s="1">
        <v>3.5</v>
      </c>
      <c r="B2242" s="1">
        <v>99.0</v>
      </c>
    </row>
    <row r="2243" ht="14.25" customHeight="1">
      <c r="A2243" s="1">
        <v>7.8</v>
      </c>
      <c r="B2243" s="1">
        <v>150.0</v>
      </c>
    </row>
    <row r="2244" ht="14.25" customHeight="1">
      <c r="A2244" s="1">
        <v>6.7</v>
      </c>
      <c r="B2244" s="1">
        <v>112.0</v>
      </c>
    </row>
    <row r="2245" ht="14.25" customHeight="1">
      <c r="A2245" s="1">
        <v>6.4</v>
      </c>
      <c r="B2245" s="1">
        <v>108.0</v>
      </c>
    </row>
    <row r="2246" ht="14.25" customHeight="1">
      <c r="A2246" s="1">
        <v>7.1</v>
      </c>
      <c r="B2246" s="1">
        <v>116.0</v>
      </c>
    </row>
    <row r="2247" ht="14.25" customHeight="1">
      <c r="A2247" s="1">
        <v>7.8</v>
      </c>
      <c r="B2247" s="1">
        <v>144.0</v>
      </c>
    </row>
    <row r="2248" ht="14.25" customHeight="1">
      <c r="A2248" s="1">
        <v>5.9</v>
      </c>
      <c r="B2248" s="1">
        <v>93.0</v>
      </c>
    </row>
    <row r="2249" ht="14.25" customHeight="1">
      <c r="A2249" s="1">
        <v>7.2</v>
      </c>
      <c r="B2249" s="1">
        <v>103.0</v>
      </c>
    </row>
    <row r="2250" ht="14.25" customHeight="1">
      <c r="A2250" s="1">
        <v>6.2</v>
      </c>
      <c r="B2250" s="1">
        <v>121.0</v>
      </c>
    </row>
    <row r="2251" ht="14.25" customHeight="1">
      <c r="A2251" s="1">
        <v>6.7</v>
      </c>
      <c r="B2251" s="1">
        <v>105.0</v>
      </c>
    </row>
    <row r="2252" ht="14.25" customHeight="1">
      <c r="A2252" s="1">
        <v>7.6</v>
      </c>
      <c r="B2252" s="1">
        <v>119.0</v>
      </c>
    </row>
    <row r="2253" ht="14.25" customHeight="1">
      <c r="A2253" s="1">
        <v>6.2</v>
      </c>
      <c r="B2253" s="1">
        <v>98.0</v>
      </c>
    </row>
    <row r="2254" ht="14.25" customHeight="1">
      <c r="A2254" s="1">
        <v>6.5</v>
      </c>
      <c r="B2254" s="1">
        <v>80.0</v>
      </c>
    </row>
    <row r="2255" ht="14.25" customHeight="1">
      <c r="A2255" s="1">
        <v>8.1</v>
      </c>
      <c r="B2255" s="1">
        <v>121.0</v>
      </c>
    </row>
    <row r="2256" ht="14.25" customHeight="1">
      <c r="A2256" s="1">
        <v>6.3</v>
      </c>
      <c r="B2256" s="1">
        <v>94.0</v>
      </c>
    </row>
    <row r="2257" ht="14.25" customHeight="1">
      <c r="A2257" s="1">
        <v>4.4</v>
      </c>
      <c r="B2257" s="1">
        <v>93.0</v>
      </c>
    </row>
    <row r="2258" ht="14.25" customHeight="1">
      <c r="A2258" s="1">
        <v>6.0</v>
      </c>
      <c r="B2258" s="1">
        <v>116.0</v>
      </c>
    </row>
    <row r="2259" ht="14.25" customHeight="1">
      <c r="A2259" s="1">
        <v>7.6</v>
      </c>
      <c r="B2259" s="1">
        <v>101.0</v>
      </c>
    </row>
    <row r="2260" ht="14.25" customHeight="1">
      <c r="A2260" s="1">
        <v>8.4</v>
      </c>
      <c r="B2260" s="1">
        <v>154.0</v>
      </c>
    </row>
    <row r="2261" ht="14.25" customHeight="1">
      <c r="A2261" s="1">
        <v>7.9</v>
      </c>
      <c r="B2261" s="1">
        <v>170.0</v>
      </c>
    </row>
    <row r="2262" ht="14.25" customHeight="1">
      <c r="A2262" s="1">
        <v>5.6</v>
      </c>
      <c r="B2262" s="1">
        <v>99.0</v>
      </c>
    </row>
    <row r="2263" ht="14.25" customHeight="1">
      <c r="A2263" s="1">
        <v>6.5</v>
      </c>
      <c r="B2263" s="1">
        <v>104.0</v>
      </c>
    </row>
    <row r="2264" ht="14.25" customHeight="1">
      <c r="A2264" s="1">
        <v>7.5</v>
      </c>
      <c r="B2264" s="1">
        <v>126.0</v>
      </c>
    </row>
    <row r="2265" ht="14.25" customHeight="1">
      <c r="A2265" s="1">
        <v>6.3</v>
      </c>
      <c r="B2265" s="1">
        <v>110.0</v>
      </c>
    </row>
    <row r="2266" ht="14.25" customHeight="1">
      <c r="A2266" s="1">
        <v>7.9</v>
      </c>
      <c r="B2266" s="1">
        <v>101.0</v>
      </c>
    </row>
    <row r="2267" ht="14.25" customHeight="1">
      <c r="A2267" s="1">
        <v>7.9</v>
      </c>
      <c r="B2267" s="1">
        <v>80.0</v>
      </c>
    </row>
    <row r="2268" ht="14.25" customHeight="1">
      <c r="A2268" s="1">
        <v>5.1</v>
      </c>
      <c r="B2268" s="1">
        <v>87.0</v>
      </c>
    </row>
    <row r="2269" ht="14.25" customHeight="1">
      <c r="A2269" s="1">
        <v>6.7</v>
      </c>
      <c r="B2269" s="1">
        <v>123.0</v>
      </c>
    </row>
    <row r="2270" ht="14.25" customHeight="1">
      <c r="A2270" s="1">
        <v>6.7</v>
      </c>
      <c r="B2270" s="1">
        <v>109.0</v>
      </c>
    </row>
    <row r="2271" ht="14.25" customHeight="1">
      <c r="A2271" s="1">
        <v>5.6</v>
      </c>
      <c r="B2271" s="1">
        <v>90.0</v>
      </c>
    </row>
    <row r="2272" ht="14.25" customHeight="1">
      <c r="A2272" s="1">
        <v>5.6</v>
      </c>
      <c r="B2272" s="1">
        <v>96.0</v>
      </c>
    </row>
    <row r="2273" ht="14.25" customHeight="1">
      <c r="A2273" s="1">
        <v>6.8</v>
      </c>
      <c r="B2273" s="1">
        <v>125.0</v>
      </c>
    </row>
    <row r="2274" ht="14.25" customHeight="1">
      <c r="A2274" s="1">
        <v>6.2</v>
      </c>
      <c r="B2274" s="1">
        <v>82.0</v>
      </c>
    </row>
    <row r="2275" ht="14.25" customHeight="1">
      <c r="A2275" s="1">
        <v>5.6</v>
      </c>
      <c r="B2275" s="1">
        <v>86.0</v>
      </c>
    </row>
    <row r="2276" ht="14.25" customHeight="1">
      <c r="A2276" s="1">
        <v>6.4</v>
      </c>
      <c r="B2276" s="1">
        <v>108.0</v>
      </c>
    </row>
    <row r="2277" ht="14.25" customHeight="1">
      <c r="A2277" s="1">
        <v>5.6</v>
      </c>
      <c r="B2277" s="1">
        <v>98.0</v>
      </c>
    </row>
    <row r="2278" ht="14.25" customHeight="1">
      <c r="A2278" s="1">
        <v>7.4</v>
      </c>
      <c r="B2278" s="1">
        <v>129.0</v>
      </c>
    </row>
    <row r="2279" ht="14.25" customHeight="1">
      <c r="A2279" s="1">
        <v>7.2</v>
      </c>
      <c r="B2279" s="1">
        <v>112.0</v>
      </c>
    </row>
    <row r="2280" ht="14.25" customHeight="1">
      <c r="A2280" s="1">
        <v>4.9</v>
      </c>
      <c r="B2280" s="1">
        <v>108.0</v>
      </c>
    </row>
    <row r="2281" ht="14.25" customHeight="1">
      <c r="A2281" s="1">
        <v>7.5</v>
      </c>
      <c r="B2281" s="1">
        <v>121.0</v>
      </c>
    </row>
    <row r="2282" ht="14.25" customHeight="1">
      <c r="A2282" s="1">
        <v>4.8</v>
      </c>
      <c r="B2282" s="1">
        <v>89.0</v>
      </c>
    </row>
    <row r="2283" ht="14.25" customHeight="1">
      <c r="A2283" s="1">
        <v>3.1</v>
      </c>
      <c r="B2283" s="1">
        <v>89.0</v>
      </c>
    </row>
    <row r="2284" ht="14.25" customHeight="1">
      <c r="A2284" s="1">
        <v>5.8</v>
      </c>
      <c r="B2284" s="1">
        <v>73.0</v>
      </c>
    </row>
    <row r="2285" ht="14.25" customHeight="1">
      <c r="A2285" s="1">
        <v>6.7</v>
      </c>
      <c r="B2285" s="1">
        <v>132.0</v>
      </c>
    </row>
    <row r="2286" ht="14.25" customHeight="1">
      <c r="A2286" s="1">
        <v>6.5</v>
      </c>
      <c r="B2286" s="1">
        <v>96.0</v>
      </c>
    </row>
    <row r="2287" ht="14.25" customHeight="1">
      <c r="A2287" s="1">
        <v>5.9</v>
      </c>
      <c r="B2287" s="1">
        <v>98.0</v>
      </c>
    </row>
    <row r="2288" ht="14.25" customHeight="1">
      <c r="A2288" s="1">
        <v>5.5</v>
      </c>
      <c r="B2288" s="1">
        <v>107.0</v>
      </c>
    </row>
    <row r="2289" ht="14.25" customHeight="1">
      <c r="A2289" s="1">
        <v>3.6</v>
      </c>
      <c r="B2289" s="1">
        <v>134.0</v>
      </c>
    </row>
    <row r="2290" ht="14.25" customHeight="1">
      <c r="A2290" s="1">
        <v>7.4</v>
      </c>
      <c r="B2290" s="1">
        <v>122.0</v>
      </c>
    </row>
    <row r="2291" ht="14.25" customHeight="1">
      <c r="A2291" s="1">
        <v>3.0</v>
      </c>
      <c r="B2291" s="1">
        <v>97.0</v>
      </c>
    </row>
    <row r="2292" ht="14.25" customHeight="1">
      <c r="A2292" s="1">
        <v>7.6</v>
      </c>
      <c r="B2292" s="1">
        <v>110.0</v>
      </c>
    </row>
    <row r="2293" ht="14.25" customHeight="1">
      <c r="A2293" s="1">
        <v>6.4</v>
      </c>
      <c r="B2293" s="1">
        <v>102.0</v>
      </c>
    </row>
    <row r="2294" ht="14.25" customHeight="1">
      <c r="A2294" s="1">
        <v>6.9</v>
      </c>
      <c r="B2294" s="1">
        <v>98.0</v>
      </c>
    </row>
    <row r="2295" ht="14.25" customHeight="1">
      <c r="A2295" s="1">
        <v>5.5</v>
      </c>
      <c r="B2295" s="1">
        <v>160.0</v>
      </c>
    </row>
    <row r="2296" ht="14.25" customHeight="1">
      <c r="A2296" s="1">
        <v>4.1</v>
      </c>
      <c r="B2296" s="1">
        <v>83.0</v>
      </c>
    </row>
    <row r="2297" ht="14.25" customHeight="1">
      <c r="A2297" s="1">
        <v>6.8</v>
      </c>
      <c r="B2297" s="1">
        <v>102.0</v>
      </c>
    </row>
    <row r="2298" ht="14.25" customHeight="1">
      <c r="A2298" s="1">
        <v>6.5</v>
      </c>
      <c r="B2298" s="1">
        <v>122.0</v>
      </c>
    </row>
    <row r="2299" ht="14.25" customHeight="1">
      <c r="A2299" s="1">
        <v>7.6</v>
      </c>
      <c r="B2299" s="1">
        <v>110.0</v>
      </c>
    </row>
    <row r="2300" ht="14.25" customHeight="1">
      <c r="A2300" s="1">
        <v>7.4</v>
      </c>
      <c r="B2300" s="1">
        <v>126.0</v>
      </c>
    </row>
    <row r="2301" ht="14.25" customHeight="1">
      <c r="A2301" s="1">
        <v>7.7</v>
      </c>
      <c r="B2301" s="1">
        <v>136.0</v>
      </c>
    </row>
    <row r="2302" ht="14.25" customHeight="1">
      <c r="A2302" s="1">
        <v>7.1</v>
      </c>
      <c r="B2302" s="1">
        <v>120.0</v>
      </c>
    </row>
    <row r="2303" ht="14.25" customHeight="1">
      <c r="A2303" s="1">
        <v>6.3</v>
      </c>
      <c r="B2303" s="1">
        <v>108.0</v>
      </c>
    </row>
    <row r="2304" ht="14.25" customHeight="1">
      <c r="A2304" s="1">
        <v>7.6</v>
      </c>
      <c r="B2304" s="1">
        <v>126.0</v>
      </c>
    </row>
    <row r="2305" ht="14.25" customHeight="1">
      <c r="A2305" s="1">
        <v>8.0</v>
      </c>
      <c r="B2305" s="1">
        <v>128.0</v>
      </c>
    </row>
    <row r="2306" ht="14.25" customHeight="1">
      <c r="A2306" s="1">
        <v>7.3</v>
      </c>
      <c r="B2306" s="1">
        <v>113.0</v>
      </c>
    </row>
    <row r="2307" ht="14.25" customHeight="1">
      <c r="A2307" s="1">
        <v>7.6</v>
      </c>
      <c r="B2307" s="1">
        <v>89.0</v>
      </c>
    </row>
    <row r="2308" ht="14.25" customHeight="1">
      <c r="A2308" s="1">
        <v>7.8</v>
      </c>
      <c r="B2308" s="1">
        <v>129.0</v>
      </c>
    </row>
    <row r="2309" ht="14.25" customHeight="1">
      <c r="A2309" s="1">
        <v>6.5</v>
      </c>
      <c r="B2309" s="1">
        <v>94.0</v>
      </c>
    </row>
    <row r="2310" ht="14.25" customHeight="1">
      <c r="A2310" s="1">
        <v>6.4</v>
      </c>
      <c r="B2310" s="1">
        <v>106.0</v>
      </c>
    </row>
    <row r="2311" ht="14.25" customHeight="1">
      <c r="A2311" s="1">
        <v>8.0</v>
      </c>
      <c r="B2311" s="1">
        <v>100.0</v>
      </c>
    </row>
    <row r="2312" ht="14.25" customHeight="1">
      <c r="A2312" s="1">
        <v>4.8</v>
      </c>
      <c r="B2312" s="1">
        <v>89.0</v>
      </c>
    </row>
    <row r="2313" ht="14.25" customHeight="1">
      <c r="A2313" s="1">
        <v>7.8</v>
      </c>
      <c r="B2313" s="1">
        <v>94.0</v>
      </c>
    </row>
    <row r="2314" ht="14.25" customHeight="1">
      <c r="A2314" s="1">
        <v>5.9</v>
      </c>
      <c r="B2314" s="1">
        <v>83.0</v>
      </c>
    </row>
    <row r="2315" ht="14.25" customHeight="1">
      <c r="A2315" s="1">
        <v>5.4</v>
      </c>
      <c r="B2315" s="1">
        <v>111.0</v>
      </c>
    </row>
    <row r="2316" ht="14.25" customHeight="1">
      <c r="A2316" s="1">
        <v>3.3</v>
      </c>
      <c r="B2316" s="1">
        <v>80.0</v>
      </c>
    </row>
    <row r="2317" ht="14.25" customHeight="1">
      <c r="A2317" s="1">
        <v>8.2</v>
      </c>
      <c r="B2317" s="1">
        <v>112.0</v>
      </c>
    </row>
    <row r="2318" ht="14.25" customHeight="1">
      <c r="A2318" s="1">
        <v>5.4</v>
      </c>
      <c r="B2318" s="1">
        <v>94.0</v>
      </c>
    </row>
    <row r="2319" ht="14.25" customHeight="1">
      <c r="A2319" s="1">
        <v>6.4</v>
      </c>
      <c r="B2319" s="1">
        <v>130.0</v>
      </c>
    </row>
    <row r="2320" ht="14.25" customHeight="1">
      <c r="A2320" s="1">
        <v>4.8</v>
      </c>
      <c r="B2320" s="1">
        <v>91.0</v>
      </c>
    </row>
    <row r="2321" ht="14.25" customHeight="1">
      <c r="A2321" s="1">
        <v>5.9</v>
      </c>
      <c r="B2321" s="1">
        <v>91.0</v>
      </c>
    </row>
    <row r="2322" ht="14.25" customHeight="1">
      <c r="A2322" s="1">
        <v>5.5</v>
      </c>
      <c r="B2322" s="1">
        <v>110.0</v>
      </c>
    </row>
    <row r="2323" ht="14.25" customHeight="1">
      <c r="A2323" s="1">
        <v>7.9</v>
      </c>
      <c r="B2323" s="1">
        <v>121.0</v>
      </c>
    </row>
    <row r="2324" ht="14.25" customHeight="1">
      <c r="A2324" s="1">
        <v>4.9</v>
      </c>
      <c r="B2324" s="1">
        <v>114.0</v>
      </c>
    </row>
    <row r="2325" ht="14.25" customHeight="1">
      <c r="A2325" s="1">
        <v>7.2</v>
      </c>
      <c r="B2325" s="1">
        <v>96.0</v>
      </c>
    </row>
    <row r="2326" ht="14.25" customHeight="1">
      <c r="A2326" s="1">
        <v>5.3</v>
      </c>
      <c r="B2326" s="1">
        <v>94.0</v>
      </c>
    </row>
    <row r="2327" ht="14.25" customHeight="1">
      <c r="A2327" s="1">
        <v>7.2</v>
      </c>
      <c r="B2327" s="1">
        <v>109.0</v>
      </c>
    </row>
    <row r="2328" ht="14.25" customHeight="1">
      <c r="A2328" s="1">
        <v>5.1</v>
      </c>
      <c r="B2328" s="1">
        <v>107.0</v>
      </c>
    </row>
    <row r="2329" ht="14.25" customHeight="1">
      <c r="A2329" s="1">
        <v>5.6</v>
      </c>
      <c r="B2329" s="1">
        <v>96.0</v>
      </c>
    </row>
    <row r="2330" ht="14.25" customHeight="1">
      <c r="A2330" s="1">
        <v>7.6</v>
      </c>
      <c r="B2330" s="1">
        <v>88.0</v>
      </c>
    </row>
    <row r="2331" ht="14.25" customHeight="1">
      <c r="A2331" s="1">
        <v>3.1</v>
      </c>
      <c r="B2331" s="1">
        <v>110.0</v>
      </c>
    </row>
    <row r="2332" ht="14.25" customHeight="1">
      <c r="A2332" s="1">
        <v>7.2</v>
      </c>
      <c r="B2332" s="1">
        <v>113.0</v>
      </c>
    </row>
    <row r="2333" ht="14.25" customHeight="1">
      <c r="A2333" s="1">
        <v>5.7</v>
      </c>
      <c r="B2333" s="1">
        <v>101.0</v>
      </c>
    </row>
    <row r="2334" ht="14.25" customHeight="1">
      <c r="A2334" s="1">
        <v>5.2</v>
      </c>
      <c r="B2334" s="1">
        <v>105.0</v>
      </c>
    </row>
    <row r="2335" ht="14.25" customHeight="1">
      <c r="A2335" s="1">
        <v>7.7</v>
      </c>
      <c r="B2335" s="1">
        <v>125.0</v>
      </c>
    </row>
    <row r="2336" ht="14.25" customHeight="1">
      <c r="A2336" s="1">
        <v>7.0</v>
      </c>
      <c r="B2336" s="1">
        <v>100.0</v>
      </c>
    </row>
    <row r="2337" ht="14.25" customHeight="1">
      <c r="A2337" s="1">
        <v>6.0</v>
      </c>
      <c r="B2337" s="1">
        <v>112.0</v>
      </c>
    </row>
    <row r="2338" ht="14.25" customHeight="1">
      <c r="A2338" s="1">
        <v>6.6</v>
      </c>
      <c r="B2338" s="1">
        <v>112.0</v>
      </c>
    </row>
    <row r="2339" ht="14.25" customHeight="1">
      <c r="A2339" s="1">
        <v>6.8</v>
      </c>
      <c r="B2339" s="1">
        <v>95.0</v>
      </c>
    </row>
    <row r="2340" ht="14.25" customHeight="1">
      <c r="A2340" s="1">
        <v>7.2</v>
      </c>
      <c r="B2340" s="1">
        <v>110.0</v>
      </c>
    </row>
    <row r="2341" ht="14.25" customHeight="1">
      <c r="A2341" s="1">
        <v>7.2</v>
      </c>
      <c r="B2341" s="1">
        <v>118.0</v>
      </c>
    </row>
    <row r="2342" ht="14.25" customHeight="1">
      <c r="A2342" s="1">
        <v>2.8</v>
      </c>
      <c r="B2342" s="1">
        <v>97.0</v>
      </c>
    </row>
    <row r="2343" ht="14.25" customHeight="1">
      <c r="A2343" s="1">
        <v>6.6</v>
      </c>
      <c r="B2343" s="1">
        <v>120.0</v>
      </c>
    </row>
    <row r="2344" ht="14.25" customHeight="1">
      <c r="A2344" s="1">
        <v>6.7</v>
      </c>
      <c r="B2344" s="1">
        <v>135.0</v>
      </c>
    </row>
    <row r="2345" ht="14.25" customHeight="1">
      <c r="A2345" s="1">
        <v>7.0</v>
      </c>
      <c r="B2345" s="1">
        <v>101.0</v>
      </c>
    </row>
    <row r="2346" ht="14.25" customHeight="1">
      <c r="A2346" s="1">
        <v>4.4</v>
      </c>
      <c r="B2346" s="1">
        <v>92.0</v>
      </c>
    </row>
    <row r="2347" ht="14.25" customHeight="1">
      <c r="A2347" s="1">
        <v>6.2</v>
      </c>
      <c r="B2347" s="1">
        <v>92.0</v>
      </c>
    </row>
    <row r="2348" ht="14.25" customHeight="1">
      <c r="A2348" s="1">
        <v>7.3</v>
      </c>
      <c r="B2348" s="1">
        <v>161.0</v>
      </c>
    </row>
    <row r="2349" ht="14.25" customHeight="1">
      <c r="A2349" s="1">
        <v>5.1</v>
      </c>
      <c r="B2349" s="1">
        <v>92.0</v>
      </c>
    </row>
    <row r="2350" ht="14.25" customHeight="1">
      <c r="A2350" s="1">
        <v>6.6</v>
      </c>
      <c r="B2350" s="1">
        <v>122.0</v>
      </c>
    </row>
    <row r="2351" ht="14.25" customHeight="1">
      <c r="A2351" s="1">
        <v>4.5</v>
      </c>
      <c r="B2351" s="1">
        <v>91.0</v>
      </c>
    </row>
    <row r="2352" ht="14.25" customHeight="1">
      <c r="A2352" s="1">
        <v>5.9</v>
      </c>
      <c r="B2352" s="1">
        <v>93.0</v>
      </c>
    </row>
    <row r="2353" ht="14.25" customHeight="1">
      <c r="A2353" s="1">
        <v>6.6</v>
      </c>
      <c r="B2353" s="1">
        <v>94.0</v>
      </c>
    </row>
    <row r="2354" ht="14.25" customHeight="1">
      <c r="A2354" s="1">
        <v>6.5</v>
      </c>
      <c r="B2354" s="1">
        <v>95.0</v>
      </c>
    </row>
    <row r="2355" ht="14.25" customHeight="1">
      <c r="A2355" s="1">
        <v>7.3</v>
      </c>
      <c r="B2355" s="1">
        <v>105.0</v>
      </c>
    </row>
    <row r="2356" ht="14.25" customHeight="1">
      <c r="A2356" s="1">
        <v>7.5</v>
      </c>
      <c r="B2356" s="1">
        <v>103.0</v>
      </c>
    </row>
    <row r="2357" ht="14.25" customHeight="1">
      <c r="A2357" s="1">
        <v>5.9</v>
      </c>
      <c r="B2357" s="1">
        <v>102.0</v>
      </c>
    </row>
    <row r="2358" ht="14.25" customHeight="1">
      <c r="A2358" s="1">
        <v>7.4</v>
      </c>
      <c r="B2358" s="1">
        <v>116.0</v>
      </c>
    </row>
    <row r="2359" ht="14.25" customHeight="1">
      <c r="A2359" s="1">
        <v>6.9</v>
      </c>
      <c r="B2359" s="1">
        <v>110.0</v>
      </c>
    </row>
    <row r="2360" ht="14.25" customHeight="1">
      <c r="A2360" s="1">
        <v>7.9</v>
      </c>
      <c r="B2360" s="1">
        <v>120.0</v>
      </c>
    </row>
    <row r="2361" ht="14.25" customHeight="1">
      <c r="A2361" s="1">
        <v>8.4</v>
      </c>
      <c r="B2361" s="1">
        <v>122.0</v>
      </c>
    </row>
    <row r="2362" ht="14.25" customHeight="1">
      <c r="A2362" s="1">
        <v>8.0</v>
      </c>
      <c r="B2362" s="1">
        <v>118.0</v>
      </c>
    </row>
    <row r="2363" ht="14.25" customHeight="1">
      <c r="A2363" s="1">
        <v>6.0</v>
      </c>
      <c r="B2363" s="1">
        <v>107.0</v>
      </c>
    </row>
    <row r="2364" ht="14.25" customHeight="1">
      <c r="A2364" s="1">
        <v>6.8</v>
      </c>
      <c r="B2364" s="1">
        <v>102.0</v>
      </c>
    </row>
    <row r="2365" ht="14.25" customHeight="1">
      <c r="A2365" s="1">
        <v>7.8</v>
      </c>
      <c r="B2365" s="1">
        <v>154.0</v>
      </c>
    </row>
    <row r="2366" ht="14.25" customHeight="1">
      <c r="A2366" s="1">
        <v>8.1</v>
      </c>
      <c r="B2366" s="1">
        <v>114.0</v>
      </c>
    </row>
    <row r="2367" ht="14.25" customHeight="1">
      <c r="A2367" s="1">
        <v>6.1</v>
      </c>
      <c r="B2367" s="1">
        <v>109.0</v>
      </c>
    </row>
    <row r="2368" ht="14.25" customHeight="1">
      <c r="A2368" s="1">
        <v>6.2</v>
      </c>
      <c r="B2368" s="1">
        <v>94.0</v>
      </c>
    </row>
    <row r="2369" ht="14.25" customHeight="1">
      <c r="A2369" s="1">
        <v>6.2</v>
      </c>
      <c r="B2369" s="1">
        <v>100.0</v>
      </c>
    </row>
    <row r="2370" ht="14.25" customHeight="1">
      <c r="A2370" s="1">
        <v>7.9</v>
      </c>
      <c r="B2370" s="1">
        <v>101.0</v>
      </c>
    </row>
    <row r="2371" ht="14.25" customHeight="1">
      <c r="A2371" s="1">
        <v>7.4</v>
      </c>
      <c r="B2371" s="1">
        <v>98.0</v>
      </c>
    </row>
    <row r="2372" ht="14.25" customHeight="1">
      <c r="A2372" s="1">
        <v>6.6</v>
      </c>
      <c r="B2372" s="1">
        <v>102.0</v>
      </c>
    </row>
    <row r="2373" ht="14.25" customHeight="1">
      <c r="A2373" s="1">
        <v>7.3</v>
      </c>
      <c r="B2373" s="1">
        <v>94.0</v>
      </c>
    </row>
    <row r="2374" ht="14.25" customHeight="1">
      <c r="A2374" s="1">
        <v>7.5</v>
      </c>
      <c r="B2374" s="1">
        <v>92.0</v>
      </c>
    </row>
    <row r="2375" ht="14.25" customHeight="1">
      <c r="A2375" s="1">
        <v>5.6</v>
      </c>
      <c r="B2375" s="1">
        <v>113.0</v>
      </c>
    </row>
    <row r="2376" ht="14.25" customHeight="1">
      <c r="A2376" s="1">
        <v>7.3</v>
      </c>
      <c r="B2376" s="1">
        <v>115.0</v>
      </c>
    </row>
    <row r="2377" ht="14.25" customHeight="1">
      <c r="A2377" s="1">
        <v>6.4</v>
      </c>
      <c r="B2377" s="1">
        <v>95.0</v>
      </c>
    </row>
    <row r="2378" ht="14.25" customHeight="1">
      <c r="A2378" s="1">
        <v>5.0</v>
      </c>
      <c r="B2378" s="1">
        <v>87.0</v>
      </c>
    </row>
    <row r="2379" ht="14.25" customHeight="1">
      <c r="A2379" s="1">
        <v>5.4</v>
      </c>
      <c r="B2379" s="1">
        <v>88.0</v>
      </c>
    </row>
    <row r="2380" ht="14.25" customHeight="1">
      <c r="A2380" s="1">
        <v>7.1</v>
      </c>
      <c r="B2380" s="1">
        <v>97.0</v>
      </c>
    </row>
    <row r="2381" ht="14.25" customHeight="1">
      <c r="A2381" s="1">
        <v>5.3</v>
      </c>
      <c r="B2381" s="1">
        <v>94.0</v>
      </c>
    </row>
    <row r="2382" ht="14.25" customHeight="1">
      <c r="A2382" s="1">
        <v>6.5</v>
      </c>
      <c r="B2382" s="1">
        <v>112.0</v>
      </c>
    </row>
    <row r="2383" ht="14.25" customHeight="1">
      <c r="A2383" s="1">
        <v>6.2</v>
      </c>
      <c r="B2383" s="1">
        <v>98.0</v>
      </c>
    </row>
    <row r="2384" ht="14.25" customHeight="1">
      <c r="A2384" s="1">
        <v>6.4</v>
      </c>
      <c r="B2384" s="1">
        <v>104.0</v>
      </c>
    </row>
    <row r="2385" ht="14.25" customHeight="1">
      <c r="A2385" s="1">
        <v>6.9</v>
      </c>
      <c r="B2385" s="1">
        <v>120.0</v>
      </c>
    </row>
    <row r="2386" ht="14.25" customHeight="1">
      <c r="A2386" s="1">
        <v>5.7</v>
      </c>
      <c r="B2386" s="1">
        <v>99.0</v>
      </c>
    </row>
    <row r="2387" ht="14.25" customHeight="1">
      <c r="A2387" s="1">
        <v>7.7</v>
      </c>
      <c r="B2387" s="1">
        <v>109.0</v>
      </c>
    </row>
    <row r="2388" ht="14.25" customHeight="1">
      <c r="A2388" s="1">
        <v>5.4</v>
      </c>
      <c r="B2388" s="1">
        <v>105.0</v>
      </c>
    </row>
    <row r="2389" ht="14.25" customHeight="1">
      <c r="A2389" s="1">
        <v>5.6</v>
      </c>
      <c r="B2389" s="1">
        <v>106.0</v>
      </c>
    </row>
    <row r="2390" ht="14.25" customHeight="1">
      <c r="A2390" s="1">
        <v>7.7</v>
      </c>
      <c r="B2390" s="1">
        <v>123.0</v>
      </c>
    </row>
    <row r="2391" ht="14.25" customHeight="1">
      <c r="A2391" s="1">
        <v>5.1</v>
      </c>
      <c r="B2391" s="1">
        <v>86.0</v>
      </c>
    </row>
    <row r="2392" ht="14.25" customHeight="1">
      <c r="A2392" s="1">
        <v>6.8</v>
      </c>
      <c r="B2392" s="1">
        <v>120.0</v>
      </c>
    </row>
    <row r="2393" ht="14.25" customHeight="1">
      <c r="A2393" s="1">
        <v>8.4</v>
      </c>
      <c r="B2393" s="1">
        <v>227.0</v>
      </c>
    </row>
    <row r="2394" ht="14.25" customHeight="1">
      <c r="A2394" s="1">
        <v>4.9</v>
      </c>
      <c r="B2394" s="1">
        <v>119.0</v>
      </c>
    </row>
    <row r="2395" ht="14.25" customHeight="1">
      <c r="A2395" s="1">
        <v>7.1</v>
      </c>
      <c r="B2395" s="1">
        <v>115.0</v>
      </c>
    </row>
    <row r="2396" ht="14.25" customHeight="1">
      <c r="A2396" s="1">
        <v>6.6</v>
      </c>
      <c r="B2396" s="1">
        <v>114.0</v>
      </c>
    </row>
    <row r="2397" ht="14.25" customHeight="1">
      <c r="A2397" s="1">
        <v>6.1</v>
      </c>
      <c r="B2397" s="1">
        <v>90.0</v>
      </c>
    </row>
    <row r="2398" ht="14.25" customHeight="1">
      <c r="A2398" s="1">
        <v>4.1</v>
      </c>
      <c r="B2398" s="1">
        <v>94.0</v>
      </c>
    </row>
    <row r="2399" ht="14.25" customHeight="1">
      <c r="A2399" s="1">
        <v>5.8</v>
      </c>
      <c r="B2399" s="1">
        <v>106.0</v>
      </c>
    </row>
    <row r="2400" ht="14.25" customHeight="1">
      <c r="A2400" s="1">
        <v>8.1</v>
      </c>
      <c r="B2400" s="1">
        <v>98.0</v>
      </c>
    </row>
    <row r="2401" ht="14.25" customHeight="1">
      <c r="A2401" s="1">
        <v>7.6</v>
      </c>
      <c r="B2401" s="1">
        <v>126.0</v>
      </c>
    </row>
    <row r="2402" ht="14.25" customHeight="1">
      <c r="A2402" s="1">
        <v>7.8</v>
      </c>
      <c r="B2402" s="1">
        <v>100.0</v>
      </c>
    </row>
    <row r="2403" ht="14.25" customHeight="1">
      <c r="A2403" s="1">
        <v>4.6</v>
      </c>
      <c r="B2403" s="1">
        <v>89.0</v>
      </c>
    </row>
    <row r="2404" ht="14.25" customHeight="1">
      <c r="A2404" s="1">
        <v>6.0</v>
      </c>
      <c r="B2404" s="1">
        <v>111.0</v>
      </c>
    </row>
    <row r="2405" ht="14.25" customHeight="1">
      <c r="A2405" s="1">
        <v>7.0</v>
      </c>
      <c r="B2405" s="1">
        <v>100.0</v>
      </c>
    </row>
    <row r="2406" ht="14.25" customHeight="1">
      <c r="A2406" s="1">
        <v>6.7</v>
      </c>
      <c r="B2406" s="1">
        <v>115.0</v>
      </c>
    </row>
    <row r="2407" ht="14.25" customHeight="1">
      <c r="A2407" s="1">
        <v>6.4</v>
      </c>
      <c r="B2407" s="1">
        <v>106.0</v>
      </c>
    </row>
    <row r="2408" ht="14.25" customHeight="1">
      <c r="A2408" s="1">
        <v>7.2</v>
      </c>
      <c r="B2408" s="1">
        <v>124.0</v>
      </c>
    </row>
    <row r="2409" ht="14.25" customHeight="1">
      <c r="A2409" s="1">
        <v>7.4</v>
      </c>
      <c r="B2409" s="1">
        <v>107.0</v>
      </c>
    </row>
    <row r="2410" ht="14.25" customHeight="1">
      <c r="A2410" s="1">
        <v>4.8</v>
      </c>
      <c r="B2410" s="1">
        <v>99.0</v>
      </c>
    </row>
    <row r="2411" ht="14.25" customHeight="1">
      <c r="A2411" s="1">
        <v>4.0</v>
      </c>
      <c r="B2411" s="1">
        <v>90.0</v>
      </c>
    </row>
    <row r="2412" ht="14.25" customHeight="1">
      <c r="A2412" s="1">
        <v>6.2</v>
      </c>
      <c r="B2412" s="1">
        <v>101.0</v>
      </c>
    </row>
    <row r="2413" ht="14.25" customHeight="1">
      <c r="A2413" s="1">
        <v>7.7</v>
      </c>
      <c r="B2413" s="1">
        <v>119.0</v>
      </c>
    </row>
    <row r="2414" ht="14.25" customHeight="1">
      <c r="A2414" s="1">
        <v>6.7</v>
      </c>
      <c r="B2414" s="1">
        <v>103.0</v>
      </c>
    </row>
    <row r="2415" ht="14.25" customHeight="1">
      <c r="A2415" s="1">
        <v>7.9</v>
      </c>
      <c r="B2415" s="1">
        <v>134.0</v>
      </c>
    </row>
    <row r="2416" ht="14.25" customHeight="1">
      <c r="A2416" s="1">
        <v>7.9</v>
      </c>
      <c r="B2416" s="1">
        <v>155.0</v>
      </c>
    </row>
    <row r="2417" ht="14.25" customHeight="1">
      <c r="A2417" s="1">
        <v>5.5</v>
      </c>
      <c r="B2417" s="1">
        <v>94.0</v>
      </c>
    </row>
    <row r="2418" ht="14.25" customHeight="1">
      <c r="A2418" s="1">
        <v>6.2</v>
      </c>
      <c r="B2418" s="1">
        <v>95.0</v>
      </c>
    </row>
    <row r="2419" ht="14.25" customHeight="1">
      <c r="A2419" s="1">
        <v>5.1</v>
      </c>
      <c r="B2419" s="1">
        <v>89.0</v>
      </c>
    </row>
    <row r="2420" ht="14.25" customHeight="1">
      <c r="A2420" s="1">
        <v>4.1</v>
      </c>
      <c r="B2420" s="1">
        <v>97.0</v>
      </c>
    </row>
    <row r="2421" ht="14.25" customHeight="1">
      <c r="A2421" s="1">
        <v>6.7</v>
      </c>
      <c r="B2421" s="1">
        <v>90.0</v>
      </c>
    </row>
    <row r="2422" ht="14.25" customHeight="1">
      <c r="A2422" s="1">
        <v>4.7</v>
      </c>
      <c r="B2422" s="1">
        <v>92.0</v>
      </c>
    </row>
    <row r="2423" ht="14.25" customHeight="1">
      <c r="A2423" s="1">
        <v>6.4</v>
      </c>
      <c r="B2423" s="1">
        <v>100.0</v>
      </c>
    </row>
    <row r="2424" ht="14.25" customHeight="1">
      <c r="A2424" s="1">
        <v>6.3</v>
      </c>
      <c r="B2424" s="1">
        <v>117.0</v>
      </c>
    </row>
    <row r="2425" ht="14.25" customHeight="1">
      <c r="A2425" s="1">
        <v>5.5</v>
      </c>
      <c r="B2425" s="1">
        <v>84.0</v>
      </c>
    </row>
    <row r="2426" ht="14.25" customHeight="1">
      <c r="A2426" s="1">
        <v>7.3</v>
      </c>
      <c r="B2426" s="1">
        <v>140.0</v>
      </c>
    </row>
    <row r="2427" ht="14.25" customHeight="1">
      <c r="A2427" s="1">
        <v>6.3</v>
      </c>
      <c r="B2427" s="1">
        <v>108.0</v>
      </c>
    </row>
    <row r="2428" ht="14.25" customHeight="1">
      <c r="A2428" s="1">
        <v>4.9</v>
      </c>
      <c r="B2428" s="1">
        <v>109.0</v>
      </c>
    </row>
    <row r="2429" ht="14.25" customHeight="1">
      <c r="A2429" s="1">
        <v>7.6</v>
      </c>
      <c r="B2429" s="1">
        <v>131.0</v>
      </c>
    </row>
    <row r="2430" ht="14.25" customHeight="1">
      <c r="A2430" s="1">
        <v>6.0</v>
      </c>
      <c r="B2430" s="1">
        <v>114.0</v>
      </c>
    </row>
    <row r="2431" ht="14.25" customHeight="1">
      <c r="A2431" s="1">
        <v>6.2</v>
      </c>
      <c r="B2431" s="1">
        <v>97.0</v>
      </c>
    </row>
    <row r="2432" ht="14.25" customHeight="1">
      <c r="A2432" s="1">
        <v>6.8</v>
      </c>
      <c r="B2432" s="1">
        <v>122.0</v>
      </c>
    </row>
    <row r="2433" ht="14.25" customHeight="1">
      <c r="A2433" s="1">
        <v>4.5</v>
      </c>
      <c r="B2433" s="1">
        <v>87.0</v>
      </c>
    </row>
    <row r="2434" ht="14.25" customHeight="1">
      <c r="A2434" s="1">
        <v>5.7</v>
      </c>
      <c r="B2434" s="1">
        <v>85.0</v>
      </c>
    </row>
    <row r="2435" ht="14.25" customHeight="1">
      <c r="A2435" s="1">
        <v>4.6</v>
      </c>
      <c r="B2435" s="1">
        <v>101.0</v>
      </c>
    </row>
    <row r="2436" ht="14.25" customHeight="1">
      <c r="A2436" s="1">
        <v>6.2</v>
      </c>
      <c r="B2436" s="1">
        <v>121.0</v>
      </c>
    </row>
    <row r="2437" ht="14.25" customHeight="1">
      <c r="A2437" s="1">
        <v>7.0</v>
      </c>
      <c r="B2437" s="1">
        <v>107.0</v>
      </c>
    </row>
    <row r="2438" ht="14.25" customHeight="1">
      <c r="A2438" s="1">
        <v>6.9</v>
      </c>
      <c r="B2438" s="1">
        <v>111.0</v>
      </c>
    </row>
    <row r="2439" ht="14.25" customHeight="1">
      <c r="A2439" s="1">
        <v>6.7</v>
      </c>
      <c r="B2439" s="1">
        <v>97.0</v>
      </c>
    </row>
    <row r="2440" ht="14.25" customHeight="1">
      <c r="A2440" s="1">
        <v>5.6</v>
      </c>
      <c r="B2440" s="1">
        <v>97.0</v>
      </c>
    </row>
    <row r="2441" ht="14.25" customHeight="1">
      <c r="A2441" s="1">
        <v>6.6</v>
      </c>
      <c r="B2441" s="1">
        <v>125.0</v>
      </c>
    </row>
    <row r="2442" ht="14.25" customHeight="1">
      <c r="A2442" s="1">
        <v>6.4</v>
      </c>
      <c r="B2442" s="1">
        <v>124.0</v>
      </c>
    </row>
    <row r="2443" ht="14.25" customHeight="1">
      <c r="A2443" s="1">
        <v>2.8</v>
      </c>
      <c r="B2443" s="1">
        <v>76.0</v>
      </c>
    </row>
    <row r="2444" ht="14.25" customHeight="1">
      <c r="A2444" s="1">
        <v>5.4</v>
      </c>
      <c r="B2444" s="1">
        <v>107.0</v>
      </c>
    </row>
    <row r="2445" ht="14.25" customHeight="1">
      <c r="A2445" s="1">
        <v>5.0</v>
      </c>
      <c r="B2445" s="1">
        <v>91.0</v>
      </c>
    </row>
    <row r="2446" ht="14.25" customHeight="1">
      <c r="A2446" s="1">
        <v>5.1</v>
      </c>
      <c r="B2446" s="1">
        <v>96.0</v>
      </c>
    </row>
    <row r="2447" ht="14.25" customHeight="1">
      <c r="A2447" s="1">
        <v>8.0</v>
      </c>
      <c r="B2447" s="1">
        <v>142.0</v>
      </c>
    </row>
    <row r="2448" ht="14.25" customHeight="1">
      <c r="A2448" s="1">
        <v>5.9</v>
      </c>
      <c r="B2448" s="1">
        <v>103.0</v>
      </c>
    </row>
    <row r="2449" ht="14.25" customHeight="1">
      <c r="A2449" s="1">
        <v>8.2</v>
      </c>
      <c r="B2449" s="1">
        <v>117.0</v>
      </c>
    </row>
    <row r="2450" ht="14.25" customHeight="1">
      <c r="A2450" s="1">
        <v>7.0</v>
      </c>
      <c r="B2450" s="1">
        <v>116.0</v>
      </c>
    </row>
    <row r="2451" ht="14.25" customHeight="1">
      <c r="A2451" s="1">
        <v>6.6</v>
      </c>
      <c r="B2451" s="1">
        <v>118.0</v>
      </c>
    </row>
    <row r="2452" ht="14.25" customHeight="1">
      <c r="A2452" s="1">
        <v>6.7</v>
      </c>
      <c r="B2452" s="1">
        <v>108.0</v>
      </c>
    </row>
    <row r="2453" ht="14.25" customHeight="1">
      <c r="A2453" s="1">
        <v>5.5</v>
      </c>
      <c r="B2453" s="1">
        <v>94.0</v>
      </c>
    </row>
    <row r="2454" ht="14.25" customHeight="1">
      <c r="A2454" s="1">
        <v>4.9</v>
      </c>
      <c r="B2454" s="1">
        <v>97.0</v>
      </c>
    </row>
    <row r="2455" ht="14.25" customHeight="1">
      <c r="A2455" s="1">
        <v>6.9</v>
      </c>
      <c r="B2455" s="1">
        <v>97.0</v>
      </c>
    </row>
    <row r="2456" ht="14.25" customHeight="1">
      <c r="A2456" s="1">
        <v>5.6</v>
      </c>
      <c r="B2456" s="1">
        <v>91.0</v>
      </c>
    </row>
    <row r="2457" ht="14.25" customHeight="1">
      <c r="A2457" s="1">
        <v>8.0</v>
      </c>
      <c r="B2457" s="1">
        <v>107.0</v>
      </c>
    </row>
    <row r="2458" ht="14.25" customHeight="1">
      <c r="A2458" s="1">
        <v>5.3</v>
      </c>
      <c r="B2458" s="1">
        <v>95.0</v>
      </c>
    </row>
    <row r="2459" ht="14.25" customHeight="1">
      <c r="A2459" s="1">
        <v>6.2</v>
      </c>
      <c r="B2459" s="1">
        <v>102.0</v>
      </c>
    </row>
    <row r="2460" ht="14.25" customHeight="1">
      <c r="A2460" s="1">
        <v>5.3</v>
      </c>
      <c r="B2460" s="1">
        <v>88.0</v>
      </c>
    </row>
    <row r="2461" ht="14.25" customHeight="1">
      <c r="A2461" s="1">
        <v>6.6</v>
      </c>
      <c r="B2461" s="1">
        <v>106.0</v>
      </c>
    </row>
    <row r="2462" ht="14.25" customHeight="1">
      <c r="A2462" s="1">
        <v>7.2</v>
      </c>
      <c r="B2462" s="1">
        <v>92.0</v>
      </c>
    </row>
    <row r="2463" ht="14.25" customHeight="1">
      <c r="A2463" s="1">
        <v>4.6</v>
      </c>
      <c r="B2463" s="1">
        <v>105.0</v>
      </c>
    </row>
    <row r="2464" ht="14.25" customHeight="1">
      <c r="A2464" s="1">
        <v>7.5</v>
      </c>
      <c r="B2464" s="1">
        <v>107.0</v>
      </c>
    </row>
    <row r="2465" ht="14.25" customHeight="1">
      <c r="A2465" s="1">
        <v>6.5</v>
      </c>
      <c r="B2465" s="1">
        <v>120.0</v>
      </c>
    </row>
    <row r="2466" ht="14.25" customHeight="1">
      <c r="A2466" s="1">
        <v>7.6</v>
      </c>
      <c r="B2466" s="1">
        <v>103.0</v>
      </c>
    </row>
    <row r="2467" ht="14.25" customHeight="1">
      <c r="A2467" s="1">
        <v>6.2</v>
      </c>
      <c r="B2467" s="1">
        <v>92.0</v>
      </c>
    </row>
    <row r="2468" ht="14.25" customHeight="1">
      <c r="A2468" s="1">
        <v>8.0</v>
      </c>
      <c r="B2468" s="1">
        <v>147.0</v>
      </c>
    </row>
    <row r="2469" ht="14.25" customHeight="1">
      <c r="A2469" s="1">
        <v>6.3</v>
      </c>
      <c r="B2469" s="1">
        <v>98.0</v>
      </c>
    </row>
    <row r="2470" ht="14.25" customHeight="1">
      <c r="A2470" s="1">
        <v>7.2</v>
      </c>
      <c r="B2470" s="1">
        <v>103.0</v>
      </c>
    </row>
    <row r="2471" ht="14.25" customHeight="1">
      <c r="A2471" s="1">
        <v>6.7</v>
      </c>
      <c r="B2471" s="1">
        <v>111.0</v>
      </c>
    </row>
    <row r="2472" ht="14.25" customHeight="1">
      <c r="A2472" s="1">
        <v>5.3</v>
      </c>
      <c r="B2472" s="1">
        <v>98.0</v>
      </c>
    </row>
    <row r="2473" ht="14.25" customHeight="1">
      <c r="A2473" s="1">
        <v>6.3</v>
      </c>
      <c r="B2473" s="1">
        <v>111.0</v>
      </c>
    </row>
    <row r="2474" ht="14.25" customHeight="1">
      <c r="A2474" s="1">
        <v>6.5</v>
      </c>
      <c r="B2474" s="1">
        <v>111.0</v>
      </c>
    </row>
    <row r="2475" ht="14.25" customHeight="1">
      <c r="A2475" s="1">
        <v>8.3</v>
      </c>
      <c r="B2475" s="1">
        <v>145.0</v>
      </c>
    </row>
    <row r="2476" ht="14.25" customHeight="1">
      <c r="A2476" s="1">
        <v>7.2</v>
      </c>
      <c r="B2476" s="1">
        <v>84.0</v>
      </c>
    </row>
    <row r="2477" ht="14.25" customHeight="1">
      <c r="A2477" s="1">
        <v>6.8</v>
      </c>
      <c r="B2477" s="1">
        <v>115.0</v>
      </c>
    </row>
    <row r="2478" ht="14.25" customHeight="1">
      <c r="A2478" s="1">
        <v>6.4</v>
      </c>
      <c r="B2478" s="1">
        <v>105.0</v>
      </c>
    </row>
    <row r="2479" ht="14.25" customHeight="1">
      <c r="A2479" s="1">
        <v>6.9</v>
      </c>
      <c r="B2479" s="1">
        <v>98.0</v>
      </c>
    </row>
    <row r="2480" ht="14.25" customHeight="1">
      <c r="A2480" s="1">
        <v>6.2</v>
      </c>
      <c r="B2480" s="1">
        <v>110.0</v>
      </c>
    </row>
    <row r="2481" ht="14.25" customHeight="1">
      <c r="A2481" s="1">
        <v>6.1</v>
      </c>
      <c r="B2481" s="1">
        <v>103.0</v>
      </c>
    </row>
    <row r="2482" ht="14.25" customHeight="1">
      <c r="A2482" s="1">
        <v>5.1</v>
      </c>
      <c r="B2482" s="1">
        <v>90.0</v>
      </c>
    </row>
    <row r="2483" ht="14.25" customHeight="1">
      <c r="A2483" s="1">
        <v>4.5</v>
      </c>
      <c r="B2483" s="1">
        <v>105.0</v>
      </c>
    </row>
    <row r="2484" ht="14.25" customHeight="1">
      <c r="A2484" s="1">
        <v>5.9</v>
      </c>
      <c r="B2484" s="1">
        <v>93.0</v>
      </c>
    </row>
    <row r="2485" ht="14.25" customHeight="1">
      <c r="A2485" s="1">
        <v>8.1</v>
      </c>
      <c r="B2485" s="1">
        <v>101.0</v>
      </c>
    </row>
    <row r="2486" ht="14.25" customHeight="1">
      <c r="A2486" s="1">
        <v>5.7</v>
      </c>
      <c r="B2486" s="1">
        <v>115.0</v>
      </c>
    </row>
    <row r="2487" ht="14.25" customHeight="1">
      <c r="A2487" s="1">
        <v>6.8</v>
      </c>
      <c r="B2487" s="1">
        <v>120.0</v>
      </c>
    </row>
    <row r="2488" ht="14.25" customHeight="1">
      <c r="A2488" s="1">
        <v>7.5</v>
      </c>
      <c r="B2488" s="1">
        <v>111.0</v>
      </c>
    </row>
    <row r="2489" ht="14.25" customHeight="1">
      <c r="A2489" s="1">
        <v>8.3</v>
      </c>
      <c r="B2489" s="1">
        <v>131.0</v>
      </c>
    </row>
    <row r="2490" ht="14.25" customHeight="1">
      <c r="A2490" s="1">
        <v>7.4</v>
      </c>
      <c r="B2490" s="1">
        <v>139.0</v>
      </c>
    </row>
    <row r="2491" ht="14.25" customHeight="1">
      <c r="A2491" s="1">
        <v>8.0</v>
      </c>
      <c r="B2491" s="1">
        <v>120.0</v>
      </c>
    </row>
    <row r="2492" ht="14.25" customHeight="1">
      <c r="A2492" s="1">
        <v>6.9</v>
      </c>
      <c r="B2492" s="1">
        <v>119.0</v>
      </c>
    </row>
    <row r="2493" ht="14.25" customHeight="1">
      <c r="A2493" s="1">
        <v>6.9</v>
      </c>
      <c r="B2493" s="1">
        <v>125.0</v>
      </c>
    </row>
    <row r="2494" ht="14.25" customHeight="1">
      <c r="A2494" s="1">
        <v>5.5</v>
      </c>
      <c r="B2494" s="1">
        <v>108.0</v>
      </c>
    </row>
    <row r="2495" ht="14.25" customHeight="1">
      <c r="A2495" s="1">
        <v>7.2</v>
      </c>
      <c r="B2495" s="1">
        <v>145.0</v>
      </c>
    </row>
    <row r="2496" ht="14.25" customHeight="1">
      <c r="A2496" s="1">
        <v>6.9</v>
      </c>
      <c r="B2496" s="1">
        <v>98.0</v>
      </c>
    </row>
    <row r="2497" ht="14.25" customHeight="1">
      <c r="A2497" s="1">
        <v>5.5</v>
      </c>
      <c r="B2497" s="1">
        <v>101.0</v>
      </c>
    </row>
    <row r="2498" ht="14.25" customHeight="1">
      <c r="A2498" s="1">
        <v>5.9</v>
      </c>
      <c r="B2498" s="1">
        <v>92.0</v>
      </c>
    </row>
    <row r="2499" ht="14.25" customHeight="1">
      <c r="A2499" s="1">
        <v>5.2</v>
      </c>
      <c r="B2499" s="1">
        <v>109.0</v>
      </c>
    </row>
    <row r="2500" ht="14.25" customHeight="1">
      <c r="A2500" s="1">
        <v>7.1</v>
      </c>
      <c r="B2500" s="1">
        <v>123.0</v>
      </c>
    </row>
    <row r="2501" ht="14.25" customHeight="1">
      <c r="A2501" s="1">
        <v>5.5</v>
      </c>
      <c r="B2501" s="1">
        <v>99.0</v>
      </c>
    </row>
    <row r="2502" ht="14.25" customHeight="1">
      <c r="A2502" s="1">
        <v>7.7</v>
      </c>
      <c r="B2502" s="1">
        <v>119.0</v>
      </c>
    </row>
    <row r="2503" ht="14.25" customHeight="1">
      <c r="A2503" s="1">
        <v>6.7</v>
      </c>
      <c r="B2503" s="1">
        <v>107.0</v>
      </c>
    </row>
    <row r="2504" ht="14.25" customHeight="1">
      <c r="A2504" s="1">
        <v>5.0</v>
      </c>
      <c r="B2504" s="1">
        <v>81.0</v>
      </c>
    </row>
    <row r="2505" ht="14.25" customHeight="1">
      <c r="A2505" s="1">
        <v>6.4</v>
      </c>
      <c r="B2505" s="1">
        <v>105.0</v>
      </c>
    </row>
    <row r="2506" ht="14.25" customHeight="1">
      <c r="A2506" s="1">
        <v>6.6</v>
      </c>
      <c r="B2506" s="1">
        <v>82.0</v>
      </c>
    </row>
    <row r="2507" ht="14.25" customHeight="1">
      <c r="A2507" s="1">
        <v>5.9</v>
      </c>
      <c r="B2507" s="1">
        <v>109.0</v>
      </c>
    </row>
    <row r="2508" ht="14.25" customHeight="1">
      <c r="A2508" s="1">
        <v>5.7</v>
      </c>
      <c r="B2508" s="1">
        <v>95.0</v>
      </c>
    </row>
    <row r="2509" ht="14.25" customHeight="1">
      <c r="A2509" s="1">
        <v>4.5</v>
      </c>
      <c r="B2509" s="1">
        <v>100.0</v>
      </c>
    </row>
    <row r="2510" ht="14.25" customHeight="1">
      <c r="A2510" s="1">
        <v>5.0</v>
      </c>
      <c r="B2510" s="1">
        <v>91.0</v>
      </c>
    </row>
    <row r="2511" ht="14.25" customHeight="1">
      <c r="A2511" s="1">
        <v>4.6</v>
      </c>
      <c r="B2511" s="1">
        <v>90.0</v>
      </c>
    </row>
    <row r="2512" ht="14.25" customHeight="1">
      <c r="A2512" s="1">
        <v>6.5</v>
      </c>
      <c r="B2512" s="1">
        <v>108.0</v>
      </c>
    </row>
    <row r="2513" ht="14.25" customHeight="1">
      <c r="A2513" s="1">
        <v>4.9</v>
      </c>
      <c r="B2513" s="1">
        <v>103.0</v>
      </c>
    </row>
    <row r="2514" ht="14.25" customHeight="1">
      <c r="A2514" s="1">
        <v>6.0</v>
      </c>
      <c r="B2514" s="1">
        <v>96.0</v>
      </c>
    </row>
    <row r="2515" ht="14.25" customHeight="1">
      <c r="A2515" s="1">
        <v>6.9</v>
      </c>
      <c r="B2515" s="1">
        <v>117.0</v>
      </c>
    </row>
    <row r="2516" ht="14.25" customHeight="1">
      <c r="A2516" s="1">
        <v>5.7</v>
      </c>
      <c r="B2516" s="1">
        <v>93.0</v>
      </c>
    </row>
    <row r="2517" ht="14.25" customHeight="1">
      <c r="A2517" s="1">
        <v>6.9</v>
      </c>
      <c r="B2517" s="1">
        <v>115.0</v>
      </c>
    </row>
    <row r="2518" ht="14.25" customHeight="1">
      <c r="A2518" s="1">
        <v>4.4</v>
      </c>
      <c r="B2518" s="1">
        <v>85.0</v>
      </c>
    </row>
    <row r="2519" ht="14.25" customHeight="1">
      <c r="A2519" s="1">
        <v>5.4</v>
      </c>
      <c r="B2519" s="1">
        <v>88.0</v>
      </c>
    </row>
    <row r="2520" ht="14.25" customHeight="1">
      <c r="A2520" s="1">
        <v>7.0</v>
      </c>
      <c r="B2520" s="1">
        <v>112.0</v>
      </c>
    </row>
    <row r="2521" ht="14.25" customHeight="1">
      <c r="A2521" s="1">
        <v>5.4</v>
      </c>
      <c r="B2521" s="1">
        <v>86.0</v>
      </c>
    </row>
    <row r="2522" ht="14.25" customHeight="1">
      <c r="A2522" s="1">
        <v>5.4</v>
      </c>
      <c r="B2522" s="1">
        <v>86.0</v>
      </c>
    </row>
    <row r="2523" ht="14.25" customHeight="1">
      <c r="A2523" s="1">
        <v>7.6</v>
      </c>
      <c r="B2523" s="1">
        <v>137.0</v>
      </c>
    </row>
    <row r="2524" ht="14.25" customHeight="1">
      <c r="A2524" s="1">
        <v>5.9</v>
      </c>
      <c r="B2524" s="1">
        <v>90.0</v>
      </c>
    </row>
    <row r="2525" ht="14.25" customHeight="1">
      <c r="A2525" s="1">
        <v>6.6</v>
      </c>
      <c r="B2525" s="1">
        <v>107.0</v>
      </c>
    </row>
    <row r="2526" ht="14.25" customHeight="1">
      <c r="A2526" s="1">
        <v>6.7</v>
      </c>
      <c r="B2526" s="1">
        <v>98.0</v>
      </c>
    </row>
    <row r="2527" ht="14.25" customHeight="1">
      <c r="A2527" s="1">
        <v>3.9</v>
      </c>
      <c r="B2527" s="1">
        <v>84.0</v>
      </c>
    </row>
    <row r="2528" ht="14.25" customHeight="1">
      <c r="A2528" s="1">
        <v>5.7</v>
      </c>
      <c r="B2528" s="1">
        <v>139.0</v>
      </c>
    </row>
    <row r="2529" ht="14.25" customHeight="1">
      <c r="A2529" s="1">
        <v>6.5</v>
      </c>
      <c r="B2529" s="1">
        <v>127.0</v>
      </c>
    </row>
    <row r="2530" ht="14.25" customHeight="1">
      <c r="A2530" s="1">
        <v>6.8</v>
      </c>
      <c r="B2530" s="1">
        <v>150.0</v>
      </c>
    </row>
    <row r="2531" ht="14.25" customHeight="1">
      <c r="A2531" s="1">
        <v>7.3</v>
      </c>
      <c r="B2531" s="1">
        <v>132.0</v>
      </c>
    </row>
    <row r="2532" ht="14.25" customHeight="1">
      <c r="A2532" s="1">
        <v>7.0</v>
      </c>
      <c r="B2532" s="1">
        <v>115.0</v>
      </c>
    </row>
    <row r="2533" ht="14.25" customHeight="1">
      <c r="A2533" s="1">
        <v>6.5</v>
      </c>
      <c r="B2533" s="1">
        <v>186.0</v>
      </c>
    </row>
    <row r="2534" ht="14.25" customHeight="1">
      <c r="A2534" s="1">
        <v>7.7</v>
      </c>
      <c r="B2534" s="1">
        <v>90.0</v>
      </c>
    </row>
    <row r="2535" ht="14.25" customHeight="1">
      <c r="A2535" s="1">
        <v>7.7</v>
      </c>
      <c r="B2535" s="1">
        <v>134.0</v>
      </c>
    </row>
    <row r="2536" ht="14.25" customHeight="1">
      <c r="A2536" s="1">
        <v>5.9</v>
      </c>
      <c r="B2536" s="1">
        <v>101.0</v>
      </c>
    </row>
    <row r="2537" ht="14.25" customHeight="1">
      <c r="A2537" s="1">
        <v>6.8</v>
      </c>
      <c r="B2537" s="1">
        <v>97.0</v>
      </c>
    </row>
    <row r="2538" ht="14.25" customHeight="1">
      <c r="A2538" s="1">
        <v>7.4</v>
      </c>
      <c r="B2538" s="1">
        <v>107.0</v>
      </c>
    </row>
    <row r="2539" ht="14.25" customHeight="1">
      <c r="A2539" s="1">
        <v>5.1</v>
      </c>
      <c r="B2539" s="1">
        <v>99.0</v>
      </c>
    </row>
    <row r="2540" ht="14.25" customHeight="1">
      <c r="A2540" s="1">
        <v>7.4</v>
      </c>
      <c r="B2540" s="1">
        <v>124.0</v>
      </c>
    </row>
    <row r="2541" ht="14.25" customHeight="1">
      <c r="A2541" s="1">
        <v>7.2</v>
      </c>
      <c r="B2541" s="1">
        <v>110.0</v>
      </c>
    </row>
    <row r="2542" ht="14.25" customHeight="1">
      <c r="A2542" s="1">
        <v>8.3</v>
      </c>
      <c r="B2542" s="1">
        <v>178.0</v>
      </c>
    </row>
    <row r="2543" ht="14.25" customHeight="1">
      <c r="A2543" s="1">
        <v>8.1</v>
      </c>
      <c r="B2543" s="1">
        <v>125.0</v>
      </c>
    </row>
    <row r="2544" ht="14.25" customHeight="1">
      <c r="A2544" s="1">
        <v>7.3</v>
      </c>
      <c r="B2544" s="1">
        <v>121.0</v>
      </c>
    </row>
    <row r="2545" ht="14.25" customHeight="1">
      <c r="A2545" s="1">
        <v>3.6</v>
      </c>
      <c r="B2545" s="1">
        <v>100.0</v>
      </c>
    </row>
    <row r="2546" ht="14.25" customHeight="1">
      <c r="A2546" s="1">
        <v>1.6</v>
      </c>
      <c r="B2546" s="1">
        <v>115.0</v>
      </c>
    </row>
    <row r="2547" ht="14.25" customHeight="1">
      <c r="A2547" s="1">
        <v>8.0</v>
      </c>
      <c r="B2547" s="1">
        <v>108.0</v>
      </c>
    </row>
    <row r="2548" ht="14.25" customHeight="1">
      <c r="A2548" s="1">
        <v>6.2</v>
      </c>
      <c r="B2548" s="1">
        <v>117.0</v>
      </c>
    </row>
    <row r="2549" ht="14.25" customHeight="1">
      <c r="A2549" s="1">
        <v>9.0</v>
      </c>
      <c r="B2549" s="1">
        <v>220.0</v>
      </c>
    </row>
    <row r="2550" ht="14.25" customHeight="1">
      <c r="A2550" s="1">
        <v>6.1</v>
      </c>
      <c r="B2550" s="1">
        <v>112.0</v>
      </c>
    </row>
    <row r="2551" ht="14.25" customHeight="1">
      <c r="A2551" s="1">
        <v>5.7</v>
      </c>
      <c r="B2551" s="1">
        <v>99.0</v>
      </c>
    </row>
    <row r="2552" ht="14.25" customHeight="1">
      <c r="A2552" s="1">
        <v>6.8</v>
      </c>
      <c r="B2552" s="1">
        <v>109.0</v>
      </c>
    </row>
    <row r="2553" ht="14.25" customHeight="1">
      <c r="A2553" s="1">
        <v>5.5</v>
      </c>
      <c r="B2553" s="1">
        <v>83.0</v>
      </c>
    </row>
    <row r="2554" ht="14.25" customHeight="1">
      <c r="A2554" s="1">
        <v>6.8</v>
      </c>
      <c r="B2554" s="1">
        <v>107.0</v>
      </c>
    </row>
    <row r="2555" ht="14.25" customHeight="1">
      <c r="A2555" s="1">
        <v>7.3</v>
      </c>
      <c r="B2555" s="1">
        <v>102.0</v>
      </c>
    </row>
    <row r="2556" ht="14.25" customHeight="1">
      <c r="A2556" s="1">
        <v>6.1</v>
      </c>
      <c r="B2556" s="1">
        <v>100.0</v>
      </c>
    </row>
    <row r="2557" ht="14.25" customHeight="1">
      <c r="A2557" s="1">
        <v>7.2</v>
      </c>
      <c r="B2557" s="1">
        <v>97.0</v>
      </c>
    </row>
    <row r="2558" ht="14.25" customHeight="1">
      <c r="A2558" s="1">
        <v>5.9</v>
      </c>
      <c r="B2558" s="1">
        <v>92.0</v>
      </c>
    </row>
    <row r="2559" ht="14.25" customHeight="1">
      <c r="A2559" s="1">
        <v>6.1</v>
      </c>
      <c r="B2559" s="1">
        <v>84.0</v>
      </c>
    </row>
    <row r="2560" ht="14.25" customHeight="1">
      <c r="A2560" s="1">
        <v>6.8</v>
      </c>
      <c r="B2560" s="1">
        <v>86.0</v>
      </c>
    </row>
    <row r="2561" ht="14.25" customHeight="1">
      <c r="A2561" s="1">
        <v>7.7</v>
      </c>
      <c r="B2561" s="1">
        <v>120.0</v>
      </c>
    </row>
    <row r="2562" ht="14.25" customHeight="1">
      <c r="A2562" s="1">
        <v>4.9</v>
      </c>
      <c r="B2562" s="1">
        <v>89.0</v>
      </c>
    </row>
    <row r="2563" ht="14.25" customHeight="1">
      <c r="A2563" s="1">
        <v>6.1</v>
      </c>
      <c r="B2563" s="1">
        <v>117.0</v>
      </c>
    </row>
    <row r="2564" ht="14.25" customHeight="1">
      <c r="A2564" s="1">
        <v>2.5</v>
      </c>
      <c r="B2564" s="1">
        <v>97.0</v>
      </c>
    </row>
    <row r="2565" ht="14.25" customHeight="1">
      <c r="A2565" s="1">
        <v>6.1</v>
      </c>
      <c r="B2565" s="1">
        <v>91.0</v>
      </c>
    </row>
    <row r="2566" ht="14.25" customHeight="1">
      <c r="A2566" s="1">
        <v>5.9</v>
      </c>
      <c r="B2566" s="1">
        <v>100.0</v>
      </c>
    </row>
    <row r="2567" ht="14.25" customHeight="1">
      <c r="A2567" s="1">
        <v>5.7</v>
      </c>
      <c r="B2567" s="1">
        <v>72.0</v>
      </c>
    </row>
    <row r="2568" ht="14.25" customHeight="1">
      <c r="A2568" s="1">
        <v>5.6</v>
      </c>
      <c r="B2568" s="1">
        <v>84.0</v>
      </c>
    </row>
    <row r="2569" ht="14.25" customHeight="1">
      <c r="A2569" s="1">
        <v>7.2</v>
      </c>
      <c r="B2569" s="1">
        <v>126.0</v>
      </c>
    </row>
    <row r="2570" ht="14.25" customHeight="1">
      <c r="A2570" s="1">
        <v>7.7</v>
      </c>
      <c r="B2570" s="1">
        <v>108.0</v>
      </c>
    </row>
    <row r="2571" ht="14.25" customHeight="1">
      <c r="A2571" s="1">
        <v>7.8</v>
      </c>
      <c r="B2571" s="1">
        <v>112.0</v>
      </c>
    </row>
    <row r="2572" ht="14.25" customHeight="1">
      <c r="A2572" s="1">
        <v>6.1</v>
      </c>
      <c r="B2572" s="1">
        <v>90.0</v>
      </c>
    </row>
    <row r="2573" ht="14.25" customHeight="1">
      <c r="A2573" s="1">
        <v>5.8</v>
      </c>
      <c r="B2573" s="1">
        <v>91.0</v>
      </c>
    </row>
    <row r="2574" ht="14.25" customHeight="1">
      <c r="A2574" s="1">
        <v>6.5</v>
      </c>
      <c r="B2574" s="1">
        <v>135.0</v>
      </c>
    </row>
    <row r="2575" ht="14.25" customHeight="1">
      <c r="A2575" s="1">
        <v>7.9</v>
      </c>
      <c r="B2575" s="1">
        <v>141.0</v>
      </c>
    </row>
    <row r="2576" ht="14.25" customHeight="1">
      <c r="A2576" s="1">
        <v>6.3</v>
      </c>
      <c r="B2576" s="1">
        <v>104.0</v>
      </c>
    </row>
    <row r="2577" ht="14.25" customHeight="1">
      <c r="A2577" s="1">
        <v>8.3</v>
      </c>
      <c r="B2577" s="1">
        <v>118.0</v>
      </c>
    </row>
    <row r="2578" ht="14.25" customHeight="1">
      <c r="A2578" s="1">
        <v>6.4</v>
      </c>
      <c r="B2578" s="1">
        <v>82.0</v>
      </c>
    </row>
    <row r="2579" ht="14.25" customHeight="1">
      <c r="A2579" s="1">
        <v>6.7</v>
      </c>
      <c r="B2579" s="1">
        <v>95.0</v>
      </c>
    </row>
    <row r="2580" ht="14.25" customHeight="1">
      <c r="A2580" s="1">
        <v>6.1</v>
      </c>
      <c r="B2580" s="1">
        <v>94.0</v>
      </c>
    </row>
    <row r="2581" ht="14.25" customHeight="1">
      <c r="A2581" s="1">
        <v>6.0</v>
      </c>
      <c r="B2581" s="1">
        <v>99.0</v>
      </c>
    </row>
    <row r="2582" ht="14.25" customHeight="1">
      <c r="A2582" s="1">
        <v>5.8</v>
      </c>
      <c r="B2582" s="1">
        <v>121.0</v>
      </c>
    </row>
    <row r="2583" ht="14.25" customHeight="1">
      <c r="A2583" s="1">
        <v>5.6</v>
      </c>
      <c r="B2583" s="1">
        <v>84.0</v>
      </c>
    </row>
    <row r="2584" ht="14.25" customHeight="1">
      <c r="A2584" s="1">
        <v>6.1</v>
      </c>
      <c r="B2584" s="1">
        <v>93.0</v>
      </c>
    </row>
    <row r="2585" ht="14.25" customHeight="1">
      <c r="A2585" s="1">
        <v>5.9</v>
      </c>
      <c r="B2585" s="1">
        <v>93.0</v>
      </c>
    </row>
    <row r="2586" ht="14.25" customHeight="1">
      <c r="A2586" s="1">
        <v>7.3</v>
      </c>
      <c r="B2586" s="1">
        <v>120.0</v>
      </c>
    </row>
    <row r="2587" ht="14.25" customHeight="1">
      <c r="A2587" s="1">
        <v>6.8</v>
      </c>
      <c r="B2587" s="1">
        <v>112.0</v>
      </c>
    </row>
    <row r="2588" ht="14.25" customHeight="1">
      <c r="A2588" s="1">
        <v>5.7</v>
      </c>
      <c r="B2588" s="1">
        <v>107.0</v>
      </c>
    </row>
    <row r="2589" ht="14.25" customHeight="1">
      <c r="A2589" s="1">
        <v>7.3</v>
      </c>
      <c r="B2589" s="1">
        <v>112.0</v>
      </c>
    </row>
    <row r="2590" ht="14.25" customHeight="1">
      <c r="A2590" s="1">
        <v>6.3</v>
      </c>
      <c r="B2590" s="1">
        <v>96.0</v>
      </c>
    </row>
    <row r="2591" ht="14.25" customHeight="1">
      <c r="A2591" s="1">
        <v>5.9</v>
      </c>
      <c r="B2591" s="1">
        <v>91.0</v>
      </c>
    </row>
    <row r="2592" ht="14.25" customHeight="1">
      <c r="A2592" s="1">
        <v>7.1</v>
      </c>
      <c r="B2592" s="1">
        <v>105.0</v>
      </c>
    </row>
    <row r="2593" ht="14.25" customHeight="1">
      <c r="A2593" s="1">
        <v>7.1</v>
      </c>
      <c r="B2593" s="1">
        <v>125.0</v>
      </c>
    </row>
    <row r="2594" ht="14.25" customHeight="1">
      <c r="A2594" s="1">
        <v>8.0</v>
      </c>
      <c r="B2594" s="1">
        <v>102.0</v>
      </c>
    </row>
    <row r="2595" ht="14.25" customHeight="1">
      <c r="A2595" s="1">
        <v>5.1</v>
      </c>
      <c r="B2595" s="1">
        <v>87.0</v>
      </c>
    </row>
    <row r="2596" ht="14.25" customHeight="1">
      <c r="A2596" s="1">
        <v>7.1</v>
      </c>
      <c r="B2596" s="1">
        <v>118.0</v>
      </c>
    </row>
    <row r="2597" ht="14.25" customHeight="1">
      <c r="A2597" s="1">
        <v>6.5</v>
      </c>
      <c r="B2597" s="1">
        <v>115.0</v>
      </c>
    </row>
    <row r="2598" ht="14.25" customHeight="1">
      <c r="A2598" s="1">
        <v>4.5</v>
      </c>
      <c r="B2598" s="1">
        <v>91.0</v>
      </c>
    </row>
    <row r="2599" ht="14.25" customHeight="1">
      <c r="A2599" s="1">
        <v>6.6</v>
      </c>
      <c r="B2599" s="1">
        <v>88.0</v>
      </c>
    </row>
    <row r="2600" ht="14.25" customHeight="1">
      <c r="A2600" s="1">
        <v>4.3</v>
      </c>
      <c r="B2600" s="1">
        <v>127.0</v>
      </c>
    </row>
    <row r="2601" ht="14.25" customHeight="1">
      <c r="A2601" s="1">
        <v>6.7</v>
      </c>
      <c r="B2601" s="1">
        <v>94.0</v>
      </c>
    </row>
    <row r="2602" ht="14.25" customHeight="1">
      <c r="A2602" s="1">
        <v>5.4</v>
      </c>
      <c r="B2602" s="1">
        <v>90.0</v>
      </c>
    </row>
    <row r="2603" ht="14.25" customHeight="1">
      <c r="A2603" s="1">
        <v>6.6</v>
      </c>
      <c r="B2603" s="1">
        <v>102.0</v>
      </c>
    </row>
    <row r="2604" ht="14.25" customHeight="1">
      <c r="A2604" s="1">
        <v>7.3</v>
      </c>
      <c r="B2604" s="1">
        <v>117.0</v>
      </c>
    </row>
    <row r="2605" ht="14.25" customHeight="1">
      <c r="A2605" s="1">
        <v>6.9</v>
      </c>
      <c r="B2605" s="1">
        <v>109.0</v>
      </c>
    </row>
    <row r="2606" ht="14.25" customHeight="1">
      <c r="A2606" s="1">
        <v>8.0</v>
      </c>
      <c r="B2606" s="1">
        <v>121.0</v>
      </c>
    </row>
    <row r="2607" ht="14.25" customHeight="1">
      <c r="A2607" s="1">
        <v>7.8</v>
      </c>
      <c r="B2607" s="1">
        <v>100.0</v>
      </c>
    </row>
    <row r="2608" ht="14.25" customHeight="1">
      <c r="A2608" s="1">
        <v>6.1</v>
      </c>
      <c r="B2608" s="1">
        <v>109.0</v>
      </c>
    </row>
    <row r="2609" ht="14.25" customHeight="1">
      <c r="A2609" s="1">
        <v>5.1</v>
      </c>
      <c r="B2609" s="1">
        <v>101.0</v>
      </c>
    </row>
    <row r="2610" ht="14.25" customHeight="1">
      <c r="A2610" s="1">
        <v>7.4</v>
      </c>
      <c r="B2610" s="1">
        <v>106.0</v>
      </c>
    </row>
    <row r="2611" ht="14.25" customHeight="1">
      <c r="A2611" s="1">
        <v>7.8</v>
      </c>
      <c r="B2611" s="1">
        <v>94.0</v>
      </c>
    </row>
    <row r="2612" ht="14.25" customHeight="1">
      <c r="A2612" s="1">
        <v>8.0</v>
      </c>
      <c r="B2612" s="1">
        <v>140.0</v>
      </c>
    </row>
    <row r="2613" ht="14.25" customHeight="1">
      <c r="A2613" s="1">
        <v>6.7</v>
      </c>
      <c r="B2613" s="1">
        <v>132.0</v>
      </c>
    </row>
    <row r="2614" ht="14.25" customHeight="1">
      <c r="A2614" s="1">
        <v>6.6</v>
      </c>
      <c r="B2614" s="1">
        <v>99.0</v>
      </c>
    </row>
    <row r="2615" ht="14.25" customHeight="1">
      <c r="A2615" s="1">
        <v>6.4</v>
      </c>
      <c r="B2615" s="1">
        <v>90.0</v>
      </c>
    </row>
    <row r="2616" ht="14.25" customHeight="1">
      <c r="A2616" s="1">
        <v>6.7</v>
      </c>
      <c r="B2616" s="1">
        <v>105.0</v>
      </c>
    </row>
    <row r="2617" ht="14.25" customHeight="1">
      <c r="A2617" s="1">
        <v>6.2</v>
      </c>
      <c r="B2617" s="1">
        <v>108.0</v>
      </c>
    </row>
    <row r="2618" ht="14.25" customHeight="1">
      <c r="A2618" s="1">
        <v>7.3</v>
      </c>
      <c r="B2618" s="1">
        <v>69.0</v>
      </c>
    </row>
    <row r="2619" ht="14.25" customHeight="1">
      <c r="A2619" s="1">
        <v>8.1</v>
      </c>
      <c r="B2619" s="1">
        <v>148.0</v>
      </c>
    </row>
    <row r="2620" ht="14.25" customHeight="1">
      <c r="A2620" s="1">
        <v>7.0</v>
      </c>
      <c r="B2620" s="1">
        <v>118.0</v>
      </c>
    </row>
    <row r="2621" ht="14.25" customHeight="1">
      <c r="A2621" s="1">
        <v>8.0</v>
      </c>
      <c r="B2621" s="1">
        <v>132.0</v>
      </c>
    </row>
    <row r="2622" ht="14.25" customHeight="1">
      <c r="A2622" s="1">
        <v>8.0</v>
      </c>
      <c r="B2622" s="1">
        <v>130.0</v>
      </c>
    </row>
    <row r="2623" ht="14.25" customHeight="1">
      <c r="A2623" s="1">
        <v>7.0</v>
      </c>
      <c r="B2623" s="1">
        <v>95.0</v>
      </c>
    </row>
    <row r="2624" ht="14.25" customHeight="1">
      <c r="A2624" s="1">
        <v>7.9</v>
      </c>
      <c r="B2624" s="1">
        <v>80.0</v>
      </c>
    </row>
    <row r="2625" ht="14.25" customHeight="1">
      <c r="A2625" s="1">
        <v>5.9</v>
      </c>
      <c r="B2625" s="1">
        <v>94.0</v>
      </c>
    </row>
    <row r="2626" ht="14.25" customHeight="1">
      <c r="A2626" s="1">
        <v>6.6</v>
      </c>
      <c r="B2626" s="1">
        <v>122.0</v>
      </c>
    </row>
    <row r="2627" ht="14.25" customHeight="1">
      <c r="A2627" s="1">
        <v>6.3</v>
      </c>
      <c r="B2627" s="1">
        <v>102.0</v>
      </c>
    </row>
    <row r="2628" ht="14.25" customHeight="1">
      <c r="A2628" s="1">
        <v>7.7</v>
      </c>
      <c r="B2628" s="1">
        <v>116.0</v>
      </c>
    </row>
    <row r="2629" ht="14.25" customHeight="1">
      <c r="A2629" s="1">
        <v>6.9</v>
      </c>
      <c r="B2629" s="1">
        <v>78.0</v>
      </c>
    </row>
    <row r="2630" ht="14.25" customHeight="1">
      <c r="A2630" s="1">
        <v>7.1</v>
      </c>
      <c r="B2630" s="1">
        <v>114.0</v>
      </c>
    </row>
    <row r="2631" ht="14.25" customHeight="1">
      <c r="A2631" s="1">
        <v>7.4</v>
      </c>
      <c r="B2631" s="1">
        <v>112.0</v>
      </c>
    </row>
    <row r="2632" ht="14.25" customHeight="1">
      <c r="A2632" s="1">
        <v>6.5</v>
      </c>
      <c r="B2632" s="1">
        <v>110.0</v>
      </c>
    </row>
    <row r="2633" ht="14.25" customHeight="1">
      <c r="A2633" s="1">
        <v>6.5</v>
      </c>
      <c r="B2633" s="1">
        <v>104.0</v>
      </c>
    </row>
    <row r="2634" ht="14.25" customHeight="1">
      <c r="A2634" s="1">
        <v>6.8</v>
      </c>
      <c r="B2634" s="1">
        <v>81.0</v>
      </c>
    </row>
    <row r="2635" ht="14.25" customHeight="1">
      <c r="A2635" s="1">
        <v>7.5</v>
      </c>
      <c r="B2635" s="1">
        <v>154.0</v>
      </c>
    </row>
    <row r="2636" ht="14.25" customHeight="1">
      <c r="A2636" s="1">
        <v>6.6</v>
      </c>
      <c r="B2636" s="1">
        <v>102.0</v>
      </c>
    </row>
    <row r="2637" ht="14.25" customHeight="1">
      <c r="A2637" s="1">
        <v>7.1</v>
      </c>
      <c r="B2637" s="1">
        <v>89.0</v>
      </c>
    </row>
    <row r="2638" ht="14.25" customHeight="1">
      <c r="A2638" s="1">
        <v>6.6</v>
      </c>
      <c r="B2638" s="1">
        <v>132.0</v>
      </c>
    </row>
    <row r="2639" ht="14.25" customHeight="1">
      <c r="A2639" s="1">
        <v>7.0</v>
      </c>
      <c r="B2639" s="1">
        <v>103.0</v>
      </c>
    </row>
    <row r="2640" ht="14.25" customHeight="1">
      <c r="A2640" s="1">
        <v>3.3</v>
      </c>
      <c r="B2640" s="1">
        <v>93.0</v>
      </c>
    </row>
    <row r="2641" ht="14.25" customHeight="1">
      <c r="A2641" s="1">
        <v>6.7</v>
      </c>
      <c r="B2641" s="1">
        <v>93.0</v>
      </c>
    </row>
    <row r="2642" ht="14.25" customHeight="1">
      <c r="A2642" s="1">
        <v>6.8</v>
      </c>
      <c r="B2642" s="1">
        <v>96.0</v>
      </c>
    </row>
    <row r="2643" ht="14.25" customHeight="1">
      <c r="A2643" s="1">
        <v>6.0</v>
      </c>
      <c r="B2643" s="1">
        <v>89.0</v>
      </c>
    </row>
    <row r="2644" ht="14.25" customHeight="1">
      <c r="A2644" s="1">
        <v>5.4</v>
      </c>
      <c r="B2644" s="1">
        <v>92.0</v>
      </c>
    </row>
    <row r="2645" ht="14.25" customHeight="1">
      <c r="A2645" s="1">
        <v>4.3</v>
      </c>
      <c r="B2645" s="1">
        <v>97.0</v>
      </c>
    </row>
    <row r="2646" ht="14.25" customHeight="1">
      <c r="A2646" s="1">
        <v>6.2</v>
      </c>
      <c r="B2646" s="1">
        <v>93.0</v>
      </c>
    </row>
    <row r="2647" ht="14.25" customHeight="1">
      <c r="A2647" s="1">
        <v>7.7</v>
      </c>
      <c r="B2647" s="1">
        <v>89.0</v>
      </c>
    </row>
    <row r="2648" ht="14.25" customHeight="1">
      <c r="A2648" s="1">
        <v>8.0</v>
      </c>
      <c r="B2648" s="1">
        <v>144.0</v>
      </c>
    </row>
    <row r="2649" ht="14.25" customHeight="1">
      <c r="A2649" s="1">
        <v>7.4</v>
      </c>
      <c r="B2649" s="1">
        <v>123.0</v>
      </c>
    </row>
    <row r="2650" ht="14.25" customHeight="1">
      <c r="A2650" s="1">
        <v>5.9</v>
      </c>
      <c r="B2650" s="1">
        <v>93.0</v>
      </c>
    </row>
    <row r="2651" ht="14.25" customHeight="1">
      <c r="A2651" s="1">
        <v>7.8</v>
      </c>
      <c r="B2651" s="1">
        <v>133.0</v>
      </c>
    </row>
    <row r="2652" ht="14.25" customHeight="1">
      <c r="A2652" s="1">
        <v>7.4</v>
      </c>
      <c r="B2652" s="1">
        <v>121.0</v>
      </c>
    </row>
    <row r="2653" ht="14.25" customHeight="1">
      <c r="A2653" s="1">
        <v>6.5</v>
      </c>
      <c r="B2653" s="1">
        <v>102.0</v>
      </c>
    </row>
    <row r="2654" ht="14.25" customHeight="1">
      <c r="A2654" s="1">
        <v>7.0</v>
      </c>
      <c r="B2654" s="1">
        <v>99.0</v>
      </c>
    </row>
    <row r="2655" ht="14.25" customHeight="1">
      <c r="A2655" s="1">
        <v>7.6</v>
      </c>
      <c r="B2655" s="1">
        <v>98.0</v>
      </c>
    </row>
    <row r="2656" ht="14.25" customHeight="1">
      <c r="A2656" s="1">
        <v>6.9</v>
      </c>
      <c r="B2656" s="1">
        <v>118.0</v>
      </c>
    </row>
    <row r="2657" ht="14.25" customHeight="1">
      <c r="A2657" s="1">
        <v>5.3</v>
      </c>
      <c r="B2657" s="1">
        <v>104.0</v>
      </c>
    </row>
    <row r="2658" ht="14.25" customHeight="1">
      <c r="A2658" s="1">
        <v>6.4</v>
      </c>
      <c r="B2658" s="1">
        <v>109.0</v>
      </c>
    </row>
    <row r="2659" ht="14.25" customHeight="1">
      <c r="A2659" s="1">
        <v>7.8</v>
      </c>
      <c r="B2659" s="1">
        <v>115.0</v>
      </c>
    </row>
    <row r="2660" ht="14.25" customHeight="1">
      <c r="A2660" s="1">
        <v>6.7</v>
      </c>
      <c r="B2660" s="1">
        <v>92.0</v>
      </c>
    </row>
    <row r="2661" ht="14.25" customHeight="1">
      <c r="A2661" s="1">
        <v>5.3</v>
      </c>
      <c r="B2661" s="1">
        <v>91.0</v>
      </c>
    </row>
    <row r="2662" ht="14.25" customHeight="1">
      <c r="A2662" s="1">
        <v>6.3</v>
      </c>
      <c r="B2662" s="1">
        <v>94.0</v>
      </c>
    </row>
    <row r="2663" ht="14.25" customHeight="1">
      <c r="A2663" s="1">
        <v>7.0</v>
      </c>
      <c r="B2663" s="1">
        <v>93.0</v>
      </c>
    </row>
    <row r="2664" ht="14.25" customHeight="1">
      <c r="A2664" s="1">
        <v>6.6</v>
      </c>
      <c r="B2664" s="1">
        <v>100.0</v>
      </c>
    </row>
    <row r="2665" ht="14.25" customHeight="1">
      <c r="A2665" s="1">
        <v>8.4</v>
      </c>
      <c r="B2665" s="1">
        <v>293.0</v>
      </c>
    </row>
    <row r="2666" ht="14.25" customHeight="1">
      <c r="A2666" s="1">
        <v>6.0</v>
      </c>
      <c r="B2666" s="1">
        <v>137.0</v>
      </c>
    </row>
    <row r="2667" ht="14.25" customHeight="1">
      <c r="A2667" s="1">
        <v>5.4</v>
      </c>
      <c r="B2667" s="1">
        <v>93.0</v>
      </c>
    </row>
    <row r="2668" ht="14.25" customHeight="1">
      <c r="A2668" s="1">
        <v>7.8</v>
      </c>
      <c r="B2668" s="1">
        <v>123.0</v>
      </c>
    </row>
    <row r="2669" ht="14.25" customHeight="1">
      <c r="A2669" s="1">
        <v>7.6</v>
      </c>
      <c r="B2669" s="1">
        <v>119.0</v>
      </c>
    </row>
    <row r="2670" ht="14.25" customHeight="1">
      <c r="A2670" s="1">
        <v>6.6</v>
      </c>
      <c r="B2670" s="1">
        <v>107.0</v>
      </c>
    </row>
    <row r="2671" ht="14.25" customHeight="1">
      <c r="A2671" s="1">
        <v>6.4</v>
      </c>
      <c r="B2671" s="1">
        <v>106.0</v>
      </c>
    </row>
    <row r="2672" ht="14.25" customHeight="1">
      <c r="A2672" s="1">
        <v>7.0</v>
      </c>
      <c r="B2672" s="1">
        <v>109.0</v>
      </c>
    </row>
    <row r="2673" ht="14.25" customHeight="1">
      <c r="A2673" s="1">
        <v>5.7</v>
      </c>
      <c r="B2673" s="1">
        <v>81.0</v>
      </c>
    </row>
    <row r="2674" ht="14.25" customHeight="1">
      <c r="A2674" s="1">
        <v>5.9</v>
      </c>
      <c r="B2674" s="1">
        <v>95.0</v>
      </c>
    </row>
    <row r="2675" ht="14.25" customHeight="1">
      <c r="A2675" s="1">
        <v>6.3</v>
      </c>
      <c r="B2675" s="1">
        <v>86.0</v>
      </c>
    </row>
    <row r="2676" ht="14.25" customHeight="1">
      <c r="A2676" s="1">
        <v>6.3</v>
      </c>
      <c r="B2676" s="1">
        <v>113.0</v>
      </c>
    </row>
    <row r="2677" ht="14.25" customHeight="1">
      <c r="A2677" s="1">
        <v>6.2</v>
      </c>
      <c r="B2677" s="1">
        <v>122.0</v>
      </c>
    </row>
    <row r="2678" ht="14.25" customHeight="1">
      <c r="A2678" s="1">
        <v>2.1</v>
      </c>
      <c r="B2678" s="1">
        <v>90.0</v>
      </c>
    </row>
    <row r="2679" ht="14.25" customHeight="1">
      <c r="A2679" s="1">
        <v>5.0</v>
      </c>
      <c r="B2679" s="1">
        <v>108.0</v>
      </c>
    </row>
    <row r="2680" ht="14.25" customHeight="1">
      <c r="A2680" s="1">
        <v>5.3</v>
      </c>
      <c r="B2680" s="1">
        <v>113.0</v>
      </c>
    </row>
    <row r="2681" ht="14.25" customHeight="1">
      <c r="A2681" s="1">
        <v>7.1</v>
      </c>
      <c r="B2681" s="1">
        <v>110.0</v>
      </c>
    </row>
    <row r="2682" ht="14.25" customHeight="1">
      <c r="A2682" s="1">
        <v>7.0</v>
      </c>
      <c r="B2682" s="1">
        <v>109.0</v>
      </c>
    </row>
    <row r="2683" ht="14.25" customHeight="1">
      <c r="A2683" s="1">
        <v>7.0</v>
      </c>
      <c r="B2683" s="1">
        <v>110.0</v>
      </c>
    </row>
    <row r="2684" ht="14.25" customHeight="1">
      <c r="A2684" s="1">
        <v>7.1</v>
      </c>
      <c r="B2684" s="1">
        <v>101.0</v>
      </c>
    </row>
    <row r="2685" ht="14.25" customHeight="1">
      <c r="A2685" s="1">
        <v>7.0</v>
      </c>
      <c r="B2685" s="1">
        <v>97.0</v>
      </c>
    </row>
    <row r="2686" ht="14.25" customHeight="1">
      <c r="A2686" s="1">
        <v>7.7</v>
      </c>
      <c r="B2686" s="1">
        <v>172.0</v>
      </c>
    </row>
    <row r="2687" ht="14.25" customHeight="1">
      <c r="A2687" s="1">
        <v>7.1</v>
      </c>
      <c r="B2687" s="1">
        <v>104.0</v>
      </c>
    </row>
    <row r="2688" ht="14.25" customHeight="1">
      <c r="A2688" s="1">
        <v>6.8</v>
      </c>
      <c r="B2688" s="1">
        <v>99.0</v>
      </c>
    </row>
    <row r="2689" ht="14.25" customHeight="1">
      <c r="A2689" s="1">
        <v>7.5</v>
      </c>
      <c r="B2689" s="1">
        <v>129.0</v>
      </c>
    </row>
    <row r="2690" ht="14.25" customHeight="1">
      <c r="A2690" s="1">
        <v>6.3</v>
      </c>
      <c r="B2690" s="1">
        <v>91.0</v>
      </c>
    </row>
    <row r="2691" ht="14.25" customHeight="1">
      <c r="A2691" s="1">
        <v>7.3</v>
      </c>
      <c r="B2691" s="1">
        <v>100.0</v>
      </c>
    </row>
    <row r="2692" ht="14.25" customHeight="1">
      <c r="A2692" s="1">
        <v>6.8</v>
      </c>
      <c r="B2692" s="1">
        <v>111.0</v>
      </c>
    </row>
    <row r="2693" ht="14.25" customHeight="1">
      <c r="A2693" s="1">
        <v>7.2</v>
      </c>
      <c r="B2693" s="1">
        <v>114.0</v>
      </c>
    </row>
    <row r="2694" ht="14.25" customHeight="1">
      <c r="A2694" s="1">
        <v>6.4</v>
      </c>
      <c r="B2694" s="1">
        <v>86.0</v>
      </c>
    </row>
    <row r="2695" ht="14.25" customHeight="1">
      <c r="A2695" s="1">
        <v>6.0</v>
      </c>
      <c r="B2695" s="1">
        <v>107.0</v>
      </c>
    </row>
    <row r="2696" ht="14.25" customHeight="1">
      <c r="A2696" s="1">
        <v>6.4</v>
      </c>
      <c r="B2696" s="1">
        <v>90.0</v>
      </c>
    </row>
    <row r="2697" ht="14.25" customHeight="1">
      <c r="A2697" s="1">
        <v>7.5</v>
      </c>
      <c r="B2697" s="1">
        <v>120.0</v>
      </c>
    </row>
    <row r="2698" ht="14.25" customHeight="1">
      <c r="A2698" s="1">
        <v>7.1</v>
      </c>
      <c r="B2698" s="1">
        <v>134.0</v>
      </c>
    </row>
    <row r="2699" ht="14.25" customHeight="1">
      <c r="A2699" s="1">
        <v>4.6</v>
      </c>
      <c r="B2699" s="1">
        <v>110.0</v>
      </c>
    </row>
    <row r="2700" ht="14.25" customHeight="1">
      <c r="A2700" s="1">
        <v>7.7</v>
      </c>
      <c r="B2700" s="1">
        <v>132.0</v>
      </c>
    </row>
    <row r="2701" ht="14.25" customHeight="1">
      <c r="A2701" s="1">
        <v>6.7</v>
      </c>
      <c r="B2701" s="1">
        <v>94.0</v>
      </c>
    </row>
    <row r="2702" ht="14.25" customHeight="1">
      <c r="A2702" s="1">
        <v>5.6</v>
      </c>
      <c r="B2702" s="1">
        <v>113.0</v>
      </c>
    </row>
    <row r="2703" ht="14.25" customHeight="1">
      <c r="A2703" s="1">
        <v>8.3</v>
      </c>
      <c r="B2703" s="1">
        <v>104.0</v>
      </c>
    </row>
    <row r="2704" ht="14.25" customHeight="1">
      <c r="A2704" s="1">
        <v>6.6</v>
      </c>
      <c r="B2704" s="1">
        <v>103.0</v>
      </c>
    </row>
    <row r="2705" ht="14.25" customHeight="1">
      <c r="A2705" s="1">
        <v>7.2</v>
      </c>
      <c r="B2705" s="1">
        <v>106.0</v>
      </c>
    </row>
    <row r="2706" ht="14.25" customHeight="1">
      <c r="A2706" s="1">
        <v>8.7</v>
      </c>
      <c r="B2706" s="1">
        <v>125.0</v>
      </c>
    </row>
    <row r="2707" ht="14.25" customHeight="1">
      <c r="A2707" s="1">
        <v>6.0</v>
      </c>
      <c r="B2707" s="1">
        <v>109.0</v>
      </c>
    </row>
    <row r="2708" ht="14.25" customHeight="1">
      <c r="A2708" s="1">
        <v>8.0</v>
      </c>
      <c r="B2708" s="1">
        <v>200.0</v>
      </c>
    </row>
    <row r="2709" ht="14.25" customHeight="1">
      <c r="A2709" s="1">
        <v>4.5</v>
      </c>
      <c r="B2709" s="1">
        <v>112.0</v>
      </c>
    </row>
    <row r="2710" ht="14.25" customHeight="1">
      <c r="A2710" s="1">
        <v>7.9</v>
      </c>
      <c r="B2710" s="1">
        <v>116.0</v>
      </c>
    </row>
    <row r="2711" ht="14.25" customHeight="1">
      <c r="A2711" s="1">
        <v>7.5</v>
      </c>
      <c r="B2711" s="1">
        <v>120.0</v>
      </c>
    </row>
    <row r="2712" ht="14.25" customHeight="1">
      <c r="A2712" s="1">
        <v>6.8</v>
      </c>
      <c r="B2712" s="1">
        <v>107.0</v>
      </c>
    </row>
    <row r="2713" ht="14.25" customHeight="1">
      <c r="A2713" s="1">
        <v>7.2</v>
      </c>
      <c r="B2713" s="1">
        <v>107.0</v>
      </c>
    </row>
    <row r="2714" ht="14.25" customHeight="1">
      <c r="A2714" s="1">
        <v>7.1</v>
      </c>
      <c r="B2714" s="1">
        <v>81.0</v>
      </c>
    </row>
    <row r="2715" ht="14.25" customHeight="1">
      <c r="A2715" s="1">
        <v>7.4</v>
      </c>
      <c r="B2715" s="1">
        <v>101.0</v>
      </c>
    </row>
    <row r="2716" ht="14.25" customHeight="1">
      <c r="A2716" s="1">
        <v>7.6</v>
      </c>
      <c r="B2716" s="1">
        <v>122.0</v>
      </c>
    </row>
    <row r="2717" ht="14.25" customHeight="1">
      <c r="A2717" s="1">
        <v>6.9</v>
      </c>
      <c r="B2717" s="1">
        <v>97.0</v>
      </c>
    </row>
    <row r="2718" ht="14.25" customHeight="1">
      <c r="A2718" s="1">
        <v>6.0</v>
      </c>
      <c r="B2718" s="1">
        <v>92.0</v>
      </c>
    </row>
    <row r="2719" ht="14.25" customHeight="1">
      <c r="A2719" s="1">
        <v>7.3</v>
      </c>
      <c r="B2719" s="1">
        <v>110.0</v>
      </c>
    </row>
    <row r="2720" ht="14.25" customHeight="1">
      <c r="A2720" s="1">
        <v>4.6</v>
      </c>
      <c r="B2720" s="1">
        <v>86.0</v>
      </c>
    </row>
    <row r="2721" ht="14.25" customHeight="1">
      <c r="A2721" s="1">
        <v>6.0</v>
      </c>
      <c r="B2721" s="1">
        <v>91.0</v>
      </c>
    </row>
    <row r="2722" ht="14.25" customHeight="1">
      <c r="A2722" s="1">
        <v>5.5</v>
      </c>
      <c r="B2722" s="1">
        <v>100.0</v>
      </c>
    </row>
    <row r="2723" ht="14.25" customHeight="1">
      <c r="A2723" s="1">
        <v>7.5</v>
      </c>
      <c r="B2723" s="1">
        <v>111.0</v>
      </c>
    </row>
    <row r="2724" ht="14.25" customHeight="1">
      <c r="A2724" s="1">
        <v>6.3</v>
      </c>
      <c r="B2724" s="1">
        <v>89.0</v>
      </c>
    </row>
    <row r="2725" ht="14.25" customHeight="1">
      <c r="A2725" s="1">
        <v>5.1</v>
      </c>
      <c r="B2725" s="1">
        <v>84.0</v>
      </c>
    </row>
    <row r="2726" ht="14.25" customHeight="1">
      <c r="A2726" s="1">
        <v>6.8</v>
      </c>
      <c r="B2726" s="1">
        <v>98.0</v>
      </c>
    </row>
    <row r="2727" ht="14.25" customHeight="1">
      <c r="A2727" s="1">
        <v>5.3</v>
      </c>
      <c r="B2727" s="1">
        <v>95.0</v>
      </c>
    </row>
    <row r="2728" ht="14.25" customHeight="1">
      <c r="A2728" s="1">
        <v>7.3</v>
      </c>
      <c r="B2728" s="1">
        <v>100.0</v>
      </c>
    </row>
    <row r="2729" ht="14.25" customHeight="1">
      <c r="A2729" s="1">
        <v>7.3</v>
      </c>
      <c r="B2729" s="1">
        <v>109.0</v>
      </c>
    </row>
    <row r="2730" ht="14.25" customHeight="1">
      <c r="A2730" s="1">
        <v>7.1</v>
      </c>
      <c r="B2730" s="1">
        <v>118.0</v>
      </c>
    </row>
    <row r="2731" ht="14.25" customHeight="1">
      <c r="A2731" s="1">
        <v>7.6</v>
      </c>
      <c r="B2731" s="1">
        <v>88.0</v>
      </c>
    </row>
    <row r="2732" ht="14.25" customHeight="1">
      <c r="A2732" s="1">
        <v>5.3</v>
      </c>
      <c r="B2732" s="1">
        <v>86.0</v>
      </c>
    </row>
    <row r="2733" ht="14.25" customHeight="1">
      <c r="A2733" s="1">
        <v>7.8</v>
      </c>
      <c r="B2733" s="1">
        <v>118.0</v>
      </c>
    </row>
    <row r="2734" ht="14.25" customHeight="1">
      <c r="A2734" s="1">
        <v>7.7</v>
      </c>
      <c r="B2734" s="1">
        <v>125.0</v>
      </c>
    </row>
    <row r="2735" ht="14.25" customHeight="1">
      <c r="A2735" s="1">
        <v>7.7</v>
      </c>
      <c r="B2735" s="1">
        <v>125.0</v>
      </c>
    </row>
    <row r="2736" ht="14.25" customHeight="1">
      <c r="A2736" s="1">
        <v>5.4</v>
      </c>
      <c r="B2736" s="1">
        <v>94.0</v>
      </c>
    </row>
    <row r="2737" ht="14.25" customHeight="1">
      <c r="A2737" s="1">
        <v>6.2</v>
      </c>
      <c r="B2737" s="1">
        <v>113.0</v>
      </c>
    </row>
    <row r="2738" ht="14.25" customHeight="1">
      <c r="A2738" s="1">
        <v>7.4</v>
      </c>
      <c r="B2738" s="1">
        <v>104.0</v>
      </c>
    </row>
    <row r="2739" ht="14.25" customHeight="1">
      <c r="A2739" s="1">
        <v>6.2</v>
      </c>
      <c r="B2739" s="1">
        <v>95.0</v>
      </c>
    </row>
    <row r="2740" ht="14.25" customHeight="1">
      <c r="A2740" s="1">
        <v>5.1</v>
      </c>
      <c r="B2740" s="1">
        <v>102.0</v>
      </c>
    </row>
    <row r="2741" ht="14.25" customHeight="1">
      <c r="A2741" s="1">
        <v>6.8</v>
      </c>
      <c r="B2741" s="1">
        <v>104.0</v>
      </c>
    </row>
    <row r="2742" ht="14.25" customHeight="1">
      <c r="A2742" s="1">
        <v>7.4</v>
      </c>
      <c r="B2742" s="1">
        <v>120.0</v>
      </c>
    </row>
    <row r="2743" ht="14.25" customHeight="1">
      <c r="A2743" s="1">
        <v>5.8</v>
      </c>
      <c r="B2743" s="1">
        <v>95.0</v>
      </c>
    </row>
    <row r="2744" ht="14.25" customHeight="1">
      <c r="A2744" s="1">
        <v>6.4</v>
      </c>
      <c r="B2744" s="1">
        <v>118.0</v>
      </c>
    </row>
    <row r="2745" ht="14.25" customHeight="1">
      <c r="A2745" s="1">
        <v>6.0</v>
      </c>
      <c r="B2745" s="1">
        <v>193.0</v>
      </c>
    </row>
    <row r="2746" ht="14.25" customHeight="1">
      <c r="A2746" s="1">
        <v>6.9</v>
      </c>
      <c r="B2746" s="1">
        <v>97.0</v>
      </c>
    </row>
    <row r="2747" ht="14.25" customHeight="1">
      <c r="A2747" s="1">
        <v>5.5</v>
      </c>
      <c r="B2747" s="1">
        <v>98.0</v>
      </c>
    </row>
    <row r="2748" ht="14.25" customHeight="1">
      <c r="A2748" s="1">
        <v>5.4</v>
      </c>
      <c r="B2748" s="1">
        <v>103.0</v>
      </c>
    </row>
    <row r="2749" ht="14.25" customHeight="1">
      <c r="A2749" s="1">
        <v>8.3</v>
      </c>
      <c r="B2749" s="1">
        <v>161.0</v>
      </c>
    </row>
    <row r="2750" ht="14.25" customHeight="1">
      <c r="A2750" s="1">
        <v>7.9</v>
      </c>
      <c r="B2750" s="1">
        <v>120.0</v>
      </c>
    </row>
    <row r="2751" ht="14.25" customHeight="1">
      <c r="A2751" s="1">
        <v>6.5</v>
      </c>
      <c r="B2751" s="1">
        <v>97.0</v>
      </c>
    </row>
    <row r="2752" ht="14.25" customHeight="1">
      <c r="A2752" s="1">
        <v>6.6</v>
      </c>
      <c r="B2752" s="1">
        <v>145.0</v>
      </c>
    </row>
    <row r="2753" ht="14.25" customHeight="1">
      <c r="A2753" s="1">
        <v>8.3</v>
      </c>
      <c r="B2753" s="1">
        <v>126.0</v>
      </c>
    </row>
    <row r="2754" ht="14.25" customHeight="1">
      <c r="A2754" s="1">
        <v>6.2</v>
      </c>
      <c r="B2754" s="1">
        <v>121.0</v>
      </c>
    </row>
    <row r="2755" ht="14.25" customHeight="1">
      <c r="A2755" s="1">
        <v>6.9</v>
      </c>
      <c r="B2755" s="1">
        <v>117.0</v>
      </c>
    </row>
    <row r="2756" ht="14.25" customHeight="1">
      <c r="A2756" s="1">
        <v>5.9</v>
      </c>
      <c r="B2756" s="1">
        <v>98.0</v>
      </c>
    </row>
    <row r="2757" ht="14.25" customHeight="1">
      <c r="A2757" s="1">
        <v>6.1</v>
      </c>
      <c r="B2757" s="1">
        <v>109.0</v>
      </c>
    </row>
    <row r="2758" ht="14.25" customHeight="1">
      <c r="A2758" s="1">
        <v>5.8</v>
      </c>
      <c r="B2758" s="1">
        <v>95.0</v>
      </c>
    </row>
    <row r="2759" ht="14.25" customHeight="1">
      <c r="A2759" s="1">
        <v>7.3</v>
      </c>
      <c r="B2759" s="1">
        <v>109.0</v>
      </c>
    </row>
    <row r="2760" ht="14.25" customHeight="1">
      <c r="A2760" s="1">
        <v>5.9</v>
      </c>
      <c r="B2760" s="1">
        <v>96.0</v>
      </c>
    </row>
    <row r="2761" ht="14.25" customHeight="1">
      <c r="A2761" s="1">
        <v>5.5</v>
      </c>
      <c r="B2761" s="1">
        <v>101.0</v>
      </c>
    </row>
    <row r="2762" ht="14.25" customHeight="1">
      <c r="A2762" s="1">
        <v>5.0</v>
      </c>
      <c r="B2762" s="1">
        <v>107.0</v>
      </c>
    </row>
    <row r="2763" ht="14.25" customHeight="1">
      <c r="A2763" s="1">
        <v>7.0</v>
      </c>
      <c r="B2763" s="1">
        <v>119.0</v>
      </c>
    </row>
    <row r="2764" ht="14.25" customHeight="1">
      <c r="A2764" s="1">
        <v>6.4</v>
      </c>
      <c r="B2764" s="1">
        <v>100.0</v>
      </c>
    </row>
    <row r="2765" ht="14.25" customHeight="1">
      <c r="A2765" s="1">
        <v>5.9</v>
      </c>
      <c r="B2765" s="1">
        <v>98.0</v>
      </c>
    </row>
    <row r="2766" ht="14.25" customHeight="1">
      <c r="A2766" s="1">
        <v>7.0</v>
      </c>
      <c r="B2766" s="1">
        <v>92.0</v>
      </c>
    </row>
    <row r="2767" ht="14.25" customHeight="1">
      <c r="A2767" s="1">
        <v>6.1</v>
      </c>
      <c r="B2767" s="1">
        <v>90.0</v>
      </c>
    </row>
    <row r="2768" ht="14.25" customHeight="1">
      <c r="A2768" s="1">
        <v>6.9</v>
      </c>
      <c r="B2768" s="1">
        <v>90.0</v>
      </c>
    </row>
    <row r="2769" ht="14.25" customHeight="1">
      <c r="A2769" s="1">
        <v>7.5</v>
      </c>
      <c r="B2769" s="1">
        <v>153.0</v>
      </c>
    </row>
    <row r="2770" ht="14.25" customHeight="1">
      <c r="A2770" s="1">
        <v>7.3</v>
      </c>
      <c r="B2770" s="1">
        <v>124.0</v>
      </c>
    </row>
    <row r="2771" ht="14.25" customHeight="1">
      <c r="A2771" s="1">
        <v>6.5</v>
      </c>
      <c r="B2771" s="1">
        <v>82.0</v>
      </c>
    </row>
    <row r="2772" ht="14.25" customHeight="1">
      <c r="A2772" s="1">
        <v>6.2</v>
      </c>
      <c r="B2772" s="1">
        <v>107.0</v>
      </c>
    </row>
    <row r="2773" ht="14.25" customHeight="1">
      <c r="A2773" s="1">
        <v>6.0</v>
      </c>
      <c r="B2773" s="1">
        <v>97.0</v>
      </c>
    </row>
    <row r="2774" ht="14.25" customHeight="1">
      <c r="A2774" s="1">
        <v>6.3</v>
      </c>
      <c r="B2774" s="1">
        <v>80.0</v>
      </c>
    </row>
    <row r="2775" ht="14.25" customHeight="1">
      <c r="A2775" s="1">
        <v>5.8</v>
      </c>
      <c r="B2775" s="1">
        <v>85.0</v>
      </c>
    </row>
    <row r="2776" ht="14.25" customHeight="1">
      <c r="A2776" s="1">
        <v>6.1</v>
      </c>
      <c r="B2776" s="1">
        <v>97.0</v>
      </c>
    </row>
    <row r="2777" ht="14.25" customHeight="1">
      <c r="A2777" s="1">
        <v>6.9</v>
      </c>
      <c r="B2777" s="1">
        <v>109.0</v>
      </c>
    </row>
    <row r="2778" ht="14.25" customHeight="1">
      <c r="A2778" s="1">
        <v>8.3</v>
      </c>
      <c r="B2778" s="1">
        <v>104.0</v>
      </c>
    </row>
    <row r="2779" ht="14.25" customHeight="1">
      <c r="A2779" s="1">
        <v>5.4</v>
      </c>
      <c r="B2779" s="1">
        <v>140.0</v>
      </c>
    </row>
    <row r="2780" ht="14.25" customHeight="1">
      <c r="A2780" s="1">
        <v>6.7</v>
      </c>
      <c r="B2780" s="1">
        <v>90.0</v>
      </c>
    </row>
    <row r="2781" ht="14.25" customHeight="1">
      <c r="A2781" s="1">
        <v>7.4</v>
      </c>
      <c r="B2781" s="1">
        <v>130.0</v>
      </c>
    </row>
    <row r="2782" ht="14.25" customHeight="1">
      <c r="A2782" s="1">
        <v>5.6</v>
      </c>
      <c r="B2782" s="1">
        <v>98.0</v>
      </c>
    </row>
    <row r="2783" ht="14.25" customHeight="1">
      <c r="A2783" s="1">
        <v>6.5</v>
      </c>
      <c r="B2783" s="1">
        <v>101.0</v>
      </c>
    </row>
    <row r="2784" ht="14.25" customHeight="1">
      <c r="A2784" s="1">
        <v>6.5</v>
      </c>
      <c r="B2784" s="1">
        <v>114.0</v>
      </c>
    </row>
    <row r="2785" ht="14.25" customHeight="1">
      <c r="A2785" s="1">
        <v>5.8</v>
      </c>
      <c r="B2785" s="1">
        <v>100.0</v>
      </c>
    </row>
    <row r="2786" ht="14.25" customHeight="1">
      <c r="A2786" s="1">
        <v>5.0</v>
      </c>
      <c r="B2786" s="1">
        <v>85.0</v>
      </c>
    </row>
    <row r="2787" ht="14.25" customHeight="1">
      <c r="A2787" s="1">
        <v>5.5</v>
      </c>
      <c r="B2787" s="1">
        <v>103.0</v>
      </c>
    </row>
    <row r="2788" ht="14.25" customHeight="1">
      <c r="A2788" s="1">
        <v>6.5</v>
      </c>
      <c r="B2788" s="1">
        <v>100.0</v>
      </c>
    </row>
    <row r="2789" ht="14.25" customHeight="1">
      <c r="A2789" s="1">
        <v>7.2</v>
      </c>
      <c r="B2789" s="1">
        <v>114.0</v>
      </c>
    </row>
    <row r="2790" ht="14.25" customHeight="1">
      <c r="A2790" s="1">
        <v>5.2</v>
      </c>
      <c r="B2790" s="1">
        <v>97.0</v>
      </c>
    </row>
    <row r="2791" ht="14.25" customHeight="1">
      <c r="A2791" s="1">
        <v>5.7</v>
      </c>
      <c r="B2791" s="1">
        <v>116.0</v>
      </c>
    </row>
    <row r="2792" ht="14.25" customHeight="1">
      <c r="A2792" s="1">
        <v>4.7</v>
      </c>
      <c r="B2792" s="1">
        <v>96.0</v>
      </c>
    </row>
    <row r="2793" ht="14.25" customHeight="1">
      <c r="A2793" s="1">
        <v>5.9</v>
      </c>
      <c r="B2793" s="1">
        <v>98.0</v>
      </c>
    </row>
    <row r="2794" ht="14.25" customHeight="1">
      <c r="A2794" s="1">
        <v>6.8</v>
      </c>
      <c r="B2794" s="1">
        <v>105.0</v>
      </c>
    </row>
    <row r="2795" ht="14.25" customHeight="1">
      <c r="A2795" s="1">
        <v>5.9</v>
      </c>
      <c r="B2795" s="1">
        <v>123.0</v>
      </c>
    </row>
    <row r="2796" ht="14.25" customHeight="1">
      <c r="A2796" s="1">
        <v>7.7</v>
      </c>
      <c r="B2796" s="1">
        <v>93.0</v>
      </c>
    </row>
    <row r="2797" ht="14.25" customHeight="1">
      <c r="A2797" s="1">
        <v>4.4</v>
      </c>
      <c r="B2797" s="1">
        <v>97.0</v>
      </c>
    </row>
    <row r="2798" ht="14.25" customHeight="1">
      <c r="A2798" s="1">
        <v>6.6</v>
      </c>
      <c r="B2798" s="1">
        <v>122.0</v>
      </c>
    </row>
    <row r="2799" ht="14.25" customHeight="1">
      <c r="A2799" s="1">
        <v>6.7</v>
      </c>
      <c r="B2799" s="1">
        <v>101.0</v>
      </c>
    </row>
    <row r="2800" ht="14.25" customHeight="1">
      <c r="A2800" s="1">
        <v>5.5</v>
      </c>
      <c r="B2800" s="1">
        <v>100.0</v>
      </c>
    </row>
    <row r="2801" ht="14.25" customHeight="1">
      <c r="A2801" s="1">
        <v>6.5</v>
      </c>
      <c r="B2801" s="1">
        <v>129.0</v>
      </c>
    </row>
    <row r="2802" ht="14.25" customHeight="1">
      <c r="A2802" s="1">
        <v>6.2</v>
      </c>
      <c r="B2802" s="1">
        <v>81.0</v>
      </c>
    </row>
    <row r="2803" ht="14.25" customHeight="1">
      <c r="A2803" s="1">
        <v>7.1</v>
      </c>
      <c r="B2803" s="1">
        <v>96.0</v>
      </c>
    </row>
    <row r="2804" ht="14.25" customHeight="1">
      <c r="A2804" s="1">
        <v>6.1</v>
      </c>
      <c r="B2804" s="1">
        <v>84.0</v>
      </c>
    </row>
    <row r="2805" ht="14.25" customHeight="1">
      <c r="A2805" s="1">
        <v>6.0</v>
      </c>
      <c r="B2805" s="1">
        <v>110.0</v>
      </c>
    </row>
    <row r="2806" ht="14.25" customHeight="1">
      <c r="A2806" s="1">
        <v>7.4</v>
      </c>
      <c r="B2806" s="1">
        <v>130.0</v>
      </c>
    </row>
    <row r="2807" ht="14.25" customHeight="1">
      <c r="A2807" s="1">
        <v>5.9</v>
      </c>
      <c r="B2807" s="1">
        <v>84.0</v>
      </c>
    </row>
    <row r="2808" ht="14.25" customHeight="1">
      <c r="A2808" s="1">
        <v>4.1</v>
      </c>
      <c r="B2808" s="1">
        <v>106.0</v>
      </c>
    </row>
    <row r="2809" ht="14.25" customHeight="1">
      <c r="A2809" s="1">
        <v>5.9</v>
      </c>
      <c r="B2809" s="1">
        <v>76.0</v>
      </c>
    </row>
    <row r="2810" ht="14.25" customHeight="1">
      <c r="A2810" s="1">
        <v>7.0</v>
      </c>
      <c r="B2810" s="1">
        <v>99.0</v>
      </c>
    </row>
    <row r="2811" ht="14.25" customHeight="1">
      <c r="A2811" s="1">
        <v>6.8</v>
      </c>
      <c r="B2811" s="1">
        <v>96.0</v>
      </c>
    </row>
    <row r="2812" ht="14.25" customHeight="1">
      <c r="A2812" s="1">
        <v>7.4</v>
      </c>
      <c r="B2812" s="1">
        <v>104.0</v>
      </c>
    </row>
    <row r="2813" ht="14.25" customHeight="1">
      <c r="A2813" s="1">
        <v>7.1</v>
      </c>
      <c r="B2813" s="1">
        <v>108.0</v>
      </c>
    </row>
    <row r="2814" ht="14.25" customHeight="1">
      <c r="A2814" s="1">
        <v>7.0</v>
      </c>
      <c r="B2814" s="1">
        <v>108.0</v>
      </c>
    </row>
    <row r="2815" ht="14.25" customHeight="1">
      <c r="A2815" s="1">
        <v>5.8</v>
      </c>
      <c r="B2815" s="1">
        <v>87.0</v>
      </c>
    </row>
    <row r="2816" ht="14.25" customHeight="1">
      <c r="A2816" s="1">
        <v>7.8</v>
      </c>
      <c r="B2816" s="1">
        <v>89.0</v>
      </c>
    </row>
    <row r="2817" ht="14.25" customHeight="1">
      <c r="A2817" s="1">
        <v>6.5</v>
      </c>
      <c r="B2817" s="1">
        <v>97.0</v>
      </c>
    </row>
    <row r="2818" ht="14.25" customHeight="1">
      <c r="A2818" s="1">
        <v>7.0</v>
      </c>
      <c r="B2818" s="1">
        <v>106.0</v>
      </c>
    </row>
    <row r="2819" ht="14.25" customHeight="1">
      <c r="A2819" s="1">
        <v>6.3</v>
      </c>
      <c r="B2819" s="1">
        <v>100.0</v>
      </c>
    </row>
    <row r="2820" ht="14.25" customHeight="1">
      <c r="A2820" s="1">
        <v>5.3</v>
      </c>
      <c r="B2820" s="1">
        <v>89.0</v>
      </c>
    </row>
    <row r="2821" ht="14.25" customHeight="1">
      <c r="A2821" s="1">
        <v>5.5</v>
      </c>
      <c r="B2821" s="1">
        <v>95.0</v>
      </c>
    </row>
    <row r="2822" ht="14.25" customHeight="1">
      <c r="A2822" s="1">
        <v>7.4</v>
      </c>
      <c r="B2822" s="1">
        <v>97.0</v>
      </c>
    </row>
    <row r="2823" ht="14.25" customHeight="1">
      <c r="A2823" s="1">
        <v>4.3</v>
      </c>
      <c r="B2823" s="1">
        <v>94.0</v>
      </c>
    </row>
    <row r="2824" ht="14.25" customHeight="1">
      <c r="A2824" s="1">
        <v>6.0</v>
      </c>
      <c r="B2824" s="1">
        <v>103.0</v>
      </c>
    </row>
    <row r="2825" ht="14.25" customHeight="1">
      <c r="A2825" s="1">
        <v>5.2</v>
      </c>
      <c r="B2825" s="1">
        <v>95.0</v>
      </c>
    </row>
    <row r="2826" ht="14.25" customHeight="1">
      <c r="A2826" s="1">
        <v>6.7</v>
      </c>
      <c r="B2826" s="1">
        <v>101.0</v>
      </c>
    </row>
    <row r="2827" ht="14.25" customHeight="1">
      <c r="A2827" s="1">
        <v>8.6</v>
      </c>
      <c r="B2827" s="1">
        <v>101.0</v>
      </c>
    </row>
    <row r="2828" ht="14.25" customHeight="1">
      <c r="A2828" s="1">
        <v>6.1</v>
      </c>
      <c r="B2828" s="1">
        <v>82.0</v>
      </c>
    </row>
    <row r="2829" ht="14.25" customHeight="1">
      <c r="A2829" s="1">
        <v>5.8</v>
      </c>
      <c r="B2829" s="1">
        <v>74.0</v>
      </c>
    </row>
    <row r="2830" ht="14.25" customHeight="1">
      <c r="A2830" s="1">
        <v>7.7</v>
      </c>
      <c r="B2830" s="1">
        <v>130.0</v>
      </c>
    </row>
    <row r="2831" ht="14.25" customHeight="1">
      <c r="A2831" s="1">
        <v>8.0</v>
      </c>
      <c r="B2831" s="1">
        <v>112.0</v>
      </c>
    </row>
    <row r="2832" ht="14.25" customHeight="1">
      <c r="A2832" s="1">
        <v>5.6</v>
      </c>
      <c r="B2832" s="1">
        <v>96.0</v>
      </c>
    </row>
    <row r="2833" ht="14.25" customHeight="1">
      <c r="A2833" s="1">
        <v>6.7</v>
      </c>
      <c r="B2833" s="1">
        <v>89.0</v>
      </c>
    </row>
    <row r="2834" ht="14.25" customHeight="1">
      <c r="A2834" s="1">
        <v>6.6</v>
      </c>
      <c r="B2834" s="1">
        <v>121.0</v>
      </c>
    </row>
    <row r="2835" ht="14.25" customHeight="1">
      <c r="A2835" s="1">
        <v>4.1</v>
      </c>
      <c r="B2835" s="1">
        <v>85.0</v>
      </c>
    </row>
    <row r="2836" ht="14.25" customHeight="1">
      <c r="A2836" s="1">
        <v>7.3</v>
      </c>
      <c r="B2836" s="1">
        <v>120.0</v>
      </c>
    </row>
    <row r="2837" ht="14.25" customHeight="1">
      <c r="A2837" s="1">
        <v>6.5</v>
      </c>
      <c r="B2837" s="1">
        <v>83.0</v>
      </c>
    </row>
    <row r="2838" ht="14.25" customHeight="1">
      <c r="A2838" s="1">
        <v>7.0</v>
      </c>
      <c r="B2838" s="1">
        <v>120.0</v>
      </c>
    </row>
    <row r="2839" ht="14.25" customHeight="1">
      <c r="A2839" s="1">
        <v>5.5</v>
      </c>
      <c r="B2839" s="1">
        <v>111.0</v>
      </c>
    </row>
    <row r="2840" ht="14.25" customHeight="1">
      <c r="A2840" s="1">
        <v>6.6</v>
      </c>
      <c r="B2840" s="1">
        <v>100.0</v>
      </c>
    </row>
    <row r="2841" ht="14.25" customHeight="1">
      <c r="A2841" s="1">
        <v>7.1</v>
      </c>
      <c r="B2841" s="1">
        <v>89.0</v>
      </c>
    </row>
    <row r="2842" ht="14.25" customHeight="1">
      <c r="A2842" s="1">
        <v>7.9</v>
      </c>
      <c r="B2842" s="1">
        <v>115.0</v>
      </c>
    </row>
    <row r="2843" ht="14.25" customHeight="1">
      <c r="A2843" s="1">
        <v>7.1</v>
      </c>
      <c r="B2843" s="1">
        <v>135.0</v>
      </c>
    </row>
    <row r="2844" ht="14.25" customHeight="1">
      <c r="A2844" s="1">
        <v>5.6</v>
      </c>
      <c r="B2844" s="1">
        <v>92.0</v>
      </c>
    </row>
    <row r="2845" ht="14.25" customHeight="1">
      <c r="A2845" s="1">
        <v>7.3</v>
      </c>
      <c r="B2845" s="1">
        <v>120.0</v>
      </c>
    </row>
    <row r="2846" ht="14.25" customHeight="1">
      <c r="A2846" s="1">
        <v>3.3</v>
      </c>
      <c r="B2846" s="1">
        <v>97.0</v>
      </c>
    </row>
    <row r="2847" ht="14.25" customHeight="1">
      <c r="A2847" s="1">
        <v>6.5</v>
      </c>
      <c r="B2847" s="1">
        <v>135.0</v>
      </c>
    </row>
    <row r="2848" ht="14.25" customHeight="1">
      <c r="A2848" s="1">
        <v>4.8</v>
      </c>
      <c r="B2848" s="1">
        <v>93.0</v>
      </c>
    </row>
    <row r="2849" ht="14.25" customHeight="1">
      <c r="A2849" s="1">
        <v>5.2</v>
      </c>
      <c r="B2849" s="1">
        <v>118.0</v>
      </c>
    </row>
    <row r="2850" ht="14.25" customHeight="1">
      <c r="A2850" s="1">
        <v>6.3</v>
      </c>
      <c r="B2850" s="1">
        <v>97.0</v>
      </c>
    </row>
    <row r="2851" ht="14.25" customHeight="1">
      <c r="A2851" s="1">
        <v>7.2</v>
      </c>
      <c r="B2851" s="1">
        <v>98.0</v>
      </c>
    </row>
    <row r="2852" ht="14.25" customHeight="1">
      <c r="A2852" s="1">
        <v>6.8</v>
      </c>
      <c r="B2852" s="1">
        <v>98.0</v>
      </c>
    </row>
    <row r="2853" ht="14.25" customHeight="1">
      <c r="A2853" s="1">
        <v>5.7</v>
      </c>
      <c r="B2853" s="1">
        <v>101.0</v>
      </c>
    </row>
    <row r="2854" ht="14.25" customHeight="1">
      <c r="A2854" s="1">
        <v>7.2</v>
      </c>
      <c r="B2854" s="1">
        <v>132.0</v>
      </c>
    </row>
    <row r="2855" ht="14.25" customHeight="1">
      <c r="A2855" s="1">
        <v>6.9</v>
      </c>
      <c r="B2855" s="1">
        <v>106.0</v>
      </c>
    </row>
    <row r="2856" ht="14.25" customHeight="1">
      <c r="A2856" s="1">
        <v>6.2</v>
      </c>
      <c r="B2856" s="1">
        <v>87.0</v>
      </c>
    </row>
    <row r="2857" ht="14.25" customHeight="1">
      <c r="A2857" s="1">
        <v>6.7</v>
      </c>
      <c r="B2857" s="1">
        <v>98.0</v>
      </c>
    </row>
    <row r="2858" ht="14.25" customHeight="1">
      <c r="A2858" s="1">
        <v>6.5</v>
      </c>
      <c r="B2858" s="1">
        <v>96.0</v>
      </c>
    </row>
    <row r="2859" ht="14.25" customHeight="1">
      <c r="A2859" s="1">
        <v>7.2</v>
      </c>
      <c r="B2859" s="1">
        <v>104.0</v>
      </c>
    </row>
    <row r="2860" ht="14.25" customHeight="1">
      <c r="A2860" s="1">
        <v>5.3</v>
      </c>
      <c r="B2860" s="1">
        <v>93.0</v>
      </c>
    </row>
    <row r="2861" ht="14.25" customHeight="1">
      <c r="A2861" s="1">
        <v>6.7</v>
      </c>
      <c r="B2861" s="1">
        <v>95.0</v>
      </c>
    </row>
    <row r="2862" ht="14.25" customHeight="1">
      <c r="A2862" s="1">
        <v>3.6</v>
      </c>
      <c r="B2862" s="1">
        <v>89.0</v>
      </c>
    </row>
    <row r="2863" ht="14.25" customHeight="1">
      <c r="A2863" s="1">
        <v>5.7</v>
      </c>
      <c r="B2863" s="1">
        <v>107.0</v>
      </c>
    </row>
    <row r="2864" ht="14.25" customHeight="1">
      <c r="A2864" s="1">
        <v>7.3</v>
      </c>
      <c r="B2864" s="1">
        <v>85.0</v>
      </c>
    </row>
    <row r="2865" ht="14.25" customHeight="1">
      <c r="A2865" s="1">
        <v>5.0</v>
      </c>
      <c r="B2865" s="1">
        <v>93.0</v>
      </c>
    </row>
    <row r="2866" ht="14.25" customHeight="1">
      <c r="A2866" s="1">
        <v>6.6</v>
      </c>
      <c r="B2866" s="1">
        <v>103.0</v>
      </c>
    </row>
    <row r="2867" ht="14.25" customHeight="1">
      <c r="A2867" s="1">
        <v>7.3</v>
      </c>
      <c r="B2867" s="1">
        <v>111.0</v>
      </c>
    </row>
    <row r="2868" ht="14.25" customHeight="1">
      <c r="A2868" s="1">
        <v>6.2</v>
      </c>
      <c r="B2868" s="1">
        <v>86.0</v>
      </c>
    </row>
    <row r="2869" ht="14.25" customHeight="1">
      <c r="A2869" s="1">
        <v>6.6</v>
      </c>
      <c r="B2869" s="1">
        <v>90.0</v>
      </c>
    </row>
    <row r="2870" ht="14.25" customHeight="1">
      <c r="A2870" s="1">
        <v>6.3</v>
      </c>
      <c r="B2870" s="1">
        <v>82.0</v>
      </c>
    </row>
    <row r="2871" ht="14.25" customHeight="1">
      <c r="A2871" s="1">
        <v>3.3</v>
      </c>
      <c r="B2871" s="1">
        <v>83.0</v>
      </c>
    </row>
    <row r="2872" ht="14.25" customHeight="1">
      <c r="A2872" s="1">
        <v>3.5</v>
      </c>
      <c r="B2872" s="1">
        <v>86.0</v>
      </c>
    </row>
    <row r="2873" ht="14.25" customHeight="1">
      <c r="A2873" s="1">
        <v>5.5</v>
      </c>
      <c r="B2873" s="1">
        <v>91.0</v>
      </c>
    </row>
    <row r="2874" ht="14.25" customHeight="1">
      <c r="A2874" s="1">
        <v>5.9</v>
      </c>
      <c r="B2874" s="1">
        <v>90.0</v>
      </c>
    </row>
    <row r="2875" ht="14.25" customHeight="1">
      <c r="A2875" s="1">
        <v>4.7</v>
      </c>
      <c r="B2875" s="1">
        <v>90.0</v>
      </c>
    </row>
    <row r="2876" ht="14.25" customHeight="1">
      <c r="A2876" s="1">
        <v>3.9</v>
      </c>
      <c r="B2876" s="1">
        <v>93.0</v>
      </c>
    </row>
    <row r="2877" ht="14.25" customHeight="1">
      <c r="A2877" s="1">
        <v>6.1</v>
      </c>
      <c r="B2877" s="1">
        <v>104.0</v>
      </c>
    </row>
    <row r="2878" ht="14.25" customHeight="1">
      <c r="A2878" s="1">
        <v>6.7</v>
      </c>
      <c r="B2878" s="1">
        <v>85.0</v>
      </c>
    </row>
    <row r="2879" ht="14.25" customHeight="1">
      <c r="A2879" s="1">
        <v>7.3</v>
      </c>
      <c r="B2879" s="1">
        <v>135.0</v>
      </c>
    </row>
    <row r="2880" ht="14.25" customHeight="1">
      <c r="A2880" s="1">
        <v>6.7</v>
      </c>
      <c r="B2880" s="1">
        <v>144.0</v>
      </c>
    </row>
    <row r="2881" ht="14.25" customHeight="1">
      <c r="A2881" s="1">
        <v>6.1</v>
      </c>
      <c r="B2881" s="1">
        <v>98.0</v>
      </c>
    </row>
    <row r="2882" ht="14.25" customHeight="1">
      <c r="A2882" s="1">
        <v>6.9</v>
      </c>
      <c r="B2882" s="1">
        <v>117.0</v>
      </c>
    </row>
    <row r="2883" ht="14.25" customHeight="1">
      <c r="A2883" s="1">
        <v>7.9</v>
      </c>
      <c r="B2883" s="1">
        <v>127.0</v>
      </c>
    </row>
    <row r="2884" ht="14.25" customHeight="1">
      <c r="A2884" s="1">
        <v>4.5</v>
      </c>
      <c r="B2884" s="1">
        <v>98.0</v>
      </c>
    </row>
    <row r="2885" ht="14.25" customHeight="1">
      <c r="A2885" s="1">
        <v>7.6</v>
      </c>
      <c r="B2885" s="1">
        <v>197.0</v>
      </c>
    </row>
    <row r="2886" ht="14.25" customHeight="1">
      <c r="A2886" s="1">
        <v>7.5</v>
      </c>
      <c r="B2886" s="1">
        <v>104.0</v>
      </c>
    </row>
    <row r="2887" ht="14.25" customHeight="1">
      <c r="A2887" s="1">
        <v>7.1</v>
      </c>
      <c r="B2887" s="1">
        <v>130.0</v>
      </c>
    </row>
    <row r="2888" ht="14.25" customHeight="1">
      <c r="A2888" s="1">
        <v>6.9</v>
      </c>
      <c r="B2888" s="1">
        <v>176.0</v>
      </c>
    </row>
    <row r="2889" ht="14.25" customHeight="1">
      <c r="A2889" s="1">
        <v>8.5</v>
      </c>
      <c r="B2889" s="1">
        <v>116.0</v>
      </c>
    </row>
    <row r="2890" ht="14.25" customHeight="1">
      <c r="A2890" s="1">
        <v>7.5</v>
      </c>
      <c r="B2890" s="1">
        <v>88.0</v>
      </c>
    </row>
    <row r="2891" ht="14.25" customHeight="1">
      <c r="A2891" s="1">
        <v>6.6</v>
      </c>
      <c r="B2891" s="1">
        <v>106.0</v>
      </c>
    </row>
    <row r="2892" ht="14.25" customHeight="1">
      <c r="A2892" s="1">
        <v>8.0</v>
      </c>
      <c r="B2892" s="1">
        <v>181.0</v>
      </c>
    </row>
    <row r="2893" ht="14.25" customHeight="1">
      <c r="A2893" s="1">
        <v>7.0</v>
      </c>
      <c r="B2893" s="1">
        <v>130.0</v>
      </c>
    </row>
    <row r="2894" ht="14.25" customHeight="1">
      <c r="A2894" s="1">
        <v>6.8</v>
      </c>
      <c r="B2894" s="1">
        <v>123.0</v>
      </c>
    </row>
    <row r="2895" ht="14.25" customHeight="1">
      <c r="A2895" s="1">
        <v>6.7</v>
      </c>
      <c r="B2895" s="1">
        <v>120.0</v>
      </c>
    </row>
    <row r="2896" ht="14.25" customHeight="1">
      <c r="A2896" s="1">
        <v>6.5</v>
      </c>
      <c r="B2896" s="1">
        <v>87.0</v>
      </c>
    </row>
    <row r="2897" ht="14.25" customHeight="1">
      <c r="A2897" s="1">
        <v>8.0</v>
      </c>
      <c r="B2897" s="1">
        <v>123.0</v>
      </c>
    </row>
    <row r="2898" ht="14.25" customHeight="1">
      <c r="A2898" s="1">
        <v>6.5</v>
      </c>
      <c r="B2898" s="1">
        <v>103.0</v>
      </c>
    </row>
    <row r="2899" ht="14.25" customHeight="1">
      <c r="A2899" s="1">
        <v>4.9</v>
      </c>
      <c r="B2899" s="1">
        <v>91.0</v>
      </c>
    </row>
    <row r="2900" ht="14.25" customHeight="1">
      <c r="A2900" s="1">
        <v>7.1</v>
      </c>
      <c r="B2900" s="1">
        <v>88.0</v>
      </c>
    </row>
    <row r="2901" ht="14.25" customHeight="1">
      <c r="A2901" s="1">
        <v>7.0</v>
      </c>
      <c r="B2901" s="1">
        <v>126.0</v>
      </c>
    </row>
    <row r="2902" ht="14.25" customHeight="1">
      <c r="A2902" s="1">
        <v>7.0</v>
      </c>
      <c r="B2902" s="1">
        <v>120.0</v>
      </c>
    </row>
    <row r="2903" ht="14.25" customHeight="1">
      <c r="A2903" s="1">
        <v>4.5</v>
      </c>
      <c r="B2903" s="1">
        <v>94.0</v>
      </c>
    </row>
    <row r="2904" ht="14.25" customHeight="1">
      <c r="A2904" s="1">
        <v>7.7</v>
      </c>
      <c r="B2904" s="1">
        <v>137.0</v>
      </c>
    </row>
    <row r="2905" ht="14.25" customHeight="1">
      <c r="A2905" s="1">
        <v>6.7</v>
      </c>
      <c r="B2905" s="1">
        <v>119.0</v>
      </c>
    </row>
    <row r="2906" ht="14.25" customHeight="1">
      <c r="A2906" s="1">
        <v>7.0</v>
      </c>
      <c r="B2906" s="1">
        <v>99.0</v>
      </c>
    </row>
    <row r="2907" ht="14.25" customHeight="1">
      <c r="A2907" s="1">
        <v>6.5</v>
      </c>
      <c r="B2907" s="1">
        <v>79.0</v>
      </c>
    </row>
    <row r="2908" ht="14.25" customHeight="1">
      <c r="A2908" s="1">
        <v>6.2</v>
      </c>
      <c r="B2908" s="1">
        <v>95.0</v>
      </c>
    </row>
    <row r="2909" ht="14.25" customHeight="1">
      <c r="A2909" s="1">
        <v>5.7</v>
      </c>
      <c r="B2909" s="1">
        <v>103.0</v>
      </c>
    </row>
    <row r="2910" ht="14.25" customHeight="1">
      <c r="A2910" s="1">
        <v>6.4</v>
      </c>
      <c r="B2910" s="1">
        <v>92.0</v>
      </c>
    </row>
    <row r="2911" ht="14.25" customHeight="1">
      <c r="A2911" s="1">
        <v>5.4</v>
      </c>
      <c r="B2911" s="1">
        <v>84.0</v>
      </c>
    </row>
    <row r="2912" ht="14.25" customHeight="1">
      <c r="A2912" s="1">
        <v>6.6</v>
      </c>
      <c r="B2912" s="1">
        <v>300.0</v>
      </c>
    </row>
    <row r="2913" ht="14.25" customHeight="1">
      <c r="A2913" s="1">
        <v>6.1</v>
      </c>
      <c r="B2913" s="1">
        <v>120.0</v>
      </c>
    </row>
    <row r="2914" ht="14.25" customHeight="1">
      <c r="A2914" s="1">
        <v>7.6</v>
      </c>
      <c r="B2914" s="1">
        <v>121.0</v>
      </c>
    </row>
    <row r="2915" ht="14.25" customHeight="1">
      <c r="A2915" s="1">
        <v>6.2</v>
      </c>
      <c r="B2915" s="1">
        <v>97.0</v>
      </c>
    </row>
    <row r="2916" ht="14.25" customHeight="1">
      <c r="A2916" s="1">
        <v>6.6</v>
      </c>
      <c r="B2916" s="1">
        <v>86.0</v>
      </c>
    </row>
    <row r="2917" ht="14.25" customHeight="1">
      <c r="A2917" s="1">
        <v>7.3</v>
      </c>
      <c r="B2917" s="1">
        <v>45.0</v>
      </c>
    </row>
    <row r="2918" ht="14.25" customHeight="1">
      <c r="A2918" s="1">
        <v>4.2</v>
      </c>
      <c r="B2918" s="1">
        <v>97.0</v>
      </c>
    </row>
    <row r="2919" ht="14.25" customHeight="1">
      <c r="A2919" s="1">
        <v>6.5</v>
      </c>
      <c r="B2919" s="1">
        <v>93.0</v>
      </c>
    </row>
    <row r="2920" ht="14.25" customHeight="1">
      <c r="A2920" s="1">
        <v>6.5</v>
      </c>
      <c r="B2920" s="1">
        <v>84.0</v>
      </c>
    </row>
    <row r="2921" ht="14.25" customHeight="1">
      <c r="A2921" s="1">
        <v>5.7</v>
      </c>
      <c r="B2921" s="1">
        <v>96.0</v>
      </c>
    </row>
    <row r="2922" ht="14.25" customHeight="1">
      <c r="A2922" s="1">
        <v>7.3</v>
      </c>
      <c r="B2922" s="1">
        <v>112.0</v>
      </c>
    </row>
    <row r="2923" ht="14.25" customHeight="1">
      <c r="A2923" s="1">
        <v>6.9</v>
      </c>
      <c r="B2923" s="1">
        <v>125.0</v>
      </c>
    </row>
    <row r="2924" ht="14.25" customHeight="1">
      <c r="A2924" s="1">
        <v>5.0</v>
      </c>
      <c r="B2924" s="1">
        <v>96.0</v>
      </c>
    </row>
    <row r="2925" ht="14.25" customHeight="1">
      <c r="A2925" s="1">
        <v>7.3</v>
      </c>
      <c r="B2925" s="1">
        <v>103.0</v>
      </c>
    </row>
    <row r="2926" ht="14.25" customHeight="1">
      <c r="A2926" s="1">
        <v>6.5</v>
      </c>
      <c r="B2926" s="1">
        <v>101.0</v>
      </c>
    </row>
    <row r="2927" ht="14.25" customHeight="1">
      <c r="A2927" s="1">
        <v>2.1</v>
      </c>
      <c r="B2927" s="1">
        <v>104.0</v>
      </c>
    </row>
    <row r="2928" ht="14.25" customHeight="1">
      <c r="A2928" s="1">
        <v>7.0</v>
      </c>
      <c r="B2928" s="1">
        <v>119.0</v>
      </c>
    </row>
    <row r="2929" ht="14.25" customHeight="1">
      <c r="A2929" s="1">
        <v>8.0</v>
      </c>
      <c r="B2929" s="1">
        <v>128.0</v>
      </c>
    </row>
    <row r="2930" ht="14.25" customHeight="1">
      <c r="A2930" s="1">
        <v>6.5</v>
      </c>
      <c r="B2930" s="1">
        <v>107.0</v>
      </c>
    </row>
    <row r="2931" ht="14.25" customHeight="1">
      <c r="A2931" s="1">
        <v>7.1</v>
      </c>
      <c r="B2931" s="1">
        <v>126.0</v>
      </c>
    </row>
    <row r="2932" ht="14.25" customHeight="1">
      <c r="A2932" s="1">
        <v>7.2</v>
      </c>
      <c r="B2932" s="1">
        <v>126.0</v>
      </c>
    </row>
    <row r="2933" ht="14.25" customHeight="1">
      <c r="A2933" s="1">
        <v>6.7</v>
      </c>
      <c r="B2933" s="1">
        <v>150.0</v>
      </c>
    </row>
    <row r="2934" ht="14.25" customHeight="1">
      <c r="A2934" s="1">
        <v>8.9</v>
      </c>
      <c r="B2934" s="1">
        <v>178.0</v>
      </c>
    </row>
    <row r="2935" ht="14.25" customHeight="1">
      <c r="A2935" s="1">
        <v>7.9</v>
      </c>
      <c r="B2935" s="1">
        <v>117.0</v>
      </c>
    </row>
    <row r="2936" ht="14.25" customHeight="1">
      <c r="A2936" s="1">
        <v>5.6</v>
      </c>
      <c r="B2936" s="1">
        <v>119.0</v>
      </c>
    </row>
    <row r="2937" ht="14.25" customHeight="1">
      <c r="A2937" s="1">
        <v>8.0</v>
      </c>
      <c r="B2937" s="1">
        <v>174.0</v>
      </c>
    </row>
    <row r="2938" ht="14.25" customHeight="1">
      <c r="A2938" s="1">
        <v>6.2</v>
      </c>
      <c r="B2938" s="1">
        <v>111.0</v>
      </c>
    </row>
    <row r="2939" ht="14.25" customHeight="1">
      <c r="A2939" s="1">
        <v>7.9</v>
      </c>
      <c r="B2939" s="1">
        <v>101.0</v>
      </c>
    </row>
    <row r="2940" ht="14.25" customHeight="1">
      <c r="A2940" s="1">
        <v>8.1</v>
      </c>
      <c r="B2940" s="1">
        <v>89.0</v>
      </c>
    </row>
    <row r="2941" ht="14.25" customHeight="1">
      <c r="A2941" s="1">
        <v>7.6</v>
      </c>
      <c r="B2941" s="1">
        <v>113.0</v>
      </c>
    </row>
    <row r="2942" ht="14.25" customHeight="1">
      <c r="A2942" s="1">
        <v>3.5</v>
      </c>
      <c r="B2942" s="1">
        <v>95.0</v>
      </c>
    </row>
    <row r="2943" ht="14.25" customHeight="1">
      <c r="A2943" s="1">
        <v>7.6</v>
      </c>
      <c r="B2943" s="1">
        <v>112.0</v>
      </c>
    </row>
    <row r="2944" ht="14.25" customHeight="1">
      <c r="A2944" s="1">
        <v>6.5</v>
      </c>
      <c r="B2944" s="1">
        <v>109.0</v>
      </c>
    </row>
    <row r="2945" ht="14.25" customHeight="1">
      <c r="A2945" s="1">
        <v>5.6</v>
      </c>
      <c r="B2945" s="1">
        <v>108.0</v>
      </c>
    </row>
    <row r="2946" ht="14.25" customHeight="1">
      <c r="A2946" s="1">
        <v>7.7</v>
      </c>
      <c r="B2946" s="1">
        <v>100.0</v>
      </c>
    </row>
    <row r="2947" ht="14.25" customHeight="1">
      <c r="A2947" s="1">
        <v>5.2</v>
      </c>
      <c r="B2947" s="1">
        <v>90.0</v>
      </c>
    </row>
    <row r="2948" ht="14.25" customHeight="1">
      <c r="A2948" s="1">
        <v>6.1</v>
      </c>
      <c r="B2948" s="1">
        <v>94.0</v>
      </c>
    </row>
    <row r="2949" ht="14.25" customHeight="1">
      <c r="A2949" s="1">
        <v>7.4</v>
      </c>
      <c r="B2949" s="1">
        <v>111.0</v>
      </c>
    </row>
    <row r="2950" ht="14.25" customHeight="1">
      <c r="A2950" s="1">
        <v>6.8</v>
      </c>
      <c r="B2950" s="1">
        <v>142.0</v>
      </c>
    </row>
    <row r="2951" ht="14.25" customHeight="1">
      <c r="A2951" s="1">
        <v>6.4</v>
      </c>
      <c r="B2951" s="1">
        <v>107.0</v>
      </c>
    </row>
    <row r="2952" ht="14.25" customHeight="1">
      <c r="A2952" s="1">
        <v>5.7</v>
      </c>
      <c r="B2952" s="1">
        <v>91.0</v>
      </c>
    </row>
    <row r="2953" ht="14.25" customHeight="1">
      <c r="A2953" s="1">
        <v>6.7</v>
      </c>
      <c r="B2953" s="1">
        <v>82.0</v>
      </c>
    </row>
    <row r="2954" ht="14.25" customHeight="1">
      <c r="A2954" s="1">
        <v>5.6</v>
      </c>
      <c r="B2954" s="1">
        <v>97.0</v>
      </c>
    </row>
    <row r="2955" ht="14.25" customHeight="1">
      <c r="A2955" s="1">
        <v>7.0</v>
      </c>
      <c r="B2955" s="1">
        <v>128.0</v>
      </c>
    </row>
    <row r="2956" ht="14.25" customHeight="1">
      <c r="A2956" s="1">
        <v>7.6</v>
      </c>
      <c r="B2956" s="1">
        <v>102.0</v>
      </c>
    </row>
    <row r="2957" ht="14.25" customHeight="1">
      <c r="A2957" s="1">
        <v>6.5</v>
      </c>
      <c r="B2957" s="1">
        <v>93.0</v>
      </c>
    </row>
    <row r="2958" ht="14.25" customHeight="1">
      <c r="A2958" s="1">
        <v>6.3</v>
      </c>
      <c r="B2958" s="1">
        <v>138.0</v>
      </c>
    </row>
    <row r="2959" ht="14.25" customHeight="1">
      <c r="A2959" s="1">
        <v>7.1</v>
      </c>
      <c r="B2959" s="1">
        <v>93.0</v>
      </c>
    </row>
    <row r="2960" ht="14.25" customHeight="1">
      <c r="A2960" s="1">
        <v>7.1</v>
      </c>
      <c r="B2960" s="1">
        <v>92.0</v>
      </c>
    </row>
    <row r="2961" ht="14.25" customHeight="1">
      <c r="A2961" s="1">
        <v>6.9</v>
      </c>
      <c r="B2961" s="1">
        <v>92.0</v>
      </c>
    </row>
    <row r="2962" ht="14.25" customHeight="1">
      <c r="A2962" s="1">
        <v>5.4</v>
      </c>
      <c r="B2962" s="1">
        <v>104.0</v>
      </c>
    </row>
    <row r="2963" ht="14.25" customHeight="1">
      <c r="A2963" s="1">
        <v>5.1</v>
      </c>
      <c r="B2963" s="1">
        <v>89.0</v>
      </c>
    </row>
    <row r="2964" ht="14.25" customHeight="1">
      <c r="A2964" s="1">
        <v>5.3</v>
      </c>
      <c r="B2964" s="1">
        <v>92.0</v>
      </c>
    </row>
    <row r="2965" ht="14.25" customHeight="1">
      <c r="A2965" s="1">
        <v>7.3</v>
      </c>
      <c r="B2965" s="1">
        <v>90.0</v>
      </c>
    </row>
    <row r="2966" ht="14.25" customHeight="1">
      <c r="A2966" s="1">
        <v>7.3</v>
      </c>
      <c r="B2966" s="1">
        <v>129.0</v>
      </c>
    </row>
    <row r="2967" ht="14.25" customHeight="1">
      <c r="A2967" s="1">
        <v>7.1</v>
      </c>
      <c r="B2967" s="1">
        <v>111.0</v>
      </c>
    </row>
    <row r="2968" ht="14.25" customHeight="1">
      <c r="A2968" s="1">
        <v>6.0</v>
      </c>
      <c r="B2968" s="1">
        <v>79.0</v>
      </c>
    </row>
    <row r="2969" ht="14.25" customHeight="1">
      <c r="A2969" s="1">
        <v>6.6</v>
      </c>
      <c r="B2969" s="1">
        <v>104.0</v>
      </c>
    </row>
    <row r="2970" ht="14.25" customHeight="1">
      <c r="A2970" s="1">
        <v>7.2</v>
      </c>
      <c r="B2970" s="1">
        <v>101.0</v>
      </c>
    </row>
    <row r="2971" ht="14.25" customHeight="1">
      <c r="A2971" s="1">
        <v>7.2</v>
      </c>
      <c r="B2971" s="1">
        <v>113.0</v>
      </c>
    </row>
    <row r="2972" ht="14.25" customHeight="1">
      <c r="A2972" s="1">
        <v>6.9</v>
      </c>
      <c r="B2972" s="1">
        <v>92.0</v>
      </c>
    </row>
    <row r="2973" ht="14.25" customHeight="1">
      <c r="A2973" s="1">
        <v>6.8</v>
      </c>
      <c r="B2973" s="1">
        <v>106.0</v>
      </c>
    </row>
    <row r="2974" ht="14.25" customHeight="1">
      <c r="A2974" s="1">
        <v>7.7</v>
      </c>
      <c r="B2974" s="1">
        <v>75.0</v>
      </c>
    </row>
    <row r="2975" ht="14.25" customHeight="1">
      <c r="A2975" s="1">
        <v>7.4</v>
      </c>
      <c r="B2975" s="1">
        <v>104.0</v>
      </c>
    </row>
    <row r="2976" ht="14.25" customHeight="1">
      <c r="A2976" s="1">
        <v>6.5</v>
      </c>
      <c r="B2976" s="1">
        <v>108.0</v>
      </c>
    </row>
    <row r="2977" ht="14.25" customHeight="1">
      <c r="A2977" s="1">
        <v>6.4</v>
      </c>
      <c r="B2977" s="1">
        <v>99.0</v>
      </c>
    </row>
    <row r="2978" ht="14.25" customHeight="1">
      <c r="A2978" s="1">
        <v>5.6</v>
      </c>
      <c r="B2978" s="1">
        <v>109.0</v>
      </c>
    </row>
    <row r="2979" ht="14.25" customHeight="1">
      <c r="A2979" s="1">
        <v>6.8</v>
      </c>
      <c r="B2979" s="1">
        <v>93.0</v>
      </c>
    </row>
    <row r="2980" ht="14.25" customHeight="1">
      <c r="A2980" s="1">
        <v>5.5</v>
      </c>
      <c r="B2980" s="1">
        <v>99.0</v>
      </c>
    </row>
    <row r="2981" ht="14.25" customHeight="1">
      <c r="A2981" s="1">
        <v>6.9</v>
      </c>
      <c r="B2981" s="1">
        <v>98.0</v>
      </c>
    </row>
    <row r="2982" ht="14.25" customHeight="1">
      <c r="A2982" s="1">
        <v>6.0</v>
      </c>
      <c r="B2982" s="1">
        <v>95.0</v>
      </c>
    </row>
    <row r="2983" ht="14.25" customHeight="1">
      <c r="A2983" s="1">
        <v>6.4</v>
      </c>
      <c r="B2983" s="1">
        <v>107.0</v>
      </c>
    </row>
    <row r="2984" ht="14.25" customHeight="1">
      <c r="A2984" s="1">
        <v>6.6</v>
      </c>
      <c r="B2984" s="1">
        <v>102.0</v>
      </c>
    </row>
    <row r="2985" ht="14.25" customHeight="1">
      <c r="A2985" s="1">
        <v>8.1</v>
      </c>
      <c r="B2985" s="1">
        <v>124.0</v>
      </c>
    </row>
    <row r="2986" ht="14.25" customHeight="1">
      <c r="A2986" s="1">
        <v>6.9</v>
      </c>
      <c r="B2986" s="1">
        <v>90.0</v>
      </c>
    </row>
    <row r="2987" ht="14.25" customHeight="1">
      <c r="A2987" s="1">
        <v>6.5</v>
      </c>
      <c r="B2987" s="1">
        <v>90.0</v>
      </c>
    </row>
    <row r="2988" ht="14.25" customHeight="1">
      <c r="A2988" s="1">
        <v>7.4</v>
      </c>
      <c r="B2988" s="1">
        <v>99.0</v>
      </c>
    </row>
    <row r="2989" ht="14.25" customHeight="1">
      <c r="A2989" s="1">
        <v>6.9</v>
      </c>
      <c r="B2989" s="1">
        <v>115.0</v>
      </c>
    </row>
    <row r="2990" ht="14.25" customHeight="1">
      <c r="A2990" s="1">
        <v>6.7</v>
      </c>
      <c r="B2990" s="1">
        <v>89.0</v>
      </c>
    </row>
    <row r="2991" ht="14.25" customHeight="1">
      <c r="A2991" s="1">
        <v>7.6</v>
      </c>
      <c r="B2991" s="1">
        <v>92.0</v>
      </c>
    </row>
    <row r="2992" ht="14.25" customHeight="1">
      <c r="A2992" s="1">
        <v>5.4</v>
      </c>
      <c r="B2992" s="1">
        <v>94.0</v>
      </c>
    </row>
    <row r="2993" ht="14.25" customHeight="1">
      <c r="A2993" s="1">
        <v>7.3</v>
      </c>
      <c r="B2993" s="1">
        <v>100.0</v>
      </c>
    </row>
    <row r="2994" ht="14.25" customHeight="1">
      <c r="A2994" s="1">
        <v>6.0</v>
      </c>
      <c r="B2994" s="1">
        <v>109.0</v>
      </c>
    </row>
    <row r="2995" ht="14.25" customHeight="1">
      <c r="A2995" s="1">
        <v>7.2</v>
      </c>
      <c r="B2995" s="1">
        <v>105.0</v>
      </c>
    </row>
    <row r="2996" ht="14.25" customHeight="1">
      <c r="A2996" s="1">
        <v>6.0</v>
      </c>
      <c r="B2996" s="1">
        <v>102.0</v>
      </c>
    </row>
    <row r="2997" ht="14.25" customHeight="1">
      <c r="A2997" s="1">
        <v>3.1</v>
      </c>
      <c r="B2997" s="1">
        <v>97.0</v>
      </c>
    </row>
    <row r="2998" ht="14.25" customHeight="1">
      <c r="A2998" s="1">
        <v>6.2</v>
      </c>
      <c r="B2998" s="1">
        <v>92.0</v>
      </c>
    </row>
    <row r="2999" ht="14.25" customHeight="1">
      <c r="A2999" s="1">
        <v>6.3</v>
      </c>
      <c r="B2999" s="1">
        <v>93.0</v>
      </c>
    </row>
    <row r="3000" ht="14.25" customHeight="1">
      <c r="A3000" s="1">
        <v>7.9</v>
      </c>
      <c r="B3000" s="1">
        <v>115.0</v>
      </c>
    </row>
    <row r="3001" ht="14.25" customHeight="1">
      <c r="A3001" s="1">
        <v>6.7</v>
      </c>
      <c r="B3001" s="1">
        <v>113.0</v>
      </c>
    </row>
    <row r="3002" ht="14.25" customHeight="1">
      <c r="A3002" s="1">
        <v>8.0</v>
      </c>
      <c r="B3002" s="1">
        <v>89.0</v>
      </c>
    </row>
    <row r="3003" ht="14.25" customHeight="1">
      <c r="A3003" s="1">
        <v>7.0</v>
      </c>
      <c r="B3003" s="1">
        <v>118.0</v>
      </c>
    </row>
    <row r="3004" ht="14.25" customHeight="1">
      <c r="A3004" s="1">
        <v>7.2</v>
      </c>
      <c r="B3004" s="1">
        <v>97.0</v>
      </c>
    </row>
    <row r="3005" ht="14.25" customHeight="1">
      <c r="A3005" s="1">
        <v>6.2</v>
      </c>
      <c r="B3005" s="1">
        <v>156.0</v>
      </c>
    </row>
    <row r="3006" ht="14.25" customHeight="1">
      <c r="A3006" s="1">
        <v>3.5</v>
      </c>
      <c r="B3006" s="1">
        <v>100.0</v>
      </c>
    </row>
    <row r="3007" ht="14.25" customHeight="1">
      <c r="A3007" s="1">
        <v>7.5</v>
      </c>
      <c r="B3007" s="1">
        <v>96.0</v>
      </c>
    </row>
    <row r="3008" ht="14.25" customHeight="1">
      <c r="A3008" s="1">
        <v>6.7</v>
      </c>
      <c r="B3008" s="1">
        <v>120.0</v>
      </c>
    </row>
    <row r="3009" ht="14.25" customHeight="1">
      <c r="A3009" s="1">
        <v>9.2</v>
      </c>
      <c r="B3009" s="1">
        <v>175.0</v>
      </c>
    </row>
    <row r="3010" ht="14.25" customHeight="1">
      <c r="A3010" s="1">
        <v>6.1</v>
      </c>
      <c r="B3010" s="1">
        <v>95.0</v>
      </c>
    </row>
    <row r="3011" ht="14.25" customHeight="1">
      <c r="A3011" s="1">
        <v>7.7</v>
      </c>
      <c r="B3011" s="1">
        <v>95.0</v>
      </c>
    </row>
    <row r="3012" ht="14.25" customHeight="1">
      <c r="A3012" s="1">
        <v>7.6</v>
      </c>
      <c r="B3012" s="1">
        <v>121.0</v>
      </c>
    </row>
    <row r="3013" ht="14.25" customHeight="1">
      <c r="A3013" s="1">
        <v>6.1</v>
      </c>
      <c r="B3013" s="1">
        <v>110.0</v>
      </c>
    </row>
    <row r="3014" ht="14.25" customHeight="1">
      <c r="A3014" s="1">
        <v>4.9</v>
      </c>
      <c r="B3014" s="1">
        <v>96.0</v>
      </c>
    </row>
    <row r="3015" ht="14.25" customHeight="1">
      <c r="A3015" s="1">
        <v>6.8</v>
      </c>
      <c r="B3015" s="1">
        <v>121.0</v>
      </c>
    </row>
    <row r="3016" ht="14.25" customHeight="1">
      <c r="A3016" s="1">
        <v>7.0</v>
      </c>
      <c r="B3016" s="1">
        <v>95.0</v>
      </c>
    </row>
    <row r="3017" ht="14.25" customHeight="1">
      <c r="A3017" s="1">
        <v>5.7</v>
      </c>
      <c r="B3017" s="1">
        <v>112.0</v>
      </c>
    </row>
    <row r="3018" ht="14.25" customHeight="1">
      <c r="A3018" s="1">
        <v>7.3</v>
      </c>
      <c r="B3018" s="1">
        <v>143.0</v>
      </c>
    </row>
    <row r="3019" ht="14.25" customHeight="1">
      <c r="A3019" s="1">
        <v>7.5</v>
      </c>
      <c r="B3019" s="1">
        <v>93.0</v>
      </c>
    </row>
    <row r="3020" ht="14.25" customHeight="1">
      <c r="A3020" s="1">
        <v>7.4</v>
      </c>
      <c r="B3020" s="1">
        <v>110.0</v>
      </c>
    </row>
    <row r="3021" ht="14.25" customHeight="1">
      <c r="A3021" s="1">
        <v>7.2</v>
      </c>
      <c r="B3021" s="1">
        <v>104.0</v>
      </c>
    </row>
    <row r="3022" ht="14.25" customHeight="1">
      <c r="A3022" s="1">
        <v>6.5</v>
      </c>
      <c r="B3022" s="1">
        <v>115.0</v>
      </c>
    </row>
    <row r="3023" ht="14.25" customHeight="1">
      <c r="A3023" s="1">
        <v>6.8</v>
      </c>
      <c r="B3023" s="1">
        <v>119.0</v>
      </c>
    </row>
    <row r="3024" ht="14.25" customHeight="1">
      <c r="A3024" s="1">
        <v>6.8</v>
      </c>
      <c r="B3024" s="1">
        <v>125.0</v>
      </c>
    </row>
    <row r="3025" ht="14.25" customHeight="1">
      <c r="A3025" s="1">
        <v>5.2</v>
      </c>
      <c r="B3025" s="1">
        <v>96.0</v>
      </c>
    </row>
    <row r="3026" ht="14.25" customHeight="1">
      <c r="A3026" s="1">
        <v>7.2</v>
      </c>
      <c r="B3026" s="1">
        <v>100.0</v>
      </c>
    </row>
    <row r="3027" ht="14.25" customHeight="1">
      <c r="A3027" s="1">
        <v>4.0</v>
      </c>
      <c r="B3027" s="1">
        <v>89.0</v>
      </c>
    </row>
    <row r="3028" ht="14.25" customHeight="1">
      <c r="A3028" s="1">
        <v>6.8</v>
      </c>
      <c r="B3028" s="1">
        <v>92.0</v>
      </c>
    </row>
    <row r="3029" ht="14.25" customHeight="1">
      <c r="A3029" s="1">
        <v>6.9</v>
      </c>
      <c r="B3029" s="1">
        <v>109.0</v>
      </c>
    </row>
    <row r="3030" ht="14.25" customHeight="1">
      <c r="A3030" s="1">
        <v>7.3</v>
      </c>
      <c r="B3030" s="1">
        <v>103.0</v>
      </c>
    </row>
    <row r="3031" ht="14.25" customHeight="1">
      <c r="A3031" s="1">
        <v>6.1</v>
      </c>
      <c r="B3031" s="1">
        <v>95.0</v>
      </c>
    </row>
    <row r="3032" ht="14.25" customHeight="1">
      <c r="A3032" s="1">
        <v>7.8</v>
      </c>
      <c r="B3032" s="1">
        <v>143.0</v>
      </c>
    </row>
    <row r="3033" ht="14.25" customHeight="1">
      <c r="A3033" s="1">
        <v>6.0</v>
      </c>
      <c r="B3033" s="1">
        <v>105.0</v>
      </c>
    </row>
    <row r="3034" ht="14.25" customHeight="1">
      <c r="A3034" s="1">
        <v>7.0</v>
      </c>
      <c r="B3034" s="1">
        <v>106.0</v>
      </c>
    </row>
    <row r="3035" ht="14.25" customHeight="1">
      <c r="A3035" s="1">
        <v>7.1</v>
      </c>
      <c r="B3035" s="1">
        <v>100.0</v>
      </c>
    </row>
    <row r="3036" ht="14.25" customHeight="1">
      <c r="A3036" s="1">
        <v>6.2</v>
      </c>
      <c r="B3036" s="1">
        <v>103.0</v>
      </c>
    </row>
    <row r="3037" ht="14.25" customHeight="1">
      <c r="A3037" s="1">
        <v>7.6</v>
      </c>
      <c r="B3037" s="1">
        <v>99.0</v>
      </c>
    </row>
    <row r="3038" ht="14.25" customHeight="1">
      <c r="A3038" s="1">
        <v>7.6</v>
      </c>
      <c r="B3038" s="1">
        <v>164.0</v>
      </c>
    </row>
    <row r="3039" ht="14.25" customHeight="1">
      <c r="A3039" s="1">
        <v>6.4</v>
      </c>
      <c r="B3039" s="1">
        <v>96.0</v>
      </c>
    </row>
    <row r="3040" ht="14.25" customHeight="1">
      <c r="A3040" s="1">
        <v>6.2</v>
      </c>
      <c r="B3040" s="1">
        <v>122.0</v>
      </c>
    </row>
    <row r="3041" ht="14.25" customHeight="1">
      <c r="A3041" s="1">
        <v>7.5</v>
      </c>
      <c r="B3041" s="1">
        <v>94.0</v>
      </c>
    </row>
    <row r="3042" ht="14.25" customHeight="1">
      <c r="A3042" s="1">
        <v>2.0</v>
      </c>
      <c r="B3042" s="1">
        <v>93.0</v>
      </c>
    </row>
    <row r="3043" ht="14.25" customHeight="1">
      <c r="A3043" s="1">
        <v>6.2</v>
      </c>
      <c r="B3043" s="1">
        <v>96.0</v>
      </c>
    </row>
    <row r="3044" ht="14.25" customHeight="1">
      <c r="A3044" s="1">
        <v>6.5</v>
      </c>
      <c r="B3044" s="1">
        <v>113.0</v>
      </c>
    </row>
    <row r="3045" ht="14.25" customHeight="1">
      <c r="A3045" s="1">
        <v>6.8</v>
      </c>
      <c r="B3045" s="1">
        <v>99.0</v>
      </c>
    </row>
    <row r="3046" ht="14.25" customHeight="1">
      <c r="A3046" s="1">
        <v>6.3</v>
      </c>
      <c r="B3046" s="1">
        <v>91.0</v>
      </c>
    </row>
    <row r="3047" ht="14.25" customHeight="1">
      <c r="A3047" s="1">
        <v>6.3</v>
      </c>
      <c r="B3047" s="1">
        <v>100.0</v>
      </c>
    </row>
    <row r="3048" ht="14.25" customHeight="1">
      <c r="A3048" s="1">
        <v>6.6</v>
      </c>
      <c r="B3048" s="1">
        <v>105.0</v>
      </c>
    </row>
    <row r="3049" ht="14.25" customHeight="1">
      <c r="A3049" s="1">
        <v>6.4</v>
      </c>
      <c r="B3049" s="1">
        <v>99.0</v>
      </c>
    </row>
    <row r="3050" ht="14.25" customHeight="1">
      <c r="A3050" s="1">
        <v>7.5</v>
      </c>
      <c r="B3050" s="1">
        <v>112.0</v>
      </c>
    </row>
    <row r="3051" ht="14.25" customHeight="1">
      <c r="A3051" s="1">
        <v>6.5</v>
      </c>
      <c r="B3051" s="1">
        <v>99.0</v>
      </c>
    </row>
    <row r="3052" ht="14.25" customHeight="1">
      <c r="A3052" s="1">
        <v>7.2</v>
      </c>
      <c r="B3052" s="1">
        <v>125.0</v>
      </c>
    </row>
    <row r="3053" ht="14.25" customHeight="1">
      <c r="A3053" s="1">
        <v>6.3</v>
      </c>
      <c r="B3053" s="1">
        <v>107.0</v>
      </c>
    </row>
    <row r="3054" ht="14.25" customHeight="1">
      <c r="A3054" s="1">
        <v>7.0</v>
      </c>
      <c r="B3054" s="1">
        <v>107.0</v>
      </c>
    </row>
    <row r="3055" ht="14.25" customHeight="1">
      <c r="A3055" s="1">
        <v>6.3</v>
      </c>
      <c r="B3055" s="1">
        <v>97.0</v>
      </c>
    </row>
    <row r="3056" ht="14.25" customHeight="1">
      <c r="A3056" s="1">
        <v>2.3</v>
      </c>
      <c r="B3056" s="1">
        <v>95.0</v>
      </c>
    </row>
    <row r="3057" ht="14.25" customHeight="1">
      <c r="A3057" s="1">
        <v>7.1</v>
      </c>
      <c r="B3057" s="1">
        <v>106.0</v>
      </c>
    </row>
    <row r="3058" ht="14.25" customHeight="1">
      <c r="A3058" s="1">
        <v>6.7</v>
      </c>
      <c r="B3058" s="1">
        <v>96.0</v>
      </c>
    </row>
    <row r="3059" ht="14.25" customHeight="1">
      <c r="A3059" s="1">
        <v>6.5</v>
      </c>
      <c r="B3059" s="1">
        <v>103.0</v>
      </c>
    </row>
    <row r="3060" ht="14.25" customHeight="1">
      <c r="A3060" s="1">
        <v>5.9</v>
      </c>
      <c r="B3060" s="1">
        <v>108.0</v>
      </c>
    </row>
    <row r="3061" ht="14.25" customHeight="1">
      <c r="A3061" s="1">
        <v>6.0</v>
      </c>
      <c r="B3061" s="1">
        <v>118.0</v>
      </c>
    </row>
    <row r="3062" ht="14.25" customHeight="1">
      <c r="A3062" s="1">
        <v>6.9</v>
      </c>
      <c r="B3062" s="1">
        <v>97.0</v>
      </c>
    </row>
    <row r="3063" ht="14.25" customHeight="1">
      <c r="A3063" s="1">
        <v>7.3</v>
      </c>
      <c r="B3063" s="1">
        <v>115.0</v>
      </c>
    </row>
    <row r="3064" ht="14.25" customHeight="1">
      <c r="A3064" s="1">
        <v>7.7</v>
      </c>
      <c r="B3064" s="1">
        <v>102.0</v>
      </c>
    </row>
    <row r="3065" ht="14.25" customHeight="1">
      <c r="A3065" s="1">
        <v>7.0</v>
      </c>
      <c r="B3065" s="1">
        <v>108.0</v>
      </c>
    </row>
    <row r="3066" ht="14.25" customHeight="1">
      <c r="A3066" s="1">
        <v>6.4</v>
      </c>
      <c r="B3066" s="1">
        <v>101.0</v>
      </c>
    </row>
    <row r="3067" ht="14.25" customHeight="1">
      <c r="A3067" s="1">
        <v>5.6</v>
      </c>
      <c r="B3067" s="1">
        <v>101.0</v>
      </c>
    </row>
    <row r="3068" ht="14.25" customHeight="1">
      <c r="A3068" s="1">
        <v>8.2</v>
      </c>
      <c r="B3068" s="1">
        <v>139.0</v>
      </c>
    </row>
    <row r="3069" ht="14.25" customHeight="1">
      <c r="A3069" s="1">
        <v>6.5</v>
      </c>
      <c r="B3069" s="1">
        <v>125.0</v>
      </c>
    </row>
    <row r="3070" ht="14.25" customHeight="1">
      <c r="A3070" s="1">
        <v>8.1</v>
      </c>
      <c r="B3070" s="1">
        <v>115.0</v>
      </c>
    </row>
    <row r="3071" ht="14.25" customHeight="1">
      <c r="A3071" s="1">
        <v>5.4</v>
      </c>
      <c r="B3071" s="1">
        <v>99.0</v>
      </c>
    </row>
    <row r="3072" ht="14.25" customHeight="1">
      <c r="A3072" s="1">
        <v>6.3</v>
      </c>
      <c r="B3072" s="1">
        <v>88.0</v>
      </c>
    </row>
    <row r="3073" ht="14.25" customHeight="1">
      <c r="A3073" s="1">
        <v>7.8</v>
      </c>
      <c r="B3073" s="1">
        <v>112.0</v>
      </c>
    </row>
    <row r="3074" ht="14.25" customHeight="1">
      <c r="A3074" s="1">
        <v>6.8</v>
      </c>
      <c r="B3074" s="1">
        <v>108.0</v>
      </c>
    </row>
    <row r="3075" ht="14.25" customHeight="1">
      <c r="A3075" s="1">
        <v>7.1</v>
      </c>
      <c r="B3075" s="1">
        <v>104.0</v>
      </c>
    </row>
    <row r="3076" ht="14.25" customHeight="1">
      <c r="A3076" s="1">
        <v>6.2</v>
      </c>
      <c r="B3076" s="1">
        <v>108.0</v>
      </c>
    </row>
    <row r="3077" ht="14.25" customHeight="1">
      <c r="A3077" s="1">
        <v>7.3</v>
      </c>
      <c r="B3077" s="1">
        <v>102.0</v>
      </c>
    </row>
    <row r="3078" ht="14.25" customHeight="1">
      <c r="A3078" s="1">
        <v>5.9</v>
      </c>
      <c r="B3078" s="1">
        <v>88.0</v>
      </c>
    </row>
    <row r="3079" ht="14.25" customHeight="1">
      <c r="A3079" s="1">
        <v>3.6</v>
      </c>
      <c r="B3079" s="1">
        <v>91.0</v>
      </c>
    </row>
    <row r="3080" ht="14.25" customHeight="1">
      <c r="A3080" s="1">
        <v>7.7</v>
      </c>
      <c r="B3080" s="1">
        <v>141.0</v>
      </c>
    </row>
    <row r="3081" ht="14.25" customHeight="1">
      <c r="A3081" s="1">
        <v>7.3</v>
      </c>
      <c r="B3081" s="1">
        <v>101.0</v>
      </c>
    </row>
    <row r="3082" ht="14.25" customHeight="1">
      <c r="A3082" s="1">
        <v>7.4</v>
      </c>
      <c r="B3082" s="1">
        <v>105.0</v>
      </c>
    </row>
    <row r="3083" ht="14.25" customHeight="1">
      <c r="A3083" s="1">
        <v>6.6</v>
      </c>
      <c r="B3083" s="1">
        <v>100.0</v>
      </c>
    </row>
    <row r="3084" ht="14.25" customHeight="1">
      <c r="A3084" s="1">
        <v>6.9</v>
      </c>
      <c r="B3084" s="1">
        <v>116.0</v>
      </c>
    </row>
    <row r="3085" ht="14.25" customHeight="1">
      <c r="A3085" s="1">
        <v>6.8</v>
      </c>
      <c r="B3085" s="1">
        <v>97.0</v>
      </c>
    </row>
    <row r="3086" ht="14.25" customHeight="1">
      <c r="A3086" s="1">
        <v>7.2</v>
      </c>
      <c r="B3086" s="1">
        <v>105.0</v>
      </c>
    </row>
    <row r="3087" ht="14.25" customHeight="1">
      <c r="A3087" s="1">
        <v>7.7</v>
      </c>
      <c r="B3087" s="1">
        <v>122.0</v>
      </c>
    </row>
    <row r="3088" ht="14.25" customHeight="1">
      <c r="A3088" s="1">
        <v>8.1</v>
      </c>
      <c r="B3088" s="1">
        <v>107.0</v>
      </c>
    </row>
    <row r="3089" ht="14.25" customHeight="1">
      <c r="A3089" s="1">
        <v>7.7</v>
      </c>
      <c r="B3089" s="1">
        <v>121.0</v>
      </c>
    </row>
    <row r="3090" ht="14.25" customHeight="1">
      <c r="A3090" s="1">
        <v>7.6</v>
      </c>
      <c r="B3090" s="1">
        <v>98.0</v>
      </c>
    </row>
    <row r="3091" ht="14.25" customHeight="1">
      <c r="A3091" s="1">
        <v>7.2</v>
      </c>
      <c r="B3091" s="1">
        <v>123.0</v>
      </c>
    </row>
    <row r="3092" ht="14.25" customHeight="1">
      <c r="A3092" s="1">
        <v>7.2</v>
      </c>
      <c r="B3092" s="1">
        <v>110.0</v>
      </c>
    </row>
    <row r="3093" ht="14.25" customHeight="1">
      <c r="A3093" s="1">
        <v>8.1</v>
      </c>
      <c r="B3093" s="1">
        <v>120.0</v>
      </c>
    </row>
    <row r="3094" ht="14.25" customHeight="1">
      <c r="A3094" s="1">
        <v>7.5</v>
      </c>
      <c r="B3094" s="1">
        <v>122.0</v>
      </c>
    </row>
    <row r="3095" ht="14.25" customHeight="1">
      <c r="A3095" s="1">
        <v>8.1</v>
      </c>
      <c r="B3095" s="1">
        <v>110.0</v>
      </c>
    </row>
    <row r="3096" ht="14.25" customHeight="1">
      <c r="A3096" s="1">
        <v>7.8</v>
      </c>
      <c r="B3096" s="1">
        <v>139.0</v>
      </c>
    </row>
    <row r="3097" ht="14.25" customHeight="1">
      <c r="A3097" s="1">
        <v>7.8</v>
      </c>
      <c r="B3097" s="1">
        <v>124.0</v>
      </c>
    </row>
    <row r="3098" ht="14.25" customHeight="1">
      <c r="A3098" s="1">
        <v>5.8</v>
      </c>
      <c r="B3098" s="1">
        <v>120.0</v>
      </c>
    </row>
    <row r="3099" ht="14.25" customHeight="1">
      <c r="A3099" s="1">
        <v>7.6</v>
      </c>
      <c r="B3099" s="1">
        <v>152.0</v>
      </c>
    </row>
    <row r="3100" ht="14.25" customHeight="1">
      <c r="A3100" s="1">
        <v>7.4</v>
      </c>
      <c r="B3100" s="1">
        <v>98.0</v>
      </c>
    </row>
    <row r="3101" ht="14.25" customHeight="1">
      <c r="A3101" s="1">
        <v>6.3</v>
      </c>
      <c r="B3101" s="1">
        <v>106.0</v>
      </c>
    </row>
    <row r="3102" ht="14.25" customHeight="1">
      <c r="A3102" s="1">
        <v>6.9</v>
      </c>
      <c r="B3102" s="1">
        <v>106.0</v>
      </c>
    </row>
    <row r="3103" ht="14.25" customHeight="1">
      <c r="A3103" s="1">
        <v>8.6</v>
      </c>
      <c r="B3103" s="1">
        <v>106.0</v>
      </c>
    </row>
    <row r="3104" ht="14.25" customHeight="1">
      <c r="A3104" s="1">
        <v>5.1</v>
      </c>
      <c r="B3104" s="1">
        <v>89.0</v>
      </c>
    </row>
    <row r="3105" ht="14.25" customHeight="1">
      <c r="A3105" s="1">
        <v>6.4</v>
      </c>
      <c r="B3105" s="1">
        <v>94.0</v>
      </c>
    </row>
    <row r="3106" ht="14.25" customHeight="1">
      <c r="A3106" s="1">
        <v>7.9</v>
      </c>
      <c r="B3106" s="1">
        <v>109.0</v>
      </c>
    </row>
    <row r="3107" ht="14.25" customHeight="1">
      <c r="A3107" s="1">
        <v>6.9</v>
      </c>
      <c r="B3107" s="1">
        <v>144.0</v>
      </c>
    </row>
    <row r="3108" ht="14.25" customHeight="1">
      <c r="A3108" s="1">
        <v>7.5</v>
      </c>
      <c r="B3108" s="1">
        <v>90.0</v>
      </c>
    </row>
    <row r="3109" ht="14.25" customHeight="1">
      <c r="A3109" s="1">
        <v>7.2</v>
      </c>
      <c r="B3109" s="1">
        <v>106.0</v>
      </c>
    </row>
    <row r="3110" ht="14.25" customHeight="1">
      <c r="A3110" s="1">
        <v>5.8</v>
      </c>
      <c r="B3110" s="1">
        <v>121.0</v>
      </c>
    </row>
    <row r="3111" ht="14.25" customHeight="1">
      <c r="A3111" s="1">
        <v>2.9</v>
      </c>
      <c r="B3111" s="1">
        <v>89.0</v>
      </c>
    </row>
    <row r="3112" ht="14.25" customHeight="1">
      <c r="A3112" s="1">
        <v>6.2</v>
      </c>
      <c r="B3112" s="1">
        <v>104.0</v>
      </c>
    </row>
    <row r="3113" ht="14.25" customHeight="1">
      <c r="A3113" s="1">
        <v>6.8</v>
      </c>
      <c r="B3113" s="1">
        <v>99.0</v>
      </c>
    </row>
    <row r="3114" ht="14.25" customHeight="1">
      <c r="A3114" s="1">
        <v>6.1</v>
      </c>
      <c r="B3114" s="1">
        <v>98.0</v>
      </c>
    </row>
    <row r="3115" ht="14.25" customHeight="1">
      <c r="A3115" s="1">
        <v>7.7</v>
      </c>
      <c r="B3115" s="1">
        <v>121.0</v>
      </c>
    </row>
    <row r="3116" ht="14.25" customHeight="1">
      <c r="A3116" s="1">
        <v>5.2</v>
      </c>
      <c r="B3116" s="1">
        <v>96.0</v>
      </c>
    </row>
    <row r="3117" ht="14.25" customHeight="1">
      <c r="A3117" s="1">
        <v>6.8</v>
      </c>
      <c r="B3117" s="1">
        <v>99.0</v>
      </c>
    </row>
    <row r="3118" ht="14.25" customHeight="1">
      <c r="A3118" s="1">
        <v>7.0</v>
      </c>
      <c r="B3118" s="1">
        <v>122.0</v>
      </c>
    </row>
    <row r="3119" ht="14.25" customHeight="1">
      <c r="A3119" s="1">
        <v>5.9</v>
      </c>
      <c r="B3119" s="1">
        <v>101.0</v>
      </c>
    </row>
    <row r="3120" ht="14.25" customHeight="1">
      <c r="A3120" s="1">
        <v>7.1</v>
      </c>
      <c r="B3120" s="1">
        <v>102.0</v>
      </c>
    </row>
    <row r="3121" ht="14.25" customHeight="1">
      <c r="A3121" s="1">
        <v>5.5</v>
      </c>
      <c r="B3121" s="1">
        <v>84.0</v>
      </c>
    </row>
    <row r="3122" ht="14.25" customHeight="1">
      <c r="A3122" s="1">
        <v>7.4</v>
      </c>
      <c r="B3122" s="1">
        <v>104.0</v>
      </c>
    </row>
    <row r="3123" ht="14.25" customHeight="1">
      <c r="A3123" s="1">
        <v>7.3</v>
      </c>
      <c r="B3123" s="1">
        <v>96.0</v>
      </c>
    </row>
    <row r="3124" ht="14.25" customHeight="1">
      <c r="A3124" s="1">
        <v>4.6</v>
      </c>
      <c r="B3124" s="1">
        <v>94.0</v>
      </c>
    </row>
    <row r="3125" ht="14.25" customHeight="1">
      <c r="A3125" s="1">
        <v>7.2</v>
      </c>
      <c r="B3125" s="1">
        <v>90.0</v>
      </c>
    </row>
    <row r="3126" ht="14.25" customHeight="1">
      <c r="A3126" s="1">
        <v>5.1</v>
      </c>
      <c r="B3126" s="1">
        <v>90.0</v>
      </c>
    </row>
    <row r="3127" ht="14.25" customHeight="1">
      <c r="A3127" s="1">
        <v>6.7</v>
      </c>
      <c r="B3127" s="1">
        <v>106.0</v>
      </c>
    </row>
    <row r="3128" ht="14.25" customHeight="1">
      <c r="A3128" s="1">
        <v>5.3</v>
      </c>
      <c r="B3128" s="1">
        <v>96.0</v>
      </c>
    </row>
    <row r="3129" ht="14.25" customHeight="1">
      <c r="A3129" s="1">
        <v>7.8</v>
      </c>
      <c r="B3129" s="1">
        <v>95.0</v>
      </c>
    </row>
    <row r="3130" ht="14.25" customHeight="1">
      <c r="A3130" s="1">
        <v>6.7</v>
      </c>
      <c r="B3130" s="1">
        <v>99.0</v>
      </c>
    </row>
    <row r="3131" ht="14.25" customHeight="1">
      <c r="A3131" s="1">
        <v>7.2</v>
      </c>
      <c r="B3131" s="1">
        <v>99.0</v>
      </c>
    </row>
    <row r="3132" ht="14.25" customHeight="1">
      <c r="A3132" s="1">
        <v>5.8</v>
      </c>
      <c r="B3132" s="1">
        <v>95.0</v>
      </c>
    </row>
    <row r="3133" ht="14.25" customHeight="1">
      <c r="A3133" s="1">
        <v>7.0</v>
      </c>
      <c r="B3133" s="1">
        <v>99.0</v>
      </c>
    </row>
    <row r="3134" ht="14.25" customHeight="1">
      <c r="A3134" s="1">
        <v>3.8</v>
      </c>
      <c r="B3134" s="1">
        <v>107.0</v>
      </c>
    </row>
    <row r="3135" ht="14.25" customHeight="1">
      <c r="A3135" s="1">
        <v>5.7</v>
      </c>
      <c r="B3135" s="1">
        <v>90.0</v>
      </c>
    </row>
    <row r="3136" ht="14.25" customHeight="1">
      <c r="A3136" s="1">
        <v>6.7</v>
      </c>
      <c r="B3136" s="1">
        <v>96.0</v>
      </c>
    </row>
    <row r="3137" ht="14.25" customHeight="1">
      <c r="A3137" s="1">
        <v>6.2</v>
      </c>
      <c r="B3137" s="1">
        <v>97.0</v>
      </c>
    </row>
    <row r="3138" ht="14.25" customHeight="1">
      <c r="A3138" s="1">
        <v>6.2</v>
      </c>
      <c r="B3138" s="1">
        <v>107.0</v>
      </c>
    </row>
    <row r="3139" ht="14.25" customHeight="1">
      <c r="A3139" s="1">
        <v>4.7</v>
      </c>
      <c r="B3139" s="1">
        <v>85.0</v>
      </c>
    </row>
    <row r="3140" ht="14.25" customHeight="1">
      <c r="A3140" s="1">
        <v>6.3</v>
      </c>
      <c r="B3140" s="1">
        <v>95.0</v>
      </c>
    </row>
    <row r="3141" ht="14.25" customHeight="1">
      <c r="A3141" s="1">
        <v>7.3</v>
      </c>
      <c r="B3141" s="1">
        <v>111.0</v>
      </c>
    </row>
    <row r="3142" ht="14.25" customHeight="1">
      <c r="A3142" s="1">
        <v>6.1</v>
      </c>
      <c r="B3142" s="1">
        <v>115.0</v>
      </c>
    </row>
    <row r="3143" ht="14.25" customHeight="1">
      <c r="A3143" s="1">
        <v>7.1</v>
      </c>
      <c r="B3143" s="1">
        <v>103.0</v>
      </c>
    </row>
    <row r="3144" ht="14.25" customHeight="1">
      <c r="A3144" s="1">
        <v>7.1</v>
      </c>
      <c r="B3144" s="1">
        <v>111.0</v>
      </c>
    </row>
    <row r="3145" ht="14.25" customHeight="1">
      <c r="A3145" s="1">
        <v>6.7</v>
      </c>
      <c r="B3145" s="1">
        <v>112.0</v>
      </c>
    </row>
    <row r="3146" ht="14.25" customHeight="1">
      <c r="A3146" s="1">
        <v>6.9</v>
      </c>
      <c r="B3146" s="1">
        <v>141.0</v>
      </c>
    </row>
    <row r="3147" ht="14.25" customHeight="1">
      <c r="A3147" s="1">
        <v>2.1</v>
      </c>
      <c r="B3147" s="1">
        <v>95.0</v>
      </c>
    </row>
    <row r="3148" ht="14.25" customHeight="1">
      <c r="A3148" s="1">
        <v>6.6</v>
      </c>
      <c r="B3148" s="1">
        <v>85.0</v>
      </c>
    </row>
    <row r="3149" ht="14.25" customHeight="1">
      <c r="A3149" s="1">
        <v>8.3</v>
      </c>
      <c r="B3149" s="1">
        <v>129.0</v>
      </c>
    </row>
    <row r="3150" ht="14.25" customHeight="1">
      <c r="A3150" s="1">
        <v>7.2</v>
      </c>
      <c r="B3150" s="1">
        <v>125.0</v>
      </c>
    </row>
    <row r="3151" ht="14.25" customHeight="1">
      <c r="A3151" s="1">
        <v>5.6</v>
      </c>
      <c r="B3151" s="1">
        <v>116.0</v>
      </c>
    </row>
    <row r="3152" ht="14.25" customHeight="1">
      <c r="A3152" s="1">
        <v>7.7</v>
      </c>
      <c r="B3152" s="1">
        <v>105.0</v>
      </c>
    </row>
    <row r="3153" ht="14.25" customHeight="1">
      <c r="A3153" s="1">
        <v>6.6</v>
      </c>
      <c r="B3153" s="1">
        <v>90.0</v>
      </c>
    </row>
    <row r="3154" ht="14.25" customHeight="1">
      <c r="A3154" s="1">
        <v>7.4</v>
      </c>
      <c r="B3154" s="1">
        <v>111.0</v>
      </c>
    </row>
    <row r="3155" ht="14.25" customHeight="1">
      <c r="A3155" s="1">
        <v>7.1</v>
      </c>
      <c r="B3155" s="1">
        <v>91.0</v>
      </c>
    </row>
    <row r="3156" ht="14.25" customHeight="1">
      <c r="A3156" s="1">
        <v>7.9</v>
      </c>
      <c r="B3156" s="1">
        <v>97.0</v>
      </c>
    </row>
    <row r="3157" ht="14.25" customHeight="1">
      <c r="A3157" s="1">
        <v>6.7</v>
      </c>
      <c r="B3157" s="1">
        <v>92.0</v>
      </c>
    </row>
    <row r="3158" ht="14.25" customHeight="1">
      <c r="A3158" s="1">
        <v>6.6</v>
      </c>
      <c r="B3158" s="1">
        <v>104.0</v>
      </c>
    </row>
    <row r="3159" ht="14.25" customHeight="1">
      <c r="A3159" s="1">
        <v>7.9</v>
      </c>
      <c r="B3159" s="1">
        <v>120.0</v>
      </c>
    </row>
    <row r="3160" ht="14.25" customHeight="1">
      <c r="A3160" s="1">
        <v>4.9</v>
      </c>
      <c r="B3160" s="1">
        <v>99.0</v>
      </c>
    </row>
    <row r="3161" ht="14.25" customHeight="1">
      <c r="A3161" s="1">
        <v>7.2</v>
      </c>
      <c r="B3161" s="1">
        <v>93.0</v>
      </c>
    </row>
    <row r="3162" ht="14.25" customHeight="1">
      <c r="A3162" s="1">
        <v>6.1</v>
      </c>
      <c r="B3162" s="1">
        <v>99.0</v>
      </c>
    </row>
    <row r="3163" ht="14.25" customHeight="1">
      <c r="A3163" s="1">
        <v>5.3</v>
      </c>
      <c r="B3163" s="1">
        <v>96.0</v>
      </c>
    </row>
    <row r="3164" ht="14.25" customHeight="1">
      <c r="A3164" s="1">
        <v>5.0</v>
      </c>
      <c r="B3164" s="1">
        <v>96.0</v>
      </c>
    </row>
    <row r="3165" ht="14.25" customHeight="1">
      <c r="A3165" s="1">
        <v>7.6</v>
      </c>
      <c r="B3165" s="1">
        <v>100.0</v>
      </c>
    </row>
    <row r="3166" ht="14.25" customHeight="1">
      <c r="A3166" s="1">
        <v>7.6</v>
      </c>
      <c r="B3166" s="1">
        <v>98.0</v>
      </c>
    </row>
    <row r="3167" ht="14.25" customHeight="1">
      <c r="A3167" s="1">
        <v>6.6</v>
      </c>
      <c r="B3167" s="1">
        <v>106.0</v>
      </c>
    </row>
    <row r="3168" ht="14.25" customHeight="1">
      <c r="A3168" s="1">
        <v>6.6</v>
      </c>
      <c r="B3168" s="1">
        <v>95.0</v>
      </c>
    </row>
    <row r="3169" ht="14.25" customHeight="1">
      <c r="A3169" s="1">
        <v>7.3</v>
      </c>
      <c r="B3169" s="1">
        <v>104.0</v>
      </c>
    </row>
    <row r="3170" ht="14.25" customHeight="1">
      <c r="A3170" s="1">
        <v>6.6</v>
      </c>
      <c r="B3170" s="1">
        <v>87.0</v>
      </c>
    </row>
    <row r="3171" ht="14.25" customHeight="1">
      <c r="A3171" s="1">
        <v>6.9</v>
      </c>
      <c r="B3171" s="1">
        <v>81.0</v>
      </c>
    </row>
    <row r="3172" ht="14.25" customHeight="1">
      <c r="A3172" s="1">
        <v>5.8</v>
      </c>
      <c r="B3172" s="1">
        <v>94.0</v>
      </c>
    </row>
    <row r="3173" ht="14.25" customHeight="1">
      <c r="A3173" s="1">
        <v>4.4</v>
      </c>
      <c r="B3173" s="1">
        <v>89.0</v>
      </c>
    </row>
    <row r="3174" ht="14.25" customHeight="1">
      <c r="A3174" s="1">
        <v>6.6</v>
      </c>
      <c r="B3174" s="1">
        <v>88.0</v>
      </c>
    </row>
    <row r="3175" ht="14.25" customHeight="1">
      <c r="A3175" s="1">
        <v>7.1</v>
      </c>
      <c r="B3175" s="1">
        <v>108.0</v>
      </c>
    </row>
    <row r="3176" ht="14.25" customHeight="1">
      <c r="A3176" s="1">
        <v>7.6</v>
      </c>
      <c r="B3176" s="1">
        <v>115.0</v>
      </c>
    </row>
    <row r="3177" ht="14.25" customHeight="1">
      <c r="A3177" s="1">
        <v>4.6</v>
      </c>
      <c r="B3177" s="1">
        <v>96.0</v>
      </c>
    </row>
    <row r="3178" ht="14.25" customHeight="1">
      <c r="A3178" s="1">
        <v>6.8</v>
      </c>
      <c r="B3178" s="1">
        <v>135.0</v>
      </c>
    </row>
    <row r="3179" ht="14.25" customHeight="1">
      <c r="A3179" s="1">
        <v>4.9</v>
      </c>
      <c r="B3179" s="1">
        <v>93.0</v>
      </c>
    </row>
    <row r="3180" ht="14.25" customHeight="1">
      <c r="A3180" s="1">
        <v>7.3</v>
      </c>
      <c r="B3180" s="1">
        <v>109.0</v>
      </c>
    </row>
    <row r="3181" ht="14.25" customHeight="1">
      <c r="A3181" s="1">
        <v>5.0</v>
      </c>
      <c r="B3181" s="1">
        <v>101.0</v>
      </c>
    </row>
    <row r="3182" ht="14.25" customHeight="1">
      <c r="A3182" s="1">
        <v>8.0</v>
      </c>
      <c r="B3182" s="1">
        <v>117.0</v>
      </c>
    </row>
    <row r="3183" ht="14.25" customHeight="1">
      <c r="A3183" s="1">
        <v>5.2</v>
      </c>
      <c r="B3183" s="1">
        <v>83.0</v>
      </c>
    </row>
    <row r="3184" ht="14.25" customHeight="1">
      <c r="A3184" s="1">
        <v>8.5</v>
      </c>
      <c r="B3184" s="1">
        <v>113.0</v>
      </c>
    </row>
    <row r="3185" ht="14.25" customHeight="1">
      <c r="A3185" s="1">
        <v>6.5</v>
      </c>
      <c r="B3185" s="1">
        <v>104.0</v>
      </c>
    </row>
    <row r="3186" ht="14.25" customHeight="1">
      <c r="A3186" s="1">
        <v>7.4</v>
      </c>
      <c r="B3186" s="1">
        <v>97.0</v>
      </c>
    </row>
    <row r="3187" ht="14.25" customHeight="1">
      <c r="A3187" s="1">
        <v>7.7</v>
      </c>
      <c r="B3187" s="1">
        <v>110.0</v>
      </c>
    </row>
    <row r="3188" ht="14.25" customHeight="1">
      <c r="A3188" s="1">
        <v>7.4</v>
      </c>
      <c r="B3188" s="1">
        <v>103.0</v>
      </c>
    </row>
    <row r="3189" ht="14.25" customHeight="1">
      <c r="A3189" s="1">
        <v>5.1</v>
      </c>
      <c r="B3189" s="1">
        <v>94.0</v>
      </c>
    </row>
    <row r="3190" ht="14.25" customHeight="1">
      <c r="A3190" s="1">
        <v>5.0</v>
      </c>
      <c r="B3190" s="1">
        <v>77.0</v>
      </c>
    </row>
    <row r="3191" ht="14.25" customHeight="1">
      <c r="A3191" s="1">
        <v>7.2</v>
      </c>
      <c r="B3191" s="1">
        <v>134.0</v>
      </c>
    </row>
    <row r="3192" ht="14.25" customHeight="1">
      <c r="A3192" s="1">
        <v>6.4</v>
      </c>
      <c r="B3192" s="1">
        <v>90.0</v>
      </c>
    </row>
    <row r="3193" ht="14.25" customHeight="1">
      <c r="A3193" s="1">
        <v>5.6</v>
      </c>
      <c r="B3193" s="1">
        <v>104.0</v>
      </c>
    </row>
    <row r="3194" ht="14.25" customHeight="1">
      <c r="A3194" s="1">
        <v>6.2</v>
      </c>
      <c r="B3194" s="1">
        <v>95.0</v>
      </c>
    </row>
    <row r="3195" ht="14.25" customHeight="1">
      <c r="A3195" s="1">
        <v>6.1</v>
      </c>
      <c r="B3195" s="1">
        <v>93.0</v>
      </c>
    </row>
    <row r="3196" ht="14.25" customHeight="1">
      <c r="A3196" s="1">
        <v>5.2</v>
      </c>
      <c r="B3196" s="1">
        <v>106.0</v>
      </c>
    </row>
    <row r="3197" ht="14.25" customHeight="1">
      <c r="A3197" s="1">
        <v>7.3</v>
      </c>
      <c r="B3197" s="1">
        <v>109.0</v>
      </c>
    </row>
    <row r="3198" ht="14.25" customHeight="1">
      <c r="A3198" s="1">
        <v>7.5</v>
      </c>
      <c r="B3198" s="1">
        <v>101.0</v>
      </c>
    </row>
    <row r="3199" ht="14.25" customHeight="1">
      <c r="A3199" s="1">
        <v>4.5</v>
      </c>
      <c r="B3199" s="1">
        <v>100.0</v>
      </c>
    </row>
    <row r="3200" ht="14.25" customHeight="1">
      <c r="A3200" s="1">
        <v>6.6</v>
      </c>
      <c r="B3200" s="1">
        <v>95.0</v>
      </c>
    </row>
    <row r="3201" ht="14.25" customHeight="1">
      <c r="A3201" s="1">
        <v>5.3</v>
      </c>
      <c r="B3201" s="1">
        <v>94.0</v>
      </c>
    </row>
    <row r="3202" ht="14.25" customHeight="1">
      <c r="A3202" s="1">
        <v>4.9</v>
      </c>
      <c r="B3202" s="1">
        <v>93.0</v>
      </c>
    </row>
    <row r="3203" ht="14.25" customHeight="1">
      <c r="A3203" s="1">
        <v>7.7</v>
      </c>
      <c r="B3203" s="1">
        <v>106.0</v>
      </c>
    </row>
    <row r="3204" ht="14.25" customHeight="1">
      <c r="A3204" s="1">
        <v>8.0</v>
      </c>
      <c r="B3204" s="1">
        <v>99.0</v>
      </c>
    </row>
    <row r="3205" ht="14.25" customHeight="1">
      <c r="A3205" s="1">
        <v>3.8</v>
      </c>
      <c r="B3205" s="1">
        <v>82.0</v>
      </c>
    </row>
    <row r="3206" ht="14.25" customHeight="1">
      <c r="A3206" s="1">
        <v>7.6</v>
      </c>
      <c r="B3206" s="1">
        <v>135.0</v>
      </c>
    </row>
    <row r="3207" ht="14.25" customHeight="1">
      <c r="A3207" s="1">
        <v>5.9</v>
      </c>
      <c r="B3207" s="1">
        <v>88.0</v>
      </c>
    </row>
    <row r="3208" ht="14.25" customHeight="1">
      <c r="A3208" s="1">
        <v>6.2</v>
      </c>
      <c r="B3208" s="1">
        <v>89.0</v>
      </c>
    </row>
    <row r="3209" ht="14.25" customHeight="1">
      <c r="A3209" s="1">
        <v>7.2</v>
      </c>
      <c r="B3209" s="1">
        <v>110.0</v>
      </c>
    </row>
    <row r="3210" ht="14.25" customHeight="1">
      <c r="A3210" s="1">
        <v>6.3</v>
      </c>
      <c r="B3210" s="1">
        <v>107.0</v>
      </c>
    </row>
    <row r="3211" ht="14.25" customHeight="1">
      <c r="A3211" s="1">
        <v>5.2</v>
      </c>
      <c r="B3211" s="1">
        <v>86.0</v>
      </c>
    </row>
    <row r="3212" ht="14.25" customHeight="1">
      <c r="A3212" s="1">
        <v>6.9</v>
      </c>
      <c r="B3212" s="1">
        <v>91.0</v>
      </c>
    </row>
    <row r="3213" ht="14.25" customHeight="1">
      <c r="A3213" s="1">
        <v>6.8</v>
      </c>
      <c r="B3213" s="1">
        <v>103.0</v>
      </c>
    </row>
    <row r="3214" ht="14.25" customHeight="1">
      <c r="A3214" s="1">
        <v>6.1</v>
      </c>
      <c r="B3214" s="1">
        <v>99.0</v>
      </c>
    </row>
    <row r="3215" ht="14.25" customHeight="1">
      <c r="A3215" s="1">
        <v>5.9</v>
      </c>
      <c r="B3215" s="1">
        <v>82.0</v>
      </c>
    </row>
    <row r="3216" ht="14.25" customHeight="1">
      <c r="A3216" s="1">
        <v>6.9</v>
      </c>
      <c r="B3216" s="1">
        <v>92.0</v>
      </c>
    </row>
    <row r="3217" ht="14.25" customHeight="1">
      <c r="A3217" s="1">
        <v>7.7</v>
      </c>
      <c r="B3217" s="1">
        <v>112.0</v>
      </c>
    </row>
    <row r="3218" ht="14.25" customHeight="1">
      <c r="A3218" s="1">
        <v>5.3</v>
      </c>
      <c r="B3218" s="1">
        <v>90.0</v>
      </c>
    </row>
    <row r="3219" ht="14.25" customHeight="1">
      <c r="A3219" s="1">
        <v>7.0</v>
      </c>
      <c r="B3219" s="1">
        <v>150.0</v>
      </c>
    </row>
    <row r="3220" ht="14.25" customHeight="1">
      <c r="A3220" s="1">
        <v>6.6</v>
      </c>
      <c r="B3220" s="1">
        <v>91.0</v>
      </c>
    </row>
    <row r="3221" ht="14.25" customHeight="1">
      <c r="A3221" s="1">
        <v>6.4</v>
      </c>
      <c r="B3221" s="1">
        <v>95.0</v>
      </c>
    </row>
    <row r="3222" ht="14.25" customHeight="1">
      <c r="A3222" s="1">
        <v>7.9</v>
      </c>
      <c r="B3222" s="1">
        <v>97.0</v>
      </c>
    </row>
    <row r="3223" ht="14.25" customHeight="1">
      <c r="A3223" s="1">
        <v>7.7</v>
      </c>
      <c r="B3223" s="1">
        <v>112.0</v>
      </c>
    </row>
    <row r="3224" ht="14.25" customHeight="1">
      <c r="A3224" s="1">
        <v>7.2</v>
      </c>
      <c r="B3224" s="1">
        <v>122.0</v>
      </c>
    </row>
    <row r="3225" ht="14.25" customHeight="1">
      <c r="A3225" s="1">
        <v>6.8</v>
      </c>
      <c r="B3225" s="1">
        <v>110.0</v>
      </c>
    </row>
    <row r="3226" ht="14.25" customHeight="1">
      <c r="A3226" s="1">
        <v>7.4</v>
      </c>
      <c r="B3226" s="1">
        <v>108.0</v>
      </c>
    </row>
    <row r="3227" ht="14.25" customHeight="1">
      <c r="A3227" s="1">
        <v>4.6</v>
      </c>
      <c r="B3227" s="1">
        <v>121.0</v>
      </c>
    </row>
    <row r="3228" ht="14.25" customHeight="1">
      <c r="A3228" s="1">
        <v>6.4</v>
      </c>
      <c r="B3228" s="1">
        <v>97.0</v>
      </c>
    </row>
    <row r="3229" ht="14.25" customHeight="1">
      <c r="A3229" s="1">
        <v>7.0</v>
      </c>
      <c r="B3229" s="1">
        <v>116.0</v>
      </c>
    </row>
    <row r="3230" ht="14.25" customHeight="1">
      <c r="A3230" s="1">
        <v>7.7</v>
      </c>
      <c r="B3230" s="1">
        <v>94.0</v>
      </c>
    </row>
    <row r="3231" ht="14.25" customHeight="1">
      <c r="A3231" s="1">
        <v>6.8</v>
      </c>
      <c r="B3231" s="1">
        <v>103.0</v>
      </c>
    </row>
    <row r="3232" ht="14.25" customHeight="1">
      <c r="A3232" s="1">
        <v>7.0</v>
      </c>
      <c r="B3232" s="1">
        <v>112.0</v>
      </c>
    </row>
    <row r="3233" ht="14.25" customHeight="1">
      <c r="A3233" s="1">
        <v>7.0</v>
      </c>
      <c r="B3233" s="1">
        <v>91.0</v>
      </c>
    </row>
    <row r="3234" ht="14.25" customHeight="1">
      <c r="A3234" s="1">
        <v>6.3</v>
      </c>
      <c r="B3234" s="1">
        <v>98.0</v>
      </c>
    </row>
    <row r="3235" ht="14.25" customHeight="1">
      <c r="A3235" s="1">
        <v>7.1</v>
      </c>
      <c r="B3235" s="1">
        <v>95.0</v>
      </c>
    </row>
    <row r="3236" ht="14.25" customHeight="1">
      <c r="A3236" s="1">
        <v>7.1</v>
      </c>
      <c r="B3236" s="1">
        <v>91.0</v>
      </c>
    </row>
    <row r="3237" ht="14.25" customHeight="1">
      <c r="A3237" s="1">
        <v>6.1</v>
      </c>
      <c r="B3237" s="1">
        <v>97.0</v>
      </c>
    </row>
    <row r="3238" ht="14.25" customHeight="1">
      <c r="A3238" s="1">
        <v>7.3</v>
      </c>
      <c r="B3238" s="1">
        <v>90.0</v>
      </c>
    </row>
    <row r="3239" ht="14.25" customHeight="1">
      <c r="A3239" s="1">
        <v>6.2</v>
      </c>
      <c r="B3239" s="1">
        <v>90.0</v>
      </c>
    </row>
    <row r="3240" ht="14.25" customHeight="1">
      <c r="A3240" s="1">
        <v>6.2</v>
      </c>
      <c r="B3240" s="1">
        <v>90.0</v>
      </c>
    </row>
    <row r="3241" ht="14.25" customHeight="1">
      <c r="A3241" s="1">
        <v>3.3</v>
      </c>
      <c r="B3241" s="1">
        <v>103.0</v>
      </c>
    </row>
    <row r="3242" ht="14.25" customHeight="1">
      <c r="A3242" s="1">
        <v>7.4</v>
      </c>
      <c r="B3242" s="1">
        <v>113.0</v>
      </c>
    </row>
    <row r="3243" ht="14.25" customHeight="1">
      <c r="A3243" s="1">
        <v>8.0</v>
      </c>
      <c r="B3243" s="1">
        <v>148.0</v>
      </c>
    </row>
    <row r="3244" ht="14.25" customHeight="1">
      <c r="A3244" s="1">
        <v>5.9</v>
      </c>
      <c r="B3244" s="1">
        <v>93.0</v>
      </c>
    </row>
    <row r="3245" ht="14.25" customHeight="1">
      <c r="A3245" s="1">
        <v>6.8</v>
      </c>
      <c r="B3245" s="1">
        <v>94.0</v>
      </c>
    </row>
    <row r="3246" ht="14.25" customHeight="1">
      <c r="A3246" s="1">
        <v>7.4</v>
      </c>
      <c r="B3246" s="1">
        <v>121.0</v>
      </c>
    </row>
    <row r="3247" ht="14.25" customHeight="1">
      <c r="A3247" s="1">
        <v>6.7</v>
      </c>
      <c r="B3247" s="1">
        <v>118.0</v>
      </c>
    </row>
    <row r="3248" ht="14.25" customHeight="1">
      <c r="A3248" s="1">
        <v>5.5</v>
      </c>
      <c r="B3248" s="1">
        <v>101.0</v>
      </c>
    </row>
    <row r="3249" ht="14.25" customHeight="1">
      <c r="A3249" s="1">
        <v>5.7</v>
      </c>
      <c r="B3249" s="1">
        <v>90.0</v>
      </c>
    </row>
    <row r="3250" ht="14.25" customHeight="1">
      <c r="A3250" s="1">
        <v>7.2</v>
      </c>
      <c r="B3250" s="1">
        <v>100.0</v>
      </c>
    </row>
    <row r="3251" ht="14.25" customHeight="1">
      <c r="A3251" s="1">
        <v>5.9</v>
      </c>
      <c r="B3251" s="1">
        <v>97.0</v>
      </c>
    </row>
    <row r="3252" ht="14.25" customHeight="1">
      <c r="A3252" s="1">
        <v>6.7</v>
      </c>
      <c r="B3252" s="1">
        <v>96.0</v>
      </c>
    </row>
    <row r="3253" ht="14.25" customHeight="1">
      <c r="A3253" s="1">
        <v>7.1</v>
      </c>
      <c r="B3253" s="1">
        <v>117.0</v>
      </c>
    </row>
    <row r="3254" ht="14.25" customHeight="1">
      <c r="A3254" s="1">
        <v>7.7</v>
      </c>
      <c r="B3254" s="1">
        <v>108.0</v>
      </c>
    </row>
    <row r="3255" ht="14.25" customHeight="1">
      <c r="A3255" s="1">
        <v>7.4</v>
      </c>
      <c r="B3255" s="1">
        <v>109.0</v>
      </c>
    </row>
    <row r="3256" ht="14.25" customHeight="1">
      <c r="A3256" s="1">
        <v>8.4</v>
      </c>
      <c r="B3256" s="1">
        <v>102.0</v>
      </c>
    </row>
    <row r="3257" ht="14.25" customHeight="1">
      <c r="A3257" s="1">
        <v>7.2</v>
      </c>
      <c r="B3257" s="1">
        <v>115.0</v>
      </c>
    </row>
    <row r="3258" ht="14.25" customHeight="1">
      <c r="A3258" s="1">
        <v>8.1</v>
      </c>
      <c r="B3258" s="1">
        <v>133.0</v>
      </c>
    </row>
    <row r="3259" ht="14.25" customHeight="1">
      <c r="A3259" s="1">
        <v>7.8</v>
      </c>
      <c r="B3259" s="1">
        <v>122.0</v>
      </c>
    </row>
    <row r="3260" ht="14.25" customHeight="1">
      <c r="A3260" s="1">
        <v>6.8</v>
      </c>
      <c r="B3260" s="1">
        <v>106.0</v>
      </c>
    </row>
    <row r="3261" ht="14.25" customHeight="1">
      <c r="A3261" s="1">
        <v>7.7</v>
      </c>
      <c r="B3261" s="1">
        <v>112.0</v>
      </c>
    </row>
    <row r="3262" ht="14.25" customHeight="1">
      <c r="A3262" s="1">
        <v>6.5</v>
      </c>
      <c r="B3262" s="1">
        <v>99.0</v>
      </c>
    </row>
    <row r="3263" ht="14.25" customHeight="1">
      <c r="A3263" s="1">
        <v>7.3</v>
      </c>
      <c r="B3263" s="1">
        <v>110.0</v>
      </c>
    </row>
    <row r="3264" ht="14.25" customHeight="1">
      <c r="A3264" s="1">
        <v>5.9</v>
      </c>
      <c r="B3264" s="1">
        <v>104.0</v>
      </c>
    </row>
    <row r="3265" ht="14.25" customHeight="1">
      <c r="A3265" s="1">
        <v>8.7</v>
      </c>
      <c r="B3265" s="1">
        <v>133.0</v>
      </c>
    </row>
    <row r="3266" ht="14.25" customHeight="1">
      <c r="A3266" s="1">
        <v>6.1</v>
      </c>
      <c r="B3266" s="1">
        <v>112.0</v>
      </c>
    </row>
    <row r="3267" ht="14.25" customHeight="1">
      <c r="A3267" s="1">
        <v>7.6</v>
      </c>
      <c r="B3267" s="1">
        <v>101.0</v>
      </c>
    </row>
    <row r="3268" ht="14.25" customHeight="1">
      <c r="A3268" s="1">
        <v>5.8</v>
      </c>
      <c r="B3268" s="1">
        <v>111.0</v>
      </c>
    </row>
    <row r="3269" ht="14.25" customHeight="1">
      <c r="A3269" s="1">
        <v>6.5</v>
      </c>
      <c r="B3269" s="1">
        <v>104.0</v>
      </c>
    </row>
    <row r="3270" ht="14.25" customHeight="1">
      <c r="A3270" s="1">
        <v>7.3</v>
      </c>
      <c r="B3270" s="1">
        <v>112.0</v>
      </c>
    </row>
    <row r="3271" ht="14.25" customHeight="1">
      <c r="A3271" s="1">
        <v>6.2</v>
      </c>
      <c r="B3271" s="1">
        <v>94.0</v>
      </c>
    </row>
    <row r="3272" ht="14.25" customHeight="1">
      <c r="A3272" s="1">
        <v>5.0</v>
      </c>
      <c r="B3272" s="1">
        <v>90.0</v>
      </c>
    </row>
    <row r="3273" ht="14.25" customHeight="1">
      <c r="A3273" s="1">
        <v>7.8</v>
      </c>
      <c r="B3273" s="1">
        <v>101.0</v>
      </c>
    </row>
    <row r="3274" ht="14.25" customHeight="1">
      <c r="A3274" s="1">
        <v>8.1</v>
      </c>
      <c r="B3274" s="1">
        <v>93.0</v>
      </c>
    </row>
    <row r="3275" ht="14.25" customHeight="1">
      <c r="A3275" s="1">
        <v>6.7</v>
      </c>
      <c r="B3275" s="1">
        <v>152.0</v>
      </c>
    </row>
    <row r="3276" ht="14.25" customHeight="1">
      <c r="A3276" s="1">
        <v>6.1</v>
      </c>
      <c r="B3276" s="1">
        <v>150.0</v>
      </c>
    </row>
    <row r="3277" ht="14.25" customHeight="1">
      <c r="A3277" s="1">
        <v>7.1</v>
      </c>
      <c r="B3277" s="1">
        <v>112.0</v>
      </c>
    </row>
    <row r="3278" ht="14.25" customHeight="1">
      <c r="A3278" s="1">
        <v>5.6</v>
      </c>
      <c r="B3278" s="1">
        <v>95.0</v>
      </c>
    </row>
    <row r="3279" ht="14.25" customHeight="1">
      <c r="A3279" s="1">
        <v>7.6</v>
      </c>
      <c r="B3279" s="1">
        <v>111.0</v>
      </c>
    </row>
    <row r="3280" ht="14.25" customHeight="1">
      <c r="A3280" s="1">
        <v>4.6</v>
      </c>
      <c r="B3280" s="1">
        <v>91.0</v>
      </c>
    </row>
    <row r="3281" ht="14.25" customHeight="1">
      <c r="A3281" s="1">
        <v>7.1</v>
      </c>
      <c r="B3281" s="1">
        <v>106.0</v>
      </c>
    </row>
    <row r="3282" ht="14.25" customHeight="1">
      <c r="A3282" s="1">
        <v>7.3</v>
      </c>
      <c r="B3282" s="1">
        <v>93.0</v>
      </c>
    </row>
    <row r="3283" ht="14.25" customHeight="1">
      <c r="A3283" s="1">
        <v>4.0</v>
      </c>
      <c r="B3283" s="1">
        <v>93.0</v>
      </c>
    </row>
    <row r="3284" ht="14.25" customHeight="1">
      <c r="A3284" s="1">
        <v>8.0</v>
      </c>
      <c r="B3284" s="1">
        <v>165.0</v>
      </c>
    </row>
    <row r="3285" ht="14.25" customHeight="1">
      <c r="A3285" s="1">
        <v>6.7</v>
      </c>
      <c r="B3285" s="1">
        <v>96.0</v>
      </c>
    </row>
    <row r="3286" ht="14.25" customHeight="1">
      <c r="A3286" s="1">
        <v>5.7</v>
      </c>
      <c r="B3286" s="1">
        <v>119.0</v>
      </c>
    </row>
    <row r="3287" ht="14.25" customHeight="1">
      <c r="A3287" s="1">
        <v>4.6</v>
      </c>
      <c r="B3287" s="1">
        <v>93.0</v>
      </c>
    </row>
    <row r="3288" ht="14.25" customHeight="1">
      <c r="A3288" s="1">
        <v>4.0</v>
      </c>
      <c r="B3288" s="1">
        <v>82.0</v>
      </c>
    </row>
    <row r="3289" ht="14.25" customHeight="1">
      <c r="A3289" s="1">
        <v>7.0</v>
      </c>
      <c r="B3289" s="1">
        <v>101.0</v>
      </c>
    </row>
    <row r="3290" ht="14.25" customHeight="1">
      <c r="A3290" s="1">
        <v>5.9</v>
      </c>
      <c r="B3290" s="1">
        <v>81.0</v>
      </c>
    </row>
    <row r="3291" ht="14.25" customHeight="1">
      <c r="A3291" s="1">
        <v>4.8</v>
      </c>
      <c r="B3291" s="1">
        <v>107.0</v>
      </c>
    </row>
    <row r="3292" ht="14.25" customHeight="1">
      <c r="A3292" s="1">
        <v>7.5</v>
      </c>
      <c r="B3292" s="1">
        <v>105.0</v>
      </c>
    </row>
    <row r="3293" ht="14.25" customHeight="1">
      <c r="A3293" s="1">
        <v>4.7</v>
      </c>
      <c r="B3293" s="1">
        <v>86.0</v>
      </c>
    </row>
    <row r="3294" ht="14.25" customHeight="1">
      <c r="A3294" s="1">
        <v>6.7</v>
      </c>
      <c r="B3294" s="1">
        <v>110.0</v>
      </c>
    </row>
    <row r="3295" ht="14.25" customHeight="1">
      <c r="A3295" s="1">
        <v>6.7</v>
      </c>
      <c r="B3295" s="1">
        <v>110.0</v>
      </c>
    </row>
    <row r="3296" ht="14.25" customHeight="1">
      <c r="A3296" s="1">
        <v>7.1</v>
      </c>
      <c r="B3296" s="1">
        <v>104.0</v>
      </c>
    </row>
    <row r="3297" ht="14.25" customHeight="1">
      <c r="A3297" s="1">
        <v>2.7</v>
      </c>
      <c r="B3297" s="1">
        <v>96.0</v>
      </c>
    </row>
    <row r="3298" ht="14.25" customHeight="1">
      <c r="A3298" s="1">
        <v>7.3</v>
      </c>
      <c r="B3298" s="1">
        <v>110.0</v>
      </c>
    </row>
    <row r="3299" ht="14.25" customHeight="1">
      <c r="A3299" s="1">
        <v>7.6</v>
      </c>
      <c r="B3299" s="1">
        <v>84.0</v>
      </c>
    </row>
    <row r="3300" ht="14.25" customHeight="1">
      <c r="A3300" s="1">
        <v>5.8</v>
      </c>
      <c r="B3300" s="1">
        <v>94.0</v>
      </c>
    </row>
    <row r="3301" ht="14.25" customHeight="1">
      <c r="A3301" s="1">
        <v>6.5</v>
      </c>
      <c r="B3301" s="1">
        <v>93.0</v>
      </c>
    </row>
    <row r="3302" ht="14.25" customHeight="1">
      <c r="A3302" s="1">
        <v>6.6</v>
      </c>
      <c r="B3302" s="1">
        <v>96.0</v>
      </c>
    </row>
    <row r="3303" ht="14.25" customHeight="1">
      <c r="A3303" s="1">
        <v>6.9</v>
      </c>
      <c r="B3303" s="1">
        <v>101.0</v>
      </c>
    </row>
    <row r="3304" ht="14.25" customHeight="1">
      <c r="A3304" s="1">
        <v>8.5</v>
      </c>
      <c r="B3304" s="1">
        <v>102.0</v>
      </c>
    </row>
    <row r="3305" ht="14.25" customHeight="1">
      <c r="A3305" s="1">
        <v>4.8</v>
      </c>
      <c r="B3305" s="1">
        <v>87.0</v>
      </c>
    </row>
    <row r="3306" ht="14.25" customHeight="1">
      <c r="A3306" s="1">
        <v>7.0</v>
      </c>
      <c r="B3306" s="1">
        <v>99.0</v>
      </c>
    </row>
    <row r="3307" ht="14.25" customHeight="1">
      <c r="A3307" s="1">
        <v>5.4</v>
      </c>
      <c r="B3307" s="1">
        <v>106.0</v>
      </c>
    </row>
    <row r="3308" ht="14.25" customHeight="1">
      <c r="A3308" s="1">
        <v>6.9</v>
      </c>
      <c r="B3308" s="1">
        <v>117.0</v>
      </c>
    </row>
    <row r="3309" ht="14.25" customHeight="1">
      <c r="A3309" s="1">
        <v>6.6</v>
      </c>
      <c r="B3309" s="1">
        <v>99.0</v>
      </c>
    </row>
    <row r="3310" ht="14.25" customHeight="1">
      <c r="A3310" s="1">
        <v>5.9</v>
      </c>
      <c r="B3310" s="1">
        <v>102.0</v>
      </c>
    </row>
    <row r="3311" ht="14.25" customHeight="1">
      <c r="A3311" s="1">
        <v>6.3</v>
      </c>
      <c r="B3311" s="1">
        <v>85.0</v>
      </c>
    </row>
    <row r="3312" ht="14.25" customHeight="1">
      <c r="A3312" s="1">
        <v>6.3</v>
      </c>
      <c r="B3312" s="1">
        <v>86.0</v>
      </c>
    </row>
    <row r="3313" ht="14.25" customHeight="1">
      <c r="A3313" s="1">
        <v>7.0</v>
      </c>
      <c r="B3313" s="1">
        <v>106.0</v>
      </c>
    </row>
    <row r="3314" ht="14.25" customHeight="1">
      <c r="A3314" s="1">
        <v>6.3</v>
      </c>
      <c r="B3314" s="1">
        <v>103.0</v>
      </c>
    </row>
    <row r="3315" ht="14.25" customHeight="1">
      <c r="A3315" s="1">
        <v>6.2</v>
      </c>
      <c r="B3315" s="1">
        <v>112.0</v>
      </c>
    </row>
    <row r="3316" ht="14.25" customHeight="1">
      <c r="A3316" s="1">
        <v>7.7</v>
      </c>
      <c r="B3316" s="1">
        <v>113.0</v>
      </c>
    </row>
    <row r="3317" ht="14.25" customHeight="1">
      <c r="A3317" s="1">
        <v>6.5</v>
      </c>
      <c r="B3317" s="1">
        <v>98.0</v>
      </c>
    </row>
    <row r="3318" ht="14.25" customHeight="1">
      <c r="A3318" s="1">
        <v>5.8</v>
      </c>
      <c r="B3318" s="1">
        <v>92.0</v>
      </c>
    </row>
    <row r="3319" ht="14.25" customHeight="1">
      <c r="A3319" s="1">
        <v>6.1</v>
      </c>
      <c r="B3319" s="1">
        <v>106.0</v>
      </c>
    </row>
    <row r="3320" ht="14.25" customHeight="1">
      <c r="A3320" s="1">
        <v>8.2</v>
      </c>
      <c r="B3320" s="1">
        <v>226.0</v>
      </c>
    </row>
    <row r="3321" ht="14.25" customHeight="1">
      <c r="A3321" s="1">
        <v>6.0</v>
      </c>
      <c r="B3321" s="1">
        <v>104.0</v>
      </c>
    </row>
    <row r="3322" ht="14.25" customHeight="1">
      <c r="A3322" s="1">
        <v>6.8</v>
      </c>
      <c r="B3322" s="1">
        <v>152.0</v>
      </c>
    </row>
    <row r="3323" ht="14.25" customHeight="1">
      <c r="A3323" s="1">
        <v>7.0</v>
      </c>
      <c r="B3323" s="1">
        <v>107.0</v>
      </c>
    </row>
    <row r="3324" ht="14.25" customHeight="1">
      <c r="A3324" s="1">
        <v>6.8</v>
      </c>
      <c r="B3324" s="1">
        <v>95.0</v>
      </c>
    </row>
    <row r="3325" ht="14.25" customHeight="1">
      <c r="A3325" s="1">
        <v>7.1</v>
      </c>
      <c r="B3325" s="1">
        <v>102.0</v>
      </c>
    </row>
    <row r="3326" ht="14.25" customHeight="1">
      <c r="A3326" s="1">
        <v>6.9</v>
      </c>
      <c r="B3326" s="1">
        <v>99.0</v>
      </c>
    </row>
    <row r="3327" ht="14.25" customHeight="1">
      <c r="A3327" s="1">
        <v>6.9</v>
      </c>
      <c r="B3327" s="1">
        <v>109.0</v>
      </c>
    </row>
    <row r="3328" ht="14.25" customHeight="1">
      <c r="A3328" s="1">
        <v>6.9</v>
      </c>
      <c r="B3328" s="1">
        <v>113.0</v>
      </c>
    </row>
    <row r="3329" ht="14.25" customHeight="1">
      <c r="A3329" s="1">
        <v>7.2</v>
      </c>
      <c r="B3329" s="1">
        <v>91.0</v>
      </c>
    </row>
    <row r="3330" ht="14.25" customHeight="1">
      <c r="A3330" s="1">
        <v>7.8</v>
      </c>
      <c r="B3330" s="1">
        <v>88.0</v>
      </c>
    </row>
    <row r="3331" ht="14.25" customHeight="1">
      <c r="A3331" s="1">
        <v>7.3</v>
      </c>
      <c r="B3331" s="1">
        <v>97.0</v>
      </c>
    </row>
    <row r="3332" ht="14.25" customHeight="1">
      <c r="A3332" s="1">
        <v>7.5</v>
      </c>
      <c r="B3332" s="1">
        <v>97.0</v>
      </c>
    </row>
    <row r="3333" ht="14.25" customHeight="1">
      <c r="A3333" s="1">
        <v>6.0</v>
      </c>
      <c r="B3333" s="1">
        <v>85.0</v>
      </c>
    </row>
    <row r="3334" ht="14.25" customHeight="1">
      <c r="A3334" s="1">
        <v>6.8</v>
      </c>
      <c r="B3334" s="1">
        <v>92.0</v>
      </c>
    </row>
    <row r="3335" ht="14.25" customHeight="1">
      <c r="A3335" s="1">
        <v>3.9</v>
      </c>
      <c r="B3335" s="1">
        <v>93.0</v>
      </c>
    </row>
    <row r="3336" ht="14.25" customHeight="1">
      <c r="A3336" s="1">
        <v>6.1</v>
      </c>
      <c r="B3336" s="1">
        <v>96.0</v>
      </c>
    </row>
    <row r="3337" ht="14.25" customHeight="1">
      <c r="A3337" s="1">
        <v>7.5</v>
      </c>
      <c r="B3337" s="1">
        <v>105.0</v>
      </c>
    </row>
    <row r="3338" ht="14.25" customHeight="1">
      <c r="A3338" s="1">
        <v>8.2</v>
      </c>
      <c r="B3338" s="1">
        <v>129.0</v>
      </c>
    </row>
    <row r="3339" ht="14.25" customHeight="1">
      <c r="A3339" s="1">
        <v>7.8</v>
      </c>
      <c r="B3339" s="1">
        <v>37.0</v>
      </c>
    </row>
    <row r="3340" ht="14.25" customHeight="1">
      <c r="A3340" s="1">
        <v>5.2</v>
      </c>
      <c r="B3340" s="1">
        <v>81.0</v>
      </c>
    </row>
    <row r="3341" ht="14.25" customHeight="1">
      <c r="A3341" s="1">
        <v>6.8</v>
      </c>
      <c r="B3341" s="1">
        <v>106.0</v>
      </c>
    </row>
    <row r="3342" ht="14.25" customHeight="1">
      <c r="A3342" s="1">
        <v>7.0</v>
      </c>
      <c r="B3342" s="1">
        <v>103.0</v>
      </c>
    </row>
    <row r="3343" ht="14.25" customHeight="1">
      <c r="A3343" s="1">
        <v>6.5</v>
      </c>
      <c r="B3343" s="1">
        <v>101.0</v>
      </c>
    </row>
    <row r="3344" ht="14.25" customHeight="1">
      <c r="A3344" s="1">
        <v>5.7</v>
      </c>
      <c r="B3344" s="1">
        <v>102.0</v>
      </c>
    </row>
    <row r="3345" ht="14.25" customHeight="1">
      <c r="A3345" s="1">
        <v>6.4</v>
      </c>
      <c r="B3345" s="1">
        <v>98.0</v>
      </c>
    </row>
    <row r="3346" ht="14.25" customHeight="1">
      <c r="A3346" s="1">
        <v>5.3</v>
      </c>
      <c r="B3346" s="1">
        <v>91.0</v>
      </c>
    </row>
    <row r="3347" ht="14.25" customHeight="1">
      <c r="A3347" s="1">
        <v>7.6</v>
      </c>
      <c r="B3347" s="1">
        <v>80.0</v>
      </c>
    </row>
    <row r="3348" ht="14.25" customHeight="1">
      <c r="A3348" s="1">
        <v>7.1</v>
      </c>
      <c r="B3348" s="1">
        <v>107.0</v>
      </c>
    </row>
    <row r="3349" ht="14.25" customHeight="1">
      <c r="A3349" s="1">
        <v>6.5</v>
      </c>
      <c r="B3349" s="1">
        <v>92.0</v>
      </c>
    </row>
    <row r="3350" ht="14.25" customHeight="1">
      <c r="A3350" s="1">
        <v>8.5</v>
      </c>
      <c r="B3350" s="1">
        <v>107.0</v>
      </c>
    </row>
    <row r="3351" ht="14.25" customHeight="1">
      <c r="A3351" s="1">
        <v>8.7</v>
      </c>
      <c r="B3351" s="1">
        <v>135.0</v>
      </c>
    </row>
    <row r="3352" ht="14.25" customHeight="1">
      <c r="A3352" s="1">
        <v>7.1</v>
      </c>
      <c r="B3352" s="1">
        <v>99.0</v>
      </c>
    </row>
    <row r="3353" ht="14.25" customHeight="1">
      <c r="A3353" s="1">
        <v>8.3</v>
      </c>
      <c r="B3353" s="1">
        <v>115.0</v>
      </c>
    </row>
    <row r="3354" ht="14.25" customHeight="1">
      <c r="A3354" s="1">
        <v>7.4</v>
      </c>
      <c r="B3354" s="1">
        <v>91.0</v>
      </c>
    </row>
    <row r="3355" ht="14.25" customHeight="1">
      <c r="A3355" s="1">
        <v>7.5</v>
      </c>
      <c r="B3355" s="1">
        <v>101.0</v>
      </c>
    </row>
    <row r="3356" ht="14.25" customHeight="1">
      <c r="A3356" s="1">
        <v>7.2</v>
      </c>
      <c r="B3356" s="1">
        <v>105.0</v>
      </c>
    </row>
    <row r="3357" ht="14.25" customHeight="1">
      <c r="A3357" s="1">
        <v>7.6</v>
      </c>
      <c r="B3357" s="1">
        <v>109.0</v>
      </c>
    </row>
    <row r="3358" ht="14.25" customHeight="1">
      <c r="A3358" s="1">
        <v>7.8</v>
      </c>
      <c r="B3358" s="1">
        <v>110.0</v>
      </c>
    </row>
    <row r="3359" ht="14.25" customHeight="1">
      <c r="A3359" s="1">
        <v>8.2</v>
      </c>
      <c r="B3359" s="1">
        <v>94.0</v>
      </c>
    </row>
    <row r="3360" ht="14.25" customHeight="1">
      <c r="A3360" s="1">
        <v>6.6</v>
      </c>
      <c r="B3360" s="1">
        <v>115.0</v>
      </c>
    </row>
    <row r="3361" ht="14.25" customHeight="1">
      <c r="A3361" s="1">
        <v>5.7</v>
      </c>
      <c r="B3361" s="1">
        <v>98.0</v>
      </c>
    </row>
    <row r="3362" ht="14.25" customHeight="1">
      <c r="A3362" s="1">
        <v>7.4</v>
      </c>
      <c r="B3362" s="1">
        <v>91.0</v>
      </c>
    </row>
    <row r="3363" ht="14.25" customHeight="1">
      <c r="A3363" s="1">
        <v>8.0</v>
      </c>
      <c r="B3363" s="1">
        <v>120.0</v>
      </c>
    </row>
    <row r="3364" ht="14.25" customHeight="1">
      <c r="A3364" s="1">
        <v>5.4</v>
      </c>
      <c r="B3364" s="1">
        <v>87.0</v>
      </c>
    </row>
    <row r="3365" ht="14.25" customHeight="1">
      <c r="A3365" s="1">
        <v>7.4</v>
      </c>
      <c r="B3365" s="1">
        <v>117.0</v>
      </c>
    </row>
    <row r="3366" ht="14.25" customHeight="1">
      <c r="A3366" s="1">
        <v>5.7</v>
      </c>
      <c r="B3366" s="1">
        <v>85.0</v>
      </c>
    </row>
    <row r="3367" ht="14.25" customHeight="1">
      <c r="A3367" s="1">
        <v>6.8</v>
      </c>
      <c r="B3367" s="1">
        <v>110.0</v>
      </c>
    </row>
    <row r="3368" ht="14.25" customHeight="1">
      <c r="A3368" s="1">
        <v>5.4</v>
      </c>
      <c r="B3368" s="1">
        <v>113.0</v>
      </c>
    </row>
    <row r="3369" ht="14.25" customHeight="1">
      <c r="A3369" s="1">
        <v>5.1</v>
      </c>
      <c r="B3369" s="1">
        <v>98.0</v>
      </c>
    </row>
    <row r="3370" ht="14.25" customHeight="1">
      <c r="A3370" s="1">
        <v>5.9</v>
      </c>
      <c r="B3370" s="1">
        <v>86.0</v>
      </c>
    </row>
    <row r="3371" ht="14.25" customHeight="1">
      <c r="A3371" s="1">
        <v>8.2</v>
      </c>
      <c r="B3371" s="1">
        <v>161.0</v>
      </c>
    </row>
    <row r="3372" ht="14.25" customHeight="1">
      <c r="A3372" s="1">
        <v>5.3</v>
      </c>
      <c r="B3372" s="1">
        <v>100.0</v>
      </c>
    </row>
    <row r="3373" ht="14.25" customHeight="1">
      <c r="A3373" s="1">
        <v>4.3</v>
      </c>
      <c r="B3373" s="1">
        <v>91.0</v>
      </c>
    </row>
    <row r="3374" ht="14.25" customHeight="1">
      <c r="A3374" s="1">
        <v>7.2</v>
      </c>
      <c r="B3374" s="1">
        <v>100.0</v>
      </c>
    </row>
    <row r="3375" ht="14.25" customHeight="1">
      <c r="A3375" s="1">
        <v>5.9</v>
      </c>
      <c r="B3375" s="1">
        <v>84.0</v>
      </c>
    </row>
    <row r="3376" ht="14.25" customHeight="1">
      <c r="A3376" s="1">
        <v>3.0</v>
      </c>
      <c r="B3376" s="1">
        <v>99.0</v>
      </c>
    </row>
    <row r="3377" ht="14.25" customHeight="1">
      <c r="A3377" s="1">
        <v>7.9</v>
      </c>
      <c r="B3377" s="1">
        <v>109.0</v>
      </c>
    </row>
    <row r="3378" ht="14.25" customHeight="1">
      <c r="A3378" s="1">
        <v>3.2</v>
      </c>
      <c r="B3378" s="1">
        <v>95.0</v>
      </c>
    </row>
    <row r="3379" ht="14.25" customHeight="1">
      <c r="A3379" s="1">
        <v>6.5</v>
      </c>
      <c r="B3379" s="1">
        <v>97.0</v>
      </c>
    </row>
    <row r="3380" ht="14.25" customHeight="1">
      <c r="A3380" s="1">
        <v>7.0</v>
      </c>
      <c r="B3380" s="1">
        <v>90.0</v>
      </c>
    </row>
    <row r="3381" ht="14.25" customHeight="1">
      <c r="A3381" s="1">
        <v>6.9</v>
      </c>
      <c r="B3381" s="1">
        <v>96.0</v>
      </c>
    </row>
    <row r="3382" ht="14.25" customHeight="1">
      <c r="A3382" s="1">
        <v>4.4</v>
      </c>
      <c r="B3382" s="1">
        <v>82.0</v>
      </c>
    </row>
    <row r="3383" ht="14.25" customHeight="1">
      <c r="A3383" s="1">
        <v>6.0</v>
      </c>
      <c r="B3383" s="1">
        <v>109.0</v>
      </c>
    </row>
    <row r="3384" ht="14.25" customHeight="1">
      <c r="A3384" s="1">
        <v>5.3</v>
      </c>
      <c r="B3384" s="1">
        <v>98.0</v>
      </c>
    </row>
    <row r="3385" ht="14.25" customHeight="1">
      <c r="A3385" s="1">
        <v>5.3</v>
      </c>
      <c r="B3385" s="1">
        <v>95.0</v>
      </c>
    </row>
    <row r="3386" ht="14.25" customHeight="1">
      <c r="A3386" s="1">
        <v>7.1</v>
      </c>
      <c r="B3386" s="1">
        <v>104.0</v>
      </c>
    </row>
    <row r="3387" ht="14.25" customHeight="1">
      <c r="A3387" s="1">
        <v>5.4</v>
      </c>
      <c r="B3387" s="1">
        <v>87.0</v>
      </c>
    </row>
    <row r="3388" ht="14.25" customHeight="1">
      <c r="A3388" s="1">
        <v>6.9</v>
      </c>
      <c r="B3388" s="1">
        <v>108.0</v>
      </c>
    </row>
    <row r="3389" ht="14.25" customHeight="1">
      <c r="A3389" s="1">
        <v>7.3</v>
      </c>
      <c r="B3389" s="1">
        <v>94.0</v>
      </c>
    </row>
    <row r="3390" ht="14.25" customHeight="1">
      <c r="A3390" s="1">
        <v>6.6</v>
      </c>
      <c r="B3390" s="1">
        <v>89.0</v>
      </c>
    </row>
    <row r="3391" ht="14.25" customHeight="1">
      <c r="A3391" s="1">
        <v>5.4</v>
      </c>
      <c r="B3391" s="1">
        <v>102.0</v>
      </c>
    </row>
    <row r="3392" ht="14.25" customHeight="1">
      <c r="A3392" s="1">
        <v>8.4</v>
      </c>
      <c r="B3392" s="1">
        <v>120.0</v>
      </c>
    </row>
    <row r="3393" ht="14.25" customHeight="1">
      <c r="A3393" s="1">
        <v>6.3</v>
      </c>
      <c r="B3393" s="1">
        <v>110.0</v>
      </c>
    </row>
    <row r="3394" ht="14.25" customHeight="1">
      <c r="A3394" s="1">
        <v>6.1</v>
      </c>
      <c r="B3394" s="1">
        <v>86.0</v>
      </c>
    </row>
    <row r="3395" ht="14.25" customHeight="1">
      <c r="A3395" s="1">
        <v>5.3</v>
      </c>
      <c r="B3395" s="1">
        <v>87.0</v>
      </c>
    </row>
    <row r="3396" ht="14.25" customHeight="1">
      <c r="A3396" s="1">
        <v>5.3</v>
      </c>
      <c r="B3396" s="1">
        <v>93.0</v>
      </c>
    </row>
    <row r="3397" ht="14.25" customHeight="1">
      <c r="A3397" s="1">
        <v>6.0</v>
      </c>
      <c r="B3397" s="1">
        <v>111.0</v>
      </c>
    </row>
    <row r="3398" ht="14.25" customHeight="1">
      <c r="A3398" s="1">
        <v>7.4</v>
      </c>
      <c r="B3398" s="1">
        <v>98.0</v>
      </c>
    </row>
    <row r="3399" ht="14.25" customHeight="1">
      <c r="A3399" s="1">
        <v>4.1</v>
      </c>
      <c r="B3399" s="1">
        <v>88.0</v>
      </c>
    </row>
    <row r="3400" ht="14.25" customHeight="1">
      <c r="A3400" s="1">
        <v>6.7</v>
      </c>
      <c r="B3400" s="1">
        <v>97.0</v>
      </c>
    </row>
    <row r="3401" ht="14.25" customHeight="1">
      <c r="A3401" s="1">
        <v>5.8</v>
      </c>
      <c r="B3401" s="1">
        <v>122.0</v>
      </c>
    </row>
    <row r="3402" ht="14.25" customHeight="1">
      <c r="A3402" s="1">
        <v>6.5</v>
      </c>
      <c r="B3402" s="1">
        <v>108.0</v>
      </c>
    </row>
    <row r="3403" ht="14.25" customHeight="1">
      <c r="A3403" s="1">
        <v>7.0</v>
      </c>
      <c r="B3403" s="1">
        <v>105.0</v>
      </c>
    </row>
    <row r="3404" ht="14.25" customHeight="1">
      <c r="A3404" s="1">
        <v>8.0</v>
      </c>
      <c r="B3404" s="1">
        <v>113.0</v>
      </c>
    </row>
    <row r="3405" ht="14.25" customHeight="1">
      <c r="A3405" s="1">
        <v>6.5</v>
      </c>
      <c r="B3405" s="1">
        <v>105.0</v>
      </c>
    </row>
    <row r="3406" ht="14.25" customHeight="1">
      <c r="A3406" s="1">
        <v>6.8</v>
      </c>
      <c r="B3406" s="1">
        <v>89.0</v>
      </c>
    </row>
    <row r="3407" ht="14.25" customHeight="1">
      <c r="A3407" s="1">
        <v>7.4</v>
      </c>
      <c r="B3407" s="1">
        <v>116.0</v>
      </c>
    </row>
    <row r="3408" ht="14.25" customHeight="1">
      <c r="A3408" s="1">
        <v>8.3</v>
      </c>
      <c r="B3408" s="1">
        <v>120.0</v>
      </c>
    </row>
    <row r="3409" ht="14.25" customHeight="1">
      <c r="A3409" s="1">
        <v>5.3</v>
      </c>
      <c r="B3409" s="1">
        <v>88.0</v>
      </c>
    </row>
    <row r="3410" ht="14.25" customHeight="1">
      <c r="A3410" s="1">
        <v>8.1</v>
      </c>
      <c r="B3410" s="1">
        <v>102.0</v>
      </c>
    </row>
    <row r="3411" ht="14.25" customHeight="1">
      <c r="A3411" s="1">
        <v>8.0</v>
      </c>
      <c r="B3411" s="1">
        <v>106.0</v>
      </c>
    </row>
    <row r="3412" ht="14.25" customHeight="1">
      <c r="A3412" s="1">
        <v>5.7</v>
      </c>
      <c r="B3412" s="1">
        <v>95.0</v>
      </c>
    </row>
    <row r="3413" ht="14.25" customHeight="1">
      <c r="A3413" s="1">
        <v>7.1</v>
      </c>
      <c r="B3413" s="1">
        <v>113.0</v>
      </c>
    </row>
    <row r="3414" ht="14.25" customHeight="1">
      <c r="A3414" s="1">
        <v>7.8</v>
      </c>
      <c r="B3414" s="1">
        <v>93.0</v>
      </c>
    </row>
    <row r="3415" ht="14.25" customHeight="1">
      <c r="A3415" s="1">
        <v>5.9</v>
      </c>
      <c r="B3415" s="1">
        <v>97.0</v>
      </c>
    </row>
    <row r="3416" ht="14.25" customHeight="1">
      <c r="A3416" s="1">
        <v>7.8</v>
      </c>
      <c r="B3416" s="1">
        <v>140.0</v>
      </c>
    </row>
    <row r="3417" ht="14.25" customHeight="1">
      <c r="A3417" s="1">
        <v>5.3</v>
      </c>
      <c r="B3417" s="1">
        <v>109.0</v>
      </c>
    </row>
    <row r="3418" ht="14.25" customHeight="1">
      <c r="A3418" s="1">
        <v>7.2</v>
      </c>
      <c r="B3418" s="1">
        <v>66.0</v>
      </c>
    </row>
    <row r="3419" ht="14.25" customHeight="1">
      <c r="A3419" s="1">
        <v>5.1</v>
      </c>
      <c r="B3419" s="1">
        <v>86.0</v>
      </c>
    </row>
    <row r="3420" ht="14.25" customHeight="1">
      <c r="A3420" s="1">
        <v>5.1</v>
      </c>
      <c r="B3420" s="1">
        <v>87.0</v>
      </c>
    </row>
    <row r="3421" ht="14.25" customHeight="1">
      <c r="A3421" s="1">
        <v>4.9</v>
      </c>
      <c r="B3421" s="1">
        <v>119.0</v>
      </c>
    </row>
    <row r="3422" ht="14.25" customHeight="1">
      <c r="A3422" s="1">
        <v>6.9</v>
      </c>
      <c r="B3422" s="1">
        <v>149.0</v>
      </c>
    </row>
    <row r="3423" ht="14.25" customHeight="1">
      <c r="A3423" s="1">
        <v>4.6</v>
      </c>
      <c r="B3423" s="1">
        <v>98.0</v>
      </c>
    </row>
    <row r="3424" ht="14.25" customHeight="1">
      <c r="A3424" s="1">
        <v>6.7</v>
      </c>
      <c r="B3424" s="1">
        <v>75.0</v>
      </c>
    </row>
    <row r="3425" ht="14.25" customHeight="1">
      <c r="A3425" s="1">
        <v>7.1</v>
      </c>
      <c r="B3425" s="1">
        <v>104.0</v>
      </c>
    </row>
    <row r="3426" ht="14.25" customHeight="1">
      <c r="A3426" s="1">
        <v>7.6</v>
      </c>
      <c r="B3426" s="1">
        <v>102.0</v>
      </c>
    </row>
    <row r="3427" ht="14.25" customHeight="1">
      <c r="A3427" s="1">
        <v>8.1</v>
      </c>
      <c r="B3427" s="1">
        <v>105.0</v>
      </c>
    </row>
    <row r="3428" ht="14.25" customHeight="1">
      <c r="A3428" s="1">
        <v>7.0</v>
      </c>
      <c r="B3428" s="1">
        <v>107.0</v>
      </c>
    </row>
    <row r="3429" ht="14.25" customHeight="1">
      <c r="A3429" s="1">
        <v>7.1</v>
      </c>
      <c r="B3429" s="1">
        <v>89.0</v>
      </c>
    </row>
    <row r="3430" ht="14.25" customHeight="1">
      <c r="A3430" s="1">
        <v>7.6</v>
      </c>
      <c r="B3430" s="1">
        <v>106.0</v>
      </c>
    </row>
    <row r="3431" ht="14.25" customHeight="1">
      <c r="A3431" s="1">
        <v>7.1</v>
      </c>
      <c r="B3431" s="1">
        <v>95.0</v>
      </c>
    </row>
    <row r="3432" ht="14.25" customHeight="1">
      <c r="A3432" s="1">
        <v>7.7</v>
      </c>
      <c r="B3432" s="1">
        <v>101.0</v>
      </c>
    </row>
    <row r="3433" ht="14.25" customHeight="1">
      <c r="A3433" s="1">
        <v>7.6</v>
      </c>
      <c r="B3433" s="1">
        <v>112.0</v>
      </c>
    </row>
    <row r="3434" ht="14.25" customHeight="1">
      <c r="A3434" s="1">
        <v>6.7</v>
      </c>
      <c r="B3434" s="1">
        <v>92.0</v>
      </c>
    </row>
    <row r="3435" ht="14.25" customHeight="1">
      <c r="A3435" s="1">
        <v>5.7</v>
      </c>
      <c r="B3435" s="1">
        <v>100.0</v>
      </c>
    </row>
    <row r="3436" ht="14.25" customHeight="1">
      <c r="A3436" s="1">
        <v>7.1</v>
      </c>
      <c r="B3436" s="1">
        <v>80.0</v>
      </c>
    </row>
    <row r="3437" ht="14.25" customHeight="1">
      <c r="A3437" s="1">
        <v>6.2</v>
      </c>
      <c r="B3437" s="1">
        <v>106.0</v>
      </c>
    </row>
    <row r="3438" ht="14.25" customHeight="1">
      <c r="A3438" s="1">
        <v>6.1</v>
      </c>
      <c r="B3438" s="1">
        <v>103.0</v>
      </c>
    </row>
    <row r="3439" ht="14.25" customHeight="1">
      <c r="A3439" s="1">
        <v>5.9</v>
      </c>
      <c r="B3439" s="1">
        <v>90.0</v>
      </c>
    </row>
    <row r="3440" ht="14.25" customHeight="1">
      <c r="A3440" s="1">
        <v>6.8</v>
      </c>
      <c r="B3440" s="1">
        <v>96.0</v>
      </c>
    </row>
    <row r="3441" ht="14.25" customHeight="1">
      <c r="A3441" s="1">
        <v>6.8</v>
      </c>
      <c r="B3441" s="1">
        <v>120.0</v>
      </c>
    </row>
    <row r="3442" ht="14.25" customHeight="1">
      <c r="A3442" s="1">
        <v>5.1</v>
      </c>
      <c r="B3442" s="1">
        <v>101.0</v>
      </c>
    </row>
    <row r="3443" ht="14.25" customHeight="1">
      <c r="A3443" s="1">
        <v>7.7</v>
      </c>
      <c r="B3443" s="1">
        <v>101.0</v>
      </c>
    </row>
    <row r="3444" ht="14.25" customHeight="1">
      <c r="A3444" s="1">
        <v>3.9</v>
      </c>
      <c r="B3444" s="1">
        <v>105.0</v>
      </c>
    </row>
    <row r="3445" ht="14.25" customHeight="1">
      <c r="A3445" s="1">
        <v>5.7</v>
      </c>
      <c r="B3445" s="1">
        <v>91.0</v>
      </c>
    </row>
    <row r="3446" ht="14.25" customHeight="1">
      <c r="A3446" s="1">
        <v>4.7</v>
      </c>
      <c r="B3446" s="1">
        <v>92.0</v>
      </c>
    </row>
    <row r="3447" ht="14.25" customHeight="1">
      <c r="A3447" s="1">
        <v>5.9</v>
      </c>
      <c r="B3447" s="1">
        <v>117.0</v>
      </c>
    </row>
    <row r="3448" ht="14.25" customHeight="1">
      <c r="A3448" s="1">
        <v>8.1</v>
      </c>
      <c r="B3448" s="1">
        <v>172.0</v>
      </c>
    </row>
    <row r="3449" ht="14.25" customHeight="1">
      <c r="A3449" s="1">
        <v>7.6</v>
      </c>
      <c r="B3449" s="1">
        <v>89.0</v>
      </c>
    </row>
    <row r="3450" ht="14.25" customHeight="1">
      <c r="A3450" s="1">
        <v>7.5</v>
      </c>
      <c r="B3450" s="1">
        <v>115.0</v>
      </c>
    </row>
    <row r="3451" ht="14.25" customHeight="1">
      <c r="A3451" s="1">
        <v>5.1</v>
      </c>
      <c r="B3451" s="1">
        <v>96.0</v>
      </c>
    </row>
    <row r="3452" ht="14.25" customHeight="1">
      <c r="A3452" s="1">
        <v>6.9</v>
      </c>
      <c r="B3452" s="1">
        <v>100.0</v>
      </c>
    </row>
    <row r="3453" ht="14.25" customHeight="1">
      <c r="A3453" s="1">
        <v>7.6</v>
      </c>
      <c r="B3453" s="1">
        <v>87.0</v>
      </c>
    </row>
    <row r="3454" ht="14.25" customHeight="1">
      <c r="A3454" s="1">
        <v>7.6</v>
      </c>
      <c r="B3454" s="1">
        <v>102.0</v>
      </c>
    </row>
    <row r="3455" ht="14.25" customHeight="1">
      <c r="A3455" s="1">
        <v>7.6</v>
      </c>
      <c r="B3455" s="1">
        <v>118.0</v>
      </c>
    </row>
    <row r="3456" ht="14.25" customHeight="1">
      <c r="A3456" s="1">
        <v>5.3</v>
      </c>
      <c r="B3456" s="1">
        <v>86.0</v>
      </c>
    </row>
    <row r="3457" ht="14.25" customHeight="1">
      <c r="A3457" s="1">
        <v>8.5</v>
      </c>
      <c r="B3457" s="1">
        <v>137.0</v>
      </c>
    </row>
    <row r="3458" ht="14.25" customHeight="1">
      <c r="A3458" s="1">
        <v>7.0</v>
      </c>
      <c r="B3458" s="1">
        <v>129.0</v>
      </c>
    </row>
    <row r="3459" ht="14.25" customHeight="1">
      <c r="A3459" s="1">
        <v>7.8</v>
      </c>
      <c r="B3459" s="1">
        <v>80.0</v>
      </c>
    </row>
    <row r="3460" ht="14.25" customHeight="1">
      <c r="A3460" s="1">
        <v>7.2</v>
      </c>
      <c r="B3460" s="1">
        <v>89.0</v>
      </c>
    </row>
    <row r="3461" ht="14.25" customHeight="1">
      <c r="A3461" s="1">
        <v>8.0</v>
      </c>
      <c r="B3461" s="1">
        <v>80.0</v>
      </c>
    </row>
    <row r="3462" ht="14.25" customHeight="1">
      <c r="A3462" s="1">
        <v>8.1</v>
      </c>
      <c r="B3462" s="1">
        <v>115.0</v>
      </c>
    </row>
    <row r="3463" ht="14.25" customHeight="1">
      <c r="A3463" s="1">
        <v>6.8</v>
      </c>
      <c r="B3463" s="1">
        <v>100.0</v>
      </c>
    </row>
    <row r="3464" ht="14.25" customHeight="1">
      <c r="A3464" s="1">
        <v>7.2</v>
      </c>
      <c r="B3464" s="1">
        <v>100.0</v>
      </c>
    </row>
    <row r="3465" ht="14.25" customHeight="1">
      <c r="A3465" s="1">
        <v>7.4</v>
      </c>
      <c r="B3465" s="1">
        <v>91.0</v>
      </c>
    </row>
    <row r="3466" ht="14.25" customHeight="1">
      <c r="A3466" s="1">
        <v>6.1</v>
      </c>
      <c r="B3466" s="1">
        <v>96.0</v>
      </c>
    </row>
    <row r="3467" ht="14.25" customHeight="1">
      <c r="A3467" s="1">
        <v>7.0</v>
      </c>
      <c r="B3467" s="1">
        <v>116.0</v>
      </c>
    </row>
    <row r="3468" ht="14.25" customHeight="1">
      <c r="A3468" s="1">
        <v>5.3</v>
      </c>
      <c r="B3468" s="1">
        <v>97.0</v>
      </c>
    </row>
    <row r="3469" ht="14.25" customHeight="1">
      <c r="A3469" s="1">
        <v>4.7</v>
      </c>
      <c r="B3469" s="1">
        <v>101.0</v>
      </c>
    </row>
    <row r="3470" ht="14.25" customHeight="1">
      <c r="A3470" s="1">
        <v>5.7</v>
      </c>
      <c r="B3470" s="1">
        <v>98.0</v>
      </c>
    </row>
    <row r="3471" ht="14.25" customHeight="1">
      <c r="A3471" s="1">
        <v>7.8</v>
      </c>
      <c r="B3471" s="1">
        <v>150.0</v>
      </c>
    </row>
    <row r="3472" ht="14.25" customHeight="1">
      <c r="A3472" s="1">
        <v>6.5</v>
      </c>
      <c r="B3472" s="1">
        <v>101.0</v>
      </c>
    </row>
    <row r="3473" ht="14.25" customHeight="1">
      <c r="A3473" s="1">
        <v>8.0</v>
      </c>
      <c r="B3473" s="1">
        <v>90.0</v>
      </c>
    </row>
    <row r="3474" ht="14.25" customHeight="1">
      <c r="A3474" s="1">
        <v>3.3</v>
      </c>
      <c r="B3474" s="1">
        <v>120.0</v>
      </c>
    </row>
    <row r="3475" ht="14.25" customHeight="1">
      <c r="A3475" s="1">
        <v>6.9</v>
      </c>
      <c r="B3475" s="1">
        <v>102.0</v>
      </c>
    </row>
    <row r="3476" ht="14.25" customHeight="1">
      <c r="A3476" s="1">
        <v>8.1</v>
      </c>
      <c r="B3476" s="1">
        <v>100.0</v>
      </c>
    </row>
    <row r="3477" ht="14.25" customHeight="1">
      <c r="A3477" s="1">
        <v>6.8</v>
      </c>
      <c r="B3477" s="1">
        <v>89.0</v>
      </c>
    </row>
    <row r="3478" ht="14.25" customHeight="1">
      <c r="A3478" s="1">
        <v>4.6</v>
      </c>
      <c r="B3478" s="1">
        <v>86.0</v>
      </c>
    </row>
    <row r="3479" ht="14.25" customHeight="1">
      <c r="A3479" s="1">
        <v>7.0</v>
      </c>
      <c r="B3479" s="1">
        <v>96.0</v>
      </c>
    </row>
    <row r="3480" ht="14.25" customHeight="1">
      <c r="A3480" s="1">
        <v>6.7</v>
      </c>
      <c r="B3480" s="1">
        <v>91.0</v>
      </c>
    </row>
    <row r="3481" ht="14.25" customHeight="1">
      <c r="A3481" s="1">
        <v>5.8</v>
      </c>
      <c r="B3481" s="1">
        <v>85.0</v>
      </c>
    </row>
    <row r="3482" ht="14.25" customHeight="1">
      <c r="A3482" s="1">
        <v>4.5</v>
      </c>
      <c r="B3482" s="1">
        <v>129.0</v>
      </c>
    </row>
    <row r="3483" ht="14.25" customHeight="1">
      <c r="A3483" s="1">
        <v>6.6</v>
      </c>
      <c r="B3483" s="1">
        <v>92.0</v>
      </c>
    </row>
    <row r="3484" ht="14.25" customHeight="1">
      <c r="A3484" s="1">
        <v>6.6</v>
      </c>
      <c r="B3484" s="1">
        <v>96.0</v>
      </c>
    </row>
    <row r="3485" ht="14.25" customHeight="1">
      <c r="A3485" s="1">
        <v>5.1</v>
      </c>
      <c r="B3485" s="1">
        <v>85.0</v>
      </c>
    </row>
    <row r="3486" ht="14.25" customHeight="1">
      <c r="A3486" s="1">
        <v>7.8</v>
      </c>
      <c r="B3486" s="1">
        <v>119.0</v>
      </c>
    </row>
    <row r="3487" ht="14.25" customHeight="1">
      <c r="A3487" s="1">
        <v>7.7</v>
      </c>
      <c r="B3487" s="1">
        <v>92.0</v>
      </c>
    </row>
    <row r="3488" ht="14.25" customHeight="1">
      <c r="A3488" s="1">
        <v>5.7</v>
      </c>
      <c r="B3488" s="1">
        <v>106.0</v>
      </c>
    </row>
    <row r="3489" ht="14.25" customHeight="1">
      <c r="A3489" s="1">
        <v>7.1</v>
      </c>
      <c r="B3489" s="1">
        <v>99.0</v>
      </c>
    </row>
    <row r="3490" ht="14.25" customHeight="1">
      <c r="A3490" s="1">
        <v>6.4</v>
      </c>
      <c r="B3490" s="1">
        <v>103.0</v>
      </c>
    </row>
    <row r="3491" ht="14.25" customHeight="1">
      <c r="A3491" s="1">
        <v>7.0</v>
      </c>
      <c r="B3491" s="1">
        <v>95.0</v>
      </c>
    </row>
    <row r="3492" ht="14.25" customHeight="1">
      <c r="A3492" s="1">
        <v>5.8</v>
      </c>
      <c r="B3492" s="1">
        <v>95.0</v>
      </c>
    </row>
    <row r="3493" ht="14.25" customHeight="1">
      <c r="A3493" s="1">
        <v>5.9</v>
      </c>
      <c r="B3493" s="1">
        <v>100.0</v>
      </c>
    </row>
    <row r="3494" ht="14.25" customHeight="1">
      <c r="A3494" s="1">
        <v>7.5</v>
      </c>
      <c r="B3494" s="1">
        <v>101.0</v>
      </c>
    </row>
    <row r="3495" ht="14.25" customHeight="1">
      <c r="A3495" s="1">
        <v>7.8</v>
      </c>
      <c r="B3495" s="1">
        <v>90.0</v>
      </c>
    </row>
    <row r="3496" ht="14.25" customHeight="1">
      <c r="A3496" s="1">
        <v>7.2</v>
      </c>
      <c r="B3496" s="1">
        <v>89.0</v>
      </c>
    </row>
    <row r="3497" ht="14.25" customHeight="1">
      <c r="A3497" s="1">
        <v>5.6</v>
      </c>
      <c r="B3497" s="1">
        <v>87.0</v>
      </c>
    </row>
    <row r="3498" ht="14.25" customHeight="1">
      <c r="A3498" s="1">
        <v>6.8</v>
      </c>
      <c r="B3498" s="1">
        <v>118.0</v>
      </c>
    </row>
    <row r="3499" ht="14.25" customHeight="1">
      <c r="A3499" s="1">
        <v>7.3</v>
      </c>
      <c r="B3499" s="1">
        <v>93.0</v>
      </c>
    </row>
    <row r="3500" ht="14.25" customHeight="1">
      <c r="A3500" s="1">
        <v>7.3</v>
      </c>
      <c r="B3500" s="1">
        <v>109.0</v>
      </c>
    </row>
    <row r="3501" ht="14.25" customHeight="1">
      <c r="A3501" s="1">
        <v>7.8</v>
      </c>
      <c r="B3501" s="1">
        <v>81.0</v>
      </c>
    </row>
    <row r="3502" ht="14.25" customHeight="1">
      <c r="A3502" s="1">
        <v>6.7</v>
      </c>
      <c r="B3502" s="1">
        <v>93.0</v>
      </c>
    </row>
    <row r="3503" ht="14.25" customHeight="1">
      <c r="A3503" s="1">
        <v>7.5</v>
      </c>
      <c r="B3503" s="1">
        <v>138.0</v>
      </c>
    </row>
    <row r="3504" ht="14.25" customHeight="1">
      <c r="A3504" s="1">
        <v>6.3</v>
      </c>
      <c r="B3504" s="1">
        <v>105.0</v>
      </c>
    </row>
    <row r="3505" ht="14.25" customHeight="1">
      <c r="A3505" s="1">
        <v>6.3</v>
      </c>
      <c r="B3505" s="1">
        <v>98.0</v>
      </c>
    </row>
    <row r="3506" ht="14.25" customHeight="1">
      <c r="A3506" s="1">
        <v>6.8</v>
      </c>
      <c r="B3506" s="1">
        <v>86.0</v>
      </c>
    </row>
    <row r="3507" ht="14.25" customHeight="1">
      <c r="A3507" s="1">
        <v>7.8</v>
      </c>
      <c r="B3507" s="1">
        <v>104.0</v>
      </c>
    </row>
    <row r="3508" ht="14.25" customHeight="1">
      <c r="A3508" s="1">
        <v>6.9</v>
      </c>
      <c r="B3508" s="1">
        <v>100.0</v>
      </c>
    </row>
    <row r="3509" ht="14.25" customHeight="1">
      <c r="A3509" s="1">
        <v>7.2</v>
      </c>
      <c r="B3509" s="1">
        <v>95.0</v>
      </c>
    </row>
    <row r="3510" ht="14.25" customHeight="1">
      <c r="A3510" s="1">
        <v>7.2</v>
      </c>
      <c r="B3510" s="1">
        <v>123.0</v>
      </c>
    </row>
    <row r="3511" ht="14.25" customHeight="1">
      <c r="A3511" s="1">
        <v>5.4</v>
      </c>
      <c r="B3511" s="1">
        <v>111.0</v>
      </c>
    </row>
    <row r="3512" ht="14.25" customHeight="1">
      <c r="A3512" s="1">
        <v>7.4</v>
      </c>
      <c r="B3512" s="1">
        <v>110.0</v>
      </c>
    </row>
    <row r="3513" ht="14.25" customHeight="1">
      <c r="A3513" s="1">
        <v>7.1</v>
      </c>
      <c r="B3513" s="1">
        <v>108.0</v>
      </c>
    </row>
    <row r="3514" ht="14.25" customHeight="1">
      <c r="A3514" s="1">
        <v>6.8</v>
      </c>
      <c r="B3514" s="1">
        <v>92.0</v>
      </c>
    </row>
    <row r="3515" ht="14.25" customHeight="1">
      <c r="A3515" s="1">
        <v>7.4</v>
      </c>
      <c r="B3515" s="1">
        <v>88.0</v>
      </c>
    </row>
    <row r="3516" ht="14.25" customHeight="1">
      <c r="A3516" s="1">
        <v>6.7</v>
      </c>
      <c r="B3516" s="1">
        <v>97.0</v>
      </c>
    </row>
    <row r="3517" ht="14.25" customHeight="1">
      <c r="A3517" s="1">
        <v>7.2</v>
      </c>
      <c r="B3517" s="1">
        <v>103.0</v>
      </c>
    </row>
    <row r="3518" ht="14.25" customHeight="1">
      <c r="A3518" s="1">
        <v>7.5</v>
      </c>
      <c r="B3518" s="1">
        <v>110.0</v>
      </c>
    </row>
    <row r="3519" ht="14.25" customHeight="1">
      <c r="A3519" s="1">
        <v>6.8</v>
      </c>
      <c r="B3519" s="1">
        <v>103.0</v>
      </c>
    </row>
    <row r="3520" ht="14.25" customHeight="1">
      <c r="A3520" s="1">
        <v>7.9</v>
      </c>
      <c r="B3520" s="1">
        <v>114.0</v>
      </c>
    </row>
    <row r="3521" ht="14.25" customHeight="1">
      <c r="A3521" s="1">
        <v>6.7</v>
      </c>
      <c r="B3521" s="1">
        <v>112.0</v>
      </c>
    </row>
    <row r="3522" ht="14.25" customHeight="1">
      <c r="A3522" s="1">
        <v>5.8</v>
      </c>
      <c r="B3522" s="1">
        <v>104.0</v>
      </c>
    </row>
    <row r="3523" ht="14.25" customHeight="1">
      <c r="A3523" s="1">
        <v>6.5</v>
      </c>
      <c r="B3523" s="1">
        <v>99.0</v>
      </c>
    </row>
    <row r="3524" ht="14.25" customHeight="1">
      <c r="A3524" s="1">
        <v>7.2</v>
      </c>
      <c r="B3524" s="1">
        <v>98.0</v>
      </c>
    </row>
    <row r="3525" ht="14.25" customHeight="1">
      <c r="A3525" s="1">
        <v>6.5</v>
      </c>
      <c r="B3525" s="1">
        <v>100.0</v>
      </c>
    </row>
    <row r="3526" ht="14.25" customHeight="1">
      <c r="A3526" s="1">
        <v>6.2</v>
      </c>
      <c r="B3526" s="1">
        <v>80.0</v>
      </c>
    </row>
    <row r="3527" ht="14.25" customHeight="1">
      <c r="A3527" s="1">
        <v>8.6</v>
      </c>
      <c r="B3527" s="1">
        <v>87.0</v>
      </c>
    </row>
    <row r="3528" ht="14.25" customHeight="1">
      <c r="A3528" s="1">
        <v>6.5</v>
      </c>
      <c r="B3528" s="1">
        <v>91.0</v>
      </c>
    </row>
    <row r="3529" ht="14.25" customHeight="1">
      <c r="A3529" s="1">
        <v>6.3</v>
      </c>
      <c r="B3529" s="1">
        <v>84.0</v>
      </c>
    </row>
    <row r="3530" ht="14.25" customHeight="1">
      <c r="A3530" s="1">
        <v>6.7</v>
      </c>
      <c r="B3530" s="1">
        <v>95.0</v>
      </c>
    </row>
    <row r="3531" ht="14.25" customHeight="1">
      <c r="A3531" s="1">
        <v>6.7</v>
      </c>
      <c r="B3531" s="1">
        <v>90.0</v>
      </c>
    </row>
    <row r="3532" ht="14.25" customHeight="1">
      <c r="A3532" s="1">
        <v>5.1</v>
      </c>
      <c r="B3532" s="1">
        <v>101.0</v>
      </c>
    </row>
    <row r="3533" ht="14.25" customHeight="1">
      <c r="A3533" s="1">
        <v>7.0</v>
      </c>
      <c r="B3533" s="1">
        <v>130.0</v>
      </c>
    </row>
    <row r="3534" ht="14.25" customHeight="1">
      <c r="A3534" s="1">
        <v>7.7</v>
      </c>
      <c r="B3534" s="1">
        <v>83.0</v>
      </c>
    </row>
    <row r="3535" ht="14.25" customHeight="1">
      <c r="A3535" s="1">
        <v>6.7</v>
      </c>
      <c r="B3535" s="1">
        <v>106.0</v>
      </c>
    </row>
    <row r="3536" ht="14.25" customHeight="1">
      <c r="A3536" s="1">
        <v>6.6</v>
      </c>
      <c r="B3536" s="1">
        <v>94.0</v>
      </c>
    </row>
    <row r="3537" ht="14.25" customHeight="1">
      <c r="A3537" s="1">
        <v>8.2</v>
      </c>
      <c r="B3537" s="1">
        <v>120.0</v>
      </c>
    </row>
    <row r="3538" ht="14.25" customHeight="1">
      <c r="A3538" s="1">
        <v>8.1</v>
      </c>
      <c r="B3538" s="1">
        <v>105.0</v>
      </c>
    </row>
    <row r="3539" ht="14.25" customHeight="1">
      <c r="A3539" s="1">
        <v>7.2</v>
      </c>
      <c r="B3539" s="1">
        <v>95.0</v>
      </c>
    </row>
    <row r="3540" ht="14.25" customHeight="1">
      <c r="A3540" s="1">
        <v>7.4</v>
      </c>
      <c r="B3540" s="1">
        <v>135.0</v>
      </c>
    </row>
    <row r="3541" ht="14.25" customHeight="1">
      <c r="A3541" s="1">
        <v>6.5</v>
      </c>
      <c r="B3541" s="1">
        <v>105.0</v>
      </c>
    </row>
    <row r="3542" ht="14.25" customHeight="1">
      <c r="A3542" s="1">
        <v>6.1</v>
      </c>
      <c r="B3542" s="1">
        <v>111.0</v>
      </c>
    </row>
    <row r="3543" ht="14.25" customHeight="1">
      <c r="A3543" s="1">
        <v>6.2</v>
      </c>
      <c r="B3543" s="1">
        <v>87.0</v>
      </c>
    </row>
    <row r="3544" ht="14.25" customHeight="1">
      <c r="A3544" s="1">
        <v>6.1</v>
      </c>
      <c r="B3544" s="1">
        <v>87.0</v>
      </c>
    </row>
    <row r="3545" ht="14.25" customHeight="1">
      <c r="A3545" s="1">
        <v>7.2</v>
      </c>
      <c r="B3545" s="1">
        <v>100.0</v>
      </c>
    </row>
    <row r="3546" ht="14.25" customHeight="1">
      <c r="A3546" s="1">
        <v>7.7</v>
      </c>
      <c r="B3546" s="1">
        <v>103.0</v>
      </c>
    </row>
    <row r="3547" ht="14.25" customHeight="1">
      <c r="A3547" s="1">
        <v>7.1</v>
      </c>
      <c r="B3547" s="1">
        <v>100.0</v>
      </c>
    </row>
    <row r="3548" ht="14.25" customHeight="1">
      <c r="A3548" s="1">
        <v>5.5</v>
      </c>
      <c r="B3548" s="1">
        <v>104.0</v>
      </c>
    </row>
    <row r="3549" ht="14.25" customHeight="1">
      <c r="A3549" s="1">
        <v>7.4</v>
      </c>
      <c r="B3549" s="1">
        <v>114.0</v>
      </c>
    </row>
    <row r="3550" ht="14.25" customHeight="1">
      <c r="A3550" s="1">
        <v>7.7</v>
      </c>
      <c r="B3550" s="1">
        <v>111.0</v>
      </c>
    </row>
    <row r="3551" ht="14.25" customHeight="1">
      <c r="A3551" s="1">
        <v>7.8</v>
      </c>
      <c r="B3551" s="1">
        <v>110.0</v>
      </c>
    </row>
    <row r="3552" ht="14.25" customHeight="1">
      <c r="A3552" s="1">
        <v>6.6</v>
      </c>
      <c r="B3552" s="1">
        <v>85.0</v>
      </c>
    </row>
    <row r="3553" ht="14.25" customHeight="1">
      <c r="A3553" s="1">
        <v>6.0</v>
      </c>
      <c r="B3553" s="1">
        <v>113.0</v>
      </c>
    </row>
    <row r="3554" ht="14.25" customHeight="1">
      <c r="A3554" s="1">
        <v>8.4</v>
      </c>
      <c r="B3554" s="1">
        <v>99.0</v>
      </c>
    </row>
    <row r="3555" ht="14.25" customHeight="1">
      <c r="A3555" s="1">
        <v>8.9</v>
      </c>
      <c r="B3555" s="1">
        <v>142.0</v>
      </c>
    </row>
    <row r="3556" ht="14.25" customHeight="1">
      <c r="A3556" s="1">
        <v>7.9</v>
      </c>
      <c r="B3556" s="1">
        <v>112.0</v>
      </c>
    </row>
    <row r="3557" ht="14.25" customHeight="1">
      <c r="A3557" s="1">
        <v>6.0</v>
      </c>
      <c r="B3557" s="1">
        <v>108.0</v>
      </c>
    </row>
    <row r="3558" ht="14.25" customHeight="1">
      <c r="A3558" s="1">
        <v>6.1</v>
      </c>
      <c r="B3558" s="1">
        <v>88.0</v>
      </c>
    </row>
    <row r="3559" ht="14.25" customHeight="1">
      <c r="A3559" s="1">
        <v>6.2</v>
      </c>
      <c r="B3559" s="1">
        <v>91.0</v>
      </c>
    </row>
    <row r="3560" ht="14.25" customHeight="1">
      <c r="A3560" s="1">
        <v>6.8</v>
      </c>
      <c r="B3560" s="1">
        <v>94.0</v>
      </c>
    </row>
    <row r="3561" ht="14.25" customHeight="1">
      <c r="A3561" s="1">
        <v>5.9</v>
      </c>
      <c r="B3561" s="1">
        <v>92.0</v>
      </c>
    </row>
    <row r="3562" ht="14.25" customHeight="1">
      <c r="A3562" s="1">
        <v>6.1</v>
      </c>
      <c r="B3562" s="1">
        <v>110.0</v>
      </c>
    </row>
    <row r="3563" ht="14.25" customHeight="1">
      <c r="A3563" s="1">
        <v>7.6</v>
      </c>
      <c r="B3563" s="1">
        <v>102.0</v>
      </c>
    </row>
    <row r="3564" ht="14.25" customHeight="1">
      <c r="A3564" s="1">
        <v>8.1</v>
      </c>
      <c r="B3564" s="1">
        <v>145.0</v>
      </c>
    </row>
    <row r="3565" ht="14.25" customHeight="1">
      <c r="A3565" s="1">
        <v>6.8</v>
      </c>
      <c r="B3565" s="1">
        <v>89.0</v>
      </c>
    </row>
    <row r="3566" ht="14.25" customHeight="1">
      <c r="A3566" s="1">
        <v>5.7</v>
      </c>
      <c r="B3566" s="1">
        <v>83.0</v>
      </c>
    </row>
    <row r="3567" ht="14.25" customHeight="1">
      <c r="A3567" s="1">
        <v>6.6</v>
      </c>
      <c r="B3567" s="1">
        <v>91.0</v>
      </c>
    </row>
    <row r="3568" ht="14.25" customHeight="1">
      <c r="A3568" s="1">
        <v>7.3</v>
      </c>
      <c r="B3568" s="1">
        <v>110.0</v>
      </c>
    </row>
    <row r="3569" ht="14.25" customHeight="1">
      <c r="A3569" s="1">
        <v>5.0</v>
      </c>
      <c r="B3569" s="1">
        <v>86.0</v>
      </c>
    </row>
    <row r="3570" ht="14.25" customHeight="1">
      <c r="A3570" s="1">
        <v>7.0</v>
      </c>
      <c r="B3570" s="1">
        <v>86.0</v>
      </c>
    </row>
    <row r="3571" ht="14.25" customHeight="1">
      <c r="A3571" s="1">
        <v>3.4</v>
      </c>
      <c r="B3571" s="1">
        <v>120.0</v>
      </c>
    </row>
    <row r="3572" ht="14.25" customHeight="1">
      <c r="A3572" s="1">
        <v>5.9</v>
      </c>
      <c r="B3572" s="1">
        <v>90.0</v>
      </c>
    </row>
    <row r="3573" ht="14.25" customHeight="1">
      <c r="A3573" s="1">
        <v>6.0</v>
      </c>
      <c r="B3573" s="1">
        <v>99.0</v>
      </c>
    </row>
    <row r="3574" ht="14.25" customHeight="1">
      <c r="A3574" s="1">
        <v>7.4</v>
      </c>
      <c r="B3574" s="1">
        <v>112.0</v>
      </c>
    </row>
    <row r="3575" ht="14.25" customHeight="1">
      <c r="A3575" s="1">
        <v>7.4</v>
      </c>
      <c r="B3575" s="1">
        <v>103.0</v>
      </c>
    </row>
    <row r="3576" ht="14.25" customHeight="1">
      <c r="A3576" s="1">
        <v>4.2</v>
      </c>
      <c r="B3576" s="1">
        <v>83.0</v>
      </c>
    </row>
    <row r="3577" ht="14.25" customHeight="1">
      <c r="A3577" s="1">
        <v>6.2</v>
      </c>
      <c r="B3577" s="1">
        <v>109.0</v>
      </c>
    </row>
    <row r="3578" ht="14.25" customHeight="1">
      <c r="A3578" s="1">
        <v>5.4</v>
      </c>
      <c r="B3578" s="1">
        <v>100.0</v>
      </c>
    </row>
    <row r="3579" ht="14.25" customHeight="1">
      <c r="A3579" s="1">
        <v>7.2</v>
      </c>
      <c r="B3579" s="1">
        <v>95.0</v>
      </c>
    </row>
    <row r="3580" ht="14.25" customHeight="1">
      <c r="A3580" s="1">
        <v>6.7</v>
      </c>
      <c r="B3580" s="1">
        <v>104.0</v>
      </c>
    </row>
    <row r="3581" ht="14.25" customHeight="1">
      <c r="A3581" s="1">
        <v>7.5</v>
      </c>
      <c r="B3581" s="1">
        <v>96.0</v>
      </c>
    </row>
    <row r="3582" ht="14.25" customHeight="1">
      <c r="A3582" s="1">
        <v>7.2</v>
      </c>
      <c r="B3582" s="1">
        <v>97.0</v>
      </c>
    </row>
    <row r="3583" ht="14.25" customHeight="1">
      <c r="A3583" s="1">
        <v>7.4</v>
      </c>
      <c r="B3583" s="1">
        <v>91.0</v>
      </c>
    </row>
    <row r="3584" ht="14.25" customHeight="1">
      <c r="A3584" s="1">
        <v>5.6</v>
      </c>
      <c r="B3584" s="1">
        <v>84.0</v>
      </c>
    </row>
    <row r="3585" ht="14.25" customHeight="1">
      <c r="A3585" s="1">
        <v>6.8</v>
      </c>
      <c r="B3585" s="1">
        <v>86.0</v>
      </c>
    </row>
    <row r="3586" ht="14.25" customHeight="1">
      <c r="A3586" s="1">
        <v>7.2</v>
      </c>
      <c r="B3586" s="1">
        <v>91.0</v>
      </c>
    </row>
    <row r="3587" ht="14.25" customHeight="1">
      <c r="A3587" s="1">
        <v>7.7</v>
      </c>
      <c r="B3587" s="1">
        <v>92.0</v>
      </c>
    </row>
    <row r="3588" ht="14.25" customHeight="1">
      <c r="A3588" s="1">
        <v>7.0</v>
      </c>
      <c r="B3588" s="1">
        <v>94.0</v>
      </c>
    </row>
    <row r="3589" ht="14.25" customHeight="1">
      <c r="A3589" s="1">
        <v>6.4</v>
      </c>
      <c r="B3589" s="1">
        <v>103.0</v>
      </c>
    </row>
    <row r="3590" ht="14.25" customHeight="1">
      <c r="A3590" s="1">
        <v>7.2</v>
      </c>
      <c r="B3590" s="1">
        <v>100.0</v>
      </c>
    </row>
    <row r="3591" ht="14.25" customHeight="1">
      <c r="A3591" s="1">
        <v>7.2</v>
      </c>
      <c r="B3591" s="1">
        <v>119.0</v>
      </c>
    </row>
    <row r="3592" ht="14.25" customHeight="1">
      <c r="A3592" s="1">
        <v>6.2</v>
      </c>
      <c r="B3592" s="1">
        <v>92.0</v>
      </c>
    </row>
    <row r="3593" ht="14.25" customHeight="1">
      <c r="A3593" s="1">
        <v>6.9</v>
      </c>
      <c r="B3593" s="1">
        <v>108.0</v>
      </c>
    </row>
    <row r="3594" ht="14.25" customHeight="1">
      <c r="A3594" s="1">
        <v>7.0</v>
      </c>
      <c r="B3594" s="1">
        <v>97.0</v>
      </c>
    </row>
    <row r="3595" ht="14.25" customHeight="1">
      <c r="A3595" s="1">
        <v>6.7</v>
      </c>
      <c r="B3595" s="1">
        <v>88.0</v>
      </c>
    </row>
    <row r="3596" ht="14.25" customHeight="1">
      <c r="A3596" s="1">
        <v>7.4</v>
      </c>
      <c r="B3596" s="1">
        <v>88.0</v>
      </c>
    </row>
    <row r="3597" ht="14.25" customHeight="1">
      <c r="A3597" s="1">
        <v>6.1</v>
      </c>
      <c r="B3597" s="1">
        <v>79.0</v>
      </c>
    </row>
    <row r="3598" ht="14.25" customHeight="1">
      <c r="A3598" s="1">
        <v>6.7</v>
      </c>
      <c r="B3598" s="1">
        <v>135.0</v>
      </c>
    </row>
    <row r="3599" ht="14.25" customHeight="1">
      <c r="A3599" s="1">
        <v>8.2</v>
      </c>
      <c r="B3599" s="1">
        <v>96.0</v>
      </c>
    </row>
    <row r="3600" ht="14.25" customHeight="1">
      <c r="A3600" s="1">
        <v>7.7</v>
      </c>
      <c r="B3600" s="1">
        <v>53.0</v>
      </c>
    </row>
    <row r="3601" ht="14.25" customHeight="1">
      <c r="A3601" s="1">
        <v>7.3</v>
      </c>
      <c r="B3601" s="1">
        <v>97.0</v>
      </c>
    </row>
    <row r="3602" ht="14.25" customHeight="1">
      <c r="A3602" s="1">
        <v>7.6</v>
      </c>
      <c r="B3602" s="1">
        <v>91.0</v>
      </c>
    </row>
    <row r="3603" ht="14.25" customHeight="1">
      <c r="A3603" s="1">
        <v>5.6</v>
      </c>
      <c r="B3603" s="1">
        <v>112.0</v>
      </c>
    </row>
    <row r="3604" ht="14.25" customHeight="1">
      <c r="A3604" s="1">
        <v>6.4</v>
      </c>
      <c r="B3604" s="1">
        <v>95.0</v>
      </c>
    </row>
    <row r="3605" ht="14.25" customHeight="1">
      <c r="A3605" s="1">
        <v>6.8</v>
      </c>
      <c r="B3605" s="1">
        <v>93.0</v>
      </c>
    </row>
    <row r="3606" ht="14.25" customHeight="1">
      <c r="A3606" s="1">
        <v>6.1</v>
      </c>
      <c r="B3606" s="1">
        <v>88.0</v>
      </c>
    </row>
    <row r="3607" ht="14.25" customHeight="1">
      <c r="A3607" s="1">
        <v>6.0</v>
      </c>
      <c r="B3607" s="1">
        <v>82.0</v>
      </c>
    </row>
    <row r="3608" ht="14.25" customHeight="1">
      <c r="A3608" s="1">
        <v>6.1</v>
      </c>
      <c r="B3608" s="1">
        <v>78.0</v>
      </c>
    </row>
    <row r="3609" ht="14.25" customHeight="1">
      <c r="A3609" s="1">
        <v>5.5</v>
      </c>
      <c r="B3609" s="1">
        <v>97.0</v>
      </c>
    </row>
    <row r="3610" ht="14.25" customHeight="1">
      <c r="A3610" s="1">
        <v>6.9</v>
      </c>
      <c r="B3610" s="1">
        <v>81.0</v>
      </c>
    </row>
    <row r="3611" ht="14.25" customHeight="1">
      <c r="A3611" s="1">
        <v>4.1</v>
      </c>
      <c r="B3611" s="1">
        <v>88.0</v>
      </c>
    </row>
    <row r="3612" ht="14.25" customHeight="1">
      <c r="A3612" s="1">
        <v>5.4</v>
      </c>
      <c r="B3612" s="1">
        <v>96.0</v>
      </c>
    </row>
    <row r="3613" ht="14.25" customHeight="1">
      <c r="A3613" s="1">
        <v>7.0</v>
      </c>
      <c r="B3613" s="1">
        <v>101.0</v>
      </c>
    </row>
    <row r="3614" ht="14.25" customHeight="1">
      <c r="A3614" s="1">
        <v>8.2</v>
      </c>
      <c r="B3614" s="1">
        <v>108.0</v>
      </c>
    </row>
    <row r="3615" ht="14.25" customHeight="1">
      <c r="A3615" s="1">
        <v>5.7</v>
      </c>
      <c r="B3615" s="1">
        <v>100.0</v>
      </c>
    </row>
    <row r="3616" ht="14.25" customHeight="1">
      <c r="A3616" s="1">
        <v>7.9</v>
      </c>
      <c r="B3616" s="1">
        <v>113.0</v>
      </c>
    </row>
    <row r="3617" ht="14.25" customHeight="1">
      <c r="A3617" s="1">
        <v>7.1</v>
      </c>
      <c r="B3617" s="1">
        <v>104.0</v>
      </c>
    </row>
    <row r="3618" ht="14.25" customHeight="1">
      <c r="A3618" s="1">
        <v>6.4</v>
      </c>
      <c r="B3618" s="1">
        <v>91.0</v>
      </c>
    </row>
    <row r="3619" ht="14.25" customHeight="1">
      <c r="A3619" s="1">
        <v>7.5</v>
      </c>
      <c r="B3619" s="1">
        <v>85.0</v>
      </c>
    </row>
    <row r="3620" ht="14.25" customHeight="1">
      <c r="A3620" s="1">
        <v>6.4</v>
      </c>
      <c r="B3620" s="1">
        <v>101.0</v>
      </c>
    </row>
    <row r="3621" ht="14.25" customHeight="1">
      <c r="A3621" s="1">
        <v>6.5</v>
      </c>
      <c r="B3621" s="1">
        <v>112.0</v>
      </c>
    </row>
    <row r="3622" ht="14.25" customHeight="1">
      <c r="A3622" s="1">
        <v>7.2</v>
      </c>
      <c r="B3622" s="1">
        <v>107.0</v>
      </c>
    </row>
    <row r="3623" ht="14.25" customHeight="1">
      <c r="A3623" s="1">
        <v>6.0</v>
      </c>
      <c r="B3623" s="1">
        <v>88.0</v>
      </c>
    </row>
    <row r="3624" ht="14.25" customHeight="1">
      <c r="A3624" s="1">
        <v>5.6</v>
      </c>
      <c r="B3624" s="1">
        <v>95.0</v>
      </c>
    </row>
    <row r="3625" ht="14.25" customHeight="1">
      <c r="A3625" s="1">
        <v>8.4</v>
      </c>
      <c r="B3625" s="1">
        <v>123.0</v>
      </c>
    </row>
    <row r="3626" ht="14.25" customHeight="1">
      <c r="A3626" s="1">
        <v>7.5</v>
      </c>
      <c r="B3626" s="1">
        <v>88.0</v>
      </c>
    </row>
    <row r="3627" ht="14.25" customHeight="1">
      <c r="A3627" s="1">
        <v>7.2</v>
      </c>
      <c r="B3627" s="1">
        <v>114.0</v>
      </c>
    </row>
    <row r="3628" ht="14.25" customHeight="1">
      <c r="A3628" s="1">
        <v>7.2</v>
      </c>
      <c r="B3628" s="1">
        <v>88.0</v>
      </c>
    </row>
    <row r="3629" ht="14.25" customHeight="1">
      <c r="A3629" s="1">
        <v>6.5</v>
      </c>
      <c r="B3629" s="1">
        <v>104.0</v>
      </c>
    </row>
    <row r="3630" ht="14.25" customHeight="1">
      <c r="A3630" s="1">
        <v>6.4</v>
      </c>
      <c r="B3630" s="1">
        <v>91.0</v>
      </c>
    </row>
    <row r="3631" ht="14.25" customHeight="1">
      <c r="A3631" s="1">
        <v>7.5</v>
      </c>
      <c r="B3631" s="1">
        <v>112.0</v>
      </c>
    </row>
    <row r="3632" ht="14.25" customHeight="1">
      <c r="A3632" s="1">
        <v>6.9</v>
      </c>
      <c r="B3632" s="1">
        <v>86.0</v>
      </c>
    </row>
    <row r="3633" ht="14.25" customHeight="1">
      <c r="A3633" s="1">
        <v>7.0</v>
      </c>
      <c r="B3633" s="1">
        <v>86.0</v>
      </c>
    </row>
    <row r="3634" ht="14.25" customHeight="1">
      <c r="A3634" s="1">
        <v>6.3</v>
      </c>
      <c r="B3634" s="1">
        <v>95.0</v>
      </c>
    </row>
    <row r="3635" ht="14.25" customHeight="1">
      <c r="A3635" s="1">
        <v>5.5</v>
      </c>
      <c r="B3635" s="1">
        <v>101.0</v>
      </c>
    </row>
    <row r="3636" ht="14.25" customHeight="1">
      <c r="A3636" s="1">
        <v>4.8</v>
      </c>
      <c r="B3636" s="1">
        <v>89.0</v>
      </c>
    </row>
    <row r="3637" ht="14.25" customHeight="1">
      <c r="A3637" s="1">
        <v>6.6</v>
      </c>
      <c r="B3637" s="1">
        <v>88.0</v>
      </c>
    </row>
    <row r="3638" ht="14.25" customHeight="1">
      <c r="A3638" s="1">
        <v>5.2</v>
      </c>
      <c r="B3638" s="1">
        <v>99.0</v>
      </c>
    </row>
    <row r="3639" ht="14.25" customHeight="1">
      <c r="A3639" s="1">
        <v>8.3</v>
      </c>
      <c r="B3639" s="1">
        <v>170.0</v>
      </c>
    </row>
    <row r="3640" ht="14.25" customHeight="1">
      <c r="A3640" s="1">
        <v>7.2</v>
      </c>
      <c r="B3640" s="1">
        <v>97.0</v>
      </c>
    </row>
    <row r="3641" ht="14.25" customHeight="1">
      <c r="A3641" s="1">
        <v>7.2</v>
      </c>
      <c r="B3641" s="1">
        <v>201.0</v>
      </c>
    </row>
    <row r="3642" ht="14.25" customHeight="1">
      <c r="A3642" s="1">
        <v>5.3</v>
      </c>
      <c r="B3642" s="1">
        <v>108.0</v>
      </c>
    </row>
    <row r="3643" ht="14.25" customHeight="1">
      <c r="A3643" s="1">
        <v>7.2</v>
      </c>
      <c r="B3643" s="1">
        <v>106.0</v>
      </c>
    </row>
    <row r="3644" ht="14.25" customHeight="1">
      <c r="A3644" s="1">
        <v>7.8</v>
      </c>
      <c r="B3644" s="1">
        <v>81.0</v>
      </c>
    </row>
    <row r="3645" ht="14.25" customHeight="1">
      <c r="A3645" s="1">
        <v>6.4</v>
      </c>
      <c r="B3645" s="1">
        <v>81.0</v>
      </c>
    </row>
    <row r="3646" ht="14.25" customHeight="1">
      <c r="A3646" s="1">
        <v>8.1</v>
      </c>
      <c r="B3646" s="1">
        <v>215.0</v>
      </c>
    </row>
    <row r="3647" ht="14.25" customHeight="1">
      <c r="A3647" s="1">
        <v>5.6</v>
      </c>
      <c r="B3647" s="1">
        <v>106.0</v>
      </c>
    </row>
    <row r="3648" ht="14.25" customHeight="1">
      <c r="A3648" s="1">
        <v>6.6</v>
      </c>
      <c r="B3648" s="1">
        <v>90.0</v>
      </c>
    </row>
    <row r="3649" ht="14.25" customHeight="1">
      <c r="A3649" s="1">
        <v>7.7</v>
      </c>
      <c r="B3649" s="1">
        <v>87.0</v>
      </c>
    </row>
    <row r="3650" ht="14.25" customHeight="1">
      <c r="A3650" s="1">
        <v>6.5</v>
      </c>
      <c r="B3650" s="1">
        <v>122.0</v>
      </c>
    </row>
    <row r="3651" ht="14.25" customHeight="1">
      <c r="A3651" s="1">
        <v>6.1</v>
      </c>
      <c r="B3651" s="1">
        <v>86.0</v>
      </c>
    </row>
    <row r="3652" ht="14.25" customHeight="1">
      <c r="A3652" s="1">
        <v>5.7</v>
      </c>
      <c r="B3652" s="1">
        <v>79.0</v>
      </c>
    </row>
    <row r="3653" ht="14.25" customHeight="1">
      <c r="A3653" s="1">
        <v>5.9</v>
      </c>
      <c r="B3653" s="1">
        <v>97.0</v>
      </c>
    </row>
    <row r="3654" ht="14.25" customHeight="1">
      <c r="A3654" s="1">
        <v>7.7</v>
      </c>
      <c r="B3654" s="1">
        <v>89.0</v>
      </c>
    </row>
    <row r="3655" ht="14.25" customHeight="1">
      <c r="A3655" s="1">
        <v>7.1</v>
      </c>
      <c r="B3655" s="1">
        <v>120.0</v>
      </c>
    </row>
    <row r="3656" ht="14.25" customHeight="1">
      <c r="A3656" s="1">
        <v>7.6</v>
      </c>
      <c r="B3656" s="1">
        <v>108.0</v>
      </c>
    </row>
    <row r="3657" ht="14.25" customHeight="1">
      <c r="A3657" s="1">
        <v>7.4</v>
      </c>
      <c r="B3657" s="1">
        <v>83.0</v>
      </c>
    </row>
    <row r="3658" ht="14.25" customHeight="1">
      <c r="A3658" s="1">
        <v>6.8</v>
      </c>
      <c r="B3658" s="1">
        <v>93.0</v>
      </c>
    </row>
    <row r="3659" ht="14.25" customHeight="1">
      <c r="A3659" s="1">
        <v>6.5</v>
      </c>
      <c r="B3659" s="1">
        <v>86.0</v>
      </c>
    </row>
    <row r="3660" ht="14.25" customHeight="1">
      <c r="A3660" s="1">
        <v>7.3</v>
      </c>
      <c r="B3660" s="1">
        <v>111.0</v>
      </c>
    </row>
    <row r="3661" ht="14.25" customHeight="1">
      <c r="A3661" s="1">
        <v>7.3</v>
      </c>
      <c r="B3661" s="1">
        <v>90.0</v>
      </c>
    </row>
    <row r="3662" ht="14.25" customHeight="1">
      <c r="A3662" s="1">
        <v>6.5</v>
      </c>
      <c r="B3662" s="1">
        <v>86.0</v>
      </c>
    </row>
    <row r="3663" ht="14.25" customHeight="1">
      <c r="A3663" s="1">
        <v>6.0</v>
      </c>
      <c r="B3663" s="1">
        <v>98.0</v>
      </c>
    </row>
    <row r="3664" ht="14.25" customHeight="1">
      <c r="A3664" s="1">
        <v>5.3</v>
      </c>
      <c r="B3664" s="1">
        <v>91.0</v>
      </c>
    </row>
    <row r="3665" ht="14.25" customHeight="1">
      <c r="A3665" s="1">
        <v>6.6</v>
      </c>
      <c r="B3665" s="1">
        <v>91.0</v>
      </c>
    </row>
    <row r="3666" ht="14.25" customHeight="1">
      <c r="A3666" s="1">
        <v>8.7</v>
      </c>
      <c r="B3666" s="1">
        <v>202.0</v>
      </c>
    </row>
    <row r="3667" ht="14.25" customHeight="1">
      <c r="A3667" s="1">
        <v>6.2</v>
      </c>
      <c r="B3667" s="1">
        <v>84.0</v>
      </c>
    </row>
    <row r="3668" ht="14.25" customHeight="1">
      <c r="A3668" s="1">
        <v>5.8</v>
      </c>
      <c r="B3668" s="1">
        <v>82.0</v>
      </c>
    </row>
    <row r="3669" ht="14.25" customHeight="1">
      <c r="A3669" s="1">
        <v>6.7</v>
      </c>
      <c r="B3669" s="1">
        <v>94.0</v>
      </c>
    </row>
    <row r="3670" ht="14.25" customHeight="1">
      <c r="A3670" s="1">
        <v>5.7</v>
      </c>
      <c r="B3670" s="1">
        <v>100.0</v>
      </c>
    </row>
    <row r="3671" ht="14.25" customHeight="1">
      <c r="A3671" s="1">
        <v>6.1</v>
      </c>
      <c r="B3671" s="1">
        <v>112.0</v>
      </c>
    </row>
    <row r="3672" ht="14.25" customHeight="1">
      <c r="A3672" s="1">
        <v>6.4</v>
      </c>
      <c r="B3672" s="1">
        <v>94.0</v>
      </c>
    </row>
    <row r="3673" ht="14.25" customHeight="1">
      <c r="A3673" s="1">
        <v>4.6</v>
      </c>
      <c r="B3673" s="1">
        <v>87.0</v>
      </c>
    </row>
    <row r="3674" ht="14.25" customHeight="1">
      <c r="A3674" s="1">
        <v>3.3</v>
      </c>
      <c r="B3674" s="1">
        <v>93.0</v>
      </c>
    </row>
    <row r="3675" ht="14.25" customHeight="1">
      <c r="A3675" s="1">
        <v>6.4</v>
      </c>
      <c r="B3675" s="1">
        <v>130.0</v>
      </c>
    </row>
    <row r="3676" ht="14.25" customHeight="1">
      <c r="A3676" s="1">
        <v>5.9</v>
      </c>
      <c r="B3676" s="1">
        <v>91.0</v>
      </c>
    </row>
    <row r="3677" ht="14.25" customHeight="1">
      <c r="A3677" s="1">
        <v>7.7</v>
      </c>
      <c r="B3677" s="1">
        <v>107.0</v>
      </c>
    </row>
    <row r="3678" ht="14.25" customHeight="1">
      <c r="A3678" s="1">
        <v>7.1</v>
      </c>
      <c r="B3678" s="1">
        <v>84.0</v>
      </c>
    </row>
    <row r="3679" ht="14.25" customHeight="1">
      <c r="A3679" s="1">
        <v>6.2</v>
      </c>
      <c r="B3679" s="1">
        <v>103.0</v>
      </c>
    </row>
    <row r="3680" ht="14.25" customHeight="1">
      <c r="A3680" s="1">
        <v>7.7</v>
      </c>
      <c r="B3680" s="1">
        <v>89.0</v>
      </c>
    </row>
    <row r="3681" ht="14.25" customHeight="1">
      <c r="A3681" s="1">
        <v>7.5</v>
      </c>
      <c r="B3681" s="1">
        <v>98.0</v>
      </c>
    </row>
    <row r="3682" ht="14.25" customHeight="1">
      <c r="A3682" s="1">
        <v>6.9</v>
      </c>
      <c r="B3682" s="1">
        <v>92.0</v>
      </c>
    </row>
    <row r="3683" ht="14.25" customHeight="1">
      <c r="A3683" s="1">
        <v>7.1</v>
      </c>
      <c r="B3683" s="1">
        <v>90.0</v>
      </c>
    </row>
    <row r="3684" ht="14.25" customHeight="1">
      <c r="A3684" s="1">
        <v>6.3</v>
      </c>
      <c r="B3684" s="1">
        <v>84.0</v>
      </c>
    </row>
    <row r="3685" ht="14.25" customHeight="1">
      <c r="A3685" s="1">
        <v>8.3</v>
      </c>
      <c r="B3685" s="1">
        <v>91.0</v>
      </c>
    </row>
    <row r="3686" ht="14.25" customHeight="1">
      <c r="A3686" s="1">
        <v>7.1</v>
      </c>
      <c r="B3686" s="1">
        <v>90.0</v>
      </c>
    </row>
    <row r="3687" ht="14.25" customHeight="1">
      <c r="A3687" s="1">
        <v>7.2</v>
      </c>
      <c r="B3687" s="1">
        <v>88.0</v>
      </c>
    </row>
    <row r="3688" ht="14.25" customHeight="1">
      <c r="A3688" s="1">
        <v>6.9</v>
      </c>
      <c r="B3688" s="1">
        <v>82.0</v>
      </c>
    </row>
    <row r="3689" ht="14.25" customHeight="1">
      <c r="A3689" s="1">
        <v>6.1</v>
      </c>
      <c r="B3689" s="1">
        <v>101.0</v>
      </c>
    </row>
    <row r="3690" ht="14.25" customHeight="1">
      <c r="A3690" s="1">
        <v>6.3</v>
      </c>
      <c r="B3690" s="1">
        <v>100.0</v>
      </c>
    </row>
    <row r="3691" ht="14.25" customHeight="1">
      <c r="A3691" s="1">
        <v>6.1</v>
      </c>
      <c r="B3691" s="1">
        <v>89.0</v>
      </c>
    </row>
    <row r="3692" ht="14.25" customHeight="1">
      <c r="A3692" s="1">
        <v>7.8</v>
      </c>
      <c r="B3692" s="1">
        <v>88.0</v>
      </c>
    </row>
    <row r="3693" ht="14.25" customHeight="1">
      <c r="A3693" s="1">
        <v>4.7</v>
      </c>
      <c r="B3693" s="1">
        <v>90.0</v>
      </c>
    </row>
    <row r="3694" ht="14.25" customHeight="1">
      <c r="A3694" s="1">
        <v>7.9</v>
      </c>
      <c r="B3694" s="1">
        <v>101.0</v>
      </c>
    </row>
    <row r="3695" ht="14.25" customHeight="1">
      <c r="A3695" s="1">
        <v>6.7</v>
      </c>
      <c r="B3695" s="1">
        <v>102.0</v>
      </c>
    </row>
    <row r="3696" ht="14.25" customHeight="1">
      <c r="A3696" s="1">
        <v>6.6</v>
      </c>
      <c r="B3696" s="1">
        <v>98.0</v>
      </c>
    </row>
    <row r="3697" ht="14.25" customHeight="1">
      <c r="A3697" s="1">
        <v>6.9</v>
      </c>
      <c r="B3697" s="1">
        <v>91.0</v>
      </c>
    </row>
    <row r="3698" ht="14.25" customHeight="1">
      <c r="A3698" s="1">
        <v>7.1</v>
      </c>
      <c r="B3698" s="1">
        <v>80.0</v>
      </c>
    </row>
    <row r="3699" ht="14.25" customHeight="1">
      <c r="A3699" s="1">
        <v>6.7</v>
      </c>
      <c r="B3699" s="1">
        <v>76.0</v>
      </c>
    </row>
    <row r="3700" ht="14.25" customHeight="1">
      <c r="A3700" s="1">
        <v>7.1</v>
      </c>
      <c r="B3700" s="1">
        <v>80.0</v>
      </c>
    </row>
    <row r="3701" ht="14.25" customHeight="1">
      <c r="A3701" s="1">
        <v>6.6</v>
      </c>
      <c r="B3701" s="1">
        <v>109.0</v>
      </c>
    </row>
    <row r="3702" ht="14.25" customHeight="1">
      <c r="A3702" s="1">
        <v>7.4</v>
      </c>
      <c r="B3702" s="1">
        <v>133.0</v>
      </c>
    </row>
    <row r="3703" ht="14.25" customHeight="1">
      <c r="A3703" s="1">
        <v>4.8</v>
      </c>
      <c r="B3703" s="1">
        <v>95.0</v>
      </c>
    </row>
    <row r="3704" ht="14.25" customHeight="1">
      <c r="A3704" s="1">
        <v>6.4</v>
      </c>
      <c r="B3704" s="1">
        <v>90.0</v>
      </c>
    </row>
    <row r="3705" ht="14.25" customHeight="1">
      <c r="A3705" s="1">
        <v>7.3</v>
      </c>
      <c r="B3705" s="1">
        <v>113.0</v>
      </c>
    </row>
    <row r="3706" ht="14.25" customHeight="1">
      <c r="A3706" s="1">
        <v>6.9</v>
      </c>
      <c r="B3706" s="1">
        <v>91.0</v>
      </c>
    </row>
    <row r="3707" ht="14.25" customHeight="1">
      <c r="A3707" s="1">
        <v>7.2</v>
      </c>
      <c r="B3707" s="1">
        <v>98.0</v>
      </c>
    </row>
    <row r="3708" ht="14.25" customHeight="1">
      <c r="A3708" s="1">
        <v>6.5</v>
      </c>
      <c r="B3708" s="1">
        <v>94.0</v>
      </c>
    </row>
    <row r="3709" ht="14.25" customHeight="1">
      <c r="A3709" s="1">
        <v>6.6</v>
      </c>
      <c r="B3709" s="1">
        <v>96.0</v>
      </c>
    </row>
    <row r="3710" ht="14.25" customHeight="1">
      <c r="A3710" s="1">
        <v>6.7</v>
      </c>
      <c r="B3710" s="1">
        <v>100.0</v>
      </c>
    </row>
    <row r="3711" ht="14.25" customHeight="1">
      <c r="A3711" s="1">
        <v>7.3</v>
      </c>
      <c r="B3711" s="1">
        <v>90.0</v>
      </c>
    </row>
    <row r="3712" ht="14.25" customHeight="1">
      <c r="A3712" s="1">
        <v>7.0</v>
      </c>
      <c r="B3712" s="1">
        <v>75.0</v>
      </c>
    </row>
    <row r="3713" ht="14.25" customHeight="1">
      <c r="A3713" s="1">
        <v>5.5</v>
      </c>
      <c r="B3713" s="1">
        <v>78.0</v>
      </c>
    </row>
    <row r="3714" ht="14.25" customHeight="1">
      <c r="A3714" s="1">
        <v>6.7</v>
      </c>
      <c r="B3714" s="1">
        <v>90.0</v>
      </c>
    </row>
    <row r="3715" ht="14.25" customHeight="1">
      <c r="A3715" s="1">
        <v>3.9</v>
      </c>
      <c r="B3715" s="1">
        <v>99.0</v>
      </c>
    </row>
    <row r="3716" ht="14.25" customHeight="1">
      <c r="A3716" s="1">
        <v>7.5</v>
      </c>
      <c r="B3716" s="1">
        <v>86.0</v>
      </c>
    </row>
    <row r="3717" ht="14.25" customHeight="1">
      <c r="A3717" s="1">
        <v>7.0</v>
      </c>
      <c r="B3717" s="1">
        <v>106.0</v>
      </c>
    </row>
    <row r="3718" ht="14.25" customHeight="1">
      <c r="A3718" s="1">
        <v>6.7</v>
      </c>
      <c r="B3718" s="1">
        <v>80.0</v>
      </c>
    </row>
    <row r="3719" ht="14.25" customHeight="1">
      <c r="A3719" s="1">
        <v>7.4</v>
      </c>
      <c r="B3719" s="1">
        <v>96.0</v>
      </c>
    </row>
    <row r="3720" ht="14.25" customHeight="1">
      <c r="A3720" s="1">
        <v>8.0</v>
      </c>
      <c r="B3720" s="1">
        <v>99.0</v>
      </c>
    </row>
    <row r="3721" ht="14.25" customHeight="1">
      <c r="A3721" s="1">
        <v>7.1</v>
      </c>
      <c r="B3721" s="1">
        <v>106.0</v>
      </c>
    </row>
    <row r="3722" ht="14.25" customHeight="1">
      <c r="A3722" s="1">
        <v>7.7</v>
      </c>
      <c r="B3722" s="1">
        <v>106.0</v>
      </c>
    </row>
    <row r="3723" ht="14.25" customHeight="1">
      <c r="A3723" s="1">
        <v>8.5</v>
      </c>
      <c r="B3723" s="1">
        <v>89.0</v>
      </c>
    </row>
    <row r="3724" ht="14.25" customHeight="1">
      <c r="A3724" s="1">
        <v>7.7</v>
      </c>
      <c r="B3724" s="1">
        <v>97.0</v>
      </c>
    </row>
    <row r="3725" ht="14.25" customHeight="1">
      <c r="A3725" s="1">
        <v>6.5</v>
      </c>
      <c r="B3725" s="1">
        <v>88.0</v>
      </c>
    </row>
    <row r="3726" ht="14.25" customHeight="1">
      <c r="A3726" s="1">
        <v>7.0</v>
      </c>
      <c r="B3726" s="1">
        <v>92.0</v>
      </c>
    </row>
    <row r="3727" ht="14.25" customHeight="1">
      <c r="A3727" s="1">
        <v>5.5</v>
      </c>
      <c r="B3727" s="1">
        <v>97.0</v>
      </c>
    </row>
    <row r="3728" ht="14.25" customHeight="1">
      <c r="A3728" s="1">
        <v>6.3</v>
      </c>
      <c r="B3728" s="1">
        <v>78.0</v>
      </c>
    </row>
    <row r="3729" ht="14.25" customHeight="1">
      <c r="A3729" s="1">
        <v>7.9</v>
      </c>
      <c r="B3729" s="1">
        <v>85.0</v>
      </c>
    </row>
    <row r="3730" ht="14.25" customHeight="1">
      <c r="A3730" s="1">
        <v>7.4</v>
      </c>
      <c r="B3730" s="1">
        <v>93.0</v>
      </c>
    </row>
    <row r="3731" ht="14.25" customHeight="1">
      <c r="A3731" s="1">
        <v>7.5</v>
      </c>
      <c r="B3731" s="1">
        <v>88.0</v>
      </c>
    </row>
    <row r="3732" ht="14.25" customHeight="1">
      <c r="A3732" s="1">
        <v>7.5</v>
      </c>
      <c r="B3732" s="1">
        <v>91.0</v>
      </c>
    </row>
    <row r="3733" ht="14.25" customHeight="1">
      <c r="A3733" s="1">
        <v>6.7</v>
      </c>
      <c r="B3733" s="1">
        <v>111.0</v>
      </c>
    </row>
    <row r="3734" ht="14.25" customHeight="1">
      <c r="A3734" s="1">
        <v>4.2</v>
      </c>
      <c r="B3734" s="1">
        <v>81.0</v>
      </c>
    </row>
    <row r="3735" ht="14.25" customHeight="1">
      <c r="A3735" s="1">
        <v>7.0</v>
      </c>
      <c r="B3735" s="1">
        <v>81.0</v>
      </c>
    </row>
    <row r="3736" ht="14.25" customHeight="1">
      <c r="A3736" s="1">
        <v>7.0</v>
      </c>
      <c r="B3736" s="1">
        <v>90.0</v>
      </c>
    </row>
    <row r="3737" ht="14.25" customHeight="1">
      <c r="A3737" s="1">
        <v>6.8</v>
      </c>
      <c r="B3737" s="1">
        <v>88.0</v>
      </c>
    </row>
    <row r="3738" ht="14.25" customHeight="1">
      <c r="A3738" s="1">
        <v>6.6</v>
      </c>
      <c r="B3738" s="1">
        <v>114.0</v>
      </c>
    </row>
    <row r="3739" ht="14.25" customHeight="1">
      <c r="A3739" s="1">
        <v>7.5</v>
      </c>
      <c r="B3739" s="1">
        <v>84.0</v>
      </c>
    </row>
    <row r="3740" ht="14.25" customHeight="1">
      <c r="A3740" s="1">
        <v>5.3</v>
      </c>
      <c r="B3740" s="1">
        <v>87.0</v>
      </c>
    </row>
    <row r="3741" ht="14.25" customHeight="1">
      <c r="A3741" s="1">
        <v>7.3</v>
      </c>
      <c r="B3741" s="1">
        <v>100.0</v>
      </c>
    </row>
    <row r="3742" ht="14.25" customHeight="1">
      <c r="A3742" s="1">
        <v>5.6</v>
      </c>
      <c r="B3742" s="1">
        <v>82.0</v>
      </c>
    </row>
    <row r="3743" ht="14.25" customHeight="1">
      <c r="A3743" s="1">
        <v>5.6</v>
      </c>
      <c r="B3743" s="1">
        <v>82.0</v>
      </c>
    </row>
    <row r="3744" ht="14.25" customHeight="1">
      <c r="A3744" s="1">
        <v>6.6</v>
      </c>
      <c r="B3744" s="1">
        <v>98.0</v>
      </c>
    </row>
    <row r="3745" ht="14.25" customHeight="1">
      <c r="A3745" s="1">
        <v>6.3</v>
      </c>
      <c r="B3745" s="1">
        <v>98.0</v>
      </c>
    </row>
    <row r="3746" ht="14.25" customHeight="1">
      <c r="A3746" s="1">
        <v>7.5</v>
      </c>
      <c r="B3746" s="1">
        <v>90.0</v>
      </c>
    </row>
    <row r="3747" ht="14.25" customHeight="1">
      <c r="A3747" s="1">
        <v>7.6</v>
      </c>
      <c r="B3747" s="1">
        <v>90.0</v>
      </c>
    </row>
    <row r="3748" ht="14.25" customHeight="1">
      <c r="A3748" s="1">
        <v>7.8</v>
      </c>
      <c r="B3748" s="1">
        <v>102.0</v>
      </c>
    </row>
    <row r="3749" ht="14.25" customHeight="1">
      <c r="A3749" s="1">
        <v>7.3</v>
      </c>
      <c r="B3749" s="1">
        <v>97.0</v>
      </c>
    </row>
    <row r="3750" ht="14.25" customHeight="1">
      <c r="A3750" s="1">
        <v>5.7</v>
      </c>
      <c r="B3750" s="1">
        <v>109.0</v>
      </c>
    </row>
    <row r="3751" ht="14.25" customHeight="1">
      <c r="A3751" s="1">
        <v>7.1</v>
      </c>
      <c r="B3751" s="1">
        <v>100.0</v>
      </c>
    </row>
    <row r="3752" ht="14.25" customHeight="1">
      <c r="A3752" s="1">
        <v>6.1</v>
      </c>
      <c r="B3752" s="1">
        <v>108.0</v>
      </c>
    </row>
    <row r="3753" ht="14.25" customHeight="1">
      <c r="A3753" s="1">
        <v>6.9</v>
      </c>
      <c r="B3753" s="1">
        <v>110.0</v>
      </c>
    </row>
    <row r="3754" ht="14.25" customHeight="1">
      <c r="A3754" s="1">
        <v>7.5</v>
      </c>
      <c r="B3754" s="1">
        <v>90.0</v>
      </c>
    </row>
    <row r="3755" ht="14.25" customHeight="1">
      <c r="A3755" s="1">
        <v>7.0</v>
      </c>
      <c r="B3755" s="1">
        <v>77.0</v>
      </c>
    </row>
    <row r="3756" ht="14.25" customHeight="1">
      <c r="A3756" s="1">
        <v>6.9</v>
      </c>
      <c r="B3756" s="1">
        <v>81.0</v>
      </c>
    </row>
    <row r="3757" ht="14.25" customHeight="1">
      <c r="A3757" s="1">
        <v>6.6</v>
      </c>
      <c r="B3757" s="1">
        <v>90.0</v>
      </c>
    </row>
  </sheetData>
  <printOptions/>
  <pageMargins bottom="0.75" footer="0.0" header="0.0" left="0.7" right="0.7" top="0.75"/>
  <pageSetup orientation="landscape"/>
  <drawing r:id="rId1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0.71"/>
    <col customWidth="1" min="2" max="2" width="18.29"/>
    <col customWidth="1" min="3" max="10" width="10.14"/>
    <col customWidth="1" min="11" max="11" width="39.86"/>
    <col customWidth="1" min="12" max="14" width="8.71"/>
    <col customWidth="1" min="15" max="15" width="22.57"/>
    <col customWidth="1" min="16" max="16" width="26.29"/>
    <col customWidth="1" min="17" max="17" width="22.71"/>
    <col customWidth="1" min="18" max="21" width="8.71"/>
  </cols>
  <sheetData>
    <row r="1" ht="14.25" customHeight="1">
      <c r="A1" s="2" t="s">
        <v>17748</v>
      </c>
      <c r="B1" s="1" t="s">
        <v>25</v>
      </c>
      <c r="C1" s="1" t="s">
        <v>17749</v>
      </c>
      <c r="D1" s="1" t="s">
        <v>17750</v>
      </c>
      <c r="E1" s="1" t="s">
        <v>17751</v>
      </c>
      <c r="F1" s="1" t="s">
        <v>17752</v>
      </c>
      <c r="G1" s="1" t="s">
        <v>17753</v>
      </c>
      <c r="H1" s="1" t="s">
        <v>17754</v>
      </c>
      <c r="I1" s="1" t="s">
        <v>17755</v>
      </c>
      <c r="J1" s="1" t="s">
        <v>17756</v>
      </c>
      <c r="K1" s="1" t="s">
        <v>2</v>
      </c>
    </row>
    <row r="2" ht="14.25" customHeight="1">
      <c r="A2" s="3" t="s">
        <v>4610</v>
      </c>
      <c r="B2" s="1">
        <v>7.9</v>
      </c>
      <c r="C2" s="1" t="s">
        <v>917</v>
      </c>
      <c r="D2" s="1" t="s">
        <v>17757</v>
      </c>
      <c r="E2" s="1" t="s">
        <v>3238</v>
      </c>
      <c r="F2" s="1" t="s">
        <v>17758</v>
      </c>
      <c r="G2" s="1" t="s">
        <v>17759</v>
      </c>
      <c r="H2" s="1" t="s">
        <v>17760</v>
      </c>
      <c r="I2" s="1" t="s">
        <v>17761</v>
      </c>
      <c r="J2" s="1" t="s">
        <v>17762</v>
      </c>
      <c r="K2" s="1" t="s">
        <v>4609</v>
      </c>
    </row>
    <row r="3" ht="14.25" customHeight="1">
      <c r="A3" s="3" t="s">
        <v>6748</v>
      </c>
      <c r="B3" s="1">
        <v>7.1</v>
      </c>
      <c r="C3" s="1" t="s">
        <v>1270</v>
      </c>
      <c r="D3" s="1" t="s">
        <v>917</v>
      </c>
      <c r="E3" s="1" t="s">
        <v>17763</v>
      </c>
      <c r="F3" s="1" t="s">
        <v>3238</v>
      </c>
      <c r="G3" s="1" t="s">
        <v>17758</v>
      </c>
      <c r="H3" s="1" t="s">
        <v>17759</v>
      </c>
      <c r="I3" s="1" t="s">
        <v>17762</v>
      </c>
      <c r="J3" s="1" t="s">
        <v>17471</v>
      </c>
      <c r="K3" s="1" t="s">
        <v>6747</v>
      </c>
    </row>
    <row r="4" ht="14.25" customHeight="1">
      <c r="A4" s="3" t="s">
        <v>10504</v>
      </c>
      <c r="B4" s="1">
        <v>6.8</v>
      </c>
      <c r="C4" s="1" t="s">
        <v>1270</v>
      </c>
      <c r="D4" s="1" t="s">
        <v>1885</v>
      </c>
      <c r="E4" s="1" t="s">
        <v>17763</v>
      </c>
      <c r="F4" s="1" t="s">
        <v>17759</v>
      </c>
      <c r="G4" s="1" t="s">
        <v>6019</v>
      </c>
      <c r="H4" s="1" t="s">
        <v>17761</v>
      </c>
      <c r="I4" s="1" t="s">
        <v>17764</v>
      </c>
      <c r="J4" s="1" t="s">
        <v>17471</v>
      </c>
      <c r="K4" s="1" t="s">
        <v>10503</v>
      </c>
    </row>
    <row r="5" ht="14.25" customHeight="1">
      <c r="A5" s="3" t="s">
        <v>3324</v>
      </c>
      <c r="B5" s="1">
        <v>8.5</v>
      </c>
      <c r="C5" s="1" t="s">
        <v>1270</v>
      </c>
      <c r="D5" s="1" t="s">
        <v>917</v>
      </c>
      <c r="E5" s="1" t="s">
        <v>17757</v>
      </c>
      <c r="F5" s="1" t="s">
        <v>1885</v>
      </c>
      <c r="G5" s="1" t="s">
        <v>17763</v>
      </c>
      <c r="H5" s="1" t="s">
        <v>17758</v>
      </c>
      <c r="I5" s="1" t="s">
        <v>17759</v>
      </c>
      <c r="J5" s="1"/>
      <c r="K5" s="1" t="s">
        <v>3323</v>
      </c>
    </row>
    <row r="6" ht="14.25" customHeight="1">
      <c r="A6" s="3" t="s">
        <v>3768</v>
      </c>
      <c r="B6" s="1">
        <v>6.6</v>
      </c>
      <c r="C6" s="1" t="s">
        <v>917</v>
      </c>
      <c r="D6" s="1" t="s">
        <v>17757</v>
      </c>
      <c r="E6" s="1" t="s">
        <v>17765</v>
      </c>
      <c r="F6" s="1" t="s">
        <v>3238</v>
      </c>
      <c r="G6" s="1" t="s">
        <v>17758</v>
      </c>
      <c r="H6" s="1" t="s">
        <v>17759</v>
      </c>
      <c r="I6" s="1" t="s">
        <v>17760</v>
      </c>
      <c r="J6" s="1"/>
      <c r="K6" s="1" t="s">
        <v>3767</v>
      </c>
    </row>
    <row r="7" ht="14.25" customHeight="1">
      <c r="A7" s="3" t="s">
        <v>6299</v>
      </c>
      <c r="B7" s="1">
        <v>6.2</v>
      </c>
      <c r="C7" s="1" t="s">
        <v>917</v>
      </c>
      <c r="D7" s="1" t="s">
        <v>17757</v>
      </c>
      <c r="E7" s="1" t="s">
        <v>1885</v>
      </c>
      <c r="F7" s="1" t="s">
        <v>3238</v>
      </c>
      <c r="G7" s="1" t="s">
        <v>17758</v>
      </c>
      <c r="H7" s="1" t="s">
        <v>17759</v>
      </c>
      <c r="I7" s="1" t="s">
        <v>17760</v>
      </c>
      <c r="J7" s="1"/>
      <c r="K7" s="1" t="s">
        <v>6298</v>
      </c>
    </row>
    <row r="8" ht="14.25" customHeight="1">
      <c r="A8" s="3" t="s">
        <v>4101</v>
      </c>
      <c r="B8" s="1">
        <v>7.8</v>
      </c>
      <c r="C8" s="1" t="s">
        <v>917</v>
      </c>
      <c r="D8" s="1" t="s">
        <v>17757</v>
      </c>
      <c r="E8" s="1" t="s">
        <v>1885</v>
      </c>
      <c r="F8" s="1" t="s">
        <v>3238</v>
      </c>
      <c r="G8" s="1" t="s">
        <v>17758</v>
      </c>
      <c r="H8" s="1" t="s">
        <v>17759</v>
      </c>
      <c r="I8" s="1" t="s">
        <v>17762</v>
      </c>
      <c r="J8" s="1"/>
      <c r="K8" s="1" t="s">
        <v>4100</v>
      </c>
    </row>
    <row r="9" ht="14.25" customHeight="1">
      <c r="A9" s="3" t="s">
        <v>81</v>
      </c>
      <c r="B9" s="1">
        <v>7.5</v>
      </c>
      <c r="C9" s="1" t="s">
        <v>917</v>
      </c>
      <c r="D9" s="1" t="s">
        <v>17757</v>
      </c>
      <c r="E9" s="1" t="s">
        <v>1885</v>
      </c>
      <c r="F9" s="1" t="s">
        <v>17758</v>
      </c>
      <c r="G9" s="1" t="s">
        <v>17759</v>
      </c>
      <c r="H9" s="1" t="s">
        <v>17760</v>
      </c>
      <c r="I9" s="1" t="s">
        <v>17762</v>
      </c>
      <c r="J9" s="1"/>
      <c r="K9" s="1" t="s">
        <v>80</v>
      </c>
      <c r="O9" s="4" t="s">
        <v>17766</v>
      </c>
      <c r="P9" s="4" t="s">
        <v>17767</v>
      </c>
      <c r="Q9" s="4" t="s">
        <v>17768</v>
      </c>
      <c r="R9" s="4" t="s">
        <v>17769</v>
      </c>
      <c r="S9" s="4" t="s">
        <v>17770</v>
      </c>
      <c r="T9" s="4" t="s">
        <v>17771</v>
      </c>
      <c r="U9" s="4" t="s">
        <v>9922</v>
      </c>
    </row>
    <row r="10" ht="14.25" customHeight="1">
      <c r="A10" s="3" t="s">
        <v>81</v>
      </c>
      <c r="B10" s="1">
        <v>7.5</v>
      </c>
      <c r="C10" s="1" t="s">
        <v>917</v>
      </c>
      <c r="D10" s="1" t="s">
        <v>17757</v>
      </c>
      <c r="E10" s="1" t="s">
        <v>1885</v>
      </c>
      <c r="F10" s="1" t="s">
        <v>17758</v>
      </c>
      <c r="G10" s="1" t="s">
        <v>17759</v>
      </c>
      <c r="H10" s="1" t="s">
        <v>17760</v>
      </c>
      <c r="I10" s="1" t="s">
        <v>17762</v>
      </c>
      <c r="J10" s="1"/>
      <c r="K10" s="1" t="s">
        <v>8201</v>
      </c>
      <c r="O10" s="4" t="str">
        <f>IFERROR(__xludf.DUMMYFUNCTION("ARRAY_CONSTRAIN(ARRAYFORMULA(UNIQUE(C2:C3757)), 17, 1)"),"Adventure")</f>
        <v>Adventure</v>
      </c>
      <c r="P10" s="4">
        <f t="array" ref="P10">COUNTIF(C2:J3757,"Action")</f>
        <v>959</v>
      </c>
      <c r="Q10" s="4">
        <f t="array" ref="Q10">IFERROR(AVERAGEIF($C$2:$I$3757,"Adventure",$B$2:$B$3757),"")</f>
        <v>6.502439024</v>
      </c>
      <c r="R10" s="4">
        <f t="array" ref="R10">IFERROR(MEDIAN(IF($C$2:$I$3757="Adventure", $B$2:$B$3757)),"")</f>
        <v>6.5</v>
      </c>
      <c r="S10" s="4">
        <f t="array" ref="S10">IFERROR(_xlfn.STDEV.P(IF($C$2:$I$3757="Adventure", $B$2:$B$3757)),"")</f>
        <v>1.002024327</v>
      </c>
      <c r="T10" s="4">
        <f>MIN(Q10:Q26)</f>
        <v>5.771428571</v>
      </c>
      <c r="U10" s="4">
        <f>MAX(Q10:Q26)</f>
        <v>7.466666667</v>
      </c>
    </row>
    <row r="11" ht="14.25" customHeight="1">
      <c r="A11" s="3" t="s">
        <v>4324</v>
      </c>
      <c r="B11" s="1">
        <v>6.9</v>
      </c>
      <c r="C11" s="1" t="s">
        <v>917</v>
      </c>
      <c r="D11" s="1" t="s">
        <v>17757</v>
      </c>
      <c r="E11" s="1" t="s">
        <v>3238</v>
      </c>
      <c r="F11" s="1" t="s">
        <v>17758</v>
      </c>
      <c r="G11" s="1" t="s">
        <v>17772</v>
      </c>
      <c r="H11" s="1" t="s">
        <v>17760</v>
      </c>
      <c r="I11" s="1" t="s">
        <v>17762</v>
      </c>
      <c r="J11" s="1"/>
      <c r="K11" s="1" t="s">
        <v>4323</v>
      </c>
      <c r="O11" s="4" t="str">
        <f>IFERROR(__xludf.DUMMYFUNCTION("""COMPUTED_VALUE"""),"Action")</f>
        <v>Action</v>
      </c>
      <c r="P11" s="4">
        <f>COUNTIF(C2:J3757,"Adventure")</f>
        <v>781</v>
      </c>
      <c r="Q11" s="4">
        <f t="array" ref="Q11">IFERROR(AVERAGEIF($C$2:$I$3757,"Action",$B$2:$B$3757),"")</f>
        <v>6.409489051</v>
      </c>
      <c r="R11" s="4">
        <f t="array" ref="R11">IFERROR(MEDIAN(IF($C$2:$I$3757="Action", $B$2:$B$3757)),"")</f>
        <v>6.5</v>
      </c>
      <c r="S11" s="4">
        <f t="array" ref="S11">IFERROR(_xlfn.STDEV.P(IF($C$2:$I$3757="Action", $B$2:$B$3757)),"")</f>
        <v>1.049019429</v>
      </c>
    </row>
    <row r="12" ht="14.25" customHeight="1">
      <c r="A12" s="3" t="s">
        <v>588</v>
      </c>
      <c r="B12" s="1">
        <v>6.1</v>
      </c>
      <c r="C12" s="1" t="s">
        <v>1270</v>
      </c>
      <c r="D12" s="1" t="s">
        <v>917</v>
      </c>
      <c r="E12" s="1" t="s">
        <v>17757</v>
      </c>
      <c r="F12" s="1" t="s">
        <v>1885</v>
      </c>
      <c r="G12" s="1" t="s">
        <v>3238</v>
      </c>
      <c r="H12" s="1" t="s">
        <v>17758</v>
      </c>
      <c r="I12" s="1" t="s">
        <v>17764</v>
      </c>
      <c r="J12" s="1"/>
      <c r="K12" s="1" t="s">
        <v>587</v>
      </c>
      <c r="O12" s="4" t="str">
        <f>IFERROR(__xludf.DUMMYFUNCTION("""COMPUTED_VALUE"""),"Biography")</f>
        <v>Biography</v>
      </c>
      <c r="P12" s="4">
        <f>COUNTIF(C2:J3757,"Drama")</f>
        <v>1893</v>
      </c>
      <c r="Q12" s="4">
        <f>IFERROR(AVERAGEIF($C$2:$I$3757,"Biography",$B$2:$B$3757),"")</f>
        <v>6.293658537</v>
      </c>
      <c r="R12" s="4">
        <f t="array" ref="R12">IFERROR(MEDIAN(IF($C$2:$I$3757="Biography", $B$2:$B$3757)),"")</f>
        <v>6.3</v>
      </c>
      <c r="S12" s="4">
        <f t="array" ref="S12">IFERROR(_xlfn.STDEV.P(IF($C$2:$I$3757="Biography", $B$2:$B$3757)),"")</f>
        <v>1.099448321</v>
      </c>
    </row>
    <row r="13" ht="14.25" customHeight="1">
      <c r="A13" s="3" t="s">
        <v>588</v>
      </c>
      <c r="B13" s="1">
        <v>6.7</v>
      </c>
      <c r="C13" s="1" t="s">
        <v>1270</v>
      </c>
      <c r="D13" s="1" t="s">
        <v>917</v>
      </c>
      <c r="E13" s="1" t="s">
        <v>17757</v>
      </c>
      <c r="F13" s="1" t="s">
        <v>1885</v>
      </c>
      <c r="G13" s="1" t="s">
        <v>3238</v>
      </c>
      <c r="H13" s="1" t="s">
        <v>17758</v>
      </c>
      <c r="I13" s="1" t="s">
        <v>17764</v>
      </c>
      <c r="J13" s="1"/>
      <c r="K13" s="1" t="s">
        <v>5079</v>
      </c>
      <c r="O13" s="4" t="str">
        <f>IFERROR(__xludf.DUMMYFUNCTION("""COMPUTED_VALUE"""),"Animation")</f>
        <v>Animation</v>
      </c>
      <c r="P13" s="4">
        <f>COUNTIF(C2:J3757,"Animation")</f>
        <v>196</v>
      </c>
      <c r="Q13" s="4">
        <f>IFERROR(AVERAGEIF($C$2:$I$3757,"Animation",$B$2:$B$3757),"")</f>
        <v>6.38</v>
      </c>
      <c r="R13" s="4">
        <f t="array" ref="R13">IFERROR(MEDIAN(IF($C$2:$I$3757="Animation", $B$2:$B$3757)),"")</f>
        <v>6.7</v>
      </c>
      <c r="S13" s="4">
        <f t="array" ref="S13">IFERROR(_xlfn.STDEV.P(IF($C$2:$I$3757="Animation", $B$2:$B$3757)),"")</f>
        <v>0.8909038401</v>
      </c>
    </row>
    <row r="14" ht="14.25" customHeight="1">
      <c r="A14" s="3" t="s">
        <v>833</v>
      </c>
      <c r="B14" s="1">
        <v>7.3</v>
      </c>
      <c r="C14" s="1" t="s">
        <v>1270</v>
      </c>
      <c r="D14" s="1" t="s">
        <v>917</v>
      </c>
      <c r="E14" s="1" t="s">
        <v>17757</v>
      </c>
      <c r="F14" s="1" t="s">
        <v>1885</v>
      </c>
      <c r="G14" s="1" t="s">
        <v>17758</v>
      </c>
      <c r="H14" s="1" t="s">
        <v>17759</v>
      </c>
      <c r="I14" s="1" t="s">
        <v>17764</v>
      </c>
      <c r="J14" s="1"/>
      <c r="K14" s="1" t="s">
        <v>832</v>
      </c>
      <c r="O14" s="4" t="str">
        <f>IFERROR(__xludf.DUMMYFUNCTION("""COMPUTED_VALUE"""),"Comedy")</f>
        <v>Comedy</v>
      </c>
      <c r="P14" s="4">
        <f>COUNTIF(C2:J3757,"Comedy")</f>
        <v>1461</v>
      </c>
      <c r="Q14" s="4">
        <f t="array" ref="Q14">IFERROR(AVERAGEIF($C$2:$I$3757,"Comedy",$B$2:$B$3757),"")</f>
        <v>6.537411527</v>
      </c>
      <c r="R14" s="4">
        <f t="array" ref="R14">IFERROR(MEDIAN(IF($C$2:$I$3757="Comedy", $B$2:$B$3757)),"")</f>
        <v>6.6</v>
      </c>
      <c r="S14" s="4">
        <f t="array" ref="S14">IFERROR(_xlfn.STDEV.P(IF($C$2:$I$3757="Comedy", $B$2:$B$3757)),"")</f>
        <v>0.9988140425</v>
      </c>
    </row>
    <row r="15" ht="14.25" customHeight="1">
      <c r="A15" s="3" t="s">
        <v>833</v>
      </c>
      <c r="B15" s="1">
        <v>6.5</v>
      </c>
      <c r="C15" s="1" t="s">
        <v>1270</v>
      </c>
      <c r="D15" s="1" t="s">
        <v>917</v>
      </c>
      <c r="E15" s="1" t="s">
        <v>17757</v>
      </c>
      <c r="F15" s="1" t="s">
        <v>1885</v>
      </c>
      <c r="G15" s="1" t="s">
        <v>17758</v>
      </c>
      <c r="H15" s="1" t="s">
        <v>17759</v>
      </c>
      <c r="I15" s="1" t="s">
        <v>17764</v>
      </c>
      <c r="J15" s="1"/>
      <c r="K15" s="1" t="s">
        <v>6901</v>
      </c>
      <c r="O15" s="4" t="str">
        <f>IFERROR(__xludf.DUMMYFUNCTION("""COMPUTED_VALUE"""),"Crime")</f>
        <v>Crime</v>
      </c>
      <c r="P15" s="4">
        <f>COUNTIF(C2:J3757,"Mystery")</f>
        <v>384</v>
      </c>
      <c r="Q15" s="4">
        <f>IFERROR(AVERAGEIF($C$2:$I$3757,"Crime",$B$2:$B$3757),"")</f>
        <v>6.38627451</v>
      </c>
      <c r="R15" s="4">
        <f t="array" ref="R15">IFERROR(MEDIAN(IF($C$2:$I$3757="Crime", $B$2:$B$3757)),"")</f>
        <v>6.5</v>
      </c>
      <c r="S15" s="4">
        <f t="array" ref="S15">IFERROR(_xlfn.STDEV.P(IF($C$2:$I$3757="Crime", $B$2:$B$3757)),"")</f>
        <v>1.093400693</v>
      </c>
    </row>
    <row r="16" ht="14.25" customHeight="1">
      <c r="A16" s="3" t="s">
        <v>2450</v>
      </c>
      <c r="B16" s="1">
        <v>7.2</v>
      </c>
      <c r="C16" s="1" t="s">
        <v>917</v>
      </c>
      <c r="D16" s="1" t="s">
        <v>17757</v>
      </c>
      <c r="E16" s="1" t="s">
        <v>1885</v>
      </c>
      <c r="F16" s="1" t="s">
        <v>3238</v>
      </c>
      <c r="G16" s="1" t="s">
        <v>17758</v>
      </c>
      <c r="H16" s="1" t="s">
        <v>17759</v>
      </c>
      <c r="I16" s="1" t="s">
        <v>17764</v>
      </c>
      <c r="J16" s="1"/>
      <c r="K16" s="1" t="s">
        <v>2449</v>
      </c>
      <c r="O16" s="4" t="str">
        <f>IFERROR(__xludf.DUMMYFUNCTION("""COMPUTED_VALUE"""),"Drama")</f>
        <v>Drama</v>
      </c>
      <c r="P16" s="4">
        <f>COUNTIF(C2:J3757,"Crime")</f>
        <v>709</v>
      </c>
      <c r="Q16" s="4">
        <f>AVERAGEIF($A$2:$A$3757, "Drama", $B$2:$B$3757)</f>
        <v>6.646099291</v>
      </c>
      <c r="R16" s="4">
        <f t="array" ref="R16">IFERROR(MEDIAN(IF($C$2:$I$3757="Drama", $B$2:$B$3757)),"")</f>
        <v>6.5</v>
      </c>
      <c r="S16" s="4">
        <f t="array" ref="S16">IFERROR(_xlfn.STDEV.P(IF($C$2:$I$3757="Drama", $B$2:$B$3757)),"")</f>
        <v>1.051097251</v>
      </c>
    </row>
    <row r="17" ht="14.25" customHeight="1">
      <c r="A17" s="3" t="s">
        <v>946</v>
      </c>
      <c r="B17" s="1">
        <v>6.6</v>
      </c>
      <c r="C17" s="1" t="s">
        <v>1270</v>
      </c>
      <c r="D17" s="1" t="s">
        <v>917</v>
      </c>
      <c r="E17" s="1" t="s">
        <v>1885</v>
      </c>
      <c r="F17" s="1" t="s">
        <v>17758</v>
      </c>
      <c r="G17" s="1" t="s">
        <v>17759</v>
      </c>
      <c r="H17" s="1" t="s">
        <v>17761</v>
      </c>
      <c r="I17" s="1" t="s">
        <v>17764</v>
      </c>
      <c r="J17" s="1"/>
      <c r="K17" s="1" t="s">
        <v>945</v>
      </c>
      <c r="O17" s="4" t="str">
        <f>IFERROR(__xludf.DUMMYFUNCTION("""COMPUTED_VALUE"""),"Fantasy")</f>
        <v>Fantasy</v>
      </c>
      <c r="P17" s="4">
        <f>COUNTIF(C2:C3757,"Biography")</f>
        <v>205</v>
      </c>
      <c r="Q17" s="4">
        <f>IFERROR(AVERAGEIF($C$2:$I$3757,"Fantasy",$B$2:$B$3757),"")</f>
        <v>6.308108108</v>
      </c>
      <c r="R17" s="4">
        <f t="array" ref="R17">IFERROR(MEDIAN(IF($C$2:$I$3757="Fantasy", $B$2:$B$3757)),"")</f>
        <v>6.6</v>
      </c>
      <c r="S17" s="4">
        <f t="array" ref="S17">IFERROR(_xlfn.STDEV.P(IF($C$2:$I$3757="Fantasy", $B$2:$B$3757)),"")</f>
        <v>0.9822681256</v>
      </c>
    </row>
    <row r="18" ht="14.25" customHeight="1">
      <c r="A18" s="3" t="s">
        <v>2553</v>
      </c>
      <c r="B18" s="1">
        <v>8.1</v>
      </c>
      <c r="C18" s="1" t="s">
        <v>917</v>
      </c>
      <c r="D18" s="1" t="s">
        <v>17757</v>
      </c>
      <c r="E18" s="1" t="s">
        <v>1885</v>
      </c>
      <c r="F18" s="1" t="s">
        <v>17758</v>
      </c>
      <c r="G18" s="1" t="s">
        <v>17759</v>
      </c>
      <c r="H18" s="1" t="s">
        <v>17764</v>
      </c>
      <c r="I18" s="1" t="s">
        <v>17773</v>
      </c>
      <c r="J18" s="1"/>
      <c r="K18" s="1" t="s">
        <v>2552</v>
      </c>
      <c r="O18" s="4" t="str">
        <f>IFERROR(__xludf.DUMMYFUNCTION("""COMPUTED_VALUE"""),"Horror")</f>
        <v>Horror</v>
      </c>
      <c r="P18" s="4">
        <f>COUNTIF(C2:J3757,"Fantasy")</f>
        <v>507</v>
      </c>
      <c r="Q18" s="4">
        <f t="array" ref="Q18">IFERROR(AVERAGEIF($C$2:$I$3757,"Horror",$B$2:$B$3757),"")</f>
        <v>6.657926829</v>
      </c>
      <c r="R18" s="4">
        <f t="array" ref="R18">IFERROR(MEDIAN(IF($C$2:$I$3757="Horror", $B$2:$B$3757)),"")</f>
        <v>6.6</v>
      </c>
      <c r="S18" s="4">
        <f t="array" ref="S18">IFERROR(_xlfn.STDEV.P(IF($C$2:$I$3757="Horror", $B$2:$B$3757)),"")</f>
        <v>1.091403094</v>
      </c>
    </row>
    <row r="19" ht="14.25" customHeight="1">
      <c r="A19" s="3" t="s">
        <v>8830</v>
      </c>
      <c r="B19" s="1">
        <v>6.7</v>
      </c>
      <c r="C19" s="1" t="s">
        <v>1270</v>
      </c>
      <c r="D19" s="1" t="s">
        <v>917</v>
      </c>
      <c r="E19" s="1" t="s">
        <v>1885</v>
      </c>
      <c r="F19" s="1" t="s">
        <v>17763</v>
      </c>
      <c r="G19" s="1" t="s">
        <v>17758</v>
      </c>
      <c r="H19" s="1" t="s">
        <v>17762</v>
      </c>
      <c r="I19" s="1" t="s">
        <v>17471</v>
      </c>
      <c r="J19" s="1"/>
      <c r="K19" s="1" t="s">
        <v>8829</v>
      </c>
      <c r="O19" s="4" t="str">
        <f>IFERROR(__xludf.DUMMYFUNCTION("""COMPUTED_VALUE"""),"Family")</f>
        <v>Family</v>
      </c>
      <c r="P19" s="4">
        <f>COUNTIF(C2:J3757,"Documentary")</f>
        <v>45</v>
      </c>
      <c r="Q19" s="4">
        <f>IFERROR(AVERAGEIF($C$2:$I$3757,"Family",$B$2:$B$3757),"")</f>
        <v>7.466666667</v>
      </c>
      <c r="R19" s="4">
        <f t="array" ref="R19">IFERROR(MEDIAN(IF($C$2:$I$3757="Family", $B$2:$B$3757)),"")</f>
        <v>6.6</v>
      </c>
      <c r="S19" s="4">
        <f t="array" ref="S19">IFERROR(_xlfn.STDEV.P(IF($C$2:$I$3757="Family", $B$2:$B$3757)),"")</f>
        <v>0.9235212366</v>
      </c>
    </row>
    <row r="20" ht="14.25" customHeight="1">
      <c r="A20" s="3" t="s">
        <v>7896</v>
      </c>
      <c r="B20" s="1">
        <v>6.8</v>
      </c>
      <c r="C20" s="1" t="s">
        <v>1270</v>
      </c>
      <c r="D20" s="1" t="s">
        <v>917</v>
      </c>
      <c r="E20" s="1" t="s">
        <v>17757</v>
      </c>
      <c r="F20" s="1" t="s">
        <v>3238</v>
      </c>
      <c r="G20" s="1" t="s">
        <v>17761</v>
      </c>
      <c r="H20" s="1" t="s">
        <v>17764</v>
      </c>
      <c r="I20" s="1" t="s">
        <v>17471</v>
      </c>
      <c r="J20" s="1"/>
      <c r="K20" s="1">
        <v>9.0</v>
      </c>
      <c r="O20" s="4" t="str">
        <f>IFERROR(__xludf.DUMMYFUNCTION("""COMPUTED_VALUE"""),"Documentary")</f>
        <v>Documentary</v>
      </c>
      <c r="P20" s="4">
        <f>COUNTIF(C2:J3757,"Sci-Fi")</f>
        <v>496</v>
      </c>
      <c r="Q20" s="4">
        <f>AVERAGEIF($A$2:$A$3757, "Documentary", $B$2:$B$3757)</f>
        <v>6.554545455</v>
      </c>
      <c r="R20" s="4">
        <f t="array" ref="R20">IFERROR(MEDIAN(IF($C$2:$I$3757="Documentary", $B$2:$B$3757)),"")</f>
        <v>6.2</v>
      </c>
      <c r="S20" s="4">
        <f t="array" ref="S20">IFERROR(_xlfn.STDEV.P(IF($C$2:$I$3757="Documentary", $B$2:$B$3757)),"")</f>
        <v>1.22313905</v>
      </c>
    </row>
    <row r="21" ht="14.25" customHeight="1">
      <c r="A21" s="3" t="s">
        <v>725</v>
      </c>
      <c r="B21" s="1">
        <v>7.5</v>
      </c>
      <c r="C21" s="1" t="s">
        <v>1270</v>
      </c>
      <c r="D21" s="1" t="s">
        <v>917</v>
      </c>
      <c r="E21" s="1" t="s">
        <v>17765</v>
      </c>
      <c r="F21" s="1" t="s">
        <v>3238</v>
      </c>
      <c r="G21" s="1" t="s">
        <v>17772</v>
      </c>
      <c r="H21" s="1" t="s">
        <v>17762</v>
      </c>
      <c r="I21" s="1" t="s">
        <v>9025</v>
      </c>
      <c r="J21" s="1"/>
      <c r="K21" s="1" t="s">
        <v>724</v>
      </c>
      <c r="O21" s="4" t="str">
        <f>IFERROR(__xludf.DUMMYFUNCTION("""COMPUTED_VALUE"""),"Mystery")</f>
        <v>Mystery</v>
      </c>
      <c r="P21" s="4">
        <f>COUNTIF(C2:J3757,"Horror")</f>
        <v>392</v>
      </c>
      <c r="Q21" s="4">
        <f>IFERROR(AVERAGEIF($C$2:$I$3757,"Mystery",$B$2:$B$3757),"")</f>
        <v>6.234782609</v>
      </c>
      <c r="R21" s="4">
        <f t="array" ref="R21">IFERROR(MEDIAN(IF($C$2:$I$3757="Mystery", $B$2:$B$3757)),"")</f>
        <v>6.6</v>
      </c>
      <c r="S21" s="4">
        <f t="array" ref="S21">IFERROR(_xlfn.STDEV.P(IF($C$2:$I$3757="Mystery", $B$2:$B$3757)),"")</f>
        <v>1.073781982</v>
      </c>
    </row>
    <row r="22" ht="14.25" customHeight="1">
      <c r="A22" s="3" t="s">
        <v>999</v>
      </c>
      <c r="B22" s="1">
        <v>7.0</v>
      </c>
      <c r="C22" s="1" t="s">
        <v>1270</v>
      </c>
      <c r="D22" s="1" t="s">
        <v>917</v>
      </c>
      <c r="E22" s="1" t="s">
        <v>17757</v>
      </c>
      <c r="F22" s="1" t="s">
        <v>1885</v>
      </c>
      <c r="G22" s="1" t="s">
        <v>17758</v>
      </c>
      <c r="H22" s="1" t="s">
        <v>17759</v>
      </c>
      <c r="I22" s="1"/>
      <c r="J22" s="1"/>
      <c r="K22" s="1" t="s">
        <v>998</v>
      </c>
      <c r="O22" s="4" t="str">
        <f>IFERROR(__xludf.DUMMYFUNCTION("""COMPUTED_VALUE"""),"Romance")</f>
        <v>Romance</v>
      </c>
      <c r="P22" s="4">
        <f>COUNTIF(C2:J3757,"Romance")</f>
        <v>859</v>
      </c>
      <c r="Q22" s="4">
        <f t="array" ref="Q22">IFERROR(AVERAGEIF($C$2:$I$3757,"Romance",$B$2:$B$3757),"")</f>
        <v>6.2</v>
      </c>
      <c r="R22" s="4">
        <f t="array" ref="R22">IFERROR(MEDIAN(IF($C$2:$I$3757="Romance", $B$2:$B$3757)),"")</f>
        <v>6.6</v>
      </c>
      <c r="S22" s="4">
        <f t="array" ref="S22">IFERROR(_xlfn.STDEV.P(IF($C$2:$I$3757="Romance", $B$2:$B$3757)),"")</f>
        <v>1.042232622</v>
      </c>
    </row>
    <row r="23" ht="14.25" customHeight="1">
      <c r="A23" s="3" t="s">
        <v>999</v>
      </c>
      <c r="B23" s="1">
        <v>6.7</v>
      </c>
      <c r="C23" s="1" t="s">
        <v>1270</v>
      </c>
      <c r="D23" s="1" t="s">
        <v>917</v>
      </c>
      <c r="E23" s="1" t="s">
        <v>17757</v>
      </c>
      <c r="F23" s="1" t="s">
        <v>1885</v>
      </c>
      <c r="G23" s="1" t="s">
        <v>17758</v>
      </c>
      <c r="H23" s="1" t="s">
        <v>17759</v>
      </c>
      <c r="I23" s="1"/>
      <c r="J23" s="1"/>
      <c r="K23" s="1" t="s">
        <v>1148</v>
      </c>
      <c r="O23" s="4" t="str">
        <f>IFERROR(__xludf.DUMMYFUNCTION("""COMPUTED_VALUE"""),"Musical")</f>
        <v>Musical</v>
      </c>
      <c r="P23" s="4">
        <f>COUNTIF(C2:J3757,"Family")</f>
        <v>442</v>
      </c>
      <c r="Q23" s="4">
        <f>IFERROR(AVERAGEIF($C$2:$I$3757,"Musical",$B$2:$B$3757),"")</f>
        <v>6.35</v>
      </c>
      <c r="R23" s="4">
        <f t="array" ref="R23">IFERROR(MEDIAN(IF($C$2:$I$3757="Musical", $B$2:$B$3757)),"")</f>
        <v>6.8</v>
      </c>
      <c r="S23" s="4">
        <f t="array" ref="S23">IFERROR(_xlfn.STDEV.P(IF($C$2:$I$3757="Musical", $B$2:$B$3757)),"")</f>
        <v>1.01495758</v>
      </c>
    </row>
    <row r="24" ht="14.25" customHeight="1">
      <c r="A24" s="3" t="s">
        <v>999</v>
      </c>
      <c r="B24" s="1">
        <v>7.9</v>
      </c>
      <c r="C24" s="1" t="s">
        <v>1270</v>
      </c>
      <c r="D24" s="1" t="s">
        <v>917</v>
      </c>
      <c r="E24" s="1" t="s">
        <v>17757</v>
      </c>
      <c r="F24" s="1" t="s">
        <v>1885</v>
      </c>
      <c r="G24" s="1" t="s">
        <v>17758</v>
      </c>
      <c r="H24" s="1" t="s">
        <v>17759</v>
      </c>
      <c r="I24" s="1"/>
      <c r="J24" s="1"/>
      <c r="K24" s="1" t="s">
        <v>2864</v>
      </c>
      <c r="O24" s="4" t="str">
        <f>IFERROR(__xludf.DUMMYFUNCTION("""COMPUTED_VALUE"""),"Sci-Fi")</f>
        <v>Sci-Fi</v>
      </c>
      <c r="P24" s="4">
        <f>COUNTIF(C2:J3757,"Western")</f>
        <v>59</v>
      </c>
      <c r="Q24" s="4">
        <f t="array" ref="Q24">IFERROR(AVERAGEIF($C$2:$I$3757,"Sci-Fi",$B$2:$B$3757),"")</f>
        <v>5.771428571</v>
      </c>
      <c r="R24" s="4">
        <f t="array" ref="R24">IFERROR(MEDIAN(IF($C$2:$I$3757="Sci-Fi", $B$2:$B$3757)),"")</f>
        <v>6.5</v>
      </c>
      <c r="S24" s="4">
        <f t="array" ref="S24">IFERROR(_xlfn.STDEV.P(IF($C$2:$I$3757="Sci-Fi", $B$2:$B$3757)),"")</f>
        <v>1.078891512</v>
      </c>
    </row>
    <row r="25" ht="14.25" customHeight="1">
      <c r="A25" s="3" t="s">
        <v>999</v>
      </c>
      <c r="B25" s="1">
        <v>6.1</v>
      </c>
      <c r="C25" s="1" t="s">
        <v>1270</v>
      </c>
      <c r="D25" s="1" t="s">
        <v>917</v>
      </c>
      <c r="E25" s="1" t="s">
        <v>17757</v>
      </c>
      <c r="F25" s="1" t="s">
        <v>1885</v>
      </c>
      <c r="G25" s="1" t="s">
        <v>17758</v>
      </c>
      <c r="H25" s="1" t="s">
        <v>17759</v>
      </c>
      <c r="I25" s="1"/>
      <c r="J25" s="1"/>
      <c r="K25" s="1" t="s">
        <v>3987</v>
      </c>
      <c r="O25" s="4" t="str">
        <f>IFERROR(__xludf.DUMMYFUNCTION("""COMPUTED_VALUE"""),"Thriller")</f>
        <v>Thriller</v>
      </c>
      <c r="P25" s="4">
        <f>COUNTIF(C2:J3757,"Musical")</f>
        <v>96</v>
      </c>
      <c r="Q25" s="4">
        <f t="array" ref="Q25">IFERROR(AVERAGEIF($C$2:$I$3757,"Thriller",$B$2:$B$3757),"")</f>
        <v>7</v>
      </c>
      <c r="R25" s="4">
        <f t="array" ref="R25">IFERROR(MEDIAN(IF($C$2:$I$3757="Thriller", $B$2:$B$3757)),"")</f>
        <v>6.5</v>
      </c>
      <c r="S25" s="4">
        <f t="array" ref="S25">IFERROR(_xlfn.STDEV.P(IF($C$2:$I$3757="Thriller", $B$2:$B$3757)),"")</f>
        <v>1.111607677</v>
      </c>
    </row>
    <row r="26" ht="14.25" customHeight="1">
      <c r="A26" s="3" t="s">
        <v>527</v>
      </c>
      <c r="B26" s="1">
        <v>7.2</v>
      </c>
      <c r="C26" s="1" t="s">
        <v>917</v>
      </c>
      <c r="D26" s="1" t="s">
        <v>17757</v>
      </c>
      <c r="E26" s="1" t="s">
        <v>1885</v>
      </c>
      <c r="F26" s="1" t="s">
        <v>3238</v>
      </c>
      <c r="G26" s="1" t="s">
        <v>17758</v>
      </c>
      <c r="H26" s="1" t="s">
        <v>17759</v>
      </c>
      <c r="I26" s="1"/>
      <c r="J26" s="1"/>
      <c r="K26" s="1" t="s">
        <v>526</v>
      </c>
      <c r="O26" s="4" t="str">
        <f>IFERROR(__xludf.DUMMYFUNCTION("""COMPUTED_VALUE"""),"Western")</f>
        <v>Western</v>
      </c>
      <c r="P26" s="4">
        <f>COUNTIF(C2:J3757,"Thriller")</f>
        <v>1117</v>
      </c>
      <c r="Q26" s="4">
        <f t="array" ref="Q26">IFERROR(AVERAGEIF($C$2:$I$3757,"Western",$B$2:$B$3757),"")</f>
        <v>6.75</v>
      </c>
      <c r="R26" s="4">
        <f t="array" ref="R26">IFERROR(MEDIAN(IF($C$2:$I$3757="Western", $B$2:$B$3757)),"")</f>
        <v>6.3</v>
      </c>
      <c r="S26" s="4">
        <f t="array" ref="S26">IFERROR(_xlfn.STDEV.P(IF($C$2:$I$3757="Western", $B$2:$B$3757)),"")</f>
        <v>1.029454189</v>
      </c>
    </row>
    <row r="27" ht="14.25" customHeight="1">
      <c r="A27" s="3" t="s">
        <v>2083</v>
      </c>
      <c r="B27" s="1">
        <v>7.7</v>
      </c>
      <c r="C27" s="1" t="s">
        <v>917</v>
      </c>
      <c r="D27" s="1" t="s">
        <v>17757</v>
      </c>
      <c r="E27" s="1" t="s">
        <v>1885</v>
      </c>
      <c r="F27" s="1" t="s">
        <v>17758</v>
      </c>
      <c r="G27" s="1" t="s">
        <v>17759</v>
      </c>
      <c r="H27" s="1" t="s">
        <v>17774</v>
      </c>
      <c r="I27" s="1"/>
      <c r="J27" s="1"/>
      <c r="K27" s="1" t="s">
        <v>2082</v>
      </c>
    </row>
    <row r="28" ht="14.25" customHeight="1">
      <c r="A28" s="3" t="s">
        <v>2083</v>
      </c>
      <c r="B28" s="1">
        <v>8.2</v>
      </c>
      <c r="C28" s="1" t="s">
        <v>917</v>
      </c>
      <c r="D28" s="1" t="s">
        <v>17757</v>
      </c>
      <c r="E28" s="1" t="s">
        <v>1885</v>
      </c>
      <c r="F28" s="1" t="s">
        <v>17758</v>
      </c>
      <c r="G28" s="1" t="s">
        <v>17759</v>
      </c>
      <c r="H28" s="1" t="s">
        <v>17774</v>
      </c>
      <c r="I28" s="1"/>
      <c r="J28" s="1"/>
      <c r="K28" s="1" t="s">
        <v>2470</v>
      </c>
    </row>
    <row r="29" ht="14.25" customHeight="1">
      <c r="A29" s="3" t="s">
        <v>8217</v>
      </c>
      <c r="B29" s="1">
        <v>5.9</v>
      </c>
      <c r="C29" s="1" t="s">
        <v>917</v>
      </c>
      <c r="D29" s="1" t="s">
        <v>17757</v>
      </c>
      <c r="E29" s="1" t="s">
        <v>1885</v>
      </c>
      <c r="F29" s="1" t="s">
        <v>3238</v>
      </c>
      <c r="G29" s="1" t="s">
        <v>17758</v>
      </c>
      <c r="H29" s="1" t="s">
        <v>17760</v>
      </c>
      <c r="I29" s="1"/>
      <c r="J29" s="1"/>
      <c r="K29" s="1" t="s">
        <v>8216</v>
      </c>
    </row>
    <row r="30" ht="14.25" customHeight="1">
      <c r="A30" s="3" t="s">
        <v>8217</v>
      </c>
      <c r="B30" s="1">
        <v>7.0</v>
      </c>
      <c r="C30" s="1" t="s">
        <v>917</v>
      </c>
      <c r="D30" s="1" t="s">
        <v>17757</v>
      </c>
      <c r="E30" s="1" t="s">
        <v>1885</v>
      </c>
      <c r="F30" s="1" t="s">
        <v>3238</v>
      </c>
      <c r="G30" s="1" t="s">
        <v>17758</v>
      </c>
      <c r="H30" s="1" t="s">
        <v>17760</v>
      </c>
      <c r="I30" s="1"/>
      <c r="J30" s="1"/>
      <c r="K30" s="1" t="s">
        <v>12046</v>
      </c>
    </row>
    <row r="31" ht="14.25" customHeight="1">
      <c r="A31" s="3" t="s">
        <v>792</v>
      </c>
      <c r="B31" s="1">
        <v>7.8</v>
      </c>
      <c r="C31" s="1" t="s">
        <v>917</v>
      </c>
      <c r="D31" s="1" t="s">
        <v>17757</v>
      </c>
      <c r="E31" s="1" t="s">
        <v>1885</v>
      </c>
      <c r="F31" s="1" t="s">
        <v>17758</v>
      </c>
      <c r="G31" s="1" t="s">
        <v>17759</v>
      </c>
      <c r="H31" s="1" t="s">
        <v>17760</v>
      </c>
      <c r="I31" s="1"/>
      <c r="J31" s="1"/>
      <c r="K31" s="1" t="s">
        <v>791</v>
      </c>
    </row>
    <row r="32" ht="14.25" customHeight="1">
      <c r="A32" s="3" t="s">
        <v>792</v>
      </c>
      <c r="B32" s="1">
        <v>7.3</v>
      </c>
      <c r="C32" s="1" t="s">
        <v>917</v>
      </c>
      <c r="D32" s="1" t="s">
        <v>17757</v>
      </c>
      <c r="E32" s="1" t="s">
        <v>1885</v>
      </c>
      <c r="F32" s="1" t="s">
        <v>17758</v>
      </c>
      <c r="G32" s="1" t="s">
        <v>17759</v>
      </c>
      <c r="H32" s="1" t="s">
        <v>17760</v>
      </c>
      <c r="I32" s="1"/>
      <c r="J32" s="1"/>
      <c r="K32" s="1" t="s">
        <v>8866</v>
      </c>
    </row>
    <row r="33" ht="14.25" customHeight="1">
      <c r="A33" s="3" t="s">
        <v>10385</v>
      </c>
      <c r="B33" s="1">
        <v>7.2</v>
      </c>
      <c r="C33" s="1" t="s">
        <v>17765</v>
      </c>
      <c r="D33" s="1" t="s">
        <v>1885</v>
      </c>
      <c r="E33" s="1" t="s">
        <v>3238</v>
      </c>
      <c r="F33" s="1" t="s">
        <v>17772</v>
      </c>
      <c r="G33" s="1" t="s">
        <v>17774</v>
      </c>
      <c r="H33" s="1" t="s">
        <v>17760</v>
      </c>
      <c r="I33" s="1"/>
      <c r="J33" s="1"/>
      <c r="K33" s="1" t="s">
        <v>10384</v>
      </c>
    </row>
    <row r="34" ht="14.25" customHeight="1">
      <c r="A34" s="3" t="s">
        <v>8726</v>
      </c>
      <c r="B34" s="1">
        <v>6.5</v>
      </c>
      <c r="C34" s="1" t="s">
        <v>917</v>
      </c>
      <c r="D34" s="1" t="s">
        <v>1885</v>
      </c>
      <c r="E34" s="1" t="s">
        <v>17758</v>
      </c>
      <c r="F34" s="1" t="s">
        <v>17759</v>
      </c>
      <c r="G34" s="1" t="s">
        <v>6019</v>
      </c>
      <c r="H34" s="1" t="s">
        <v>17761</v>
      </c>
      <c r="I34" s="1"/>
      <c r="J34" s="1"/>
      <c r="K34" s="1" t="s">
        <v>8725</v>
      </c>
    </row>
    <row r="35" ht="14.25" customHeight="1">
      <c r="A35" s="3" t="s">
        <v>5198</v>
      </c>
      <c r="B35" s="1">
        <v>6.8</v>
      </c>
      <c r="C35" s="1" t="s">
        <v>1270</v>
      </c>
      <c r="D35" s="1" t="s">
        <v>917</v>
      </c>
      <c r="E35" s="1" t="s">
        <v>1885</v>
      </c>
      <c r="F35" s="1" t="s">
        <v>17763</v>
      </c>
      <c r="G35" s="1" t="s">
        <v>17774</v>
      </c>
      <c r="H35" s="1" t="s">
        <v>17761</v>
      </c>
      <c r="I35" s="1"/>
      <c r="J35" s="1"/>
      <c r="K35" s="1" t="s">
        <v>5197</v>
      </c>
    </row>
    <row r="36" ht="14.25" customHeight="1">
      <c r="A36" s="3" t="s">
        <v>3128</v>
      </c>
      <c r="B36" s="1">
        <v>7.3</v>
      </c>
      <c r="C36" s="1" t="s">
        <v>917</v>
      </c>
      <c r="D36" s="1" t="s">
        <v>17757</v>
      </c>
      <c r="E36" s="1" t="s">
        <v>1885</v>
      </c>
      <c r="F36" s="1" t="s">
        <v>17758</v>
      </c>
      <c r="G36" s="1" t="s">
        <v>17759</v>
      </c>
      <c r="H36" s="1" t="s">
        <v>17762</v>
      </c>
      <c r="I36" s="1"/>
      <c r="J36" s="1"/>
      <c r="K36" s="1" t="s">
        <v>3127</v>
      </c>
    </row>
    <row r="37" ht="14.25" customHeight="1">
      <c r="A37" s="3" t="s">
        <v>3128</v>
      </c>
      <c r="B37" s="1">
        <v>6.0</v>
      </c>
      <c r="C37" s="1" t="s">
        <v>917</v>
      </c>
      <c r="D37" s="1" t="s">
        <v>17757</v>
      </c>
      <c r="E37" s="1" t="s">
        <v>1885</v>
      </c>
      <c r="F37" s="1" t="s">
        <v>17758</v>
      </c>
      <c r="G37" s="1" t="s">
        <v>17759</v>
      </c>
      <c r="H37" s="1" t="s">
        <v>17762</v>
      </c>
      <c r="I37" s="1"/>
      <c r="J37" s="1"/>
      <c r="K37" s="1" t="s">
        <v>4912</v>
      </c>
    </row>
    <row r="38" ht="14.25" customHeight="1">
      <c r="A38" s="3" t="s">
        <v>2256</v>
      </c>
      <c r="B38" s="1">
        <v>5.7</v>
      </c>
      <c r="C38" s="1" t="s">
        <v>17757</v>
      </c>
      <c r="D38" s="1" t="s">
        <v>1885</v>
      </c>
      <c r="E38" s="1" t="s">
        <v>17758</v>
      </c>
      <c r="F38" s="1" t="s">
        <v>17759</v>
      </c>
      <c r="G38" s="1" t="s">
        <v>17760</v>
      </c>
      <c r="H38" s="1" t="s">
        <v>17762</v>
      </c>
      <c r="I38" s="1"/>
      <c r="J38" s="1"/>
      <c r="K38" s="1" t="s">
        <v>2255</v>
      </c>
    </row>
    <row r="39" ht="14.25" customHeight="1">
      <c r="A39" s="3" t="s">
        <v>7798</v>
      </c>
      <c r="B39" s="1">
        <v>6.4</v>
      </c>
      <c r="C39" s="1" t="s">
        <v>17757</v>
      </c>
      <c r="D39" s="1" t="s">
        <v>3238</v>
      </c>
      <c r="E39" s="1" t="s">
        <v>17758</v>
      </c>
      <c r="F39" s="1" t="s">
        <v>17759</v>
      </c>
      <c r="G39" s="1" t="s">
        <v>17760</v>
      </c>
      <c r="H39" s="1" t="s">
        <v>17762</v>
      </c>
      <c r="I39" s="1"/>
      <c r="J39" s="1"/>
      <c r="K39" s="1" t="s">
        <v>7797</v>
      </c>
    </row>
    <row r="40" ht="14.25" customHeight="1">
      <c r="A40" s="3" t="s">
        <v>2875</v>
      </c>
      <c r="B40" s="1">
        <v>6.7</v>
      </c>
      <c r="C40" s="1" t="s">
        <v>1885</v>
      </c>
      <c r="D40" s="1" t="s">
        <v>3238</v>
      </c>
      <c r="E40" s="1" t="s">
        <v>17758</v>
      </c>
      <c r="F40" s="1" t="s">
        <v>17774</v>
      </c>
      <c r="G40" s="1" t="s">
        <v>17760</v>
      </c>
      <c r="H40" s="1" t="s">
        <v>17762</v>
      </c>
      <c r="I40" s="1"/>
      <c r="J40" s="1"/>
      <c r="K40" s="1" t="s">
        <v>2874</v>
      </c>
    </row>
    <row r="41" ht="14.25" customHeight="1">
      <c r="A41" s="3" t="s">
        <v>2875</v>
      </c>
      <c r="B41" s="1">
        <v>6.8</v>
      </c>
      <c r="C41" s="1" t="s">
        <v>1885</v>
      </c>
      <c r="D41" s="1" t="s">
        <v>3238</v>
      </c>
      <c r="E41" s="1" t="s">
        <v>17758</v>
      </c>
      <c r="F41" s="1" t="s">
        <v>17774</v>
      </c>
      <c r="G41" s="1" t="s">
        <v>17760</v>
      </c>
      <c r="H41" s="1" t="s">
        <v>17762</v>
      </c>
      <c r="I41" s="1"/>
      <c r="J41" s="1"/>
      <c r="K41" s="1" t="s">
        <v>12930</v>
      </c>
    </row>
    <row r="42" ht="14.25" customHeight="1">
      <c r="A42" s="3" t="s">
        <v>463</v>
      </c>
      <c r="B42" s="1">
        <v>6.3</v>
      </c>
      <c r="C42" s="1" t="s">
        <v>1270</v>
      </c>
      <c r="D42" s="1" t="s">
        <v>917</v>
      </c>
      <c r="E42" s="1" t="s">
        <v>17757</v>
      </c>
      <c r="F42" s="1" t="s">
        <v>1885</v>
      </c>
      <c r="G42" s="1" t="s">
        <v>17758</v>
      </c>
      <c r="H42" s="1" t="s">
        <v>17764</v>
      </c>
      <c r="I42" s="1"/>
      <c r="J42" s="1"/>
      <c r="K42" s="1" t="s">
        <v>462</v>
      </c>
    </row>
    <row r="43" ht="14.25" customHeight="1">
      <c r="A43" s="3" t="s">
        <v>463</v>
      </c>
      <c r="B43" s="1">
        <v>5.6</v>
      </c>
      <c r="C43" s="1" t="s">
        <v>1270</v>
      </c>
      <c r="D43" s="1" t="s">
        <v>917</v>
      </c>
      <c r="E43" s="1" t="s">
        <v>17757</v>
      </c>
      <c r="F43" s="1" t="s">
        <v>1885</v>
      </c>
      <c r="G43" s="1" t="s">
        <v>17758</v>
      </c>
      <c r="H43" s="1" t="s">
        <v>17764</v>
      </c>
      <c r="I43" s="1"/>
      <c r="J43" s="1"/>
      <c r="K43" s="1" t="s">
        <v>892</v>
      </c>
    </row>
    <row r="44" ht="14.25" customHeight="1">
      <c r="A44" s="3" t="s">
        <v>463</v>
      </c>
      <c r="B44" s="1">
        <v>8.3</v>
      </c>
      <c r="C44" s="1" t="s">
        <v>1270</v>
      </c>
      <c r="D44" s="1" t="s">
        <v>917</v>
      </c>
      <c r="E44" s="1" t="s">
        <v>17757</v>
      </c>
      <c r="F44" s="1" t="s">
        <v>1885</v>
      </c>
      <c r="G44" s="1" t="s">
        <v>17758</v>
      </c>
      <c r="H44" s="1" t="s">
        <v>17764</v>
      </c>
      <c r="I44" s="1"/>
      <c r="J44" s="1"/>
      <c r="K44" s="1" t="s">
        <v>8734</v>
      </c>
    </row>
    <row r="45" ht="14.25" customHeight="1">
      <c r="A45" s="3" t="s">
        <v>17124</v>
      </c>
      <c r="B45" s="1">
        <v>6.6</v>
      </c>
      <c r="C45" s="1" t="s">
        <v>1270</v>
      </c>
      <c r="D45" s="1" t="s">
        <v>917</v>
      </c>
      <c r="E45" s="1" t="s">
        <v>17757</v>
      </c>
      <c r="F45" s="1" t="s">
        <v>1885</v>
      </c>
      <c r="G45" s="1" t="s">
        <v>17759</v>
      </c>
      <c r="H45" s="1" t="s">
        <v>17764</v>
      </c>
      <c r="I45" s="1"/>
      <c r="J45" s="1"/>
      <c r="K45" s="1" t="s">
        <v>17123</v>
      </c>
    </row>
    <row r="46" ht="14.25" customHeight="1">
      <c r="A46" s="3" t="s">
        <v>2076</v>
      </c>
      <c r="B46" s="1">
        <v>7.2</v>
      </c>
      <c r="C46" s="1" t="s">
        <v>1270</v>
      </c>
      <c r="D46" s="1" t="s">
        <v>917</v>
      </c>
      <c r="E46" s="1" t="s">
        <v>17757</v>
      </c>
      <c r="F46" s="1" t="s">
        <v>17758</v>
      </c>
      <c r="G46" s="1" t="s">
        <v>17759</v>
      </c>
      <c r="H46" s="1" t="s">
        <v>17764</v>
      </c>
      <c r="I46" s="1"/>
      <c r="J46" s="1"/>
      <c r="K46" s="1" t="s">
        <v>2075</v>
      </c>
    </row>
    <row r="47" ht="14.25" customHeight="1">
      <c r="A47" s="3" t="s">
        <v>157</v>
      </c>
      <c r="B47" s="1">
        <v>7.0</v>
      </c>
      <c r="C47" s="1" t="s">
        <v>1270</v>
      </c>
      <c r="D47" s="1" t="s">
        <v>917</v>
      </c>
      <c r="E47" s="1" t="s">
        <v>1885</v>
      </c>
      <c r="F47" s="1" t="s">
        <v>17758</v>
      </c>
      <c r="G47" s="1" t="s">
        <v>17759</v>
      </c>
      <c r="H47" s="1" t="s">
        <v>17764</v>
      </c>
      <c r="I47" s="1"/>
      <c r="J47" s="1"/>
      <c r="K47" s="1" t="s">
        <v>156</v>
      </c>
    </row>
    <row r="48" ht="14.25" customHeight="1">
      <c r="A48" s="3" t="s">
        <v>157</v>
      </c>
      <c r="B48" s="1">
        <v>8.0</v>
      </c>
      <c r="C48" s="1" t="s">
        <v>1270</v>
      </c>
      <c r="D48" s="1" t="s">
        <v>917</v>
      </c>
      <c r="E48" s="1" t="s">
        <v>1885</v>
      </c>
      <c r="F48" s="1" t="s">
        <v>17758</v>
      </c>
      <c r="G48" s="1" t="s">
        <v>17759</v>
      </c>
      <c r="H48" s="1" t="s">
        <v>17764</v>
      </c>
      <c r="I48" s="1"/>
      <c r="J48" s="1"/>
      <c r="K48" s="1" t="s">
        <v>2773</v>
      </c>
    </row>
    <row r="49" ht="14.25" customHeight="1">
      <c r="A49" s="3" t="s">
        <v>157</v>
      </c>
      <c r="B49" s="1">
        <v>7.8</v>
      </c>
      <c r="C49" s="1" t="s">
        <v>1270</v>
      </c>
      <c r="D49" s="1" t="s">
        <v>917</v>
      </c>
      <c r="E49" s="1" t="s">
        <v>1885</v>
      </c>
      <c r="F49" s="1" t="s">
        <v>17758</v>
      </c>
      <c r="G49" s="1" t="s">
        <v>17759</v>
      </c>
      <c r="H49" s="1" t="s">
        <v>17764</v>
      </c>
      <c r="I49" s="1"/>
      <c r="J49" s="1"/>
      <c r="K49" s="1" t="s">
        <v>3588</v>
      </c>
    </row>
    <row r="50" ht="14.25" customHeight="1">
      <c r="A50" s="3" t="s">
        <v>157</v>
      </c>
      <c r="B50" s="1">
        <v>6.3</v>
      </c>
      <c r="C50" s="1" t="s">
        <v>1270</v>
      </c>
      <c r="D50" s="1" t="s">
        <v>917</v>
      </c>
      <c r="E50" s="1" t="s">
        <v>1885</v>
      </c>
      <c r="F50" s="1" t="s">
        <v>17758</v>
      </c>
      <c r="G50" s="1" t="s">
        <v>17759</v>
      </c>
      <c r="H50" s="1" t="s">
        <v>17764</v>
      </c>
      <c r="I50" s="1"/>
      <c r="J50" s="1"/>
      <c r="K50" s="1" t="s">
        <v>9711</v>
      </c>
    </row>
    <row r="51" ht="14.25" customHeight="1">
      <c r="A51" s="3" t="s">
        <v>1132</v>
      </c>
      <c r="B51" s="1">
        <v>7.3</v>
      </c>
      <c r="C51" s="1" t="s">
        <v>917</v>
      </c>
      <c r="D51" s="1" t="s">
        <v>17757</v>
      </c>
      <c r="E51" s="1" t="s">
        <v>1885</v>
      </c>
      <c r="F51" s="1" t="s">
        <v>17758</v>
      </c>
      <c r="G51" s="1" t="s">
        <v>17759</v>
      </c>
      <c r="H51" s="1" t="s">
        <v>17764</v>
      </c>
      <c r="I51" s="1"/>
      <c r="J51" s="1"/>
      <c r="K51" s="1" t="s">
        <v>1131</v>
      </c>
    </row>
    <row r="52" ht="14.25" customHeight="1">
      <c r="A52" s="3" t="s">
        <v>1132</v>
      </c>
      <c r="B52" s="1">
        <v>6.6</v>
      </c>
      <c r="C52" s="1" t="s">
        <v>917</v>
      </c>
      <c r="D52" s="1" t="s">
        <v>17757</v>
      </c>
      <c r="E52" s="1" t="s">
        <v>1885</v>
      </c>
      <c r="F52" s="1" t="s">
        <v>17758</v>
      </c>
      <c r="G52" s="1" t="s">
        <v>17759</v>
      </c>
      <c r="H52" s="1" t="s">
        <v>17764</v>
      </c>
      <c r="I52" s="1"/>
      <c r="J52" s="1"/>
      <c r="K52" s="1" t="s">
        <v>2701</v>
      </c>
    </row>
    <row r="53" ht="14.25" customHeight="1">
      <c r="A53" s="3" t="s">
        <v>1132</v>
      </c>
      <c r="B53" s="1">
        <v>7.0</v>
      </c>
      <c r="C53" s="1" t="s">
        <v>917</v>
      </c>
      <c r="D53" s="1" t="s">
        <v>17757</v>
      </c>
      <c r="E53" s="1" t="s">
        <v>1885</v>
      </c>
      <c r="F53" s="1" t="s">
        <v>17758</v>
      </c>
      <c r="G53" s="1" t="s">
        <v>17759</v>
      </c>
      <c r="H53" s="1" t="s">
        <v>17764</v>
      </c>
      <c r="I53" s="1"/>
      <c r="J53" s="1"/>
      <c r="K53" s="1" t="s">
        <v>1131</v>
      </c>
    </row>
    <row r="54" ht="14.25" customHeight="1">
      <c r="A54" s="3" t="s">
        <v>1132</v>
      </c>
      <c r="B54" s="1">
        <v>6.3</v>
      </c>
      <c r="C54" s="1" t="s">
        <v>917</v>
      </c>
      <c r="D54" s="1" t="s">
        <v>17757</v>
      </c>
      <c r="E54" s="1" t="s">
        <v>1885</v>
      </c>
      <c r="F54" s="1" t="s">
        <v>17758</v>
      </c>
      <c r="G54" s="1" t="s">
        <v>17759</v>
      </c>
      <c r="H54" s="1" t="s">
        <v>17764</v>
      </c>
      <c r="I54" s="1"/>
      <c r="J54" s="1"/>
      <c r="K54" s="1" t="s">
        <v>1131</v>
      </c>
    </row>
    <row r="55" ht="14.25" customHeight="1">
      <c r="A55" s="3" t="s">
        <v>16428</v>
      </c>
      <c r="B55" s="1">
        <v>6.2</v>
      </c>
      <c r="C55" s="1" t="s">
        <v>1270</v>
      </c>
      <c r="D55" s="1" t="s">
        <v>917</v>
      </c>
      <c r="E55" s="1" t="s">
        <v>1885</v>
      </c>
      <c r="F55" s="1" t="s">
        <v>3238</v>
      </c>
      <c r="G55" s="1" t="s">
        <v>17774</v>
      </c>
      <c r="H55" s="1" t="s">
        <v>17764</v>
      </c>
      <c r="I55" s="1"/>
      <c r="J55" s="1"/>
      <c r="K55" s="1" t="s">
        <v>16427</v>
      </c>
    </row>
    <row r="56" ht="14.25" customHeight="1">
      <c r="A56" s="3" t="s">
        <v>9331</v>
      </c>
      <c r="B56" s="1">
        <v>7.2</v>
      </c>
      <c r="C56" s="1" t="s">
        <v>917</v>
      </c>
      <c r="D56" s="1" t="s">
        <v>1885</v>
      </c>
      <c r="E56" s="1" t="s">
        <v>17758</v>
      </c>
      <c r="F56" s="1" t="s">
        <v>17759</v>
      </c>
      <c r="G56" s="1" t="s">
        <v>17774</v>
      </c>
      <c r="H56" s="1" t="s">
        <v>17764</v>
      </c>
      <c r="I56" s="1"/>
      <c r="J56" s="1"/>
      <c r="K56" s="1" t="s">
        <v>9330</v>
      </c>
    </row>
    <row r="57" ht="14.25" customHeight="1">
      <c r="A57" s="3" t="s">
        <v>8624</v>
      </c>
      <c r="B57" s="1">
        <v>7.5</v>
      </c>
      <c r="C57" s="1" t="s">
        <v>1270</v>
      </c>
      <c r="D57" s="1" t="s">
        <v>917</v>
      </c>
      <c r="E57" s="1" t="s">
        <v>1885</v>
      </c>
      <c r="F57" s="1" t="s">
        <v>17758</v>
      </c>
      <c r="G57" s="1" t="s">
        <v>17762</v>
      </c>
      <c r="H57" s="1" t="s">
        <v>17764</v>
      </c>
      <c r="I57" s="1"/>
      <c r="J57" s="1"/>
      <c r="K57" s="1" t="s">
        <v>8623</v>
      </c>
    </row>
    <row r="58" ht="14.25" customHeight="1">
      <c r="A58" s="3" t="s">
        <v>1046</v>
      </c>
      <c r="B58" s="1">
        <v>8.4</v>
      </c>
      <c r="C58" s="1" t="s">
        <v>1270</v>
      </c>
      <c r="D58" s="1" t="s">
        <v>917</v>
      </c>
      <c r="E58" s="1" t="s">
        <v>17757</v>
      </c>
      <c r="F58" s="1" t="s">
        <v>17759</v>
      </c>
      <c r="G58" s="1" t="s">
        <v>17762</v>
      </c>
      <c r="H58" s="1" t="s">
        <v>17764</v>
      </c>
      <c r="I58" s="1"/>
      <c r="J58" s="1"/>
      <c r="K58" s="1" t="s">
        <v>1045</v>
      </c>
    </row>
    <row r="59" ht="14.25" customHeight="1">
      <c r="A59" s="3" t="s">
        <v>4872</v>
      </c>
      <c r="B59" s="1">
        <v>6.2</v>
      </c>
      <c r="C59" s="1" t="s">
        <v>917</v>
      </c>
      <c r="D59" s="1" t="s">
        <v>1885</v>
      </c>
      <c r="E59" s="1" t="s">
        <v>17758</v>
      </c>
      <c r="F59" s="1" t="s">
        <v>17759</v>
      </c>
      <c r="G59" s="1" t="s">
        <v>17762</v>
      </c>
      <c r="H59" s="1" t="s">
        <v>17773</v>
      </c>
      <c r="I59" s="1"/>
      <c r="J59" s="1"/>
      <c r="K59" s="1" t="s">
        <v>4871</v>
      </c>
    </row>
    <row r="60" ht="14.25" customHeight="1">
      <c r="A60" s="3" t="s">
        <v>1814</v>
      </c>
      <c r="B60" s="1">
        <v>5.8</v>
      </c>
      <c r="C60" s="1" t="s">
        <v>1270</v>
      </c>
      <c r="D60" s="1" t="s">
        <v>917</v>
      </c>
      <c r="E60" s="1" t="s">
        <v>17765</v>
      </c>
      <c r="F60" s="1" t="s">
        <v>3238</v>
      </c>
      <c r="G60" s="1" t="s">
        <v>17772</v>
      </c>
      <c r="H60" s="1" t="s">
        <v>17471</v>
      </c>
      <c r="I60" s="1"/>
      <c r="J60" s="1"/>
      <c r="K60" s="1" t="s">
        <v>1813</v>
      </c>
    </row>
    <row r="61" ht="14.25" customHeight="1">
      <c r="A61" s="3" t="s">
        <v>2146</v>
      </c>
      <c r="B61" s="1">
        <v>6.8</v>
      </c>
      <c r="C61" s="1" t="s">
        <v>1270</v>
      </c>
      <c r="D61" s="1" t="s">
        <v>917</v>
      </c>
      <c r="E61" s="1" t="s">
        <v>1885</v>
      </c>
      <c r="F61" s="1" t="s">
        <v>17763</v>
      </c>
      <c r="G61" s="1" t="s">
        <v>17761</v>
      </c>
      <c r="H61" s="1" t="s">
        <v>17471</v>
      </c>
      <c r="I61" s="1"/>
      <c r="J61" s="1"/>
      <c r="K61" s="1" t="s">
        <v>2145</v>
      </c>
    </row>
    <row r="62" ht="14.25" customHeight="1">
      <c r="A62" s="3" t="s">
        <v>5634</v>
      </c>
      <c r="B62" s="1">
        <v>5.4</v>
      </c>
      <c r="C62" s="1" t="s">
        <v>1270</v>
      </c>
      <c r="D62" s="1" t="s">
        <v>917</v>
      </c>
      <c r="E62" s="1" t="s">
        <v>17763</v>
      </c>
      <c r="F62" s="1" t="s">
        <v>3238</v>
      </c>
      <c r="G62" s="1" t="s">
        <v>17761</v>
      </c>
      <c r="H62" s="1" t="s">
        <v>17471</v>
      </c>
      <c r="I62" s="1"/>
      <c r="J62" s="1"/>
      <c r="K62" s="1" t="s">
        <v>5633</v>
      </c>
    </row>
    <row r="63" ht="14.25" customHeight="1">
      <c r="A63" s="3" t="s">
        <v>6218</v>
      </c>
      <c r="B63" s="1">
        <v>6.6</v>
      </c>
      <c r="C63" s="1" t="s">
        <v>1270</v>
      </c>
      <c r="D63" s="1" t="s">
        <v>917</v>
      </c>
      <c r="E63" s="1" t="s">
        <v>17763</v>
      </c>
      <c r="F63" s="1" t="s">
        <v>17759</v>
      </c>
      <c r="G63" s="1" t="s">
        <v>17761</v>
      </c>
      <c r="H63" s="1" t="s">
        <v>17471</v>
      </c>
      <c r="I63" s="1"/>
      <c r="J63" s="1"/>
      <c r="K63" s="1" t="s">
        <v>6217</v>
      </c>
    </row>
    <row r="64" ht="14.25" customHeight="1">
      <c r="A64" s="3" t="s">
        <v>5280</v>
      </c>
      <c r="B64" s="1">
        <v>6.9</v>
      </c>
      <c r="C64" s="1" t="s">
        <v>1270</v>
      </c>
      <c r="D64" s="1" t="s">
        <v>1885</v>
      </c>
      <c r="E64" s="1" t="s">
        <v>17763</v>
      </c>
      <c r="F64" s="1" t="s">
        <v>17774</v>
      </c>
      <c r="G64" s="1" t="s">
        <v>17762</v>
      </c>
      <c r="H64" s="1" t="s">
        <v>17471</v>
      </c>
      <c r="I64" s="1"/>
      <c r="J64" s="1"/>
      <c r="K64" s="1" t="s">
        <v>5279</v>
      </c>
    </row>
    <row r="65" ht="14.25" customHeight="1">
      <c r="A65" s="3" t="s">
        <v>10065</v>
      </c>
      <c r="B65" s="1">
        <v>7.3</v>
      </c>
      <c r="C65" s="1" t="s">
        <v>1885</v>
      </c>
      <c r="D65" s="1" t="s">
        <v>17763</v>
      </c>
      <c r="E65" s="1" t="s">
        <v>17758</v>
      </c>
      <c r="F65" s="1" t="s">
        <v>17761</v>
      </c>
      <c r="G65" s="1" t="s">
        <v>17762</v>
      </c>
      <c r="H65" s="1" t="s">
        <v>17471</v>
      </c>
      <c r="I65" s="1"/>
      <c r="J65" s="1"/>
      <c r="K65" s="1" t="s">
        <v>10064</v>
      </c>
    </row>
    <row r="66" ht="14.25" customHeight="1">
      <c r="A66" s="3" t="s">
        <v>10490</v>
      </c>
      <c r="B66" s="1">
        <v>9.0</v>
      </c>
      <c r="C66" s="1" t="s">
        <v>1270</v>
      </c>
      <c r="D66" s="1" t="s">
        <v>917</v>
      </c>
      <c r="E66" s="1" t="s">
        <v>17757</v>
      </c>
      <c r="F66" s="1" t="s">
        <v>17758</v>
      </c>
      <c r="G66" s="1" t="s">
        <v>17764</v>
      </c>
      <c r="H66" s="1" t="s">
        <v>17471</v>
      </c>
      <c r="I66" s="1"/>
      <c r="J66" s="1"/>
      <c r="K66" s="1" t="s">
        <v>10489</v>
      </c>
    </row>
    <row r="67" ht="14.25" customHeight="1">
      <c r="A67" s="3" t="s">
        <v>4851</v>
      </c>
      <c r="B67" s="1">
        <v>8.3</v>
      </c>
      <c r="C67" s="1" t="s">
        <v>1270</v>
      </c>
      <c r="D67" s="1" t="s">
        <v>917</v>
      </c>
      <c r="E67" s="1" t="s">
        <v>17758</v>
      </c>
      <c r="F67" s="1" t="s">
        <v>17759</v>
      </c>
      <c r="G67" s="1" t="s">
        <v>17764</v>
      </c>
      <c r="H67" s="1" t="s">
        <v>17471</v>
      </c>
      <c r="I67" s="1"/>
      <c r="J67" s="1"/>
      <c r="K67" s="1" t="s">
        <v>4850</v>
      </c>
    </row>
    <row r="68" ht="14.25" customHeight="1">
      <c r="A68" s="3" t="s">
        <v>3560</v>
      </c>
      <c r="B68" s="1">
        <v>6.5</v>
      </c>
      <c r="C68" s="1" t="s">
        <v>1270</v>
      </c>
      <c r="D68" s="1" t="s">
        <v>917</v>
      </c>
      <c r="E68" s="1" t="s">
        <v>17759</v>
      </c>
      <c r="F68" s="1" t="s">
        <v>6019</v>
      </c>
      <c r="G68" s="1" t="s">
        <v>17764</v>
      </c>
      <c r="H68" s="1" t="s">
        <v>17471</v>
      </c>
      <c r="I68" s="1"/>
      <c r="J68" s="1"/>
      <c r="K68" s="1" t="s">
        <v>3559</v>
      </c>
    </row>
    <row r="69" ht="14.25" customHeight="1">
      <c r="A69" s="3" t="s">
        <v>7520</v>
      </c>
      <c r="B69" s="1">
        <v>7.9</v>
      </c>
      <c r="C69" s="1" t="s">
        <v>1270</v>
      </c>
      <c r="D69" s="1" t="s">
        <v>17763</v>
      </c>
      <c r="E69" s="1" t="s">
        <v>3238</v>
      </c>
      <c r="F69" s="1" t="s">
        <v>17761</v>
      </c>
      <c r="G69" s="1" t="s">
        <v>17764</v>
      </c>
      <c r="H69" s="1" t="s">
        <v>17471</v>
      </c>
      <c r="I69" s="1"/>
      <c r="J69" s="1"/>
      <c r="K69" s="1" t="s">
        <v>7519</v>
      </c>
    </row>
    <row r="70" ht="14.25" customHeight="1">
      <c r="A70" s="3" t="s">
        <v>8482</v>
      </c>
      <c r="B70" s="1">
        <v>7.5</v>
      </c>
      <c r="C70" s="1" t="s">
        <v>1270</v>
      </c>
      <c r="D70" s="1" t="s">
        <v>3238</v>
      </c>
      <c r="E70" s="1" t="s">
        <v>17759</v>
      </c>
      <c r="F70" s="1" t="s">
        <v>17761</v>
      </c>
      <c r="G70" s="1" t="s">
        <v>17764</v>
      </c>
      <c r="H70" s="1" t="s">
        <v>17471</v>
      </c>
      <c r="I70" s="1"/>
      <c r="J70" s="1"/>
      <c r="K70" s="1" t="s">
        <v>8481</v>
      </c>
    </row>
    <row r="71" ht="14.25" customHeight="1">
      <c r="A71" s="3" t="s">
        <v>3638</v>
      </c>
      <c r="B71" s="1">
        <v>4.8</v>
      </c>
      <c r="C71" s="1" t="s">
        <v>917</v>
      </c>
      <c r="D71" s="1" t="s">
        <v>17765</v>
      </c>
      <c r="E71" s="1" t="s">
        <v>3238</v>
      </c>
      <c r="F71" s="1" t="s">
        <v>17772</v>
      </c>
      <c r="G71" s="1" t="s">
        <v>17773</v>
      </c>
      <c r="H71" s="1" t="s">
        <v>17471</v>
      </c>
      <c r="I71" s="1"/>
      <c r="J71" s="1"/>
      <c r="K71" s="1" t="s">
        <v>3637</v>
      </c>
    </row>
    <row r="72" ht="14.25" customHeight="1">
      <c r="A72" s="3" t="s">
        <v>16383</v>
      </c>
      <c r="B72" s="1">
        <v>5.2</v>
      </c>
      <c r="C72" s="1" t="s">
        <v>17757</v>
      </c>
      <c r="D72" s="1" t="s">
        <v>17765</v>
      </c>
      <c r="E72" s="1" t="s">
        <v>15542</v>
      </c>
      <c r="F72" s="1" t="s">
        <v>3238</v>
      </c>
      <c r="G72" s="1" t="s">
        <v>17772</v>
      </c>
      <c r="H72" s="1" t="s">
        <v>9025</v>
      </c>
      <c r="I72" s="1"/>
      <c r="J72" s="1"/>
      <c r="K72" s="1" t="s">
        <v>16382</v>
      </c>
    </row>
    <row r="73" ht="14.25" customHeight="1">
      <c r="A73" s="3" t="s">
        <v>2050</v>
      </c>
      <c r="B73" s="1">
        <v>6.9</v>
      </c>
      <c r="C73" s="1" t="s">
        <v>917</v>
      </c>
      <c r="D73" s="1" t="s">
        <v>17757</v>
      </c>
      <c r="E73" s="1" t="s">
        <v>17758</v>
      </c>
      <c r="F73" s="1" t="s">
        <v>17759</v>
      </c>
      <c r="G73" s="1" t="s">
        <v>17760</v>
      </c>
      <c r="H73" s="1" t="s">
        <v>9025</v>
      </c>
      <c r="I73" s="1"/>
      <c r="J73" s="1"/>
      <c r="K73" s="1" t="s">
        <v>2049</v>
      </c>
    </row>
    <row r="74" ht="14.25" customHeight="1">
      <c r="A74" s="3" t="s">
        <v>4121</v>
      </c>
      <c r="B74" s="1">
        <v>5.4</v>
      </c>
      <c r="C74" s="1" t="s">
        <v>1270</v>
      </c>
      <c r="D74" s="1" t="s">
        <v>917</v>
      </c>
      <c r="E74" s="1" t="s">
        <v>3238</v>
      </c>
      <c r="F74" s="1" t="s">
        <v>17772</v>
      </c>
      <c r="G74" s="1" t="s">
        <v>17762</v>
      </c>
      <c r="H74" s="1" t="s">
        <v>9025</v>
      </c>
      <c r="I74" s="1"/>
      <c r="J74" s="1"/>
      <c r="K74" s="1" t="s">
        <v>4120</v>
      </c>
    </row>
    <row r="75" ht="14.25" customHeight="1">
      <c r="A75" s="3" t="s">
        <v>13767</v>
      </c>
      <c r="B75" s="1">
        <v>7.9</v>
      </c>
      <c r="C75" s="1" t="s">
        <v>1270</v>
      </c>
      <c r="D75" s="1" t="s">
        <v>17765</v>
      </c>
      <c r="E75" s="1" t="s">
        <v>3238</v>
      </c>
      <c r="F75" s="1" t="s">
        <v>17772</v>
      </c>
      <c r="G75" s="1" t="s">
        <v>17762</v>
      </c>
      <c r="H75" s="1" t="s">
        <v>9025</v>
      </c>
      <c r="I75" s="1"/>
      <c r="J75" s="1"/>
      <c r="K75" s="1" t="s">
        <v>13766</v>
      </c>
    </row>
    <row r="76" ht="14.25" customHeight="1">
      <c r="A76" s="3" t="s">
        <v>4212</v>
      </c>
      <c r="B76" s="1">
        <v>6.1</v>
      </c>
      <c r="C76" s="1" t="s">
        <v>1270</v>
      </c>
      <c r="D76" s="1" t="s">
        <v>17765</v>
      </c>
      <c r="E76" s="1" t="s">
        <v>3238</v>
      </c>
      <c r="F76" s="1" t="s">
        <v>17772</v>
      </c>
      <c r="G76" s="1" t="s">
        <v>17471</v>
      </c>
      <c r="H76" s="1" t="s">
        <v>9025</v>
      </c>
      <c r="I76" s="1"/>
      <c r="J76" s="1"/>
      <c r="K76" s="1" t="s">
        <v>4211</v>
      </c>
    </row>
    <row r="77" ht="14.25" customHeight="1">
      <c r="A77" s="3" t="s">
        <v>6471</v>
      </c>
      <c r="B77" s="1">
        <v>5.8</v>
      </c>
      <c r="C77" s="1" t="s">
        <v>917</v>
      </c>
      <c r="D77" s="1" t="s">
        <v>1885</v>
      </c>
      <c r="E77" s="1" t="s">
        <v>3238</v>
      </c>
      <c r="F77" s="1" t="s">
        <v>17762</v>
      </c>
      <c r="G77" s="1" t="s">
        <v>17471</v>
      </c>
      <c r="H77" s="1" t="s">
        <v>9025</v>
      </c>
      <c r="I77" s="1"/>
      <c r="J77" s="1"/>
      <c r="K77" s="1" t="s">
        <v>6470</v>
      </c>
    </row>
    <row r="78" ht="14.25" customHeight="1">
      <c r="A78" s="3" t="s">
        <v>10449</v>
      </c>
      <c r="B78" s="1">
        <v>8.3</v>
      </c>
      <c r="C78" s="1" t="s">
        <v>1885</v>
      </c>
      <c r="D78" s="1" t="s">
        <v>3238</v>
      </c>
      <c r="E78" s="1" t="s">
        <v>17761</v>
      </c>
      <c r="F78" s="1" t="s">
        <v>17762</v>
      </c>
      <c r="G78" s="1" t="s">
        <v>17471</v>
      </c>
      <c r="H78" s="1" t="s">
        <v>9025</v>
      </c>
      <c r="I78" s="1"/>
      <c r="J78" s="1"/>
      <c r="K78" s="1" t="s">
        <v>10448</v>
      </c>
    </row>
    <row r="79" ht="14.25" customHeight="1">
      <c r="A79" s="3" t="s">
        <v>8784</v>
      </c>
      <c r="B79" s="1">
        <v>7.8</v>
      </c>
      <c r="C79" s="1" t="s">
        <v>1270</v>
      </c>
      <c r="D79" s="1" t="s">
        <v>17765</v>
      </c>
      <c r="E79" s="1" t="s">
        <v>3238</v>
      </c>
      <c r="F79" s="1" t="s">
        <v>17772</v>
      </c>
      <c r="G79" s="1" t="s">
        <v>17762</v>
      </c>
      <c r="H79" s="1" t="s">
        <v>14463</v>
      </c>
      <c r="I79" s="1"/>
      <c r="J79" s="1"/>
      <c r="K79" s="1" t="s">
        <v>8783</v>
      </c>
    </row>
    <row r="80" ht="14.25" customHeight="1">
      <c r="A80" s="3" t="s">
        <v>3487</v>
      </c>
      <c r="B80" s="1">
        <v>7.0</v>
      </c>
      <c r="C80" s="1" t="s">
        <v>1270</v>
      </c>
      <c r="D80" s="1" t="s">
        <v>917</v>
      </c>
      <c r="E80" s="1" t="s">
        <v>1885</v>
      </c>
      <c r="F80" s="1" t="s">
        <v>17762</v>
      </c>
      <c r="G80" s="1" t="s">
        <v>17471</v>
      </c>
      <c r="H80" s="1" t="s">
        <v>14463</v>
      </c>
      <c r="I80" s="1"/>
      <c r="J80" s="1"/>
      <c r="K80" s="1" t="s">
        <v>3486</v>
      </c>
    </row>
    <row r="81" ht="14.25" customHeight="1">
      <c r="A81" s="3" t="s">
        <v>10945</v>
      </c>
      <c r="B81" s="1">
        <v>6.1</v>
      </c>
      <c r="C81" s="1" t="s">
        <v>1270</v>
      </c>
      <c r="D81" s="1" t="s">
        <v>3238</v>
      </c>
      <c r="E81" s="1" t="s">
        <v>17772</v>
      </c>
      <c r="F81" s="1" t="s">
        <v>17762</v>
      </c>
      <c r="G81" s="1" t="s">
        <v>9025</v>
      </c>
      <c r="H81" s="1" t="s">
        <v>14463</v>
      </c>
      <c r="I81" s="1"/>
      <c r="J81" s="1"/>
      <c r="K81" s="1" t="s">
        <v>10944</v>
      </c>
    </row>
    <row r="82" ht="14.25" customHeight="1">
      <c r="A82" s="3" t="s">
        <v>766</v>
      </c>
      <c r="B82" s="1">
        <v>7.0</v>
      </c>
      <c r="C82" s="1" t="s">
        <v>1270</v>
      </c>
      <c r="D82" s="1" t="s">
        <v>917</v>
      </c>
      <c r="E82" s="1" t="s">
        <v>17757</v>
      </c>
      <c r="F82" s="1" t="s">
        <v>1885</v>
      </c>
      <c r="G82" s="1" t="s">
        <v>17758</v>
      </c>
      <c r="H82" s="1"/>
      <c r="I82" s="1"/>
      <c r="J82" s="1"/>
      <c r="K82" s="1" t="s">
        <v>765</v>
      </c>
    </row>
    <row r="83" ht="14.25" customHeight="1">
      <c r="A83" s="3" t="s">
        <v>766</v>
      </c>
      <c r="B83" s="1">
        <v>7.6</v>
      </c>
      <c r="C83" s="1" t="s">
        <v>1270</v>
      </c>
      <c r="D83" s="1" t="s">
        <v>917</v>
      </c>
      <c r="E83" s="1" t="s">
        <v>17757</v>
      </c>
      <c r="F83" s="1" t="s">
        <v>1885</v>
      </c>
      <c r="G83" s="1" t="s">
        <v>17758</v>
      </c>
      <c r="H83" s="1"/>
      <c r="I83" s="1"/>
      <c r="J83" s="1"/>
      <c r="K83" s="1" t="s">
        <v>871</v>
      </c>
    </row>
    <row r="84" ht="14.25" customHeight="1">
      <c r="A84" s="3" t="s">
        <v>766</v>
      </c>
      <c r="B84" s="1">
        <v>6.3</v>
      </c>
      <c r="C84" s="1" t="s">
        <v>1270</v>
      </c>
      <c r="D84" s="1" t="s">
        <v>917</v>
      </c>
      <c r="E84" s="1" t="s">
        <v>17757</v>
      </c>
      <c r="F84" s="1" t="s">
        <v>1885</v>
      </c>
      <c r="G84" s="1" t="s">
        <v>17758</v>
      </c>
      <c r="H84" s="1"/>
      <c r="I84" s="1"/>
      <c r="J84" s="1"/>
      <c r="K84" s="1" t="s">
        <v>956</v>
      </c>
    </row>
    <row r="85" ht="14.25" customHeight="1">
      <c r="A85" s="3" t="s">
        <v>766</v>
      </c>
      <c r="B85" s="1">
        <v>7.8</v>
      </c>
      <c r="C85" s="1" t="s">
        <v>1270</v>
      </c>
      <c r="D85" s="1" t="s">
        <v>917</v>
      </c>
      <c r="E85" s="1" t="s">
        <v>17757</v>
      </c>
      <c r="F85" s="1" t="s">
        <v>1885</v>
      </c>
      <c r="G85" s="1" t="s">
        <v>17758</v>
      </c>
      <c r="H85" s="1"/>
      <c r="I85" s="1"/>
      <c r="J85" s="1"/>
      <c r="K85" s="1" t="s">
        <v>1117</v>
      </c>
    </row>
    <row r="86" ht="14.25" customHeight="1">
      <c r="A86" s="3" t="s">
        <v>766</v>
      </c>
      <c r="B86" s="1">
        <v>6.4</v>
      </c>
      <c r="C86" s="1" t="s">
        <v>1270</v>
      </c>
      <c r="D86" s="1" t="s">
        <v>917</v>
      </c>
      <c r="E86" s="1" t="s">
        <v>17757</v>
      </c>
      <c r="F86" s="1" t="s">
        <v>1885</v>
      </c>
      <c r="G86" s="1" t="s">
        <v>17758</v>
      </c>
      <c r="H86" s="1"/>
      <c r="I86" s="1"/>
      <c r="J86" s="1"/>
      <c r="K86" s="1" t="s">
        <v>2025</v>
      </c>
    </row>
    <row r="87" ht="14.25" customHeight="1">
      <c r="A87" s="3" t="s">
        <v>10966</v>
      </c>
      <c r="B87" s="1">
        <v>6.5</v>
      </c>
      <c r="C87" s="1" t="s">
        <v>1270</v>
      </c>
      <c r="D87" s="1" t="s">
        <v>17757</v>
      </c>
      <c r="E87" s="1" t="s">
        <v>1885</v>
      </c>
      <c r="F87" s="1" t="s">
        <v>17763</v>
      </c>
      <c r="G87" s="1" t="s">
        <v>17758</v>
      </c>
      <c r="H87" s="1"/>
      <c r="I87" s="1"/>
      <c r="J87" s="1"/>
      <c r="K87" s="1" t="s">
        <v>10965</v>
      </c>
    </row>
    <row r="88" ht="14.25" customHeight="1">
      <c r="A88" s="3" t="s">
        <v>6353</v>
      </c>
      <c r="B88" s="1">
        <v>7.9</v>
      </c>
      <c r="C88" s="1" t="s">
        <v>917</v>
      </c>
      <c r="D88" s="1" t="s">
        <v>17757</v>
      </c>
      <c r="E88" s="1" t="s">
        <v>1885</v>
      </c>
      <c r="F88" s="1" t="s">
        <v>17763</v>
      </c>
      <c r="G88" s="1" t="s">
        <v>17758</v>
      </c>
      <c r="H88" s="1"/>
      <c r="I88" s="1"/>
      <c r="J88" s="1"/>
      <c r="K88" s="1" t="s">
        <v>6352</v>
      </c>
    </row>
    <row r="89" ht="14.25" customHeight="1">
      <c r="A89" s="3" t="s">
        <v>826</v>
      </c>
      <c r="B89" s="1">
        <v>7.8</v>
      </c>
      <c r="C89" s="1" t="s">
        <v>917</v>
      </c>
      <c r="D89" s="1" t="s">
        <v>17757</v>
      </c>
      <c r="E89" s="1" t="s">
        <v>1885</v>
      </c>
      <c r="F89" s="1" t="s">
        <v>3238</v>
      </c>
      <c r="G89" s="1" t="s">
        <v>17758</v>
      </c>
      <c r="H89" s="1"/>
      <c r="I89" s="1"/>
      <c r="J89" s="1"/>
      <c r="K89" s="1" t="s">
        <v>825</v>
      </c>
    </row>
    <row r="90" ht="14.25" customHeight="1">
      <c r="A90" s="3" t="s">
        <v>826</v>
      </c>
      <c r="B90" s="1">
        <v>6.6</v>
      </c>
      <c r="C90" s="1" t="s">
        <v>917</v>
      </c>
      <c r="D90" s="1" t="s">
        <v>17757</v>
      </c>
      <c r="E90" s="1" t="s">
        <v>1885</v>
      </c>
      <c r="F90" s="1" t="s">
        <v>3238</v>
      </c>
      <c r="G90" s="1" t="s">
        <v>17758</v>
      </c>
      <c r="H90" s="1"/>
      <c r="I90" s="1"/>
      <c r="J90" s="1"/>
      <c r="K90" s="1" t="s">
        <v>5718</v>
      </c>
    </row>
    <row r="91" ht="14.25" customHeight="1">
      <c r="A91" s="3" t="s">
        <v>5136</v>
      </c>
      <c r="B91" s="1">
        <v>5.5</v>
      </c>
      <c r="C91" s="1" t="s">
        <v>917</v>
      </c>
      <c r="D91" s="1" t="s">
        <v>1885</v>
      </c>
      <c r="E91" s="1" t="s">
        <v>17763</v>
      </c>
      <c r="F91" s="1" t="s">
        <v>3238</v>
      </c>
      <c r="G91" s="1" t="s">
        <v>17758</v>
      </c>
      <c r="H91" s="1"/>
      <c r="I91" s="1"/>
      <c r="J91" s="1"/>
      <c r="K91" s="1" t="s">
        <v>5135</v>
      </c>
    </row>
    <row r="92" ht="14.25" customHeight="1">
      <c r="A92" s="3" t="s">
        <v>12560</v>
      </c>
      <c r="B92" s="1">
        <v>8.2</v>
      </c>
      <c r="C92" s="1" t="s">
        <v>17757</v>
      </c>
      <c r="D92" s="1" t="s">
        <v>1885</v>
      </c>
      <c r="E92" s="1" t="s">
        <v>17763</v>
      </c>
      <c r="F92" s="1" t="s">
        <v>3238</v>
      </c>
      <c r="G92" s="1" t="s">
        <v>17758</v>
      </c>
      <c r="H92" s="1"/>
      <c r="I92" s="1"/>
      <c r="J92" s="1"/>
      <c r="K92" s="1" t="s">
        <v>12559</v>
      </c>
    </row>
    <row r="93" ht="14.25" customHeight="1">
      <c r="A93" s="3" t="s">
        <v>9364</v>
      </c>
      <c r="B93" s="1">
        <v>6.4</v>
      </c>
      <c r="C93" s="1" t="s">
        <v>1270</v>
      </c>
      <c r="D93" s="1" t="s">
        <v>917</v>
      </c>
      <c r="E93" s="1" t="s">
        <v>17757</v>
      </c>
      <c r="F93" s="1" t="s">
        <v>1885</v>
      </c>
      <c r="G93" s="1" t="s">
        <v>17759</v>
      </c>
      <c r="H93" s="1"/>
      <c r="I93" s="1"/>
      <c r="J93" s="1"/>
      <c r="K93" s="1" t="s">
        <v>9363</v>
      </c>
    </row>
    <row r="94" ht="14.25" customHeight="1">
      <c r="A94" s="3" t="s">
        <v>1771</v>
      </c>
      <c r="B94" s="1">
        <v>8.1</v>
      </c>
      <c r="C94" s="1" t="s">
        <v>1270</v>
      </c>
      <c r="D94" s="1" t="s">
        <v>917</v>
      </c>
      <c r="E94" s="1" t="s">
        <v>17757</v>
      </c>
      <c r="F94" s="1" t="s">
        <v>17758</v>
      </c>
      <c r="G94" s="1" t="s">
        <v>17759</v>
      </c>
      <c r="H94" s="1"/>
      <c r="I94" s="1"/>
      <c r="J94" s="1"/>
      <c r="K94" s="1" t="s">
        <v>1770</v>
      </c>
    </row>
    <row r="95" ht="14.25" customHeight="1">
      <c r="A95" s="3" t="s">
        <v>1438</v>
      </c>
      <c r="B95" s="1">
        <v>8.6</v>
      </c>
      <c r="C95" s="1" t="s">
        <v>1270</v>
      </c>
      <c r="D95" s="1" t="s">
        <v>917</v>
      </c>
      <c r="E95" s="1" t="s">
        <v>1885</v>
      </c>
      <c r="F95" s="1" t="s">
        <v>17758</v>
      </c>
      <c r="G95" s="1" t="s">
        <v>17759</v>
      </c>
      <c r="H95" s="1"/>
      <c r="I95" s="1"/>
      <c r="J95" s="1"/>
      <c r="K95" s="1" t="s">
        <v>1437</v>
      </c>
    </row>
    <row r="96" ht="14.25" customHeight="1">
      <c r="A96" s="3" t="s">
        <v>263</v>
      </c>
      <c r="B96" s="1">
        <v>8.8</v>
      </c>
      <c r="C96" s="1" t="s">
        <v>917</v>
      </c>
      <c r="D96" s="1" t="s">
        <v>17757</v>
      </c>
      <c r="E96" s="1" t="s">
        <v>1885</v>
      </c>
      <c r="F96" s="1" t="s">
        <v>17758</v>
      </c>
      <c r="G96" s="1" t="s">
        <v>17759</v>
      </c>
      <c r="H96" s="1"/>
      <c r="I96" s="1"/>
      <c r="J96" s="1"/>
      <c r="K96" s="1" t="s">
        <v>262</v>
      </c>
    </row>
    <row r="97" ht="14.25" customHeight="1">
      <c r="A97" s="3" t="s">
        <v>263</v>
      </c>
      <c r="B97" s="1">
        <v>6.7</v>
      </c>
      <c r="C97" s="1" t="s">
        <v>917</v>
      </c>
      <c r="D97" s="1" t="s">
        <v>17757</v>
      </c>
      <c r="E97" s="1" t="s">
        <v>1885</v>
      </c>
      <c r="F97" s="1" t="s">
        <v>17758</v>
      </c>
      <c r="G97" s="1" t="s">
        <v>17759</v>
      </c>
      <c r="H97" s="1"/>
      <c r="I97" s="1"/>
      <c r="J97" s="1"/>
      <c r="K97" s="1" t="s">
        <v>313</v>
      </c>
    </row>
    <row r="98" ht="14.25" customHeight="1">
      <c r="A98" s="3" t="s">
        <v>263</v>
      </c>
      <c r="B98" s="1">
        <v>7.8</v>
      </c>
      <c r="C98" s="1" t="s">
        <v>917</v>
      </c>
      <c r="D98" s="1" t="s">
        <v>17757</v>
      </c>
      <c r="E98" s="1" t="s">
        <v>1885</v>
      </c>
      <c r="F98" s="1" t="s">
        <v>17758</v>
      </c>
      <c r="G98" s="1" t="s">
        <v>17759</v>
      </c>
      <c r="H98" s="1"/>
      <c r="I98" s="1"/>
      <c r="J98" s="1"/>
      <c r="K98" s="1" t="s">
        <v>389</v>
      </c>
    </row>
    <row r="99" ht="14.25" customHeight="1">
      <c r="A99" s="3" t="s">
        <v>263</v>
      </c>
      <c r="B99" s="1">
        <v>7.8</v>
      </c>
      <c r="C99" s="1" t="s">
        <v>917</v>
      </c>
      <c r="D99" s="1" t="s">
        <v>17757</v>
      </c>
      <c r="E99" s="1" t="s">
        <v>1885</v>
      </c>
      <c r="F99" s="1" t="s">
        <v>17758</v>
      </c>
      <c r="G99" s="1" t="s">
        <v>17759</v>
      </c>
      <c r="H99" s="1"/>
      <c r="I99" s="1"/>
      <c r="J99" s="1"/>
      <c r="K99" s="1" t="s">
        <v>573</v>
      </c>
    </row>
    <row r="100" ht="14.25" customHeight="1">
      <c r="A100" s="3" t="s">
        <v>263</v>
      </c>
      <c r="B100" s="1">
        <v>6.6</v>
      </c>
      <c r="C100" s="1" t="s">
        <v>917</v>
      </c>
      <c r="D100" s="1" t="s">
        <v>17757</v>
      </c>
      <c r="E100" s="1" t="s">
        <v>1885</v>
      </c>
      <c r="F100" s="1" t="s">
        <v>17758</v>
      </c>
      <c r="G100" s="1" t="s">
        <v>17759</v>
      </c>
      <c r="H100" s="1"/>
      <c r="I100" s="1"/>
      <c r="J100" s="1"/>
      <c r="K100" s="1" t="s">
        <v>685</v>
      </c>
    </row>
    <row r="101" ht="14.25" customHeight="1">
      <c r="A101" s="3" t="s">
        <v>263</v>
      </c>
      <c r="B101" s="1">
        <v>6.1</v>
      </c>
      <c r="C101" s="1" t="s">
        <v>917</v>
      </c>
      <c r="D101" s="1" t="s">
        <v>17757</v>
      </c>
      <c r="E101" s="1" t="s">
        <v>1885</v>
      </c>
      <c r="F101" s="1" t="s">
        <v>17758</v>
      </c>
      <c r="G101" s="1" t="s">
        <v>17759</v>
      </c>
      <c r="H101" s="1"/>
      <c r="I101" s="1"/>
      <c r="J101" s="1"/>
      <c r="K101" s="1" t="s">
        <v>1328</v>
      </c>
    </row>
    <row r="102" ht="14.25" customHeight="1">
      <c r="A102" s="3" t="s">
        <v>263</v>
      </c>
      <c r="B102" s="1">
        <v>5.6</v>
      </c>
      <c r="C102" s="1" t="s">
        <v>917</v>
      </c>
      <c r="D102" s="1" t="s">
        <v>17757</v>
      </c>
      <c r="E102" s="1" t="s">
        <v>1885</v>
      </c>
      <c r="F102" s="1" t="s">
        <v>17758</v>
      </c>
      <c r="G102" s="1" t="s">
        <v>17759</v>
      </c>
      <c r="H102" s="1"/>
      <c r="I102" s="1"/>
      <c r="J102" s="1"/>
      <c r="K102" s="1" t="s">
        <v>1384</v>
      </c>
    </row>
    <row r="103" ht="14.25" customHeight="1">
      <c r="A103" s="3" t="s">
        <v>263</v>
      </c>
      <c r="B103" s="1">
        <v>6.4</v>
      </c>
      <c r="C103" s="1" t="s">
        <v>917</v>
      </c>
      <c r="D103" s="1" t="s">
        <v>17757</v>
      </c>
      <c r="E103" s="1" t="s">
        <v>1885</v>
      </c>
      <c r="F103" s="1" t="s">
        <v>17758</v>
      </c>
      <c r="G103" s="1" t="s">
        <v>17759</v>
      </c>
      <c r="H103" s="1"/>
      <c r="I103" s="1"/>
      <c r="J103" s="1"/>
      <c r="K103" s="1" t="s">
        <v>1398</v>
      </c>
    </row>
    <row r="104" ht="14.25" customHeight="1">
      <c r="A104" s="3" t="s">
        <v>263</v>
      </c>
      <c r="B104" s="1">
        <v>6.1</v>
      </c>
      <c r="C104" s="1" t="s">
        <v>917</v>
      </c>
      <c r="D104" s="1" t="s">
        <v>17757</v>
      </c>
      <c r="E104" s="1" t="s">
        <v>1885</v>
      </c>
      <c r="F104" s="1" t="s">
        <v>17758</v>
      </c>
      <c r="G104" s="1" t="s">
        <v>17759</v>
      </c>
      <c r="H104" s="1"/>
      <c r="I104" s="1"/>
      <c r="J104" s="1"/>
      <c r="K104" s="1" t="s">
        <v>1498</v>
      </c>
    </row>
    <row r="105" ht="14.25" customHeight="1">
      <c r="A105" s="3" t="s">
        <v>263</v>
      </c>
      <c r="B105" s="1">
        <v>7.3</v>
      </c>
      <c r="C105" s="1" t="s">
        <v>917</v>
      </c>
      <c r="D105" s="1" t="s">
        <v>17757</v>
      </c>
      <c r="E105" s="1" t="s">
        <v>1885</v>
      </c>
      <c r="F105" s="1" t="s">
        <v>17758</v>
      </c>
      <c r="G105" s="1" t="s">
        <v>17759</v>
      </c>
      <c r="H105" s="1"/>
      <c r="I105" s="1"/>
      <c r="J105" s="1"/>
      <c r="K105" s="1" t="s">
        <v>1521</v>
      </c>
    </row>
    <row r="106" ht="14.25" customHeight="1">
      <c r="A106" s="3" t="s">
        <v>263</v>
      </c>
      <c r="B106" s="1">
        <v>6.6</v>
      </c>
      <c r="C106" s="1" t="s">
        <v>917</v>
      </c>
      <c r="D106" s="1" t="s">
        <v>17757</v>
      </c>
      <c r="E106" s="1" t="s">
        <v>1885</v>
      </c>
      <c r="F106" s="1" t="s">
        <v>17758</v>
      </c>
      <c r="G106" s="1" t="s">
        <v>17759</v>
      </c>
      <c r="H106" s="1"/>
      <c r="I106" s="1"/>
      <c r="J106" s="1"/>
      <c r="K106" s="1" t="s">
        <v>1694</v>
      </c>
    </row>
    <row r="107" ht="14.25" customHeight="1">
      <c r="A107" s="3" t="s">
        <v>263</v>
      </c>
      <c r="B107" s="1">
        <v>6.3</v>
      </c>
      <c r="C107" s="1" t="s">
        <v>917</v>
      </c>
      <c r="D107" s="1" t="s">
        <v>17757</v>
      </c>
      <c r="E107" s="1" t="s">
        <v>1885</v>
      </c>
      <c r="F107" s="1" t="s">
        <v>17758</v>
      </c>
      <c r="G107" s="1" t="s">
        <v>17759</v>
      </c>
      <c r="H107" s="1"/>
      <c r="I107" s="1"/>
      <c r="J107" s="1"/>
      <c r="K107" s="1" t="s">
        <v>1999</v>
      </c>
    </row>
    <row r="108" ht="14.25" customHeight="1">
      <c r="A108" s="3" t="s">
        <v>263</v>
      </c>
      <c r="B108" s="1">
        <v>6.1</v>
      </c>
      <c r="C108" s="1" t="s">
        <v>917</v>
      </c>
      <c r="D108" s="1" t="s">
        <v>17757</v>
      </c>
      <c r="E108" s="1" t="s">
        <v>1885</v>
      </c>
      <c r="F108" s="1" t="s">
        <v>17758</v>
      </c>
      <c r="G108" s="1" t="s">
        <v>17759</v>
      </c>
      <c r="H108" s="1"/>
      <c r="I108" s="1"/>
      <c r="J108" s="1"/>
      <c r="K108" s="1" t="s">
        <v>2333</v>
      </c>
    </row>
    <row r="109" ht="14.25" customHeight="1">
      <c r="A109" s="3" t="s">
        <v>263</v>
      </c>
      <c r="B109" s="1">
        <v>7.1</v>
      </c>
      <c r="C109" s="1" t="s">
        <v>917</v>
      </c>
      <c r="D109" s="1" t="s">
        <v>17757</v>
      </c>
      <c r="E109" s="1" t="s">
        <v>1885</v>
      </c>
      <c r="F109" s="1" t="s">
        <v>17758</v>
      </c>
      <c r="G109" s="1" t="s">
        <v>17759</v>
      </c>
      <c r="H109" s="1"/>
      <c r="I109" s="1"/>
      <c r="J109" s="1"/>
      <c r="K109" s="1" t="s">
        <v>2810</v>
      </c>
    </row>
    <row r="110" ht="14.25" customHeight="1">
      <c r="A110" s="3" t="s">
        <v>263</v>
      </c>
      <c r="B110" s="1">
        <v>5.5</v>
      </c>
      <c r="C110" s="1" t="s">
        <v>917</v>
      </c>
      <c r="D110" s="1" t="s">
        <v>17757</v>
      </c>
      <c r="E110" s="1" t="s">
        <v>1885</v>
      </c>
      <c r="F110" s="1" t="s">
        <v>17758</v>
      </c>
      <c r="G110" s="1" t="s">
        <v>17759</v>
      </c>
      <c r="H110" s="1"/>
      <c r="I110" s="1"/>
      <c r="J110" s="1"/>
      <c r="K110" s="1" t="s">
        <v>3149</v>
      </c>
    </row>
    <row r="111" ht="14.25" customHeight="1">
      <c r="A111" s="3" t="s">
        <v>263</v>
      </c>
      <c r="B111" s="1">
        <v>7.5</v>
      </c>
      <c r="C111" s="1" t="s">
        <v>917</v>
      </c>
      <c r="D111" s="1" t="s">
        <v>17757</v>
      </c>
      <c r="E111" s="1" t="s">
        <v>1885</v>
      </c>
      <c r="F111" s="1" t="s">
        <v>17758</v>
      </c>
      <c r="G111" s="1" t="s">
        <v>17759</v>
      </c>
      <c r="H111" s="1"/>
      <c r="I111" s="1"/>
      <c r="J111" s="1"/>
      <c r="K111" s="1" t="s">
        <v>3718</v>
      </c>
    </row>
    <row r="112" ht="14.25" customHeight="1">
      <c r="A112" s="3" t="s">
        <v>263</v>
      </c>
      <c r="B112" s="1">
        <v>7.6</v>
      </c>
      <c r="C112" s="1" t="s">
        <v>917</v>
      </c>
      <c r="D112" s="1" t="s">
        <v>17757</v>
      </c>
      <c r="E112" s="1" t="s">
        <v>1885</v>
      </c>
      <c r="F112" s="1" t="s">
        <v>17758</v>
      </c>
      <c r="G112" s="1" t="s">
        <v>17759</v>
      </c>
      <c r="H112" s="1"/>
      <c r="I112" s="1"/>
      <c r="J112" s="1"/>
      <c r="K112" s="1" t="s">
        <v>3917</v>
      </c>
    </row>
    <row r="113" ht="14.25" customHeight="1">
      <c r="A113" s="3" t="s">
        <v>263</v>
      </c>
      <c r="B113" s="1">
        <v>6.4</v>
      </c>
      <c r="C113" s="1" t="s">
        <v>917</v>
      </c>
      <c r="D113" s="1" t="s">
        <v>17757</v>
      </c>
      <c r="E113" s="1" t="s">
        <v>1885</v>
      </c>
      <c r="F113" s="1" t="s">
        <v>17758</v>
      </c>
      <c r="G113" s="1" t="s">
        <v>17759</v>
      </c>
      <c r="H113" s="1"/>
      <c r="I113" s="1"/>
      <c r="J113" s="1"/>
      <c r="K113" s="1" t="s">
        <v>3934</v>
      </c>
    </row>
    <row r="114" ht="14.25" customHeight="1">
      <c r="A114" s="3" t="s">
        <v>263</v>
      </c>
      <c r="B114" s="1">
        <v>7.2</v>
      </c>
      <c r="C114" s="1" t="s">
        <v>917</v>
      </c>
      <c r="D114" s="1" t="s">
        <v>17757</v>
      </c>
      <c r="E114" s="1" t="s">
        <v>1885</v>
      </c>
      <c r="F114" s="1" t="s">
        <v>17758</v>
      </c>
      <c r="G114" s="1" t="s">
        <v>17759</v>
      </c>
      <c r="H114" s="1"/>
      <c r="I114" s="1"/>
      <c r="J114" s="1"/>
      <c r="K114" s="1" t="s">
        <v>3977</v>
      </c>
    </row>
    <row r="115" ht="14.25" customHeight="1">
      <c r="A115" s="3" t="s">
        <v>263</v>
      </c>
      <c r="B115" s="1">
        <v>6.7</v>
      </c>
      <c r="C115" s="1" t="s">
        <v>917</v>
      </c>
      <c r="D115" s="1" t="s">
        <v>17757</v>
      </c>
      <c r="E115" s="1" t="s">
        <v>1885</v>
      </c>
      <c r="F115" s="1" t="s">
        <v>17758</v>
      </c>
      <c r="G115" s="1" t="s">
        <v>17759</v>
      </c>
      <c r="H115" s="1"/>
      <c r="I115" s="1"/>
      <c r="J115" s="1"/>
      <c r="K115" s="1" t="s">
        <v>4721</v>
      </c>
    </row>
    <row r="116" ht="14.25" customHeight="1">
      <c r="A116" s="3" t="s">
        <v>263</v>
      </c>
      <c r="B116" s="1">
        <v>8.0</v>
      </c>
      <c r="C116" s="1" t="s">
        <v>917</v>
      </c>
      <c r="D116" s="1" t="s">
        <v>17757</v>
      </c>
      <c r="E116" s="1" t="s">
        <v>1885</v>
      </c>
      <c r="F116" s="1" t="s">
        <v>17758</v>
      </c>
      <c r="G116" s="1" t="s">
        <v>17759</v>
      </c>
      <c r="H116" s="1"/>
      <c r="I116" s="1"/>
      <c r="J116" s="1"/>
      <c r="K116" s="1" t="s">
        <v>5296</v>
      </c>
    </row>
    <row r="117" ht="14.25" customHeight="1">
      <c r="A117" s="3" t="s">
        <v>263</v>
      </c>
      <c r="B117" s="1">
        <v>8.3</v>
      </c>
      <c r="C117" s="1" t="s">
        <v>917</v>
      </c>
      <c r="D117" s="1" t="s">
        <v>17757</v>
      </c>
      <c r="E117" s="1" t="s">
        <v>1885</v>
      </c>
      <c r="F117" s="1" t="s">
        <v>17758</v>
      </c>
      <c r="G117" s="1" t="s">
        <v>17759</v>
      </c>
      <c r="H117" s="1"/>
      <c r="I117" s="1"/>
      <c r="J117" s="1"/>
      <c r="K117" s="1" t="s">
        <v>5439</v>
      </c>
    </row>
    <row r="118" ht="14.25" customHeight="1">
      <c r="A118" s="3" t="s">
        <v>263</v>
      </c>
      <c r="B118" s="1">
        <v>6.7</v>
      </c>
      <c r="C118" s="1" t="s">
        <v>917</v>
      </c>
      <c r="D118" s="1" t="s">
        <v>17757</v>
      </c>
      <c r="E118" s="1" t="s">
        <v>1885</v>
      </c>
      <c r="F118" s="1" t="s">
        <v>17758</v>
      </c>
      <c r="G118" s="1" t="s">
        <v>17759</v>
      </c>
      <c r="H118" s="1"/>
      <c r="I118" s="1"/>
      <c r="J118" s="1"/>
      <c r="K118" s="1" t="s">
        <v>5511</v>
      </c>
    </row>
    <row r="119" ht="14.25" customHeight="1">
      <c r="A119" s="3" t="s">
        <v>263</v>
      </c>
      <c r="B119" s="1">
        <v>5.9</v>
      </c>
      <c r="C119" s="1" t="s">
        <v>917</v>
      </c>
      <c r="D119" s="1" t="s">
        <v>17757</v>
      </c>
      <c r="E119" s="1" t="s">
        <v>1885</v>
      </c>
      <c r="F119" s="1" t="s">
        <v>17758</v>
      </c>
      <c r="G119" s="1" t="s">
        <v>17759</v>
      </c>
      <c r="H119" s="1"/>
      <c r="I119" s="1"/>
      <c r="J119" s="1"/>
      <c r="K119" s="1" t="s">
        <v>7576</v>
      </c>
    </row>
    <row r="120" ht="14.25" customHeight="1">
      <c r="A120" s="3" t="s">
        <v>263</v>
      </c>
      <c r="B120" s="1">
        <v>6.7</v>
      </c>
      <c r="C120" s="1" t="s">
        <v>917</v>
      </c>
      <c r="D120" s="1" t="s">
        <v>17757</v>
      </c>
      <c r="E120" s="1" t="s">
        <v>1885</v>
      </c>
      <c r="F120" s="1" t="s">
        <v>17758</v>
      </c>
      <c r="G120" s="1" t="s">
        <v>17759</v>
      </c>
      <c r="H120" s="1"/>
      <c r="I120" s="1"/>
      <c r="J120" s="1"/>
      <c r="K120" s="1" t="s">
        <v>7626</v>
      </c>
    </row>
    <row r="121" ht="14.25" customHeight="1">
      <c r="A121" s="3" t="s">
        <v>263</v>
      </c>
      <c r="B121" s="1">
        <v>6.7</v>
      </c>
      <c r="C121" s="1" t="s">
        <v>917</v>
      </c>
      <c r="D121" s="1" t="s">
        <v>17757</v>
      </c>
      <c r="E121" s="1" t="s">
        <v>1885</v>
      </c>
      <c r="F121" s="1" t="s">
        <v>17758</v>
      </c>
      <c r="G121" s="1" t="s">
        <v>17759</v>
      </c>
      <c r="H121" s="1"/>
      <c r="I121" s="1"/>
      <c r="J121" s="1"/>
      <c r="K121" s="1" t="s">
        <v>8861</v>
      </c>
    </row>
    <row r="122" ht="14.25" customHeight="1">
      <c r="A122" s="3" t="s">
        <v>263</v>
      </c>
      <c r="B122" s="1">
        <v>7.6</v>
      </c>
      <c r="C122" s="1" t="s">
        <v>917</v>
      </c>
      <c r="D122" s="1" t="s">
        <v>17757</v>
      </c>
      <c r="E122" s="1" t="s">
        <v>1885</v>
      </c>
      <c r="F122" s="1" t="s">
        <v>17758</v>
      </c>
      <c r="G122" s="1" t="s">
        <v>17759</v>
      </c>
      <c r="H122" s="1"/>
      <c r="I122" s="1"/>
      <c r="J122" s="1"/>
      <c r="K122" s="1" t="s">
        <v>10354</v>
      </c>
    </row>
    <row r="123" ht="14.25" customHeight="1">
      <c r="A123" s="3" t="s">
        <v>2799</v>
      </c>
      <c r="B123" s="1">
        <v>7.2</v>
      </c>
      <c r="C123" s="1" t="s">
        <v>917</v>
      </c>
      <c r="D123" s="1" t="s">
        <v>17757</v>
      </c>
      <c r="E123" s="1" t="s">
        <v>3238</v>
      </c>
      <c r="F123" s="1" t="s">
        <v>17758</v>
      </c>
      <c r="G123" s="1" t="s">
        <v>17759</v>
      </c>
      <c r="H123" s="1"/>
      <c r="I123" s="1"/>
      <c r="J123" s="1"/>
      <c r="K123" s="1" t="s">
        <v>2798</v>
      </c>
    </row>
    <row r="124" ht="14.25" customHeight="1">
      <c r="A124" s="3" t="s">
        <v>2351</v>
      </c>
      <c r="B124" s="1">
        <v>7.1</v>
      </c>
      <c r="C124" s="1" t="s">
        <v>917</v>
      </c>
      <c r="D124" s="1" t="s">
        <v>1885</v>
      </c>
      <c r="E124" s="1" t="s">
        <v>3238</v>
      </c>
      <c r="F124" s="1" t="s">
        <v>17758</v>
      </c>
      <c r="G124" s="1" t="s">
        <v>17759</v>
      </c>
      <c r="H124" s="1"/>
      <c r="I124" s="1"/>
      <c r="J124" s="1"/>
      <c r="K124" s="1" t="s">
        <v>2350</v>
      </c>
    </row>
    <row r="125" ht="14.25" customHeight="1">
      <c r="A125" s="3" t="s">
        <v>2351</v>
      </c>
      <c r="B125" s="1">
        <v>8.1</v>
      </c>
      <c r="C125" s="1" t="s">
        <v>917</v>
      </c>
      <c r="D125" s="1" t="s">
        <v>1885</v>
      </c>
      <c r="E125" s="1" t="s">
        <v>3238</v>
      </c>
      <c r="F125" s="1" t="s">
        <v>17758</v>
      </c>
      <c r="G125" s="1" t="s">
        <v>17759</v>
      </c>
      <c r="H125" s="1"/>
      <c r="I125" s="1"/>
      <c r="J125" s="1"/>
      <c r="K125" s="1" t="s">
        <v>2722</v>
      </c>
    </row>
    <row r="126" ht="14.25" customHeight="1">
      <c r="A126" s="3" t="s">
        <v>2351</v>
      </c>
      <c r="B126" s="1">
        <v>6.7</v>
      </c>
      <c r="C126" s="1" t="s">
        <v>917</v>
      </c>
      <c r="D126" s="1" t="s">
        <v>1885</v>
      </c>
      <c r="E126" s="1" t="s">
        <v>3238</v>
      </c>
      <c r="F126" s="1" t="s">
        <v>17758</v>
      </c>
      <c r="G126" s="1" t="s">
        <v>17759</v>
      </c>
      <c r="H126" s="1"/>
      <c r="I126" s="1"/>
      <c r="J126" s="1"/>
      <c r="K126" s="1" t="s">
        <v>10578</v>
      </c>
    </row>
    <row r="127" ht="14.25" customHeight="1">
      <c r="A127" s="3" t="s">
        <v>4218</v>
      </c>
      <c r="B127" s="1">
        <v>7.0</v>
      </c>
      <c r="C127" s="1" t="s">
        <v>917</v>
      </c>
      <c r="D127" s="1" t="s">
        <v>1885</v>
      </c>
      <c r="E127" s="1" t="s">
        <v>17758</v>
      </c>
      <c r="F127" s="1" t="s">
        <v>17759</v>
      </c>
      <c r="G127" s="1" t="s">
        <v>6019</v>
      </c>
      <c r="H127" s="1"/>
      <c r="I127" s="1"/>
      <c r="J127" s="1"/>
      <c r="K127" s="1" t="s">
        <v>4217</v>
      </c>
    </row>
    <row r="128" ht="14.25" customHeight="1">
      <c r="A128" s="3" t="s">
        <v>4218</v>
      </c>
      <c r="B128" s="1">
        <v>6.9</v>
      </c>
      <c r="C128" s="1" t="s">
        <v>917</v>
      </c>
      <c r="D128" s="1" t="s">
        <v>1885</v>
      </c>
      <c r="E128" s="1" t="s">
        <v>17758</v>
      </c>
      <c r="F128" s="1" t="s">
        <v>17759</v>
      </c>
      <c r="G128" s="1" t="s">
        <v>6019</v>
      </c>
      <c r="H128" s="1"/>
      <c r="I128" s="1"/>
      <c r="J128" s="1"/>
      <c r="K128" s="1" t="s">
        <v>4217</v>
      </c>
    </row>
    <row r="129" ht="14.25" customHeight="1">
      <c r="A129" s="3" t="s">
        <v>3191</v>
      </c>
      <c r="B129" s="1">
        <v>5.1</v>
      </c>
      <c r="C129" s="1" t="s">
        <v>17757</v>
      </c>
      <c r="D129" s="1" t="s">
        <v>1885</v>
      </c>
      <c r="E129" s="1" t="s">
        <v>17758</v>
      </c>
      <c r="F129" s="1" t="s">
        <v>17759</v>
      </c>
      <c r="G129" s="1" t="s">
        <v>17774</v>
      </c>
      <c r="H129" s="1"/>
      <c r="I129" s="1"/>
      <c r="J129" s="1"/>
      <c r="K129" s="1" t="s">
        <v>3190</v>
      </c>
    </row>
    <row r="130" ht="14.25" customHeight="1">
      <c r="A130" s="3" t="s">
        <v>3191</v>
      </c>
      <c r="B130" s="1">
        <v>5.8</v>
      </c>
      <c r="C130" s="1" t="s">
        <v>17757</v>
      </c>
      <c r="D130" s="1" t="s">
        <v>1885</v>
      </c>
      <c r="E130" s="1" t="s">
        <v>17758</v>
      </c>
      <c r="F130" s="1" t="s">
        <v>17759</v>
      </c>
      <c r="G130" s="1" t="s">
        <v>17774</v>
      </c>
      <c r="H130" s="1"/>
      <c r="I130" s="1"/>
      <c r="J130" s="1"/>
      <c r="K130" s="1" t="s">
        <v>4314</v>
      </c>
    </row>
    <row r="131" ht="14.25" customHeight="1">
      <c r="A131" s="3" t="s">
        <v>6917</v>
      </c>
      <c r="B131" s="1">
        <v>6.2</v>
      </c>
      <c r="C131" s="1" t="s">
        <v>17765</v>
      </c>
      <c r="D131" s="1" t="s">
        <v>1885</v>
      </c>
      <c r="E131" s="1" t="s">
        <v>3238</v>
      </c>
      <c r="F131" s="1" t="s">
        <v>17772</v>
      </c>
      <c r="G131" s="1" t="s">
        <v>17774</v>
      </c>
      <c r="H131" s="1"/>
      <c r="I131" s="1"/>
      <c r="J131" s="1"/>
      <c r="K131" s="1" t="s">
        <v>6916</v>
      </c>
    </row>
    <row r="132" ht="14.25" customHeight="1">
      <c r="A132" s="3" t="s">
        <v>8206</v>
      </c>
      <c r="B132" s="1">
        <v>7.4</v>
      </c>
      <c r="C132" s="1" t="s">
        <v>17765</v>
      </c>
      <c r="D132" s="1" t="s">
        <v>17763</v>
      </c>
      <c r="E132" s="1" t="s">
        <v>3238</v>
      </c>
      <c r="F132" s="1" t="s">
        <v>17772</v>
      </c>
      <c r="G132" s="1" t="s">
        <v>17774</v>
      </c>
      <c r="H132" s="1"/>
      <c r="I132" s="1"/>
      <c r="J132" s="1"/>
      <c r="K132" s="1" t="s">
        <v>8205</v>
      </c>
    </row>
    <row r="133" ht="14.25" customHeight="1">
      <c r="A133" s="3" t="s">
        <v>1224</v>
      </c>
      <c r="B133" s="1">
        <v>5.8</v>
      </c>
      <c r="C133" s="1" t="s">
        <v>917</v>
      </c>
      <c r="D133" s="1" t="s">
        <v>17757</v>
      </c>
      <c r="E133" s="1" t="s">
        <v>1885</v>
      </c>
      <c r="F133" s="1" t="s">
        <v>17758</v>
      </c>
      <c r="G133" s="1" t="s">
        <v>17760</v>
      </c>
      <c r="H133" s="1"/>
      <c r="I133" s="1"/>
      <c r="J133" s="1"/>
      <c r="K133" s="1" t="s">
        <v>1223</v>
      </c>
    </row>
    <row r="134" ht="14.25" customHeight="1">
      <c r="A134" s="3" t="s">
        <v>1224</v>
      </c>
      <c r="B134" s="1">
        <v>6.6</v>
      </c>
      <c r="C134" s="1" t="s">
        <v>917</v>
      </c>
      <c r="D134" s="1" t="s">
        <v>17757</v>
      </c>
      <c r="E134" s="1" t="s">
        <v>1885</v>
      </c>
      <c r="F134" s="1" t="s">
        <v>17758</v>
      </c>
      <c r="G134" s="1" t="s">
        <v>17760</v>
      </c>
      <c r="H134" s="1"/>
      <c r="I134" s="1"/>
      <c r="J134" s="1"/>
      <c r="K134" s="1" t="s">
        <v>2166</v>
      </c>
    </row>
    <row r="135" ht="14.25" customHeight="1">
      <c r="A135" s="3" t="s">
        <v>1224</v>
      </c>
      <c r="B135" s="1">
        <v>6.2</v>
      </c>
      <c r="C135" s="1" t="s">
        <v>917</v>
      </c>
      <c r="D135" s="1" t="s">
        <v>17757</v>
      </c>
      <c r="E135" s="1" t="s">
        <v>1885</v>
      </c>
      <c r="F135" s="1" t="s">
        <v>17758</v>
      </c>
      <c r="G135" s="1" t="s">
        <v>17760</v>
      </c>
      <c r="H135" s="1"/>
      <c r="I135" s="1"/>
      <c r="J135" s="1"/>
      <c r="K135" s="1" t="s">
        <v>7906</v>
      </c>
    </row>
    <row r="136" ht="14.25" customHeight="1">
      <c r="A136" s="3" t="s">
        <v>4542</v>
      </c>
      <c r="B136" s="1">
        <v>7.3</v>
      </c>
      <c r="C136" s="1" t="s">
        <v>917</v>
      </c>
      <c r="D136" s="1" t="s">
        <v>1885</v>
      </c>
      <c r="E136" s="1" t="s">
        <v>17763</v>
      </c>
      <c r="F136" s="1" t="s">
        <v>17758</v>
      </c>
      <c r="G136" s="1" t="s">
        <v>17760</v>
      </c>
      <c r="H136" s="1"/>
      <c r="I136" s="1"/>
      <c r="J136" s="1"/>
      <c r="K136" s="1" t="s">
        <v>4541</v>
      </c>
    </row>
    <row r="137" ht="14.25" customHeight="1">
      <c r="A137" s="3" t="s">
        <v>2769</v>
      </c>
      <c r="B137" s="1">
        <v>4.2</v>
      </c>
      <c r="C137" s="1" t="s">
        <v>917</v>
      </c>
      <c r="D137" s="1" t="s">
        <v>17757</v>
      </c>
      <c r="E137" s="1" t="s">
        <v>3238</v>
      </c>
      <c r="F137" s="1" t="s">
        <v>17758</v>
      </c>
      <c r="G137" s="1" t="s">
        <v>17760</v>
      </c>
      <c r="H137" s="1"/>
      <c r="I137" s="1"/>
      <c r="J137" s="1"/>
      <c r="K137" s="1" t="s">
        <v>2768</v>
      </c>
    </row>
    <row r="138" ht="14.25" customHeight="1">
      <c r="A138" s="3" t="s">
        <v>9917</v>
      </c>
      <c r="B138" s="1">
        <v>6.9</v>
      </c>
      <c r="C138" s="1" t="s">
        <v>17757</v>
      </c>
      <c r="D138" s="1" t="s">
        <v>1885</v>
      </c>
      <c r="E138" s="1" t="s">
        <v>3238</v>
      </c>
      <c r="F138" s="1" t="s">
        <v>17758</v>
      </c>
      <c r="G138" s="1" t="s">
        <v>17760</v>
      </c>
      <c r="H138" s="1"/>
      <c r="I138" s="1"/>
      <c r="J138" s="1"/>
      <c r="K138" s="1" t="s">
        <v>9916</v>
      </c>
    </row>
    <row r="139" ht="14.25" customHeight="1">
      <c r="A139" s="3" t="s">
        <v>4798</v>
      </c>
      <c r="B139" s="1">
        <v>6.4</v>
      </c>
      <c r="C139" s="1" t="s">
        <v>917</v>
      </c>
      <c r="D139" s="1" t="s">
        <v>1885</v>
      </c>
      <c r="E139" s="1" t="s">
        <v>3238</v>
      </c>
      <c r="F139" s="1" t="s">
        <v>17759</v>
      </c>
      <c r="G139" s="1" t="s">
        <v>17760</v>
      </c>
      <c r="H139" s="1"/>
      <c r="I139" s="1"/>
      <c r="J139" s="1"/>
      <c r="K139" s="1" t="s">
        <v>4797</v>
      </c>
    </row>
    <row r="140" ht="14.25" customHeight="1">
      <c r="A140" s="3" t="s">
        <v>11094</v>
      </c>
      <c r="B140" s="1">
        <v>5.4</v>
      </c>
      <c r="C140" s="1" t="s">
        <v>917</v>
      </c>
      <c r="D140" s="1" t="s">
        <v>1885</v>
      </c>
      <c r="E140" s="1" t="s">
        <v>17758</v>
      </c>
      <c r="F140" s="1" t="s">
        <v>17759</v>
      </c>
      <c r="G140" s="1" t="s">
        <v>17760</v>
      </c>
      <c r="H140" s="1"/>
      <c r="I140" s="1"/>
      <c r="J140" s="1"/>
      <c r="K140" s="1" t="s">
        <v>11093</v>
      </c>
    </row>
    <row r="141" ht="14.25" customHeight="1">
      <c r="A141" s="3" t="s">
        <v>7495</v>
      </c>
      <c r="B141" s="1">
        <v>6.7</v>
      </c>
      <c r="C141" s="1" t="s">
        <v>17757</v>
      </c>
      <c r="D141" s="1" t="s">
        <v>1885</v>
      </c>
      <c r="E141" s="1" t="s">
        <v>17758</v>
      </c>
      <c r="F141" s="1" t="s">
        <v>17759</v>
      </c>
      <c r="G141" s="1" t="s">
        <v>17760</v>
      </c>
      <c r="H141" s="1"/>
      <c r="I141" s="1"/>
      <c r="J141" s="1"/>
      <c r="K141" s="1" t="s">
        <v>7494</v>
      </c>
    </row>
    <row r="142" ht="14.25" customHeight="1">
      <c r="A142" s="3" t="s">
        <v>7495</v>
      </c>
      <c r="B142" s="1">
        <v>5.8</v>
      </c>
      <c r="C142" s="1" t="s">
        <v>17757</v>
      </c>
      <c r="D142" s="1" t="s">
        <v>1885</v>
      </c>
      <c r="E142" s="1" t="s">
        <v>17758</v>
      </c>
      <c r="F142" s="1" t="s">
        <v>17759</v>
      </c>
      <c r="G142" s="1" t="s">
        <v>17760</v>
      </c>
      <c r="H142" s="1"/>
      <c r="I142" s="1"/>
      <c r="J142" s="1"/>
      <c r="K142" s="1" t="s">
        <v>13432</v>
      </c>
    </row>
    <row r="143" ht="14.25" customHeight="1">
      <c r="A143" s="3" t="s">
        <v>12662</v>
      </c>
      <c r="B143" s="1">
        <v>6.9</v>
      </c>
      <c r="C143" s="1" t="s">
        <v>1885</v>
      </c>
      <c r="D143" s="1" t="s">
        <v>3238</v>
      </c>
      <c r="E143" s="1" t="s">
        <v>17758</v>
      </c>
      <c r="F143" s="1" t="s">
        <v>17759</v>
      </c>
      <c r="G143" s="1" t="s">
        <v>17760</v>
      </c>
      <c r="H143" s="1"/>
      <c r="I143" s="1"/>
      <c r="J143" s="1"/>
      <c r="K143" s="1" t="s">
        <v>12661</v>
      </c>
    </row>
    <row r="144" ht="14.25" customHeight="1">
      <c r="A144" s="3" t="s">
        <v>9337</v>
      </c>
      <c r="B144" s="1">
        <v>7.2</v>
      </c>
      <c r="C144" s="1" t="s">
        <v>917</v>
      </c>
      <c r="D144" s="1" t="s">
        <v>17758</v>
      </c>
      <c r="E144" s="1" t="s">
        <v>17759</v>
      </c>
      <c r="F144" s="1" t="s">
        <v>17774</v>
      </c>
      <c r="G144" s="1" t="s">
        <v>17760</v>
      </c>
      <c r="H144" s="1"/>
      <c r="I144" s="1"/>
      <c r="J144" s="1"/>
      <c r="K144" s="1" t="s">
        <v>9336</v>
      </c>
    </row>
    <row r="145" ht="14.25" customHeight="1">
      <c r="A145" s="3" t="s">
        <v>1706</v>
      </c>
      <c r="B145" s="1">
        <v>6.9</v>
      </c>
      <c r="C145" s="1" t="s">
        <v>1270</v>
      </c>
      <c r="D145" s="1" t="s">
        <v>917</v>
      </c>
      <c r="E145" s="1" t="s">
        <v>1885</v>
      </c>
      <c r="F145" s="1" t="s">
        <v>17758</v>
      </c>
      <c r="G145" s="1" t="s">
        <v>17761</v>
      </c>
      <c r="H145" s="1"/>
      <c r="I145" s="1"/>
      <c r="J145" s="1"/>
      <c r="K145" s="1" t="s">
        <v>1705</v>
      </c>
    </row>
    <row r="146" ht="14.25" customHeight="1">
      <c r="A146" s="3" t="s">
        <v>2558</v>
      </c>
      <c r="B146" s="1">
        <v>6.1</v>
      </c>
      <c r="C146" s="1" t="s">
        <v>917</v>
      </c>
      <c r="D146" s="1" t="s">
        <v>1885</v>
      </c>
      <c r="E146" s="1" t="s">
        <v>17763</v>
      </c>
      <c r="F146" s="1" t="s">
        <v>17758</v>
      </c>
      <c r="G146" s="1" t="s">
        <v>17761</v>
      </c>
      <c r="H146" s="1"/>
      <c r="I146" s="1"/>
      <c r="J146" s="1"/>
      <c r="K146" s="1" t="s">
        <v>2557</v>
      </c>
    </row>
    <row r="147" ht="14.25" customHeight="1">
      <c r="A147" s="3" t="s">
        <v>9849</v>
      </c>
      <c r="B147" s="1">
        <v>5.5</v>
      </c>
      <c r="C147" s="1" t="s">
        <v>917</v>
      </c>
      <c r="D147" s="1" t="s">
        <v>1885</v>
      </c>
      <c r="E147" s="1" t="s">
        <v>3238</v>
      </c>
      <c r="F147" s="1" t="s">
        <v>17758</v>
      </c>
      <c r="G147" s="1" t="s">
        <v>17761</v>
      </c>
      <c r="H147" s="1"/>
      <c r="I147" s="1"/>
      <c r="J147" s="1"/>
      <c r="K147" s="1" t="s">
        <v>9848</v>
      </c>
    </row>
    <row r="148" ht="14.25" customHeight="1">
      <c r="A148" s="3" t="s">
        <v>12565</v>
      </c>
      <c r="B148" s="1">
        <v>6.6</v>
      </c>
      <c r="C148" s="1" t="s">
        <v>1270</v>
      </c>
      <c r="D148" s="1" t="s">
        <v>917</v>
      </c>
      <c r="E148" s="1" t="s">
        <v>1885</v>
      </c>
      <c r="F148" s="1" t="s">
        <v>17759</v>
      </c>
      <c r="G148" s="1" t="s">
        <v>17761</v>
      </c>
      <c r="H148" s="1"/>
      <c r="I148" s="1"/>
      <c r="J148" s="1"/>
      <c r="K148" s="1" t="s">
        <v>12564</v>
      </c>
    </row>
    <row r="149" ht="14.25" customHeight="1">
      <c r="A149" s="3" t="s">
        <v>2959</v>
      </c>
      <c r="B149" s="1">
        <v>6.1</v>
      </c>
      <c r="C149" s="1" t="s">
        <v>17757</v>
      </c>
      <c r="D149" s="1" t="s">
        <v>1885</v>
      </c>
      <c r="E149" s="1" t="s">
        <v>17758</v>
      </c>
      <c r="F149" s="1" t="s">
        <v>17759</v>
      </c>
      <c r="G149" s="1" t="s">
        <v>17761</v>
      </c>
      <c r="H149" s="1"/>
      <c r="I149" s="1"/>
      <c r="J149" s="1"/>
      <c r="K149" s="1" t="s">
        <v>2958</v>
      </c>
    </row>
    <row r="150" ht="14.25" customHeight="1">
      <c r="A150" s="3" t="s">
        <v>2110</v>
      </c>
      <c r="B150" s="1">
        <v>6.3</v>
      </c>
      <c r="C150" s="1" t="s">
        <v>1885</v>
      </c>
      <c r="D150" s="1" t="s">
        <v>17758</v>
      </c>
      <c r="E150" s="1" t="s">
        <v>17759</v>
      </c>
      <c r="F150" s="1" t="s">
        <v>6019</v>
      </c>
      <c r="G150" s="1" t="s">
        <v>17761</v>
      </c>
      <c r="H150" s="1"/>
      <c r="I150" s="1"/>
      <c r="J150" s="1"/>
      <c r="K150" s="1" t="s">
        <v>2109</v>
      </c>
    </row>
    <row r="151" ht="14.25" customHeight="1">
      <c r="A151" s="3" t="s">
        <v>7981</v>
      </c>
      <c r="B151" s="1">
        <v>7.2</v>
      </c>
      <c r="C151" s="1" t="s">
        <v>1270</v>
      </c>
      <c r="D151" s="1" t="s">
        <v>917</v>
      </c>
      <c r="E151" s="1" t="s">
        <v>17763</v>
      </c>
      <c r="F151" s="1" t="s">
        <v>3238</v>
      </c>
      <c r="G151" s="1" t="s">
        <v>17762</v>
      </c>
      <c r="H151" s="1"/>
      <c r="I151" s="1"/>
      <c r="J151" s="1"/>
      <c r="K151" s="1" t="s">
        <v>7980</v>
      </c>
    </row>
    <row r="152" ht="14.25" customHeight="1">
      <c r="A152" s="3" t="s">
        <v>12463</v>
      </c>
      <c r="B152" s="1">
        <v>7.4</v>
      </c>
      <c r="C152" s="1" t="s">
        <v>17765</v>
      </c>
      <c r="D152" s="1" t="s">
        <v>1885</v>
      </c>
      <c r="E152" s="1" t="s">
        <v>17763</v>
      </c>
      <c r="F152" s="1" t="s">
        <v>3238</v>
      </c>
      <c r="G152" s="1" t="s">
        <v>17762</v>
      </c>
      <c r="H152" s="1"/>
      <c r="I152" s="1"/>
      <c r="J152" s="1"/>
      <c r="K152" s="1" t="s">
        <v>12462</v>
      </c>
    </row>
    <row r="153" ht="14.25" customHeight="1">
      <c r="A153" s="3" t="s">
        <v>4341</v>
      </c>
      <c r="B153" s="1">
        <v>7.3</v>
      </c>
      <c r="C153" s="1" t="s">
        <v>1270</v>
      </c>
      <c r="D153" s="1" t="s">
        <v>917</v>
      </c>
      <c r="E153" s="1" t="s">
        <v>1885</v>
      </c>
      <c r="F153" s="1" t="s">
        <v>17758</v>
      </c>
      <c r="G153" s="1" t="s">
        <v>17762</v>
      </c>
      <c r="H153" s="1"/>
      <c r="I153" s="1"/>
      <c r="J153" s="1"/>
      <c r="K153" s="1" t="s">
        <v>4340</v>
      </c>
    </row>
    <row r="154" ht="14.25" customHeight="1">
      <c r="A154" s="3" t="s">
        <v>1904</v>
      </c>
      <c r="B154" s="1">
        <v>6.1</v>
      </c>
      <c r="C154" s="1" t="s">
        <v>917</v>
      </c>
      <c r="D154" s="1" t="s">
        <v>17757</v>
      </c>
      <c r="E154" s="1" t="s">
        <v>1885</v>
      </c>
      <c r="F154" s="1" t="s">
        <v>17758</v>
      </c>
      <c r="G154" s="1" t="s">
        <v>17762</v>
      </c>
      <c r="H154" s="1"/>
      <c r="I154" s="1"/>
      <c r="J154" s="1"/>
      <c r="K154" s="1" t="s">
        <v>1903</v>
      </c>
    </row>
    <row r="155" ht="14.25" customHeight="1">
      <c r="A155" s="3" t="s">
        <v>1904</v>
      </c>
      <c r="B155" s="1">
        <v>7.7</v>
      </c>
      <c r="C155" s="1" t="s">
        <v>917</v>
      </c>
      <c r="D155" s="1" t="s">
        <v>17757</v>
      </c>
      <c r="E155" s="1" t="s">
        <v>1885</v>
      </c>
      <c r="F155" s="1" t="s">
        <v>17758</v>
      </c>
      <c r="G155" s="1" t="s">
        <v>17762</v>
      </c>
      <c r="H155" s="1"/>
      <c r="I155" s="1"/>
      <c r="J155" s="1"/>
      <c r="K155" s="1" t="s">
        <v>7655</v>
      </c>
    </row>
    <row r="156" ht="14.25" customHeight="1">
      <c r="A156" s="3" t="s">
        <v>1904</v>
      </c>
      <c r="B156" s="1">
        <v>6.1</v>
      </c>
      <c r="C156" s="1" t="s">
        <v>917</v>
      </c>
      <c r="D156" s="1" t="s">
        <v>17757</v>
      </c>
      <c r="E156" s="1" t="s">
        <v>1885</v>
      </c>
      <c r="F156" s="1" t="s">
        <v>17758</v>
      </c>
      <c r="G156" s="1" t="s">
        <v>17762</v>
      </c>
      <c r="H156" s="1"/>
      <c r="I156" s="1"/>
      <c r="J156" s="1"/>
      <c r="K156" s="1" t="s">
        <v>10096</v>
      </c>
    </row>
    <row r="157" ht="14.25" customHeight="1">
      <c r="A157" s="3" t="s">
        <v>9818</v>
      </c>
      <c r="B157" s="1">
        <v>8.0</v>
      </c>
      <c r="C157" s="1" t="s">
        <v>917</v>
      </c>
      <c r="D157" s="1" t="s">
        <v>1885</v>
      </c>
      <c r="E157" s="1" t="s">
        <v>3238</v>
      </c>
      <c r="F157" s="1" t="s">
        <v>17758</v>
      </c>
      <c r="G157" s="1" t="s">
        <v>17762</v>
      </c>
      <c r="H157" s="1"/>
      <c r="I157" s="1"/>
      <c r="J157" s="1"/>
      <c r="K157" s="1" t="s">
        <v>9817</v>
      </c>
    </row>
    <row r="158" ht="14.25" customHeight="1">
      <c r="A158" s="3" t="s">
        <v>6447</v>
      </c>
      <c r="B158" s="1">
        <v>7.3</v>
      </c>
      <c r="C158" s="1" t="s">
        <v>917</v>
      </c>
      <c r="D158" s="1" t="s">
        <v>17757</v>
      </c>
      <c r="E158" s="1" t="s">
        <v>1885</v>
      </c>
      <c r="F158" s="1" t="s">
        <v>17759</v>
      </c>
      <c r="G158" s="1" t="s">
        <v>17762</v>
      </c>
      <c r="H158" s="1"/>
      <c r="I158" s="1"/>
      <c r="J158" s="1"/>
      <c r="K158" s="1" t="s">
        <v>6446</v>
      </c>
    </row>
    <row r="159" ht="14.25" customHeight="1">
      <c r="A159" s="3" t="s">
        <v>2033</v>
      </c>
      <c r="B159" s="1">
        <v>7.9</v>
      </c>
      <c r="C159" s="1" t="s">
        <v>917</v>
      </c>
      <c r="D159" s="1" t="s">
        <v>1885</v>
      </c>
      <c r="E159" s="1" t="s">
        <v>3238</v>
      </c>
      <c r="F159" s="1" t="s">
        <v>17759</v>
      </c>
      <c r="G159" s="1" t="s">
        <v>17762</v>
      </c>
      <c r="H159" s="1"/>
      <c r="I159" s="1"/>
      <c r="J159" s="1"/>
      <c r="K159" s="1" t="s">
        <v>2032</v>
      </c>
    </row>
    <row r="160" ht="14.25" customHeight="1">
      <c r="A160" s="3" t="s">
        <v>549</v>
      </c>
      <c r="B160" s="1">
        <v>5.5</v>
      </c>
      <c r="C160" s="1" t="s">
        <v>1270</v>
      </c>
      <c r="D160" s="1" t="s">
        <v>917</v>
      </c>
      <c r="E160" s="1" t="s">
        <v>17758</v>
      </c>
      <c r="F160" s="1" t="s">
        <v>17759</v>
      </c>
      <c r="G160" s="1" t="s">
        <v>17762</v>
      </c>
      <c r="H160" s="1"/>
      <c r="I160" s="1"/>
      <c r="J160" s="1"/>
      <c r="K160" s="1" t="s">
        <v>548</v>
      </c>
    </row>
    <row r="161" ht="14.25" customHeight="1">
      <c r="A161" s="3" t="s">
        <v>6008</v>
      </c>
      <c r="B161" s="1">
        <v>5.0</v>
      </c>
      <c r="C161" s="1" t="s">
        <v>1885</v>
      </c>
      <c r="D161" s="1" t="s">
        <v>3238</v>
      </c>
      <c r="E161" s="1" t="s">
        <v>17758</v>
      </c>
      <c r="F161" s="1" t="s">
        <v>17759</v>
      </c>
      <c r="G161" s="1" t="s">
        <v>17762</v>
      </c>
      <c r="H161" s="1"/>
      <c r="I161" s="1"/>
      <c r="J161" s="1"/>
      <c r="K161" s="1" t="s">
        <v>6007</v>
      </c>
    </row>
    <row r="162" ht="14.25" customHeight="1">
      <c r="A162" s="3" t="s">
        <v>6008</v>
      </c>
      <c r="B162" s="1">
        <v>7.7</v>
      </c>
      <c r="C162" s="1" t="s">
        <v>1885</v>
      </c>
      <c r="D162" s="1" t="s">
        <v>3238</v>
      </c>
      <c r="E162" s="1" t="s">
        <v>17758</v>
      </c>
      <c r="F162" s="1" t="s">
        <v>17759</v>
      </c>
      <c r="G162" s="1" t="s">
        <v>17762</v>
      </c>
      <c r="H162" s="1"/>
      <c r="I162" s="1"/>
      <c r="J162" s="1"/>
      <c r="K162" s="1" t="s">
        <v>10654</v>
      </c>
    </row>
    <row r="163" ht="14.25" customHeight="1">
      <c r="A163" s="3" t="s">
        <v>2758</v>
      </c>
      <c r="B163" s="1">
        <v>6.6</v>
      </c>
      <c r="C163" s="1" t="s">
        <v>1270</v>
      </c>
      <c r="D163" s="1" t="s">
        <v>917</v>
      </c>
      <c r="E163" s="1" t="s">
        <v>3238</v>
      </c>
      <c r="F163" s="1" t="s">
        <v>17772</v>
      </c>
      <c r="G163" s="1" t="s">
        <v>17762</v>
      </c>
      <c r="H163" s="1"/>
      <c r="I163" s="1"/>
      <c r="J163" s="1"/>
      <c r="K163" s="1" t="s">
        <v>2757</v>
      </c>
    </row>
    <row r="164" ht="14.25" customHeight="1">
      <c r="A164" s="3" t="s">
        <v>2758</v>
      </c>
      <c r="B164" s="1">
        <v>5.7</v>
      </c>
      <c r="C164" s="1" t="s">
        <v>1270</v>
      </c>
      <c r="D164" s="1" t="s">
        <v>917</v>
      </c>
      <c r="E164" s="1" t="s">
        <v>3238</v>
      </c>
      <c r="F164" s="1" t="s">
        <v>17772</v>
      </c>
      <c r="G164" s="1" t="s">
        <v>17762</v>
      </c>
      <c r="H164" s="1"/>
      <c r="I164" s="1"/>
      <c r="J164" s="1"/>
      <c r="K164" s="1" t="s">
        <v>10499</v>
      </c>
    </row>
    <row r="165" ht="14.25" customHeight="1">
      <c r="A165" s="3" t="s">
        <v>2758</v>
      </c>
      <c r="B165" s="1">
        <v>5.8</v>
      </c>
      <c r="C165" s="1" t="s">
        <v>1270</v>
      </c>
      <c r="D165" s="1" t="s">
        <v>917</v>
      </c>
      <c r="E165" s="1" t="s">
        <v>3238</v>
      </c>
      <c r="F165" s="1" t="s">
        <v>17772</v>
      </c>
      <c r="G165" s="1" t="s">
        <v>17762</v>
      </c>
      <c r="H165" s="1"/>
      <c r="I165" s="1"/>
      <c r="J165" s="1"/>
      <c r="K165" s="1" t="s">
        <v>10590</v>
      </c>
    </row>
    <row r="166" ht="14.25" customHeight="1">
      <c r="A166" s="3" t="s">
        <v>1639</v>
      </c>
      <c r="B166" s="1">
        <v>6.0</v>
      </c>
      <c r="C166" s="1" t="s">
        <v>17765</v>
      </c>
      <c r="D166" s="1" t="s">
        <v>17763</v>
      </c>
      <c r="E166" s="1" t="s">
        <v>3238</v>
      </c>
      <c r="F166" s="1" t="s">
        <v>17772</v>
      </c>
      <c r="G166" s="1" t="s">
        <v>17762</v>
      </c>
      <c r="H166" s="1"/>
      <c r="I166" s="1"/>
      <c r="J166" s="1"/>
      <c r="K166" s="1" t="s">
        <v>1638</v>
      </c>
    </row>
    <row r="167" ht="14.25" customHeight="1">
      <c r="A167" s="3" t="s">
        <v>11513</v>
      </c>
      <c r="B167" s="1">
        <v>6.4</v>
      </c>
      <c r="C167" s="1" t="s">
        <v>917</v>
      </c>
      <c r="D167" s="1" t="s">
        <v>1885</v>
      </c>
      <c r="E167" s="1" t="s">
        <v>17758</v>
      </c>
      <c r="F167" s="1" t="s">
        <v>17774</v>
      </c>
      <c r="G167" s="1" t="s">
        <v>17762</v>
      </c>
      <c r="H167" s="1"/>
      <c r="I167" s="1"/>
      <c r="J167" s="1"/>
      <c r="K167" s="1" t="s">
        <v>11512</v>
      </c>
    </row>
    <row r="168" ht="14.25" customHeight="1">
      <c r="A168" s="3" t="s">
        <v>2229</v>
      </c>
      <c r="B168" s="1">
        <v>6.9</v>
      </c>
      <c r="C168" s="1" t="s">
        <v>17757</v>
      </c>
      <c r="D168" s="1" t="s">
        <v>1885</v>
      </c>
      <c r="E168" s="1" t="s">
        <v>17758</v>
      </c>
      <c r="F168" s="1" t="s">
        <v>17774</v>
      </c>
      <c r="G168" s="1" t="s">
        <v>17762</v>
      </c>
      <c r="H168" s="1"/>
      <c r="I168" s="1"/>
      <c r="J168" s="1"/>
      <c r="K168" s="1" t="s">
        <v>2228</v>
      </c>
    </row>
    <row r="169" ht="14.25" customHeight="1">
      <c r="A169" s="3" t="s">
        <v>7651</v>
      </c>
      <c r="B169" s="1">
        <v>6.4</v>
      </c>
      <c r="C169" s="1" t="s">
        <v>1885</v>
      </c>
      <c r="D169" s="1" t="s">
        <v>3238</v>
      </c>
      <c r="E169" s="1" t="s">
        <v>17758</v>
      </c>
      <c r="F169" s="1" t="s">
        <v>17774</v>
      </c>
      <c r="G169" s="1" t="s">
        <v>17762</v>
      </c>
      <c r="H169" s="1"/>
      <c r="I169" s="1"/>
      <c r="J169" s="1"/>
      <c r="K169" s="1" t="s">
        <v>7650</v>
      </c>
    </row>
    <row r="170" ht="14.25" customHeight="1">
      <c r="A170" s="3" t="s">
        <v>7651</v>
      </c>
      <c r="B170" s="1">
        <v>7.4</v>
      </c>
      <c r="C170" s="1" t="s">
        <v>1885</v>
      </c>
      <c r="D170" s="1" t="s">
        <v>3238</v>
      </c>
      <c r="E170" s="1" t="s">
        <v>17758</v>
      </c>
      <c r="F170" s="1" t="s">
        <v>17774</v>
      </c>
      <c r="G170" s="1" t="s">
        <v>17762</v>
      </c>
      <c r="H170" s="1"/>
      <c r="I170" s="1"/>
      <c r="J170" s="1"/>
      <c r="K170" s="1" t="s">
        <v>10405</v>
      </c>
    </row>
    <row r="171" ht="14.25" customHeight="1">
      <c r="A171" s="3" t="s">
        <v>11965</v>
      </c>
      <c r="B171" s="1">
        <v>5.5</v>
      </c>
      <c r="C171" s="1" t="s">
        <v>1885</v>
      </c>
      <c r="D171" s="1" t="s">
        <v>3238</v>
      </c>
      <c r="E171" s="1" t="s">
        <v>17759</v>
      </c>
      <c r="F171" s="1" t="s">
        <v>17774</v>
      </c>
      <c r="G171" s="1" t="s">
        <v>17762</v>
      </c>
      <c r="H171" s="1"/>
      <c r="I171" s="1"/>
      <c r="J171" s="1"/>
      <c r="K171" s="1" t="s">
        <v>11964</v>
      </c>
    </row>
    <row r="172" ht="14.25" customHeight="1">
      <c r="A172" s="3" t="s">
        <v>8540</v>
      </c>
      <c r="B172" s="1">
        <v>5.9</v>
      </c>
      <c r="C172" s="1" t="s">
        <v>1885</v>
      </c>
      <c r="D172" s="1" t="s">
        <v>17758</v>
      </c>
      <c r="E172" s="1" t="s">
        <v>17759</v>
      </c>
      <c r="F172" s="1" t="s">
        <v>17774</v>
      </c>
      <c r="G172" s="1" t="s">
        <v>17762</v>
      </c>
      <c r="H172" s="1"/>
      <c r="I172" s="1"/>
      <c r="J172" s="1"/>
      <c r="K172" s="1" t="s">
        <v>8539</v>
      </c>
    </row>
    <row r="173" ht="14.25" customHeight="1">
      <c r="A173" s="3" t="s">
        <v>1688</v>
      </c>
      <c r="B173" s="1">
        <v>6.8</v>
      </c>
      <c r="C173" s="1" t="s">
        <v>17757</v>
      </c>
      <c r="D173" s="1" t="s">
        <v>3238</v>
      </c>
      <c r="E173" s="1" t="s">
        <v>17758</v>
      </c>
      <c r="F173" s="1" t="s">
        <v>17760</v>
      </c>
      <c r="G173" s="1" t="s">
        <v>17762</v>
      </c>
      <c r="H173" s="1"/>
      <c r="I173" s="1"/>
      <c r="J173" s="1"/>
      <c r="K173" s="1" t="s">
        <v>1687</v>
      </c>
    </row>
    <row r="174" ht="14.25" customHeight="1">
      <c r="A174" s="3" t="s">
        <v>13914</v>
      </c>
      <c r="B174" s="1">
        <v>6.8</v>
      </c>
      <c r="C174" s="1" t="s">
        <v>17765</v>
      </c>
      <c r="D174" s="1" t="s">
        <v>3238</v>
      </c>
      <c r="E174" s="1" t="s">
        <v>17758</v>
      </c>
      <c r="F174" s="1" t="s">
        <v>17760</v>
      </c>
      <c r="G174" s="1" t="s">
        <v>17762</v>
      </c>
      <c r="H174" s="1"/>
      <c r="I174" s="1"/>
      <c r="J174" s="1"/>
      <c r="K174" s="1" t="s">
        <v>13913</v>
      </c>
    </row>
    <row r="175" ht="14.25" customHeight="1">
      <c r="A175" s="3" t="s">
        <v>1582</v>
      </c>
      <c r="B175" s="1">
        <v>8.1</v>
      </c>
      <c r="C175" s="1" t="s">
        <v>17757</v>
      </c>
      <c r="D175" s="1" t="s">
        <v>17758</v>
      </c>
      <c r="E175" s="1" t="s">
        <v>17759</v>
      </c>
      <c r="F175" s="1" t="s">
        <v>17760</v>
      </c>
      <c r="G175" s="1" t="s">
        <v>17762</v>
      </c>
      <c r="H175" s="1"/>
      <c r="I175" s="1"/>
      <c r="J175" s="1"/>
      <c r="K175" s="1" t="s">
        <v>1581</v>
      </c>
    </row>
    <row r="176" ht="14.25" customHeight="1">
      <c r="A176" s="3" t="s">
        <v>10347</v>
      </c>
      <c r="B176" s="1">
        <v>6.5</v>
      </c>
      <c r="C176" s="1" t="s">
        <v>1885</v>
      </c>
      <c r="D176" s="1" t="s">
        <v>17763</v>
      </c>
      <c r="E176" s="1" t="s">
        <v>3238</v>
      </c>
      <c r="F176" s="1" t="s">
        <v>17761</v>
      </c>
      <c r="G176" s="1" t="s">
        <v>17762</v>
      </c>
      <c r="H176" s="1"/>
      <c r="I176" s="1"/>
      <c r="J176" s="1"/>
      <c r="K176" s="1" t="s">
        <v>10346</v>
      </c>
    </row>
    <row r="177" ht="14.25" customHeight="1">
      <c r="A177" s="3" t="s">
        <v>10347</v>
      </c>
      <c r="B177" s="1">
        <v>7.2</v>
      </c>
      <c r="C177" s="1" t="s">
        <v>1885</v>
      </c>
      <c r="D177" s="1" t="s">
        <v>17763</v>
      </c>
      <c r="E177" s="1" t="s">
        <v>3238</v>
      </c>
      <c r="F177" s="1" t="s">
        <v>17761</v>
      </c>
      <c r="G177" s="1" t="s">
        <v>17762</v>
      </c>
      <c r="H177" s="1"/>
      <c r="I177" s="1"/>
      <c r="J177" s="1"/>
      <c r="K177" s="1" t="s">
        <v>15189</v>
      </c>
    </row>
    <row r="178" ht="14.25" customHeight="1">
      <c r="A178" s="3" t="s">
        <v>2996</v>
      </c>
      <c r="B178" s="1">
        <v>6.7</v>
      </c>
      <c r="C178" s="1" t="s">
        <v>1270</v>
      </c>
      <c r="D178" s="1" t="s">
        <v>917</v>
      </c>
      <c r="E178" s="1" t="s">
        <v>17757</v>
      </c>
      <c r="F178" s="1" t="s">
        <v>17758</v>
      </c>
      <c r="G178" s="1" t="s">
        <v>17764</v>
      </c>
      <c r="H178" s="1"/>
      <c r="I178" s="1"/>
      <c r="J178" s="1"/>
      <c r="K178" s="1" t="s">
        <v>2995</v>
      </c>
    </row>
    <row r="179" ht="14.25" customHeight="1">
      <c r="A179" s="3" t="s">
        <v>2996</v>
      </c>
      <c r="B179" s="1">
        <v>8.1</v>
      </c>
      <c r="C179" s="1" t="s">
        <v>1270</v>
      </c>
      <c r="D179" s="1" t="s">
        <v>917</v>
      </c>
      <c r="E179" s="1" t="s">
        <v>17757</v>
      </c>
      <c r="F179" s="1" t="s">
        <v>17758</v>
      </c>
      <c r="G179" s="1" t="s">
        <v>17764</v>
      </c>
      <c r="H179" s="1"/>
      <c r="I179" s="1"/>
      <c r="J179" s="1"/>
      <c r="K179" s="1" t="s">
        <v>15178</v>
      </c>
    </row>
    <row r="180" ht="14.25" customHeight="1">
      <c r="A180" s="3" t="s">
        <v>2889</v>
      </c>
      <c r="B180" s="1">
        <v>7.6</v>
      </c>
      <c r="C180" s="1" t="s">
        <v>1270</v>
      </c>
      <c r="D180" s="1" t="s">
        <v>917</v>
      </c>
      <c r="E180" s="1" t="s">
        <v>1885</v>
      </c>
      <c r="F180" s="1" t="s">
        <v>17758</v>
      </c>
      <c r="G180" s="1" t="s">
        <v>17764</v>
      </c>
      <c r="H180" s="1"/>
      <c r="I180" s="1"/>
      <c r="J180" s="1"/>
      <c r="K180" s="1" t="s">
        <v>2888</v>
      </c>
    </row>
    <row r="181" ht="14.25" customHeight="1">
      <c r="A181" s="3" t="s">
        <v>2889</v>
      </c>
      <c r="B181" s="1">
        <v>7.4</v>
      </c>
      <c r="C181" s="1" t="s">
        <v>1270</v>
      </c>
      <c r="D181" s="1" t="s">
        <v>917</v>
      </c>
      <c r="E181" s="1" t="s">
        <v>1885</v>
      </c>
      <c r="F181" s="1" t="s">
        <v>17758</v>
      </c>
      <c r="G181" s="1" t="s">
        <v>17764</v>
      </c>
      <c r="H181" s="1"/>
      <c r="I181" s="1"/>
      <c r="J181" s="1"/>
      <c r="K181" s="1" t="s">
        <v>4547</v>
      </c>
    </row>
    <row r="182" ht="14.25" customHeight="1">
      <c r="A182" s="3" t="s">
        <v>2889</v>
      </c>
      <c r="B182" s="1">
        <v>7.6</v>
      </c>
      <c r="C182" s="1" t="s">
        <v>1270</v>
      </c>
      <c r="D182" s="1" t="s">
        <v>917</v>
      </c>
      <c r="E182" s="1" t="s">
        <v>1885</v>
      </c>
      <c r="F182" s="1" t="s">
        <v>17758</v>
      </c>
      <c r="G182" s="1" t="s">
        <v>17764</v>
      </c>
      <c r="H182" s="1"/>
      <c r="I182" s="1"/>
      <c r="J182" s="1"/>
      <c r="K182" s="1" t="s">
        <v>5880</v>
      </c>
    </row>
    <row r="183" ht="14.25" customHeight="1">
      <c r="A183" s="3" t="s">
        <v>2889</v>
      </c>
      <c r="B183" s="1">
        <v>5.5</v>
      </c>
      <c r="C183" s="1" t="s">
        <v>1270</v>
      </c>
      <c r="D183" s="1" t="s">
        <v>917</v>
      </c>
      <c r="E183" s="1" t="s">
        <v>1885</v>
      </c>
      <c r="F183" s="1" t="s">
        <v>17758</v>
      </c>
      <c r="G183" s="1" t="s">
        <v>17764</v>
      </c>
      <c r="H183" s="1"/>
      <c r="I183" s="1"/>
      <c r="J183" s="1"/>
      <c r="K183" s="1" t="s">
        <v>6038</v>
      </c>
    </row>
    <row r="184" ht="14.25" customHeight="1">
      <c r="A184" s="3" t="s">
        <v>2889</v>
      </c>
      <c r="B184" s="1">
        <v>6.7</v>
      </c>
      <c r="C184" s="1" t="s">
        <v>1270</v>
      </c>
      <c r="D184" s="1" t="s">
        <v>917</v>
      </c>
      <c r="E184" s="1" t="s">
        <v>1885</v>
      </c>
      <c r="F184" s="1" t="s">
        <v>17758</v>
      </c>
      <c r="G184" s="1" t="s">
        <v>17764</v>
      </c>
      <c r="H184" s="1"/>
      <c r="I184" s="1"/>
      <c r="J184" s="1"/>
      <c r="K184" s="1" t="s">
        <v>6549</v>
      </c>
    </row>
    <row r="185" ht="14.25" customHeight="1">
      <c r="A185" s="3" t="s">
        <v>2889</v>
      </c>
      <c r="B185" s="1">
        <v>6.5</v>
      </c>
      <c r="C185" s="1" t="s">
        <v>1270</v>
      </c>
      <c r="D185" s="1" t="s">
        <v>917</v>
      </c>
      <c r="E185" s="1" t="s">
        <v>1885</v>
      </c>
      <c r="F185" s="1" t="s">
        <v>17758</v>
      </c>
      <c r="G185" s="1" t="s">
        <v>17764</v>
      </c>
      <c r="H185" s="1"/>
      <c r="I185" s="1"/>
      <c r="J185" s="1"/>
      <c r="K185" s="1" t="s">
        <v>6818</v>
      </c>
    </row>
    <row r="186" ht="14.25" customHeight="1">
      <c r="A186" s="3" t="s">
        <v>2889</v>
      </c>
      <c r="B186" s="1">
        <v>6.6</v>
      </c>
      <c r="C186" s="1" t="s">
        <v>1270</v>
      </c>
      <c r="D186" s="1" t="s">
        <v>917</v>
      </c>
      <c r="E186" s="1" t="s">
        <v>1885</v>
      </c>
      <c r="F186" s="1" t="s">
        <v>17758</v>
      </c>
      <c r="G186" s="1" t="s">
        <v>17764</v>
      </c>
      <c r="H186" s="1"/>
      <c r="I186" s="1"/>
      <c r="J186" s="1"/>
      <c r="K186" s="1" t="s">
        <v>8508</v>
      </c>
    </row>
    <row r="187" ht="14.25" customHeight="1">
      <c r="A187" s="3" t="s">
        <v>2889</v>
      </c>
      <c r="B187" s="1">
        <v>6.7</v>
      </c>
      <c r="C187" s="1" t="s">
        <v>1270</v>
      </c>
      <c r="D187" s="1" t="s">
        <v>917</v>
      </c>
      <c r="E187" s="1" t="s">
        <v>1885</v>
      </c>
      <c r="F187" s="1" t="s">
        <v>17758</v>
      </c>
      <c r="G187" s="1" t="s">
        <v>17764</v>
      </c>
      <c r="H187" s="1"/>
      <c r="I187" s="1"/>
      <c r="J187" s="1"/>
      <c r="K187" s="1" t="s">
        <v>8743</v>
      </c>
    </row>
    <row r="188" ht="14.25" customHeight="1">
      <c r="A188" s="3" t="s">
        <v>1196</v>
      </c>
      <c r="B188" s="1">
        <v>6.4</v>
      </c>
      <c r="C188" s="1" t="s">
        <v>1270</v>
      </c>
      <c r="D188" s="1" t="s">
        <v>17757</v>
      </c>
      <c r="E188" s="1" t="s">
        <v>1885</v>
      </c>
      <c r="F188" s="1" t="s">
        <v>17758</v>
      </c>
      <c r="G188" s="1" t="s">
        <v>17764</v>
      </c>
      <c r="H188" s="1"/>
      <c r="I188" s="1"/>
      <c r="J188" s="1"/>
      <c r="K188" s="1" t="s">
        <v>1195</v>
      </c>
    </row>
    <row r="189" ht="14.25" customHeight="1">
      <c r="A189" s="3" t="s">
        <v>1196</v>
      </c>
      <c r="B189" s="1">
        <v>5.8</v>
      </c>
      <c r="C189" s="1" t="s">
        <v>1270</v>
      </c>
      <c r="D189" s="1" t="s">
        <v>17757</v>
      </c>
      <c r="E189" s="1" t="s">
        <v>1885</v>
      </c>
      <c r="F189" s="1" t="s">
        <v>17758</v>
      </c>
      <c r="G189" s="1" t="s">
        <v>17764</v>
      </c>
      <c r="H189" s="1"/>
      <c r="I189" s="1"/>
      <c r="J189" s="1"/>
      <c r="K189" s="1" t="s">
        <v>3023</v>
      </c>
    </row>
    <row r="190" ht="14.25" customHeight="1">
      <c r="A190" s="3" t="s">
        <v>1196</v>
      </c>
      <c r="B190" s="1">
        <v>7.4</v>
      </c>
      <c r="C190" s="1" t="s">
        <v>1270</v>
      </c>
      <c r="D190" s="1" t="s">
        <v>17757</v>
      </c>
      <c r="E190" s="1" t="s">
        <v>1885</v>
      </c>
      <c r="F190" s="1" t="s">
        <v>17758</v>
      </c>
      <c r="G190" s="1" t="s">
        <v>17764</v>
      </c>
      <c r="H190" s="1"/>
      <c r="I190" s="1"/>
      <c r="J190" s="1"/>
      <c r="K190" s="1" t="s">
        <v>3655</v>
      </c>
    </row>
    <row r="191" ht="14.25" customHeight="1">
      <c r="A191" s="3" t="s">
        <v>596</v>
      </c>
      <c r="B191" s="1">
        <v>7.8</v>
      </c>
      <c r="C191" s="1" t="s">
        <v>917</v>
      </c>
      <c r="D191" s="1" t="s">
        <v>17757</v>
      </c>
      <c r="E191" s="1" t="s">
        <v>1885</v>
      </c>
      <c r="F191" s="1" t="s">
        <v>17758</v>
      </c>
      <c r="G191" s="1" t="s">
        <v>17764</v>
      </c>
      <c r="H191" s="1"/>
      <c r="I191" s="1"/>
      <c r="J191" s="1"/>
      <c r="K191" s="1" t="s">
        <v>595</v>
      </c>
    </row>
    <row r="192" ht="14.25" customHeight="1">
      <c r="A192" s="3" t="s">
        <v>596</v>
      </c>
      <c r="B192" s="1">
        <v>6.6</v>
      </c>
      <c r="C192" s="1" t="s">
        <v>917</v>
      </c>
      <c r="D192" s="1" t="s">
        <v>17757</v>
      </c>
      <c r="E192" s="1" t="s">
        <v>1885</v>
      </c>
      <c r="F192" s="1" t="s">
        <v>17758</v>
      </c>
      <c r="G192" s="1" t="s">
        <v>17764</v>
      </c>
      <c r="H192" s="1"/>
      <c r="I192" s="1"/>
      <c r="J192" s="1"/>
      <c r="K192" s="1" t="s">
        <v>910</v>
      </c>
    </row>
    <row r="193" ht="14.25" customHeight="1">
      <c r="A193" s="3" t="s">
        <v>596</v>
      </c>
      <c r="B193" s="1">
        <v>4.9</v>
      </c>
      <c r="C193" s="1" t="s">
        <v>917</v>
      </c>
      <c r="D193" s="1" t="s">
        <v>17757</v>
      </c>
      <c r="E193" s="1" t="s">
        <v>1885</v>
      </c>
      <c r="F193" s="1" t="s">
        <v>17758</v>
      </c>
      <c r="G193" s="1" t="s">
        <v>17764</v>
      </c>
      <c r="H193" s="1"/>
      <c r="I193" s="1"/>
      <c r="J193" s="1"/>
      <c r="K193" s="1" t="s">
        <v>2494</v>
      </c>
    </row>
    <row r="194" ht="14.25" customHeight="1">
      <c r="A194" s="3" t="s">
        <v>596</v>
      </c>
      <c r="B194" s="1">
        <v>6.5</v>
      </c>
      <c r="C194" s="1" t="s">
        <v>917</v>
      </c>
      <c r="D194" s="1" t="s">
        <v>17757</v>
      </c>
      <c r="E194" s="1" t="s">
        <v>1885</v>
      </c>
      <c r="F194" s="1" t="s">
        <v>17758</v>
      </c>
      <c r="G194" s="1" t="s">
        <v>17764</v>
      </c>
      <c r="H194" s="1"/>
      <c r="I194" s="1"/>
      <c r="J194" s="1"/>
      <c r="K194" s="1" t="s">
        <v>3741</v>
      </c>
    </row>
    <row r="195" ht="14.25" customHeight="1">
      <c r="A195" s="3" t="s">
        <v>596</v>
      </c>
      <c r="B195" s="1">
        <v>6.2</v>
      </c>
      <c r="C195" s="1" t="s">
        <v>917</v>
      </c>
      <c r="D195" s="1" t="s">
        <v>17757</v>
      </c>
      <c r="E195" s="1" t="s">
        <v>1885</v>
      </c>
      <c r="F195" s="1" t="s">
        <v>17758</v>
      </c>
      <c r="G195" s="1" t="s">
        <v>17764</v>
      </c>
      <c r="H195" s="1"/>
      <c r="I195" s="1"/>
      <c r="J195" s="1"/>
      <c r="K195" s="1" t="s">
        <v>4036</v>
      </c>
    </row>
    <row r="196" ht="14.25" customHeight="1">
      <c r="A196" s="3" t="s">
        <v>596</v>
      </c>
      <c r="B196" s="1">
        <v>7.3</v>
      </c>
      <c r="C196" s="1" t="s">
        <v>917</v>
      </c>
      <c r="D196" s="1" t="s">
        <v>17757</v>
      </c>
      <c r="E196" s="1" t="s">
        <v>1885</v>
      </c>
      <c r="F196" s="1" t="s">
        <v>17758</v>
      </c>
      <c r="G196" s="1" t="s">
        <v>17764</v>
      </c>
      <c r="H196" s="1"/>
      <c r="I196" s="1"/>
      <c r="J196" s="1"/>
      <c r="K196" s="1" t="s">
        <v>6067</v>
      </c>
    </row>
    <row r="197" ht="14.25" customHeight="1">
      <c r="A197" s="3" t="s">
        <v>596</v>
      </c>
      <c r="B197" s="1">
        <v>7.5</v>
      </c>
      <c r="C197" s="1" t="s">
        <v>917</v>
      </c>
      <c r="D197" s="1" t="s">
        <v>17757</v>
      </c>
      <c r="E197" s="1" t="s">
        <v>1885</v>
      </c>
      <c r="F197" s="1" t="s">
        <v>17758</v>
      </c>
      <c r="G197" s="1" t="s">
        <v>17764</v>
      </c>
      <c r="H197" s="1"/>
      <c r="I197" s="1"/>
      <c r="J197" s="1"/>
      <c r="K197" s="1" t="s">
        <v>6778</v>
      </c>
    </row>
    <row r="198" ht="14.25" customHeight="1">
      <c r="A198" s="3" t="s">
        <v>17513</v>
      </c>
      <c r="B198" s="1">
        <v>5.6</v>
      </c>
      <c r="C198" s="1" t="s">
        <v>17757</v>
      </c>
      <c r="D198" s="1" t="s">
        <v>1885</v>
      </c>
      <c r="E198" s="1" t="s">
        <v>3238</v>
      </c>
      <c r="F198" s="1" t="s">
        <v>17759</v>
      </c>
      <c r="G198" s="1" t="s">
        <v>17764</v>
      </c>
      <c r="H198" s="1"/>
      <c r="I198" s="1"/>
      <c r="J198" s="1"/>
      <c r="K198" s="1" t="s">
        <v>17512</v>
      </c>
    </row>
    <row r="199" ht="14.25" customHeight="1">
      <c r="A199" s="3" t="s">
        <v>5357</v>
      </c>
      <c r="B199" s="1">
        <v>8.1</v>
      </c>
      <c r="C199" s="1" t="s">
        <v>1270</v>
      </c>
      <c r="D199" s="1" t="s">
        <v>917</v>
      </c>
      <c r="E199" s="1" t="s">
        <v>17758</v>
      </c>
      <c r="F199" s="1" t="s">
        <v>17759</v>
      </c>
      <c r="G199" s="1" t="s">
        <v>17764</v>
      </c>
      <c r="H199" s="1"/>
      <c r="I199" s="1"/>
      <c r="J199" s="1"/>
      <c r="K199" s="1" t="s">
        <v>5356</v>
      </c>
    </row>
    <row r="200" ht="14.25" customHeight="1">
      <c r="A200" s="3" t="s">
        <v>5550</v>
      </c>
      <c r="B200" s="1">
        <v>6.7</v>
      </c>
      <c r="C200" s="1" t="s">
        <v>917</v>
      </c>
      <c r="D200" s="1" t="s">
        <v>1885</v>
      </c>
      <c r="E200" s="1" t="s">
        <v>17758</v>
      </c>
      <c r="F200" s="1" t="s">
        <v>17759</v>
      </c>
      <c r="G200" s="1" t="s">
        <v>17764</v>
      </c>
      <c r="H200" s="1"/>
      <c r="I200" s="1"/>
      <c r="J200" s="1"/>
      <c r="K200" s="1" t="s">
        <v>5549</v>
      </c>
    </row>
    <row r="201" ht="14.25" customHeight="1">
      <c r="A201" s="3" t="s">
        <v>5550</v>
      </c>
      <c r="B201" s="1">
        <v>6.6</v>
      </c>
      <c r="C201" s="1" t="s">
        <v>917</v>
      </c>
      <c r="D201" s="1" t="s">
        <v>1885</v>
      </c>
      <c r="E201" s="1" t="s">
        <v>17758</v>
      </c>
      <c r="F201" s="1" t="s">
        <v>17759</v>
      </c>
      <c r="G201" s="1" t="s">
        <v>17764</v>
      </c>
      <c r="H201" s="1"/>
      <c r="I201" s="1"/>
      <c r="J201" s="1"/>
      <c r="K201" s="1" t="s">
        <v>5782</v>
      </c>
    </row>
    <row r="202" ht="14.25" customHeight="1">
      <c r="A202" s="3" t="s">
        <v>2778</v>
      </c>
      <c r="B202" s="1">
        <v>6.4</v>
      </c>
      <c r="C202" s="1" t="s">
        <v>17757</v>
      </c>
      <c r="D202" s="1" t="s">
        <v>1885</v>
      </c>
      <c r="E202" s="1" t="s">
        <v>17758</v>
      </c>
      <c r="F202" s="1" t="s">
        <v>17759</v>
      </c>
      <c r="G202" s="1" t="s">
        <v>17764</v>
      </c>
      <c r="H202" s="1"/>
      <c r="I202" s="1"/>
      <c r="J202" s="1"/>
      <c r="K202" s="1" t="s">
        <v>2777</v>
      </c>
    </row>
    <row r="203" ht="14.25" customHeight="1">
      <c r="A203" s="3" t="s">
        <v>11031</v>
      </c>
      <c r="B203" s="1">
        <v>7.5</v>
      </c>
      <c r="C203" s="1" t="s">
        <v>1885</v>
      </c>
      <c r="D203" s="1" t="s">
        <v>3238</v>
      </c>
      <c r="E203" s="1" t="s">
        <v>17758</v>
      </c>
      <c r="F203" s="1" t="s">
        <v>17759</v>
      </c>
      <c r="G203" s="1" t="s">
        <v>17764</v>
      </c>
      <c r="H203" s="1"/>
      <c r="I203" s="1"/>
      <c r="J203" s="1"/>
      <c r="K203" s="1" t="s">
        <v>11030</v>
      </c>
    </row>
    <row r="204" ht="14.25" customHeight="1">
      <c r="A204" s="3" t="s">
        <v>6510</v>
      </c>
      <c r="B204" s="1">
        <v>7.3</v>
      </c>
      <c r="C204" s="1" t="s">
        <v>17757</v>
      </c>
      <c r="D204" s="1" t="s">
        <v>1885</v>
      </c>
      <c r="E204" s="1" t="s">
        <v>17758</v>
      </c>
      <c r="F204" s="1" t="s">
        <v>6019</v>
      </c>
      <c r="G204" s="1" t="s">
        <v>17764</v>
      </c>
      <c r="H204" s="1"/>
      <c r="I204" s="1"/>
      <c r="J204" s="1"/>
      <c r="K204" s="1" t="s">
        <v>6509</v>
      </c>
    </row>
    <row r="205" ht="14.25" customHeight="1">
      <c r="A205" s="3" t="s">
        <v>2406</v>
      </c>
      <c r="B205" s="1">
        <v>7.5</v>
      </c>
      <c r="C205" s="1" t="s">
        <v>1270</v>
      </c>
      <c r="D205" s="1" t="s">
        <v>917</v>
      </c>
      <c r="E205" s="1" t="s">
        <v>17759</v>
      </c>
      <c r="F205" s="1" t="s">
        <v>6019</v>
      </c>
      <c r="G205" s="1" t="s">
        <v>17764</v>
      </c>
      <c r="H205" s="1"/>
      <c r="I205" s="1"/>
      <c r="J205" s="1"/>
      <c r="K205" s="1" t="s">
        <v>2405</v>
      </c>
    </row>
    <row r="206" ht="14.25" customHeight="1">
      <c r="A206" s="3" t="s">
        <v>9948</v>
      </c>
      <c r="B206" s="1">
        <v>5.8</v>
      </c>
      <c r="C206" s="1" t="s">
        <v>917</v>
      </c>
      <c r="D206" s="1" t="s">
        <v>1885</v>
      </c>
      <c r="E206" s="1" t="s">
        <v>17759</v>
      </c>
      <c r="F206" s="1" t="s">
        <v>17774</v>
      </c>
      <c r="G206" s="1" t="s">
        <v>17764</v>
      </c>
      <c r="H206" s="1"/>
      <c r="I206" s="1"/>
      <c r="J206" s="1"/>
      <c r="K206" s="1" t="s">
        <v>9947</v>
      </c>
    </row>
    <row r="207" ht="14.25" customHeight="1">
      <c r="A207" s="3" t="s">
        <v>581</v>
      </c>
      <c r="B207" s="1">
        <v>7.5</v>
      </c>
      <c r="C207" s="1" t="s">
        <v>1270</v>
      </c>
      <c r="D207" s="1" t="s">
        <v>917</v>
      </c>
      <c r="E207" s="1" t="s">
        <v>17758</v>
      </c>
      <c r="F207" s="1" t="s">
        <v>17761</v>
      </c>
      <c r="G207" s="1" t="s">
        <v>17764</v>
      </c>
      <c r="H207" s="1"/>
      <c r="I207" s="1"/>
      <c r="J207" s="1"/>
      <c r="K207" s="1" t="s">
        <v>580</v>
      </c>
    </row>
    <row r="208" ht="14.25" customHeight="1">
      <c r="A208" s="3" t="s">
        <v>1995</v>
      </c>
      <c r="B208" s="1">
        <v>6.6</v>
      </c>
      <c r="C208" s="1" t="s">
        <v>917</v>
      </c>
      <c r="D208" s="1" t="s">
        <v>1885</v>
      </c>
      <c r="E208" s="1" t="s">
        <v>17758</v>
      </c>
      <c r="F208" s="1" t="s">
        <v>17761</v>
      </c>
      <c r="G208" s="1" t="s">
        <v>17764</v>
      </c>
      <c r="H208" s="1"/>
      <c r="I208" s="1"/>
      <c r="J208" s="1"/>
      <c r="K208" s="1" t="s">
        <v>1994</v>
      </c>
    </row>
    <row r="209" ht="14.25" customHeight="1">
      <c r="A209" s="3" t="s">
        <v>7772</v>
      </c>
      <c r="B209" s="1">
        <v>6.7</v>
      </c>
      <c r="C209" s="1" t="s">
        <v>17757</v>
      </c>
      <c r="D209" s="1" t="s">
        <v>1885</v>
      </c>
      <c r="E209" s="1" t="s">
        <v>17758</v>
      </c>
      <c r="F209" s="1" t="s">
        <v>17761</v>
      </c>
      <c r="G209" s="1" t="s">
        <v>17764</v>
      </c>
      <c r="H209" s="1"/>
      <c r="I209" s="1"/>
      <c r="J209" s="1"/>
      <c r="K209" s="1" t="s">
        <v>7771</v>
      </c>
    </row>
    <row r="210" ht="14.25" customHeight="1">
      <c r="A210" s="3" t="s">
        <v>7772</v>
      </c>
      <c r="B210" s="1">
        <v>3.7</v>
      </c>
      <c r="C210" s="1" t="s">
        <v>17757</v>
      </c>
      <c r="D210" s="1" t="s">
        <v>1885</v>
      </c>
      <c r="E210" s="1" t="s">
        <v>17758</v>
      </c>
      <c r="F210" s="1" t="s">
        <v>17761</v>
      </c>
      <c r="G210" s="1" t="s">
        <v>17764</v>
      </c>
      <c r="H210" s="1"/>
      <c r="I210" s="1"/>
      <c r="J210" s="1"/>
      <c r="K210" s="1" t="s">
        <v>13195</v>
      </c>
    </row>
    <row r="211" ht="14.25" customHeight="1">
      <c r="A211" s="3" t="s">
        <v>4200</v>
      </c>
      <c r="B211" s="1">
        <v>6.0</v>
      </c>
      <c r="C211" s="1" t="s">
        <v>1270</v>
      </c>
      <c r="D211" s="1" t="s">
        <v>917</v>
      </c>
      <c r="E211" s="1" t="s">
        <v>1885</v>
      </c>
      <c r="F211" s="1" t="s">
        <v>17762</v>
      </c>
      <c r="G211" s="1" t="s">
        <v>17764</v>
      </c>
      <c r="H211" s="1"/>
      <c r="I211" s="1"/>
      <c r="J211" s="1"/>
      <c r="K211" s="1" t="s">
        <v>4199</v>
      </c>
    </row>
    <row r="212" ht="14.25" customHeight="1">
      <c r="A212" s="3" t="s">
        <v>4200</v>
      </c>
      <c r="B212" s="1">
        <v>6.4</v>
      </c>
      <c r="C212" s="1" t="s">
        <v>1270</v>
      </c>
      <c r="D212" s="1" t="s">
        <v>917</v>
      </c>
      <c r="E212" s="1" t="s">
        <v>1885</v>
      </c>
      <c r="F212" s="1" t="s">
        <v>17762</v>
      </c>
      <c r="G212" s="1" t="s">
        <v>17764</v>
      </c>
      <c r="H212" s="1"/>
      <c r="I212" s="1"/>
      <c r="J212" s="1"/>
      <c r="K212" s="1" t="s">
        <v>8012</v>
      </c>
    </row>
    <row r="213" ht="14.25" customHeight="1">
      <c r="A213" s="3" t="s">
        <v>4329</v>
      </c>
      <c r="B213" s="1">
        <v>6.1</v>
      </c>
      <c r="C213" s="1" t="s">
        <v>1270</v>
      </c>
      <c r="D213" s="1" t="s">
        <v>917</v>
      </c>
      <c r="E213" s="1" t="s">
        <v>3238</v>
      </c>
      <c r="F213" s="1" t="s">
        <v>17762</v>
      </c>
      <c r="G213" s="1" t="s">
        <v>17764</v>
      </c>
      <c r="H213" s="1"/>
      <c r="I213" s="1"/>
      <c r="J213" s="1"/>
      <c r="K213" s="1" t="s">
        <v>4328</v>
      </c>
    </row>
    <row r="214" ht="14.25" customHeight="1">
      <c r="A214" s="3" t="s">
        <v>13417</v>
      </c>
      <c r="B214" s="1">
        <v>6.4</v>
      </c>
      <c r="C214" s="1" t="s">
        <v>917</v>
      </c>
      <c r="D214" s="1" t="s">
        <v>1885</v>
      </c>
      <c r="E214" s="1" t="s">
        <v>3238</v>
      </c>
      <c r="F214" s="1" t="s">
        <v>17762</v>
      </c>
      <c r="G214" s="1" t="s">
        <v>17764</v>
      </c>
      <c r="H214" s="1"/>
      <c r="I214" s="1"/>
      <c r="J214" s="1"/>
      <c r="K214" s="1" t="s">
        <v>13416</v>
      </c>
    </row>
    <row r="215" ht="14.25" customHeight="1">
      <c r="A215" s="3" t="s">
        <v>4151</v>
      </c>
      <c r="B215" s="1">
        <v>5.6</v>
      </c>
      <c r="C215" s="1" t="s">
        <v>917</v>
      </c>
      <c r="D215" s="1" t="s">
        <v>1885</v>
      </c>
      <c r="E215" s="1" t="s">
        <v>17758</v>
      </c>
      <c r="F215" s="1" t="s">
        <v>17762</v>
      </c>
      <c r="G215" s="1" t="s">
        <v>17764</v>
      </c>
      <c r="H215" s="1"/>
      <c r="I215" s="1"/>
      <c r="J215" s="1"/>
      <c r="K215" s="1" t="s">
        <v>4150</v>
      </c>
    </row>
    <row r="216" ht="14.25" customHeight="1">
      <c r="A216" s="3" t="s">
        <v>300</v>
      </c>
      <c r="B216" s="1">
        <v>8.0</v>
      </c>
      <c r="C216" s="1" t="s">
        <v>917</v>
      </c>
      <c r="D216" s="1" t="s">
        <v>17757</v>
      </c>
      <c r="E216" s="1" t="s">
        <v>1885</v>
      </c>
      <c r="F216" s="1" t="s">
        <v>17758</v>
      </c>
      <c r="G216" s="1" t="s">
        <v>17773</v>
      </c>
      <c r="H216" s="1"/>
      <c r="I216" s="1"/>
      <c r="J216" s="1"/>
      <c r="K216" s="1" t="s">
        <v>299</v>
      </c>
    </row>
    <row r="217" ht="14.25" customHeight="1">
      <c r="A217" s="3" t="s">
        <v>300</v>
      </c>
      <c r="B217" s="1">
        <v>5.2</v>
      </c>
      <c r="C217" s="1" t="s">
        <v>917</v>
      </c>
      <c r="D217" s="1" t="s">
        <v>17757</v>
      </c>
      <c r="E217" s="1" t="s">
        <v>1885</v>
      </c>
      <c r="F217" s="1" t="s">
        <v>17758</v>
      </c>
      <c r="G217" s="1" t="s">
        <v>17773</v>
      </c>
      <c r="H217" s="1"/>
      <c r="I217" s="1"/>
      <c r="J217" s="1"/>
      <c r="K217" s="1" t="s">
        <v>1095</v>
      </c>
    </row>
    <row r="218" ht="14.25" customHeight="1">
      <c r="A218" s="3" t="s">
        <v>300</v>
      </c>
      <c r="B218" s="1">
        <v>7.1</v>
      </c>
      <c r="C218" s="1" t="s">
        <v>917</v>
      </c>
      <c r="D218" s="1" t="s">
        <v>17757</v>
      </c>
      <c r="E218" s="1" t="s">
        <v>1885</v>
      </c>
      <c r="F218" s="1" t="s">
        <v>17758</v>
      </c>
      <c r="G218" s="1" t="s">
        <v>17773</v>
      </c>
      <c r="H218" s="1"/>
      <c r="I218" s="1"/>
      <c r="J218" s="1"/>
      <c r="K218" s="1" t="s">
        <v>3133</v>
      </c>
    </row>
    <row r="219" ht="14.25" customHeight="1">
      <c r="A219" s="3" t="s">
        <v>9457</v>
      </c>
      <c r="B219" s="1">
        <v>4.8</v>
      </c>
      <c r="C219" s="1" t="s">
        <v>17765</v>
      </c>
      <c r="D219" s="1" t="s">
        <v>1885</v>
      </c>
      <c r="E219" s="1" t="s">
        <v>3238</v>
      </c>
      <c r="F219" s="1" t="s">
        <v>17758</v>
      </c>
      <c r="G219" s="1" t="s">
        <v>17773</v>
      </c>
      <c r="H219" s="1"/>
      <c r="I219" s="1"/>
      <c r="J219" s="1"/>
      <c r="K219" s="1" t="s">
        <v>9456</v>
      </c>
    </row>
    <row r="220" ht="14.25" customHeight="1">
      <c r="A220" s="3" t="s">
        <v>6896</v>
      </c>
      <c r="B220" s="1">
        <v>7.0</v>
      </c>
      <c r="C220" s="1" t="s">
        <v>17765</v>
      </c>
      <c r="D220" s="1" t="s">
        <v>3238</v>
      </c>
      <c r="E220" s="1" t="s">
        <v>17758</v>
      </c>
      <c r="F220" s="1" t="s">
        <v>17772</v>
      </c>
      <c r="G220" s="1" t="s">
        <v>17773</v>
      </c>
      <c r="H220" s="1"/>
      <c r="I220" s="1"/>
      <c r="J220" s="1"/>
      <c r="K220" s="1" t="s">
        <v>6895</v>
      </c>
    </row>
    <row r="221" ht="14.25" customHeight="1">
      <c r="A221" s="3" t="s">
        <v>2039</v>
      </c>
      <c r="B221" s="1">
        <v>5.4</v>
      </c>
      <c r="C221" s="1" t="s">
        <v>1270</v>
      </c>
      <c r="D221" s="1" t="s">
        <v>917</v>
      </c>
      <c r="E221" s="1" t="s">
        <v>1885</v>
      </c>
      <c r="F221" s="1" t="s">
        <v>17763</v>
      </c>
      <c r="G221" s="1" t="s">
        <v>17471</v>
      </c>
      <c r="H221" s="1"/>
      <c r="I221" s="1"/>
      <c r="J221" s="1"/>
      <c r="K221" s="1" t="s">
        <v>2038</v>
      </c>
    </row>
    <row r="222" ht="14.25" customHeight="1">
      <c r="A222" s="3" t="s">
        <v>7265</v>
      </c>
      <c r="B222" s="1">
        <v>6.6</v>
      </c>
      <c r="C222" s="1" t="s">
        <v>1270</v>
      </c>
      <c r="D222" s="1" t="s">
        <v>917</v>
      </c>
      <c r="E222" s="1" t="s">
        <v>1885</v>
      </c>
      <c r="F222" s="1" t="s">
        <v>3238</v>
      </c>
      <c r="G222" s="1" t="s">
        <v>17471</v>
      </c>
      <c r="H222" s="1"/>
      <c r="I222" s="1"/>
      <c r="J222" s="1"/>
      <c r="K222" s="1" t="s">
        <v>7264</v>
      </c>
    </row>
    <row r="223" ht="14.25" customHeight="1">
      <c r="A223" s="3" t="s">
        <v>7332</v>
      </c>
      <c r="B223" s="1">
        <v>6.7</v>
      </c>
      <c r="C223" s="1" t="s">
        <v>1270</v>
      </c>
      <c r="D223" s="1" t="s">
        <v>917</v>
      </c>
      <c r="E223" s="1" t="s">
        <v>17763</v>
      </c>
      <c r="F223" s="1" t="s">
        <v>3238</v>
      </c>
      <c r="G223" s="1" t="s">
        <v>17471</v>
      </c>
      <c r="H223" s="1"/>
      <c r="I223" s="1"/>
      <c r="J223" s="1"/>
      <c r="K223" s="1" t="s">
        <v>7331</v>
      </c>
    </row>
    <row r="224" ht="14.25" customHeight="1">
      <c r="A224" s="3" t="s">
        <v>7332</v>
      </c>
      <c r="B224" s="1">
        <v>6.2</v>
      </c>
      <c r="C224" s="1" t="s">
        <v>1270</v>
      </c>
      <c r="D224" s="1" t="s">
        <v>917</v>
      </c>
      <c r="E224" s="1" t="s">
        <v>17763</v>
      </c>
      <c r="F224" s="1" t="s">
        <v>3238</v>
      </c>
      <c r="G224" s="1" t="s">
        <v>17471</v>
      </c>
      <c r="H224" s="1"/>
      <c r="I224" s="1"/>
      <c r="J224" s="1"/>
      <c r="K224" s="1" t="s">
        <v>7331</v>
      </c>
    </row>
    <row r="225" ht="14.25" customHeight="1">
      <c r="A225" s="3" t="s">
        <v>5149</v>
      </c>
      <c r="B225" s="1">
        <v>6.1</v>
      </c>
      <c r="C225" s="1" t="s">
        <v>1270</v>
      </c>
      <c r="D225" s="1" t="s">
        <v>17765</v>
      </c>
      <c r="E225" s="1" t="s">
        <v>17763</v>
      </c>
      <c r="F225" s="1" t="s">
        <v>3238</v>
      </c>
      <c r="G225" s="1" t="s">
        <v>17471</v>
      </c>
      <c r="H225" s="1"/>
      <c r="I225" s="1"/>
      <c r="J225" s="1"/>
      <c r="K225" s="1" t="s">
        <v>5148</v>
      </c>
    </row>
    <row r="226" ht="14.25" customHeight="1">
      <c r="A226" s="3" t="s">
        <v>3376</v>
      </c>
      <c r="B226" s="1">
        <v>5.3</v>
      </c>
      <c r="C226" s="1" t="s">
        <v>1270</v>
      </c>
      <c r="D226" s="1" t="s">
        <v>1885</v>
      </c>
      <c r="E226" s="1" t="s">
        <v>17763</v>
      </c>
      <c r="F226" s="1" t="s">
        <v>3238</v>
      </c>
      <c r="G226" s="1" t="s">
        <v>17471</v>
      </c>
      <c r="H226" s="1"/>
      <c r="I226" s="1"/>
      <c r="J226" s="1"/>
      <c r="K226" s="1" t="s">
        <v>3375</v>
      </c>
    </row>
    <row r="227" ht="14.25" customHeight="1">
      <c r="A227" s="3" t="s">
        <v>3376</v>
      </c>
      <c r="B227" s="1">
        <v>6.3</v>
      </c>
      <c r="C227" s="1" t="s">
        <v>1270</v>
      </c>
      <c r="D227" s="1" t="s">
        <v>1885</v>
      </c>
      <c r="E227" s="1" t="s">
        <v>17763</v>
      </c>
      <c r="F227" s="1" t="s">
        <v>3238</v>
      </c>
      <c r="G227" s="1" t="s">
        <v>17471</v>
      </c>
      <c r="H227" s="1"/>
      <c r="I227" s="1"/>
      <c r="J227" s="1"/>
      <c r="K227" s="1" t="s">
        <v>3777</v>
      </c>
    </row>
    <row r="228" ht="14.25" customHeight="1">
      <c r="A228" s="3" t="s">
        <v>3376</v>
      </c>
      <c r="B228" s="1">
        <v>7.0</v>
      </c>
      <c r="C228" s="1" t="s">
        <v>1270</v>
      </c>
      <c r="D228" s="1" t="s">
        <v>1885</v>
      </c>
      <c r="E228" s="1" t="s">
        <v>17763</v>
      </c>
      <c r="F228" s="1" t="s">
        <v>3238</v>
      </c>
      <c r="G228" s="1" t="s">
        <v>17471</v>
      </c>
      <c r="H228" s="1"/>
      <c r="I228" s="1"/>
      <c r="J228" s="1"/>
      <c r="K228" s="1" t="s">
        <v>5539</v>
      </c>
    </row>
    <row r="229" ht="14.25" customHeight="1">
      <c r="A229" s="3" t="s">
        <v>3376</v>
      </c>
      <c r="B229" s="1">
        <v>7.6</v>
      </c>
      <c r="C229" s="1" t="s">
        <v>1270</v>
      </c>
      <c r="D229" s="1" t="s">
        <v>1885</v>
      </c>
      <c r="E229" s="1" t="s">
        <v>17763</v>
      </c>
      <c r="F229" s="1" t="s">
        <v>3238</v>
      </c>
      <c r="G229" s="1" t="s">
        <v>17471</v>
      </c>
      <c r="H229" s="1"/>
      <c r="I229" s="1"/>
      <c r="J229" s="1"/>
      <c r="K229" s="1" t="s">
        <v>7311</v>
      </c>
    </row>
    <row r="230" ht="14.25" customHeight="1">
      <c r="A230" s="3" t="s">
        <v>3376</v>
      </c>
      <c r="B230" s="1">
        <v>6.7</v>
      </c>
      <c r="C230" s="1" t="s">
        <v>1270</v>
      </c>
      <c r="D230" s="1" t="s">
        <v>1885</v>
      </c>
      <c r="E230" s="1" t="s">
        <v>17763</v>
      </c>
      <c r="F230" s="1" t="s">
        <v>3238</v>
      </c>
      <c r="G230" s="1" t="s">
        <v>17471</v>
      </c>
      <c r="H230" s="1"/>
      <c r="I230" s="1"/>
      <c r="J230" s="1"/>
      <c r="K230" s="1" t="s">
        <v>9190</v>
      </c>
    </row>
    <row r="231" ht="14.25" customHeight="1">
      <c r="A231" s="3" t="s">
        <v>3376</v>
      </c>
      <c r="B231" s="1">
        <v>8.1</v>
      </c>
      <c r="C231" s="1" t="s">
        <v>1270</v>
      </c>
      <c r="D231" s="1" t="s">
        <v>1885</v>
      </c>
      <c r="E231" s="1" t="s">
        <v>17763</v>
      </c>
      <c r="F231" s="1" t="s">
        <v>3238</v>
      </c>
      <c r="G231" s="1" t="s">
        <v>17471</v>
      </c>
      <c r="H231" s="1"/>
      <c r="I231" s="1"/>
      <c r="J231" s="1"/>
      <c r="K231" s="1" t="s">
        <v>9392</v>
      </c>
    </row>
    <row r="232" ht="14.25" customHeight="1">
      <c r="A232" s="3" t="s">
        <v>3376</v>
      </c>
      <c r="B232" s="1">
        <v>6.7</v>
      </c>
      <c r="C232" s="1" t="s">
        <v>1270</v>
      </c>
      <c r="D232" s="1" t="s">
        <v>1885</v>
      </c>
      <c r="E232" s="1" t="s">
        <v>17763</v>
      </c>
      <c r="F232" s="1" t="s">
        <v>3238</v>
      </c>
      <c r="G232" s="1" t="s">
        <v>17471</v>
      </c>
      <c r="H232" s="1"/>
      <c r="I232" s="1"/>
      <c r="J232" s="1"/>
      <c r="K232" s="1" t="s">
        <v>11399</v>
      </c>
    </row>
    <row r="233" ht="14.25" customHeight="1">
      <c r="A233" s="3" t="s">
        <v>4299</v>
      </c>
      <c r="B233" s="1">
        <v>6.5</v>
      </c>
      <c r="C233" s="1" t="s">
        <v>1270</v>
      </c>
      <c r="D233" s="1" t="s">
        <v>1885</v>
      </c>
      <c r="E233" s="1" t="s">
        <v>3238</v>
      </c>
      <c r="F233" s="1" t="s">
        <v>17758</v>
      </c>
      <c r="G233" s="1" t="s">
        <v>17471</v>
      </c>
      <c r="H233" s="1"/>
      <c r="I233" s="1"/>
      <c r="J233" s="1"/>
      <c r="K233" s="1" t="s">
        <v>4298</v>
      </c>
    </row>
    <row r="234" ht="14.25" customHeight="1">
      <c r="A234" s="3" t="s">
        <v>2663</v>
      </c>
      <c r="B234" s="1">
        <v>7.3</v>
      </c>
      <c r="C234" s="1" t="s">
        <v>1270</v>
      </c>
      <c r="D234" s="1" t="s">
        <v>917</v>
      </c>
      <c r="E234" s="1" t="s">
        <v>1885</v>
      </c>
      <c r="F234" s="1" t="s">
        <v>17759</v>
      </c>
      <c r="G234" s="1" t="s">
        <v>17471</v>
      </c>
      <c r="H234" s="1"/>
      <c r="I234" s="1"/>
      <c r="J234" s="1"/>
      <c r="K234" s="1" t="s">
        <v>2662</v>
      </c>
    </row>
    <row r="235" ht="14.25" customHeight="1">
      <c r="A235" s="3" t="s">
        <v>2634</v>
      </c>
      <c r="B235" s="1">
        <v>6.0</v>
      </c>
      <c r="C235" s="1" t="s">
        <v>1270</v>
      </c>
      <c r="D235" s="1" t="s">
        <v>917</v>
      </c>
      <c r="E235" s="1" t="s">
        <v>17758</v>
      </c>
      <c r="F235" s="1" t="s">
        <v>17759</v>
      </c>
      <c r="G235" s="1" t="s">
        <v>17471</v>
      </c>
      <c r="H235" s="1"/>
      <c r="I235" s="1"/>
      <c r="J235" s="1"/>
      <c r="K235" s="1" t="s">
        <v>2633</v>
      </c>
    </row>
    <row r="236" ht="14.25" customHeight="1">
      <c r="A236" s="3" t="s">
        <v>16493</v>
      </c>
      <c r="B236" s="1">
        <v>6.1</v>
      </c>
      <c r="C236" s="1" t="s">
        <v>17765</v>
      </c>
      <c r="D236" s="1" t="s">
        <v>17763</v>
      </c>
      <c r="E236" s="1" t="s">
        <v>15542</v>
      </c>
      <c r="F236" s="1" t="s">
        <v>17772</v>
      </c>
      <c r="G236" s="1" t="s">
        <v>17471</v>
      </c>
      <c r="H236" s="1"/>
      <c r="I236" s="1"/>
      <c r="J236" s="1"/>
      <c r="K236" s="1" t="s">
        <v>16492</v>
      </c>
    </row>
    <row r="237" ht="14.25" customHeight="1">
      <c r="A237" s="3" t="s">
        <v>9099</v>
      </c>
      <c r="B237" s="1">
        <v>5.9</v>
      </c>
      <c r="C237" s="1" t="s">
        <v>17765</v>
      </c>
      <c r="D237" s="1" t="s">
        <v>17763</v>
      </c>
      <c r="E237" s="1" t="s">
        <v>3238</v>
      </c>
      <c r="F237" s="1" t="s">
        <v>17772</v>
      </c>
      <c r="G237" s="1" t="s">
        <v>17471</v>
      </c>
      <c r="H237" s="1"/>
      <c r="I237" s="1"/>
      <c r="J237" s="1"/>
      <c r="K237" s="1" t="s">
        <v>9098</v>
      </c>
    </row>
    <row r="238" ht="14.25" customHeight="1">
      <c r="A238" s="3" t="s">
        <v>17220</v>
      </c>
      <c r="B238" s="1">
        <v>7.8</v>
      </c>
      <c r="C238" s="1" t="s">
        <v>917</v>
      </c>
      <c r="D238" s="1" t="s">
        <v>17765</v>
      </c>
      <c r="E238" s="1" t="s">
        <v>3238</v>
      </c>
      <c r="F238" s="1" t="s">
        <v>6019</v>
      </c>
      <c r="G238" s="1" t="s">
        <v>17471</v>
      </c>
      <c r="H238" s="1"/>
      <c r="I238" s="1"/>
      <c r="J238" s="1"/>
      <c r="K238" s="1" t="s">
        <v>17219</v>
      </c>
    </row>
    <row r="239" ht="14.25" customHeight="1">
      <c r="A239" s="3" t="s">
        <v>17643</v>
      </c>
      <c r="B239" s="1">
        <v>5.8</v>
      </c>
      <c r="C239" s="1" t="s">
        <v>1885</v>
      </c>
      <c r="D239" s="1" t="s">
        <v>17763</v>
      </c>
      <c r="E239" s="1" t="s">
        <v>3238</v>
      </c>
      <c r="F239" s="1" t="s">
        <v>6019</v>
      </c>
      <c r="G239" s="1" t="s">
        <v>17471</v>
      </c>
      <c r="H239" s="1"/>
      <c r="I239" s="1"/>
      <c r="J239" s="1"/>
      <c r="K239" s="1" t="s">
        <v>17642</v>
      </c>
    </row>
    <row r="240" ht="14.25" customHeight="1">
      <c r="A240" s="3" t="s">
        <v>486</v>
      </c>
      <c r="B240" s="1">
        <v>4.3</v>
      </c>
      <c r="C240" s="1" t="s">
        <v>1270</v>
      </c>
      <c r="D240" s="1" t="s">
        <v>917</v>
      </c>
      <c r="E240" s="1" t="s">
        <v>17759</v>
      </c>
      <c r="F240" s="1" t="s">
        <v>6019</v>
      </c>
      <c r="G240" s="1" t="s">
        <v>17471</v>
      </c>
      <c r="H240" s="1"/>
      <c r="I240" s="1"/>
      <c r="J240" s="1"/>
      <c r="K240" s="1" t="s">
        <v>485</v>
      </c>
    </row>
    <row r="241" ht="14.25" customHeight="1">
      <c r="A241" s="3" t="s">
        <v>7481</v>
      </c>
      <c r="B241" s="1">
        <v>6.4</v>
      </c>
      <c r="C241" s="1" t="s">
        <v>1270</v>
      </c>
      <c r="D241" s="1" t="s">
        <v>3238</v>
      </c>
      <c r="E241" s="1" t="s">
        <v>17759</v>
      </c>
      <c r="F241" s="1" t="s">
        <v>6019</v>
      </c>
      <c r="G241" s="1" t="s">
        <v>17471</v>
      </c>
      <c r="H241" s="1"/>
      <c r="I241" s="1"/>
      <c r="J241" s="1"/>
      <c r="K241" s="1" t="s">
        <v>7480</v>
      </c>
    </row>
    <row r="242" ht="14.25" customHeight="1">
      <c r="A242" s="3" t="s">
        <v>6347</v>
      </c>
      <c r="B242" s="1">
        <v>6.1</v>
      </c>
      <c r="C242" s="1" t="s">
        <v>1270</v>
      </c>
      <c r="D242" s="1" t="s">
        <v>917</v>
      </c>
      <c r="E242" s="1" t="s">
        <v>1885</v>
      </c>
      <c r="F242" s="1" t="s">
        <v>17774</v>
      </c>
      <c r="G242" s="1" t="s">
        <v>17471</v>
      </c>
      <c r="H242" s="1"/>
      <c r="I242" s="1"/>
      <c r="J242" s="1"/>
      <c r="K242" s="1" t="s">
        <v>6346</v>
      </c>
    </row>
    <row r="243" ht="14.25" customHeight="1">
      <c r="A243" s="3" t="s">
        <v>1240</v>
      </c>
      <c r="B243" s="1">
        <v>6.5</v>
      </c>
      <c r="C243" s="1" t="s">
        <v>1270</v>
      </c>
      <c r="D243" s="1" t="s">
        <v>917</v>
      </c>
      <c r="E243" s="1" t="s">
        <v>17763</v>
      </c>
      <c r="F243" s="1" t="s">
        <v>17761</v>
      </c>
      <c r="G243" s="1" t="s">
        <v>17471</v>
      </c>
      <c r="H243" s="1"/>
      <c r="I243" s="1"/>
      <c r="J243" s="1"/>
      <c r="K243" s="1" t="s">
        <v>1239</v>
      </c>
    </row>
    <row r="244" ht="14.25" customHeight="1">
      <c r="A244" s="3" t="s">
        <v>1240</v>
      </c>
      <c r="B244" s="1">
        <v>7.1</v>
      </c>
      <c r="C244" s="1" t="s">
        <v>1270</v>
      </c>
      <c r="D244" s="1" t="s">
        <v>917</v>
      </c>
      <c r="E244" s="1" t="s">
        <v>17763</v>
      </c>
      <c r="F244" s="1" t="s">
        <v>17761</v>
      </c>
      <c r="G244" s="1" t="s">
        <v>17471</v>
      </c>
      <c r="H244" s="1"/>
      <c r="I244" s="1"/>
      <c r="J244" s="1"/>
      <c r="K244" s="1" t="s">
        <v>2071</v>
      </c>
    </row>
    <row r="245" ht="14.25" customHeight="1">
      <c r="A245" s="3" t="s">
        <v>2281</v>
      </c>
      <c r="B245" s="1">
        <v>6.4</v>
      </c>
      <c r="C245" s="1" t="s">
        <v>1270</v>
      </c>
      <c r="D245" s="1" t="s">
        <v>17763</v>
      </c>
      <c r="E245" s="1" t="s">
        <v>3238</v>
      </c>
      <c r="F245" s="1" t="s">
        <v>17761</v>
      </c>
      <c r="G245" s="1" t="s">
        <v>17471</v>
      </c>
      <c r="H245" s="1"/>
      <c r="I245" s="1"/>
      <c r="J245" s="1"/>
      <c r="K245" s="1" t="s">
        <v>2280</v>
      </c>
    </row>
    <row r="246" ht="14.25" customHeight="1">
      <c r="A246" s="3" t="s">
        <v>2281</v>
      </c>
      <c r="B246" s="1">
        <v>6.5</v>
      </c>
      <c r="C246" s="1" t="s">
        <v>1270</v>
      </c>
      <c r="D246" s="1" t="s">
        <v>17763</v>
      </c>
      <c r="E246" s="1" t="s">
        <v>3238</v>
      </c>
      <c r="F246" s="1" t="s">
        <v>17761</v>
      </c>
      <c r="G246" s="1" t="s">
        <v>17471</v>
      </c>
      <c r="H246" s="1"/>
      <c r="I246" s="1"/>
      <c r="J246" s="1"/>
      <c r="K246" s="1" t="s">
        <v>2990</v>
      </c>
    </row>
    <row r="247" ht="14.25" customHeight="1">
      <c r="A247" s="3" t="s">
        <v>2281</v>
      </c>
      <c r="B247" s="1">
        <v>6.3</v>
      </c>
      <c r="C247" s="1" t="s">
        <v>1270</v>
      </c>
      <c r="D247" s="1" t="s">
        <v>17763</v>
      </c>
      <c r="E247" s="1" t="s">
        <v>3238</v>
      </c>
      <c r="F247" s="1" t="s">
        <v>17761</v>
      </c>
      <c r="G247" s="1" t="s">
        <v>17471</v>
      </c>
      <c r="H247" s="1"/>
      <c r="I247" s="1"/>
      <c r="J247" s="1"/>
      <c r="K247" s="1" t="s">
        <v>3328</v>
      </c>
    </row>
    <row r="248" ht="14.25" customHeight="1">
      <c r="A248" s="3" t="s">
        <v>2281</v>
      </c>
      <c r="B248" s="1">
        <v>7.5</v>
      </c>
      <c r="C248" s="1" t="s">
        <v>1270</v>
      </c>
      <c r="D248" s="1" t="s">
        <v>17763</v>
      </c>
      <c r="E248" s="1" t="s">
        <v>3238</v>
      </c>
      <c r="F248" s="1" t="s">
        <v>17761</v>
      </c>
      <c r="G248" s="1" t="s">
        <v>17471</v>
      </c>
      <c r="H248" s="1"/>
      <c r="I248" s="1"/>
      <c r="J248" s="1"/>
      <c r="K248" s="1" t="s">
        <v>3576</v>
      </c>
    </row>
    <row r="249" ht="14.25" customHeight="1">
      <c r="A249" s="3" t="s">
        <v>2281</v>
      </c>
      <c r="B249" s="1">
        <v>4.9</v>
      </c>
      <c r="C249" s="1" t="s">
        <v>1270</v>
      </c>
      <c r="D249" s="1" t="s">
        <v>17763</v>
      </c>
      <c r="E249" s="1" t="s">
        <v>3238</v>
      </c>
      <c r="F249" s="1" t="s">
        <v>17761</v>
      </c>
      <c r="G249" s="1" t="s">
        <v>17471</v>
      </c>
      <c r="H249" s="1"/>
      <c r="I249" s="1"/>
      <c r="J249" s="1"/>
      <c r="K249" s="1" t="s">
        <v>3970</v>
      </c>
    </row>
    <row r="250" ht="14.25" customHeight="1">
      <c r="A250" s="3" t="s">
        <v>2281</v>
      </c>
      <c r="B250" s="1">
        <v>5.8</v>
      </c>
      <c r="C250" s="1" t="s">
        <v>1270</v>
      </c>
      <c r="D250" s="1" t="s">
        <v>17763</v>
      </c>
      <c r="E250" s="1" t="s">
        <v>3238</v>
      </c>
      <c r="F250" s="1" t="s">
        <v>17761</v>
      </c>
      <c r="G250" s="1" t="s">
        <v>17471</v>
      </c>
      <c r="H250" s="1"/>
      <c r="I250" s="1"/>
      <c r="J250" s="1"/>
      <c r="K250" s="1" t="s">
        <v>4066</v>
      </c>
    </row>
    <row r="251" ht="14.25" customHeight="1">
      <c r="A251" s="3" t="s">
        <v>2281</v>
      </c>
      <c r="B251" s="1">
        <v>6.2</v>
      </c>
      <c r="C251" s="1" t="s">
        <v>1270</v>
      </c>
      <c r="D251" s="1" t="s">
        <v>17763</v>
      </c>
      <c r="E251" s="1" t="s">
        <v>3238</v>
      </c>
      <c r="F251" s="1" t="s">
        <v>17761</v>
      </c>
      <c r="G251" s="1" t="s">
        <v>17471</v>
      </c>
      <c r="H251" s="1"/>
      <c r="I251" s="1"/>
      <c r="J251" s="1"/>
      <c r="K251" s="1" t="s">
        <v>4947</v>
      </c>
    </row>
    <row r="252" ht="14.25" customHeight="1">
      <c r="A252" s="3" t="s">
        <v>2281</v>
      </c>
      <c r="B252" s="1">
        <v>5.5</v>
      </c>
      <c r="C252" s="1" t="s">
        <v>1270</v>
      </c>
      <c r="D252" s="1" t="s">
        <v>17763</v>
      </c>
      <c r="E252" s="1" t="s">
        <v>3238</v>
      </c>
      <c r="F252" s="1" t="s">
        <v>17761</v>
      </c>
      <c r="G252" s="1" t="s">
        <v>17471</v>
      </c>
      <c r="H252" s="1"/>
      <c r="I252" s="1"/>
      <c r="J252" s="1"/>
      <c r="K252" s="1" t="s">
        <v>5061</v>
      </c>
    </row>
    <row r="253" ht="14.25" customHeight="1">
      <c r="A253" s="3" t="s">
        <v>2281</v>
      </c>
      <c r="B253" s="1">
        <v>5.4</v>
      </c>
      <c r="C253" s="1" t="s">
        <v>1270</v>
      </c>
      <c r="D253" s="1" t="s">
        <v>17763</v>
      </c>
      <c r="E253" s="1" t="s">
        <v>3238</v>
      </c>
      <c r="F253" s="1" t="s">
        <v>17761</v>
      </c>
      <c r="G253" s="1" t="s">
        <v>17471</v>
      </c>
      <c r="H253" s="1"/>
      <c r="I253" s="1"/>
      <c r="J253" s="1"/>
      <c r="K253" s="1" t="s">
        <v>5066</v>
      </c>
    </row>
    <row r="254" ht="14.25" customHeight="1">
      <c r="A254" s="3" t="s">
        <v>2281</v>
      </c>
      <c r="B254" s="1">
        <v>5.8</v>
      </c>
      <c r="C254" s="1" t="s">
        <v>1270</v>
      </c>
      <c r="D254" s="1" t="s">
        <v>17763</v>
      </c>
      <c r="E254" s="1" t="s">
        <v>3238</v>
      </c>
      <c r="F254" s="1" t="s">
        <v>17761</v>
      </c>
      <c r="G254" s="1" t="s">
        <v>17471</v>
      </c>
      <c r="H254" s="1"/>
      <c r="I254" s="1"/>
      <c r="J254" s="1"/>
      <c r="K254" s="1" t="s">
        <v>5070</v>
      </c>
    </row>
    <row r="255" ht="14.25" customHeight="1">
      <c r="A255" s="3" t="s">
        <v>2281</v>
      </c>
      <c r="B255" s="1">
        <v>7.1</v>
      </c>
      <c r="C255" s="1" t="s">
        <v>1270</v>
      </c>
      <c r="D255" s="1" t="s">
        <v>17763</v>
      </c>
      <c r="E255" s="1" t="s">
        <v>3238</v>
      </c>
      <c r="F255" s="1" t="s">
        <v>17761</v>
      </c>
      <c r="G255" s="1" t="s">
        <v>17471</v>
      </c>
      <c r="H255" s="1"/>
      <c r="I255" s="1"/>
      <c r="J255" s="1"/>
      <c r="K255" s="1" t="s">
        <v>5188</v>
      </c>
    </row>
    <row r="256" ht="14.25" customHeight="1">
      <c r="A256" s="3" t="s">
        <v>2281</v>
      </c>
      <c r="B256" s="1">
        <v>5.4</v>
      </c>
      <c r="C256" s="1" t="s">
        <v>1270</v>
      </c>
      <c r="D256" s="1" t="s">
        <v>17763</v>
      </c>
      <c r="E256" s="1" t="s">
        <v>3238</v>
      </c>
      <c r="F256" s="1" t="s">
        <v>17761</v>
      </c>
      <c r="G256" s="1" t="s">
        <v>17471</v>
      </c>
      <c r="H256" s="1"/>
      <c r="I256" s="1"/>
      <c r="J256" s="1"/>
      <c r="K256" s="1" t="s">
        <v>6451</v>
      </c>
    </row>
    <row r="257" ht="14.25" customHeight="1">
      <c r="A257" s="3" t="s">
        <v>2281</v>
      </c>
      <c r="B257" s="1">
        <v>3.7</v>
      </c>
      <c r="C257" s="1" t="s">
        <v>1270</v>
      </c>
      <c r="D257" s="1" t="s">
        <v>17763</v>
      </c>
      <c r="E257" s="1" t="s">
        <v>3238</v>
      </c>
      <c r="F257" s="1" t="s">
        <v>17761</v>
      </c>
      <c r="G257" s="1" t="s">
        <v>17471</v>
      </c>
      <c r="H257" s="1"/>
      <c r="I257" s="1"/>
      <c r="J257" s="1"/>
      <c r="K257" s="1" t="s">
        <v>6727</v>
      </c>
    </row>
    <row r="258" ht="14.25" customHeight="1">
      <c r="A258" s="3" t="s">
        <v>2281</v>
      </c>
      <c r="B258" s="1">
        <v>6.7</v>
      </c>
      <c r="C258" s="1" t="s">
        <v>1270</v>
      </c>
      <c r="D258" s="1" t="s">
        <v>17763</v>
      </c>
      <c r="E258" s="1" t="s">
        <v>3238</v>
      </c>
      <c r="F258" s="1" t="s">
        <v>17761</v>
      </c>
      <c r="G258" s="1" t="s">
        <v>17471</v>
      </c>
      <c r="H258" s="1"/>
      <c r="I258" s="1"/>
      <c r="J258" s="1"/>
      <c r="K258" s="1" t="s">
        <v>6967</v>
      </c>
    </row>
    <row r="259" ht="14.25" customHeight="1">
      <c r="A259" s="3" t="s">
        <v>2281</v>
      </c>
      <c r="B259" s="1">
        <v>7.2</v>
      </c>
      <c r="C259" s="1" t="s">
        <v>1270</v>
      </c>
      <c r="D259" s="1" t="s">
        <v>17763</v>
      </c>
      <c r="E259" s="1" t="s">
        <v>3238</v>
      </c>
      <c r="F259" s="1" t="s">
        <v>17761</v>
      </c>
      <c r="G259" s="1" t="s">
        <v>17471</v>
      </c>
      <c r="H259" s="1"/>
      <c r="I259" s="1"/>
      <c r="J259" s="1"/>
      <c r="K259" s="1" t="s">
        <v>7706</v>
      </c>
    </row>
    <row r="260" ht="14.25" customHeight="1">
      <c r="A260" s="3" t="s">
        <v>2281</v>
      </c>
      <c r="B260" s="1">
        <v>8.8</v>
      </c>
      <c r="C260" s="1" t="s">
        <v>1270</v>
      </c>
      <c r="D260" s="1" t="s">
        <v>17763</v>
      </c>
      <c r="E260" s="1" t="s">
        <v>3238</v>
      </c>
      <c r="F260" s="1" t="s">
        <v>17761</v>
      </c>
      <c r="G260" s="1" t="s">
        <v>17471</v>
      </c>
      <c r="H260" s="1"/>
      <c r="I260" s="1"/>
      <c r="J260" s="1"/>
      <c r="K260" s="1" t="s">
        <v>7801</v>
      </c>
    </row>
    <row r="261" ht="14.25" customHeight="1">
      <c r="A261" s="3" t="s">
        <v>2281</v>
      </c>
      <c r="B261" s="1">
        <v>5.8</v>
      </c>
      <c r="C261" s="1" t="s">
        <v>1270</v>
      </c>
      <c r="D261" s="1" t="s">
        <v>17763</v>
      </c>
      <c r="E261" s="1" t="s">
        <v>3238</v>
      </c>
      <c r="F261" s="1" t="s">
        <v>17761</v>
      </c>
      <c r="G261" s="1" t="s">
        <v>17471</v>
      </c>
      <c r="H261" s="1"/>
      <c r="I261" s="1"/>
      <c r="J261" s="1"/>
      <c r="K261" s="1" t="s">
        <v>9015</v>
      </c>
    </row>
    <row r="262" ht="14.25" customHeight="1">
      <c r="A262" s="3" t="s">
        <v>2281</v>
      </c>
      <c r="B262" s="1">
        <v>6.8</v>
      </c>
      <c r="C262" s="1" t="s">
        <v>1270</v>
      </c>
      <c r="D262" s="1" t="s">
        <v>17763</v>
      </c>
      <c r="E262" s="1" t="s">
        <v>3238</v>
      </c>
      <c r="F262" s="1" t="s">
        <v>17761</v>
      </c>
      <c r="G262" s="1" t="s">
        <v>17471</v>
      </c>
      <c r="H262" s="1"/>
      <c r="I262" s="1"/>
      <c r="J262" s="1"/>
      <c r="K262" s="1" t="s">
        <v>9539</v>
      </c>
    </row>
    <row r="263" ht="14.25" customHeight="1">
      <c r="A263" s="3" t="s">
        <v>2281</v>
      </c>
      <c r="B263" s="1">
        <v>3.8</v>
      </c>
      <c r="C263" s="1" t="s">
        <v>1270</v>
      </c>
      <c r="D263" s="1" t="s">
        <v>17763</v>
      </c>
      <c r="E263" s="1" t="s">
        <v>3238</v>
      </c>
      <c r="F263" s="1" t="s">
        <v>17761</v>
      </c>
      <c r="G263" s="1" t="s">
        <v>17471</v>
      </c>
      <c r="H263" s="1"/>
      <c r="I263" s="1"/>
      <c r="J263" s="1"/>
      <c r="K263" s="1" t="s">
        <v>13335</v>
      </c>
    </row>
    <row r="264" ht="14.25" customHeight="1">
      <c r="A264" s="3" t="s">
        <v>15257</v>
      </c>
      <c r="B264" s="1">
        <v>7.1</v>
      </c>
      <c r="C264" s="1" t="s">
        <v>17765</v>
      </c>
      <c r="D264" s="1" t="s">
        <v>17763</v>
      </c>
      <c r="E264" s="1" t="s">
        <v>3238</v>
      </c>
      <c r="F264" s="1" t="s">
        <v>17761</v>
      </c>
      <c r="G264" s="1" t="s">
        <v>17471</v>
      </c>
      <c r="H264" s="1"/>
      <c r="I264" s="1"/>
      <c r="J264" s="1"/>
      <c r="K264" s="1" t="s">
        <v>15256</v>
      </c>
    </row>
    <row r="265" ht="14.25" customHeight="1">
      <c r="A265" s="3" t="s">
        <v>15246</v>
      </c>
      <c r="B265" s="1">
        <v>7.2</v>
      </c>
      <c r="C265" s="1" t="s">
        <v>1885</v>
      </c>
      <c r="D265" s="1" t="s">
        <v>17763</v>
      </c>
      <c r="E265" s="1" t="s">
        <v>3238</v>
      </c>
      <c r="F265" s="1" t="s">
        <v>17761</v>
      </c>
      <c r="G265" s="1" t="s">
        <v>17471</v>
      </c>
      <c r="H265" s="1"/>
      <c r="I265" s="1"/>
      <c r="J265" s="1"/>
      <c r="K265" s="1" t="s">
        <v>15245</v>
      </c>
    </row>
    <row r="266" ht="14.25" customHeight="1">
      <c r="A266" s="3" t="s">
        <v>10681</v>
      </c>
      <c r="B266" s="1">
        <v>5.9</v>
      </c>
      <c r="C266" s="1" t="s">
        <v>1270</v>
      </c>
      <c r="D266" s="1" t="s">
        <v>3238</v>
      </c>
      <c r="E266" s="1" t="s">
        <v>17759</v>
      </c>
      <c r="F266" s="1" t="s">
        <v>17761</v>
      </c>
      <c r="G266" s="1" t="s">
        <v>17471</v>
      </c>
      <c r="H266" s="1"/>
      <c r="I266" s="1"/>
      <c r="J266" s="1"/>
      <c r="K266" s="1" t="s">
        <v>10680</v>
      </c>
    </row>
    <row r="267" ht="14.25" customHeight="1">
      <c r="A267" s="3" t="s">
        <v>10681</v>
      </c>
      <c r="B267" s="1">
        <v>7.1</v>
      </c>
      <c r="C267" s="1" t="s">
        <v>1270</v>
      </c>
      <c r="D267" s="1" t="s">
        <v>3238</v>
      </c>
      <c r="E267" s="1" t="s">
        <v>17759</v>
      </c>
      <c r="F267" s="1" t="s">
        <v>17761</v>
      </c>
      <c r="G267" s="1" t="s">
        <v>17471</v>
      </c>
      <c r="H267" s="1"/>
      <c r="I267" s="1"/>
      <c r="J267" s="1"/>
      <c r="K267" s="1" t="s">
        <v>10680</v>
      </c>
    </row>
    <row r="268" ht="14.25" customHeight="1">
      <c r="A268" s="3" t="s">
        <v>16459</v>
      </c>
      <c r="B268" s="1">
        <v>8.1</v>
      </c>
      <c r="C268" s="1" t="s">
        <v>17763</v>
      </c>
      <c r="D268" s="1" t="s">
        <v>3238</v>
      </c>
      <c r="E268" s="1" t="s">
        <v>17775</v>
      </c>
      <c r="F268" s="1" t="s">
        <v>17761</v>
      </c>
      <c r="G268" s="1" t="s">
        <v>17471</v>
      </c>
      <c r="H268" s="1"/>
      <c r="I268" s="1"/>
      <c r="J268" s="1"/>
      <c r="K268" s="1" t="s">
        <v>16458</v>
      </c>
    </row>
    <row r="269" ht="14.25" customHeight="1">
      <c r="A269" s="3" t="s">
        <v>2413</v>
      </c>
      <c r="B269" s="1">
        <v>6.9</v>
      </c>
      <c r="C269" s="1" t="s">
        <v>17763</v>
      </c>
      <c r="D269" s="1" t="s">
        <v>3238</v>
      </c>
      <c r="E269" s="1" t="s">
        <v>17772</v>
      </c>
      <c r="F269" s="1" t="s">
        <v>17761</v>
      </c>
      <c r="G269" s="1" t="s">
        <v>17471</v>
      </c>
      <c r="H269" s="1"/>
      <c r="I269" s="1"/>
      <c r="J269" s="1"/>
      <c r="K269" s="1" t="s">
        <v>2412</v>
      </c>
    </row>
    <row r="270" ht="14.25" customHeight="1">
      <c r="A270" s="3" t="s">
        <v>10155</v>
      </c>
      <c r="B270" s="1">
        <v>4.4</v>
      </c>
      <c r="C270" s="1" t="s">
        <v>917</v>
      </c>
      <c r="D270" s="1" t="s">
        <v>3238</v>
      </c>
      <c r="E270" s="1" t="s">
        <v>6019</v>
      </c>
      <c r="F270" s="1" t="s">
        <v>17761</v>
      </c>
      <c r="G270" s="1" t="s">
        <v>17471</v>
      </c>
      <c r="H270" s="1"/>
      <c r="I270" s="1"/>
      <c r="J270" s="1"/>
      <c r="K270" s="1" t="s">
        <v>10154</v>
      </c>
    </row>
    <row r="271" ht="14.25" customHeight="1">
      <c r="A271" s="3" t="s">
        <v>17441</v>
      </c>
      <c r="B271" s="1">
        <v>6.5</v>
      </c>
      <c r="C271" s="1" t="s">
        <v>1270</v>
      </c>
      <c r="D271" s="1" t="s">
        <v>17759</v>
      </c>
      <c r="E271" s="1" t="s">
        <v>6019</v>
      </c>
      <c r="F271" s="1" t="s">
        <v>17761</v>
      </c>
      <c r="G271" s="1" t="s">
        <v>17471</v>
      </c>
      <c r="H271" s="1"/>
      <c r="I271" s="1"/>
      <c r="J271" s="1"/>
      <c r="K271" s="1" t="s">
        <v>17440</v>
      </c>
    </row>
    <row r="272" ht="14.25" customHeight="1">
      <c r="A272" s="3" t="s">
        <v>11629</v>
      </c>
      <c r="B272" s="1">
        <v>8.5</v>
      </c>
      <c r="C272" s="1" t="s">
        <v>917</v>
      </c>
      <c r="D272" s="1" t="s">
        <v>17759</v>
      </c>
      <c r="E272" s="1" t="s">
        <v>6019</v>
      </c>
      <c r="F272" s="1" t="s">
        <v>17761</v>
      </c>
      <c r="G272" s="1" t="s">
        <v>17471</v>
      </c>
      <c r="H272" s="1"/>
      <c r="I272" s="1"/>
      <c r="J272" s="1"/>
      <c r="K272" s="1" t="s">
        <v>11628</v>
      </c>
    </row>
    <row r="273" ht="14.25" customHeight="1">
      <c r="A273" s="3" t="s">
        <v>2013</v>
      </c>
      <c r="B273" s="1">
        <v>7.7</v>
      </c>
      <c r="C273" s="1" t="s">
        <v>3238</v>
      </c>
      <c r="D273" s="1" t="s">
        <v>17759</v>
      </c>
      <c r="E273" s="1" t="s">
        <v>6019</v>
      </c>
      <c r="F273" s="1" t="s">
        <v>17761</v>
      </c>
      <c r="G273" s="1" t="s">
        <v>17471</v>
      </c>
      <c r="H273" s="1"/>
      <c r="I273" s="1"/>
      <c r="J273" s="1"/>
      <c r="K273" s="1" t="s">
        <v>2012</v>
      </c>
    </row>
    <row r="274" ht="14.25" customHeight="1">
      <c r="A274" s="3" t="s">
        <v>2013</v>
      </c>
      <c r="B274" s="1">
        <v>7.4</v>
      </c>
      <c r="C274" s="1" t="s">
        <v>3238</v>
      </c>
      <c r="D274" s="1" t="s">
        <v>17759</v>
      </c>
      <c r="E274" s="1" t="s">
        <v>6019</v>
      </c>
      <c r="F274" s="1" t="s">
        <v>17761</v>
      </c>
      <c r="G274" s="1" t="s">
        <v>17471</v>
      </c>
      <c r="H274" s="1"/>
      <c r="I274" s="1"/>
      <c r="J274" s="1"/>
      <c r="K274" s="1" t="s">
        <v>11220</v>
      </c>
    </row>
    <row r="275" ht="14.25" customHeight="1">
      <c r="A275" s="3" t="s">
        <v>2013</v>
      </c>
      <c r="B275" s="1">
        <v>8.0</v>
      </c>
      <c r="C275" s="1" t="s">
        <v>3238</v>
      </c>
      <c r="D275" s="1" t="s">
        <v>17759</v>
      </c>
      <c r="E275" s="1" t="s">
        <v>6019</v>
      </c>
      <c r="F275" s="1" t="s">
        <v>17761</v>
      </c>
      <c r="G275" s="1" t="s">
        <v>17471</v>
      </c>
      <c r="H275" s="1"/>
      <c r="I275" s="1"/>
      <c r="J275" s="1"/>
      <c r="K275" s="1" t="s">
        <v>11220</v>
      </c>
    </row>
    <row r="276" ht="14.25" customHeight="1">
      <c r="A276" s="3" t="s">
        <v>3048</v>
      </c>
      <c r="B276" s="1">
        <v>5.7</v>
      </c>
      <c r="C276" s="1" t="s">
        <v>1270</v>
      </c>
      <c r="D276" s="1" t="s">
        <v>917</v>
      </c>
      <c r="E276" s="1" t="s">
        <v>1885</v>
      </c>
      <c r="F276" s="1" t="s">
        <v>17762</v>
      </c>
      <c r="G276" s="1" t="s">
        <v>17471</v>
      </c>
      <c r="H276" s="1"/>
      <c r="I276" s="1"/>
      <c r="J276" s="1"/>
      <c r="K276" s="1" t="s">
        <v>3047</v>
      </c>
    </row>
    <row r="277" ht="14.25" customHeight="1">
      <c r="A277" s="3" t="s">
        <v>1464</v>
      </c>
      <c r="B277" s="1">
        <v>8.5</v>
      </c>
      <c r="C277" s="1" t="s">
        <v>1270</v>
      </c>
      <c r="D277" s="1" t="s">
        <v>1885</v>
      </c>
      <c r="E277" s="1" t="s">
        <v>17763</v>
      </c>
      <c r="F277" s="1" t="s">
        <v>17762</v>
      </c>
      <c r="G277" s="1" t="s">
        <v>17471</v>
      </c>
      <c r="H277" s="1"/>
      <c r="I277" s="1"/>
      <c r="J277" s="1"/>
      <c r="K277" s="1" t="s">
        <v>1463</v>
      </c>
    </row>
    <row r="278" ht="14.25" customHeight="1">
      <c r="A278" s="3" t="s">
        <v>1464</v>
      </c>
      <c r="B278" s="1">
        <v>7.0</v>
      </c>
      <c r="C278" s="1" t="s">
        <v>1270</v>
      </c>
      <c r="D278" s="1" t="s">
        <v>1885</v>
      </c>
      <c r="E278" s="1" t="s">
        <v>17763</v>
      </c>
      <c r="F278" s="1" t="s">
        <v>17762</v>
      </c>
      <c r="G278" s="1" t="s">
        <v>17471</v>
      </c>
      <c r="H278" s="1"/>
      <c r="I278" s="1"/>
      <c r="J278" s="1"/>
      <c r="K278" s="1" t="s">
        <v>5797</v>
      </c>
    </row>
    <row r="279" ht="14.25" customHeight="1">
      <c r="A279" s="3" t="s">
        <v>1464</v>
      </c>
      <c r="B279" s="1">
        <v>7.8</v>
      </c>
      <c r="C279" s="1" t="s">
        <v>1270</v>
      </c>
      <c r="D279" s="1" t="s">
        <v>1885</v>
      </c>
      <c r="E279" s="1" t="s">
        <v>17763</v>
      </c>
      <c r="F279" s="1" t="s">
        <v>17762</v>
      </c>
      <c r="G279" s="1" t="s">
        <v>17471</v>
      </c>
      <c r="H279" s="1"/>
      <c r="I279" s="1"/>
      <c r="J279" s="1"/>
      <c r="K279" s="1" t="s">
        <v>11619</v>
      </c>
    </row>
    <row r="280" ht="14.25" customHeight="1">
      <c r="A280" s="3" t="s">
        <v>6047</v>
      </c>
      <c r="B280" s="1">
        <v>7.2</v>
      </c>
      <c r="C280" s="1" t="s">
        <v>1270</v>
      </c>
      <c r="D280" s="1" t="s">
        <v>917</v>
      </c>
      <c r="E280" s="1" t="s">
        <v>3238</v>
      </c>
      <c r="F280" s="1" t="s">
        <v>17762</v>
      </c>
      <c r="G280" s="1" t="s">
        <v>17471</v>
      </c>
      <c r="H280" s="1"/>
      <c r="I280" s="1"/>
      <c r="J280" s="1"/>
      <c r="K280" s="1" t="s">
        <v>6046</v>
      </c>
    </row>
    <row r="281" ht="14.25" customHeight="1">
      <c r="A281" s="3" t="s">
        <v>5448</v>
      </c>
      <c r="B281" s="1">
        <v>6.4</v>
      </c>
      <c r="C281" s="1" t="s">
        <v>1270</v>
      </c>
      <c r="D281" s="1" t="s">
        <v>17763</v>
      </c>
      <c r="E281" s="1" t="s">
        <v>3238</v>
      </c>
      <c r="F281" s="1" t="s">
        <v>17762</v>
      </c>
      <c r="G281" s="1" t="s">
        <v>17471</v>
      </c>
      <c r="H281" s="1"/>
      <c r="I281" s="1"/>
      <c r="J281" s="1"/>
      <c r="K281" s="1" t="s">
        <v>5447</v>
      </c>
    </row>
    <row r="282" ht="14.25" customHeight="1">
      <c r="A282" s="3" t="s">
        <v>5448</v>
      </c>
      <c r="B282" s="1">
        <v>5.5</v>
      </c>
      <c r="C282" s="1" t="s">
        <v>1270</v>
      </c>
      <c r="D282" s="1" t="s">
        <v>17763</v>
      </c>
      <c r="E282" s="1" t="s">
        <v>3238</v>
      </c>
      <c r="F282" s="1" t="s">
        <v>17762</v>
      </c>
      <c r="G282" s="1" t="s">
        <v>17471</v>
      </c>
      <c r="H282" s="1"/>
      <c r="I282" s="1"/>
      <c r="J282" s="1"/>
      <c r="K282" s="1" t="s">
        <v>8115</v>
      </c>
    </row>
    <row r="283" ht="14.25" customHeight="1">
      <c r="A283" s="3" t="s">
        <v>5448</v>
      </c>
      <c r="B283" s="1">
        <v>6.7</v>
      </c>
      <c r="C283" s="1" t="s">
        <v>1270</v>
      </c>
      <c r="D283" s="1" t="s">
        <v>17763</v>
      </c>
      <c r="E283" s="1" t="s">
        <v>3238</v>
      </c>
      <c r="F283" s="1" t="s">
        <v>17762</v>
      </c>
      <c r="G283" s="1" t="s">
        <v>17471</v>
      </c>
      <c r="H283" s="1"/>
      <c r="I283" s="1"/>
      <c r="J283" s="1"/>
      <c r="K283" s="1" t="s">
        <v>11659</v>
      </c>
    </row>
    <row r="284" ht="14.25" customHeight="1">
      <c r="A284" s="3" t="s">
        <v>5448</v>
      </c>
      <c r="B284" s="1">
        <v>6.1</v>
      </c>
      <c r="C284" s="1" t="s">
        <v>1270</v>
      </c>
      <c r="D284" s="1" t="s">
        <v>17763</v>
      </c>
      <c r="E284" s="1" t="s">
        <v>3238</v>
      </c>
      <c r="F284" s="1" t="s">
        <v>17762</v>
      </c>
      <c r="G284" s="1" t="s">
        <v>17471</v>
      </c>
      <c r="H284" s="1"/>
      <c r="I284" s="1"/>
      <c r="J284" s="1"/>
      <c r="K284" s="1" t="s">
        <v>12477</v>
      </c>
    </row>
    <row r="285" ht="14.25" customHeight="1">
      <c r="A285" s="3" t="s">
        <v>5448</v>
      </c>
      <c r="B285" s="1">
        <v>8.5</v>
      </c>
      <c r="C285" s="1" t="s">
        <v>1270</v>
      </c>
      <c r="D285" s="1" t="s">
        <v>17763</v>
      </c>
      <c r="E285" s="1" t="s">
        <v>3238</v>
      </c>
      <c r="F285" s="1" t="s">
        <v>17762</v>
      </c>
      <c r="G285" s="1" t="s">
        <v>17471</v>
      </c>
      <c r="H285" s="1"/>
      <c r="I285" s="1"/>
      <c r="J285" s="1"/>
      <c r="K285" s="1" t="s">
        <v>13727</v>
      </c>
    </row>
    <row r="286" ht="14.25" customHeight="1">
      <c r="A286" s="3" t="s">
        <v>5448</v>
      </c>
      <c r="B286" s="1">
        <v>6.9</v>
      </c>
      <c r="C286" s="1" t="s">
        <v>1270</v>
      </c>
      <c r="D286" s="1" t="s">
        <v>17763</v>
      </c>
      <c r="E286" s="1" t="s">
        <v>3238</v>
      </c>
      <c r="F286" s="1" t="s">
        <v>17762</v>
      </c>
      <c r="G286" s="1" t="s">
        <v>17471</v>
      </c>
      <c r="H286" s="1"/>
      <c r="I286" s="1"/>
      <c r="J286" s="1"/>
      <c r="K286" s="1" t="s">
        <v>17732</v>
      </c>
    </row>
    <row r="287" ht="14.25" customHeight="1">
      <c r="A287" s="3" t="s">
        <v>15231</v>
      </c>
      <c r="B287" s="1">
        <v>7.3</v>
      </c>
      <c r="C287" s="1" t="s">
        <v>17765</v>
      </c>
      <c r="D287" s="1" t="s">
        <v>17763</v>
      </c>
      <c r="E287" s="1" t="s">
        <v>3238</v>
      </c>
      <c r="F287" s="1" t="s">
        <v>17762</v>
      </c>
      <c r="G287" s="1" t="s">
        <v>17471</v>
      </c>
      <c r="H287" s="1"/>
      <c r="I287" s="1"/>
      <c r="J287" s="1"/>
      <c r="K287" s="1" t="s">
        <v>15230</v>
      </c>
    </row>
    <row r="288" ht="14.25" customHeight="1">
      <c r="A288" s="3" t="s">
        <v>13957</v>
      </c>
      <c r="B288" s="1">
        <v>6.7</v>
      </c>
      <c r="C288" s="1" t="s">
        <v>1885</v>
      </c>
      <c r="D288" s="1" t="s">
        <v>17763</v>
      </c>
      <c r="E288" s="1" t="s">
        <v>3238</v>
      </c>
      <c r="F288" s="1" t="s">
        <v>17762</v>
      </c>
      <c r="G288" s="1" t="s">
        <v>17471</v>
      </c>
      <c r="H288" s="1"/>
      <c r="I288" s="1"/>
      <c r="J288" s="1"/>
      <c r="K288" s="1" t="s">
        <v>13956</v>
      </c>
    </row>
    <row r="289" ht="14.25" customHeight="1">
      <c r="A289" s="3" t="s">
        <v>13957</v>
      </c>
      <c r="B289" s="1">
        <v>6.9</v>
      </c>
      <c r="C289" s="1" t="s">
        <v>1885</v>
      </c>
      <c r="D289" s="1" t="s">
        <v>17763</v>
      </c>
      <c r="E289" s="1" t="s">
        <v>3238</v>
      </c>
      <c r="F289" s="1" t="s">
        <v>17762</v>
      </c>
      <c r="G289" s="1" t="s">
        <v>17471</v>
      </c>
      <c r="H289" s="1"/>
      <c r="I289" s="1"/>
      <c r="J289" s="1"/>
      <c r="K289" s="1" t="s">
        <v>14918</v>
      </c>
    </row>
    <row r="290" ht="14.25" customHeight="1">
      <c r="A290" s="3" t="s">
        <v>1777</v>
      </c>
      <c r="B290" s="1">
        <v>5.1</v>
      </c>
      <c r="C290" s="1" t="s">
        <v>1270</v>
      </c>
      <c r="D290" s="1" t="s">
        <v>17763</v>
      </c>
      <c r="E290" s="1" t="s">
        <v>17759</v>
      </c>
      <c r="F290" s="1" t="s">
        <v>17762</v>
      </c>
      <c r="G290" s="1" t="s">
        <v>17471</v>
      </c>
      <c r="H290" s="1"/>
      <c r="I290" s="1"/>
      <c r="J290" s="1"/>
      <c r="K290" s="1" t="s">
        <v>1776</v>
      </c>
    </row>
    <row r="291" ht="14.25" customHeight="1">
      <c r="A291" s="3" t="s">
        <v>14639</v>
      </c>
      <c r="B291" s="1">
        <v>6.8</v>
      </c>
      <c r="C291" s="1" t="s">
        <v>17763</v>
      </c>
      <c r="D291" s="1" t="s">
        <v>3238</v>
      </c>
      <c r="E291" s="1" t="s">
        <v>17760</v>
      </c>
      <c r="F291" s="1" t="s">
        <v>17762</v>
      </c>
      <c r="G291" s="1" t="s">
        <v>17471</v>
      </c>
      <c r="H291" s="1"/>
      <c r="I291" s="1"/>
      <c r="J291" s="1"/>
      <c r="K291" s="1" t="s">
        <v>14638</v>
      </c>
    </row>
    <row r="292" ht="14.25" customHeight="1">
      <c r="A292" s="3" t="s">
        <v>2571</v>
      </c>
      <c r="B292" s="1">
        <v>5.8</v>
      </c>
      <c r="C292" s="1" t="s">
        <v>1270</v>
      </c>
      <c r="D292" s="1" t="s">
        <v>17763</v>
      </c>
      <c r="E292" s="1" t="s">
        <v>17761</v>
      </c>
      <c r="F292" s="1" t="s">
        <v>17762</v>
      </c>
      <c r="G292" s="1" t="s">
        <v>17471</v>
      </c>
      <c r="H292" s="1"/>
      <c r="I292" s="1"/>
      <c r="J292" s="1"/>
      <c r="K292" s="1" t="s">
        <v>2570</v>
      </c>
    </row>
    <row r="293" ht="14.25" customHeight="1">
      <c r="A293" s="3" t="s">
        <v>2571</v>
      </c>
      <c r="B293" s="1">
        <v>6.7</v>
      </c>
      <c r="C293" s="1" t="s">
        <v>1270</v>
      </c>
      <c r="D293" s="1" t="s">
        <v>17763</v>
      </c>
      <c r="E293" s="1" t="s">
        <v>17761</v>
      </c>
      <c r="F293" s="1" t="s">
        <v>17762</v>
      </c>
      <c r="G293" s="1" t="s">
        <v>17471</v>
      </c>
      <c r="H293" s="1"/>
      <c r="I293" s="1"/>
      <c r="J293" s="1"/>
      <c r="K293" s="1" t="s">
        <v>9089</v>
      </c>
    </row>
    <row r="294" ht="14.25" customHeight="1">
      <c r="A294" s="3" t="s">
        <v>4111</v>
      </c>
      <c r="B294" s="1">
        <v>6.0</v>
      </c>
      <c r="C294" s="1" t="s">
        <v>3238</v>
      </c>
      <c r="D294" s="1" t="s">
        <v>17759</v>
      </c>
      <c r="E294" s="1" t="s">
        <v>17761</v>
      </c>
      <c r="F294" s="1" t="s">
        <v>17762</v>
      </c>
      <c r="G294" s="1" t="s">
        <v>17471</v>
      </c>
      <c r="H294" s="1"/>
      <c r="I294" s="1"/>
      <c r="J294" s="1"/>
      <c r="K294" s="1" t="s">
        <v>4110</v>
      </c>
    </row>
    <row r="295" ht="14.25" customHeight="1">
      <c r="A295" s="3" t="s">
        <v>9149</v>
      </c>
      <c r="B295" s="1">
        <v>5.7</v>
      </c>
      <c r="C295" s="1" t="s">
        <v>3238</v>
      </c>
      <c r="D295" s="1" t="s">
        <v>17774</v>
      </c>
      <c r="E295" s="1" t="s">
        <v>17761</v>
      </c>
      <c r="F295" s="1" t="s">
        <v>17762</v>
      </c>
      <c r="G295" s="1" t="s">
        <v>17471</v>
      </c>
      <c r="H295" s="1"/>
      <c r="I295" s="1"/>
      <c r="J295" s="1"/>
      <c r="K295" s="1" t="s">
        <v>9148</v>
      </c>
    </row>
    <row r="296" ht="14.25" customHeight="1">
      <c r="A296" s="3" t="s">
        <v>8608</v>
      </c>
      <c r="B296" s="1">
        <v>8.0</v>
      </c>
      <c r="C296" s="1" t="s">
        <v>1270</v>
      </c>
      <c r="D296" s="1" t="s">
        <v>917</v>
      </c>
      <c r="E296" s="1" t="s">
        <v>1885</v>
      </c>
      <c r="F296" s="1" t="s">
        <v>17764</v>
      </c>
      <c r="G296" s="1" t="s">
        <v>17471</v>
      </c>
      <c r="H296" s="1"/>
      <c r="I296" s="1"/>
      <c r="J296" s="1"/>
      <c r="K296" s="1" t="s">
        <v>8607</v>
      </c>
    </row>
    <row r="297" ht="14.25" customHeight="1">
      <c r="A297" s="3" t="s">
        <v>1487</v>
      </c>
      <c r="B297" s="1">
        <v>8.2</v>
      </c>
      <c r="C297" s="1" t="s">
        <v>1270</v>
      </c>
      <c r="D297" s="1" t="s">
        <v>1885</v>
      </c>
      <c r="E297" s="1" t="s">
        <v>17763</v>
      </c>
      <c r="F297" s="1" t="s">
        <v>17764</v>
      </c>
      <c r="G297" s="1" t="s">
        <v>17471</v>
      </c>
      <c r="H297" s="1"/>
      <c r="I297" s="1"/>
      <c r="J297" s="1"/>
      <c r="K297" s="1" t="s">
        <v>1486</v>
      </c>
    </row>
    <row r="298" ht="14.25" customHeight="1">
      <c r="A298" s="3" t="s">
        <v>5317</v>
      </c>
      <c r="B298" s="1">
        <v>5.4</v>
      </c>
      <c r="C298" s="1" t="s">
        <v>1270</v>
      </c>
      <c r="D298" s="1" t="s">
        <v>917</v>
      </c>
      <c r="E298" s="1" t="s">
        <v>3238</v>
      </c>
      <c r="F298" s="1" t="s">
        <v>17764</v>
      </c>
      <c r="G298" s="1" t="s">
        <v>17471</v>
      </c>
      <c r="H298" s="1"/>
      <c r="I298" s="1"/>
      <c r="J298" s="1"/>
      <c r="K298" s="1" t="s">
        <v>5316</v>
      </c>
    </row>
    <row r="299" ht="14.25" customHeight="1">
      <c r="A299" s="3" t="s">
        <v>5317</v>
      </c>
      <c r="B299" s="1">
        <v>7.2</v>
      </c>
      <c r="C299" s="1" t="s">
        <v>1270</v>
      </c>
      <c r="D299" s="1" t="s">
        <v>917</v>
      </c>
      <c r="E299" s="1" t="s">
        <v>3238</v>
      </c>
      <c r="F299" s="1" t="s">
        <v>17764</v>
      </c>
      <c r="G299" s="1" t="s">
        <v>17471</v>
      </c>
      <c r="H299" s="1"/>
      <c r="I299" s="1"/>
      <c r="J299" s="1"/>
      <c r="K299" s="1" t="s">
        <v>16852</v>
      </c>
    </row>
    <row r="300" ht="14.25" customHeight="1">
      <c r="A300" s="3" t="s">
        <v>5213</v>
      </c>
      <c r="B300" s="1">
        <v>7.5</v>
      </c>
      <c r="C300" s="1" t="s">
        <v>1270</v>
      </c>
      <c r="D300" s="1" t="s">
        <v>17763</v>
      </c>
      <c r="E300" s="1" t="s">
        <v>3238</v>
      </c>
      <c r="F300" s="1" t="s">
        <v>17764</v>
      </c>
      <c r="G300" s="1" t="s">
        <v>17471</v>
      </c>
      <c r="H300" s="1"/>
      <c r="I300" s="1"/>
      <c r="J300" s="1"/>
      <c r="K300" s="1" t="s">
        <v>5212</v>
      </c>
    </row>
    <row r="301" ht="14.25" customHeight="1">
      <c r="A301" s="3" t="s">
        <v>5213</v>
      </c>
      <c r="B301" s="1">
        <v>7.0</v>
      </c>
      <c r="C301" s="1" t="s">
        <v>1270</v>
      </c>
      <c r="D301" s="1" t="s">
        <v>17763</v>
      </c>
      <c r="E301" s="1" t="s">
        <v>3238</v>
      </c>
      <c r="F301" s="1" t="s">
        <v>17764</v>
      </c>
      <c r="G301" s="1" t="s">
        <v>17471</v>
      </c>
      <c r="H301" s="1"/>
      <c r="I301" s="1"/>
      <c r="J301" s="1"/>
      <c r="K301" s="1" t="s">
        <v>7686</v>
      </c>
    </row>
    <row r="302" ht="14.25" customHeight="1">
      <c r="A302" s="3" t="s">
        <v>2606</v>
      </c>
      <c r="B302" s="1">
        <v>3.3</v>
      </c>
      <c r="C302" s="1" t="s">
        <v>1270</v>
      </c>
      <c r="D302" s="1" t="s">
        <v>917</v>
      </c>
      <c r="E302" s="1" t="s">
        <v>17758</v>
      </c>
      <c r="F302" s="1" t="s">
        <v>17764</v>
      </c>
      <c r="G302" s="1" t="s">
        <v>17471</v>
      </c>
      <c r="H302" s="1"/>
      <c r="I302" s="1"/>
      <c r="J302" s="1"/>
      <c r="K302" s="1" t="s">
        <v>2605</v>
      </c>
    </row>
    <row r="303" ht="14.25" customHeight="1">
      <c r="A303" s="3" t="s">
        <v>254</v>
      </c>
      <c r="B303" s="1">
        <v>6.0</v>
      </c>
      <c r="C303" s="1" t="s">
        <v>1270</v>
      </c>
      <c r="D303" s="1" t="s">
        <v>917</v>
      </c>
      <c r="E303" s="1" t="s">
        <v>17759</v>
      </c>
      <c r="F303" s="1" t="s">
        <v>17764</v>
      </c>
      <c r="G303" s="1" t="s">
        <v>17471</v>
      </c>
      <c r="H303" s="1"/>
      <c r="I303" s="1"/>
      <c r="J303" s="1"/>
      <c r="K303" s="1" t="s">
        <v>253</v>
      </c>
    </row>
    <row r="304" ht="14.25" customHeight="1">
      <c r="A304" s="3" t="s">
        <v>254</v>
      </c>
      <c r="B304" s="1">
        <v>7.1</v>
      </c>
      <c r="C304" s="1" t="s">
        <v>1270</v>
      </c>
      <c r="D304" s="1" t="s">
        <v>917</v>
      </c>
      <c r="E304" s="1" t="s">
        <v>17759</v>
      </c>
      <c r="F304" s="1" t="s">
        <v>17764</v>
      </c>
      <c r="G304" s="1" t="s">
        <v>17471</v>
      </c>
      <c r="H304" s="1"/>
      <c r="I304" s="1"/>
      <c r="J304" s="1"/>
      <c r="K304" s="1" t="s">
        <v>339</v>
      </c>
    </row>
    <row r="305" ht="14.25" customHeight="1">
      <c r="A305" s="3" t="s">
        <v>254</v>
      </c>
      <c r="B305" s="1">
        <v>5.4</v>
      </c>
      <c r="C305" s="1" t="s">
        <v>1270</v>
      </c>
      <c r="D305" s="1" t="s">
        <v>917</v>
      </c>
      <c r="E305" s="1" t="s">
        <v>17759</v>
      </c>
      <c r="F305" s="1" t="s">
        <v>17764</v>
      </c>
      <c r="G305" s="1" t="s">
        <v>17471</v>
      </c>
      <c r="H305" s="1"/>
      <c r="I305" s="1"/>
      <c r="J305" s="1"/>
      <c r="K305" s="1" t="s">
        <v>780</v>
      </c>
    </row>
    <row r="306" ht="14.25" customHeight="1">
      <c r="A306" s="3" t="s">
        <v>254</v>
      </c>
      <c r="B306" s="1">
        <v>6.1</v>
      </c>
      <c r="C306" s="1" t="s">
        <v>1270</v>
      </c>
      <c r="D306" s="1" t="s">
        <v>917</v>
      </c>
      <c r="E306" s="1" t="s">
        <v>17759</v>
      </c>
      <c r="F306" s="1" t="s">
        <v>17764</v>
      </c>
      <c r="G306" s="1" t="s">
        <v>17471</v>
      </c>
      <c r="H306" s="1"/>
      <c r="I306" s="1"/>
      <c r="J306" s="1"/>
      <c r="K306" s="1" t="s">
        <v>1230</v>
      </c>
    </row>
    <row r="307" ht="14.25" customHeight="1">
      <c r="A307" s="3" t="s">
        <v>254</v>
      </c>
      <c r="B307" s="1">
        <v>5.3</v>
      </c>
      <c r="C307" s="1" t="s">
        <v>1270</v>
      </c>
      <c r="D307" s="1" t="s">
        <v>917</v>
      </c>
      <c r="E307" s="1" t="s">
        <v>17759</v>
      </c>
      <c r="F307" s="1" t="s">
        <v>17764</v>
      </c>
      <c r="G307" s="1" t="s">
        <v>17471</v>
      </c>
      <c r="H307" s="1"/>
      <c r="I307" s="1"/>
      <c r="J307" s="1"/>
      <c r="K307" s="1" t="s">
        <v>3997</v>
      </c>
    </row>
    <row r="308" ht="14.25" customHeight="1">
      <c r="A308" s="3" t="s">
        <v>254</v>
      </c>
      <c r="B308" s="1">
        <v>2.2</v>
      </c>
      <c r="C308" s="1" t="s">
        <v>1270</v>
      </c>
      <c r="D308" s="1" t="s">
        <v>917</v>
      </c>
      <c r="E308" s="1" t="s">
        <v>17759</v>
      </c>
      <c r="F308" s="1" t="s">
        <v>17764</v>
      </c>
      <c r="G308" s="1" t="s">
        <v>17471</v>
      </c>
      <c r="H308" s="1"/>
      <c r="I308" s="1"/>
      <c r="J308" s="1"/>
      <c r="K308" s="1" t="s">
        <v>5668</v>
      </c>
    </row>
    <row r="309" ht="14.25" customHeight="1">
      <c r="A309" s="3" t="s">
        <v>254</v>
      </c>
      <c r="B309" s="1">
        <v>7.0</v>
      </c>
      <c r="C309" s="1" t="s">
        <v>1270</v>
      </c>
      <c r="D309" s="1" t="s">
        <v>917</v>
      </c>
      <c r="E309" s="1" t="s">
        <v>17759</v>
      </c>
      <c r="F309" s="1" t="s">
        <v>17764</v>
      </c>
      <c r="G309" s="1" t="s">
        <v>17471</v>
      </c>
      <c r="H309" s="1"/>
      <c r="I309" s="1"/>
      <c r="J309" s="1"/>
      <c r="K309" s="1" t="s">
        <v>6933</v>
      </c>
    </row>
    <row r="310" ht="14.25" customHeight="1">
      <c r="A310" s="3" t="s">
        <v>254</v>
      </c>
      <c r="B310" s="1">
        <v>3.8</v>
      </c>
      <c r="C310" s="1" t="s">
        <v>1270</v>
      </c>
      <c r="D310" s="1" t="s">
        <v>917</v>
      </c>
      <c r="E310" s="1" t="s">
        <v>17759</v>
      </c>
      <c r="F310" s="1" t="s">
        <v>17764</v>
      </c>
      <c r="G310" s="1" t="s">
        <v>17471</v>
      </c>
      <c r="H310" s="1"/>
      <c r="I310" s="1"/>
      <c r="J310" s="1"/>
      <c r="K310" s="1" t="s">
        <v>7870</v>
      </c>
    </row>
    <row r="311" ht="14.25" customHeight="1">
      <c r="A311" s="3" t="s">
        <v>254</v>
      </c>
      <c r="B311" s="1">
        <v>6.9</v>
      </c>
      <c r="C311" s="1" t="s">
        <v>1270</v>
      </c>
      <c r="D311" s="1" t="s">
        <v>917</v>
      </c>
      <c r="E311" s="1" t="s">
        <v>17759</v>
      </c>
      <c r="F311" s="1" t="s">
        <v>17764</v>
      </c>
      <c r="G311" s="1" t="s">
        <v>17471</v>
      </c>
      <c r="H311" s="1"/>
      <c r="I311" s="1"/>
      <c r="J311" s="1"/>
      <c r="K311" s="1" t="s">
        <v>8055</v>
      </c>
    </row>
    <row r="312" ht="14.25" customHeight="1">
      <c r="A312" s="3" t="s">
        <v>254</v>
      </c>
      <c r="B312" s="1">
        <v>7.2</v>
      </c>
      <c r="C312" s="1" t="s">
        <v>1270</v>
      </c>
      <c r="D312" s="1" t="s">
        <v>917</v>
      </c>
      <c r="E312" s="1" t="s">
        <v>17759</v>
      </c>
      <c r="F312" s="1" t="s">
        <v>17764</v>
      </c>
      <c r="G312" s="1" t="s">
        <v>17471</v>
      </c>
      <c r="H312" s="1"/>
      <c r="I312" s="1"/>
      <c r="J312" s="1"/>
      <c r="K312" s="1" t="s">
        <v>9624</v>
      </c>
    </row>
    <row r="313" ht="14.25" customHeight="1">
      <c r="A313" s="3" t="s">
        <v>254</v>
      </c>
      <c r="B313" s="1">
        <v>7.3</v>
      </c>
      <c r="C313" s="1" t="s">
        <v>1270</v>
      </c>
      <c r="D313" s="1" t="s">
        <v>917</v>
      </c>
      <c r="E313" s="1" t="s">
        <v>17759</v>
      </c>
      <c r="F313" s="1" t="s">
        <v>17764</v>
      </c>
      <c r="G313" s="1" t="s">
        <v>17471</v>
      </c>
      <c r="H313" s="1"/>
      <c r="I313" s="1"/>
      <c r="J313" s="1"/>
      <c r="K313" s="1" t="s">
        <v>9837</v>
      </c>
    </row>
    <row r="314" ht="14.25" customHeight="1">
      <c r="A314" s="3" t="s">
        <v>254</v>
      </c>
      <c r="B314" s="1">
        <v>6.3</v>
      </c>
      <c r="C314" s="1" t="s">
        <v>1270</v>
      </c>
      <c r="D314" s="1" t="s">
        <v>917</v>
      </c>
      <c r="E314" s="1" t="s">
        <v>17759</v>
      </c>
      <c r="F314" s="1" t="s">
        <v>17764</v>
      </c>
      <c r="G314" s="1" t="s">
        <v>17471</v>
      </c>
      <c r="H314" s="1"/>
      <c r="I314" s="1"/>
      <c r="J314" s="1"/>
      <c r="K314" s="1" t="s">
        <v>14226</v>
      </c>
    </row>
    <row r="315" ht="14.25" customHeight="1">
      <c r="A315" s="3" t="s">
        <v>333</v>
      </c>
      <c r="B315" s="1">
        <v>7.5</v>
      </c>
      <c r="C315" s="1" t="s">
        <v>1270</v>
      </c>
      <c r="D315" s="1" t="s">
        <v>917</v>
      </c>
      <c r="E315" s="1" t="s">
        <v>6019</v>
      </c>
      <c r="F315" s="1" t="s">
        <v>17764</v>
      </c>
      <c r="G315" s="1" t="s">
        <v>17471</v>
      </c>
      <c r="H315" s="1"/>
      <c r="I315" s="1"/>
      <c r="J315" s="1"/>
      <c r="K315" s="1" t="s">
        <v>332</v>
      </c>
    </row>
    <row r="316" ht="14.25" customHeight="1">
      <c r="A316" s="3" t="s">
        <v>333</v>
      </c>
      <c r="B316" s="1">
        <v>7.6</v>
      </c>
      <c r="C316" s="1" t="s">
        <v>1270</v>
      </c>
      <c r="D316" s="1" t="s">
        <v>917</v>
      </c>
      <c r="E316" s="1" t="s">
        <v>6019</v>
      </c>
      <c r="F316" s="1" t="s">
        <v>17764</v>
      </c>
      <c r="G316" s="1" t="s">
        <v>17471</v>
      </c>
      <c r="H316" s="1"/>
      <c r="I316" s="1"/>
      <c r="J316" s="1"/>
      <c r="K316" s="1" t="s">
        <v>2753</v>
      </c>
    </row>
    <row r="317" ht="14.25" customHeight="1">
      <c r="A317" s="3" t="s">
        <v>333</v>
      </c>
      <c r="B317" s="1">
        <v>6.8</v>
      </c>
      <c r="C317" s="1" t="s">
        <v>1270</v>
      </c>
      <c r="D317" s="1" t="s">
        <v>917</v>
      </c>
      <c r="E317" s="1" t="s">
        <v>6019</v>
      </c>
      <c r="F317" s="1" t="s">
        <v>17764</v>
      </c>
      <c r="G317" s="1" t="s">
        <v>17471</v>
      </c>
      <c r="H317" s="1"/>
      <c r="I317" s="1"/>
      <c r="J317" s="1"/>
      <c r="K317" s="1" t="s">
        <v>7319</v>
      </c>
    </row>
    <row r="318" ht="14.25" customHeight="1">
      <c r="A318" s="3" t="s">
        <v>14375</v>
      </c>
      <c r="B318" s="1">
        <v>5.2</v>
      </c>
      <c r="C318" s="1" t="s">
        <v>1270</v>
      </c>
      <c r="D318" s="1" t="s">
        <v>17763</v>
      </c>
      <c r="E318" s="1" t="s">
        <v>6019</v>
      </c>
      <c r="F318" s="1" t="s">
        <v>17764</v>
      </c>
      <c r="G318" s="1" t="s">
        <v>17471</v>
      </c>
      <c r="H318" s="1"/>
      <c r="I318" s="1"/>
      <c r="J318" s="1"/>
      <c r="K318" s="1" t="s">
        <v>14374</v>
      </c>
    </row>
    <row r="319" ht="14.25" customHeight="1">
      <c r="A319" s="3" t="s">
        <v>4093</v>
      </c>
      <c r="B319" s="1">
        <v>7.7</v>
      </c>
      <c r="C319" s="1" t="s">
        <v>1270</v>
      </c>
      <c r="D319" s="1" t="s">
        <v>17759</v>
      </c>
      <c r="E319" s="1" t="s">
        <v>6019</v>
      </c>
      <c r="F319" s="1" t="s">
        <v>17764</v>
      </c>
      <c r="G319" s="1" t="s">
        <v>17471</v>
      </c>
      <c r="H319" s="1"/>
      <c r="I319" s="1"/>
      <c r="J319" s="1"/>
      <c r="K319" s="1" t="s">
        <v>4092</v>
      </c>
    </row>
    <row r="320" ht="14.25" customHeight="1">
      <c r="A320" s="3" t="s">
        <v>4093</v>
      </c>
      <c r="B320" s="1">
        <v>6.2</v>
      </c>
      <c r="C320" s="1" t="s">
        <v>1270</v>
      </c>
      <c r="D320" s="1" t="s">
        <v>17759</v>
      </c>
      <c r="E320" s="1" t="s">
        <v>6019</v>
      </c>
      <c r="F320" s="1" t="s">
        <v>17764</v>
      </c>
      <c r="G320" s="1" t="s">
        <v>17471</v>
      </c>
      <c r="H320" s="1"/>
      <c r="I320" s="1"/>
      <c r="J320" s="1"/>
      <c r="K320" s="1" t="s">
        <v>15933</v>
      </c>
    </row>
    <row r="321" ht="14.25" customHeight="1">
      <c r="A321" s="3" t="s">
        <v>1512</v>
      </c>
      <c r="B321" s="1">
        <v>7.7</v>
      </c>
      <c r="C321" s="1" t="s">
        <v>1270</v>
      </c>
      <c r="D321" s="1" t="s">
        <v>917</v>
      </c>
      <c r="E321" s="1" t="s">
        <v>17761</v>
      </c>
      <c r="F321" s="1" t="s">
        <v>17764</v>
      </c>
      <c r="G321" s="1" t="s">
        <v>17471</v>
      </c>
      <c r="H321" s="1"/>
      <c r="I321" s="1"/>
      <c r="J321" s="1"/>
      <c r="K321" s="1" t="s">
        <v>1511</v>
      </c>
    </row>
    <row r="322" ht="14.25" customHeight="1">
      <c r="A322" s="3" t="s">
        <v>1512</v>
      </c>
      <c r="B322" s="1">
        <v>4.3</v>
      </c>
      <c r="C322" s="1" t="s">
        <v>1270</v>
      </c>
      <c r="D322" s="1" t="s">
        <v>917</v>
      </c>
      <c r="E322" s="1" t="s">
        <v>17761</v>
      </c>
      <c r="F322" s="1" t="s">
        <v>17764</v>
      </c>
      <c r="G322" s="1" t="s">
        <v>17471</v>
      </c>
      <c r="H322" s="1"/>
      <c r="I322" s="1"/>
      <c r="J322" s="1"/>
      <c r="K322" s="1" t="s">
        <v>3334</v>
      </c>
    </row>
    <row r="323" ht="14.25" customHeight="1">
      <c r="A323" s="3" t="s">
        <v>1512</v>
      </c>
      <c r="B323" s="1">
        <v>6.9</v>
      </c>
      <c r="C323" s="1" t="s">
        <v>1270</v>
      </c>
      <c r="D323" s="1" t="s">
        <v>917</v>
      </c>
      <c r="E323" s="1" t="s">
        <v>17761</v>
      </c>
      <c r="F323" s="1" t="s">
        <v>17764</v>
      </c>
      <c r="G323" s="1" t="s">
        <v>17471</v>
      </c>
      <c r="H323" s="1"/>
      <c r="I323" s="1"/>
      <c r="J323" s="1"/>
      <c r="K323" s="1" t="s">
        <v>6554</v>
      </c>
    </row>
    <row r="324" ht="14.25" customHeight="1">
      <c r="A324" s="3" t="s">
        <v>3347</v>
      </c>
      <c r="B324" s="1">
        <v>6.6</v>
      </c>
      <c r="C324" s="1" t="s">
        <v>1270</v>
      </c>
      <c r="D324" s="1" t="s">
        <v>17763</v>
      </c>
      <c r="E324" s="1" t="s">
        <v>17761</v>
      </c>
      <c r="F324" s="1" t="s">
        <v>17764</v>
      </c>
      <c r="G324" s="1" t="s">
        <v>17471</v>
      </c>
      <c r="H324" s="1"/>
      <c r="I324" s="1"/>
      <c r="J324" s="1"/>
      <c r="K324" s="1" t="s">
        <v>3346</v>
      </c>
    </row>
    <row r="325" ht="14.25" customHeight="1">
      <c r="A325" s="3" t="s">
        <v>10393</v>
      </c>
      <c r="B325" s="1">
        <v>7.0</v>
      </c>
      <c r="C325" s="1" t="s">
        <v>17757</v>
      </c>
      <c r="D325" s="1" t="s">
        <v>3238</v>
      </c>
      <c r="E325" s="1" t="s">
        <v>17761</v>
      </c>
      <c r="F325" s="1" t="s">
        <v>17764</v>
      </c>
      <c r="G325" s="1" t="s">
        <v>17471</v>
      </c>
      <c r="H325" s="1"/>
      <c r="I325" s="1"/>
      <c r="J325" s="1"/>
      <c r="K325" s="1" t="s">
        <v>10392</v>
      </c>
    </row>
    <row r="326" ht="14.25" customHeight="1">
      <c r="A326" s="3" t="s">
        <v>7551</v>
      </c>
      <c r="B326" s="1">
        <v>6.7</v>
      </c>
      <c r="C326" s="1" t="s">
        <v>17763</v>
      </c>
      <c r="D326" s="1" t="s">
        <v>3238</v>
      </c>
      <c r="E326" s="1" t="s">
        <v>17761</v>
      </c>
      <c r="F326" s="1" t="s">
        <v>17764</v>
      </c>
      <c r="G326" s="1" t="s">
        <v>17471</v>
      </c>
      <c r="H326" s="1"/>
      <c r="I326" s="1"/>
      <c r="J326" s="1"/>
      <c r="K326" s="1" t="s">
        <v>7550</v>
      </c>
    </row>
    <row r="327" ht="14.25" customHeight="1">
      <c r="A327" s="3" t="s">
        <v>6416</v>
      </c>
      <c r="B327" s="1">
        <v>8.2</v>
      </c>
      <c r="C327" s="1" t="s">
        <v>1270</v>
      </c>
      <c r="D327" s="1" t="s">
        <v>6019</v>
      </c>
      <c r="E327" s="1" t="s">
        <v>17761</v>
      </c>
      <c r="F327" s="1" t="s">
        <v>17764</v>
      </c>
      <c r="G327" s="1" t="s">
        <v>17471</v>
      </c>
      <c r="H327" s="1"/>
      <c r="I327" s="1"/>
      <c r="J327" s="1"/>
      <c r="K327" s="1" t="s">
        <v>6415</v>
      </c>
    </row>
    <row r="328" ht="14.25" customHeight="1">
      <c r="A328" s="3" t="s">
        <v>14968</v>
      </c>
      <c r="B328" s="1">
        <v>8.9</v>
      </c>
      <c r="C328" s="1" t="s">
        <v>3238</v>
      </c>
      <c r="D328" s="1" t="s">
        <v>6019</v>
      </c>
      <c r="E328" s="1" t="s">
        <v>17761</v>
      </c>
      <c r="F328" s="1" t="s">
        <v>17764</v>
      </c>
      <c r="G328" s="1" t="s">
        <v>17471</v>
      </c>
      <c r="H328" s="1"/>
      <c r="I328" s="1"/>
      <c r="J328" s="1"/>
      <c r="K328" s="1" t="s">
        <v>14967</v>
      </c>
    </row>
    <row r="329" ht="14.25" customHeight="1">
      <c r="A329" s="3" t="s">
        <v>1593</v>
      </c>
      <c r="B329" s="1">
        <v>8.7</v>
      </c>
      <c r="C329" s="1" t="s">
        <v>1270</v>
      </c>
      <c r="D329" s="1" t="s">
        <v>917</v>
      </c>
      <c r="E329" s="1" t="s">
        <v>17762</v>
      </c>
      <c r="F329" s="1" t="s">
        <v>17764</v>
      </c>
      <c r="G329" s="1" t="s">
        <v>17471</v>
      </c>
      <c r="H329" s="1"/>
      <c r="I329" s="1"/>
      <c r="J329" s="1"/>
      <c r="K329" s="1" t="s">
        <v>1592</v>
      </c>
    </row>
    <row r="330" ht="14.25" customHeight="1">
      <c r="A330" s="3" t="s">
        <v>1593</v>
      </c>
      <c r="B330" s="1">
        <v>5.5</v>
      </c>
      <c r="C330" s="1" t="s">
        <v>1270</v>
      </c>
      <c r="D330" s="1" t="s">
        <v>917</v>
      </c>
      <c r="E330" s="1" t="s">
        <v>17762</v>
      </c>
      <c r="F330" s="1" t="s">
        <v>17764</v>
      </c>
      <c r="G330" s="1" t="s">
        <v>17471</v>
      </c>
      <c r="H330" s="1"/>
      <c r="I330" s="1"/>
      <c r="J330" s="1"/>
      <c r="K330" s="1" t="s">
        <v>2150</v>
      </c>
    </row>
    <row r="331" ht="14.25" customHeight="1">
      <c r="A331" s="3" t="s">
        <v>1593</v>
      </c>
      <c r="B331" s="1">
        <v>5.7</v>
      </c>
      <c r="C331" s="1" t="s">
        <v>1270</v>
      </c>
      <c r="D331" s="1" t="s">
        <v>917</v>
      </c>
      <c r="E331" s="1" t="s">
        <v>17762</v>
      </c>
      <c r="F331" s="1" t="s">
        <v>17764</v>
      </c>
      <c r="G331" s="1" t="s">
        <v>17471</v>
      </c>
      <c r="H331" s="1"/>
      <c r="I331" s="1"/>
      <c r="J331" s="1"/>
      <c r="K331" s="1" t="s">
        <v>5056</v>
      </c>
    </row>
    <row r="332" ht="14.25" customHeight="1">
      <c r="A332" s="3" t="s">
        <v>1593</v>
      </c>
      <c r="B332" s="1">
        <v>6.3</v>
      </c>
      <c r="C332" s="1" t="s">
        <v>1270</v>
      </c>
      <c r="D332" s="1" t="s">
        <v>917</v>
      </c>
      <c r="E332" s="1" t="s">
        <v>17762</v>
      </c>
      <c r="F332" s="1" t="s">
        <v>17764</v>
      </c>
      <c r="G332" s="1" t="s">
        <v>17471</v>
      </c>
      <c r="H332" s="1"/>
      <c r="I332" s="1"/>
      <c r="J332" s="1"/>
      <c r="K332" s="1" t="s">
        <v>1592</v>
      </c>
    </row>
    <row r="333" ht="14.25" customHeight="1">
      <c r="A333" s="3" t="s">
        <v>2457</v>
      </c>
      <c r="B333" s="1">
        <v>5.9</v>
      </c>
      <c r="C333" s="1" t="s">
        <v>1270</v>
      </c>
      <c r="D333" s="1" t="s">
        <v>3238</v>
      </c>
      <c r="E333" s="1" t="s">
        <v>17762</v>
      </c>
      <c r="F333" s="1" t="s">
        <v>17764</v>
      </c>
      <c r="G333" s="1" t="s">
        <v>17471</v>
      </c>
      <c r="H333" s="1"/>
      <c r="I333" s="1"/>
      <c r="J333" s="1"/>
      <c r="K333" s="1" t="s">
        <v>2456</v>
      </c>
    </row>
    <row r="334" ht="14.25" customHeight="1">
      <c r="A334" s="3" t="s">
        <v>10937</v>
      </c>
      <c r="B334" s="1">
        <v>7.6</v>
      </c>
      <c r="C334" s="1" t="s">
        <v>1270</v>
      </c>
      <c r="D334" s="1" t="s">
        <v>6019</v>
      </c>
      <c r="E334" s="1" t="s">
        <v>17762</v>
      </c>
      <c r="F334" s="1" t="s">
        <v>17764</v>
      </c>
      <c r="G334" s="1" t="s">
        <v>17471</v>
      </c>
      <c r="H334" s="1"/>
      <c r="I334" s="1"/>
      <c r="J334" s="1"/>
      <c r="K334" s="1" t="s">
        <v>10936</v>
      </c>
    </row>
    <row r="335" ht="14.25" customHeight="1">
      <c r="A335" s="3" t="s">
        <v>1947</v>
      </c>
      <c r="B335" s="1">
        <v>6.6</v>
      </c>
      <c r="C335" s="1" t="s">
        <v>3238</v>
      </c>
      <c r="D335" s="1" t="s">
        <v>17761</v>
      </c>
      <c r="E335" s="1" t="s">
        <v>17762</v>
      </c>
      <c r="F335" s="1" t="s">
        <v>17764</v>
      </c>
      <c r="G335" s="1" t="s">
        <v>17471</v>
      </c>
      <c r="H335" s="1"/>
      <c r="I335" s="1"/>
      <c r="J335" s="1"/>
      <c r="K335" s="1" t="s">
        <v>1946</v>
      </c>
    </row>
    <row r="336" ht="14.25" customHeight="1">
      <c r="A336" s="3" t="s">
        <v>3177</v>
      </c>
      <c r="B336" s="1">
        <v>5.3</v>
      </c>
      <c r="C336" s="1" t="s">
        <v>17759</v>
      </c>
      <c r="D336" s="1" t="s">
        <v>17761</v>
      </c>
      <c r="E336" s="1" t="s">
        <v>17762</v>
      </c>
      <c r="F336" s="1" t="s">
        <v>17764</v>
      </c>
      <c r="G336" s="1" t="s">
        <v>17471</v>
      </c>
      <c r="H336" s="1"/>
      <c r="I336" s="1"/>
      <c r="J336" s="1"/>
      <c r="K336" s="1" t="s">
        <v>3176</v>
      </c>
    </row>
    <row r="337" ht="14.25" customHeight="1">
      <c r="A337" s="3" t="s">
        <v>5226</v>
      </c>
      <c r="B337" s="1">
        <v>6.0</v>
      </c>
      <c r="C337" s="1" t="s">
        <v>1270</v>
      </c>
      <c r="D337" s="1" t="s">
        <v>917</v>
      </c>
      <c r="E337" s="1" t="s">
        <v>1885</v>
      </c>
      <c r="F337" s="1" t="s">
        <v>3238</v>
      </c>
      <c r="G337" s="1" t="s">
        <v>9025</v>
      </c>
      <c r="H337" s="1"/>
      <c r="I337" s="1"/>
      <c r="J337" s="1"/>
      <c r="K337" s="1" t="s">
        <v>5225</v>
      </c>
    </row>
    <row r="338" ht="14.25" customHeight="1">
      <c r="A338" s="3" t="s">
        <v>7092</v>
      </c>
      <c r="B338" s="1">
        <v>8.0</v>
      </c>
      <c r="C338" s="1" t="s">
        <v>917</v>
      </c>
      <c r="D338" s="1" t="s">
        <v>17757</v>
      </c>
      <c r="E338" s="1" t="s">
        <v>1885</v>
      </c>
      <c r="F338" s="1" t="s">
        <v>17758</v>
      </c>
      <c r="G338" s="1" t="s">
        <v>9025</v>
      </c>
      <c r="H338" s="1"/>
      <c r="I338" s="1"/>
      <c r="J338" s="1"/>
      <c r="K338" s="1" t="s">
        <v>7091</v>
      </c>
    </row>
    <row r="339" ht="14.25" customHeight="1">
      <c r="A339" s="3" t="s">
        <v>1061</v>
      </c>
      <c r="B339" s="1">
        <v>5.6</v>
      </c>
      <c r="C339" s="1" t="s">
        <v>1270</v>
      </c>
      <c r="D339" s="1" t="s">
        <v>917</v>
      </c>
      <c r="E339" s="1" t="s">
        <v>3238</v>
      </c>
      <c r="F339" s="1" t="s">
        <v>17772</v>
      </c>
      <c r="G339" s="1" t="s">
        <v>9025</v>
      </c>
      <c r="H339" s="1"/>
      <c r="I339" s="1"/>
      <c r="J339" s="1"/>
      <c r="K339" s="1" t="s">
        <v>1060</v>
      </c>
    </row>
    <row r="340" ht="14.25" customHeight="1">
      <c r="A340" s="3" t="s">
        <v>1061</v>
      </c>
      <c r="B340" s="1">
        <v>5.9</v>
      </c>
      <c r="C340" s="1" t="s">
        <v>1270</v>
      </c>
      <c r="D340" s="1" t="s">
        <v>917</v>
      </c>
      <c r="E340" s="1" t="s">
        <v>3238</v>
      </c>
      <c r="F340" s="1" t="s">
        <v>17772</v>
      </c>
      <c r="G340" s="1" t="s">
        <v>9025</v>
      </c>
      <c r="H340" s="1"/>
      <c r="I340" s="1"/>
      <c r="J340" s="1"/>
      <c r="K340" s="1" t="s">
        <v>1571</v>
      </c>
    </row>
    <row r="341" ht="14.25" customHeight="1">
      <c r="A341" s="3" t="s">
        <v>1061</v>
      </c>
      <c r="B341" s="1">
        <v>7.3</v>
      </c>
      <c r="C341" s="1" t="s">
        <v>1270</v>
      </c>
      <c r="D341" s="1" t="s">
        <v>917</v>
      </c>
      <c r="E341" s="1" t="s">
        <v>3238</v>
      </c>
      <c r="F341" s="1" t="s">
        <v>17772</v>
      </c>
      <c r="G341" s="1" t="s">
        <v>9025</v>
      </c>
      <c r="H341" s="1"/>
      <c r="I341" s="1"/>
      <c r="J341" s="1"/>
      <c r="K341" s="1" t="s">
        <v>4262</v>
      </c>
    </row>
    <row r="342" ht="14.25" customHeight="1">
      <c r="A342" s="3" t="s">
        <v>1061</v>
      </c>
      <c r="B342" s="1">
        <v>7.9</v>
      </c>
      <c r="C342" s="1" t="s">
        <v>1270</v>
      </c>
      <c r="D342" s="1" t="s">
        <v>917</v>
      </c>
      <c r="E342" s="1" t="s">
        <v>3238</v>
      </c>
      <c r="F342" s="1" t="s">
        <v>17772</v>
      </c>
      <c r="G342" s="1" t="s">
        <v>9025</v>
      </c>
      <c r="H342" s="1"/>
      <c r="I342" s="1"/>
      <c r="J342" s="1"/>
      <c r="K342" s="1" t="s">
        <v>6531</v>
      </c>
    </row>
    <row r="343" ht="14.25" customHeight="1">
      <c r="A343" s="3" t="s">
        <v>1061</v>
      </c>
      <c r="B343" s="1">
        <v>6.8</v>
      </c>
      <c r="C343" s="1" t="s">
        <v>1270</v>
      </c>
      <c r="D343" s="1" t="s">
        <v>917</v>
      </c>
      <c r="E343" s="1" t="s">
        <v>3238</v>
      </c>
      <c r="F343" s="1" t="s">
        <v>17772</v>
      </c>
      <c r="G343" s="1" t="s">
        <v>9025</v>
      </c>
      <c r="H343" s="1"/>
      <c r="I343" s="1"/>
      <c r="J343" s="1"/>
      <c r="K343" s="1">
        <v>1911.0</v>
      </c>
    </row>
    <row r="344" ht="14.25" customHeight="1">
      <c r="A344" s="3" t="s">
        <v>1061</v>
      </c>
      <c r="B344" s="1">
        <v>6.6</v>
      </c>
      <c r="C344" s="1" t="s">
        <v>1270</v>
      </c>
      <c r="D344" s="1" t="s">
        <v>917</v>
      </c>
      <c r="E344" s="1" t="s">
        <v>3238</v>
      </c>
      <c r="F344" s="1" t="s">
        <v>17772</v>
      </c>
      <c r="G344" s="1" t="s">
        <v>9025</v>
      </c>
      <c r="H344" s="1"/>
      <c r="I344" s="1"/>
      <c r="J344" s="1"/>
      <c r="K344" s="1" t="s">
        <v>13803</v>
      </c>
    </row>
    <row r="345" ht="14.25" customHeight="1">
      <c r="A345" s="3" t="s">
        <v>5089</v>
      </c>
      <c r="B345" s="1">
        <v>6.6</v>
      </c>
      <c r="C345" s="1" t="s">
        <v>1270</v>
      </c>
      <c r="D345" s="1" t="s">
        <v>17765</v>
      </c>
      <c r="E345" s="1" t="s">
        <v>3238</v>
      </c>
      <c r="F345" s="1" t="s">
        <v>17772</v>
      </c>
      <c r="G345" s="1" t="s">
        <v>9025</v>
      </c>
      <c r="H345" s="1"/>
      <c r="I345" s="1"/>
      <c r="J345" s="1"/>
      <c r="K345" s="1" t="s">
        <v>5088</v>
      </c>
    </row>
    <row r="346" ht="14.25" customHeight="1">
      <c r="A346" s="3" t="s">
        <v>3259</v>
      </c>
      <c r="B346" s="1">
        <v>7.0</v>
      </c>
      <c r="C346" s="1" t="s">
        <v>917</v>
      </c>
      <c r="D346" s="1" t="s">
        <v>17765</v>
      </c>
      <c r="E346" s="1" t="s">
        <v>3238</v>
      </c>
      <c r="F346" s="1" t="s">
        <v>17772</v>
      </c>
      <c r="G346" s="1" t="s">
        <v>9025</v>
      </c>
      <c r="H346" s="1"/>
      <c r="I346" s="1"/>
      <c r="J346" s="1"/>
      <c r="K346" s="1" t="s">
        <v>3258</v>
      </c>
    </row>
    <row r="347" ht="14.25" customHeight="1">
      <c r="A347" s="3" t="s">
        <v>3259</v>
      </c>
      <c r="B347" s="1">
        <v>7.0</v>
      </c>
      <c r="C347" s="1" t="s">
        <v>917</v>
      </c>
      <c r="D347" s="1" t="s">
        <v>17765</v>
      </c>
      <c r="E347" s="1" t="s">
        <v>3238</v>
      </c>
      <c r="F347" s="1" t="s">
        <v>17772</v>
      </c>
      <c r="G347" s="1" t="s">
        <v>9025</v>
      </c>
      <c r="H347" s="1"/>
      <c r="I347" s="1"/>
      <c r="J347" s="1"/>
      <c r="K347" s="1" t="s">
        <v>5113</v>
      </c>
    </row>
    <row r="348" ht="14.25" customHeight="1">
      <c r="A348" s="3" t="s">
        <v>3259</v>
      </c>
      <c r="B348" s="1">
        <v>7.3</v>
      </c>
      <c r="C348" s="1" t="s">
        <v>917</v>
      </c>
      <c r="D348" s="1" t="s">
        <v>17765</v>
      </c>
      <c r="E348" s="1" t="s">
        <v>3238</v>
      </c>
      <c r="F348" s="1" t="s">
        <v>17772</v>
      </c>
      <c r="G348" s="1" t="s">
        <v>9025</v>
      </c>
      <c r="H348" s="1"/>
      <c r="I348" s="1"/>
      <c r="J348" s="1"/>
      <c r="K348" s="1" t="s">
        <v>10894</v>
      </c>
    </row>
    <row r="349" ht="14.25" customHeight="1">
      <c r="A349" s="3" t="s">
        <v>3259</v>
      </c>
      <c r="B349" s="1">
        <v>5.5</v>
      </c>
      <c r="C349" s="1" t="s">
        <v>917</v>
      </c>
      <c r="D349" s="1" t="s">
        <v>17765</v>
      </c>
      <c r="E349" s="1" t="s">
        <v>3238</v>
      </c>
      <c r="F349" s="1" t="s">
        <v>17772</v>
      </c>
      <c r="G349" s="1" t="s">
        <v>9025</v>
      </c>
      <c r="H349" s="1"/>
      <c r="I349" s="1"/>
      <c r="J349" s="1"/>
      <c r="K349" s="1" t="s">
        <v>11556</v>
      </c>
    </row>
    <row r="350" ht="14.25" customHeight="1">
      <c r="A350" s="3" t="s">
        <v>3244</v>
      </c>
      <c r="B350" s="1">
        <v>8.5</v>
      </c>
      <c r="C350" s="1" t="s">
        <v>1270</v>
      </c>
      <c r="D350" s="1" t="s">
        <v>3238</v>
      </c>
      <c r="E350" s="1" t="s">
        <v>17759</v>
      </c>
      <c r="F350" s="1" t="s">
        <v>6019</v>
      </c>
      <c r="G350" s="1" t="s">
        <v>9025</v>
      </c>
      <c r="H350" s="1"/>
      <c r="I350" s="1"/>
      <c r="J350" s="1"/>
      <c r="K350" s="1" t="s">
        <v>3243</v>
      </c>
    </row>
    <row r="351" ht="14.25" customHeight="1">
      <c r="A351" s="3" t="s">
        <v>5966</v>
      </c>
      <c r="B351" s="1">
        <v>7.5</v>
      </c>
      <c r="C351" s="1" t="s">
        <v>1270</v>
      </c>
      <c r="D351" s="1" t="s">
        <v>917</v>
      </c>
      <c r="E351" s="1" t="s">
        <v>3238</v>
      </c>
      <c r="F351" s="1" t="s">
        <v>17762</v>
      </c>
      <c r="G351" s="1" t="s">
        <v>9025</v>
      </c>
      <c r="H351" s="1"/>
      <c r="I351" s="1"/>
      <c r="J351" s="1"/>
      <c r="K351" s="1" t="s">
        <v>5965</v>
      </c>
    </row>
    <row r="352" ht="14.25" customHeight="1">
      <c r="A352" s="3" t="s">
        <v>712</v>
      </c>
      <c r="B352" s="1">
        <v>7.0</v>
      </c>
      <c r="C352" s="1" t="s">
        <v>1270</v>
      </c>
      <c r="D352" s="1" t="s">
        <v>3238</v>
      </c>
      <c r="E352" s="1" t="s">
        <v>17772</v>
      </c>
      <c r="F352" s="1" t="s">
        <v>17762</v>
      </c>
      <c r="G352" s="1" t="s">
        <v>9025</v>
      </c>
      <c r="H352" s="1"/>
      <c r="I352" s="1"/>
      <c r="J352" s="1"/>
      <c r="K352" s="1" t="s">
        <v>711</v>
      </c>
    </row>
    <row r="353" ht="14.25" customHeight="1">
      <c r="A353" s="3" t="s">
        <v>712</v>
      </c>
      <c r="B353" s="1">
        <v>7.8</v>
      </c>
      <c r="C353" s="1" t="s">
        <v>1270</v>
      </c>
      <c r="D353" s="1" t="s">
        <v>3238</v>
      </c>
      <c r="E353" s="1" t="s">
        <v>17772</v>
      </c>
      <c r="F353" s="1" t="s">
        <v>17762</v>
      </c>
      <c r="G353" s="1" t="s">
        <v>9025</v>
      </c>
      <c r="H353" s="1"/>
      <c r="I353" s="1"/>
      <c r="J353" s="1"/>
      <c r="K353" s="1" t="s">
        <v>6482</v>
      </c>
    </row>
    <row r="354" ht="14.25" customHeight="1">
      <c r="A354" s="3" t="s">
        <v>2531</v>
      </c>
      <c r="B354" s="1">
        <v>7.6</v>
      </c>
      <c r="C354" s="1" t="s">
        <v>917</v>
      </c>
      <c r="D354" s="1" t="s">
        <v>3238</v>
      </c>
      <c r="E354" s="1" t="s">
        <v>17772</v>
      </c>
      <c r="F354" s="1" t="s">
        <v>17762</v>
      </c>
      <c r="G354" s="1" t="s">
        <v>9025</v>
      </c>
      <c r="H354" s="1"/>
      <c r="I354" s="1"/>
      <c r="J354" s="1"/>
      <c r="K354" s="1" t="s">
        <v>2530</v>
      </c>
    </row>
    <row r="355" ht="14.25" customHeight="1">
      <c r="A355" s="3" t="s">
        <v>9650</v>
      </c>
      <c r="B355" s="1">
        <v>7.6</v>
      </c>
      <c r="C355" s="1" t="s">
        <v>3238</v>
      </c>
      <c r="D355" s="1" t="s">
        <v>17772</v>
      </c>
      <c r="E355" s="1" t="s">
        <v>17774</v>
      </c>
      <c r="F355" s="1" t="s">
        <v>17762</v>
      </c>
      <c r="G355" s="1" t="s">
        <v>9025</v>
      </c>
      <c r="H355" s="1"/>
      <c r="I355" s="1"/>
      <c r="J355" s="1"/>
      <c r="K355" s="1" t="s">
        <v>9649</v>
      </c>
    </row>
    <row r="356" ht="14.25" customHeight="1">
      <c r="A356" s="3" t="s">
        <v>9629</v>
      </c>
      <c r="B356" s="1">
        <v>6.8</v>
      </c>
      <c r="C356" s="1" t="s">
        <v>1885</v>
      </c>
      <c r="D356" s="1" t="s">
        <v>3238</v>
      </c>
      <c r="E356" s="1" t="s">
        <v>17760</v>
      </c>
      <c r="F356" s="1" t="s">
        <v>17762</v>
      </c>
      <c r="G356" s="1" t="s">
        <v>9025</v>
      </c>
      <c r="H356" s="1"/>
      <c r="I356" s="1"/>
      <c r="J356" s="1"/>
      <c r="K356" s="1" t="s">
        <v>9628</v>
      </c>
    </row>
    <row r="357" ht="14.25" customHeight="1">
      <c r="A357" s="3" t="s">
        <v>12592</v>
      </c>
      <c r="B357" s="1">
        <v>5.0</v>
      </c>
      <c r="C357" s="1" t="s">
        <v>1270</v>
      </c>
      <c r="D357" s="1" t="s">
        <v>917</v>
      </c>
      <c r="E357" s="1" t="s">
        <v>3238</v>
      </c>
      <c r="F357" s="1" t="s">
        <v>17471</v>
      </c>
      <c r="G357" s="1" t="s">
        <v>9025</v>
      </c>
      <c r="H357" s="1"/>
      <c r="I357" s="1"/>
      <c r="J357" s="1"/>
      <c r="K357" s="1" t="s">
        <v>12591</v>
      </c>
    </row>
    <row r="358" ht="14.25" customHeight="1">
      <c r="A358" s="3" t="s">
        <v>5890</v>
      </c>
      <c r="B358" s="1">
        <v>7.1</v>
      </c>
      <c r="C358" s="1" t="s">
        <v>1270</v>
      </c>
      <c r="D358" s="1" t="s">
        <v>17765</v>
      </c>
      <c r="E358" s="1" t="s">
        <v>3238</v>
      </c>
      <c r="F358" s="1" t="s">
        <v>17471</v>
      </c>
      <c r="G358" s="1" t="s">
        <v>9025</v>
      </c>
      <c r="H358" s="1"/>
      <c r="I358" s="1"/>
      <c r="J358" s="1"/>
      <c r="K358" s="1" t="s">
        <v>5889</v>
      </c>
    </row>
    <row r="359" ht="14.25" customHeight="1">
      <c r="A359" s="3" t="s">
        <v>5588</v>
      </c>
      <c r="B359" s="1">
        <v>5.5</v>
      </c>
      <c r="C359" s="1" t="s">
        <v>1270</v>
      </c>
      <c r="D359" s="1" t="s">
        <v>17763</v>
      </c>
      <c r="E359" s="1" t="s">
        <v>3238</v>
      </c>
      <c r="F359" s="1" t="s">
        <v>17471</v>
      </c>
      <c r="G359" s="1" t="s">
        <v>9025</v>
      </c>
      <c r="H359" s="1"/>
      <c r="I359" s="1"/>
      <c r="J359" s="1"/>
      <c r="K359" s="1" t="s">
        <v>5587</v>
      </c>
    </row>
    <row r="360" ht="14.25" customHeight="1">
      <c r="A360" s="3" t="s">
        <v>11936</v>
      </c>
      <c r="B360" s="1">
        <v>5.6</v>
      </c>
      <c r="C360" s="1" t="s">
        <v>1885</v>
      </c>
      <c r="D360" s="1" t="s">
        <v>17763</v>
      </c>
      <c r="E360" s="1" t="s">
        <v>3238</v>
      </c>
      <c r="F360" s="1" t="s">
        <v>17471</v>
      </c>
      <c r="G360" s="1" t="s">
        <v>9025</v>
      </c>
      <c r="H360" s="1"/>
      <c r="I360" s="1"/>
      <c r="J360" s="1"/>
      <c r="K360" s="1" t="s">
        <v>11935</v>
      </c>
    </row>
    <row r="361" ht="14.25" customHeight="1">
      <c r="A361" s="3" t="s">
        <v>11816</v>
      </c>
      <c r="B361" s="1">
        <v>7.1</v>
      </c>
      <c r="C361" s="1" t="s">
        <v>17765</v>
      </c>
      <c r="D361" s="1" t="s">
        <v>3238</v>
      </c>
      <c r="E361" s="1" t="s">
        <v>17772</v>
      </c>
      <c r="F361" s="1" t="s">
        <v>17471</v>
      </c>
      <c r="G361" s="1" t="s">
        <v>9025</v>
      </c>
      <c r="H361" s="1"/>
      <c r="I361" s="1"/>
      <c r="J361" s="1"/>
      <c r="K361" s="1" t="s">
        <v>11815</v>
      </c>
    </row>
    <row r="362" ht="14.25" customHeight="1">
      <c r="A362" s="3" t="s">
        <v>5327</v>
      </c>
      <c r="B362" s="1">
        <v>4.9</v>
      </c>
      <c r="C362" s="1" t="s">
        <v>1270</v>
      </c>
      <c r="D362" s="1" t="s">
        <v>3238</v>
      </c>
      <c r="E362" s="1" t="s">
        <v>17761</v>
      </c>
      <c r="F362" s="1" t="s">
        <v>17471</v>
      </c>
      <c r="G362" s="1" t="s">
        <v>9025</v>
      </c>
      <c r="H362" s="1"/>
      <c r="I362" s="1"/>
      <c r="J362" s="1"/>
      <c r="K362" s="1" t="s">
        <v>5326</v>
      </c>
    </row>
    <row r="363" ht="14.25" customHeight="1">
      <c r="A363" s="3" t="s">
        <v>10254</v>
      </c>
      <c r="B363" s="1">
        <v>7.4</v>
      </c>
      <c r="C363" s="1" t="s">
        <v>3238</v>
      </c>
      <c r="D363" s="1" t="s">
        <v>17761</v>
      </c>
      <c r="E363" s="1" t="s">
        <v>17762</v>
      </c>
      <c r="F363" s="1" t="s">
        <v>17471</v>
      </c>
      <c r="G363" s="1" t="s">
        <v>9025</v>
      </c>
      <c r="H363" s="1"/>
      <c r="I363" s="1"/>
      <c r="J363" s="1"/>
      <c r="K363" s="1" t="s">
        <v>10253</v>
      </c>
    </row>
    <row r="364" ht="14.25" customHeight="1">
      <c r="A364" s="3" t="s">
        <v>3665</v>
      </c>
      <c r="B364" s="1">
        <v>5.7</v>
      </c>
      <c r="C364" s="1" t="s">
        <v>917</v>
      </c>
      <c r="D364" s="1" t="s">
        <v>17765</v>
      </c>
      <c r="E364" s="1" t="s">
        <v>17763</v>
      </c>
      <c r="F364" s="1" t="s">
        <v>3238</v>
      </c>
      <c r="G364" s="1" t="s">
        <v>14463</v>
      </c>
      <c r="H364" s="1"/>
      <c r="I364" s="1"/>
      <c r="J364" s="1"/>
      <c r="K364" s="1" t="s">
        <v>3664</v>
      </c>
    </row>
    <row r="365" ht="14.25" customHeight="1">
      <c r="A365" s="3" t="s">
        <v>1101</v>
      </c>
      <c r="B365" s="1">
        <v>6.4</v>
      </c>
      <c r="C365" s="1" t="s">
        <v>917</v>
      </c>
      <c r="D365" s="1" t="s">
        <v>17757</v>
      </c>
      <c r="E365" s="1" t="s">
        <v>1885</v>
      </c>
      <c r="F365" s="1" t="s">
        <v>17758</v>
      </c>
      <c r="G365" s="1" t="s">
        <v>14463</v>
      </c>
      <c r="H365" s="1"/>
      <c r="I365" s="1"/>
      <c r="J365" s="1"/>
      <c r="K365" s="1" t="s">
        <v>1100</v>
      </c>
    </row>
    <row r="366" ht="14.25" customHeight="1">
      <c r="A366" s="3" t="s">
        <v>8491</v>
      </c>
      <c r="B366" s="1">
        <v>5.9</v>
      </c>
      <c r="C366" s="1" t="s">
        <v>1270</v>
      </c>
      <c r="D366" s="1" t="s">
        <v>17763</v>
      </c>
      <c r="E366" s="1" t="s">
        <v>3238</v>
      </c>
      <c r="F366" s="1" t="s">
        <v>17772</v>
      </c>
      <c r="G366" s="1" t="s">
        <v>14463</v>
      </c>
      <c r="H366" s="1"/>
      <c r="I366" s="1"/>
      <c r="J366" s="1"/>
      <c r="K366" s="1" t="s">
        <v>8490</v>
      </c>
    </row>
    <row r="367" ht="14.25" customHeight="1">
      <c r="A367" s="3" t="s">
        <v>8139</v>
      </c>
      <c r="B367" s="1">
        <v>5.5</v>
      </c>
      <c r="C367" s="1" t="s">
        <v>17765</v>
      </c>
      <c r="D367" s="1" t="s">
        <v>17763</v>
      </c>
      <c r="E367" s="1" t="s">
        <v>3238</v>
      </c>
      <c r="F367" s="1" t="s">
        <v>17772</v>
      </c>
      <c r="G367" s="1" t="s">
        <v>14463</v>
      </c>
      <c r="H367" s="1"/>
      <c r="I367" s="1"/>
      <c r="J367" s="1"/>
      <c r="K367" s="1" t="s">
        <v>8138</v>
      </c>
    </row>
    <row r="368" ht="14.25" customHeight="1">
      <c r="A368" s="3" t="s">
        <v>1506</v>
      </c>
      <c r="B368" s="1">
        <v>6.9</v>
      </c>
      <c r="C368" s="1" t="s">
        <v>17757</v>
      </c>
      <c r="D368" s="1" t="s">
        <v>1885</v>
      </c>
      <c r="E368" s="1" t="s">
        <v>17758</v>
      </c>
      <c r="F368" s="1" t="s">
        <v>17774</v>
      </c>
      <c r="G368" s="1" t="s">
        <v>14463</v>
      </c>
      <c r="H368" s="1"/>
      <c r="I368" s="1"/>
      <c r="J368" s="1"/>
      <c r="K368" s="1" t="s">
        <v>1505</v>
      </c>
    </row>
    <row r="369" ht="14.25" customHeight="1">
      <c r="A369" s="3" t="s">
        <v>11870</v>
      </c>
      <c r="B369" s="1">
        <v>6.2</v>
      </c>
      <c r="C369" s="1" t="s">
        <v>917</v>
      </c>
      <c r="D369" s="1" t="s">
        <v>17763</v>
      </c>
      <c r="E369" s="1" t="s">
        <v>3238</v>
      </c>
      <c r="F369" s="1" t="s">
        <v>17761</v>
      </c>
      <c r="G369" s="1" t="s">
        <v>14463</v>
      </c>
      <c r="H369" s="1"/>
      <c r="I369" s="1"/>
      <c r="J369" s="1"/>
      <c r="K369" s="1" t="s">
        <v>11869</v>
      </c>
    </row>
    <row r="370" ht="14.25" customHeight="1">
      <c r="A370" s="3" t="s">
        <v>10092</v>
      </c>
      <c r="B370" s="1">
        <v>7.0</v>
      </c>
      <c r="C370" s="1" t="s">
        <v>1270</v>
      </c>
      <c r="D370" s="1" t="s">
        <v>917</v>
      </c>
      <c r="E370" s="1" t="s">
        <v>3238</v>
      </c>
      <c r="F370" s="1" t="s">
        <v>17762</v>
      </c>
      <c r="G370" s="1" t="s">
        <v>14463</v>
      </c>
      <c r="H370" s="1"/>
      <c r="I370" s="1"/>
      <c r="J370" s="1"/>
      <c r="K370" s="1" t="s">
        <v>10091</v>
      </c>
    </row>
    <row r="371" ht="14.25" customHeight="1">
      <c r="A371" s="3" t="s">
        <v>15668</v>
      </c>
      <c r="B371" s="1">
        <v>5.6</v>
      </c>
      <c r="C371" s="1" t="s">
        <v>17765</v>
      </c>
      <c r="D371" s="1" t="s">
        <v>1885</v>
      </c>
      <c r="E371" s="1" t="s">
        <v>17760</v>
      </c>
      <c r="F371" s="1" t="s">
        <v>17762</v>
      </c>
      <c r="G371" s="1" t="s">
        <v>14463</v>
      </c>
      <c r="H371" s="1"/>
      <c r="I371" s="1"/>
      <c r="J371" s="1"/>
      <c r="K371" s="1" t="s">
        <v>15667</v>
      </c>
    </row>
    <row r="372" ht="14.25" customHeight="1">
      <c r="A372" s="3" t="s">
        <v>6636</v>
      </c>
      <c r="B372" s="1">
        <v>7.0</v>
      </c>
      <c r="C372" s="1" t="s">
        <v>1270</v>
      </c>
      <c r="D372" s="1" t="s">
        <v>917</v>
      </c>
      <c r="E372" s="1" t="s">
        <v>3238</v>
      </c>
      <c r="F372" s="1" t="s">
        <v>17471</v>
      </c>
      <c r="G372" s="1" t="s">
        <v>14463</v>
      </c>
      <c r="H372" s="1"/>
      <c r="I372" s="1"/>
      <c r="J372" s="1"/>
      <c r="K372" s="1" t="s">
        <v>6635</v>
      </c>
    </row>
    <row r="373" ht="14.25" customHeight="1">
      <c r="A373" s="3" t="s">
        <v>9467</v>
      </c>
      <c r="B373" s="1">
        <v>6.8</v>
      </c>
      <c r="C373" s="1" t="s">
        <v>1270</v>
      </c>
      <c r="D373" s="1" t="s">
        <v>17763</v>
      </c>
      <c r="E373" s="1" t="s">
        <v>3238</v>
      </c>
      <c r="F373" s="1" t="s">
        <v>17471</v>
      </c>
      <c r="G373" s="1" t="s">
        <v>14463</v>
      </c>
      <c r="H373" s="1"/>
      <c r="I373" s="1"/>
      <c r="J373" s="1"/>
      <c r="K373" s="1" t="s">
        <v>9466</v>
      </c>
    </row>
    <row r="374" ht="14.25" customHeight="1">
      <c r="A374" s="3" t="s">
        <v>9467</v>
      </c>
      <c r="B374" s="1">
        <v>5.4</v>
      </c>
      <c r="C374" s="1" t="s">
        <v>1270</v>
      </c>
      <c r="D374" s="1" t="s">
        <v>17763</v>
      </c>
      <c r="E374" s="1" t="s">
        <v>3238</v>
      </c>
      <c r="F374" s="1" t="s">
        <v>17471</v>
      </c>
      <c r="G374" s="1" t="s">
        <v>14463</v>
      </c>
      <c r="H374" s="1"/>
      <c r="I374" s="1"/>
      <c r="J374" s="1"/>
      <c r="K374" s="1" t="s">
        <v>12245</v>
      </c>
    </row>
    <row r="375" ht="14.25" customHeight="1">
      <c r="A375" s="3" t="s">
        <v>9467</v>
      </c>
      <c r="B375" s="1">
        <v>6.1</v>
      </c>
      <c r="C375" s="1" t="s">
        <v>1270</v>
      </c>
      <c r="D375" s="1" t="s">
        <v>17763</v>
      </c>
      <c r="E375" s="1" t="s">
        <v>3238</v>
      </c>
      <c r="F375" s="1" t="s">
        <v>17471</v>
      </c>
      <c r="G375" s="1" t="s">
        <v>14463</v>
      </c>
      <c r="H375" s="1"/>
      <c r="I375" s="1"/>
      <c r="J375" s="1"/>
      <c r="K375" s="1" t="s">
        <v>15153</v>
      </c>
    </row>
    <row r="376" ht="14.25" customHeight="1">
      <c r="A376" s="3" t="s">
        <v>5321</v>
      </c>
      <c r="B376" s="1">
        <v>6.7</v>
      </c>
      <c r="C376" s="1" t="s">
        <v>1270</v>
      </c>
      <c r="D376" s="1" t="s">
        <v>3238</v>
      </c>
      <c r="E376" s="1" t="s">
        <v>17759</v>
      </c>
      <c r="F376" s="1" t="s">
        <v>17471</v>
      </c>
      <c r="G376" s="1" t="s">
        <v>14463</v>
      </c>
      <c r="H376" s="1"/>
      <c r="I376" s="1"/>
      <c r="J376" s="1"/>
      <c r="K376" s="1" t="s">
        <v>5320</v>
      </c>
    </row>
    <row r="377" ht="14.25" customHeight="1">
      <c r="A377" s="3" t="s">
        <v>3708</v>
      </c>
      <c r="B377" s="1">
        <v>4.3</v>
      </c>
      <c r="C377" s="1" t="s">
        <v>17763</v>
      </c>
      <c r="D377" s="1" t="s">
        <v>3238</v>
      </c>
      <c r="E377" s="1" t="s">
        <v>17761</v>
      </c>
      <c r="F377" s="1" t="s">
        <v>17471</v>
      </c>
      <c r="G377" s="1" t="s">
        <v>14463</v>
      </c>
      <c r="H377" s="1"/>
      <c r="I377" s="1"/>
      <c r="J377" s="1"/>
      <c r="K377" s="1" t="s">
        <v>3707</v>
      </c>
    </row>
    <row r="378" ht="14.25" customHeight="1">
      <c r="A378" s="3" t="s">
        <v>1319</v>
      </c>
      <c r="B378" s="1">
        <v>6.9</v>
      </c>
      <c r="C378" s="1" t="s">
        <v>1270</v>
      </c>
      <c r="D378" s="1" t="s">
        <v>917</v>
      </c>
      <c r="E378" s="1" t="s">
        <v>1885</v>
      </c>
      <c r="F378" s="1" t="s">
        <v>17763</v>
      </c>
      <c r="G378" s="1"/>
      <c r="H378" s="1"/>
      <c r="I378" s="1"/>
      <c r="J378" s="1"/>
      <c r="K378" s="1" t="s">
        <v>1318</v>
      </c>
    </row>
    <row r="379" ht="14.25" customHeight="1">
      <c r="A379" s="3" t="s">
        <v>1319</v>
      </c>
      <c r="B379" s="1">
        <v>8.0</v>
      </c>
      <c r="C379" s="1" t="s">
        <v>1270</v>
      </c>
      <c r="D379" s="1" t="s">
        <v>917</v>
      </c>
      <c r="E379" s="1" t="s">
        <v>1885</v>
      </c>
      <c r="F379" s="1" t="s">
        <v>17763</v>
      </c>
      <c r="G379" s="1"/>
      <c r="H379" s="1"/>
      <c r="I379" s="1"/>
      <c r="J379" s="1"/>
      <c r="K379" s="1" t="s">
        <v>3874</v>
      </c>
    </row>
    <row r="380" ht="14.25" customHeight="1">
      <c r="A380" s="3" t="s">
        <v>1319</v>
      </c>
      <c r="B380" s="1">
        <v>4.4</v>
      </c>
      <c r="C380" s="1" t="s">
        <v>1270</v>
      </c>
      <c r="D380" s="1" t="s">
        <v>917</v>
      </c>
      <c r="E380" s="1" t="s">
        <v>1885</v>
      </c>
      <c r="F380" s="1" t="s">
        <v>17763</v>
      </c>
      <c r="G380" s="1"/>
      <c r="H380" s="1"/>
      <c r="I380" s="1"/>
      <c r="J380" s="1"/>
      <c r="K380" s="1" t="s">
        <v>5621</v>
      </c>
    </row>
    <row r="381" ht="14.25" customHeight="1">
      <c r="A381" s="3" t="s">
        <v>1319</v>
      </c>
      <c r="B381" s="1">
        <v>7.3</v>
      </c>
      <c r="C381" s="1" t="s">
        <v>1270</v>
      </c>
      <c r="D381" s="1" t="s">
        <v>917</v>
      </c>
      <c r="E381" s="1" t="s">
        <v>1885</v>
      </c>
      <c r="F381" s="1" t="s">
        <v>17763</v>
      </c>
      <c r="G381" s="1"/>
      <c r="H381" s="1"/>
      <c r="I381" s="1"/>
      <c r="J381" s="1"/>
      <c r="K381" s="1" t="s">
        <v>6798</v>
      </c>
    </row>
    <row r="382" ht="14.25" customHeight="1">
      <c r="A382" s="3" t="s">
        <v>1319</v>
      </c>
      <c r="B382" s="1">
        <v>6.3</v>
      </c>
      <c r="C382" s="1" t="s">
        <v>1270</v>
      </c>
      <c r="D382" s="1" t="s">
        <v>917</v>
      </c>
      <c r="E382" s="1" t="s">
        <v>1885</v>
      </c>
      <c r="F382" s="1" t="s">
        <v>17763</v>
      </c>
      <c r="G382" s="1"/>
      <c r="H382" s="1"/>
      <c r="I382" s="1"/>
      <c r="J382" s="1"/>
      <c r="K382" s="1" t="s">
        <v>8840</v>
      </c>
    </row>
    <row r="383" ht="14.25" customHeight="1">
      <c r="A383" s="3" t="s">
        <v>1319</v>
      </c>
      <c r="B383" s="1">
        <v>6.7</v>
      </c>
      <c r="C383" s="1" t="s">
        <v>1270</v>
      </c>
      <c r="D383" s="1" t="s">
        <v>917</v>
      </c>
      <c r="E383" s="1" t="s">
        <v>1885</v>
      </c>
      <c r="F383" s="1" t="s">
        <v>17763</v>
      </c>
      <c r="G383" s="1"/>
      <c r="H383" s="1"/>
      <c r="I383" s="1"/>
      <c r="J383" s="1"/>
      <c r="K383" s="1" t="s">
        <v>13688</v>
      </c>
    </row>
    <row r="384" ht="14.25" customHeight="1">
      <c r="A384" s="3" t="s">
        <v>12605</v>
      </c>
      <c r="B384" s="1">
        <v>7.7</v>
      </c>
      <c r="C384" s="1" t="s">
        <v>917</v>
      </c>
      <c r="D384" s="1" t="s">
        <v>17757</v>
      </c>
      <c r="E384" s="1" t="s">
        <v>1885</v>
      </c>
      <c r="F384" s="1" t="s">
        <v>17763</v>
      </c>
      <c r="G384" s="1"/>
      <c r="H384" s="1"/>
      <c r="I384" s="1"/>
      <c r="J384" s="1"/>
      <c r="K384" s="1" t="s">
        <v>12604</v>
      </c>
    </row>
    <row r="385" ht="14.25" customHeight="1">
      <c r="A385" s="3" t="s">
        <v>8147</v>
      </c>
      <c r="B385" s="1">
        <v>6.5</v>
      </c>
      <c r="C385" s="1" t="s">
        <v>1270</v>
      </c>
      <c r="D385" s="1" t="s">
        <v>17765</v>
      </c>
      <c r="E385" s="1" t="s">
        <v>17763</v>
      </c>
      <c r="F385" s="1" t="s">
        <v>3238</v>
      </c>
      <c r="G385" s="1"/>
      <c r="H385" s="1"/>
      <c r="I385" s="1"/>
      <c r="J385" s="1"/>
      <c r="K385" s="1" t="s">
        <v>8146</v>
      </c>
    </row>
    <row r="386" ht="14.25" customHeight="1">
      <c r="A386" s="3" t="s">
        <v>8147</v>
      </c>
      <c r="B386" s="1">
        <v>7.8</v>
      </c>
      <c r="C386" s="1" t="s">
        <v>1270</v>
      </c>
      <c r="D386" s="1" t="s">
        <v>17765</v>
      </c>
      <c r="E386" s="1" t="s">
        <v>17763</v>
      </c>
      <c r="F386" s="1" t="s">
        <v>3238</v>
      </c>
      <c r="G386" s="1"/>
      <c r="H386" s="1"/>
      <c r="I386" s="1"/>
      <c r="J386" s="1"/>
      <c r="K386" s="1" t="s">
        <v>10522</v>
      </c>
    </row>
    <row r="387" ht="14.25" customHeight="1">
      <c r="A387" s="3" t="s">
        <v>4281</v>
      </c>
      <c r="B387" s="1">
        <v>6.4</v>
      </c>
      <c r="C387" s="1" t="s">
        <v>1270</v>
      </c>
      <c r="D387" s="1" t="s">
        <v>1885</v>
      </c>
      <c r="E387" s="1" t="s">
        <v>17763</v>
      </c>
      <c r="F387" s="1" t="s">
        <v>3238</v>
      </c>
      <c r="G387" s="1"/>
      <c r="H387" s="1"/>
      <c r="I387" s="1"/>
      <c r="J387" s="1"/>
      <c r="K387" s="1" t="s">
        <v>4280</v>
      </c>
    </row>
    <row r="388" ht="14.25" customHeight="1">
      <c r="A388" s="3" t="s">
        <v>7536</v>
      </c>
      <c r="B388" s="1">
        <v>7.8</v>
      </c>
      <c r="C388" s="1" t="s">
        <v>917</v>
      </c>
      <c r="D388" s="1" t="s">
        <v>1885</v>
      </c>
      <c r="E388" s="1" t="s">
        <v>17763</v>
      </c>
      <c r="F388" s="1" t="s">
        <v>3238</v>
      </c>
      <c r="G388" s="1"/>
      <c r="H388" s="1"/>
      <c r="I388" s="1"/>
      <c r="J388" s="1"/>
      <c r="K388" s="1" t="s">
        <v>7535</v>
      </c>
    </row>
    <row r="389" ht="14.25" customHeight="1">
      <c r="A389" s="3" t="s">
        <v>1749</v>
      </c>
      <c r="B389" s="1">
        <v>5.8</v>
      </c>
      <c r="C389" s="1" t="s">
        <v>17765</v>
      </c>
      <c r="D389" s="1" t="s">
        <v>1885</v>
      </c>
      <c r="E389" s="1" t="s">
        <v>17763</v>
      </c>
      <c r="F389" s="1" t="s">
        <v>3238</v>
      </c>
      <c r="G389" s="1"/>
      <c r="H389" s="1"/>
      <c r="I389" s="1"/>
      <c r="J389" s="1"/>
      <c r="K389" s="1" t="s">
        <v>1748</v>
      </c>
    </row>
    <row r="390" ht="14.25" customHeight="1">
      <c r="A390" s="3" t="s">
        <v>1749</v>
      </c>
      <c r="B390" s="1">
        <v>7.1</v>
      </c>
      <c r="C390" s="1" t="s">
        <v>17765</v>
      </c>
      <c r="D390" s="1" t="s">
        <v>1885</v>
      </c>
      <c r="E390" s="1" t="s">
        <v>17763</v>
      </c>
      <c r="F390" s="1" t="s">
        <v>3238</v>
      </c>
      <c r="G390" s="1"/>
      <c r="H390" s="1"/>
      <c r="I390" s="1"/>
      <c r="J390" s="1"/>
      <c r="K390" s="1" t="s">
        <v>12416</v>
      </c>
    </row>
    <row r="391" ht="14.25" customHeight="1">
      <c r="A391" s="3" t="s">
        <v>1749</v>
      </c>
      <c r="B391" s="1">
        <v>7.1</v>
      </c>
      <c r="C391" s="1" t="s">
        <v>17765</v>
      </c>
      <c r="D391" s="1" t="s">
        <v>1885</v>
      </c>
      <c r="E391" s="1" t="s">
        <v>17763</v>
      </c>
      <c r="F391" s="1" t="s">
        <v>3238</v>
      </c>
      <c r="G391" s="1"/>
      <c r="H391" s="1"/>
      <c r="I391" s="1"/>
      <c r="J391" s="1"/>
      <c r="K391" s="1" t="s">
        <v>12525</v>
      </c>
    </row>
    <row r="392" ht="14.25" customHeight="1">
      <c r="A392" s="3" t="s">
        <v>16979</v>
      </c>
      <c r="B392" s="1">
        <v>6.8</v>
      </c>
      <c r="C392" s="1" t="s">
        <v>917</v>
      </c>
      <c r="D392" s="1" t="s">
        <v>17765</v>
      </c>
      <c r="E392" s="1" t="s">
        <v>15542</v>
      </c>
      <c r="F392" s="1" t="s">
        <v>3238</v>
      </c>
      <c r="G392" s="1"/>
      <c r="H392" s="1"/>
      <c r="I392" s="1"/>
      <c r="J392" s="1"/>
      <c r="K392" s="1" t="s">
        <v>16978</v>
      </c>
    </row>
    <row r="393" ht="14.25" customHeight="1">
      <c r="A393" s="3" t="s">
        <v>1979</v>
      </c>
      <c r="B393" s="1">
        <v>4.8</v>
      </c>
      <c r="C393" s="1" t="s">
        <v>1270</v>
      </c>
      <c r="D393" s="1" t="s">
        <v>917</v>
      </c>
      <c r="E393" s="1" t="s">
        <v>17757</v>
      </c>
      <c r="F393" s="1" t="s">
        <v>17758</v>
      </c>
      <c r="G393" s="1"/>
      <c r="H393" s="1"/>
      <c r="I393" s="1"/>
      <c r="J393" s="1"/>
      <c r="K393" s="1" t="s">
        <v>1978</v>
      </c>
    </row>
    <row r="394" ht="14.25" customHeight="1">
      <c r="A394" s="3" t="s">
        <v>12457</v>
      </c>
      <c r="B394" s="1">
        <v>6.2</v>
      </c>
      <c r="C394" s="1" t="s">
        <v>1270</v>
      </c>
      <c r="D394" s="1" t="s">
        <v>917</v>
      </c>
      <c r="E394" s="1" t="s">
        <v>1885</v>
      </c>
      <c r="F394" s="1" t="s">
        <v>17758</v>
      </c>
      <c r="G394" s="1"/>
      <c r="H394" s="1"/>
      <c r="I394" s="1"/>
      <c r="J394" s="1"/>
      <c r="K394" s="1" t="s">
        <v>12456</v>
      </c>
    </row>
    <row r="395" ht="14.25" customHeight="1">
      <c r="A395" s="3" t="s">
        <v>3043</v>
      </c>
      <c r="B395" s="1">
        <v>6.9</v>
      </c>
      <c r="C395" s="1" t="s">
        <v>1270</v>
      </c>
      <c r="D395" s="1" t="s">
        <v>17757</v>
      </c>
      <c r="E395" s="1" t="s">
        <v>1885</v>
      </c>
      <c r="F395" s="1" t="s">
        <v>17758</v>
      </c>
      <c r="G395" s="1"/>
      <c r="H395" s="1"/>
      <c r="I395" s="1"/>
      <c r="J395" s="1"/>
      <c r="K395" s="1" t="s">
        <v>3042</v>
      </c>
    </row>
    <row r="396" ht="14.25" customHeight="1">
      <c r="A396" s="3" t="s">
        <v>456</v>
      </c>
      <c r="B396" s="1">
        <v>7.3</v>
      </c>
      <c r="C396" s="1" t="s">
        <v>917</v>
      </c>
      <c r="D396" s="1" t="s">
        <v>17757</v>
      </c>
      <c r="E396" s="1" t="s">
        <v>1885</v>
      </c>
      <c r="F396" s="1" t="s">
        <v>17758</v>
      </c>
      <c r="G396" s="1"/>
      <c r="H396" s="1"/>
      <c r="I396" s="1"/>
      <c r="J396" s="1"/>
      <c r="K396" s="1" t="s">
        <v>455</v>
      </c>
    </row>
    <row r="397" ht="14.25" customHeight="1">
      <c r="A397" s="3" t="s">
        <v>456</v>
      </c>
      <c r="B397" s="1">
        <v>6.6</v>
      </c>
      <c r="C397" s="1" t="s">
        <v>917</v>
      </c>
      <c r="D397" s="1" t="s">
        <v>17757</v>
      </c>
      <c r="E397" s="1" t="s">
        <v>1885</v>
      </c>
      <c r="F397" s="1" t="s">
        <v>17758</v>
      </c>
      <c r="G397" s="1"/>
      <c r="H397" s="1"/>
      <c r="I397" s="1"/>
      <c r="J397" s="1"/>
      <c r="K397" s="1" t="s">
        <v>864</v>
      </c>
    </row>
    <row r="398" ht="14.25" customHeight="1">
      <c r="A398" s="3" t="s">
        <v>456</v>
      </c>
      <c r="B398" s="1">
        <v>6.9</v>
      </c>
      <c r="C398" s="1" t="s">
        <v>917</v>
      </c>
      <c r="D398" s="1" t="s">
        <v>17757</v>
      </c>
      <c r="E398" s="1" t="s">
        <v>1885</v>
      </c>
      <c r="F398" s="1" t="s">
        <v>17758</v>
      </c>
      <c r="G398" s="1"/>
      <c r="H398" s="1"/>
      <c r="I398" s="1"/>
      <c r="J398" s="1"/>
      <c r="K398" s="1" t="s">
        <v>899</v>
      </c>
    </row>
    <row r="399" ht="14.25" customHeight="1">
      <c r="A399" s="3" t="s">
        <v>456</v>
      </c>
      <c r="B399" s="1">
        <v>6.2</v>
      </c>
      <c r="C399" s="1" t="s">
        <v>917</v>
      </c>
      <c r="D399" s="1" t="s">
        <v>17757</v>
      </c>
      <c r="E399" s="1" t="s">
        <v>1885</v>
      </c>
      <c r="F399" s="1" t="s">
        <v>17758</v>
      </c>
      <c r="G399" s="1"/>
      <c r="H399" s="1"/>
      <c r="I399" s="1"/>
      <c r="J399" s="1"/>
      <c r="K399" s="1" t="s">
        <v>921</v>
      </c>
    </row>
    <row r="400" ht="14.25" customHeight="1">
      <c r="A400" s="3" t="s">
        <v>456</v>
      </c>
      <c r="B400" s="1">
        <v>6.7</v>
      </c>
      <c r="C400" s="1" t="s">
        <v>917</v>
      </c>
      <c r="D400" s="1" t="s">
        <v>17757</v>
      </c>
      <c r="E400" s="1" t="s">
        <v>1885</v>
      </c>
      <c r="F400" s="1" t="s">
        <v>17758</v>
      </c>
      <c r="G400" s="1"/>
      <c r="H400" s="1"/>
      <c r="I400" s="1"/>
      <c r="J400" s="1"/>
      <c r="K400" s="1" t="s">
        <v>1105</v>
      </c>
    </row>
    <row r="401" ht="14.25" customHeight="1">
      <c r="A401" s="3" t="s">
        <v>456</v>
      </c>
      <c r="B401" s="1">
        <v>7.6</v>
      </c>
      <c r="C401" s="1" t="s">
        <v>917</v>
      </c>
      <c r="D401" s="1" t="s">
        <v>17757</v>
      </c>
      <c r="E401" s="1" t="s">
        <v>1885</v>
      </c>
      <c r="F401" s="1" t="s">
        <v>17758</v>
      </c>
      <c r="G401" s="1"/>
      <c r="H401" s="1"/>
      <c r="I401" s="1"/>
      <c r="J401" s="1"/>
      <c r="K401" s="1" t="s">
        <v>1834</v>
      </c>
    </row>
    <row r="402" ht="14.25" customHeight="1">
      <c r="A402" s="3" t="s">
        <v>456</v>
      </c>
      <c r="B402" s="1">
        <v>6.7</v>
      </c>
      <c r="C402" s="1" t="s">
        <v>917</v>
      </c>
      <c r="D402" s="1" t="s">
        <v>17757</v>
      </c>
      <c r="E402" s="1" t="s">
        <v>1885</v>
      </c>
      <c r="F402" s="1" t="s">
        <v>17758</v>
      </c>
      <c r="G402" s="1"/>
      <c r="H402" s="1"/>
      <c r="I402" s="1"/>
      <c r="J402" s="1"/>
      <c r="K402" s="1" t="s">
        <v>1910</v>
      </c>
    </row>
    <row r="403" ht="14.25" customHeight="1">
      <c r="A403" s="3" t="s">
        <v>456</v>
      </c>
      <c r="B403" s="1">
        <v>6.2</v>
      </c>
      <c r="C403" s="1" t="s">
        <v>917</v>
      </c>
      <c r="D403" s="1" t="s">
        <v>17757</v>
      </c>
      <c r="E403" s="1" t="s">
        <v>1885</v>
      </c>
      <c r="F403" s="1" t="s">
        <v>17758</v>
      </c>
      <c r="G403" s="1"/>
      <c r="H403" s="1"/>
      <c r="I403" s="1"/>
      <c r="J403" s="1"/>
      <c r="K403" s="1" t="s">
        <v>1925</v>
      </c>
    </row>
    <row r="404" ht="14.25" customHeight="1">
      <c r="A404" s="3" t="s">
        <v>456</v>
      </c>
      <c r="B404" s="1">
        <v>7.3</v>
      </c>
      <c r="C404" s="1" t="s">
        <v>917</v>
      </c>
      <c r="D404" s="1" t="s">
        <v>17757</v>
      </c>
      <c r="E404" s="1" t="s">
        <v>1885</v>
      </c>
      <c r="F404" s="1" t="s">
        <v>17758</v>
      </c>
      <c r="G404" s="1"/>
      <c r="H404" s="1"/>
      <c r="I404" s="1"/>
      <c r="J404" s="1"/>
      <c r="K404" s="1" t="s">
        <v>2296</v>
      </c>
    </row>
    <row r="405" ht="14.25" customHeight="1">
      <c r="A405" s="3" t="s">
        <v>456</v>
      </c>
      <c r="B405" s="1">
        <v>6.0</v>
      </c>
      <c r="C405" s="1" t="s">
        <v>917</v>
      </c>
      <c r="D405" s="1" t="s">
        <v>17757</v>
      </c>
      <c r="E405" s="1" t="s">
        <v>1885</v>
      </c>
      <c r="F405" s="1" t="s">
        <v>17758</v>
      </c>
      <c r="G405" s="1"/>
      <c r="H405" s="1"/>
      <c r="I405" s="1"/>
      <c r="J405" s="1"/>
      <c r="K405" s="1" t="s">
        <v>2446</v>
      </c>
    </row>
    <row r="406" ht="14.25" customHeight="1">
      <c r="A406" s="3" t="s">
        <v>456</v>
      </c>
      <c r="B406" s="1">
        <v>7.1</v>
      </c>
      <c r="C406" s="1" t="s">
        <v>917</v>
      </c>
      <c r="D406" s="1" t="s">
        <v>17757</v>
      </c>
      <c r="E406" s="1" t="s">
        <v>1885</v>
      </c>
      <c r="F406" s="1" t="s">
        <v>17758</v>
      </c>
      <c r="G406" s="1"/>
      <c r="H406" s="1"/>
      <c r="I406" s="1"/>
      <c r="J406" s="1"/>
      <c r="K406" s="1" t="s">
        <v>2586</v>
      </c>
    </row>
    <row r="407" ht="14.25" customHeight="1">
      <c r="A407" s="3" t="s">
        <v>456</v>
      </c>
      <c r="B407" s="1">
        <v>7.1</v>
      </c>
      <c r="C407" s="1" t="s">
        <v>917</v>
      </c>
      <c r="D407" s="1" t="s">
        <v>17757</v>
      </c>
      <c r="E407" s="1" t="s">
        <v>1885</v>
      </c>
      <c r="F407" s="1" t="s">
        <v>17758</v>
      </c>
      <c r="G407" s="1"/>
      <c r="H407" s="1"/>
      <c r="I407" s="1"/>
      <c r="J407" s="1"/>
      <c r="K407" s="1" t="s">
        <v>2842</v>
      </c>
    </row>
    <row r="408" ht="14.25" customHeight="1">
      <c r="A408" s="3" t="s">
        <v>456</v>
      </c>
      <c r="B408" s="1">
        <v>5.5</v>
      </c>
      <c r="C408" s="1" t="s">
        <v>917</v>
      </c>
      <c r="D408" s="1" t="s">
        <v>17757</v>
      </c>
      <c r="E408" s="1" t="s">
        <v>1885</v>
      </c>
      <c r="F408" s="1" t="s">
        <v>17758</v>
      </c>
      <c r="G408" s="1"/>
      <c r="H408" s="1"/>
      <c r="I408" s="1"/>
      <c r="J408" s="1"/>
      <c r="K408" s="1" t="s">
        <v>2919</v>
      </c>
    </row>
    <row r="409" ht="14.25" customHeight="1">
      <c r="A409" s="3" t="s">
        <v>456</v>
      </c>
      <c r="B409" s="1">
        <v>5.6</v>
      </c>
      <c r="C409" s="1" t="s">
        <v>917</v>
      </c>
      <c r="D409" s="1" t="s">
        <v>17757</v>
      </c>
      <c r="E409" s="1" t="s">
        <v>1885</v>
      </c>
      <c r="F409" s="1" t="s">
        <v>17758</v>
      </c>
      <c r="G409" s="1"/>
      <c r="H409" s="1"/>
      <c r="I409" s="1"/>
      <c r="J409" s="1"/>
      <c r="K409" s="1" t="s">
        <v>3443</v>
      </c>
    </row>
    <row r="410" ht="14.25" customHeight="1">
      <c r="A410" s="3" t="s">
        <v>456</v>
      </c>
      <c r="B410" s="1">
        <v>7.5</v>
      </c>
      <c r="C410" s="1" t="s">
        <v>917</v>
      </c>
      <c r="D410" s="1" t="s">
        <v>17757</v>
      </c>
      <c r="E410" s="1" t="s">
        <v>1885</v>
      </c>
      <c r="F410" s="1" t="s">
        <v>17758</v>
      </c>
      <c r="G410" s="1"/>
      <c r="H410" s="1"/>
      <c r="I410" s="1"/>
      <c r="J410" s="1"/>
      <c r="K410" s="1" t="s">
        <v>3796</v>
      </c>
    </row>
    <row r="411" ht="14.25" customHeight="1">
      <c r="A411" s="3" t="s">
        <v>456</v>
      </c>
      <c r="B411" s="1">
        <v>5.4</v>
      </c>
      <c r="C411" s="1" t="s">
        <v>917</v>
      </c>
      <c r="D411" s="1" t="s">
        <v>17757</v>
      </c>
      <c r="E411" s="1" t="s">
        <v>1885</v>
      </c>
      <c r="F411" s="1" t="s">
        <v>17758</v>
      </c>
      <c r="G411" s="1"/>
      <c r="H411" s="1"/>
      <c r="I411" s="1"/>
      <c r="J411" s="1"/>
      <c r="K411" s="1" t="s">
        <v>4436</v>
      </c>
    </row>
    <row r="412" ht="14.25" customHeight="1">
      <c r="A412" s="3" t="s">
        <v>456</v>
      </c>
      <c r="B412" s="1">
        <v>4.3</v>
      </c>
      <c r="C412" s="1" t="s">
        <v>917</v>
      </c>
      <c r="D412" s="1" t="s">
        <v>17757</v>
      </c>
      <c r="E412" s="1" t="s">
        <v>1885</v>
      </c>
      <c r="F412" s="1" t="s">
        <v>17758</v>
      </c>
      <c r="G412" s="1"/>
      <c r="H412" s="1"/>
      <c r="I412" s="1"/>
      <c r="J412" s="1"/>
      <c r="K412" s="1" t="s">
        <v>4495</v>
      </c>
    </row>
    <row r="413" ht="14.25" customHeight="1">
      <c r="A413" s="3" t="s">
        <v>456</v>
      </c>
      <c r="B413" s="1">
        <v>4.9</v>
      </c>
      <c r="C413" s="1" t="s">
        <v>917</v>
      </c>
      <c r="D413" s="1" t="s">
        <v>17757</v>
      </c>
      <c r="E413" s="1" t="s">
        <v>1885</v>
      </c>
      <c r="F413" s="1" t="s">
        <v>17758</v>
      </c>
      <c r="G413" s="1"/>
      <c r="H413" s="1"/>
      <c r="I413" s="1"/>
      <c r="J413" s="1"/>
      <c r="K413" s="1" t="s">
        <v>4867</v>
      </c>
    </row>
    <row r="414" ht="14.25" customHeight="1">
      <c r="A414" s="3" t="s">
        <v>456</v>
      </c>
      <c r="B414" s="1">
        <v>7.1</v>
      </c>
      <c r="C414" s="1" t="s">
        <v>917</v>
      </c>
      <c r="D414" s="1" t="s">
        <v>17757</v>
      </c>
      <c r="E414" s="1" t="s">
        <v>1885</v>
      </c>
      <c r="F414" s="1" t="s">
        <v>17758</v>
      </c>
      <c r="G414" s="1"/>
      <c r="H414" s="1"/>
      <c r="I414" s="1"/>
      <c r="J414" s="1"/>
      <c r="K414" s="1" t="s">
        <v>7739</v>
      </c>
    </row>
    <row r="415" ht="14.25" customHeight="1">
      <c r="A415" s="3" t="s">
        <v>456</v>
      </c>
      <c r="B415" s="1">
        <v>6.4</v>
      </c>
      <c r="C415" s="1" t="s">
        <v>917</v>
      </c>
      <c r="D415" s="1" t="s">
        <v>17757</v>
      </c>
      <c r="E415" s="1" t="s">
        <v>1885</v>
      </c>
      <c r="F415" s="1" t="s">
        <v>17758</v>
      </c>
      <c r="G415" s="1"/>
      <c r="H415" s="1"/>
      <c r="I415" s="1"/>
      <c r="J415" s="1"/>
      <c r="K415" s="1" t="s">
        <v>11734</v>
      </c>
    </row>
    <row r="416" ht="14.25" customHeight="1">
      <c r="A416" s="3" t="s">
        <v>456</v>
      </c>
      <c r="B416" s="1">
        <v>4.3</v>
      </c>
      <c r="C416" s="1" t="s">
        <v>917</v>
      </c>
      <c r="D416" s="1" t="s">
        <v>17757</v>
      </c>
      <c r="E416" s="1" t="s">
        <v>1885</v>
      </c>
      <c r="F416" s="1" t="s">
        <v>17758</v>
      </c>
      <c r="G416" s="1"/>
      <c r="H416" s="1"/>
      <c r="I416" s="1"/>
      <c r="J416" s="1"/>
      <c r="K416" s="1" t="s">
        <v>13355</v>
      </c>
    </row>
    <row r="417" ht="14.25" customHeight="1">
      <c r="A417" s="3" t="s">
        <v>11248</v>
      </c>
      <c r="B417" s="1">
        <v>6.1</v>
      </c>
      <c r="C417" s="1" t="s">
        <v>1270</v>
      </c>
      <c r="D417" s="1" t="s">
        <v>1885</v>
      </c>
      <c r="E417" s="1" t="s">
        <v>17763</v>
      </c>
      <c r="F417" s="1" t="s">
        <v>17758</v>
      </c>
      <c r="G417" s="1"/>
      <c r="H417" s="1"/>
      <c r="I417" s="1"/>
      <c r="J417" s="1"/>
      <c r="K417" s="1" t="s">
        <v>11247</v>
      </c>
    </row>
    <row r="418" ht="14.25" customHeight="1">
      <c r="A418" s="3" t="s">
        <v>7440</v>
      </c>
      <c r="B418" s="1">
        <v>7.0</v>
      </c>
      <c r="C418" s="1" t="s">
        <v>1270</v>
      </c>
      <c r="D418" s="1" t="s">
        <v>917</v>
      </c>
      <c r="E418" s="1" t="s">
        <v>3238</v>
      </c>
      <c r="F418" s="1" t="s">
        <v>17758</v>
      </c>
      <c r="G418" s="1"/>
      <c r="H418" s="1"/>
      <c r="I418" s="1"/>
      <c r="J418" s="1"/>
      <c r="K418" s="1" t="s">
        <v>7439</v>
      </c>
    </row>
    <row r="419" ht="14.25" customHeight="1">
      <c r="A419" s="3" t="s">
        <v>14536</v>
      </c>
      <c r="B419" s="1">
        <v>7.7</v>
      </c>
      <c r="C419" s="1" t="s">
        <v>917</v>
      </c>
      <c r="D419" s="1" t="s">
        <v>1885</v>
      </c>
      <c r="E419" s="1" t="s">
        <v>3238</v>
      </c>
      <c r="F419" s="1" t="s">
        <v>17758</v>
      </c>
      <c r="G419" s="1"/>
      <c r="H419" s="1"/>
      <c r="I419" s="1"/>
      <c r="J419" s="1"/>
      <c r="K419" s="1" t="s">
        <v>14535</v>
      </c>
    </row>
    <row r="420" ht="14.25" customHeight="1">
      <c r="A420" s="3" t="s">
        <v>951</v>
      </c>
      <c r="B420" s="1">
        <v>5.9</v>
      </c>
      <c r="C420" s="1" t="s">
        <v>1270</v>
      </c>
      <c r="D420" s="1" t="s">
        <v>917</v>
      </c>
      <c r="E420" s="1" t="s">
        <v>17757</v>
      </c>
      <c r="F420" s="1" t="s">
        <v>17759</v>
      </c>
      <c r="G420" s="1"/>
      <c r="H420" s="1"/>
      <c r="I420" s="1"/>
      <c r="J420" s="1"/>
      <c r="K420" s="1" t="s">
        <v>950</v>
      </c>
    </row>
    <row r="421" ht="14.25" customHeight="1">
      <c r="A421" s="3" t="s">
        <v>2316</v>
      </c>
      <c r="B421" s="1">
        <v>6.7</v>
      </c>
      <c r="C421" s="1" t="s">
        <v>1270</v>
      </c>
      <c r="D421" s="1" t="s">
        <v>917</v>
      </c>
      <c r="E421" s="1" t="s">
        <v>1885</v>
      </c>
      <c r="F421" s="1" t="s">
        <v>17759</v>
      </c>
      <c r="G421" s="1"/>
      <c r="H421" s="1"/>
      <c r="I421" s="1"/>
      <c r="J421" s="1"/>
      <c r="K421" s="1" t="s">
        <v>2315</v>
      </c>
    </row>
    <row r="422" ht="14.25" customHeight="1">
      <c r="A422" s="3" t="s">
        <v>2316</v>
      </c>
      <c r="B422" s="1">
        <v>6.5</v>
      </c>
      <c r="C422" s="1" t="s">
        <v>1270</v>
      </c>
      <c r="D422" s="1" t="s">
        <v>917</v>
      </c>
      <c r="E422" s="1" t="s">
        <v>1885</v>
      </c>
      <c r="F422" s="1" t="s">
        <v>17759</v>
      </c>
      <c r="G422" s="1"/>
      <c r="H422" s="1"/>
      <c r="I422" s="1"/>
      <c r="J422" s="1"/>
      <c r="K422" s="1" t="s">
        <v>5568</v>
      </c>
    </row>
    <row r="423" ht="14.25" customHeight="1">
      <c r="A423" s="3" t="s">
        <v>2316</v>
      </c>
      <c r="B423" s="1">
        <v>7.1</v>
      </c>
      <c r="C423" s="1" t="s">
        <v>1270</v>
      </c>
      <c r="D423" s="1" t="s">
        <v>917</v>
      </c>
      <c r="E423" s="1" t="s">
        <v>1885</v>
      </c>
      <c r="F423" s="1" t="s">
        <v>17759</v>
      </c>
      <c r="G423" s="1"/>
      <c r="H423" s="1"/>
      <c r="I423" s="1"/>
      <c r="J423" s="1"/>
      <c r="K423" s="1" t="s">
        <v>9128</v>
      </c>
    </row>
    <row r="424" ht="14.25" customHeight="1">
      <c r="A424" s="3" t="s">
        <v>10173</v>
      </c>
      <c r="B424" s="1">
        <v>7.3</v>
      </c>
      <c r="C424" s="1" t="s">
        <v>1270</v>
      </c>
      <c r="D424" s="1" t="s">
        <v>1885</v>
      </c>
      <c r="E424" s="1" t="s">
        <v>17763</v>
      </c>
      <c r="F424" s="1" t="s">
        <v>17759</v>
      </c>
      <c r="G424" s="1"/>
      <c r="H424" s="1"/>
      <c r="I424" s="1"/>
      <c r="J424" s="1"/>
      <c r="K424" s="1" t="s">
        <v>10172</v>
      </c>
    </row>
    <row r="425" ht="14.25" customHeight="1">
      <c r="A425" s="3" t="s">
        <v>10173</v>
      </c>
      <c r="B425" s="1">
        <v>6.5</v>
      </c>
      <c r="C425" s="1" t="s">
        <v>1270</v>
      </c>
      <c r="D425" s="1" t="s">
        <v>1885</v>
      </c>
      <c r="E425" s="1" t="s">
        <v>17763</v>
      </c>
      <c r="F425" s="1" t="s">
        <v>17759</v>
      </c>
      <c r="G425" s="1"/>
      <c r="H425" s="1"/>
      <c r="I425" s="1"/>
      <c r="J425" s="1"/>
      <c r="K425" s="1" t="s">
        <v>10650</v>
      </c>
    </row>
    <row r="426" ht="14.25" customHeight="1">
      <c r="A426" s="3" t="s">
        <v>543</v>
      </c>
      <c r="B426" s="1">
        <v>7.0</v>
      </c>
      <c r="C426" s="1" t="s">
        <v>1270</v>
      </c>
      <c r="D426" s="1" t="s">
        <v>917</v>
      </c>
      <c r="E426" s="1" t="s">
        <v>3238</v>
      </c>
      <c r="F426" s="1" t="s">
        <v>17759</v>
      </c>
      <c r="G426" s="1"/>
      <c r="H426" s="1"/>
      <c r="I426" s="1"/>
      <c r="J426" s="1"/>
      <c r="K426" s="1" t="s">
        <v>542</v>
      </c>
    </row>
    <row r="427" ht="14.25" customHeight="1">
      <c r="A427" s="3" t="s">
        <v>543</v>
      </c>
      <c r="B427" s="1">
        <v>6.8</v>
      </c>
      <c r="C427" s="1" t="s">
        <v>1270</v>
      </c>
      <c r="D427" s="1" t="s">
        <v>917</v>
      </c>
      <c r="E427" s="1" t="s">
        <v>3238</v>
      </c>
      <c r="F427" s="1" t="s">
        <v>17759</v>
      </c>
      <c r="G427" s="1"/>
      <c r="H427" s="1"/>
      <c r="I427" s="1"/>
      <c r="J427" s="1"/>
      <c r="K427" s="1" t="s">
        <v>562</v>
      </c>
    </row>
    <row r="428" ht="14.25" customHeight="1">
      <c r="A428" s="3" t="s">
        <v>543</v>
      </c>
      <c r="B428" s="1">
        <v>7.2</v>
      </c>
      <c r="C428" s="1" t="s">
        <v>1270</v>
      </c>
      <c r="D428" s="1" t="s">
        <v>917</v>
      </c>
      <c r="E428" s="1" t="s">
        <v>3238</v>
      </c>
      <c r="F428" s="1" t="s">
        <v>17759</v>
      </c>
      <c r="G428" s="1"/>
      <c r="H428" s="1"/>
      <c r="I428" s="1"/>
      <c r="J428" s="1"/>
      <c r="K428" s="1" t="s">
        <v>1408</v>
      </c>
    </row>
    <row r="429" ht="14.25" customHeight="1">
      <c r="A429" s="3" t="s">
        <v>543</v>
      </c>
      <c r="B429" s="1">
        <v>6.1</v>
      </c>
      <c r="C429" s="1" t="s">
        <v>1270</v>
      </c>
      <c r="D429" s="1" t="s">
        <v>917</v>
      </c>
      <c r="E429" s="1" t="s">
        <v>3238</v>
      </c>
      <c r="F429" s="1" t="s">
        <v>17759</v>
      </c>
      <c r="G429" s="1"/>
      <c r="H429" s="1"/>
      <c r="I429" s="1"/>
      <c r="J429" s="1"/>
      <c r="K429" s="1" t="s">
        <v>1545</v>
      </c>
    </row>
    <row r="430" ht="14.25" customHeight="1">
      <c r="A430" s="3" t="s">
        <v>543</v>
      </c>
      <c r="B430" s="1">
        <v>6.7</v>
      </c>
      <c r="C430" s="1" t="s">
        <v>1270</v>
      </c>
      <c r="D430" s="1" t="s">
        <v>917</v>
      </c>
      <c r="E430" s="1" t="s">
        <v>3238</v>
      </c>
      <c r="F430" s="1" t="s">
        <v>17759</v>
      </c>
      <c r="G430" s="1"/>
      <c r="H430" s="1"/>
      <c r="I430" s="1"/>
      <c r="J430" s="1"/>
      <c r="K430" s="1" t="s">
        <v>1929</v>
      </c>
    </row>
    <row r="431" ht="14.25" customHeight="1">
      <c r="A431" s="3" t="s">
        <v>543</v>
      </c>
      <c r="B431" s="1">
        <v>6.4</v>
      </c>
      <c r="C431" s="1" t="s">
        <v>1270</v>
      </c>
      <c r="D431" s="1" t="s">
        <v>917</v>
      </c>
      <c r="E431" s="1" t="s">
        <v>3238</v>
      </c>
      <c r="F431" s="1" t="s">
        <v>17759</v>
      </c>
      <c r="G431" s="1"/>
      <c r="H431" s="1"/>
      <c r="I431" s="1"/>
      <c r="J431" s="1"/>
      <c r="K431" s="1" t="s">
        <v>1933</v>
      </c>
    </row>
    <row r="432" ht="14.25" customHeight="1">
      <c r="A432" s="3" t="s">
        <v>13237</v>
      </c>
      <c r="B432" s="1">
        <v>4.4</v>
      </c>
      <c r="C432" s="1" t="s">
        <v>917</v>
      </c>
      <c r="D432" s="1" t="s">
        <v>1885</v>
      </c>
      <c r="E432" s="1" t="s">
        <v>3238</v>
      </c>
      <c r="F432" s="1" t="s">
        <v>17759</v>
      </c>
      <c r="G432" s="1"/>
      <c r="H432" s="1"/>
      <c r="I432" s="1"/>
      <c r="J432" s="1"/>
      <c r="K432" s="1" t="s">
        <v>13236</v>
      </c>
    </row>
    <row r="433" ht="14.25" customHeight="1">
      <c r="A433" s="3" t="s">
        <v>140</v>
      </c>
      <c r="B433" s="1">
        <v>5.4</v>
      </c>
      <c r="C433" s="1" t="s">
        <v>1270</v>
      </c>
      <c r="D433" s="1" t="s">
        <v>917</v>
      </c>
      <c r="E433" s="1" t="s">
        <v>17758</v>
      </c>
      <c r="F433" s="1" t="s">
        <v>17759</v>
      </c>
      <c r="G433" s="1"/>
      <c r="H433" s="1"/>
      <c r="I433" s="1"/>
      <c r="J433" s="1"/>
      <c r="K433" s="1" t="s">
        <v>139</v>
      </c>
    </row>
    <row r="434" ht="14.25" customHeight="1">
      <c r="A434" s="3" t="s">
        <v>140</v>
      </c>
      <c r="B434" s="1">
        <v>6.5</v>
      </c>
      <c r="C434" s="1" t="s">
        <v>1270</v>
      </c>
      <c r="D434" s="1" t="s">
        <v>917</v>
      </c>
      <c r="E434" s="1" t="s">
        <v>17758</v>
      </c>
      <c r="F434" s="1" t="s">
        <v>17759</v>
      </c>
      <c r="G434" s="1"/>
      <c r="H434" s="1"/>
      <c r="I434" s="1"/>
      <c r="J434" s="1"/>
      <c r="K434" s="1" t="s">
        <v>667</v>
      </c>
    </row>
    <row r="435" ht="14.25" customHeight="1">
      <c r="A435" s="3" t="s">
        <v>140</v>
      </c>
      <c r="B435" s="1">
        <v>6.7</v>
      </c>
      <c r="C435" s="1" t="s">
        <v>1270</v>
      </c>
      <c r="D435" s="1" t="s">
        <v>917</v>
      </c>
      <c r="E435" s="1" t="s">
        <v>17758</v>
      </c>
      <c r="F435" s="1" t="s">
        <v>17759</v>
      </c>
      <c r="G435" s="1"/>
      <c r="H435" s="1"/>
      <c r="I435" s="1"/>
      <c r="J435" s="1"/>
      <c r="K435" s="1" t="s">
        <v>876</v>
      </c>
    </row>
    <row r="436" ht="14.25" customHeight="1">
      <c r="A436" s="3" t="s">
        <v>140</v>
      </c>
      <c r="B436" s="1">
        <v>8.1</v>
      </c>
      <c r="C436" s="1" t="s">
        <v>1270</v>
      </c>
      <c r="D436" s="1" t="s">
        <v>917</v>
      </c>
      <c r="E436" s="1" t="s">
        <v>17758</v>
      </c>
      <c r="F436" s="1" t="s">
        <v>17759</v>
      </c>
      <c r="G436" s="1"/>
      <c r="H436" s="1"/>
      <c r="I436" s="1"/>
      <c r="J436" s="1"/>
      <c r="K436" s="1" t="s">
        <v>1712</v>
      </c>
    </row>
    <row r="437" ht="14.25" customHeight="1">
      <c r="A437" s="3" t="s">
        <v>140</v>
      </c>
      <c r="B437" s="1">
        <v>5.6</v>
      </c>
      <c r="C437" s="1" t="s">
        <v>1270</v>
      </c>
      <c r="D437" s="1" t="s">
        <v>917</v>
      </c>
      <c r="E437" s="1" t="s">
        <v>17758</v>
      </c>
      <c r="F437" s="1" t="s">
        <v>17759</v>
      </c>
      <c r="G437" s="1"/>
      <c r="H437" s="1"/>
      <c r="I437" s="1"/>
      <c r="J437" s="1"/>
      <c r="K437" s="1" t="s">
        <v>4997</v>
      </c>
    </row>
    <row r="438" ht="14.25" customHeight="1">
      <c r="A438" s="3" t="s">
        <v>603</v>
      </c>
      <c r="B438" s="1">
        <v>6.3</v>
      </c>
      <c r="C438" s="1" t="s">
        <v>917</v>
      </c>
      <c r="D438" s="1" t="s">
        <v>17757</v>
      </c>
      <c r="E438" s="1" t="s">
        <v>17758</v>
      </c>
      <c r="F438" s="1" t="s">
        <v>17759</v>
      </c>
      <c r="G438" s="1"/>
      <c r="H438" s="1"/>
      <c r="I438" s="1"/>
      <c r="J438" s="1"/>
      <c r="K438" s="1" t="s">
        <v>602</v>
      </c>
    </row>
    <row r="439" ht="14.25" customHeight="1">
      <c r="A439" s="3" t="s">
        <v>603</v>
      </c>
      <c r="B439" s="1">
        <v>7.3</v>
      </c>
      <c r="C439" s="1" t="s">
        <v>917</v>
      </c>
      <c r="D439" s="1" t="s">
        <v>17757</v>
      </c>
      <c r="E439" s="1" t="s">
        <v>17758</v>
      </c>
      <c r="F439" s="1" t="s">
        <v>17759</v>
      </c>
      <c r="G439" s="1"/>
      <c r="H439" s="1"/>
      <c r="I439" s="1"/>
      <c r="J439" s="1"/>
      <c r="K439" s="1" t="s">
        <v>615</v>
      </c>
    </row>
    <row r="440" ht="14.25" customHeight="1">
      <c r="A440" s="3" t="s">
        <v>603</v>
      </c>
      <c r="B440" s="1">
        <v>6.1</v>
      </c>
      <c r="C440" s="1" t="s">
        <v>917</v>
      </c>
      <c r="D440" s="1" t="s">
        <v>17757</v>
      </c>
      <c r="E440" s="1" t="s">
        <v>17758</v>
      </c>
      <c r="F440" s="1" t="s">
        <v>17759</v>
      </c>
      <c r="G440" s="1"/>
      <c r="H440" s="1"/>
      <c r="I440" s="1"/>
      <c r="J440" s="1"/>
      <c r="K440" s="1" t="s">
        <v>965</v>
      </c>
    </row>
    <row r="441" ht="14.25" customHeight="1">
      <c r="A441" s="3" t="s">
        <v>603</v>
      </c>
      <c r="B441" s="1">
        <v>7.7</v>
      </c>
      <c r="C441" s="1" t="s">
        <v>917</v>
      </c>
      <c r="D441" s="1" t="s">
        <v>17757</v>
      </c>
      <c r="E441" s="1" t="s">
        <v>17758</v>
      </c>
      <c r="F441" s="1" t="s">
        <v>17759</v>
      </c>
      <c r="G441" s="1"/>
      <c r="H441" s="1"/>
      <c r="I441" s="1"/>
      <c r="J441" s="1"/>
      <c r="K441" s="1" t="s">
        <v>1725</v>
      </c>
    </row>
    <row r="442" ht="14.25" customHeight="1">
      <c r="A442" s="3" t="s">
        <v>603</v>
      </c>
      <c r="B442" s="1">
        <v>6.4</v>
      </c>
      <c r="C442" s="1" t="s">
        <v>917</v>
      </c>
      <c r="D442" s="1" t="s">
        <v>17757</v>
      </c>
      <c r="E442" s="1" t="s">
        <v>17758</v>
      </c>
      <c r="F442" s="1" t="s">
        <v>17759</v>
      </c>
      <c r="G442" s="1"/>
      <c r="H442" s="1"/>
      <c r="I442" s="1"/>
      <c r="J442" s="1"/>
      <c r="K442" s="1" t="s">
        <v>2739</v>
      </c>
    </row>
    <row r="443" ht="14.25" customHeight="1">
      <c r="A443" s="3" t="s">
        <v>603</v>
      </c>
      <c r="B443" s="1">
        <v>6.8</v>
      </c>
      <c r="C443" s="1" t="s">
        <v>917</v>
      </c>
      <c r="D443" s="1" t="s">
        <v>17757</v>
      </c>
      <c r="E443" s="1" t="s">
        <v>17758</v>
      </c>
      <c r="F443" s="1" t="s">
        <v>17759</v>
      </c>
      <c r="G443" s="1"/>
      <c r="H443" s="1"/>
      <c r="I443" s="1"/>
      <c r="J443" s="1"/>
      <c r="K443" s="1" t="s">
        <v>7275</v>
      </c>
    </row>
    <row r="444" ht="14.25" customHeight="1">
      <c r="A444" s="3" t="s">
        <v>603</v>
      </c>
      <c r="B444" s="1">
        <v>6.6</v>
      </c>
      <c r="C444" s="1" t="s">
        <v>917</v>
      </c>
      <c r="D444" s="1" t="s">
        <v>17757</v>
      </c>
      <c r="E444" s="1" t="s">
        <v>17758</v>
      </c>
      <c r="F444" s="1" t="s">
        <v>17759</v>
      </c>
      <c r="G444" s="1"/>
      <c r="H444" s="1"/>
      <c r="I444" s="1"/>
      <c r="J444" s="1"/>
      <c r="K444" s="1" t="s">
        <v>9377</v>
      </c>
    </row>
    <row r="445" ht="14.25" customHeight="1">
      <c r="A445" s="3" t="s">
        <v>603</v>
      </c>
      <c r="B445" s="1">
        <v>7.2</v>
      </c>
      <c r="C445" s="1" t="s">
        <v>917</v>
      </c>
      <c r="D445" s="1" t="s">
        <v>17757</v>
      </c>
      <c r="E445" s="1" t="s">
        <v>17758</v>
      </c>
      <c r="F445" s="1" t="s">
        <v>17759</v>
      </c>
      <c r="G445" s="1"/>
      <c r="H445" s="1"/>
      <c r="I445" s="1"/>
      <c r="J445" s="1"/>
      <c r="K445" s="1" t="s">
        <v>9890</v>
      </c>
    </row>
    <row r="446" ht="14.25" customHeight="1">
      <c r="A446" s="3" t="s">
        <v>603</v>
      </c>
      <c r="B446" s="1">
        <v>6.9</v>
      </c>
      <c r="C446" s="1" t="s">
        <v>917</v>
      </c>
      <c r="D446" s="1" t="s">
        <v>17757</v>
      </c>
      <c r="E446" s="1" t="s">
        <v>17758</v>
      </c>
      <c r="F446" s="1" t="s">
        <v>17759</v>
      </c>
      <c r="G446" s="1"/>
      <c r="H446" s="1"/>
      <c r="I446" s="1"/>
      <c r="J446" s="1"/>
      <c r="K446" s="1" t="s">
        <v>10584</v>
      </c>
    </row>
    <row r="447" ht="14.25" customHeight="1">
      <c r="A447" s="3" t="s">
        <v>603</v>
      </c>
      <c r="B447" s="1">
        <v>5.2</v>
      </c>
      <c r="C447" s="1" t="s">
        <v>917</v>
      </c>
      <c r="D447" s="1" t="s">
        <v>17757</v>
      </c>
      <c r="E447" s="1" t="s">
        <v>17758</v>
      </c>
      <c r="F447" s="1" t="s">
        <v>17759</v>
      </c>
      <c r="G447" s="1"/>
      <c r="H447" s="1"/>
      <c r="I447" s="1"/>
      <c r="J447" s="1"/>
      <c r="K447" s="1" t="s">
        <v>14081</v>
      </c>
    </row>
    <row r="448" ht="14.25" customHeight="1">
      <c r="A448" s="3" t="s">
        <v>2397</v>
      </c>
      <c r="B448" s="1">
        <v>4.9</v>
      </c>
      <c r="C448" s="1" t="s">
        <v>1270</v>
      </c>
      <c r="D448" s="1" t="s">
        <v>1885</v>
      </c>
      <c r="E448" s="1" t="s">
        <v>17758</v>
      </c>
      <c r="F448" s="1" t="s">
        <v>17759</v>
      </c>
      <c r="G448" s="1"/>
      <c r="H448" s="1"/>
      <c r="I448" s="1"/>
      <c r="J448" s="1"/>
      <c r="K448" s="1" t="s">
        <v>2396</v>
      </c>
    </row>
    <row r="449" ht="14.25" customHeight="1">
      <c r="A449" s="3" t="s">
        <v>2397</v>
      </c>
      <c r="B449" s="1">
        <v>6.3</v>
      </c>
      <c r="C449" s="1" t="s">
        <v>1270</v>
      </c>
      <c r="D449" s="1" t="s">
        <v>1885</v>
      </c>
      <c r="E449" s="1" t="s">
        <v>17758</v>
      </c>
      <c r="F449" s="1" t="s">
        <v>17759</v>
      </c>
      <c r="G449" s="1"/>
      <c r="H449" s="1"/>
      <c r="I449" s="1"/>
      <c r="J449" s="1"/>
      <c r="K449" s="1" t="s">
        <v>3782</v>
      </c>
    </row>
    <row r="450" ht="14.25" customHeight="1">
      <c r="A450" s="3" t="s">
        <v>751</v>
      </c>
      <c r="B450" s="1">
        <v>5.6</v>
      </c>
      <c r="C450" s="1" t="s">
        <v>917</v>
      </c>
      <c r="D450" s="1" t="s">
        <v>1885</v>
      </c>
      <c r="E450" s="1" t="s">
        <v>17758</v>
      </c>
      <c r="F450" s="1" t="s">
        <v>17759</v>
      </c>
      <c r="G450" s="1"/>
      <c r="H450" s="1"/>
      <c r="I450" s="1"/>
      <c r="J450" s="1"/>
      <c r="K450" s="1" t="s">
        <v>750</v>
      </c>
    </row>
    <row r="451" ht="14.25" customHeight="1">
      <c r="A451" s="3" t="s">
        <v>751</v>
      </c>
      <c r="B451" s="1">
        <v>5.5</v>
      </c>
      <c r="C451" s="1" t="s">
        <v>917</v>
      </c>
      <c r="D451" s="1" t="s">
        <v>1885</v>
      </c>
      <c r="E451" s="1" t="s">
        <v>17758</v>
      </c>
      <c r="F451" s="1" t="s">
        <v>17759</v>
      </c>
      <c r="G451" s="1"/>
      <c r="H451" s="1"/>
      <c r="I451" s="1"/>
      <c r="J451" s="1"/>
      <c r="K451" s="1" t="s">
        <v>773</v>
      </c>
    </row>
    <row r="452" ht="14.25" customHeight="1">
      <c r="A452" s="3" t="s">
        <v>751</v>
      </c>
      <c r="B452" s="1">
        <v>6.7</v>
      </c>
      <c r="C452" s="1" t="s">
        <v>917</v>
      </c>
      <c r="D452" s="1" t="s">
        <v>1885</v>
      </c>
      <c r="E452" s="1" t="s">
        <v>17758</v>
      </c>
      <c r="F452" s="1" t="s">
        <v>17759</v>
      </c>
      <c r="G452" s="1"/>
      <c r="H452" s="1"/>
      <c r="I452" s="1"/>
      <c r="J452" s="1"/>
      <c r="K452" s="1" t="s">
        <v>1191</v>
      </c>
    </row>
    <row r="453" ht="14.25" customHeight="1">
      <c r="A453" s="3" t="s">
        <v>751</v>
      </c>
      <c r="B453" s="1">
        <v>7.6</v>
      </c>
      <c r="C453" s="1" t="s">
        <v>917</v>
      </c>
      <c r="D453" s="1" t="s">
        <v>1885</v>
      </c>
      <c r="E453" s="1" t="s">
        <v>17758</v>
      </c>
      <c r="F453" s="1" t="s">
        <v>17759</v>
      </c>
      <c r="G453" s="1"/>
      <c r="H453" s="1"/>
      <c r="I453" s="1"/>
      <c r="J453" s="1"/>
      <c r="K453" s="1" t="s">
        <v>1479</v>
      </c>
    </row>
    <row r="454" ht="14.25" customHeight="1">
      <c r="A454" s="3" t="s">
        <v>751</v>
      </c>
      <c r="B454" s="1">
        <v>5.7</v>
      </c>
      <c r="C454" s="1" t="s">
        <v>917</v>
      </c>
      <c r="D454" s="1" t="s">
        <v>1885</v>
      </c>
      <c r="E454" s="1" t="s">
        <v>17758</v>
      </c>
      <c r="F454" s="1" t="s">
        <v>17759</v>
      </c>
      <c r="G454" s="1"/>
      <c r="H454" s="1"/>
      <c r="I454" s="1"/>
      <c r="J454" s="1"/>
      <c r="K454" s="1" t="s">
        <v>1561</v>
      </c>
    </row>
    <row r="455" ht="14.25" customHeight="1">
      <c r="A455" s="3" t="s">
        <v>751</v>
      </c>
      <c r="B455" s="1">
        <v>4.6</v>
      </c>
      <c r="C455" s="1" t="s">
        <v>917</v>
      </c>
      <c r="D455" s="1" t="s">
        <v>1885</v>
      </c>
      <c r="E455" s="1" t="s">
        <v>17758</v>
      </c>
      <c r="F455" s="1" t="s">
        <v>17759</v>
      </c>
      <c r="G455" s="1"/>
      <c r="H455" s="1"/>
      <c r="I455" s="1"/>
      <c r="J455" s="1"/>
      <c r="K455" s="1" t="s">
        <v>1575</v>
      </c>
    </row>
    <row r="456" ht="14.25" customHeight="1">
      <c r="A456" s="3" t="s">
        <v>751</v>
      </c>
      <c r="B456" s="1">
        <v>7.0</v>
      </c>
      <c r="C456" s="1" t="s">
        <v>917</v>
      </c>
      <c r="D456" s="1" t="s">
        <v>1885</v>
      </c>
      <c r="E456" s="1" t="s">
        <v>17758</v>
      </c>
      <c r="F456" s="1" t="s">
        <v>17759</v>
      </c>
      <c r="G456" s="1"/>
      <c r="H456" s="1"/>
      <c r="I456" s="1"/>
      <c r="J456" s="1"/>
      <c r="K456" s="1" t="s">
        <v>3161</v>
      </c>
    </row>
    <row r="457" ht="14.25" customHeight="1">
      <c r="A457" s="3" t="s">
        <v>751</v>
      </c>
      <c r="B457" s="1">
        <v>5.2</v>
      </c>
      <c r="C457" s="1" t="s">
        <v>917</v>
      </c>
      <c r="D457" s="1" t="s">
        <v>1885</v>
      </c>
      <c r="E457" s="1" t="s">
        <v>17758</v>
      </c>
      <c r="F457" s="1" t="s">
        <v>17759</v>
      </c>
      <c r="G457" s="1"/>
      <c r="H457" s="1"/>
      <c r="I457" s="1"/>
      <c r="J457" s="1"/>
      <c r="K457" s="1" t="s">
        <v>6681</v>
      </c>
    </row>
    <row r="458" ht="14.25" customHeight="1">
      <c r="A458" s="3" t="s">
        <v>751</v>
      </c>
      <c r="B458" s="1">
        <v>5.1</v>
      </c>
      <c r="C458" s="1" t="s">
        <v>917</v>
      </c>
      <c r="D458" s="1" t="s">
        <v>1885</v>
      </c>
      <c r="E458" s="1" t="s">
        <v>17758</v>
      </c>
      <c r="F458" s="1" t="s">
        <v>17759</v>
      </c>
      <c r="G458" s="1"/>
      <c r="H458" s="1"/>
      <c r="I458" s="1"/>
      <c r="J458" s="1"/>
      <c r="K458" s="1" t="s">
        <v>8167</v>
      </c>
    </row>
    <row r="459" ht="14.25" customHeight="1">
      <c r="A459" s="3" t="s">
        <v>751</v>
      </c>
      <c r="B459" s="1">
        <v>6.6</v>
      </c>
      <c r="C459" s="1" t="s">
        <v>917</v>
      </c>
      <c r="D459" s="1" t="s">
        <v>1885</v>
      </c>
      <c r="E459" s="1" t="s">
        <v>17758</v>
      </c>
      <c r="F459" s="1" t="s">
        <v>17759</v>
      </c>
      <c r="G459" s="1"/>
      <c r="H459" s="1"/>
      <c r="I459" s="1"/>
      <c r="J459" s="1"/>
      <c r="K459" s="1" t="s">
        <v>9613</v>
      </c>
    </row>
    <row r="460" ht="14.25" customHeight="1">
      <c r="A460" s="3" t="s">
        <v>751</v>
      </c>
      <c r="B460" s="1">
        <v>6.7</v>
      </c>
      <c r="C460" s="1" t="s">
        <v>917</v>
      </c>
      <c r="D460" s="1" t="s">
        <v>1885</v>
      </c>
      <c r="E460" s="1" t="s">
        <v>17758</v>
      </c>
      <c r="F460" s="1" t="s">
        <v>17759</v>
      </c>
      <c r="G460" s="1"/>
      <c r="H460" s="1"/>
      <c r="I460" s="1"/>
      <c r="J460" s="1"/>
      <c r="K460" s="1" t="s">
        <v>11644</v>
      </c>
    </row>
    <row r="461" ht="14.25" customHeight="1">
      <c r="A461" s="3" t="s">
        <v>756</v>
      </c>
      <c r="B461" s="1">
        <v>7.3</v>
      </c>
      <c r="C461" s="1" t="s">
        <v>17757</v>
      </c>
      <c r="D461" s="1" t="s">
        <v>1885</v>
      </c>
      <c r="E461" s="1" t="s">
        <v>17758</v>
      </c>
      <c r="F461" s="1" t="s">
        <v>17759</v>
      </c>
      <c r="G461" s="1"/>
      <c r="H461" s="1"/>
      <c r="I461" s="1"/>
      <c r="J461" s="1"/>
      <c r="K461" s="1" t="s">
        <v>755</v>
      </c>
    </row>
    <row r="462" ht="14.25" customHeight="1">
      <c r="A462" s="3" t="s">
        <v>756</v>
      </c>
      <c r="B462" s="1">
        <v>5.9</v>
      </c>
      <c r="C462" s="1" t="s">
        <v>17757</v>
      </c>
      <c r="D462" s="1" t="s">
        <v>1885</v>
      </c>
      <c r="E462" s="1" t="s">
        <v>17758</v>
      </c>
      <c r="F462" s="1" t="s">
        <v>17759</v>
      </c>
      <c r="G462" s="1"/>
      <c r="H462" s="1"/>
      <c r="I462" s="1"/>
      <c r="J462" s="1"/>
      <c r="K462" s="1" t="s">
        <v>2251</v>
      </c>
    </row>
    <row r="463" ht="14.25" customHeight="1">
      <c r="A463" s="3" t="s">
        <v>756</v>
      </c>
      <c r="B463" s="1">
        <v>5.6</v>
      </c>
      <c r="C463" s="1" t="s">
        <v>17757</v>
      </c>
      <c r="D463" s="1" t="s">
        <v>1885</v>
      </c>
      <c r="E463" s="1" t="s">
        <v>17758</v>
      </c>
      <c r="F463" s="1" t="s">
        <v>17759</v>
      </c>
      <c r="G463" s="1"/>
      <c r="H463" s="1"/>
      <c r="I463" s="1"/>
      <c r="J463" s="1"/>
      <c r="K463" s="1" t="s">
        <v>2616</v>
      </c>
    </row>
    <row r="464" ht="14.25" customHeight="1">
      <c r="A464" s="3" t="s">
        <v>756</v>
      </c>
      <c r="B464" s="1">
        <v>6.5</v>
      </c>
      <c r="C464" s="1" t="s">
        <v>17757</v>
      </c>
      <c r="D464" s="1" t="s">
        <v>1885</v>
      </c>
      <c r="E464" s="1" t="s">
        <v>17758</v>
      </c>
      <c r="F464" s="1" t="s">
        <v>17759</v>
      </c>
      <c r="G464" s="1"/>
      <c r="H464" s="1"/>
      <c r="I464" s="1"/>
      <c r="J464" s="1"/>
      <c r="K464" s="1" t="s">
        <v>4465</v>
      </c>
    </row>
    <row r="465" ht="14.25" customHeight="1">
      <c r="A465" s="3" t="s">
        <v>756</v>
      </c>
      <c r="B465" s="1">
        <v>5.9</v>
      </c>
      <c r="C465" s="1" t="s">
        <v>17757</v>
      </c>
      <c r="D465" s="1" t="s">
        <v>1885</v>
      </c>
      <c r="E465" s="1" t="s">
        <v>17758</v>
      </c>
      <c r="F465" s="1" t="s">
        <v>17759</v>
      </c>
      <c r="G465" s="1"/>
      <c r="H465" s="1"/>
      <c r="I465" s="1"/>
      <c r="J465" s="1"/>
      <c r="K465" s="1" t="s">
        <v>4828</v>
      </c>
    </row>
    <row r="466" ht="14.25" customHeight="1">
      <c r="A466" s="3" t="s">
        <v>533</v>
      </c>
      <c r="B466" s="1">
        <v>7.0</v>
      </c>
      <c r="C466" s="1" t="s">
        <v>917</v>
      </c>
      <c r="D466" s="1" t="s">
        <v>3238</v>
      </c>
      <c r="E466" s="1" t="s">
        <v>17758</v>
      </c>
      <c r="F466" s="1" t="s">
        <v>17759</v>
      </c>
      <c r="G466" s="1"/>
      <c r="H466" s="1"/>
      <c r="I466" s="1"/>
      <c r="J466" s="1"/>
      <c r="K466" s="1" t="s">
        <v>532</v>
      </c>
    </row>
    <row r="467" ht="14.25" customHeight="1">
      <c r="A467" s="3" t="s">
        <v>533</v>
      </c>
      <c r="B467" s="1">
        <v>5.3</v>
      </c>
      <c r="C467" s="1" t="s">
        <v>917</v>
      </c>
      <c r="D467" s="1" t="s">
        <v>3238</v>
      </c>
      <c r="E467" s="1" t="s">
        <v>17758</v>
      </c>
      <c r="F467" s="1" t="s">
        <v>17759</v>
      </c>
      <c r="G467" s="1"/>
      <c r="H467" s="1"/>
      <c r="I467" s="1"/>
      <c r="J467" s="1"/>
      <c r="K467" s="1" t="s">
        <v>1718</v>
      </c>
    </row>
    <row r="468" ht="14.25" customHeight="1">
      <c r="A468" s="3" t="s">
        <v>533</v>
      </c>
      <c r="B468" s="1">
        <v>5.9</v>
      </c>
      <c r="C468" s="1" t="s">
        <v>917</v>
      </c>
      <c r="D468" s="1" t="s">
        <v>3238</v>
      </c>
      <c r="E468" s="1" t="s">
        <v>17758</v>
      </c>
      <c r="F468" s="1" t="s">
        <v>17759</v>
      </c>
      <c r="G468" s="1"/>
      <c r="H468" s="1"/>
      <c r="I468" s="1"/>
      <c r="J468" s="1"/>
      <c r="K468" s="1" t="s">
        <v>532</v>
      </c>
    </row>
    <row r="469" ht="14.25" customHeight="1">
      <c r="A469" s="3" t="s">
        <v>533</v>
      </c>
      <c r="B469" s="1">
        <v>6.3</v>
      </c>
      <c r="C469" s="1" t="s">
        <v>917</v>
      </c>
      <c r="D469" s="1" t="s">
        <v>3238</v>
      </c>
      <c r="E469" s="1" t="s">
        <v>17758</v>
      </c>
      <c r="F469" s="1" t="s">
        <v>17759</v>
      </c>
      <c r="G469" s="1"/>
      <c r="H469" s="1"/>
      <c r="I469" s="1"/>
      <c r="J469" s="1"/>
      <c r="K469" s="1" t="s">
        <v>8802</v>
      </c>
    </row>
    <row r="470" ht="14.25" customHeight="1">
      <c r="A470" s="3" t="s">
        <v>422</v>
      </c>
      <c r="B470" s="1">
        <v>6.3</v>
      </c>
      <c r="C470" s="1" t="s">
        <v>17757</v>
      </c>
      <c r="D470" s="1" t="s">
        <v>3238</v>
      </c>
      <c r="E470" s="1" t="s">
        <v>17758</v>
      </c>
      <c r="F470" s="1" t="s">
        <v>17759</v>
      </c>
      <c r="G470" s="1"/>
      <c r="H470" s="1"/>
      <c r="I470" s="1"/>
      <c r="J470" s="1"/>
      <c r="K470" s="1" t="s">
        <v>421</v>
      </c>
    </row>
    <row r="471" ht="14.25" customHeight="1">
      <c r="A471" s="3" t="s">
        <v>4538</v>
      </c>
      <c r="B471" s="1">
        <v>7.3</v>
      </c>
      <c r="C471" s="1" t="s">
        <v>1885</v>
      </c>
      <c r="D471" s="1" t="s">
        <v>3238</v>
      </c>
      <c r="E471" s="1" t="s">
        <v>17758</v>
      </c>
      <c r="F471" s="1" t="s">
        <v>17759</v>
      </c>
      <c r="G471" s="1"/>
      <c r="H471" s="1"/>
      <c r="I471" s="1"/>
      <c r="J471" s="1"/>
      <c r="K471" s="1" t="s">
        <v>4537</v>
      </c>
    </row>
    <row r="472" ht="14.25" customHeight="1">
      <c r="A472" s="3" t="s">
        <v>4538</v>
      </c>
      <c r="B472" s="1">
        <v>5.8</v>
      </c>
      <c r="C472" s="1" t="s">
        <v>1885</v>
      </c>
      <c r="D472" s="1" t="s">
        <v>3238</v>
      </c>
      <c r="E472" s="1" t="s">
        <v>17758</v>
      </c>
      <c r="F472" s="1" t="s">
        <v>17759</v>
      </c>
      <c r="G472" s="1"/>
      <c r="H472" s="1"/>
      <c r="I472" s="1"/>
      <c r="J472" s="1"/>
      <c r="K472" s="1" t="s">
        <v>6107</v>
      </c>
    </row>
    <row r="473" ht="14.25" customHeight="1">
      <c r="A473" s="3" t="s">
        <v>4538</v>
      </c>
      <c r="B473" s="1">
        <v>5.2</v>
      </c>
      <c r="C473" s="1" t="s">
        <v>1885</v>
      </c>
      <c r="D473" s="1" t="s">
        <v>3238</v>
      </c>
      <c r="E473" s="1" t="s">
        <v>17758</v>
      </c>
      <c r="F473" s="1" t="s">
        <v>17759</v>
      </c>
      <c r="G473" s="1"/>
      <c r="H473" s="1"/>
      <c r="I473" s="1"/>
      <c r="J473" s="1"/>
      <c r="K473" s="1" t="s">
        <v>9514</v>
      </c>
    </row>
    <row r="474" ht="14.25" customHeight="1">
      <c r="A474" s="3" t="s">
        <v>16957</v>
      </c>
      <c r="B474" s="1">
        <v>2.4</v>
      </c>
      <c r="C474" s="1" t="s">
        <v>17765</v>
      </c>
      <c r="D474" s="1" t="s">
        <v>17763</v>
      </c>
      <c r="E474" s="1" t="s">
        <v>15542</v>
      </c>
      <c r="F474" s="1" t="s">
        <v>17772</v>
      </c>
      <c r="G474" s="1"/>
      <c r="H474" s="1"/>
      <c r="I474" s="1"/>
      <c r="J474" s="1"/>
      <c r="K474" s="1" t="s">
        <v>16956</v>
      </c>
    </row>
    <row r="475" ht="14.25" customHeight="1">
      <c r="A475" s="3" t="s">
        <v>181</v>
      </c>
      <c r="B475" s="1">
        <v>5.7</v>
      </c>
      <c r="C475" s="1" t="s">
        <v>1270</v>
      </c>
      <c r="D475" s="1" t="s">
        <v>917</v>
      </c>
      <c r="E475" s="1" t="s">
        <v>3238</v>
      </c>
      <c r="F475" s="1" t="s">
        <v>17772</v>
      </c>
      <c r="G475" s="1"/>
      <c r="H475" s="1"/>
      <c r="I475" s="1"/>
      <c r="J475" s="1"/>
      <c r="K475" s="1" t="s">
        <v>180</v>
      </c>
    </row>
    <row r="476" ht="14.25" customHeight="1">
      <c r="A476" s="3" t="s">
        <v>181</v>
      </c>
      <c r="B476" s="1">
        <v>5.8</v>
      </c>
      <c r="C476" s="1" t="s">
        <v>1270</v>
      </c>
      <c r="D476" s="1" t="s">
        <v>917</v>
      </c>
      <c r="E476" s="1" t="s">
        <v>3238</v>
      </c>
      <c r="F476" s="1" t="s">
        <v>17772</v>
      </c>
      <c r="G476" s="1"/>
      <c r="H476" s="1"/>
      <c r="I476" s="1"/>
      <c r="J476" s="1"/>
      <c r="K476" s="1" t="s">
        <v>3674</v>
      </c>
    </row>
    <row r="477" ht="14.25" customHeight="1">
      <c r="A477" s="3" t="s">
        <v>6792</v>
      </c>
      <c r="B477" s="1">
        <v>5.6</v>
      </c>
      <c r="C477" s="1" t="s">
        <v>1270</v>
      </c>
      <c r="D477" s="1" t="s">
        <v>17765</v>
      </c>
      <c r="E477" s="1" t="s">
        <v>3238</v>
      </c>
      <c r="F477" s="1" t="s">
        <v>17772</v>
      </c>
      <c r="G477" s="1"/>
      <c r="H477" s="1"/>
      <c r="I477" s="1"/>
      <c r="J477" s="1"/>
      <c r="K477" s="1" t="s">
        <v>6791</v>
      </c>
    </row>
    <row r="478" ht="14.25" customHeight="1">
      <c r="A478" s="3" t="s">
        <v>14364</v>
      </c>
      <c r="B478" s="1">
        <v>6.0</v>
      </c>
      <c r="C478" s="1" t="s">
        <v>917</v>
      </c>
      <c r="D478" s="1" t="s">
        <v>17765</v>
      </c>
      <c r="E478" s="1" t="s">
        <v>3238</v>
      </c>
      <c r="F478" s="1" t="s">
        <v>17772</v>
      </c>
      <c r="G478" s="1"/>
      <c r="H478" s="1"/>
      <c r="I478" s="1"/>
      <c r="J478" s="1"/>
      <c r="K478" s="1" t="s">
        <v>14363</v>
      </c>
    </row>
    <row r="479" ht="14.25" customHeight="1">
      <c r="A479" s="3" t="s">
        <v>2915</v>
      </c>
      <c r="B479" s="1">
        <v>5.8</v>
      </c>
      <c r="C479" s="1" t="s">
        <v>17765</v>
      </c>
      <c r="D479" s="1" t="s">
        <v>1885</v>
      </c>
      <c r="E479" s="1" t="s">
        <v>3238</v>
      </c>
      <c r="F479" s="1" t="s">
        <v>17772</v>
      </c>
      <c r="G479" s="1"/>
      <c r="H479" s="1"/>
      <c r="I479" s="1"/>
      <c r="J479" s="1"/>
      <c r="K479" s="1" t="s">
        <v>2914</v>
      </c>
    </row>
    <row r="480" ht="14.25" customHeight="1">
      <c r="A480" s="3" t="s">
        <v>2915</v>
      </c>
      <c r="B480" s="1">
        <v>6.0</v>
      </c>
      <c r="C480" s="1" t="s">
        <v>17765</v>
      </c>
      <c r="D480" s="1" t="s">
        <v>1885</v>
      </c>
      <c r="E480" s="1" t="s">
        <v>3238</v>
      </c>
      <c r="F480" s="1" t="s">
        <v>17772</v>
      </c>
      <c r="G480" s="1"/>
      <c r="H480" s="1"/>
      <c r="I480" s="1"/>
      <c r="J480" s="1"/>
      <c r="K480" s="1" t="s">
        <v>8235</v>
      </c>
    </row>
    <row r="481" ht="14.25" customHeight="1">
      <c r="A481" s="3" t="s">
        <v>2915</v>
      </c>
      <c r="B481" s="1">
        <v>5.7</v>
      </c>
      <c r="C481" s="1" t="s">
        <v>17765</v>
      </c>
      <c r="D481" s="1" t="s">
        <v>1885</v>
      </c>
      <c r="E481" s="1" t="s">
        <v>3238</v>
      </c>
      <c r="F481" s="1" t="s">
        <v>17772</v>
      </c>
      <c r="G481" s="1"/>
      <c r="H481" s="1"/>
      <c r="I481" s="1"/>
      <c r="J481" s="1"/>
      <c r="K481" s="1" t="s">
        <v>14066</v>
      </c>
    </row>
    <row r="482" ht="14.25" customHeight="1">
      <c r="A482" s="3" t="s">
        <v>9930</v>
      </c>
      <c r="B482" s="1">
        <v>6.0</v>
      </c>
      <c r="C482" s="1" t="s">
        <v>17765</v>
      </c>
      <c r="D482" s="1" t="s">
        <v>17763</v>
      </c>
      <c r="E482" s="1" t="s">
        <v>3238</v>
      </c>
      <c r="F482" s="1" t="s">
        <v>17772</v>
      </c>
      <c r="G482" s="1"/>
      <c r="H482" s="1"/>
      <c r="I482" s="1"/>
      <c r="J482" s="1"/>
      <c r="K482" s="1" t="s">
        <v>9929</v>
      </c>
    </row>
    <row r="483" ht="14.25" customHeight="1">
      <c r="A483" s="3" t="s">
        <v>9217</v>
      </c>
      <c r="B483" s="1">
        <v>7.8</v>
      </c>
      <c r="C483" s="1" t="s">
        <v>1270</v>
      </c>
      <c r="D483" s="1" t="s">
        <v>917</v>
      </c>
      <c r="E483" s="1" t="s">
        <v>17759</v>
      </c>
      <c r="F483" s="1" t="s">
        <v>6019</v>
      </c>
      <c r="G483" s="1"/>
      <c r="H483" s="1"/>
      <c r="I483" s="1"/>
      <c r="J483" s="1"/>
      <c r="K483" s="1" t="s">
        <v>9216</v>
      </c>
    </row>
    <row r="484" ht="14.25" customHeight="1">
      <c r="A484" s="3" t="s">
        <v>15764</v>
      </c>
      <c r="B484" s="1">
        <v>4.2</v>
      </c>
      <c r="C484" s="1" t="s">
        <v>1885</v>
      </c>
      <c r="D484" s="1" t="s">
        <v>3238</v>
      </c>
      <c r="E484" s="1" t="s">
        <v>17759</v>
      </c>
      <c r="F484" s="1" t="s">
        <v>6019</v>
      </c>
      <c r="G484" s="1"/>
      <c r="H484" s="1"/>
      <c r="I484" s="1"/>
      <c r="J484" s="1"/>
      <c r="K484" s="1" t="s">
        <v>15763</v>
      </c>
    </row>
    <row r="485" ht="14.25" customHeight="1">
      <c r="A485" s="3" t="s">
        <v>8450</v>
      </c>
      <c r="B485" s="1">
        <v>5.6</v>
      </c>
      <c r="C485" s="1" t="s">
        <v>1270</v>
      </c>
      <c r="D485" s="1" t="s">
        <v>1885</v>
      </c>
      <c r="E485" s="1" t="s">
        <v>17763</v>
      </c>
      <c r="F485" s="1" t="s">
        <v>17774</v>
      </c>
      <c r="G485" s="1"/>
      <c r="H485" s="1"/>
      <c r="I485" s="1"/>
      <c r="J485" s="1"/>
      <c r="K485" s="1" t="s">
        <v>8449</v>
      </c>
    </row>
    <row r="486" ht="14.25" customHeight="1">
      <c r="A486" s="3" t="s">
        <v>8593</v>
      </c>
      <c r="B486" s="1">
        <v>8.2</v>
      </c>
      <c r="C486" s="1" t="s">
        <v>917</v>
      </c>
      <c r="D486" s="1" t="s">
        <v>1885</v>
      </c>
      <c r="E486" s="1" t="s">
        <v>17763</v>
      </c>
      <c r="F486" s="1" t="s">
        <v>17774</v>
      </c>
      <c r="G486" s="1"/>
      <c r="H486" s="1"/>
      <c r="I486" s="1"/>
      <c r="J486" s="1"/>
      <c r="K486" s="1" t="s">
        <v>8592</v>
      </c>
    </row>
    <row r="487" ht="14.25" customHeight="1">
      <c r="A487" s="3" t="s">
        <v>13222</v>
      </c>
      <c r="B487" s="1">
        <v>8.5</v>
      </c>
      <c r="C487" s="1" t="s">
        <v>1270</v>
      </c>
      <c r="D487" s="1" t="s">
        <v>1885</v>
      </c>
      <c r="E487" s="1" t="s">
        <v>3238</v>
      </c>
      <c r="F487" s="1" t="s">
        <v>17774</v>
      </c>
      <c r="G487" s="1"/>
      <c r="H487" s="1"/>
      <c r="I487" s="1"/>
      <c r="J487" s="1"/>
      <c r="K487" s="1" t="s">
        <v>13221</v>
      </c>
    </row>
    <row r="488" ht="14.25" customHeight="1">
      <c r="A488" s="3" t="s">
        <v>4083</v>
      </c>
      <c r="B488" s="1">
        <v>5.8</v>
      </c>
      <c r="C488" s="1" t="s">
        <v>917</v>
      </c>
      <c r="D488" s="1" t="s">
        <v>1885</v>
      </c>
      <c r="E488" s="1" t="s">
        <v>3238</v>
      </c>
      <c r="F488" s="1" t="s">
        <v>17774</v>
      </c>
      <c r="G488" s="1"/>
      <c r="H488" s="1"/>
      <c r="I488" s="1"/>
      <c r="J488" s="1"/>
      <c r="K488" s="1" t="s">
        <v>4082</v>
      </c>
    </row>
    <row r="489" ht="14.25" customHeight="1">
      <c r="A489" s="3" t="s">
        <v>6235</v>
      </c>
      <c r="B489" s="1">
        <v>6.5</v>
      </c>
      <c r="C489" s="1" t="s">
        <v>17765</v>
      </c>
      <c r="D489" s="1" t="s">
        <v>17763</v>
      </c>
      <c r="E489" s="1" t="s">
        <v>3238</v>
      </c>
      <c r="F489" s="1" t="s">
        <v>17774</v>
      </c>
      <c r="G489" s="1"/>
      <c r="H489" s="1"/>
      <c r="I489" s="1"/>
      <c r="J489" s="1"/>
      <c r="K489" s="1" t="s">
        <v>6234</v>
      </c>
    </row>
    <row r="490" ht="14.25" customHeight="1">
      <c r="A490" s="3" t="s">
        <v>2622</v>
      </c>
      <c r="B490" s="1">
        <v>7.2</v>
      </c>
      <c r="C490" s="1" t="s">
        <v>17757</v>
      </c>
      <c r="D490" s="1" t="s">
        <v>17758</v>
      </c>
      <c r="E490" s="1" t="s">
        <v>17759</v>
      </c>
      <c r="F490" s="1" t="s">
        <v>17774</v>
      </c>
      <c r="G490" s="1"/>
      <c r="H490" s="1"/>
      <c r="I490" s="1"/>
      <c r="J490" s="1"/>
      <c r="K490" s="1" t="s">
        <v>2621</v>
      </c>
    </row>
    <row r="491" ht="14.25" customHeight="1">
      <c r="A491" s="3" t="s">
        <v>10713</v>
      </c>
      <c r="B491" s="1">
        <v>6.7</v>
      </c>
      <c r="C491" s="1" t="s">
        <v>17765</v>
      </c>
      <c r="D491" s="1" t="s">
        <v>3238</v>
      </c>
      <c r="E491" s="1" t="s">
        <v>17772</v>
      </c>
      <c r="F491" s="1" t="s">
        <v>17774</v>
      </c>
      <c r="G491" s="1"/>
      <c r="H491" s="1"/>
      <c r="I491" s="1"/>
      <c r="J491" s="1"/>
      <c r="K491" s="1" t="s">
        <v>10712</v>
      </c>
    </row>
    <row r="492" ht="14.25" customHeight="1">
      <c r="A492" s="3" t="s">
        <v>15752</v>
      </c>
      <c r="B492" s="1">
        <v>3.4</v>
      </c>
      <c r="C492" s="1" t="s">
        <v>1270</v>
      </c>
      <c r="D492" s="1" t="s">
        <v>917</v>
      </c>
      <c r="E492" s="1" t="s">
        <v>1885</v>
      </c>
      <c r="F492" s="1" t="s">
        <v>17760</v>
      </c>
      <c r="G492" s="1"/>
      <c r="H492" s="1"/>
      <c r="I492" s="1"/>
      <c r="J492" s="1"/>
      <c r="K492" s="1" t="s">
        <v>15751</v>
      </c>
    </row>
    <row r="493" ht="14.25" customHeight="1">
      <c r="A493" s="3" t="s">
        <v>9899</v>
      </c>
      <c r="B493" s="1">
        <v>5.9</v>
      </c>
      <c r="C493" s="1" t="s">
        <v>917</v>
      </c>
      <c r="D493" s="1" t="s">
        <v>17757</v>
      </c>
      <c r="E493" s="1" t="s">
        <v>17758</v>
      </c>
      <c r="F493" s="1" t="s">
        <v>17760</v>
      </c>
      <c r="G493" s="1"/>
      <c r="H493" s="1"/>
      <c r="I493" s="1"/>
      <c r="J493" s="1"/>
      <c r="K493" s="1" t="s">
        <v>9898</v>
      </c>
    </row>
    <row r="494" ht="14.25" customHeight="1">
      <c r="A494" s="3" t="s">
        <v>5400</v>
      </c>
      <c r="B494" s="1">
        <v>7.8</v>
      </c>
      <c r="C494" s="1" t="s">
        <v>917</v>
      </c>
      <c r="D494" s="1" t="s">
        <v>1885</v>
      </c>
      <c r="E494" s="1" t="s">
        <v>17758</v>
      </c>
      <c r="F494" s="1" t="s">
        <v>17760</v>
      </c>
      <c r="G494" s="1"/>
      <c r="H494" s="1"/>
      <c r="I494" s="1"/>
      <c r="J494" s="1"/>
      <c r="K494" s="1" t="s">
        <v>5399</v>
      </c>
    </row>
    <row r="495" ht="14.25" customHeight="1">
      <c r="A495" s="3" t="s">
        <v>1074</v>
      </c>
      <c r="B495" s="1">
        <v>5.9</v>
      </c>
      <c r="C495" s="1" t="s">
        <v>17757</v>
      </c>
      <c r="D495" s="1" t="s">
        <v>1885</v>
      </c>
      <c r="E495" s="1" t="s">
        <v>17758</v>
      </c>
      <c r="F495" s="1" t="s">
        <v>17760</v>
      </c>
      <c r="G495" s="1"/>
      <c r="H495" s="1"/>
      <c r="I495" s="1"/>
      <c r="J495" s="1"/>
      <c r="K495" s="1" t="s">
        <v>1073</v>
      </c>
    </row>
    <row r="496" ht="14.25" customHeight="1">
      <c r="A496" s="3" t="s">
        <v>3543</v>
      </c>
      <c r="B496" s="1">
        <v>4.1</v>
      </c>
      <c r="C496" s="1" t="s">
        <v>1885</v>
      </c>
      <c r="D496" s="1" t="s">
        <v>3238</v>
      </c>
      <c r="E496" s="1" t="s">
        <v>17758</v>
      </c>
      <c r="F496" s="1" t="s">
        <v>17760</v>
      </c>
      <c r="G496" s="1"/>
      <c r="H496" s="1"/>
      <c r="I496" s="1"/>
      <c r="J496" s="1"/>
      <c r="K496" s="1" t="s">
        <v>3542</v>
      </c>
    </row>
    <row r="497" ht="14.25" customHeight="1">
      <c r="A497" s="3" t="s">
        <v>9704</v>
      </c>
      <c r="B497" s="1">
        <v>6.8</v>
      </c>
      <c r="C497" s="1" t="s">
        <v>17757</v>
      </c>
      <c r="D497" s="1" t="s">
        <v>1885</v>
      </c>
      <c r="E497" s="1" t="s">
        <v>17759</v>
      </c>
      <c r="F497" s="1" t="s">
        <v>17760</v>
      </c>
      <c r="G497" s="1"/>
      <c r="H497" s="1"/>
      <c r="I497" s="1"/>
      <c r="J497" s="1"/>
      <c r="K497" s="1" t="s">
        <v>9703</v>
      </c>
    </row>
    <row r="498" ht="14.25" customHeight="1">
      <c r="A498" s="3" t="s">
        <v>2206</v>
      </c>
      <c r="B498" s="1">
        <v>5.8</v>
      </c>
      <c r="C498" s="1" t="s">
        <v>1270</v>
      </c>
      <c r="D498" s="1" t="s">
        <v>17758</v>
      </c>
      <c r="E498" s="1" t="s">
        <v>17759</v>
      </c>
      <c r="F498" s="1" t="s">
        <v>17760</v>
      </c>
      <c r="G498" s="1"/>
      <c r="H498" s="1"/>
      <c r="I498" s="1"/>
      <c r="J498" s="1"/>
      <c r="K498" s="1" t="s">
        <v>2205</v>
      </c>
    </row>
    <row r="499" ht="14.25" customHeight="1">
      <c r="A499" s="3" t="s">
        <v>9057</v>
      </c>
      <c r="B499" s="1">
        <v>7.5</v>
      </c>
      <c r="C499" s="1" t="s">
        <v>917</v>
      </c>
      <c r="D499" s="1" t="s">
        <v>17758</v>
      </c>
      <c r="E499" s="1" t="s">
        <v>17759</v>
      </c>
      <c r="F499" s="1" t="s">
        <v>17760</v>
      </c>
      <c r="G499" s="1"/>
      <c r="H499" s="1"/>
      <c r="I499" s="1"/>
      <c r="J499" s="1"/>
      <c r="K499" s="1" t="s">
        <v>9056</v>
      </c>
    </row>
    <row r="500" ht="14.25" customHeight="1">
      <c r="A500" s="3" t="s">
        <v>9057</v>
      </c>
      <c r="B500" s="1">
        <v>6.9</v>
      </c>
      <c r="C500" s="1" t="s">
        <v>917</v>
      </c>
      <c r="D500" s="1" t="s">
        <v>17758</v>
      </c>
      <c r="E500" s="1" t="s">
        <v>17759</v>
      </c>
      <c r="F500" s="1" t="s">
        <v>17760</v>
      </c>
      <c r="G500" s="1"/>
      <c r="H500" s="1"/>
      <c r="I500" s="1"/>
      <c r="J500" s="1"/>
      <c r="K500" s="1" t="s">
        <v>16077</v>
      </c>
    </row>
    <row r="501" ht="14.25" customHeight="1">
      <c r="A501" s="3" t="s">
        <v>5655</v>
      </c>
      <c r="B501" s="1">
        <v>6.5</v>
      </c>
      <c r="C501" s="1" t="s">
        <v>17757</v>
      </c>
      <c r="D501" s="1" t="s">
        <v>17758</v>
      </c>
      <c r="E501" s="1" t="s">
        <v>17759</v>
      </c>
      <c r="F501" s="1" t="s">
        <v>17760</v>
      </c>
      <c r="G501" s="1"/>
      <c r="H501" s="1"/>
      <c r="I501" s="1"/>
      <c r="J501" s="1"/>
      <c r="K501" s="1" t="s">
        <v>5654</v>
      </c>
    </row>
    <row r="502" ht="14.25" customHeight="1">
      <c r="A502" s="3" t="s">
        <v>5655</v>
      </c>
      <c r="B502" s="1">
        <v>6.9</v>
      </c>
      <c r="C502" s="1" t="s">
        <v>17757</v>
      </c>
      <c r="D502" s="1" t="s">
        <v>17758</v>
      </c>
      <c r="E502" s="1" t="s">
        <v>17759</v>
      </c>
      <c r="F502" s="1" t="s">
        <v>17760</v>
      </c>
      <c r="G502" s="1"/>
      <c r="H502" s="1"/>
      <c r="I502" s="1"/>
      <c r="J502" s="1"/>
      <c r="K502" s="1" t="s">
        <v>16676</v>
      </c>
    </row>
    <row r="503" ht="14.25" customHeight="1">
      <c r="A503" s="3" t="s">
        <v>14628</v>
      </c>
      <c r="B503" s="1">
        <v>7.9</v>
      </c>
      <c r="C503" s="1" t="s">
        <v>1885</v>
      </c>
      <c r="D503" s="1" t="s">
        <v>17758</v>
      </c>
      <c r="E503" s="1" t="s">
        <v>17759</v>
      </c>
      <c r="F503" s="1" t="s">
        <v>17760</v>
      </c>
      <c r="G503" s="1"/>
      <c r="H503" s="1"/>
      <c r="I503" s="1"/>
      <c r="J503" s="1"/>
      <c r="K503" s="1" t="s">
        <v>14627</v>
      </c>
    </row>
    <row r="504" ht="14.25" customHeight="1">
      <c r="A504" s="3" t="s">
        <v>4448</v>
      </c>
      <c r="B504" s="1">
        <v>7.4</v>
      </c>
      <c r="C504" s="1" t="s">
        <v>17765</v>
      </c>
      <c r="D504" s="1" t="s">
        <v>3238</v>
      </c>
      <c r="E504" s="1" t="s">
        <v>17772</v>
      </c>
      <c r="F504" s="1" t="s">
        <v>17760</v>
      </c>
      <c r="G504" s="1"/>
      <c r="H504" s="1"/>
      <c r="I504" s="1"/>
      <c r="J504" s="1"/>
      <c r="K504" s="1" t="s">
        <v>4447</v>
      </c>
    </row>
    <row r="505" ht="14.25" customHeight="1">
      <c r="A505" s="3" t="s">
        <v>6117</v>
      </c>
      <c r="B505" s="1">
        <v>6.7</v>
      </c>
      <c r="C505" s="1" t="s">
        <v>17765</v>
      </c>
      <c r="D505" s="1" t="s">
        <v>3238</v>
      </c>
      <c r="E505" s="1" t="s">
        <v>17774</v>
      </c>
      <c r="F505" s="1" t="s">
        <v>17760</v>
      </c>
      <c r="G505" s="1"/>
      <c r="H505" s="1"/>
      <c r="I505" s="1"/>
      <c r="J505" s="1"/>
      <c r="K505" s="1" t="s">
        <v>6116</v>
      </c>
    </row>
    <row r="506" ht="14.25" customHeight="1">
      <c r="A506" s="3" t="s">
        <v>6117</v>
      </c>
      <c r="B506" s="1">
        <v>7.4</v>
      </c>
      <c r="C506" s="1" t="s">
        <v>17765</v>
      </c>
      <c r="D506" s="1" t="s">
        <v>3238</v>
      </c>
      <c r="E506" s="1" t="s">
        <v>17774</v>
      </c>
      <c r="F506" s="1" t="s">
        <v>17760</v>
      </c>
      <c r="G506" s="1"/>
      <c r="H506" s="1"/>
      <c r="I506" s="1"/>
      <c r="J506" s="1"/>
      <c r="K506" s="1" t="s">
        <v>6176</v>
      </c>
    </row>
    <row r="507" ht="14.25" customHeight="1">
      <c r="A507" s="3" t="s">
        <v>6117</v>
      </c>
      <c r="B507" s="1">
        <v>6.9</v>
      </c>
      <c r="C507" s="1" t="s">
        <v>17765</v>
      </c>
      <c r="D507" s="1" t="s">
        <v>3238</v>
      </c>
      <c r="E507" s="1" t="s">
        <v>17774</v>
      </c>
      <c r="F507" s="1" t="s">
        <v>17760</v>
      </c>
      <c r="G507" s="1"/>
      <c r="H507" s="1"/>
      <c r="I507" s="1"/>
      <c r="J507" s="1"/>
      <c r="K507" s="1" t="s">
        <v>9359</v>
      </c>
    </row>
    <row r="508" ht="14.25" customHeight="1">
      <c r="A508" s="3" t="s">
        <v>6117</v>
      </c>
      <c r="B508" s="1">
        <v>6.8</v>
      </c>
      <c r="C508" s="1" t="s">
        <v>17765</v>
      </c>
      <c r="D508" s="1" t="s">
        <v>3238</v>
      </c>
      <c r="E508" s="1" t="s">
        <v>17774</v>
      </c>
      <c r="F508" s="1" t="s">
        <v>17760</v>
      </c>
      <c r="G508" s="1"/>
      <c r="H508" s="1"/>
      <c r="I508" s="1"/>
      <c r="J508" s="1"/>
      <c r="K508" s="1" t="s">
        <v>11767</v>
      </c>
    </row>
    <row r="509" ht="14.25" customHeight="1">
      <c r="A509" s="3" t="s">
        <v>14776</v>
      </c>
      <c r="B509" s="1">
        <v>6.7</v>
      </c>
      <c r="C509" s="1" t="s">
        <v>1885</v>
      </c>
      <c r="D509" s="1" t="s">
        <v>3238</v>
      </c>
      <c r="E509" s="1" t="s">
        <v>17774</v>
      </c>
      <c r="F509" s="1" t="s">
        <v>17760</v>
      </c>
      <c r="G509" s="1"/>
      <c r="H509" s="1"/>
      <c r="I509" s="1"/>
      <c r="J509" s="1"/>
      <c r="K509" s="1" t="s">
        <v>14775</v>
      </c>
    </row>
    <row r="510" ht="14.25" customHeight="1">
      <c r="A510" s="3" t="s">
        <v>10181</v>
      </c>
      <c r="B510" s="1">
        <v>5.1</v>
      </c>
      <c r="C510" s="1" t="s">
        <v>1885</v>
      </c>
      <c r="D510" s="1" t="s">
        <v>17758</v>
      </c>
      <c r="E510" s="1" t="s">
        <v>17774</v>
      </c>
      <c r="F510" s="1" t="s">
        <v>17760</v>
      </c>
      <c r="G510" s="1"/>
      <c r="H510" s="1"/>
      <c r="I510" s="1"/>
      <c r="J510" s="1"/>
      <c r="K510" s="1" t="s">
        <v>10180</v>
      </c>
    </row>
    <row r="511" ht="14.25" customHeight="1">
      <c r="A511" s="3" t="s">
        <v>10981</v>
      </c>
      <c r="B511" s="1">
        <v>4.1</v>
      </c>
      <c r="C511" s="1" t="s">
        <v>3238</v>
      </c>
      <c r="D511" s="1" t="s">
        <v>17758</v>
      </c>
      <c r="E511" s="1" t="s">
        <v>17774</v>
      </c>
      <c r="F511" s="1" t="s">
        <v>17760</v>
      </c>
      <c r="G511" s="1"/>
      <c r="H511" s="1"/>
      <c r="I511" s="1"/>
      <c r="J511" s="1"/>
      <c r="K511" s="1" t="s">
        <v>10980</v>
      </c>
    </row>
    <row r="512" ht="14.25" customHeight="1">
      <c r="A512" s="3" t="s">
        <v>10006</v>
      </c>
      <c r="B512" s="1">
        <v>7.3</v>
      </c>
      <c r="C512" s="1" t="s">
        <v>1270</v>
      </c>
      <c r="D512" s="1" t="s">
        <v>917</v>
      </c>
      <c r="E512" s="1" t="s">
        <v>3238</v>
      </c>
      <c r="F512" s="1" t="s">
        <v>17761</v>
      </c>
      <c r="G512" s="1"/>
      <c r="H512" s="1"/>
      <c r="I512" s="1"/>
      <c r="J512" s="1"/>
      <c r="K512" s="1" t="s">
        <v>10005</v>
      </c>
    </row>
    <row r="513" ht="14.25" customHeight="1">
      <c r="A513" s="3" t="s">
        <v>1166</v>
      </c>
      <c r="B513" s="1">
        <v>6.0</v>
      </c>
      <c r="C513" s="1" t="s">
        <v>1270</v>
      </c>
      <c r="D513" s="1" t="s">
        <v>917</v>
      </c>
      <c r="E513" s="1" t="s">
        <v>17758</v>
      </c>
      <c r="F513" s="1" t="s">
        <v>17761</v>
      </c>
      <c r="G513" s="1"/>
      <c r="H513" s="1"/>
      <c r="I513" s="1"/>
      <c r="J513" s="1"/>
      <c r="K513" s="1" t="s">
        <v>1165</v>
      </c>
    </row>
    <row r="514" ht="14.25" customHeight="1">
      <c r="A514" s="3" t="s">
        <v>474</v>
      </c>
      <c r="B514" s="1">
        <v>7.3</v>
      </c>
      <c r="C514" s="1" t="s">
        <v>917</v>
      </c>
      <c r="D514" s="1" t="s">
        <v>3238</v>
      </c>
      <c r="E514" s="1" t="s">
        <v>17758</v>
      </c>
      <c r="F514" s="1" t="s">
        <v>17761</v>
      </c>
      <c r="G514" s="1"/>
      <c r="H514" s="1"/>
      <c r="I514" s="1"/>
      <c r="J514" s="1"/>
      <c r="K514" s="1" t="s">
        <v>473</v>
      </c>
    </row>
    <row r="515" ht="14.25" customHeight="1">
      <c r="A515" s="3" t="s">
        <v>3738</v>
      </c>
      <c r="B515" s="1">
        <v>5.4</v>
      </c>
      <c r="C515" s="1" t="s">
        <v>17763</v>
      </c>
      <c r="D515" s="1" t="s">
        <v>3238</v>
      </c>
      <c r="E515" s="1" t="s">
        <v>17759</v>
      </c>
      <c r="F515" s="1" t="s">
        <v>17761</v>
      </c>
      <c r="G515" s="1"/>
      <c r="H515" s="1"/>
      <c r="I515" s="1"/>
      <c r="J515" s="1"/>
      <c r="K515" s="1" t="s">
        <v>3737</v>
      </c>
    </row>
    <row r="516" ht="14.25" customHeight="1">
      <c r="A516" s="3" t="s">
        <v>97</v>
      </c>
      <c r="B516" s="1">
        <v>5.9</v>
      </c>
      <c r="C516" s="1" t="s">
        <v>917</v>
      </c>
      <c r="D516" s="1" t="s">
        <v>17758</v>
      </c>
      <c r="E516" s="1" t="s">
        <v>17759</v>
      </c>
      <c r="F516" s="1" t="s">
        <v>17761</v>
      </c>
      <c r="G516" s="1"/>
      <c r="H516" s="1"/>
      <c r="I516" s="1"/>
      <c r="J516" s="1"/>
      <c r="K516" s="1" t="s">
        <v>96</v>
      </c>
    </row>
    <row r="517" ht="14.25" customHeight="1">
      <c r="A517" s="3" t="s">
        <v>97</v>
      </c>
      <c r="B517" s="1">
        <v>7.1</v>
      </c>
      <c r="C517" s="1" t="s">
        <v>917</v>
      </c>
      <c r="D517" s="1" t="s">
        <v>17758</v>
      </c>
      <c r="E517" s="1" t="s">
        <v>17759</v>
      </c>
      <c r="F517" s="1" t="s">
        <v>17761</v>
      </c>
      <c r="G517" s="1"/>
      <c r="H517" s="1"/>
      <c r="I517" s="1"/>
      <c r="J517" s="1"/>
      <c r="K517" s="1" t="s">
        <v>731</v>
      </c>
    </row>
    <row r="518" ht="14.25" customHeight="1">
      <c r="A518" s="3" t="s">
        <v>97</v>
      </c>
      <c r="B518" s="1">
        <v>6.0</v>
      </c>
      <c r="C518" s="1" t="s">
        <v>917</v>
      </c>
      <c r="D518" s="1" t="s">
        <v>17758</v>
      </c>
      <c r="E518" s="1" t="s">
        <v>17759</v>
      </c>
      <c r="F518" s="1" t="s">
        <v>17761</v>
      </c>
      <c r="G518" s="1"/>
      <c r="H518" s="1"/>
      <c r="I518" s="1"/>
      <c r="J518" s="1"/>
      <c r="K518" s="1" t="s">
        <v>736</v>
      </c>
    </row>
    <row r="519" ht="14.25" customHeight="1">
      <c r="A519" s="3" t="s">
        <v>97</v>
      </c>
      <c r="B519" s="1">
        <v>6.5</v>
      </c>
      <c r="C519" s="1" t="s">
        <v>917</v>
      </c>
      <c r="D519" s="1" t="s">
        <v>17758</v>
      </c>
      <c r="E519" s="1" t="s">
        <v>17759</v>
      </c>
      <c r="F519" s="1" t="s">
        <v>17761</v>
      </c>
      <c r="G519" s="1"/>
      <c r="H519" s="1"/>
      <c r="I519" s="1"/>
      <c r="J519" s="1"/>
      <c r="K519" s="1" t="s">
        <v>1173</v>
      </c>
    </row>
    <row r="520" ht="14.25" customHeight="1">
      <c r="A520" s="3" t="s">
        <v>97</v>
      </c>
      <c r="B520" s="1">
        <v>5.7</v>
      </c>
      <c r="C520" s="1" t="s">
        <v>917</v>
      </c>
      <c r="D520" s="1" t="s">
        <v>17758</v>
      </c>
      <c r="E520" s="1" t="s">
        <v>17759</v>
      </c>
      <c r="F520" s="1" t="s">
        <v>17761</v>
      </c>
      <c r="G520" s="1"/>
      <c r="H520" s="1"/>
      <c r="I520" s="1"/>
      <c r="J520" s="1"/>
      <c r="K520" s="1" t="s">
        <v>1620</v>
      </c>
    </row>
    <row r="521" ht="14.25" customHeight="1">
      <c r="A521" s="3" t="s">
        <v>10164</v>
      </c>
      <c r="B521" s="1">
        <v>7.6</v>
      </c>
      <c r="C521" s="1" t="s">
        <v>17757</v>
      </c>
      <c r="D521" s="1" t="s">
        <v>17758</v>
      </c>
      <c r="E521" s="1" t="s">
        <v>17759</v>
      </c>
      <c r="F521" s="1" t="s">
        <v>17761</v>
      </c>
      <c r="G521" s="1"/>
      <c r="H521" s="1"/>
      <c r="I521" s="1"/>
      <c r="J521" s="1"/>
      <c r="K521" s="1" t="s">
        <v>10163</v>
      </c>
    </row>
    <row r="522" ht="14.25" customHeight="1">
      <c r="A522" s="3" t="s">
        <v>1738</v>
      </c>
      <c r="B522" s="1">
        <v>6.6</v>
      </c>
      <c r="C522" s="1" t="s">
        <v>1270</v>
      </c>
      <c r="D522" s="1" t="s">
        <v>17759</v>
      </c>
      <c r="E522" s="1" t="s">
        <v>6019</v>
      </c>
      <c r="F522" s="1" t="s">
        <v>17761</v>
      </c>
      <c r="G522" s="1"/>
      <c r="H522" s="1"/>
      <c r="I522" s="1"/>
      <c r="J522" s="1"/>
      <c r="K522" s="1" t="s">
        <v>1737</v>
      </c>
    </row>
    <row r="523" ht="14.25" customHeight="1">
      <c r="A523" s="3" t="s">
        <v>10275</v>
      </c>
      <c r="B523" s="1">
        <v>5.4</v>
      </c>
      <c r="C523" s="1" t="s">
        <v>3238</v>
      </c>
      <c r="D523" s="1" t="s">
        <v>17759</v>
      </c>
      <c r="E523" s="1" t="s">
        <v>6019</v>
      </c>
      <c r="F523" s="1" t="s">
        <v>17761</v>
      </c>
      <c r="G523" s="1"/>
      <c r="H523" s="1"/>
      <c r="I523" s="1"/>
      <c r="J523" s="1"/>
      <c r="K523" s="1" t="s">
        <v>10274</v>
      </c>
    </row>
    <row r="524" ht="14.25" customHeight="1">
      <c r="A524" s="3" t="s">
        <v>14105</v>
      </c>
      <c r="B524" s="1">
        <v>7.3</v>
      </c>
      <c r="C524" s="1" t="s">
        <v>1885</v>
      </c>
      <c r="D524" s="1" t="s">
        <v>17763</v>
      </c>
      <c r="E524" s="1" t="s">
        <v>17760</v>
      </c>
      <c r="F524" s="1" t="s">
        <v>17761</v>
      </c>
      <c r="G524" s="1"/>
      <c r="H524" s="1"/>
      <c r="I524" s="1"/>
      <c r="J524" s="1"/>
      <c r="K524" s="1" t="s">
        <v>14104</v>
      </c>
    </row>
    <row r="525" ht="14.25" customHeight="1">
      <c r="A525" s="3" t="s">
        <v>2582</v>
      </c>
      <c r="B525" s="1">
        <v>6.5</v>
      </c>
      <c r="C525" s="1" t="s">
        <v>1270</v>
      </c>
      <c r="D525" s="1" t="s">
        <v>917</v>
      </c>
      <c r="E525" s="1" t="s">
        <v>1885</v>
      </c>
      <c r="F525" s="1" t="s">
        <v>17762</v>
      </c>
      <c r="G525" s="1"/>
      <c r="H525" s="1"/>
      <c r="I525" s="1"/>
      <c r="J525" s="1"/>
      <c r="K525" s="1" t="s">
        <v>2581</v>
      </c>
    </row>
    <row r="526" ht="14.25" customHeight="1">
      <c r="A526" s="3" t="s">
        <v>5350</v>
      </c>
      <c r="B526" s="1">
        <v>6.6</v>
      </c>
      <c r="C526" s="1" t="s">
        <v>1270</v>
      </c>
      <c r="D526" s="1" t="s">
        <v>1885</v>
      </c>
      <c r="E526" s="1" t="s">
        <v>17763</v>
      </c>
      <c r="F526" s="1" t="s">
        <v>17762</v>
      </c>
      <c r="G526" s="1"/>
      <c r="H526" s="1"/>
      <c r="I526" s="1"/>
      <c r="J526" s="1"/>
      <c r="K526" s="1" t="s">
        <v>5349</v>
      </c>
    </row>
    <row r="527" ht="14.25" customHeight="1">
      <c r="A527" s="3" t="s">
        <v>5350</v>
      </c>
      <c r="B527" s="1">
        <v>6.6</v>
      </c>
      <c r="C527" s="1" t="s">
        <v>1270</v>
      </c>
      <c r="D527" s="1" t="s">
        <v>1885</v>
      </c>
      <c r="E527" s="1" t="s">
        <v>17763</v>
      </c>
      <c r="F527" s="1" t="s">
        <v>17762</v>
      </c>
      <c r="G527" s="1"/>
      <c r="H527" s="1"/>
      <c r="I527" s="1"/>
      <c r="J527" s="1"/>
      <c r="K527" s="1" t="s">
        <v>8757</v>
      </c>
    </row>
    <row r="528" ht="14.25" customHeight="1">
      <c r="A528" s="3" t="s">
        <v>6004</v>
      </c>
      <c r="B528" s="1">
        <v>5.9</v>
      </c>
      <c r="C528" s="1" t="s">
        <v>917</v>
      </c>
      <c r="D528" s="1" t="s">
        <v>1885</v>
      </c>
      <c r="E528" s="1" t="s">
        <v>17763</v>
      </c>
      <c r="F528" s="1" t="s">
        <v>17762</v>
      </c>
      <c r="G528" s="1"/>
      <c r="H528" s="1"/>
      <c r="I528" s="1"/>
      <c r="J528" s="1"/>
      <c r="K528" s="1" t="s">
        <v>6003</v>
      </c>
    </row>
    <row r="529" ht="14.25" customHeight="1">
      <c r="A529" s="3" t="s">
        <v>199</v>
      </c>
      <c r="B529" s="1">
        <v>6.7</v>
      </c>
      <c r="C529" s="1" t="s">
        <v>1270</v>
      </c>
      <c r="D529" s="1" t="s">
        <v>917</v>
      </c>
      <c r="E529" s="1" t="s">
        <v>3238</v>
      </c>
      <c r="F529" s="1" t="s">
        <v>17762</v>
      </c>
      <c r="G529" s="1"/>
      <c r="H529" s="1"/>
      <c r="I529" s="1"/>
      <c r="J529" s="1"/>
      <c r="K529" s="1" t="s">
        <v>198</v>
      </c>
    </row>
    <row r="530" ht="14.25" customHeight="1">
      <c r="A530" s="3" t="s">
        <v>199</v>
      </c>
      <c r="B530" s="1">
        <v>6.1</v>
      </c>
      <c r="C530" s="1" t="s">
        <v>1270</v>
      </c>
      <c r="D530" s="1" t="s">
        <v>917</v>
      </c>
      <c r="E530" s="1" t="s">
        <v>3238</v>
      </c>
      <c r="F530" s="1" t="s">
        <v>17762</v>
      </c>
      <c r="G530" s="1"/>
      <c r="H530" s="1"/>
      <c r="I530" s="1"/>
      <c r="J530" s="1"/>
      <c r="K530" s="1" t="s">
        <v>434</v>
      </c>
    </row>
    <row r="531" ht="14.25" customHeight="1">
      <c r="A531" s="3" t="s">
        <v>199</v>
      </c>
      <c r="B531" s="1">
        <v>6.6</v>
      </c>
      <c r="C531" s="1" t="s">
        <v>1270</v>
      </c>
      <c r="D531" s="1" t="s">
        <v>917</v>
      </c>
      <c r="E531" s="1" t="s">
        <v>3238</v>
      </c>
      <c r="F531" s="1" t="s">
        <v>17762</v>
      </c>
      <c r="G531" s="1"/>
      <c r="H531" s="1"/>
      <c r="I531" s="1"/>
      <c r="J531" s="1"/>
      <c r="K531" s="1" t="s">
        <v>434</v>
      </c>
    </row>
    <row r="532" ht="14.25" customHeight="1">
      <c r="A532" s="3" t="s">
        <v>199</v>
      </c>
      <c r="B532" s="1">
        <v>6.6</v>
      </c>
      <c r="C532" s="1" t="s">
        <v>1270</v>
      </c>
      <c r="D532" s="1" t="s">
        <v>917</v>
      </c>
      <c r="E532" s="1" t="s">
        <v>3238</v>
      </c>
      <c r="F532" s="1" t="s">
        <v>17762</v>
      </c>
      <c r="G532" s="1"/>
      <c r="H532" s="1"/>
      <c r="I532" s="1"/>
      <c r="J532" s="1"/>
      <c r="K532" s="1" t="s">
        <v>4732</v>
      </c>
    </row>
    <row r="533" ht="14.25" customHeight="1">
      <c r="A533" s="3" t="s">
        <v>199</v>
      </c>
      <c r="B533" s="1">
        <v>5.3</v>
      </c>
      <c r="C533" s="1" t="s">
        <v>1270</v>
      </c>
      <c r="D533" s="1" t="s">
        <v>917</v>
      </c>
      <c r="E533" s="1" t="s">
        <v>3238</v>
      </c>
      <c r="F533" s="1" t="s">
        <v>17762</v>
      </c>
      <c r="G533" s="1"/>
      <c r="H533" s="1"/>
      <c r="I533" s="1"/>
      <c r="J533" s="1"/>
      <c r="K533" s="1" t="s">
        <v>198</v>
      </c>
    </row>
    <row r="534" ht="14.25" customHeight="1">
      <c r="A534" s="3" t="s">
        <v>199</v>
      </c>
      <c r="B534" s="1">
        <v>6.0</v>
      </c>
      <c r="C534" s="1" t="s">
        <v>1270</v>
      </c>
      <c r="D534" s="1" t="s">
        <v>917</v>
      </c>
      <c r="E534" s="1" t="s">
        <v>3238</v>
      </c>
      <c r="F534" s="1" t="s">
        <v>17762</v>
      </c>
      <c r="G534" s="1"/>
      <c r="H534" s="1"/>
      <c r="I534" s="1"/>
      <c r="J534" s="1"/>
      <c r="K534" s="1" t="s">
        <v>12747</v>
      </c>
    </row>
    <row r="535" ht="14.25" customHeight="1">
      <c r="A535" s="3" t="s">
        <v>199</v>
      </c>
      <c r="B535" s="1">
        <v>4.7</v>
      </c>
      <c r="C535" s="1" t="s">
        <v>1270</v>
      </c>
      <c r="D535" s="1" t="s">
        <v>917</v>
      </c>
      <c r="E535" s="1" t="s">
        <v>3238</v>
      </c>
      <c r="F535" s="1" t="s">
        <v>17762</v>
      </c>
      <c r="G535" s="1"/>
      <c r="H535" s="1"/>
      <c r="I535" s="1"/>
      <c r="J535" s="1"/>
      <c r="K535" s="1" t="s">
        <v>198</v>
      </c>
    </row>
    <row r="536" ht="14.25" customHeight="1">
      <c r="A536" s="3" t="s">
        <v>10435</v>
      </c>
      <c r="B536" s="1">
        <v>6.1</v>
      </c>
      <c r="C536" s="1" t="s">
        <v>917</v>
      </c>
      <c r="D536" s="1" t="s">
        <v>1885</v>
      </c>
      <c r="E536" s="1" t="s">
        <v>3238</v>
      </c>
      <c r="F536" s="1" t="s">
        <v>17762</v>
      </c>
      <c r="G536" s="1"/>
      <c r="H536" s="1"/>
      <c r="I536" s="1"/>
      <c r="J536" s="1"/>
      <c r="K536" s="1" t="s">
        <v>10434</v>
      </c>
    </row>
    <row r="537" ht="14.25" customHeight="1">
      <c r="A537" s="3" t="s">
        <v>10435</v>
      </c>
      <c r="B537" s="1">
        <v>7.2</v>
      </c>
      <c r="C537" s="1" t="s">
        <v>917</v>
      </c>
      <c r="D537" s="1" t="s">
        <v>1885</v>
      </c>
      <c r="E537" s="1" t="s">
        <v>3238</v>
      </c>
      <c r="F537" s="1" t="s">
        <v>17762</v>
      </c>
      <c r="G537" s="1"/>
      <c r="H537" s="1"/>
      <c r="I537" s="1"/>
      <c r="J537" s="1"/>
      <c r="K537" s="1" t="s">
        <v>11016</v>
      </c>
    </row>
    <row r="538" ht="14.25" customHeight="1">
      <c r="A538" s="3" t="s">
        <v>10435</v>
      </c>
      <c r="B538" s="1">
        <v>6.4</v>
      </c>
      <c r="C538" s="1" t="s">
        <v>917</v>
      </c>
      <c r="D538" s="1" t="s">
        <v>1885</v>
      </c>
      <c r="E538" s="1" t="s">
        <v>3238</v>
      </c>
      <c r="F538" s="1" t="s">
        <v>17762</v>
      </c>
      <c r="G538" s="1"/>
      <c r="H538" s="1"/>
      <c r="I538" s="1"/>
      <c r="J538" s="1"/>
      <c r="K538" s="1" t="s">
        <v>11224</v>
      </c>
    </row>
    <row r="539" ht="14.25" customHeight="1">
      <c r="A539" s="3" t="s">
        <v>10435</v>
      </c>
      <c r="B539" s="1">
        <v>6.1</v>
      </c>
      <c r="C539" s="1" t="s">
        <v>917</v>
      </c>
      <c r="D539" s="1" t="s">
        <v>1885</v>
      </c>
      <c r="E539" s="1" t="s">
        <v>3238</v>
      </c>
      <c r="F539" s="1" t="s">
        <v>17762</v>
      </c>
      <c r="G539" s="1"/>
      <c r="H539" s="1"/>
      <c r="I539" s="1"/>
      <c r="J539" s="1"/>
      <c r="K539" s="1" t="s">
        <v>15119</v>
      </c>
    </row>
    <row r="540" ht="14.25" customHeight="1">
      <c r="A540" s="3" t="s">
        <v>14041</v>
      </c>
      <c r="B540" s="1">
        <v>5.9</v>
      </c>
      <c r="C540" s="1" t="s">
        <v>17757</v>
      </c>
      <c r="D540" s="1" t="s">
        <v>1885</v>
      </c>
      <c r="E540" s="1" t="s">
        <v>3238</v>
      </c>
      <c r="F540" s="1" t="s">
        <v>17762</v>
      </c>
      <c r="G540" s="1"/>
      <c r="H540" s="1"/>
      <c r="I540" s="1"/>
      <c r="J540" s="1"/>
      <c r="K540" s="1" t="s">
        <v>14040</v>
      </c>
    </row>
    <row r="541" ht="14.25" customHeight="1">
      <c r="A541" s="3" t="s">
        <v>4748</v>
      </c>
      <c r="B541" s="1">
        <v>6.0</v>
      </c>
      <c r="C541" s="1" t="s">
        <v>17765</v>
      </c>
      <c r="D541" s="1" t="s">
        <v>1885</v>
      </c>
      <c r="E541" s="1" t="s">
        <v>3238</v>
      </c>
      <c r="F541" s="1" t="s">
        <v>17762</v>
      </c>
      <c r="G541" s="1"/>
      <c r="H541" s="1"/>
      <c r="I541" s="1"/>
      <c r="J541" s="1"/>
      <c r="K541" s="1" t="s">
        <v>4747</v>
      </c>
    </row>
    <row r="542" ht="14.25" customHeight="1">
      <c r="A542" s="3" t="s">
        <v>4748</v>
      </c>
      <c r="B542" s="1">
        <v>6.3</v>
      </c>
      <c r="C542" s="1" t="s">
        <v>17765</v>
      </c>
      <c r="D542" s="1" t="s">
        <v>1885</v>
      </c>
      <c r="E542" s="1" t="s">
        <v>3238</v>
      </c>
      <c r="F542" s="1" t="s">
        <v>17762</v>
      </c>
      <c r="G542" s="1"/>
      <c r="H542" s="1"/>
      <c r="I542" s="1"/>
      <c r="J542" s="1"/>
      <c r="K542" s="1" t="s">
        <v>16882</v>
      </c>
    </row>
    <row r="543" ht="14.25" customHeight="1">
      <c r="A543" s="3" t="s">
        <v>11127</v>
      </c>
      <c r="B543" s="1">
        <v>5.6</v>
      </c>
      <c r="C543" s="1" t="s">
        <v>917</v>
      </c>
      <c r="D543" s="1" t="s">
        <v>17763</v>
      </c>
      <c r="E543" s="1" t="s">
        <v>3238</v>
      </c>
      <c r="F543" s="1" t="s">
        <v>17762</v>
      </c>
      <c r="G543" s="1"/>
      <c r="H543" s="1"/>
      <c r="I543" s="1"/>
      <c r="J543" s="1"/>
      <c r="K543" s="1" t="s">
        <v>11126</v>
      </c>
    </row>
    <row r="544" ht="14.25" customHeight="1">
      <c r="A544" s="3" t="s">
        <v>13391</v>
      </c>
      <c r="B544" s="1">
        <v>6.4</v>
      </c>
      <c r="C544" s="1" t="s">
        <v>17765</v>
      </c>
      <c r="D544" s="1" t="s">
        <v>17763</v>
      </c>
      <c r="E544" s="1" t="s">
        <v>3238</v>
      </c>
      <c r="F544" s="1" t="s">
        <v>17762</v>
      </c>
      <c r="G544" s="1"/>
      <c r="H544" s="1"/>
      <c r="I544" s="1"/>
      <c r="J544" s="1"/>
      <c r="K544" s="1" t="s">
        <v>13390</v>
      </c>
    </row>
    <row r="545" ht="14.25" customHeight="1">
      <c r="A545" s="3" t="s">
        <v>13391</v>
      </c>
      <c r="B545" s="1">
        <v>7.1</v>
      </c>
      <c r="C545" s="1" t="s">
        <v>17765</v>
      </c>
      <c r="D545" s="1" t="s">
        <v>17763</v>
      </c>
      <c r="E545" s="1" t="s">
        <v>3238</v>
      </c>
      <c r="F545" s="1" t="s">
        <v>17762</v>
      </c>
      <c r="G545" s="1"/>
      <c r="H545" s="1"/>
      <c r="I545" s="1"/>
      <c r="J545" s="1"/>
      <c r="K545" s="1" t="s">
        <v>16296</v>
      </c>
    </row>
    <row r="546" ht="14.25" customHeight="1">
      <c r="A546" s="3" t="s">
        <v>2964</v>
      </c>
      <c r="B546" s="1">
        <v>6.6</v>
      </c>
      <c r="C546" s="1" t="s">
        <v>1885</v>
      </c>
      <c r="D546" s="1" t="s">
        <v>17763</v>
      </c>
      <c r="E546" s="1" t="s">
        <v>3238</v>
      </c>
      <c r="F546" s="1" t="s">
        <v>17762</v>
      </c>
      <c r="G546" s="1"/>
      <c r="H546" s="1"/>
      <c r="I546" s="1"/>
      <c r="J546" s="1"/>
      <c r="K546" s="1" t="s">
        <v>2963</v>
      </c>
    </row>
    <row r="547" ht="14.25" customHeight="1">
      <c r="A547" s="3" t="s">
        <v>2964</v>
      </c>
      <c r="B547" s="1">
        <v>4.6</v>
      </c>
      <c r="C547" s="1" t="s">
        <v>1885</v>
      </c>
      <c r="D547" s="1" t="s">
        <v>17763</v>
      </c>
      <c r="E547" s="1" t="s">
        <v>3238</v>
      </c>
      <c r="F547" s="1" t="s">
        <v>17762</v>
      </c>
      <c r="G547" s="1"/>
      <c r="H547" s="1"/>
      <c r="I547" s="1"/>
      <c r="J547" s="1"/>
      <c r="K547" s="1" t="s">
        <v>3549</v>
      </c>
    </row>
    <row r="548" ht="14.25" customHeight="1">
      <c r="A548" s="3" t="s">
        <v>2964</v>
      </c>
      <c r="B548" s="1">
        <v>8.4</v>
      </c>
      <c r="C548" s="1" t="s">
        <v>1885</v>
      </c>
      <c r="D548" s="1" t="s">
        <v>17763</v>
      </c>
      <c r="E548" s="1" t="s">
        <v>3238</v>
      </c>
      <c r="F548" s="1" t="s">
        <v>17762</v>
      </c>
      <c r="G548" s="1"/>
      <c r="H548" s="1"/>
      <c r="I548" s="1"/>
      <c r="J548" s="1"/>
      <c r="K548" s="1" t="s">
        <v>14131</v>
      </c>
    </row>
    <row r="549" ht="14.25" customHeight="1">
      <c r="A549" s="3" t="s">
        <v>2964</v>
      </c>
      <c r="B549" s="1">
        <v>7.1</v>
      </c>
      <c r="C549" s="1" t="s">
        <v>1885</v>
      </c>
      <c r="D549" s="1" t="s">
        <v>17763</v>
      </c>
      <c r="E549" s="1" t="s">
        <v>3238</v>
      </c>
      <c r="F549" s="1" t="s">
        <v>17762</v>
      </c>
      <c r="G549" s="1"/>
      <c r="H549" s="1"/>
      <c r="I549" s="1"/>
      <c r="J549" s="1"/>
      <c r="K549" s="1" t="s">
        <v>16606</v>
      </c>
    </row>
    <row r="550" ht="14.25" customHeight="1">
      <c r="A550" s="3" t="s">
        <v>9047</v>
      </c>
      <c r="B550" s="1">
        <v>7.4</v>
      </c>
      <c r="C550" s="1" t="s">
        <v>917</v>
      </c>
      <c r="D550" s="1" t="s">
        <v>1885</v>
      </c>
      <c r="E550" s="1" t="s">
        <v>17758</v>
      </c>
      <c r="F550" s="1" t="s">
        <v>17762</v>
      </c>
      <c r="G550" s="1"/>
      <c r="H550" s="1"/>
      <c r="I550" s="1"/>
      <c r="J550" s="1"/>
      <c r="K550" s="1" t="s">
        <v>9046</v>
      </c>
    </row>
    <row r="551" ht="14.25" customHeight="1">
      <c r="A551" s="3" t="s">
        <v>9047</v>
      </c>
      <c r="B551" s="1">
        <v>6.9</v>
      </c>
      <c r="C551" s="1" t="s">
        <v>917</v>
      </c>
      <c r="D551" s="1" t="s">
        <v>1885</v>
      </c>
      <c r="E551" s="1" t="s">
        <v>17758</v>
      </c>
      <c r="F551" s="1" t="s">
        <v>17762</v>
      </c>
      <c r="G551" s="1"/>
      <c r="H551" s="1"/>
      <c r="I551" s="1"/>
      <c r="J551" s="1"/>
      <c r="K551" s="1" t="s">
        <v>9826</v>
      </c>
    </row>
    <row r="552" ht="14.25" customHeight="1">
      <c r="A552" s="3" t="s">
        <v>9047</v>
      </c>
      <c r="B552" s="1">
        <v>4.5</v>
      </c>
      <c r="C552" s="1" t="s">
        <v>917</v>
      </c>
      <c r="D552" s="1" t="s">
        <v>1885</v>
      </c>
      <c r="E552" s="1" t="s">
        <v>17758</v>
      </c>
      <c r="F552" s="1" t="s">
        <v>17762</v>
      </c>
      <c r="G552" s="1"/>
      <c r="H552" s="1"/>
      <c r="I552" s="1"/>
      <c r="J552" s="1"/>
      <c r="K552" s="1" t="s">
        <v>10082</v>
      </c>
    </row>
    <row r="553" ht="14.25" customHeight="1">
      <c r="A553" s="3" t="s">
        <v>6373</v>
      </c>
      <c r="B553" s="1">
        <v>7.1</v>
      </c>
      <c r="C553" s="1" t="s">
        <v>1885</v>
      </c>
      <c r="D553" s="1" t="s">
        <v>17763</v>
      </c>
      <c r="E553" s="1" t="s">
        <v>17758</v>
      </c>
      <c r="F553" s="1" t="s">
        <v>17762</v>
      </c>
      <c r="G553" s="1"/>
      <c r="H553" s="1"/>
      <c r="I553" s="1"/>
      <c r="J553" s="1"/>
      <c r="K553" s="1" t="s">
        <v>6372</v>
      </c>
    </row>
    <row r="554" ht="14.25" customHeight="1">
      <c r="A554" s="3" t="s">
        <v>8685</v>
      </c>
      <c r="B554" s="1">
        <v>6.5</v>
      </c>
      <c r="C554" s="1" t="s">
        <v>1885</v>
      </c>
      <c r="D554" s="1" t="s">
        <v>3238</v>
      </c>
      <c r="E554" s="1" t="s">
        <v>17758</v>
      </c>
      <c r="F554" s="1" t="s">
        <v>17762</v>
      </c>
      <c r="G554" s="1"/>
      <c r="H554" s="1"/>
      <c r="I554" s="1"/>
      <c r="J554" s="1"/>
      <c r="K554" s="1" t="s">
        <v>8684</v>
      </c>
    </row>
    <row r="555" ht="14.25" customHeight="1">
      <c r="A555" s="3" t="s">
        <v>8685</v>
      </c>
      <c r="B555" s="1">
        <v>5.3</v>
      </c>
      <c r="C555" s="1" t="s">
        <v>1885</v>
      </c>
      <c r="D555" s="1" t="s">
        <v>3238</v>
      </c>
      <c r="E555" s="1" t="s">
        <v>17758</v>
      </c>
      <c r="F555" s="1" t="s">
        <v>17762</v>
      </c>
      <c r="G555" s="1"/>
      <c r="H555" s="1"/>
      <c r="I555" s="1"/>
      <c r="J555" s="1"/>
      <c r="K555" s="1" t="s">
        <v>8874</v>
      </c>
    </row>
    <row r="556" ht="14.25" customHeight="1">
      <c r="A556" s="3" t="s">
        <v>8685</v>
      </c>
      <c r="B556" s="1">
        <v>6.7</v>
      </c>
      <c r="C556" s="1" t="s">
        <v>1885</v>
      </c>
      <c r="D556" s="1" t="s">
        <v>3238</v>
      </c>
      <c r="E556" s="1" t="s">
        <v>17758</v>
      </c>
      <c r="F556" s="1" t="s">
        <v>17762</v>
      </c>
      <c r="G556" s="1"/>
      <c r="H556" s="1"/>
      <c r="I556" s="1"/>
      <c r="J556" s="1"/>
      <c r="K556" s="1" t="s">
        <v>8894</v>
      </c>
    </row>
    <row r="557" ht="14.25" customHeight="1">
      <c r="A557" s="3" t="s">
        <v>8685</v>
      </c>
      <c r="B557" s="1">
        <v>7.2</v>
      </c>
      <c r="C557" s="1" t="s">
        <v>1885</v>
      </c>
      <c r="D557" s="1" t="s">
        <v>3238</v>
      </c>
      <c r="E557" s="1" t="s">
        <v>17758</v>
      </c>
      <c r="F557" s="1" t="s">
        <v>17762</v>
      </c>
      <c r="G557" s="1"/>
      <c r="H557" s="1"/>
      <c r="I557" s="1"/>
      <c r="J557" s="1"/>
      <c r="K557" s="1" t="s">
        <v>11160</v>
      </c>
    </row>
    <row r="558" ht="14.25" customHeight="1">
      <c r="A558" s="3" t="s">
        <v>238</v>
      </c>
      <c r="B558" s="1">
        <v>7.2</v>
      </c>
      <c r="C558" s="1" t="s">
        <v>1270</v>
      </c>
      <c r="D558" s="1" t="s">
        <v>917</v>
      </c>
      <c r="E558" s="1" t="s">
        <v>17759</v>
      </c>
      <c r="F558" s="1" t="s">
        <v>17762</v>
      </c>
      <c r="G558" s="1"/>
      <c r="H558" s="1"/>
      <c r="I558" s="1"/>
      <c r="J558" s="1"/>
      <c r="K558" s="1" t="s">
        <v>237</v>
      </c>
    </row>
    <row r="559" ht="14.25" customHeight="1">
      <c r="A559" s="3" t="s">
        <v>238</v>
      </c>
      <c r="B559" s="1">
        <v>5.5</v>
      </c>
      <c r="C559" s="1" t="s">
        <v>1270</v>
      </c>
      <c r="D559" s="1" t="s">
        <v>917</v>
      </c>
      <c r="E559" s="1" t="s">
        <v>17759</v>
      </c>
      <c r="F559" s="1" t="s">
        <v>17762</v>
      </c>
      <c r="G559" s="1"/>
      <c r="H559" s="1"/>
      <c r="I559" s="1"/>
      <c r="J559" s="1"/>
      <c r="K559" s="1" t="s">
        <v>364</v>
      </c>
    </row>
    <row r="560" ht="14.25" customHeight="1">
      <c r="A560" s="3" t="s">
        <v>238</v>
      </c>
      <c r="B560" s="1">
        <v>5.8</v>
      </c>
      <c r="C560" s="1" t="s">
        <v>1270</v>
      </c>
      <c r="D560" s="1" t="s">
        <v>917</v>
      </c>
      <c r="E560" s="1" t="s">
        <v>17759</v>
      </c>
      <c r="F560" s="1" t="s">
        <v>17762</v>
      </c>
      <c r="G560" s="1"/>
      <c r="H560" s="1"/>
      <c r="I560" s="1"/>
      <c r="J560" s="1"/>
      <c r="K560" s="1" t="s">
        <v>995</v>
      </c>
    </row>
    <row r="561" ht="14.25" customHeight="1">
      <c r="A561" s="3" t="s">
        <v>2356</v>
      </c>
      <c r="B561" s="1">
        <v>6.0</v>
      </c>
      <c r="C561" s="1" t="s">
        <v>1270</v>
      </c>
      <c r="D561" s="1" t="s">
        <v>1885</v>
      </c>
      <c r="E561" s="1" t="s">
        <v>17759</v>
      </c>
      <c r="F561" s="1" t="s">
        <v>17762</v>
      </c>
      <c r="G561" s="1"/>
      <c r="H561" s="1"/>
      <c r="I561" s="1"/>
      <c r="J561" s="1"/>
      <c r="K561" s="1" t="s">
        <v>2355</v>
      </c>
    </row>
    <row r="562" ht="14.25" customHeight="1">
      <c r="A562" s="3" t="s">
        <v>2984</v>
      </c>
      <c r="B562" s="1">
        <v>6.6</v>
      </c>
      <c r="C562" s="1" t="s">
        <v>1270</v>
      </c>
      <c r="D562" s="1" t="s">
        <v>3238</v>
      </c>
      <c r="E562" s="1" t="s">
        <v>17759</v>
      </c>
      <c r="F562" s="1" t="s">
        <v>17762</v>
      </c>
      <c r="G562" s="1"/>
      <c r="H562" s="1"/>
      <c r="I562" s="1"/>
      <c r="J562" s="1"/>
      <c r="K562" s="1" t="s">
        <v>2983</v>
      </c>
    </row>
    <row r="563" ht="14.25" customHeight="1">
      <c r="A563" s="3" t="s">
        <v>1069</v>
      </c>
      <c r="B563" s="1">
        <v>8.3</v>
      </c>
      <c r="C563" s="1" t="s">
        <v>917</v>
      </c>
      <c r="D563" s="1" t="s">
        <v>3238</v>
      </c>
      <c r="E563" s="1" t="s">
        <v>17759</v>
      </c>
      <c r="F563" s="1" t="s">
        <v>17762</v>
      </c>
      <c r="G563" s="1"/>
      <c r="H563" s="1"/>
      <c r="I563" s="1"/>
      <c r="J563" s="1"/>
      <c r="K563" s="1" t="s">
        <v>1068</v>
      </c>
    </row>
    <row r="564" ht="14.25" customHeight="1">
      <c r="A564" s="3" t="s">
        <v>1069</v>
      </c>
      <c r="B564" s="1">
        <v>6.7</v>
      </c>
      <c r="C564" s="1" t="s">
        <v>917</v>
      </c>
      <c r="D564" s="1" t="s">
        <v>3238</v>
      </c>
      <c r="E564" s="1" t="s">
        <v>17759</v>
      </c>
      <c r="F564" s="1" t="s">
        <v>17762</v>
      </c>
      <c r="G564" s="1"/>
      <c r="H564" s="1"/>
      <c r="I564" s="1"/>
      <c r="J564" s="1"/>
      <c r="K564" s="1" t="s">
        <v>1068</v>
      </c>
    </row>
    <row r="565" ht="14.25" customHeight="1">
      <c r="A565" s="3" t="s">
        <v>1069</v>
      </c>
      <c r="B565" s="1">
        <v>6.0</v>
      </c>
      <c r="C565" s="1" t="s">
        <v>917</v>
      </c>
      <c r="D565" s="1" t="s">
        <v>3238</v>
      </c>
      <c r="E565" s="1" t="s">
        <v>17759</v>
      </c>
      <c r="F565" s="1" t="s">
        <v>17762</v>
      </c>
      <c r="G565" s="1"/>
      <c r="H565" s="1"/>
      <c r="I565" s="1"/>
      <c r="J565" s="1"/>
      <c r="K565" s="1" t="s">
        <v>3364</v>
      </c>
    </row>
    <row r="566" ht="14.25" customHeight="1">
      <c r="A566" s="3" t="s">
        <v>1069</v>
      </c>
      <c r="B566" s="1">
        <v>7.1</v>
      </c>
      <c r="C566" s="1" t="s">
        <v>917</v>
      </c>
      <c r="D566" s="1" t="s">
        <v>3238</v>
      </c>
      <c r="E566" s="1" t="s">
        <v>17759</v>
      </c>
      <c r="F566" s="1" t="s">
        <v>17762</v>
      </c>
      <c r="G566" s="1"/>
      <c r="H566" s="1"/>
      <c r="I566" s="1"/>
      <c r="J566" s="1"/>
      <c r="K566" s="1" t="s">
        <v>4718</v>
      </c>
    </row>
    <row r="567" ht="14.25" customHeight="1">
      <c r="A567" s="3" t="s">
        <v>2391</v>
      </c>
      <c r="B567" s="1">
        <v>6.0</v>
      </c>
      <c r="C567" s="1" t="s">
        <v>1885</v>
      </c>
      <c r="D567" s="1" t="s">
        <v>3238</v>
      </c>
      <c r="E567" s="1" t="s">
        <v>17759</v>
      </c>
      <c r="F567" s="1" t="s">
        <v>17762</v>
      </c>
      <c r="G567" s="1"/>
      <c r="H567" s="1"/>
      <c r="I567" s="1"/>
      <c r="J567" s="1"/>
      <c r="K567" s="1" t="s">
        <v>2390</v>
      </c>
    </row>
    <row r="568" ht="14.25" customHeight="1">
      <c r="A568" s="3" t="s">
        <v>2391</v>
      </c>
      <c r="B568" s="1">
        <v>6.9</v>
      </c>
      <c r="C568" s="1" t="s">
        <v>1885</v>
      </c>
      <c r="D568" s="1" t="s">
        <v>3238</v>
      </c>
      <c r="E568" s="1" t="s">
        <v>17759</v>
      </c>
      <c r="F568" s="1" t="s">
        <v>17762</v>
      </c>
      <c r="G568" s="1"/>
      <c r="H568" s="1"/>
      <c r="I568" s="1"/>
      <c r="J568" s="1"/>
      <c r="K568" s="1" t="s">
        <v>3824</v>
      </c>
    </row>
    <row r="569" ht="14.25" customHeight="1">
      <c r="A569" s="3" t="s">
        <v>2391</v>
      </c>
      <c r="B569" s="1">
        <v>5.6</v>
      </c>
      <c r="C569" s="1" t="s">
        <v>1885</v>
      </c>
      <c r="D569" s="1" t="s">
        <v>3238</v>
      </c>
      <c r="E569" s="1" t="s">
        <v>17759</v>
      </c>
      <c r="F569" s="1" t="s">
        <v>17762</v>
      </c>
      <c r="G569" s="1"/>
      <c r="H569" s="1"/>
      <c r="I569" s="1"/>
      <c r="J569" s="1"/>
      <c r="K569" s="1" t="s">
        <v>3983</v>
      </c>
    </row>
    <row r="570" ht="14.25" customHeight="1">
      <c r="A570" s="3" t="s">
        <v>2391</v>
      </c>
      <c r="B570" s="1">
        <v>5.6</v>
      </c>
      <c r="C570" s="1" t="s">
        <v>1885</v>
      </c>
      <c r="D570" s="1" t="s">
        <v>3238</v>
      </c>
      <c r="E570" s="1" t="s">
        <v>17759</v>
      </c>
      <c r="F570" s="1" t="s">
        <v>17762</v>
      </c>
      <c r="G570" s="1"/>
      <c r="H570" s="1"/>
      <c r="I570" s="1"/>
      <c r="J570" s="1"/>
      <c r="K570" s="1" t="s">
        <v>5987</v>
      </c>
    </row>
    <row r="571" ht="14.25" customHeight="1">
      <c r="A571" s="3" t="s">
        <v>2391</v>
      </c>
      <c r="B571" s="1">
        <v>4.5</v>
      </c>
      <c r="C571" s="1" t="s">
        <v>1885</v>
      </c>
      <c r="D571" s="1" t="s">
        <v>3238</v>
      </c>
      <c r="E571" s="1" t="s">
        <v>17759</v>
      </c>
      <c r="F571" s="1" t="s">
        <v>17762</v>
      </c>
      <c r="G571" s="1"/>
      <c r="H571" s="1"/>
      <c r="I571" s="1"/>
      <c r="J571" s="1"/>
      <c r="K571" s="1" t="s">
        <v>7830</v>
      </c>
    </row>
    <row r="572" ht="14.25" customHeight="1">
      <c r="A572" s="3" t="s">
        <v>2391</v>
      </c>
      <c r="B572" s="1">
        <v>7.1</v>
      </c>
      <c r="C572" s="1" t="s">
        <v>1885</v>
      </c>
      <c r="D572" s="1" t="s">
        <v>3238</v>
      </c>
      <c r="E572" s="1" t="s">
        <v>17759</v>
      </c>
      <c r="F572" s="1" t="s">
        <v>17762</v>
      </c>
      <c r="G572" s="1"/>
      <c r="H572" s="1"/>
      <c r="I572" s="1"/>
      <c r="J572" s="1"/>
      <c r="K572" s="1" t="s">
        <v>10264</v>
      </c>
    </row>
    <row r="573" ht="14.25" customHeight="1">
      <c r="A573" s="3" t="s">
        <v>2391</v>
      </c>
      <c r="B573" s="1">
        <v>6.5</v>
      </c>
      <c r="C573" s="1" t="s">
        <v>1885</v>
      </c>
      <c r="D573" s="1" t="s">
        <v>3238</v>
      </c>
      <c r="E573" s="1" t="s">
        <v>17759</v>
      </c>
      <c r="F573" s="1" t="s">
        <v>17762</v>
      </c>
      <c r="G573" s="1"/>
      <c r="H573" s="1"/>
      <c r="I573" s="1"/>
      <c r="J573" s="1"/>
      <c r="K573" s="1" t="s">
        <v>10514</v>
      </c>
    </row>
    <row r="574" ht="14.25" customHeight="1">
      <c r="A574" s="3" t="s">
        <v>2391</v>
      </c>
      <c r="B574" s="1">
        <v>6.4</v>
      </c>
      <c r="C574" s="1" t="s">
        <v>1885</v>
      </c>
      <c r="D574" s="1" t="s">
        <v>3238</v>
      </c>
      <c r="E574" s="1" t="s">
        <v>17759</v>
      </c>
      <c r="F574" s="1" t="s">
        <v>17762</v>
      </c>
      <c r="G574" s="1"/>
      <c r="H574" s="1"/>
      <c r="I574" s="1"/>
      <c r="J574" s="1"/>
      <c r="K574" s="1" t="s">
        <v>10733</v>
      </c>
    </row>
    <row r="575" ht="14.25" customHeight="1">
      <c r="A575" s="3" t="s">
        <v>2391</v>
      </c>
      <c r="B575" s="1">
        <v>5.8</v>
      </c>
      <c r="C575" s="1" t="s">
        <v>1885</v>
      </c>
      <c r="D575" s="1" t="s">
        <v>3238</v>
      </c>
      <c r="E575" s="1" t="s">
        <v>17759</v>
      </c>
      <c r="F575" s="1" t="s">
        <v>17762</v>
      </c>
      <c r="G575" s="1"/>
      <c r="H575" s="1"/>
      <c r="I575" s="1"/>
      <c r="J575" s="1"/>
      <c r="K575" s="1" t="s">
        <v>14699</v>
      </c>
    </row>
    <row r="576" ht="14.25" customHeight="1">
      <c r="A576" s="3" t="s">
        <v>2391</v>
      </c>
      <c r="B576" s="1">
        <v>8.0</v>
      </c>
      <c r="C576" s="1" t="s">
        <v>1885</v>
      </c>
      <c r="D576" s="1" t="s">
        <v>3238</v>
      </c>
      <c r="E576" s="1" t="s">
        <v>17759</v>
      </c>
      <c r="F576" s="1" t="s">
        <v>17762</v>
      </c>
      <c r="G576" s="1"/>
      <c r="H576" s="1"/>
      <c r="I576" s="1"/>
      <c r="J576" s="1"/>
      <c r="K576" s="1" t="s">
        <v>14770</v>
      </c>
    </row>
    <row r="577" ht="14.25" customHeight="1">
      <c r="A577" s="3" t="s">
        <v>2391</v>
      </c>
      <c r="B577" s="1">
        <v>6.2</v>
      </c>
      <c r="C577" s="1" t="s">
        <v>1885</v>
      </c>
      <c r="D577" s="1" t="s">
        <v>3238</v>
      </c>
      <c r="E577" s="1" t="s">
        <v>17759</v>
      </c>
      <c r="F577" s="1" t="s">
        <v>17762</v>
      </c>
      <c r="G577" s="1"/>
      <c r="H577" s="1"/>
      <c r="I577" s="1"/>
      <c r="J577" s="1"/>
      <c r="K577" s="1" t="s">
        <v>16948</v>
      </c>
    </row>
    <row r="578" ht="14.25" customHeight="1">
      <c r="A578" s="3" t="s">
        <v>15512</v>
      </c>
      <c r="B578" s="1">
        <v>7.2</v>
      </c>
      <c r="C578" s="1" t="s">
        <v>17763</v>
      </c>
      <c r="D578" s="1" t="s">
        <v>3238</v>
      </c>
      <c r="E578" s="1" t="s">
        <v>17759</v>
      </c>
      <c r="F578" s="1" t="s">
        <v>17762</v>
      </c>
      <c r="G578" s="1"/>
      <c r="H578" s="1"/>
      <c r="I578" s="1"/>
      <c r="J578" s="1"/>
      <c r="K578" s="1" t="s">
        <v>15511</v>
      </c>
    </row>
    <row r="579" ht="14.25" customHeight="1">
      <c r="A579" s="3" t="s">
        <v>3254</v>
      </c>
      <c r="B579" s="1">
        <v>6.1</v>
      </c>
      <c r="C579" s="1" t="s">
        <v>917</v>
      </c>
      <c r="D579" s="1" t="s">
        <v>17758</v>
      </c>
      <c r="E579" s="1" t="s">
        <v>17759</v>
      </c>
      <c r="F579" s="1" t="s">
        <v>17762</v>
      </c>
      <c r="G579" s="1"/>
      <c r="H579" s="1"/>
      <c r="I579" s="1"/>
      <c r="J579" s="1"/>
      <c r="K579" s="1" t="s">
        <v>3253</v>
      </c>
    </row>
    <row r="580" ht="14.25" customHeight="1">
      <c r="A580" s="3" t="s">
        <v>3254</v>
      </c>
      <c r="B580" s="1">
        <v>7.6</v>
      </c>
      <c r="C580" s="1" t="s">
        <v>917</v>
      </c>
      <c r="D580" s="1" t="s">
        <v>17758</v>
      </c>
      <c r="E580" s="1" t="s">
        <v>17759</v>
      </c>
      <c r="F580" s="1" t="s">
        <v>17762</v>
      </c>
      <c r="G580" s="1"/>
      <c r="H580" s="1"/>
      <c r="I580" s="1"/>
      <c r="J580" s="1"/>
      <c r="K580" s="1" t="s">
        <v>11581</v>
      </c>
    </row>
    <row r="581" ht="14.25" customHeight="1">
      <c r="A581" s="3" t="s">
        <v>2504</v>
      </c>
      <c r="B581" s="1">
        <v>6.3</v>
      </c>
      <c r="C581" s="1" t="s">
        <v>1885</v>
      </c>
      <c r="D581" s="1" t="s">
        <v>17758</v>
      </c>
      <c r="E581" s="1" t="s">
        <v>17759</v>
      </c>
      <c r="F581" s="1" t="s">
        <v>17762</v>
      </c>
      <c r="G581" s="1"/>
      <c r="H581" s="1"/>
      <c r="I581" s="1"/>
      <c r="J581" s="1"/>
      <c r="K581" s="1" t="s">
        <v>2503</v>
      </c>
    </row>
    <row r="582" ht="14.25" customHeight="1">
      <c r="A582" s="3" t="s">
        <v>2504</v>
      </c>
      <c r="B582" s="1">
        <v>6.3</v>
      </c>
      <c r="C582" s="1" t="s">
        <v>1885</v>
      </c>
      <c r="D582" s="1" t="s">
        <v>17758</v>
      </c>
      <c r="E582" s="1" t="s">
        <v>17759</v>
      </c>
      <c r="F582" s="1" t="s">
        <v>17762</v>
      </c>
      <c r="G582" s="1"/>
      <c r="H582" s="1"/>
      <c r="I582" s="1"/>
      <c r="J582" s="1"/>
      <c r="K582" s="1" t="s">
        <v>5467</v>
      </c>
    </row>
    <row r="583" ht="14.25" customHeight="1">
      <c r="A583" s="3" t="s">
        <v>2504</v>
      </c>
      <c r="B583" s="1">
        <v>6.3</v>
      </c>
      <c r="C583" s="1" t="s">
        <v>1885</v>
      </c>
      <c r="D583" s="1" t="s">
        <v>17758</v>
      </c>
      <c r="E583" s="1" t="s">
        <v>17759</v>
      </c>
      <c r="F583" s="1" t="s">
        <v>17762</v>
      </c>
      <c r="G583" s="1"/>
      <c r="H583" s="1"/>
      <c r="I583" s="1"/>
      <c r="J583" s="1"/>
      <c r="K583" s="1" t="s">
        <v>7076</v>
      </c>
    </row>
    <row r="584" ht="14.25" customHeight="1">
      <c r="A584" s="3" t="s">
        <v>2504</v>
      </c>
      <c r="B584" s="1">
        <v>7.7</v>
      </c>
      <c r="C584" s="1" t="s">
        <v>1885</v>
      </c>
      <c r="D584" s="1" t="s">
        <v>17758</v>
      </c>
      <c r="E584" s="1" t="s">
        <v>17759</v>
      </c>
      <c r="F584" s="1" t="s">
        <v>17762</v>
      </c>
      <c r="G584" s="1"/>
      <c r="H584" s="1"/>
      <c r="I584" s="1"/>
      <c r="J584" s="1"/>
      <c r="K584" s="1" t="s">
        <v>7375</v>
      </c>
    </row>
    <row r="585" ht="14.25" customHeight="1">
      <c r="A585" s="3" t="s">
        <v>2504</v>
      </c>
      <c r="B585" s="1">
        <v>7.0</v>
      </c>
      <c r="C585" s="1" t="s">
        <v>1885</v>
      </c>
      <c r="D585" s="1" t="s">
        <v>17758</v>
      </c>
      <c r="E585" s="1" t="s">
        <v>17759</v>
      </c>
      <c r="F585" s="1" t="s">
        <v>17762</v>
      </c>
      <c r="G585" s="1"/>
      <c r="H585" s="1"/>
      <c r="I585" s="1"/>
      <c r="J585" s="1"/>
      <c r="K585" s="1" t="s">
        <v>12701</v>
      </c>
    </row>
    <row r="586" ht="14.25" customHeight="1">
      <c r="A586" s="3" t="s">
        <v>1915</v>
      </c>
      <c r="B586" s="1">
        <v>5.3</v>
      </c>
      <c r="C586" s="1" t="s">
        <v>3238</v>
      </c>
      <c r="D586" s="1" t="s">
        <v>17758</v>
      </c>
      <c r="E586" s="1" t="s">
        <v>17759</v>
      </c>
      <c r="F586" s="1" t="s">
        <v>17762</v>
      </c>
      <c r="G586" s="1"/>
      <c r="H586" s="1"/>
      <c r="I586" s="1"/>
      <c r="J586" s="1"/>
      <c r="K586" s="1" t="s">
        <v>1914</v>
      </c>
    </row>
    <row r="587" ht="14.25" customHeight="1">
      <c r="A587" s="3" t="s">
        <v>1915</v>
      </c>
      <c r="B587" s="1">
        <v>5.6</v>
      </c>
      <c r="C587" s="1" t="s">
        <v>3238</v>
      </c>
      <c r="D587" s="1" t="s">
        <v>17758</v>
      </c>
      <c r="E587" s="1" t="s">
        <v>17759</v>
      </c>
      <c r="F587" s="1" t="s">
        <v>17762</v>
      </c>
      <c r="G587" s="1"/>
      <c r="H587" s="1"/>
      <c r="I587" s="1"/>
      <c r="J587" s="1"/>
      <c r="K587" s="1" t="s">
        <v>11677</v>
      </c>
    </row>
    <row r="588" ht="14.25" customHeight="1">
      <c r="A588" s="3" t="s">
        <v>1915</v>
      </c>
      <c r="B588" s="1">
        <v>5.2</v>
      </c>
      <c r="C588" s="1" t="s">
        <v>3238</v>
      </c>
      <c r="D588" s="1" t="s">
        <v>17758</v>
      </c>
      <c r="E588" s="1" t="s">
        <v>17759</v>
      </c>
      <c r="F588" s="1" t="s">
        <v>17762</v>
      </c>
      <c r="G588" s="1"/>
      <c r="H588" s="1"/>
      <c r="I588" s="1"/>
      <c r="J588" s="1"/>
      <c r="K588" s="1" t="s">
        <v>1914</v>
      </c>
    </row>
    <row r="589" ht="14.25" customHeight="1">
      <c r="A589" s="3" t="s">
        <v>3387</v>
      </c>
      <c r="B589" s="1">
        <v>5.4</v>
      </c>
      <c r="C589" s="1" t="s">
        <v>917</v>
      </c>
      <c r="D589" s="1" t="s">
        <v>3238</v>
      </c>
      <c r="E589" s="1" t="s">
        <v>17772</v>
      </c>
      <c r="F589" s="1" t="s">
        <v>17762</v>
      </c>
      <c r="G589" s="1"/>
      <c r="H589" s="1"/>
      <c r="I589" s="1"/>
      <c r="J589" s="1"/>
      <c r="K589" s="1" t="s">
        <v>3386</v>
      </c>
    </row>
    <row r="590" ht="14.25" customHeight="1">
      <c r="A590" s="3" t="s">
        <v>5738</v>
      </c>
      <c r="B590" s="1">
        <v>6.4</v>
      </c>
      <c r="C590" s="1" t="s">
        <v>17765</v>
      </c>
      <c r="D590" s="1" t="s">
        <v>3238</v>
      </c>
      <c r="E590" s="1" t="s">
        <v>17772</v>
      </c>
      <c r="F590" s="1" t="s">
        <v>17762</v>
      </c>
      <c r="G590" s="1"/>
      <c r="H590" s="1"/>
      <c r="I590" s="1"/>
      <c r="J590" s="1"/>
      <c r="K590" s="1" t="s">
        <v>5737</v>
      </c>
    </row>
    <row r="591" ht="14.25" customHeight="1">
      <c r="A591" s="3" t="s">
        <v>5738</v>
      </c>
      <c r="B591" s="1">
        <v>5.9</v>
      </c>
      <c r="C591" s="1" t="s">
        <v>17765</v>
      </c>
      <c r="D591" s="1" t="s">
        <v>3238</v>
      </c>
      <c r="E591" s="1" t="s">
        <v>17772</v>
      </c>
      <c r="F591" s="1" t="s">
        <v>17762</v>
      </c>
      <c r="G591" s="1"/>
      <c r="H591" s="1"/>
      <c r="I591" s="1"/>
      <c r="J591" s="1"/>
      <c r="K591" s="1" t="s">
        <v>6270</v>
      </c>
    </row>
    <row r="592" ht="14.25" customHeight="1">
      <c r="A592" s="3" t="s">
        <v>5738</v>
      </c>
      <c r="B592" s="1">
        <v>6.3</v>
      </c>
      <c r="C592" s="1" t="s">
        <v>17765</v>
      </c>
      <c r="D592" s="1" t="s">
        <v>3238</v>
      </c>
      <c r="E592" s="1" t="s">
        <v>17772</v>
      </c>
      <c r="F592" s="1" t="s">
        <v>17762</v>
      </c>
      <c r="G592" s="1"/>
      <c r="H592" s="1"/>
      <c r="I592" s="1"/>
      <c r="J592" s="1"/>
      <c r="K592" s="1" t="s">
        <v>6328</v>
      </c>
    </row>
    <row r="593" ht="14.25" customHeight="1">
      <c r="A593" s="3" t="s">
        <v>5738</v>
      </c>
      <c r="B593" s="1">
        <v>6.5</v>
      </c>
      <c r="C593" s="1" t="s">
        <v>17765</v>
      </c>
      <c r="D593" s="1" t="s">
        <v>3238</v>
      </c>
      <c r="E593" s="1" t="s">
        <v>17772</v>
      </c>
      <c r="F593" s="1" t="s">
        <v>17762</v>
      </c>
      <c r="G593" s="1"/>
      <c r="H593" s="1"/>
      <c r="I593" s="1"/>
      <c r="J593" s="1"/>
      <c r="K593" s="1" t="s">
        <v>6920</v>
      </c>
    </row>
    <row r="594" ht="14.25" customHeight="1">
      <c r="A594" s="3" t="s">
        <v>5738</v>
      </c>
      <c r="B594" s="1">
        <v>3.0</v>
      </c>
      <c r="C594" s="1" t="s">
        <v>17765</v>
      </c>
      <c r="D594" s="1" t="s">
        <v>3238</v>
      </c>
      <c r="E594" s="1" t="s">
        <v>17772</v>
      </c>
      <c r="F594" s="1" t="s">
        <v>17762</v>
      </c>
      <c r="G594" s="1"/>
      <c r="H594" s="1"/>
      <c r="I594" s="1"/>
      <c r="J594" s="1"/>
      <c r="K594" s="1" t="s">
        <v>7170</v>
      </c>
    </row>
    <row r="595" ht="14.25" customHeight="1">
      <c r="A595" s="3" t="s">
        <v>5738</v>
      </c>
      <c r="B595" s="1">
        <v>3.6</v>
      </c>
      <c r="C595" s="1" t="s">
        <v>17765</v>
      </c>
      <c r="D595" s="1" t="s">
        <v>3238</v>
      </c>
      <c r="E595" s="1" t="s">
        <v>17772</v>
      </c>
      <c r="F595" s="1" t="s">
        <v>17762</v>
      </c>
      <c r="G595" s="1"/>
      <c r="H595" s="1"/>
      <c r="I595" s="1"/>
      <c r="J595" s="1"/>
      <c r="K595" s="1" t="s">
        <v>8044</v>
      </c>
    </row>
    <row r="596" ht="14.25" customHeight="1">
      <c r="A596" s="3" t="s">
        <v>5738</v>
      </c>
      <c r="B596" s="1">
        <v>5.8</v>
      </c>
      <c r="C596" s="1" t="s">
        <v>17765</v>
      </c>
      <c r="D596" s="1" t="s">
        <v>3238</v>
      </c>
      <c r="E596" s="1" t="s">
        <v>17772</v>
      </c>
      <c r="F596" s="1" t="s">
        <v>17762</v>
      </c>
      <c r="G596" s="1"/>
      <c r="H596" s="1"/>
      <c r="I596" s="1"/>
      <c r="J596" s="1"/>
      <c r="K596" s="1" t="s">
        <v>8486</v>
      </c>
    </row>
    <row r="597" ht="14.25" customHeight="1">
      <c r="A597" s="3" t="s">
        <v>5738</v>
      </c>
      <c r="B597" s="1">
        <v>6.2</v>
      </c>
      <c r="C597" s="1" t="s">
        <v>17765</v>
      </c>
      <c r="D597" s="1" t="s">
        <v>3238</v>
      </c>
      <c r="E597" s="1" t="s">
        <v>17772</v>
      </c>
      <c r="F597" s="1" t="s">
        <v>17762</v>
      </c>
      <c r="G597" s="1"/>
      <c r="H597" s="1"/>
      <c r="I597" s="1"/>
      <c r="J597" s="1"/>
      <c r="K597" s="1" t="s">
        <v>11437</v>
      </c>
    </row>
    <row r="598" ht="14.25" customHeight="1">
      <c r="A598" s="3" t="s">
        <v>5738</v>
      </c>
      <c r="B598" s="1">
        <v>5.4</v>
      </c>
      <c r="C598" s="1" t="s">
        <v>17765</v>
      </c>
      <c r="D598" s="1" t="s">
        <v>3238</v>
      </c>
      <c r="E598" s="1" t="s">
        <v>17772</v>
      </c>
      <c r="F598" s="1" t="s">
        <v>17762</v>
      </c>
      <c r="G598" s="1"/>
      <c r="H598" s="1"/>
      <c r="I598" s="1"/>
      <c r="J598" s="1"/>
      <c r="K598" s="1" t="s">
        <v>12143</v>
      </c>
    </row>
    <row r="599" ht="14.25" customHeight="1">
      <c r="A599" s="3" t="s">
        <v>15954</v>
      </c>
      <c r="B599" s="1">
        <v>6.1</v>
      </c>
      <c r="C599" s="1" t="s">
        <v>17763</v>
      </c>
      <c r="D599" s="1" t="s">
        <v>3238</v>
      </c>
      <c r="E599" s="1" t="s">
        <v>17772</v>
      </c>
      <c r="F599" s="1" t="s">
        <v>17762</v>
      </c>
      <c r="G599" s="1"/>
      <c r="H599" s="1"/>
      <c r="I599" s="1"/>
      <c r="J599" s="1"/>
      <c r="K599" s="1" t="s">
        <v>15953</v>
      </c>
    </row>
    <row r="600" ht="14.25" customHeight="1">
      <c r="A600" s="3" t="s">
        <v>8949</v>
      </c>
      <c r="B600" s="1">
        <v>4.2</v>
      </c>
      <c r="C600" s="1" t="s">
        <v>1885</v>
      </c>
      <c r="D600" s="1" t="s">
        <v>17759</v>
      </c>
      <c r="E600" s="1" t="s">
        <v>6019</v>
      </c>
      <c r="F600" s="1" t="s">
        <v>17762</v>
      </c>
      <c r="G600" s="1"/>
      <c r="H600" s="1"/>
      <c r="I600" s="1"/>
      <c r="J600" s="1"/>
      <c r="K600" s="1" t="s">
        <v>8948</v>
      </c>
    </row>
    <row r="601" ht="14.25" customHeight="1">
      <c r="A601" s="3" t="s">
        <v>8949</v>
      </c>
      <c r="B601" s="1">
        <v>6.7</v>
      </c>
      <c r="C601" s="1" t="s">
        <v>1885</v>
      </c>
      <c r="D601" s="1" t="s">
        <v>17759</v>
      </c>
      <c r="E601" s="1" t="s">
        <v>6019</v>
      </c>
      <c r="F601" s="1" t="s">
        <v>17762</v>
      </c>
      <c r="G601" s="1"/>
      <c r="H601" s="1"/>
      <c r="I601" s="1"/>
      <c r="J601" s="1"/>
      <c r="K601" s="1" t="s">
        <v>12059</v>
      </c>
    </row>
    <row r="602" ht="14.25" customHeight="1">
      <c r="A602" s="3" t="s">
        <v>8709</v>
      </c>
      <c r="B602" s="1">
        <v>4.2</v>
      </c>
      <c r="C602" s="1" t="s">
        <v>1270</v>
      </c>
      <c r="D602" s="1" t="s">
        <v>3238</v>
      </c>
      <c r="E602" s="1" t="s">
        <v>17774</v>
      </c>
      <c r="F602" s="1" t="s">
        <v>17762</v>
      </c>
      <c r="G602" s="1"/>
      <c r="H602" s="1"/>
      <c r="I602" s="1"/>
      <c r="J602" s="1"/>
      <c r="K602" s="1" t="s">
        <v>8708</v>
      </c>
    </row>
    <row r="603" ht="14.25" customHeight="1">
      <c r="A603" s="3" t="s">
        <v>8158</v>
      </c>
      <c r="B603" s="1">
        <v>6.4</v>
      </c>
      <c r="C603" s="1" t="s">
        <v>17765</v>
      </c>
      <c r="D603" s="1" t="s">
        <v>3238</v>
      </c>
      <c r="E603" s="1" t="s">
        <v>17774</v>
      </c>
      <c r="F603" s="1" t="s">
        <v>17762</v>
      </c>
      <c r="G603" s="1"/>
      <c r="H603" s="1"/>
      <c r="I603" s="1"/>
      <c r="J603" s="1"/>
      <c r="K603" s="1" t="s">
        <v>8157</v>
      </c>
    </row>
    <row r="604" ht="14.25" customHeight="1">
      <c r="A604" s="3" t="s">
        <v>8158</v>
      </c>
      <c r="B604" s="1">
        <v>4.9</v>
      </c>
      <c r="C604" s="1" t="s">
        <v>17765</v>
      </c>
      <c r="D604" s="1" t="s">
        <v>3238</v>
      </c>
      <c r="E604" s="1" t="s">
        <v>17774</v>
      </c>
      <c r="F604" s="1" t="s">
        <v>17762</v>
      </c>
      <c r="G604" s="1"/>
      <c r="H604" s="1"/>
      <c r="I604" s="1"/>
      <c r="J604" s="1"/>
      <c r="K604" s="1" t="s">
        <v>14881</v>
      </c>
    </row>
    <row r="605" ht="14.25" customHeight="1">
      <c r="A605" s="3" t="s">
        <v>5429</v>
      </c>
      <c r="B605" s="1">
        <v>6.8</v>
      </c>
      <c r="C605" s="1" t="s">
        <v>1885</v>
      </c>
      <c r="D605" s="1" t="s">
        <v>3238</v>
      </c>
      <c r="E605" s="1" t="s">
        <v>17774</v>
      </c>
      <c r="F605" s="1" t="s">
        <v>17762</v>
      </c>
      <c r="G605" s="1"/>
      <c r="H605" s="1"/>
      <c r="I605" s="1"/>
      <c r="J605" s="1"/>
      <c r="K605" s="1" t="s">
        <v>5428</v>
      </c>
    </row>
    <row r="606" ht="14.25" customHeight="1">
      <c r="A606" s="3" t="s">
        <v>5429</v>
      </c>
      <c r="B606" s="1">
        <v>7.7</v>
      </c>
      <c r="C606" s="1" t="s">
        <v>1885</v>
      </c>
      <c r="D606" s="1" t="s">
        <v>3238</v>
      </c>
      <c r="E606" s="1" t="s">
        <v>17774</v>
      </c>
      <c r="F606" s="1" t="s">
        <v>17762</v>
      </c>
      <c r="G606" s="1"/>
      <c r="H606" s="1"/>
      <c r="I606" s="1"/>
      <c r="J606" s="1"/>
      <c r="K606" s="1" t="s">
        <v>9865</v>
      </c>
    </row>
    <row r="607" ht="14.25" customHeight="1">
      <c r="A607" s="3" t="s">
        <v>5429</v>
      </c>
      <c r="B607" s="1">
        <v>5.6</v>
      </c>
      <c r="C607" s="1" t="s">
        <v>1885</v>
      </c>
      <c r="D607" s="1" t="s">
        <v>3238</v>
      </c>
      <c r="E607" s="1" t="s">
        <v>17774</v>
      </c>
      <c r="F607" s="1" t="s">
        <v>17762</v>
      </c>
      <c r="G607" s="1"/>
      <c r="H607" s="1"/>
      <c r="I607" s="1"/>
      <c r="J607" s="1"/>
      <c r="K607" s="1" t="s">
        <v>10032</v>
      </c>
    </row>
    <row r="608" ht="14.25" customHeight="1">
      <c r="A608" s="3" t="s">
        <v>5429</v>
      </c>
      <c r="B608" s="1">
        <v>6.4</v>
      </c>
      <c r="C608" s="1" t="s">
        <v>1885</v>
      </c>
      <c r="D608" s="1" t="s">
        <v>3238</v>
      </c>
      <c r="E608" s="1" t="s">
        <v>17774</v>
      </c>
      <c r="F608" s="1" t="s">
        <v>17762</v>
      </c>
      <c r="G608" s="1"/>
      <c r="H608" s="1"/>
      <c r="I608" s="1"/>
      <c r="J608" s="1"/>
      <c r="K608" s="1" t="s">
        <v>13233</v>
      </c>
    </row>
    <row r="609" ht="14.25" customHeight="1">
      <c r="A609" s="3" t="s">
        <v>5429</v>
      </c>
      <c r="B609" s="1">
        <v>7.2</v>
      </c>
      <c r="C609" s="1" t="s">
        <v>1885</v>
      </c>
      <c r="D609" s="1" t="s">
        <v>3238</v>
      </c>
      <c r="E609" s="1" t="s">
        <v>17774</v>
      </c>
      <c r="F609" s="1" t="s">
        <v>17762</v>
      </c>
      <c r="G609" s="1"/>
      <c r="H609" s="1"/>
      <c r="I609" s="1"/>
      <c r="J609" s="1"/>
      <c r="K609" s="1" t="s">
        <v>13952</v>
      </c>
    </row>
    <row r="610" ht="14.25" customHeight="1">
      <c r="A610" s="3" t="s">
        <v>5429</v>
      </c>
      <c r="B610" s="1">
        <v>6.0</v>
      </c>
      <c r="C610" s="1" t="s">
        <v>1885</v>
      </c>
      <c r="D610" s="1" t="s">
        <v>3238</v>
      </c>
      <c r="E610" s="1" t="s">
        <v>17774</v>
      </c>
      <c r="F610" s="1" t="s">
        <v>17762</v>
      </c>
      <c r="G610" s="1"/>
      <c r="H610" s="1"/>
      <c r="I610" s="1"/>
      <c r="J610" s="1"/>
      <c r="K610" s="1" t="s">
        <v>15057</v>
      </c>
    </row>
    <row r="611" ht="14.25" customHeight="1">
      <c r="A611" s="3" t="s">
        <v>12599</v>
      </c>
      <c r="B611" s="1">
        <v>5.9</v>
      </c>
      <c r="C611" s="1" t="s">
        <v>17763</v>
      </c>
      <c r="D611" s="1" t="s">
        <v>3238</v>
      </c>
      <c r="E611" s="1" t="s">
        <v>17774</v>
      </c>
      <c r="F611" s="1" t="s">
        <v>17762</v>
      </c>
      <c r="G611" s="1"/>
      <c r="H611" s="1"/>
      <c r="I611" s="1"/>
      <c r="J611" s="1"/>
      <c r="K611" s="1" t="s">
        <v>12598</v>
      </c>
    </row>
    <row r="612" ht="14.25" customHeight="1">
      <c r="A612" s="3" t="s">
        <v>11595</v>
      </c>
      <c r="B612" s="1">
        <v>7.9</v>
      </c>
      <c r="C612" s="1" t="s">
        <v>1885</v>
      </c>
      <c r="D612" s="1" t="s">
        <v>17758</v>
      </c>
      <c r="E612" s="1" t="s">
        <v>17774</v>
      </c>
      <c r="F612" s="1" t="s">
        <v>17762</v>
      </c>
      <c r="G612" s="1"/>
      <c r="H612" s="1"/>
      <c r="I612" s="1"/>
      <c r="J612" s="1"/>
      <c r="K612" s="1" t="s">
        <v>11594</v>
      </c>
    </row>
    <row r="613" ht="14.25" customHeight="1">
      <c r="A613" s="3" t="s">
        <v>9855</v>
      </c>
      <c r="B613" s="1">
        <v>7.1</v>
      </c>
      <c r="C613" s="1" t="s">
        <v>3238</v>
      </c>
      <c r="D613" s="1" t="s">
        <v>17758</v>
      </c>
      <c r="E613" s="1" t="s">
        <v>17774</v>
      </c>
      <c r="F613" s="1" t="s">
        <v>17762</v>
      </c>
      <c r="G613" s="1"/>
      <c r="H613" s="1"/>
      <c r="I613" s="1"/>
      <c r="J613" s="1"/>
      <c r="K613" s="1" t="s">
        <v>9854</v>
      </c>
    </row>
    <row r="614" ht="14.25" customHeight="1">
      <c r="A614" s="3" t="s">
        <v>12943</v>
      </c>
      <c r="B614" s="1">
        <v>5.9</v>
      </c>
      <c r="C614" s="1" t="s">
        <v>3238</v>
      </c>
      <c r="D614" s="1" t="s">
        <v>17759</v>
      </c>
      <c r="E614" s="1" t="s">
        <v>17774</v>
      </c>
      <c r="F614" s="1" t="s">
        <v>17762</v>
      </c>
      <c r="G614" s="1"/>
      <c r="H614" s="1"/>
      <c r="I614" s="1"/>
      <c r="J614" s="1"/>
      <c r="K614" s="1" t="s">
        <v>12942</v>
      </c>
    </row>
    <row r="615" ht="14.25" customHeight="1">
      <c r="A615" s="3" t="s">
        <v>15681</v>
      </c>
      <c r="B615" s="1">
        <v>6.2</v>
      </c>
      <c r="C615" s="1" t="s">
        <v>917</v>
      </c>
      <c r="D615" s="1" t="s">
        <v>1885</v>
      </c>
      <c r="E615" s="1" t="s">
        <v>17760</v>
      </c>
      <c r="F615" s="1" t="s">
        <v>17762</v>
      </c>
      <c r="G615" s="1"/>
      <c r="H615" s="1"/>
      <c r="I615" s="1"/>
      <c r="J615" s="1"/>
      <c r="K615" s="1" t="s">
        <v>15680</v>
      </c>
    </row>
    <row r="616" ht="14.25" customHeight="1">
      <c r="A616" s="3" t="s">
        <v>14050</v>
      </c>
      <c r="B616" s="1">
        <v>7.0</v>
      </c>
      <c r="C616" s="1" t="s">
        <v>1885</v>
      </c>
      <c r="D616" s="1" t="s">
        <v>17763</v>
      </c>
      <c r="E616" s="1" t="s">
        <v>17760</v>
      </c>
      <c r="F616" s="1" t="s">
        <v>17762</v>
      </c>
      <c r="G616" s="1"/>
      <c r="H616" s="1"/>
      <c r="I616" s="1"/>
      <c r="J616" s="1"/>
      <c r="K616" s="1" t="s">
        <v>14049</v>
      </c>
    </row>
    <row r="617" ht="14.25" customHeight="1">
      <c r="A617" s="3" t="s">
        <v>3292</v>
      </c>
      <c r="B617" s="1">
        <v>5.4</v>
      </c>
      <c r="C617" s="1" t="s">
        <v>1885</v>
      </c>
      <c r="D617" s="1" t="s">
        <v>3238</v>
      </c>
      <c r="E617" s="1" t="s">
        <v>17760</v>
      </c>
      <c r="F617" s="1" t="s">
        <v>17762</v>
      </c>
      <c r="G617" s="1"/>
      <c r="H617" s="1"/>
      <c r="I617" s="1"/>
      <c r="J617" s="1"/>
      <c r="K617" s="1" t="s">
        <v>3291</v>
      </c>
    </row>
    <row r="618" ht="14.25" customHeight="1">
      <c r="A618" s="3" t="s">
        <v>3292</v>
      </c>
      <c r="B618" s="1">
        <v>8.6</v>
      </c>
      <c r="C618" s="1" t="s">
        <v>1885</v>
      </c>
      <c r="D618" s="1" t="s">
        <v>3238</v>
      </c>
      <c r="E618" s="1" t="s">
        <v>17760</v>
      </c>
      <c r="F618" s="1" t="s">
        <v>17762</v>
      </c>
      <c r="G618" s="1"/>
      <c r="H618" s="1"/>
      <c r="I618" s="1"/>
      <c r="J618" s="1"/>
      <c r="K618" s="1" t="s">
        <v>10797</v>
      </c>
    </row>
    <row r="619" ht="14.25" customHeight="1">
      <c r="A619" s="3" t="s">
        <v>3292</v>
      </c>
      <c r="B619" s="1">
        <v>6.5</v>
      </c>
      <c r="C619" s="1" t="s">
        <v>1885</v>
      </c>
      <c r="D619" s="1" t="s">
        <v>3238</v>
      </c>
      <c r="E619" s="1" t="s">
        <v>17760</v>
      </c>
      <c r="F619" s="1" t="s">
        <v>17762</v>
      </c>
      <c r="G619" s="1"/>
      <c r="H619" s="1"/>
      <c r="I619" s="1"/>
      <c r="J619" s="1"/>
      <c r="K619" s="1" t="s">
        <v>14359</v>
      </c>
    </row>
    <row r="620" ht="14.25" customHeight="1">
      <c r="A620" s="3" t="s">
        <v>11748</v>
      </c>
      <c r="B620" s="1">
        <v>6.4</v>
      </c>
      <c r="C620" s="1" t="s">
        <v>17763</v>
      </c>
      <c r="D620" s="1" t="s">
        <v>3238</v>
      </c>
      <c r="E620" s="1" t="s">
        <v>17760</v>
      </c>
      <c r="F620" s="1" t="s">
        <v>17762</v>
      </c>
      <c r="G620" s="1"/>
      <c r="H620" s="1"/>
      <c r="I620" s="1"/>
      <c r="J620" s="1"/>
      <c r="K620" s="1" t="s">
        <v>11747</v>
      </c>
    </row>
    <row r="621" ht="14.25" customHeight="1">
      <c r="A621" s="3" t="s">
        <v>4663</v>
      </c>
      <c r="B621" s="1">
        <v>7.6</v>
      </c>
      <c r="C621" s="1" t="s">
        <v>1885</v>
      </c>
      <c r="D621" s="1" t="s">
        <v>17758</v>
      </c>
      <c r="E621" s="1" t="s">
        <v>17760</v>
      </c>
      <c r="F621" s="1" t="s">
        <v>17762</v>
      </c>
      <c r="G621" s="1"/>
      <c r="H621" s="1"/>
      <c r="I621" s="1"/>
      <c r="J621" s="1"/>
      <c r="K621" s="1" t="s">
        <v>4662</v>
      </c>
    </row>
    <row r="622" ht="14.25" customHeight="1">
      <c r="A622" s="3" t="s">
        <v>11003</v>
      </c>
      <c r="B622" s="1">
        <v>5.5</v>
      </c>
      <c r="C622" s="1" t="s">
        <v>3238</v>
      </c>
      <c r="D622" s="1" t="s">
        <v>17758</v>
      </c>
      <c r="E622" s="1" t="s">
        <v>17760</v>
      </c>
      <c r="F622" s="1" t="s">
        <v>17762</v>
      </c>
      <c r="G622" s="1"/>
      <c r="H622" s="1"/>
      <c r="I622" s="1"/>
      <c r="J622" s="1"/>
      <c r="K622" s="1" t="s">
        <v>11002</v>
      </c>
    </row>
    <row r="623" ht="14.25" customHeight="1">
      <c r="A623" s="3" t="s">
        <v>11003</v>
      </c>
      <c r="B623" s="1">
        <v>7.4</v>
      </c>
      <c r="C623" s="1" t="s">
        <v>3238</v>
      </c>
      <c r="D623" s="1" t="s">
        <v>17758</v>
      </c>
      <c r="E623" s="1" t="s">
        <v>17760</v>
      </c>
      <c r="F623" s="1" t="s">
        <v>17762</v>
      </c>
      <c r="G623" s="1"/>
      <c r="H623" s="1"/>
      <c r="I623" s="1"/>
      <c r="J623" s="1"/>
      <c r="K623" s="1" t="s">
        <v>13718</v>
      </c>
    </row>
    <row r="624" ht="14.25" customHeight="1">
      <c r="A624" s="3" t="s">
        <v>5521</v>
      </c>
      <c r="B624" s="1">
        <v>8.7</v>
      </c>
      <c r="C624" s="1" t="s">
        <v>3238</v>
      </c>
      <c r="D624" s="1" t="s">
        <v>17759</v>
      </c>
      <c r="E624" s="1" t="s">
        <v>17760</v>
      </c>
      <c r="F624" s="1" t="s">
        <v>17762</v>
      </c>
      <c r="G624" s="1"/>
      <c r="H624" s="1"/>
      <c r="I624" s="1"/>
      <c r="J624" s="1"/>
      <c r="K624" s="1" t="s">
        <v>5520</v>
      </c>
    </row>
    <row r="625" ht="14.25" customHeight="1">
      <c r="A625" s="3" t="s">
        <v>5521</v>
      </c>
      <c r="B625" s="1">
        <v>7.6</v>
      </c>
      <c r="C625" s="1" t="s">
        <v>3238</v>
      </c>
      <c r="D625" s="1" t="s">
        <v>17759</v>
      </c>
      <c r="E625" s="1" t="s">
        <v>17760</v>
      </c>
      <c r="F625" s="1" t="s">
        <v>17762</v>
      </c>
      <c r="G625" s="1"/>
      <c r="H625" s="1"/>
      <c r="I625" s="1"/>
      <c r="J625" s="1"/>
      <c r="K625" s="1" t="s">
        <v>5520</v>
      </c>
    </row>
    <row r="626" ht="14.25" customHeight="1">
      <c r="A626" s="3" t="s">
        <v>4553</v>
      </c>
      <c r="B626" s="1">
        <v>7.5</v>
      </c>
      <c r="C626" s="1" t="s">
        <v>3238</v>
      </c>
      <c r="D626" s="1" t="s">
        <v>17774</v>
      </c>
      <c r="E626" s="1" t="s">
        <v>17760</v>
      </c>
      <c r="F626" s="1" t="s">
        <v>17762</v>
      </c>
      <c r="G626" s="1"/>
      <c r="H626" s="1"/>
      <c r="I626" s="1"/>
      <c r="J626" s="1"/>
      <c r="K626" s="1" t="s">
        <v>4552</v>
      </c>
    </row>
    <row r="627" ht="14.25" customHeight="1">
      <c r="A627" s="3" t="s">
        <v>4553</v>
      </c>
      <c r="B627" s="1">
        <v>5.5</v>
      </c>
      <c r="C627" s="1" t="s">
        <v>3238</v>
      </c>
      <c r="D627" s="1" t="s">
        <v>17774</v>
      </c>
      <c r="E627" s="1" t="s">
        <v>17760</v>
      </c>
      <c r="F627" s="1" t="s">
        <v>17762</v>
      </c>
      <c r="G627" s="1"/>
      <c r="H627" s="1"/>
      <c r="I627" s="1"/>
      <c r="J627" s="1"/>
      <c r="K627" s="1" t="s">
        <v>10958</v>
      </c>
    </row>
    <row r="628" ht="14.25" customHeight="1">
      <c r="A628" s="3" t="s">
        <v>4177</v>
      </c>
      <c r="B628" s="1">
        <v>7.6</v>
      </c>
      <c r="C628" s="1" t="s">
        <v>1270</v>
      </c>
      <c r="D628" s="1" t="s">
        <v>1885</v>
      </c>
      <c r="E628" s="1" t="s">
        <v>17761</v>
      </c>
      <c r="F628" s="1" t="s">
        <v>17762</v>
      </c>
      <c r="G628" s="1"/>
      <c r="H628" s="1"/>
      <c r="I628" s="1"/>
      <c r="J628" s="1"/>
      <c r="K628" s="1" t="s">
        <v>4176</v>
      </c>
    </row>
    <row r="629" ht="14.25" customHeight="1">
      <c r="A629" s="3" t="s">
        <v>8657</v>
      </c>
      <c r="B629" s="1">
        <v>6.5</v>
      </c>
      <c r="C629" s="1" t="s">
        <v>1885</v>
      </c>
      <c r="D629" s="1" t="s">
        <v>17763</v>
      </c>
      <c r="E629" s="1" t="s">
        <v>17761</v>
      </c>
      <c r="F629" s="1" t="s">
        <v>17762</v>
      </c>
      <c r="G629" s="1"/>
      <c r="H629" s="1"/>
      <c r="I629" s="1"/>
      <c r="J629" s="1"/>
      <c r="K629" s="1" t="s">
        <v>8656</v>
      </c>
    </row>
    <row r="630" ht="14.25" customHeight="1">
      <c r="A630" s="3" t="s">
        <v>9236</v>
      </c>
      <c r="B630" s="1">
        <v>6.9</v>
      </c>
      <c r="C630" s="1" t="s">
        <v>17763</v>
      </c>
      <c r="D630" s="1" t="s">
        <v>3238</v>
      </c>
      <c r="E630" s="1" t="s">
        <v>17761</v>
      </c>
      <c r="F630" s="1" t="s">
        <v>17762</v>
      </c>
      <c r="G630" s="1"/>
      <c r="H630" s="1"/>
      <c r="I630" s="1"/>
      <c r="J630" s="1"/>
      <c r="K630" s="1" t="s">
        <v>9235</v>
      </c>
    </row>
    <row r="631" ht="14.25" customHeight="1">
      <c r="A631" s="3" t="s">
        <v>4139</v>
      </c>
      <c r="B631" s="1">
        <v>6.7</v>
      </c>
      <c r="C631" s="1" t="s">
        <v>3238</v>
      </c>
      <c r="D631" s="1" t="s">
        <v>17759</v>
      </c>
      <c r="E631" s="1" t="s">
        <v>17761</v>
      </c>
      <c r="F631" s="1" t="s">
        <v>17762</v>
      </c>
      <c r="G631" s="1"/>
      <c r="H631" s="1"/>
      <c r="I631" s="1"/>
      <c r="J631" s="1"/>
      <c r="K631" s="1" t="s">
        <v>4138</v>
      </c>
    </row>
    <row r="632" ht="14.25" customHeight="1">
      <c r="A632" s="3" t="s">
        <v>4146</v>
      </c>
      <c r="B632" s="1">
        <v>6.6</v>
      </c>
      <c r="C632" s="1" t="s">
        <v>17759</v>
      </c>
      <c r="D632" s="1" t="s">
        <v>6019</v>
      </c>
      <c r="E632" s="1" t="s">
        <v>17761</v>
      </c>
      <c r="F632" s="1" t="s">
        <v>17762</v>
      </c>
      <c r="G632" s="1"/>
      <c r="H632" s="1"/>
      <c r="I632" s="1"/>
      <c r="J632" s="1"/>
      <c r="K632" s="1" t="s">
        <v>4145</v>
      </c>
    </row>
    <row r="633" ht="14.25" customHeight="1">
      <c r="A633" s="3" t="s">
        <v>13437</v>
      </c>
      <c r="B633" s="1">
        <v>7.2</v>
      </c>
      <c r="C633" s="1" t="s">
        <v>3238</v>
      </c>
      <c r="D633" s="1" t="s">
        <v>17774</v>
      </c>
      <c r="E633" s="1" t="s">
        <v>17761</v>
      </c>
      <c r="F633" s="1" t="s">
        <v>17762</v>
      </c>
      <c r="G633" s="1"/>
      <c r="H633" s="1"/>
      <c r="I633" s="1"/>
      <c r="J633" s="1"/>
      <c r="K633" s="1" t="s">
        <v>13436</v>
      </c>
    </row>
    <row r="634" ht="14.25" customHeight="1">
      <c r="A634" s="3" t="s">
        <v>494</v>
      </c>
      <c r="B634" s="1">
        <v>6.4</v>
      </c>
      <c r="C634" s="1" t="s">
        <v>1270</v>
      </c>
      <c r="D634" s="1" t="s">
        <v>917</v>
      </c>
      <c r="E634" s="1" t="s">
        <v>1885</v>
      </c>
      <c r="F634" s="1" t="s">
        <v>17764</v>
      </c>
      <c r="G634" s="1"/>
      <c r="H634" s="1"/>
      <c r="I634" s="1"/>
      <c r="J634" s="1"/>
      <c r="K634" s="1" t="s">
        <v>493</v>
      </c>
    </row>
    <row r="635" ht="14.25" customHeight="1">
      <c r="A635" s="3" t="s">
        <v>494</v>
      </c>
      <c r="B635" s="1">
        <v>6.4</v>
      </c>
      <c r="C635" s="1" t="s">
        <v>1270</v>
      </c>
      <c r="D635" s="1" t="s">
        <v>917</v>
      </c>
      <c r="E635" s="1" t="s">
        <v>1885</v>
      </c>
      <c r="F635" s="1" t="s">
        <v>17764</v>
      </c>
      <c r="G635" s="1"/>
      <c r="H635" s="1"/>
      <c r="I635" s="1"/>
      <c r="J635" s="1"/>
      <c r="K635" s="1" t="s">
        <v>1121</v>
      </c>
    </row>
    <row r="636" ht="14.25" customHeight="1">
      <c r="A636" s="3" t="s">
        <v>494</v>
      </c>
      <c r="B636" s="1">
        <v>6.0</v>
      </c>
      <c r="C636" s="1" t="s">
        <v>1270</v>
      </c>
      <c r="D636" s="1" t="s">
        <v>917</v>
      </c>
      <c r="E636" s="1" t="s">
        <v>1885</v>
      </c>
      <c r="F636" s="1" t="s">
        <v>17764</v>
      </c>
      <c r="G636" s="1"/>
      <c r="H636" s="1"/>
      <c r="I636" s="1"/>
      <c r="J636" s="1"/>
      <c r="K636" s="1" t="s">
        <v>1411</v>
      </c>
    </row>
    <row r="637" ht="14.25" customHeight="1">
      <c r="A637" s="3" t="s">
        <v>494</v>
      </c>
      <c r="B637" s="1">
        <v>6.1</v>
      </c>
      <c r="C637" s="1" t="s">
        <v>1270</v>
      </c>
      <c r="D637" s="1" t="s">
        <v>917</v>
      </c>
      <c r="E637" s="1" t="s">
        <v>1885</v>
      </c>
      <c r="F637" s="1" t="s">
        <v>17764</v>
      </c>
      <c r="G637" s="1"/>
      <c r="H637" s="1"/>
      <c r="I637" s="1"/>
      <c r="J637" s="1"/>
      <c r="K637" s="1" t="s">
        <v>1411</v>
      </c>
    </row>
    <row r="638" ht="14.25" customHeight="1">
      <c r="A638" s="3" t="s">
        <v>2101</v>
      </c>
      <c r="B638" s="1">
        <v>6.0</v>
      </c>
      <c r="C638" s="1" t="s">
        <v>1270</v>
      </c>
      <c r="D638" s="1" t="s">
        <v>17757</v>
      </c>
      <c r="E638" s="1" t="s">
        <v>1885</v>
      </c>
      <c r="F638" s="1" t="s">
        <v>17764</v>
      </c>
      <c r="G638" s="1"/>
      <c r="H638" s="1"/>
      <c r="I638" s="1"/>
      <c r="J638" s="1"/>
      <c r="K638" s="1" t="s">
        <v>2100</v>
      </c>
    </row>
    <row r="639" ht="14.25" customHeight="1">
      <c r="A639" s="3" t="s">
        <v>557</v>
      </c>
      <c r="B639" s="1">
        <v>6.4</v>
      </c>
      <c r="C639" s="1" t="s">
        <v>1270</v>
      </c>
      <c r="D639" s="1" t="s">
        <v>917</v>
      </c>
      <c r="E639" s="1" t="s">
        <v>3238</v>
      </c>
      <c r="F639" s="1" t="s">
        <v>17764</v>
      </c>
      <c r="G639" s="1"/>
      <c r="H639" s="1"/>
      <c r="I639" s="1"/>
      <c r="J639" s="1"/>
      <c r="K639" s="1" t="s">
        <v>556</v>
      </c>
    </row>
    <row r="640" ht="14.25" customHeight="1">
      <c r="A640" s="3" t="s">
        <v>557</v>
      </c>
      <c r="B640" s="1">
        <v>6.4</v>
      </c>
      <c r="C640" s="1" t="s">
        <v>1270</v>
      </c>
      <c r="D640" s="1" t="s">
        <v>917</v>
      </c>
      <c r="E640" s="1" t="s">
        <v>3238</v>
      </c>
      <c r="F640" s="1" t="s">
        <v>17764</v>
      </c>
      <c r="G640" s="1"/>
      <c r="H640" s="1"/>
      <c r="I640" s="1"/>
      <c r="J640" s="1"/>
      <c r="K640" s="1" t="s">
        <v>2717</v>
      </c>
    </row>
    <row r="641" ht="14.25" customHeight="1">
      <c r="A641" s="3" t="s">
        <v>16159</v>
      </c>
      <c r="B641" s="1">
        <v>7.3</v>
      </c>
      <c r="C641" s="1" t="s">
        <v>1885</v>
      </c>
      <c r="D641" s="1" t="s">
        <v>17763</v>
      </c>
      <c r="E641" s="1" t="s">
        <v>3238</v>
      </c>
      <c r="F641" s="1" t="s">
        <v>17764</v>
      </c>
      <c r="G641" s="1"/>
      <c r="H641" s="1"/>
      <c r="I641" s="1"/>
      <c r="J641" s="1"/>
      <c r="K641" s="1" t="s">
        <v>16158</v>
      </c>
    </row>
    <row r="642" ht="14.25" customHeight="1">
      <c r="A642" s="3" t="s">
        <v>7204</v>
      </c>
      <c r="B642" s="1">
        <v>5.2</v>
      </c>
      <c r="C642" s="1" t="s">
        <v>1270</v>
      </c>
      <c r="D642" s="1" t="s">
        <v>917</v>
      </c>
      <c r="E642" s="1" t="s">
        <v>17758</v>
      </c>
      <c r="F642" s="1" t="s">
        <v>17764</v>
      </c>
      <c r="G642" s="1"/>
      <c r="H642" s="1"/>
      <c r="I642" s="1"/>
      <c r="J642" s="1"/>
      <c r="K642" s="1" t="s">
        <v>7203</v>
      </c>
    </row>
    <row r="643" ht="14.25" customHeight="1">
      <c r="A643" s="3" t="s">
        <v>7204</v>
      </c>
      <c r="B643" s="1">
        <v>6.6</v>
      </c>
      <c r="C643" s="1" t="s">
        <v>1270</v>
      </c>
      <c r="D643" s="1" t="s">
        <v>917</v>
      </c>
      <c r="E643" s="1" t="s">
        <v>17758</v>
      </c>
      <c r="F643" s="1" t="s">
        <v>17764</v>
      </c>
      <c r="G643" s="1"/>
      <c r="H643" s="1"/>
      <c r="I643" s="1"/>
      <c r="J643" s="1"/>
      <c r="K643" s="1" t="s">
        <v>11118</v>
      </c>
    </row>
    <row r="644" ht="14.25" customHeight="1">
      <c r="A644" s="3" t="s">
        <v>402</v>
      </c>
      <c r="B644" s="1">
        <v>6.3</v>
      </c>
      <c r="C644" s="1" t="s">
        <v>917</v>
      </c>
      <c r="D644" s="1" t="s">
        <v>17757</v>
      </c>
      <c r="E644" s="1" t="s">
        <v>17758</v>
      </c>
      <c r="F644" s="1" t="s">
        <v>17764</v>
      </c>
      <c r="G644" s="1"/>
      <c r="H644" s="1"/>
      <c r="I644" s="1"/>
      <c r="J644" s="1"/>
      <c r="K644" s="1" t="s">
        <v>401</v>
      </c>
    </row>
    <row r="645" ht="14.25" customHeight="1">
      <c r="A645" s="3" t="s">
        <v>402</v>
      </c>
      <c r="B645" s="1">
        <v>5.9</v>
      </c>
      <c r="C645" s="1" t="s">
        <v>917</v>
      </c>
      <c r="D645" s="1" t="s">
        <v>17757</v>
      </c>
      <c r="E645" s="1" t="s">
        <v>17758</v>
      </c>
      <c r="F645" s="1" t="s">
        <v>17764</v>
      </c>
      <c r="G645" s="1"/>
      <c r="H645" s="1"/>
      <c r="I645" s="1"/>
      <c r="J645" s="1"/>
      <c r="K645" s="1" t="s">
        <v>1786</v>
      </c>
    </row>
    <row r="646" ht="14.25" customHeight="1">
      <c r="A646" s="3" t="s">
        <v>6868</v>
      </c>
      <c r="B646" s="1">
        <v>6.7</v>
      </c>
      <c r="C646" s="1" t="s">
        <v>917</v>
      </c>
      <c r="D646" s="1" t="s">
        <v>1885</v>
      </c>
      <c r="E646" s="1" t="s">
        <v>17758</v>
      </c>
      <c r="F646" s="1" t="s">
        <v>17764</v>
      </c>
      <c r="G646" s="1"/>
      <c r="H646" s="1"/>
      <c r="I646" s="1"/>
      <c r="J646" s="1"/>
      <c r="K646" s="1" t="s">
        <v>6867</v>
      </c>
    </row>
    <row r="647" ht="14.25" customHeight="1">
      <c r="A647" s="3" t="s">
        <v>2020</v>
      </c>
      <c r="B647" s="1">
        <v>5.4</v>
      </c>
      <c r="C647" s="1" t="s">
        <v>17757</v>
      </c>
      <c r="D647" s="1" t="s">
        <v>1885</v>
      </c>
      <c r="E647" s="1" t="s">
        <v>17758</v>
      </c>
      <c r="F647" s="1" t="s">
        <v>17764</v>
      </c>
      <c r="G647" s="1"/>
      <c r="H647" s="1"/>
      <c r="I647" s="1"/>
      <c r="J647" s="1"/>
      <c r="K647" s="1" t="s">
        <v>2019</v>
      </c>
    </row>
    <row r="648" ht="14.25" customHeight="1">
      <c r="A648" s="3" t="s">
        <v>2020</v>
      </c>
      <c r="B648" s="1">
        <v>6.4</v>
      </c>
      <c r="C648" s="1" t="s">
        <v>17757</v>
      </c>
      <c r="D648" s="1" t="s">
        <v>1885</v>
      </c>
      <c r="E648" s="1" t="s">
        <v>17758</v>
      </c>
      <c r="F648" s="1" t="s">
        <v>17764</v>
      </c>
      <c r="G648" s="1"/>
      <c r="H648" s="1"/>
      <c r="I648" s="1"/>
      <c r="J648" s="1"/>
      <c r="K648" s="1" t="s">
        <v>2828</v>
      </c>
    </row>
    <row r="649" ht="14.25" customHeight="1">
      <c r="A649" s="3" t="s">
        <v>12286</v>
      </c>
      <c r="B649" s="1">
        <v>6.7</v>
      </c>
      <c r="C649" s="1" t="s">
        <v>1885</v>
      </c>
      <c r="D649" s="1" t="s">
        <v>17763</v>
      </c>
      <c r="E649" s="1" t="s">
        <v>17758</v>
      </c>
      <c r="F649" s="1" t="s">
        <v>17764</v>
      </c>
      <c r="G649" s="1"/>
      <c r="H649" s="1"/>
      <c r="I649" s="1"/>
      <c r="J649" s="1"/>
      <c r="K649" s="1" t="s">
        <v>12285</v>
      </c>
    </row>
    <row r="650" ht="14.25" customHeight="1">
      <c r="A650" s="3" t="s">
        <v>29</v>
      </c>
      <c r="B650" s="1">
        <v>6.2</v>
      </c>
      <c r="C650" s="1" t="s">
        <v>1270</v>
      </c>
      <c r="D650" s="1" t="s">
        <v>917</v>
      </c>
      <c r="E650" s="1" t="s">
        <v>17759</v>
      </c>
      <c r="F650" s="1" t="s">
        <v>17764</v>
      </c>
      <c r="G650" s="1"/>
      <c r="H650" s="1"/>
      <c r="I650" s="1"/>
      <c r="J650" s="1"/>
      <c r="K650" s="1" t="s">
        <v>28</v>
      </c>
    </row>
    <row r="651" ht="14.25" customHeight="1">
      <c r="A651" s="3" t="s">
        <v>29</v>
      </c>
      <c r="B651" s="1">
        <v>6.1</v>
      </c>
      <c r="C651" s="1" t="s">
        <v>1270</v>
      </c>
      <c r="D651" s="1" t="s">
        <v>917</v>
      </c>
      <c r="E651" s="1" t="s">
        <v>17759</v>
      </c>
      <c r="F651" s="1" t="s">
        <v>17764</v>
      </c>
      <c r="G651" s="1"/>
      <c r="H651" s="1"/>
      <c r="I651" s="1"/>
      <c r="J651" s="1"/>
      <c r="K651" s="1" t="s">
        <v>133</v>
      </c>
    </row>
    <row r="652" ht="14.25" customHeight="1">
      <c r="A652" s="3" t="s">
        <v>29</v>
      </c>
      <c r="B652" s="1">
        <v>8.8</v>
      </c>
      <c r="C652" s="1" t="s">
        <v>1270</v>
      </c>
      <c r="D652" s="1" t="s">
        <v>917</v>
      </c>
      <c r="E652" s="1" t="s">
        <v>17759</v>
      </c>
      <c r="F652" s="1" t="s">
        <v>17764</v>
      </c>
      <c r="G652" s="1"/>
      <c r="H652" s="1"/>
      <c r="I652" s="1"/>
      <c r="J652" s="1"/>
      <c r="K652" s="1" t="s">
        <v>287</v>
      </c>
    </row>
    <row r="653" ht="14.25" customHeight="1">
      <c r="A653" s="3" t="s">
        <v>29</v>
      </c>
      <c r="B653" s="1">
        <v>7.1</v>
      </c>
      <c r="C653" s="1" t="s">
        <v>1270</v>
      </c>
      <c r="D653" s="1" t="s">
        <v>917</v>
      </c>
      <c r="E653" s="1" t="s">
        <v>17759</v>
      </c>
      <c r="F653" s="1" t="s">
        <v>17764</v>
      </c>
      <c r="G653" s="1"/>
      <c r="H653" s="1"/>
      <c r="I653" s="1"/>
      <c r="J653" s="1"/>
      <c r="K653" s="1" t="s">
        <v>1377</v>
      </c>
    </row>
    <row r="654" ht="14.25" customHeight="1">
      <c r="A654" s="3" t="s">
        <v>29</v>
      </c>
      <c r="B654" s="1">
        <v>5.7</v>
      </c>
      <c r="C654" s="1" t="s">
        <v>1270</v>
      </c>
      <c r="D654" s="1" t="s">
        <v>917</v>
      </c>
      <c r="E654" s="1" t="s">
        <v>17759</v>
      </c>
      <c r="F654" s="1" t="s">
        <v>17764</v>
      </c>
      <c r="G654" s="1"/>
      <c r="H654" s="1"/>
      <c r="I654" s="1"/>
      <c r="J654" s="1"/>
      <c r="K654" s="1" t="s">
        <v>1381</v>
      </c>
    </row>
    <row r="655" ht="14.25" customHeight="1">
      <c r="A655" s="3" t="s">
        <v>29</v>
      </c>
      <c r="B655" s="1">
        <v>5.0</v>
      </c>
      <c r="C655" s="1" t="s">
        <v>1270</v>
      </c>
      <c r="D655" s="1" t="s">
        <v>917</v>
      </c>
      <c r="E655" s="1" t="s">
        <v>17759</v>
      </c>
      <c r="F655" s="1" t="s">
        <v>17764</v>
      </c>
      <c r="G655" s="1"/>
      <c r="H655" s="1"/>
      <c r="I655" s="1"/>
      <c r="J655" s="1"/>
      <c r="K655" s="1" t="s">
        <v>1393</v>
      </c>
    </row>
    <row r="656" ht="14.25" customHeight="1">
      <c r="A656" s="3" t="s">
        <v>29</v>
      </c>
      <c r="B656" s="1">
        <v>5.1</v>
      </c>
      <c r="C656" s="1" t="s">
        <v>1270</v>
      </c>
      <c r="D656" s="1" t="s">
        <v>917</v>
      </c>
      <c r="E656" s="1" t="s">
        <v>17759</v>
      </c>
      <c r="F656" s="1" t="s">
        <v>17764</v>
      </c>
      <c r="G656" s="1"/>
      <c r="H656" s="1"/>
      <c r="I656" s="1"/>
      <c r="J656" s="1"/>
      <c r="K656" s="1" t="s">
        <v>2823</v>
      </c>
    </row>
    <row r="657" ht="14.25" customHeight="1">
      <c r="A657" s="3" t="s">
        <v>29</v>
      </c>
      <c r="B657" s="1">
        <v>6.9</v>
      </c>
      <c r="C657" s="1" t="s">
        <v>1270</v>
      </c>
      <c r="D657" s="1" t="s">
        <v>917</v>
      </c>
      <c r="E657" s="1" t="s">
        <v>17759</v>
      </c>
      <c r="F657" s="1" t="s">
        <v>17764</v>
      </c>
      <c r="G657" s="1"/>
      <c r="H657" s="1"/>
      <c r="I657" s="1"/>
      <c r="J657" s="1"/>
      <c r="K657" s="1" t="s">
        <v>7361</v>
      </c>
    </row>
    <row r="658" ht="14.25" customHeight="1">
      <c r="A658" s="3" t="s">
        <v>29</v>
      </c>
      <c r="B658" s="1">
        <v>4.8</v>
      </c>
      <c r="C658" s="1" t="s">
        <v>1270</v>
      </c>
      <c r="D658" s="1" t="s">
        <v>917</v>
      </c>
      <c r="E658" s="1" t="s">
        <v>17759</v>
      </c>
      <c r="F658" s="1" t="s">
        <v>17764</v>
      </c>
      <c r="G658" s="1"/>
      <c r="H658" s="1"/>
      <c r="I658" s="1"/>
      <c r="J658" s="1"/>
      <c r="K658" s="1" t="s">
        <v>9388</v>
      </c>
    </row>
    <row r="659" ht="14.25" customHeight="1">
      <c r="A659" s="3" t="s">
        <v>29</v>
      </c>
      <c r="B659" s="1">
        <v>6.5</v>
      </c>
      <c r="C659" s="1" t="s">
        <v>1270</v>
      </c>
      <c r="D659" s="1" t="s">
        <v>917</v>
      </c>
      <c r="E659" s="1" t="s">
        <v>17759</v>
      </c>
      <c r="F659" s="1" t="s">
        <v>17764</v>
      </c>
      <c r="G659" s="1"/>
      <c r="H659" s="1"/>
      <c r="I659" s="1"/>
      <c r="J659" s="1"/>
      <c r="K659" s="1" t="s">
        <v>11741</v>
      </c>
    </row>
    <row r="660" ht="14.25" customHeight="1">
      <c r="A660" s="3" t="s">
        <v>29</v>
      </c>
      <c r="B660" s="1">
        <v>5.1</v>
      </c>
      <c r="C660" s="1" t="s">
        <v>1270</v>
      </c>
      <c r="D660" s="1" t="s">
        <v>917</v>
      </c>
      <c r="E660" s="1" t="s">
        <v>17759</v>
      </c>
      <c r="F660" s="1" t="s">
        <v>17764</v>
      </c>
      <c r="G660" s="1"/>
      <c r="H660" s="1"/>
      <c r="I660" s="1"/>
      <c r="J660" s="1"/>
      <c r="K660" s="1" t="s">
        <v>12917</v>
      </c>
    </row>
    <row r="661" ht="14.25" customHeight="1">
      <c r="A661" s="3" t="s">
        <v>29</v>
      </c>
      <c r="B661" s="1">
        <v>7.1</v>
      </c>
      <c r="C661" s="1" t="s">
        <v>1270</v>
      </c>
      <c r="D661" s="1" t="s">
        <v>917</v>
      </c>
      <c r="E661" s="1" t="s">
        <v>17759</v>
      </c>
      <c r="F661" s="1" t="s">
        <v>17764</v>
      </c>
      <c r="G661" s="1"/>
      <c r="H661" s="1"/>
      <c r="I661" s="1"/>
      <c r="J661" s="1"/>
      <c r="K661" s="1" t="s">
        <v>14799</v>
      </c>
    </row>
    <row r="662" ht="14.25" customHeight="1">
      <c r="A662" s="3" t="s">
        <v>934</v>
      </c>
      <c r="B662" s="1">
        <v>7.5</v>
      </c>
      <c r="C662" s="1" t="s">
        <v>1270</v>
      </c>
      <c r="D662" s="1" t="s">
        <v>1885</v>
      </c>
      <c r="E662" s="1" t="s">
        <v>17759</v>
      </c>
      <c r="F662" s="1" t="s">
        <v>17764</v>
      </c>
      <c r="G662" s="1"/>
      <c r="H662" s="1"/>
      <c r="I662" s="1"/>
      <c r="J662" s="1"/>
      <c r="K662" s="1" t="s">
        <v>933</v>
      </c>
    </row>
    <row r="663" ht="14.25" customHeight="1">
      <c r="A663" s="3" t="s">
        <v>934</v>
      </c>
      <c r="B663" s="1">
        <v>6.2</v>
      </c>
      <c r="C663" s="1" t="s">
        <v>1270</v>
      </c>
      <c r="D663" s="1" t="s">
        <v>1885</v>
      </c>
      <c r="E663" s="1" t="s">
        <v>17759</v>
      </c>
      <c r="F663" s="1" t="s">
        <v>17764</v>
      </c>
      <c r="G663" s="1"/>
      <c r="H663" s="1"/>
      <c r="I663" s="1"/>
      <c r="J663" s="1"/>
      <c r="K663" s="1" t="s">
        <v>3395</v>
      </c>
    </row>
    <row r="664" ht="14.25" customHeight="1">
      <c r="A664" s="3" t="s">
        <v>934</v>
      </c>
      <c r="B664" s="1">
        <v>6.3</v>
      </c>
      <c r="C664" s="1" t="s">
        <v>1270</v>
      </c>
      <c r="D664" s="1" t="s">
        <v>1885</v>
      </c>
      <c r="E664" s="1" t="s">
        <v>17759</v>
      </c>
      <c r="F664" s="1" t="s">
        <v>17764</v>
      </c>
      <c r="G664" s="1"/>
      <c r="H664" s="1"/>
      <c r="I664" s="1"/>
      <c r="J664" s="1"/>
      <c r="K664" s="1" t="s">
        <v>933</v>
      </c>
    </row>
    <row r="665" ht="14.25" customHeight="1">
      <c r="A665" s="3" t="s">
        <v>934</v>
      </c>
      <c r="B665" s="1">
        <v>8.1</v>
      </c>
      <c r="C665" s="1" t="s">
        <v>1270</v>
      </c>
      <c r="D665" s="1" t="s">
        <v>1885</v>
      </c>
      <c r="E665" s="1" t="s">
        <v>17759</v>
      </c>
      <c r="F665" s="1" t="s">
        <v>17764</v>
      </c>
      <c r="G665" s="1"/>
      <c r="H665" s="1"/>
      <c r="I665" s="1"/>
      <c r="J665" s="1"/>
      <c r="K665" s="1" t="s">
        <v>17002</v>
      </c>
    </row>
    <row r="666" ht="14.25" customHeight="1">
      <c r="A666" s="3" t="s">
        <v>12625</v>
      </c>
      <c r="B666" s="1">
        <v>6.6</v>
      </c>
      <c r="C666" s="1" t="s">
        <v>917</v>
      </c>
      <c r="D666" s="1" t="s">
        <v>1885</v>
      </c>
      <c r="E666" s="1" t="s">
        <v>17759</v>
      </c>
      <c r="F666" s="1" t="s">
        <v>17764</v>
      </c>
      <c r="G666" s="1"/>
      <c r="H666" s="1"/>
      <c r="I666" s="1"/>
      <c r="J666" s="1"/>
      <c r="K666" s="1" t="s">
        <v>12624</v>
      </c>
    </row>
    <row r="667" ht="14.25" customHeight="1">
      <c r="A667" s="3" t="s">
        <v>6642</v>
      </c>
      <c r="B667" s="1">
        <v>6.9</v>
      </c>
      <c r="C667" s="1" t="s">
        <v>917</v>
      </c>
      <c r="D667" s="1" t="s">
        <v>17758</v>
      </c>
      <c r="E667" s="1" t="s">
        <v>17759</v>
      </c>
      <c r="F667" s="1" t="s">
        <v>17764</v>
      </c>
      <c r="G667" s="1"/>
      <c r="H667" s="1"/>
      <c r="I667" s="1"/>
      <c r="J667" s="1"/>
      <c r="K667" s="1" t="s">
        <v>6641</v>
      </c>
    </row>
    <row r="668" ht="14.25" customHeight="1">
      <c r="A668" s="3" t="s">
        <v>3274</v>
      </c>
      <c r="B668" s="1">
        <v>6.1</v>
      </c>
      <c r="C668" s="1" t="s">
        <v>1270</v>
      </c>
      <c r="D668" s="1" t="s">
        <v>917</v>
      </c>
      <c r="E668" s="1" t="s">
        <v>6019</v>
      </c>
      <c r="F668" s="1" t="s">
        <v>17764</v>
      </c>
      <c r="G668" s="1"/>
      <c r="H668" s="1"/>
      <c r="I668" s="1"/>
      <c r="J668" s="1"/>
      <c r="K668" s="1" t="s">
        <v>3273</v>
      </c>
    </row>
    <row r="669" ht="14.25" customHeight="1">
      <c r="A669" s="3" t="s">
        <v>3274</v>
      </c>
      <c r="B669" s="1">
        <v>4.3</v>
      </c>
      <c r="C669" s="1" t="s">
        <v>1270</v>
      </c>
      <c r="D669" s="1" t="s">
        <v>917</v>
      </c>
      <c r="E669" s="1" t="s">
        <v>6019</v>
      </c>
      <c r="F669" s="1" t="s">
        <v>17764</v>
      </c>
      <c r="G669" s="1"/>
      <c r="H669" s="1"/>
      <c r="I669" s="1"/>
      <c r="J669" s="1"/>
      <c r="K669" s="1" t="s">
        <v>4257</v>
      </c>
    </row>
    <row r="670" ht="14.25" customHeight="1">
      <c r="A670" s="3" t="s">
        <v>3274</v>
      </c>
      <c r="B670" s="1">
        <v>6.6</v>
      </c>
      <c r="C670" s="1" t="s">
        <v>1270</v>
      </c>
      <c r="D670" s="1" t="s">
        <v>917</v>
      </c>
      <c r="E670" s="1" t="s">
        <v>6019</v>
      </c>
      <c r="F670" s="1" t="s">
        <v>17764</v>
      </c>
      <c r="G670" s="1"/>
      <c r="H670" s="1"/>
      <c r="I670" s="1"/>
      <c r="J670" s="1"/>
      <c r="K670" s="1" t="s">
        <v>5584</v>
      </c>
    </row>
    <row r="671" ht="14.25" customHeight="1">
      <c r="A671" s="3" t="s">
        <v>3274</v>
      </c>
      <c r="B671" s="1">
        <v>6.8</v>
      </c>
      <c r="C671" s="1" t="s">
        <v>1270</v>
      </c>
      <c r="D671" s="1" t="s">
        <v>917</v>
      </c>
      <c r="E671" s="1" t="s">
        <v>6019</v>
      </c>
      <c r="F671" s="1" t="s">
        <v>17764</v>
      </c>
      <c r="G671" s="1"/>
      <c r="H671" s="1"/>
      <c r="I671" s="1"/>
      <c r="J671" s="1"/>
      <c r="K671" s="1" t="s">
        <v>8737</v>
      </c>
    </row>
    <row r="672" ht="14.25" customHeight="1">
      <c r="A672" s="3" t="s">
        <v>16273</v>
      </c>
      <c r="B672" s="1">
        <v>3.8</v>
      </c>
      <c r="C672" s="1" t="s">
        <v>1270</v>
      </c>
      <c r="D672" s="1" t="s">
        <v>1885</v>
      </c>
      <c r="E672" s="1" t="s">
        <v>6019</v>
      </c>
      <c r="F672" s="1" t="s">
        <v>17764</v>
      </c>
      <c r="G672" s="1"/>
      <c r="H672" s="1"/>
      <c r="I672" s="1"/>
      <c r="J672" s="1"/>
      <c r="K672" s="1" t="s">
        <v>16272</v>
      </c>
    </row>
    <row r="673" ht="14.25" customHeight="1">
      <c r="A673" s="3" t="s">
        <v>9381</v>
      </c>
      <c r="B673" s="1">
        <v>5.9</v>
      </c>
      <c r="C673" s="1" t="s">
        <v>917</v>
      </c>
      <c r="D673" s="1" t="s">
        <v>1885</v>
      </c>
      <c r="E673" s="1" t="s">
        <v>6019</v>
      </c>
      <c r="F673" s="1" t="s">
        <v>17764</v>
      </c>
      <c r="G673" s="1"/>
      <c r="H673" s="1"/>
      <c r="I673" s="1"/>
      <c r="J673" s="1"/>
      <c r="K673" s="1" t="s">
        <v>9380</v>
      </c>
    </row>
    <row r="674" ht="14.25" customHeight="1">
      <c r="A674" s="3" t="s">
        <v>12811</v>
      </c>
      <c r="B674" s="1">
        <v>7.9</v>
      </c>
      <c r="C674" s="1" t="s">
        <v>1885</v>
      </c>
      <c r="D674" s="1" t="s">
        <v>3238</v>
      </c>
      <c r="E674" s="1" t="s">
        <v>6019</v>
      </c>
      <c r="F674" s="1" t="s">
        <v>17764</v>
      </c>
      <c r="G674" s="1"/>
      <c r="H674" s="1"/>
      <c r="I674" s="1"/>
      <c r="J674" s="1"/>
      <c r="K674" s="1" t="s">
        <v>5056</v>
      </c>
    </row>
    <row r="675" ht="14.25" customHeight="1">
      <c r="A675" s="3" t="s">
        <v>12811</v>
      </c>
      <c r="B675" s="1">
        <v>6.3</v>
      </c>
      <c r="C675" s="1" t="s">
        <v>1885</v>
      </c>
      <c r="D675" s="1" t="s">
        <v>3238</v>
      </c>
      <c r="E675" s="1" t="s">
        <v>6019</v>
      </c>
      <c r="F675" s="1" t="s">
        <v>17764</v>
      </c>
      <c r="G675" s="1"/>
      <c r="H675" s="1"/>
      <c r="I675" s="1"/>
      <c r="J675" s="1"/>
      <c r="K675" s="1" t="s">
        <v>14109</v>
      </c>
    </row>
    <row r="676" ht="14.25" customHeight="1">
      <c r="A676" s="3" t="s">
        <v>3908</v>
      </c>
      <c r="B676" s="1">
        <v>5.5</v>
      </c>
      <c r="C676" s="1" t="s">
        <v>1270</v>
      </c>
      <c r="D676" s="1" t="s">
        <v>17759</v>
      </c>
      <c r="E676" s="1" t="s">
        <v>6019</v>
      </c>
      <c r="F676" s="1" t="s">
        <v>17764</v>
      </c>
      <c r="G676" s="1"/>
      <c r="H676" s="1"/>
      <c r="I676" s="1"/>
      <c r="J676" s="1"/>
      <c r="K676" s="1" t="s">
        <v>3907</v>
      </c>
    </row>
    <row r="677" ht="14.25" customHeight="1">
      <c r="A677" s="3" t="s">
        <v>13180</v>
      </c>
      <c r="B677" s="1">
        <v>7.7</v>
      </c>
      <c r="C677" s="1" t="s">
        <v>917</v>
      </c>
      <c r="D677" s="1" t="s">
        <v>1885</v>
      </c>
      <c r="E677" s="1" t="s">
        <v>17774</v>
      </c>
      <c r="F677" s="1" t="s">
        <v>17764</v>
      </c>
      <c r="G677" s="1"/>
      <c r="H677" s="1"/>
      <c r="I677" s="1"/>
      <c r="J677" s="1"/>
      <c r="K677" s="1" t="s">
        <v>13179</v>
      </c>
    </row>
    <row r="678" ht="14.25" customHeight="1">
      <c r="A678" s="3" t="s">
        <v>16467</v>
      </c>
      <c r="B678" s="1">
        <v>6.3</v>
      </c>
      <c r="C678" s="1" t="s">
        <v>1885</v>
      </c>
      <c r="D678" s="1" t="s">
        <v>17759</v>
      </c>
      <c r="E678" s="1" t="s">
        <v>17760</v>
      </c>
      <c r="F678" s="1" t="s">
        <v>17764</v>
      </c>
      <c r="G678" s="1"/>
      <c r="H678" s="1"/>
      <c r="I678" s="1"/>
      <c r="J678" s="1"/>
      <c r="K678" s="1" t="s">
        <v>16466</v>
      </c>
    </row>
    <row r="679" ht="14.25" customHeight="1">
      <c r="A679" s="3" t="s">
        <v>7859</v>
      </c>
      <c r="B679" s="1">
        <v>7.1</v>
      </c>
      <c r="C679" s="1" t="s">
        <v>1885</v>
      </c>
      <c r="D679" s="1" t="s">
        <v>6019</v>
      </c>
      <c r="E679" s="1" t="s">
        <v>17760</v>
      </c>
      <c r="F679" s="1" t="s">
        <v>17764</v>
      </c>
      <c r="G679" s="1"/>
      <c r="H679" s="1"/>
      <c r="I679" s="1"/>
      <c r="J679" s="1"/>
      <c r="K679" s="1" t="s">
        <v>7858</v>
      </c>
    </row>
    <row r="680" ht="14.25" customHeight="1">
      <c r="A680" s="3" t="s">
        <v>1372</v>
      </c>
      <c r="B680" s="1">
        <v>8.5</v>
      </c>
      <c r="C680" s="1" t="s">
        <v>1270</v>
      </c>
      <c r="D680" s="1" t="s">
        <v>917</v>
      </c>
      <c r="E680" s="1" t="s">
        <v>17761</v>
      </c>
      <c r="F680" s="1" t="s">
        <v>17764</v>
      </c>
      <c r="G680" s="1"/>
      <c r="H680" s="1"/>
      <c r="I680" s="1"/>
      <c r="J680" s="1"/>
      <c r="K680" s="1" t="s">
        <v>1371</v>
      </c>
    </row>
    <row r="681" ht="14.25" customHeight="1">
      <c r="A681" s="3" t="s">
        <v>1372</v>
      </c>
      <c r="B681" s="1">
        <v>5.8</v>
      </c>
      <c r="C681" s="1" t="s">
        <v>1270</v>
      </c>
      <c r="D681" s="1" t="s">
        <v>917</v>
      </c>
      <c r="E681" s="1" t="s">
        <v>17761</v>
      </c>
      <c r="F681" s="1" t="s">
        <v>17764</v>
      </c>
      <c r="G681" s="1"/>
      <c r="H681" s="1"/>
      <c r="I681" s="1"/>
      <c r="J681" s="1"/>
      <c r="K681" s="1" t="s">
        <v>4813</v>
      </c>
    </row>
    <row r="682" ht="14.25" customHeight="1">
      <c r="A682" s="3" t="s">
        <v>1015</v>
      </c>
      <c r="B682" s="1">
        <v>8.1</v>
      </c>
      <c r="C682" s="1" t="s">
        <v>1270</v>
      </c>
      <c r="D682" s="1" t="s">
        <v>3238</v>
      </c>
      <c r="E682" s="1" t="s">
        <v>17761</v>
      </c>
      <c r="F682" s="1" t="s">
        <v>17764</v>
      </c>
      <c r="G682" s="1"/>
      <c r="H682" s="1"/>
      <c r="I682" s="1"/>
      <c r="J682" s="1"/>
      <c r="K682" s="1" t="s">
        <v>1014</v>
      </c>
    </row>
    <row r="683" ht="14.25" customHeight="1">
      <c r="A683" s="3" t="s">
        <v>4593</v>
      </c>
      <c r="B683" s="1">
        <v>7.9</v>
      </c>
      <c r="C683" s="1" t="s">
        <v>1270</v>
      </c>
      <c r="D683" s="1" t="s">
        <v>917</v>
      </c>
      <c r="E683" s="1" t="s">
        <v>17762</v>
      </c>
      <c r="F683" s="1" t="s">
        <v>17764</v>
      </c>
      <c r="G683" s="1"/>
      <c r="H683" s="1"/>
      <c r="I683" s="1"/>
      <c r="J683" s="1"/>
      <c r="K683" s="1" t="s">
        <v>4592</v>
      </c>
    </row>
    <row r="684" ht="14.25" customHeight="1">
      <c r="A684" s="3" t="s">
        <v>12374</v>
      </c>
      <c r="B684" s="1">
        <v>7.2</v>
      </c>
      <c r="C684" s="1" t="s">
        <v>917</v>
      </c>
      <c r="D684" s="1" t="s">
        <v>1885</v>
      </c>
      <c r="E684" s="1" t="s">
        <v>17762</v>
      </c>
      <c r="F684" s="1" t="s">
        <v>17764</v>
      </c>
      <c r="G684" s="1"/>
      <c r="H684" s="1"/>
      <c r="I684" s="1"/>
      <c r="J684" s="1"/>
      <c r="K684" s="1" t="s">
        <v>12373</v>
      </c>
    </row>
    <row r="685" ht="14.25" customHeight="1">
      <c r="A685" s="3" t="s">
        <v>7043</v>
      </c>
      <c r="B685" s="1">
        <v>6.3</v>
      </c>
      <c r="C685" s="1" t="s">
        <v>1885</v>
      </c>
      <c r="D685" s="1" t="s">
        <v>3238</v>
      </c>
      <c r="E685" s="1" t="s">
        <v>17762</v>
      </c>
      <c r="F685" s="1" t="s">
        <v>17764</v>
      </c>
      <c r="G685" s="1"/>
      <c r="H685" s="1"/>
      <c r="I685" s="1"/>
      <c r="J685" s="1"/>
      <c r="K685" s="1" t="s">
        <v>7042</v>
      </c>
    </row>
    <row r="686" ht="14.25" customHeight="1">
      <c r="A686" s="3" t="s">
        <v>4229</v>
      </c>
      <c r="B686" s="1">
        <v>8.1</v>
      </c>
      <c r="C686" s="1" t="s">
        <v>1885</v>
      </c>
      <c r="D686" s="1" t="s">
        <v>17758</v>
      </c>
      <c r="E686" s="1" t="s">
        <v>17762</v>
      </c>
      <c r="F686" s="1" t="s">
        <v>17764</v>
      </c>
      <c r="G686" s="1"/>
      <c r="H686" s="1"/>
      <c r="I686" s="1"/>
      <c r="J686" s="1"/>
      <c r="K686" s="1" t="s">
        <v>4228</v>
      </c>
    </row>
    <row r="687" ht="14.25" customHeight="1">
      <c r="A687" s="3" t="s">
        <v>8648</v>
      </c>
      <c r="B687" s="1">
        <v>7.0</v>
      </c>
      <c r="C687" s="1" t="s">
        <v>1270</v>
      </c>
      <c r="D687" s="1" t="s">
        <v>17759</v>
      </c>
      <c r="E687" s="1" t="s">
        <v>17762</v>
      </c>
      <c r="F687" s="1" t="s">
        <v>17764</v>
      </c>
      <c r="G687" s="1"/>
      <c r="H687" s="1"/>
      <c r="I687" s="1"/>
      <c r="J687" s="1"/>
      <c r="K687" s="1" t="s">
        <v>8647</v>
      </c>
    </row>
    <row r="688" ht="14.25" customHeight="1">
      <c r="A688" s="3" t="s">
        <v>6503</v>
      </c>
      <c r="B688" s="1">
        <v>5.5</v>
      </c>
      <c r="C688" s="1" t="s">
        <v>3238</v>
      </c>
      <c r="D688" s="1" t="s">
        <v>17759</v>
      </c>
      <c r="E688" s="1" t="s">
        <v>17762</v>
      </c>
      <c r="F688" s="1" t="s">
        <v>17764</v>
      </c>
      <c r="G688" s="1"/>
      <c r="H688" s="1"/>
      <c r="I688" s="1"/>
      <c r="J688" s="1"/>
      <c r="K688" s="1" t="s">
        <v>6502</v>
      </c>
    </row>
    <row r="689" ht="14.25" customHeight="1">
      <c r="A689" s="3" t="s">
        <v>6503</v>
      </c>
      <c r="B689" s="1">
        <v>6.7</v>
      </c>
      <c r="C689" s="1" t="s">
        <v>3238</v>
      </c>
      <c r="D689" s="1" t="s">
        <v>17759</v>
      </c>
      <c r="E689" s="1" t="s">
        <v>17762</v>
      </c>
      <c r="F689" s="1" t="s">
        <v>17764</v>
      </c>
      <c r="G689" s="1"/>
      <c r="H689" s="1"/>
      <c r="I689" s="1"/>
      <c r="J689" s="1"/>
      <c r="K689" s="1" t="s">
        <v>7378</v>
      </c>
    </row>
    <row r="690" ht="14.25" customHeight="1">
      <c r="A690" s="3" t="s">
        <v>6503</v>
      </c>
      <c r="B690" s="1">
        <v>5.2</v>
      </c>
      <c r="C690" s="1" t="s">
        <v>3238</v>
      </c>
      <c r="D690" s="1" t="s">
        <v>17759</v>
      </c>
      <c r="E690" s="1" t="s">
        <v>17762</v>
      </c>
      <c r="F690" s="1" t="s">
        <v>17764</v>
      </c>
      <c r="G690" s="1"/>
      <c r="H690" s="1"/>
      <c r="I690" s="1"/>
      <c r="J690" s="1"/>
      <c r="K690" s="1" t="s">
        <v>10047</v>
      </c>
    </row>
    <row r="691" ht="14.25" customHeight="1">
      <c r="A691" s="3" t="s">
        <v>6687</v>
      </c>
      <c r="B691" s="1">
        <v>7.0</v>
      </c>
      <c r="C691" s="1" t="s">
        <v>1270</v>
      </c>
      <c r="D691" s="1" t="s">
        <v>17765</v>
      </c>
      <c r="E691" s="1" t="s">
        <v>3238</v>
      </c>
      <c r="F691" s="1" t="s">
        <v>17773</v>
      </c>
      <c r="G691" s="1"/>
      <c r="H691" s="1"/>
      <c r="I691" s="1"/>
      <c r="J691" s="1"/>
      <c r="K691" s="1" t="s">
        <v>6686</v>
      </c>
    </row>
    <row r="692" ht="14.25" customHeight="1">
      <c r="A692" s="3" t="s">
        <v>6687</v>
      </c>
      <c r="B692" s="1">
        <v>6.1</v>
      </c>
      <c r="C692" s="1" t="s">
        <v>1270</v>
      </c>
      <c r="D692" s="1" t="s">
        <v>17765</v>
      </c>
      <c r="E692" s="1" t="s">
        <v>3238</v>
      </c>
      <c r="F692" s="1" t="s">
        <v>17773</v>
      </c>
      <c r="G692" s="1"/>
      <c r="H692" s="1"/>
      <c r="I692" s="1"/>
      <c r="J692" s="1"/>
      <c r="K692" s="1" t="s">
        <v>16586</v>
      </c>
    </row>
    <row r="693" ht="14.25" customHeight="1">
      <c r="A693" s="3" t="s">
        <v>9003</v>
      </c>
      <c r="B693" s="1">
        <v>6.6</v>
      </c>
      <c r="C693" s="1" t="s">
        <v>17765</v>
      </c>
      <c r="D693" s="1" t="s">
        <v>1885</v>
      </c>
      <c r="E693" s="1" t="s">
        <v>3238</v>
      </c>
      <c r="F693" s="1" t="s">
        <v>17773</v>
      </c>
      <c r="G693" s="1"/>
      <c r="H693" s="1"/>
      <c r="I693" s="1"/>
      <c r="J693" s="1"/>
      <c r="K693" s="1" t="s">
        <v>9002</v>
      </c>
    </row>
    <row r="694" ht="14.25" customHeight="1">
      <c r="A694" s="3" t="s">
        <v>9003</v>
      </c>
      <c r="B694" s="1">
        <v>5.5</v>
      </c>
      <c r="C694" s="1" t="s">
        <v>17765</v>
      </c>
      <c r="D694" s="1" t="s">
        <v>1885</v>
      </c>
      <c r="E694" s="1" t="s">
        <v>3238</v>
      </c>
      <c r="F694" s="1" t="s">
        <v>17773</v>
      </c>
      <c r="G694" s="1"/>
      <c r="H694" s="1"/>
      <c r="I694" s="1"/>
      <c r="J694" s="1"/>
      <c r="K694" s="1" t="s">
        <v>9002</v>
      </c>
    </row>
    <row r="695" ht="14.25" customHeight="1">
      <c r="A695" s="3" t="s">
        <v>10261</v>
      </c>
      <c r="B695" s="1">
        <v>5.9</v>
      </c>
      <c r="C695" s="1" t="s">
        <v>1270</v>
      </c>
      <c r="D695" s="1" t="s">
        <v>17763</v>
      </c>
      <c r="E695" s="1" t="s">
        <v>3238</v>
      </c>
      <c r="F695" s="1" t="s">
        <v>17773</v>
      </c>
      <c r="G695" s="1"/>
      <c r="H695" s="1"/>
      <c r="I695" s="1"/>
      <c r="J695" s="1"/>
      <c r="K695" s="1" t="s">
        <v>10260</v>
      </c>
    </row>
    <row r="696" ht="14.25" customHeight="1">
      <c r="A696" s="3" t="s">
        <v>7384</v>
      </c>
      <c r="B696" s="1">
        <v>5.4</v>
      </c>
      <c r="C696" s="1" t="s">
        <v>917</v>
      </c>
      <c r="D696" s="1" t="s">
        <v>1885</v>
      </c>
      <c r="E696" s="1" t="s">
        <v>17758</v>
      </c>
      <c r="F696" s="1" t="s">
        <v>17773</v>
      </c>
      <c r="G696" s="1"/>
      <c r="H696" s="1"/>
      <c r="I696" s="1"/>
      <c r="J696" s="1"/>
      <c r="K696" s="1" t="s">
        <v>7383</v>
      </c>
    </row>
    <row r="697" ht="14.25" customHeight="1">
      <c r="A697" s="3" t="s">
        <v>7384</v>
      </c>
      <c r="B697" s="1">
        <v>6.4</v>
      </c>
      <c r="C697" s="1" t="s">
        <v>917</v>
      </c>
      <c r="D697" s="1" t="s">
        <v>1885</v>
      </c>
      <c r="E697" s="1" t="s">
        <v>17758</v>
      </c>
      <c r="F697" s="1" t="s">
        <v>17773</v>
      </c>
      <c r="G697" s="1"/>
      <c r="H697" s="1"/>
      <c r="I697" s="1"/>
      <c r="J697" s="1"/>
      <c r="K697" s="1" t="s">
        <v>12014</v>
      </c>
    </row>
    <row r="698" ht="14.25" customHeight="1">
      <c r="A698" s="3" t="s">
        <v>1867</v>
      </c>
      <c r="B698" s="1">
        <v>5.7</v>
      </c>
      <c r="C698" s="1" t="s">
        <v>17757</v>
      </c>
      <c r="D698" s="1" t="s">
        <v>1885</v>
      </c>
      <c r="E698" s="1" t="s">
        <v>17758</v>
      </c>
      <c r="F698" s="1" t="s">
        <v>17773</v>
      </c>
      <c r="G698" s="1"/>
      <c r="H698" s="1"/>
      <c r="I698" s="1"/>
      <c r="J698" s="1"/>
      <c r="K698" s="1" t="s">
        <v>1866</v>
      </c>
    </row>
    <row r="699" ht="14.25" customHeight="1">
      <c r="A699" s="3" t="s">
        <v>5849</v>
      </c>
      <c r="B699" s="1">
        <v>6.7</v>
      </c>
      <c r="C699" s="1" t="s">
        <v>1270</v>
      </c>
      <c r="D699" s="1" t="s">
        <v>3238</v>
      </c>
      <c r="E699" s="1" t="s">
        <v>17758</v>
      </c>
      <c r="F699" s="1" t="s">
        <v>17773</v>
      </c>
      <c r="G699" s="1"/>
      <c r="H699" s="1"/>
      <c r="I699" s="1"/>
      <c r="J699" s="1"/>
      <c r="K699" s="1" t="s">
        <v>5848</v>
      </c>
    </row>
    <row r="700" ht="14.25" customHeight="1">
      <c r="A700" s="3" t="s">
        <v>5849</v>
      </c>
      <c r="B700" s="1">
        <v>7.1</v>
      </c>
      <c r="C700" s="1" t="s">
        <v>1270</v>
      </c>
      <c r="D700" s="1" t="s">
        <v>3238</v>
      </c>
      <c r="E700" s="1" t="s">
        <v>17758</v>
      </c>
      <c r="F700" s="1" t="s">
        <v>17773</v>
      </c>
      <c r="G700" s="1"/>
      <c r="H700" s="1"/>
      <c r="I700" s="1"/>
      <c r="J700" s="1"/>
      <c r="K700" s="1" t="s">
        <v>5848</v>
      </c>
    </row>
    <row r="701" ht="14.25" customHeight="1">
      <c r="A701" s="3" t="s">
        <v>10766</v>
      </c>
      <c r="B701" s="1">
        <v>6.8</v>
      </c>
      <c r="C701" s="1" t="s">
        <v>17765</v>
      </c>
      <c r="D701" s="1" t="s">
        <v>3238</v>
      </c>
      <c r="E701" s="1" t="s">
        <v>17758</v>
      </c>
      <c r="F701" s="1" t="s">
        <v>17773</v>
      </c>
      <c r="G701" s="1"/>
      <c r="H701" s="1"/>
      <c r="I701" s="1"/>
      <c r="J701" s="1"/>
      <c r="K701" s="1" t="s">
        <v>10765</v>
      </c>
    </row>
    <row r="702" ht="14.25" customHeight="1">
      <c r="A702" s="3" t="s">
        <v>12543</v>
      </c>
      <c r="B702" s="1">
        <v>6.5</v>
      </c>
      <c r="C702" s="1" t="s">
        <v>1885</v>
      </c>
      <c r="D702" s="1" t="s">
        <v>3238</v>
      </c>
      <c r="E702" s="1" t="s">
        <v>17758</v>
      </c>
      <c r="F702" s="1" t="s">
        <v>17773</v>
      </c>
      <c r="G702" s="1"/>
      <c r="H702" s="1"/>
      <c r="I702" s="1"/>
      <c r="J702" s="1"/>
      <c r="K702" s="1" t="s">
        <v>12542</v>
      </c>
    </row>
    <row r="703" ht="14.25" customHeight="1">
      <c r="A703" s="3" t="s">
        <v>12543</v>
      </c>
      <c r="B703" s="1">
        <v>7.6</v>
      </c>
      <c r="C703" s="1" t="s">
        <v>1885</v>
      </c>
      <c r="D703" s="1" t="s">
        <v>3238</v>
      </c>
      <c r="E703" s="1" t="s">
        <v>17758</v>
      </c>
      <c r="F703" s="1" t="s">
        <v>17773</v>
      </c>
      <c r="G703" s="1"/>
      <c r="H703" s="1"/>
      <c r="I703" s="1"/>
      <c r="J703" s="1"/>
      <c r="K703" s="1" t="s">
        <v>13164</v>
      </c>
    </row>
    <row r="704" ht="14.25" customHeight="1">
      <c r="A704" s="3" t="s">
        <v>12543</v>
      </c>
      <c r="B704" s="1">
        <v>5.5</v>
      </c>
      <c r="C704" s="1" t="s">
        <v>1885</v>
      </c>
      <c r="D704" s="1" t="s">
        <v>3238</v>
      </c>
      <c r="E704" s="1" t="s">
        <v>17758</v>
      </c>
      <c r="F704" s="1" t="s">
        <v>17773</v>
      </c>
      <c r="G704" s="1"/>
      <c r="H704" s="1"/>
      <c r="I704" s="1"/>
      <c r="J704" s="1"/>
      <c r="K704" s="1" t="s">
        <v>15881</v>
      </c>
    </row>
    <row r="705" ht="14.25" customHeight="1">
      <c r="A705" s="3" t="s">
        <v>7756</v>
      </c>
      <c r="B705" s="1">
        <v>6.5</v>
      </c>
      <c r="C705" s="1" t="s">
        <v>1885</v>
      </c>
      <c r="D705" s="1" t="s">
        <v>17758</v>
      </c>
      <c r="E705" s="1" t="s">
        <v>17759</v>
      </c>
      <c r="F705" s="1" t="s">
        <v>17773</v>
      </c>
      <c r="G705" s="1"/>
      <c r="H705" s="1"/>
      <c r="I705" s="1"/>
      <c r="J705" s="1"/>
      <c r="K705" s="1" t="s">
        <v>7755</v>
      </c>
    </row>
    <row r="706" ht="14.25" customHeight="1">
      <c r="A706" s="3" t="s">
        <v>4013</v>
      </c>
      <c r="B706" s="1">
        <v>7.0</v>
      </c>
      <c r="C706" s="1" t="s">
        <v>17765</v>
      </c>
      <c r="D706" s="1" t="s">
        <v>3238</v>
      </c>
      <c r="E706" s="1" t="s">
        <v>17772</v>
      </c>
      <c r="F706" s="1" t="s">
        <v>17773</v>
      </c>
      <c r="G706" s="1"/>
      <c r="H706" s="1"/>
      <c r="I706" s="1"/>
      <c r="J706" s="1"/>
      <c r="K706" s="1" t="s">
        <v>4012</v>
      </c>
    </row>
    <row r="707" ht="14.25" customHeight="1">
      <c r="A707" s="3" t="s">
        <v>4013</v>
      </c>
      <c r="B707" s="1">
        <v>5.8</v>
      </c>
      <c r="C707" s="1" t="s">
        <v>17765</v>
      </c>
      <c r="D707" s="1" t="s">
        <v>3238</v>
      </c>
      <c r="E707" s="1" t="s">
        <v>17772</v>
      </c>
      <c r="F707" s="1" t="s">
        <v>17773</v>
      </c>
      <c r="G707" s="1"/>
      <c r="H707" s="1"/>
      <c r="I707" s="1"/>
      <c r="J707" s="1"/>
      <c r="K707" s="1" t="s">
        <v>8244</v>
      </c>
    </row>
    <row r="708" ht="14.25" customHeight="1">
      <c r="A708" s="3" t="s">
        <v>6520</v>
      </c>
      <c r="B708" s="1">
        <v>7.3</v>
      </c>
      <c r="C708" s="1" t="s">
        <v>17765</v>
      </c>
      <c r="D708" s="1" t="s">
        <v>3238</v>
      </c>
      <c r="E708" s="1" t="s">
        <v>17762</v>
      </c>
      <c r="F708" s="1" t="s">
        <v>17773</v>
      </c>
      <c r="G708" s="1"/>
      <c r="H708" s="1"/>
      <c r="I708" s="1"/>
      <c r="J708" s="1"/>
      <c r="K708" s="1" t="s">
        <v>6519</v>
      </c>
    </row>
    <row r="709" ht="14.25" customHeight="1">
      <c r="A709" s="3" t="s">
        <v>6520</v>
      </c>
      <c r="B709" s="1">
        <v>6.6</v>
      </c>
      <c r="C709" s="1" t="s">
        <v>17765</v>
      </c>
      <c r="D709" s="1" t="s">
        <v>3238</v>
      </c>
      <c r="E709" s="1" t="s">
        <v>17762</v>
      </c>
      <c r="F709" s="1" t="s">
        <v>17773</v>
      </c>
      <c r="G709" s="1"/>
      <c r="H709" s="1"/>
      <c r="I709" s="1"/>
      <c r="J709" s="1"/>
      <c r="K709" s="1" t="s">
        <v>14075</v>
      </c>
    </row>
    <row r="710" ht="14.25" customHeight="1">
      <c r="A710" s="3" t="s">
        <v>4241</v>
      </c>
      <c r="B710" s="1">
        <v>4.4</v>
      </c>
      <c r="C710" s="1" t="s">
        <v>1885</v>
      </c>
      <c r="D710" s="1" t="s">
        <v>3238</v>
      </c>
      <c r="E710" s="1" t="s">
        <v>17762</v>
      </c>
      <c r="F710" s="1" t="s">
        <v>17773</v>
      </c>
      <c r="G710" s="1"/>
      <c r="H710" s="1"/>
      <c r="I710" s="1"/>
      <c r="J710" s="1"/>
      <c r="K710" s="1" t="s">
        <v>4240</v>
      </c>
    </row>
    <row r="711" ht="14.25" customHeight="1">
      <c r="A711" s="3" t="s">
        <v>4241</v>
      </c>
      <c r="B711" s="1">
        <v>7.7</v>
      </c>
      <c r="C711" s="1" t="s">
        <v>1885</v>
      </c>
      <c r="D711" s="1" t="s">
        <v>3238</v>
      </c>
      <c r="E711" s="1" t="s">
        <v>17762</v>
      </c>
      <c r="F711" s="1" t="s">
        <v>17773</v>
      </c>
      <c r="G711" s="1"/>
      <c r="H711" s="1"/>
      <c r="I711" s="1"/>
      <c r="J711" s="1"/>
      <c r="K711" s="1" t="s">
        <v>4735</v>
      </c>
    </row>
    <row r="712" ht="14.25" customHeight="1">
      <c r="A712" s="3" t="s">
        <v>4241</v>
      </c>
      <c r="B712" s="1">
        <v>5.0</v>
      </c>
      <c r="C712" s="1" t="s">
        <v>1885</v>
      </c>
      <c r="D712" s="1" t="s">
        <v>3238</v>
      </c>
      <c r="E712" s="1" t="s">
        <v>17762</v>
      </c>
      <c r="F712" s="1" t="s">
        <v>17773</v>
      </c>
      <c r="G712" s="1"/>
      <c r="H712" s="1"/>
      <c r="I712" s="1"/>
      <c r="J712" s="1"/>
      <c r="K712" s="1" t="s">
        <v>5454</v>
      </c>
    </row>
    <row r="713" ht="14.25" customHeight="1">
      <c r="A713" s="3" t="s">
        <v>4241</v>
      </c>
      <c r="B713" s="1">
        <v>7.7</v>
      </c>
      <c r="C713" s="1" t="s">
        <v>1885</v>
      </c>
      <c r="D713" s="1" t="s">
        <v>3238</v>
      </c>
      <c r="E713" s="1" t="s">
        <v>17762</v>
      </c>
      <c r="F713" s="1" t="s">
        <v>17773</v>
      </c>
      <c r="G713" s="1"/>
      <c r="H713" s="1"/>
      <c r="I713" s="1"/>
      <c r="J713" s="1"/>
      <c r="K713" s="1" t="s">
        <v>6203</v>
      </c>
    </row>
    <row r="714" ht="14.25" customHeight="1">
      <c r="A714" s="3" t="s">
        <v>4241</v>
      </c>
      <c r="B714" s="1">
        <v>4.4</v>
      </c>
      <c r="C714" s="1" t="s">
        <v>1885</v>
      </c>
      <c r="D714" s="1" t="s">
        <v>3238</v>
      </c>
      <c r="E714" s="1" t="s">
        <v>17762</v>
      </c>
      <c r="F714" s="1" t="s">
        <v>17773</v>
      </c>
      <c r="G714" s="1"/>
      <c r="H714" s="1"/>
      <c r="I714" s="1"/>
      <c r="J714" s="1"/>
      <c r="K714" s="1" t="s">
        <v>7956</v>
      </c>
    </row>
    <row r="715" ht="14.25" customHeight="1">
      <c r="A715" s="3" t="s">
        <v>4241</v>
      </c>
      <c r="B715" s="1">
        <v>6.1</v>
      </c>
      <c r="C715" s="1" t="s">
        <v>1885</v>
      </c>
      <c r="D715" s="1" t="s">
        <v>3238</v>
      </c>
      <c r="E715" s="1" t="s">
        <v>17762</v>
      </c>
      <c r="F715" s="1" t="s">
        <v>17773</v>
      </c>
      <c r="G715" s="1"/>
      <c r="H715" s="1"/>
      <c r="I715" s="1"/>
      <c r="J715" s="1"/>
      <c r="K715" s="1" t="s">
        <v>9253</v>
      </c>
    </row>
    <row r="716" ht="14.25" customHeight="1">
      <c r="A716" s="3" t="s">
        <v>4241</v>
      </c>
      <c r="B716" s="1">
        <v>5.4</v>
      </c>
      <c r="C716" s="1" t="s">
        <v>1885</v>
      </c>
      <c r="D716" s="1" t="s">
        <v>3238</v>
      </c>
      <c r="E716" s="1" t="s">
        <v>17762</v>
      </c>
      <c r="F716" s="1" t="s">
        <v>17773</v>
      </c>
      <c r="G716" s="1"/>
      <c r="H716" s="1"/>
      <c r="I716" s="1"/>
      <c r="J716" s="1"/>
      <c r="K716" s="1" t="s">
        <v>11077</v>
      </c>
    </row>
    <row r="717" ht="14.25" customHeight="1">
      <c r="A717" s="3" t="s">
        <v>4241</v>
      </c>
      <c r="B717" s="1">
        <v>6.8</v>
      </c>
      <c r="C717" s="1" t="s">
        <v>1885</v>
      </c>
      <c r="D717" s="1" t="s">
        <v>3238</v>
      </c>
      <c r="E717" s="1" t="s">
        <v>17762</v>
      </c>
      <c r="F717" s="1" t="s">
        <v>17773</v>
      </c>
      <c r="G717" s="1"/>
      <c r="H717" s="1"/>
      <c r="I717" s="1"/>
      <c r="J717" s="1"/>
      <c r="K717" s="1" t="s">
        <v>11211</v>
      </c>
    </row>
    <row r="718" ht="14.25" customHeight="1">
      <c r="A718" s="3" t="s">
        <v>4241</v>
      </c>
      <c r="B718" s="1">
        <v>6.5</v>
      </c>
      <c r="C718" s="1" t="s">
        <v>1885</v>
      </c>
      <c r="D718" s="1" t="s">
        <v>3238</v>
      </c>
      <c r="E718" s="1" t="s">
        <v>17762</v>
      </c>
      <c r="F718" s="1" t="s">
        <v>17773</v>
      </c>
      <c r="G718" s="1"/>
      <c r="H718" s="1"/>
      <c r="I718" s="1"/>
      <c r="J718" s="1"/>
      <c r="K718" s="1" t="s">
        <v>11391</v>
      </c>
    </row>
    <row r="719" ht="14.25" customHeight="1">
      <c r="A719" s="3" t="s">
        <v>4241</v>
      </c>
      <c r="B719" s="1">
        <v>7.0</v>
      </c>
      <c r="C719" s="1" t="s">
        <v>1885</v>
      </c>
      <c r="D719" s="1" t="s">
        <v>3238</v>
      </c>
      <c r="E719" s="1" t="s">
        <v>17762</v>
      </c>
      <c r="F719" s="1" t="s">
        <v>17773</v>
      </c>
      <c r="G719" s="1"/>
      <c r="H719" s="1"/>
      <c r="I719" s="1"/>
      <c r="J719" s="1"/>
      <c r="K719" s="1" t="s">
        <v>14189</v>
      </c>
    </row>
    <row r="720" ht="14.25" customHeight="1">
      <c r="A720" s="3" t="s">
        <v>4241</v>
      </c>
      <c r="B720" s="1">
        <v>6.3</v>
      </c>
      <c r="C720" s="1" t="s">
        <v>1885</v>
      </c>
      <c r="D720" s="1" t="s">
        <v>3238</v>
      </c>
      <c r="E720" s="1" t="s">
        <v>17762</v>
      </c>
      <c r="F720" s="1" t="s">
        <v>17773</v>
      </c>
      <c r="G720" s="1"/>
      <c r="H720" s="1"/>
      <c r="I720" s="1"/>
      <c r="J720" s="1"/>
      <c r="K720" s="1" t="s">
        <v>14849</v>
      </c>
    </row>
    <row r="721" ht="14.25" customHeight="1">
      <c r="A721" s="3" t="s">
        <v>4241</v>
      </c>
      <c r="B721" s="1">
        <v>6.3</v>
      </c>
      <c r="C721" s="1" t="s">
        <v>1885</v>
      </c>
      <c r="D721" s="1" t="s">
        <v>3238</v>
      </c>
      <c r="E721" s="1" t="s">
        <v>17762</v>
      </c>
      <c r="F721" s="1" t="s">
        <v>17773</v>
      </c>
      <c r="G721" s="1"/>
      <c r="H721" s="1"/>
      <c r="I721" s="1"/>
      <c r="J721" s="1"/>
      <c r="K721" s="1" t="s">
        <v>16024</v>
      </c>
    </row>
    <row r="722" ht="14.25" customHeight="1">
      <c r="A722" s="3" t="s">
        <v>4241</v>
      </c>
      <c r="B722" s="1">
        <v>6.1</v>
      </c>
      <c r="C722" s="1" t="s">
        <v>1885</v>
      </c>
      <c r="D722" s="1" t="s">
        <v>3238</v>
      </c>
      <c r="E722" s="1" t="s">
        <v>17762</v>
      </c>
      <c r="F722" s="1" t="s">
        <v>17773</v>
      </c>
      <c r="G722" s="1"/>
      <c r="H722" s="1"/>
      <c r="I722" s="1"/>
      <c r="J722" s="1"/>
      <c r="K722" s="1" t="s">
        <v>16916</v>
      </c>
    </row>
    <row r="723" ht="14.25" customHeight="1">
      <c r="A723" s="3" t="s">
        <v>5459</v>
      </c>
      <c r="B723" s="1">
        <v>6.1</v>
      </c>
      <c r="C723" s="1" t="s">
        <v>1885</v>
      </c>
      <c r="D723" s="1" t="s">
        <v>17758</v>
      </c>
      <c r="E723" s="1" t="s">
        <v>17762</v>
      </c>
      <c r="F723" s="1" t="s">
        <v>17773</v>
      </c>
      <c r="G723" s="1"/>
      <c r="H723" s="1"/>
      <c r="I723" s="1"/>
      <c r="J723" s="1"/>
      <c r="K723" s="1" t="s">
        <v>5458</v>
      </c>
    </row>
    <row r="724" ht="14.25" customHeight="1">
      <c r="A724" s="3" t="s">
        <v>1516</v>
      </c>
      <c r="B724" s="1">
        <v>5.3</v>
      </c>
      <c r="C724" s="1" t="s">
        <v>1270</v>
      </c>
      <c r="D724" s="1" t="s">
        <v>3238</v>
      </c>
      <c r="E724" s="1" t="s">
        <v>17764</v>
      </c>
      <c r="F724" s="1" t="s">
        <v>17773</v>
      </c>
      <c r="G724" s="1"/>
      <c r="H724" s="1"/>
      <c r="I724" s="1"/>
      <c r="J724" s="1"/>
      <c r="K724" s="1" t="s">
        <v>1515</v>
      </c>
    </row>
    <row r="725" ht="14.25" customHeight="1">
      <c r="A725" s="3" t="s">
        <v>1041</v>
      </c>
      <c r="B725" s="1">
        <v>5.4</v>
      </c>
      <c r="C725" s="1" t="s">
        <v>1270</v>
      </c>
      <c r="D725" s="1" t="s">
        <v>917</v>
      </c>
      <c r="E725" s="1" t="s">
        <v>1885</v>
      </c>
      <c r="F725" s="1" t="s">
        <v>17471</v>
      </c>
      <c r="G725" s="1"/>
      <c r="H725" s="1"/>
      <c r="I725" s="1"/>
      <c r="J725" s="1"/>
      <c r="K725" s="1" t="s">
        <v>1040</v>
      </c>
    </row>
    <row r="726" ht="14.25" customHeight="1">
      <c r="A726" s="3" t="s">
        <v>1041</v>
      </c>
      <c r="B726" s="1">
        <v>6.2</v>
      </c>
      <c r="C726" s="1" t="s">
        <v>1270</v>
      </c>
      <c r="D726" s="1" t="s">
        <v>917</v>
      </c>
      <c r="E726" s="1" t="s">
        <v>1885</v>
      </c>
      <c r="F726" s="1" t="s">
        <v>17471</v>
      </c>
      <c r="G726" s="1"/>
      <c r="H726" s="1"/>
      <c r="I726" s="1"/>
      <c r="J726" s="1"/>
      <c r="K726" s="1" t="s">
        <v>2312</v>
      </c>
    </row>
    <row r="727" ht="14.25" customHeight="1">
      <c r="A727" s="3" t="s">
        <v>1041</v>
      </c>
      <c r="B727" s="1">
        <v>6.6</v>
      </c>
      <c r="C727" s="1" t="s">
        <v>1270</v>
      </c>
      <c r="D727" s="1" t="s">
        <v>917</v>
      </c>
      <c r="E727" s="1" t="s">
        <v>1885</v>
      </c>
      <c r="F727" s="1" t="s">
        <v>17471</v>
      </c>
      <c r="G727" s="1"/>
      <c r="H727" s="1"/>
      <c r="I727" s="1"/>
      <c r="J727" s="1"/>
      <c r="K727" s="1" t="s">
        <v>3267</v>
      </c>
    </row>
    <row r="728" ht="14.25" customHeight="1">
      <c r="A728" s="3" t="s">
        <v>1041</v>
      </c>
      <c r="B728" s="1">
        <v>5.9</v>
      </c>
      <c r="C728" s="1" t="s">
        <v>1270</v>
      </c>
      <c r="D728" s="1" t="s">
        <v>917</v>
      </c>
      <c r="E728" s="1" t="s">
        <v>1885</v>
      </c>
      <c r="F728" s="1" t="s">
        <v>17471</v>
      </c>
      <c r="G728" s="1"/>
      <c r="H728" s="1"/>
      <c r="I728" s="1"/>
      <c r="J728" s="1"/>
      <c r="K728" s="1" t="s">
        <v>3279</v>
      </c>
    </row>
    <row r="729" ht="14.25" customHeight="1">
      <c r="A729" s="3" t="s">
        <v>1041</v>
      </c>
      <c r="B729" s="1">
        <v>6.3</v>
      </c>
      <c r="C729" s="1" t="s">
        <v>1270</v>
      </c>
      <c r="D729" s="1" t="s">
        <v>917</v>
      </c>
      <c r="E729" s="1" t="s">
        <v>1885</v>
      </c>
      <c r="F729" s="1" t="s">
        <v>17471</v>
      </c>
      <c r="G729" s="1"/>
      <c r="H729" s="1"/>
      <c r="I729" s="1"/>
      <c r="J729" s="1"/>
      <c r="K729" s="1" t="s">
        <v>6994</v>
      </c>
    </row>
    <row r="730" ht="14.25" customHeight="1">
      <c r="A730" s="3" t="s">
        <v>3171</v>
      </c>
      <c r="B730" s="1">
        <v>7.2</v>
      </c>
      <c r="C730" s="1" t="s">
        <v>1270</v>
      </c>
      <c r="D730" s="1" t="s">
        <v>917</v>
      </c>
      <c r="E730" s="1" t="s">
        <v>17763</v>
      </c>
      <c r="F730" s="1" t="s">
        <v>17471</v>
      </c>
      <c r="G730" s="1"/>
      <c r="H730" s="1"/>
      <c r="I730" s="1"/>
      <c r="J730" s="1"/>
      <c r="K730" s="1" t="s">
        <v>3170</v>
      </c>
    </row>
    <row r="731" ht="14.25" customHeight="1">
      <c r="A731" s="3" t="s">
        <v>3171</v>
      </c>
      <c r="B731" s="1">
        <v>6.8</v>
      </c>
      <c r="C731" s="1" t="s">
        <v>1270</v>
      </c>
      <c r="D731" s="1" t="s">
        <v>917</v>
      </c>
      <c r="E731" s="1" t="s">
        <v>17763</v>
      </c>
      <c r="F731" s="1" t="s">
        <v>17471</v>
      </c>
      <c r="G731" s="1"/>
      <c r="H731" s="1"/>
      <c r="I731" s="1"/>
      <c r="J731" s="1"/>
      <c r="K731" s="1" t="s">
        <v>3921</v>
      </c>
    </row>
    <row r="732" ht="14.25" customHeight="1">
      <c r="A732" s="3" t="s">
        <v>3171</v>
      </c>
      <c r="B732" s="1">
        <v>6.1</v>
      </c>
      <c r="C732" s="1" t="s">
        <v>1270</v>
      </c>
      <c r="D732" s="1" t="s">
        <v>917</v>
      </c>
      <c r="E732" s="1" t="s">
        <v>17763</v>
      </c>
      <c r="F732" s="1" t="s">
        <v>17471</v>
      </c>
      <c r="G732" s="1"/>
      <c r="H732" s="1"/>
      <c r="I732" s="1"/>
      <c r="J732" s="1"/>
      <c r="K732" s="1" t="s">
        <v>4086</v>
      </c>
    </row>
    <row r="733" ht="14.25" customHeight="1">
      <c r="A733" s="3" t="s">
        <v>3171</v>
      </c>
      <c r="B733" s="1">
        <v>7.8</v>
      </c>
      <c r="C733" s="1" t="s">
        <v>1270</v>
      </c>
      <c r="D733" s="1" t="s">
        <v>917</v>
      </c>
      <c r="E733" s="1" t="s">
        <v>17763</v>
      </c>
      <c r="F733" s="1" t="s">
        <v>17471</v>
      </c>
      <c r="G733" s="1"/>
      <c r="H733" s="1"/>
      <c r="I733" s="1"/>
      <c r="J733" s="1"/>
      <c r="K733" s="1" t="s">
        <v>4455</v>
      </c>
    </row>
    <row r="734" ht="14.25" customHeight="1">
      <c r="A734" s="3" t="s">
        <v>3171</v>
      </c>
      <c r="B734" s="1">
        <v>5.0</v>
      </c>
      <c r="C734" s="1" t="s">
        <v>1270</v>
      </c>
      <c r="D734" s="1" t="s">
        <v>917</v>
      </c>
      <c r="E734" s="1" t="s">
        <v>17763</v>
      </c>
      <c r="F734" s="1" t="s">
        <v>17471</v>
      </c>
      <c r="G734" s="1"/>
      <c r="H734" s="1"/>
      <c r="I734" s="1"/>
      <c r="J734" s="1"/>
      <c r="K734" s="1" t="s">
        <v>5110</v>
      </c>
    </row>
    <row r="735" ht="14.25" customHeight="1">
      <c r="A735" s="3" t="s">
        <v>3171</v>
      </c>
      <c r="B735" s="1">
        <v>6.2</v>
      </c>
      <c r="C735" s="1" t="s">
        <v>1270</v>
      </c>
      <c r="D735" s="1" t="s">
        <v>917</v>
      </c>
      <c r="E735" s="1" t="s">
        <v>17763</v>
      </c>
      <c r="F735" s="1" t="s">
        <v>17471</v>
      </c>
      <c r="G735" s="1"/>
      <c r="H735" s="1"/>
      <c r="I735" s="1"/>
      <c r="J735" s="1"/>
      <c r="K735" s="1" t="s">
        <v>5483</v>
      </c>
    </row>
    <row r="736" ht="14.25" customHeight="1">
      <c r="A736" s="3" t="s">
        <v>3171</v>
      </c>
      <c r="B736" s="1">
        <v>6.7</v>
      </c>
      <c r="C736" s="1" t="s">
        <v>1270</v>
      </c>
      <c r="D736" s="1" t="s">
        <v>917</v>
      </c>
      <c r="E736" s="1" t="s">
        <v>17763</v>
      </c>
      <c r="F736" s="1" t="s">
        <v>17471</v>
      </c>
      <c r="G736" s="1"/>
      <c r="H736" s="1"/>
      <c r="I736" s="1"/>
      <c r="J736" s="1"/>
      <c r="K736" s="1" t="s">
        <v>6239</v>
      </c>
    </row>
    <row r="737" ht="14.25" customHeight="1">
      <c r="A737" s="3" t="s">
        <v>3171</v>
      </c>
      <c r="B737" s="1">
        <v>4.9</v>
      </c>
      <c r="C737" s="1" t="s">
        <v>1270</v>
      </c>
      <c r="D737" s="1" t="s">
        <v>917</v>
      </c>
      <c r="E737" s="1" t="s">
        <v>17763</v>
      </c>
      <c r="F737" s="1" t="s">
        <v>17471</v>
      </c>
      <c r="G737" s="1"/>
      <c r="H737" s="1"/>
      <c r="I737" s="1"/>
      <c r="J737" s="1"/>
      <c r="K737" s="1" t="s">
        <v>7579</v>
      </c>
    </row>
    <row r="738" ht="14.25" customHeight="1">
      <c r="A738" s="3" t="s">
        <v>408</v>
      </c>
      <c r="B738" s="1">
        <v>7.4</v>
      </c>
      <c r="C738" s="1" t="s">
        <v>1270</v>
      </c>
      <c r="D738" s="1" t="s">
        <v>1885</v>
      </c>
      <c r="E738" s="1" t="s">
        <v>17763</v>
      </c>
      <c r="F738" s="1" t="s">
        <v>17471</v>
      </c>
      <c r="G738" s="1"/>
      <c r="H738" s="1"/>
      <c r="I738" s="1"/>
      <c r="J738" s="1"/>
      <c r="K738" s="1" t="s">
        <v>407</v>
      </c>
    </row>
    <row r="739" ht="14.25" customHeight="1">
      <c r="A739" s="3" t="s">
        <v>408</v>
      </c>
      <c r="B739" s="1">
        <v>6.2</v>
      </c>
      <c r="C739" s="1" t="s">
        <v>1270</v>
      </c>
      <c r="D739" s="1" t="s">
        <v>1885</v>
      </c>
      <c r="E739" s="1" t="s">
        <v>17763</v>
      </c>
      <c r="F739" s="1" t="s">
        <v>17471</v>
      </c>
      <c r="G739" s="1"/>
      <c r="H739" s="1"/>
      <c r="I739" s="1"/>
      <c r="J739" s="1"/>
      <c r="K739" s="1" t="s">
        <v>1143</v>
      </c>
    </row>
    <row r="740" ht="14.25" customHeight="1">
      <c r="A740" s="3" t="s">
        <v>408</v>
      </c>
      <c r="B740" s="1">
        <v>4.9</v>
      </c>
      <c r="C740" s="1" t="s">
        <v>1270</v>
      </c>
      <c r="D740" s="1" t="s">
        <v>1885</v>
      </c>
      <c r="E740" s="1" t="s">
        <v>17763</v>
      </c>
      <c r="F740" s="1" t="s">
        <v>17471</v>
      </c>
      <c r="G740" s="1"/>
      <c r="H740" s="1"/>
      <c r="I740" s="1"/>
      <c r="J740" s="1"/>
      <c r="K740" s="1" t="s">
        <v>2006</v>
      </c>
    </row>
    <row r="741" ht="14.25" customHeight="1">
      <c r="A741" s="3" t="s">
        <v>408</v>
      </c>
      <c r="B741" s="1">
        <v>6.1</v>
      </c>
      <c r="C741" s="1" t="s">
        <v>1270</v>
      </c>
      <c r="D741" s="1" t="s">
        <v>1885</v>
      </c>
      <c r="E741" s="1" t="s">
        <v>17763</v>
      </c>
      <c r="F741" s="1" t="s">
        <v>17471</v>
      </c>
      <c r="G741" s="1"/>
      <c r="H741" s="1"/>
      <c r="I741" s="1"/>
      <c r="J741" s="1"/>
      <c r="K741" s="1" t="s">
        <v>2460</v>
      </c>
    </row>
    <row r="742" ht="14.25" customHeight="1">
      <c r="A742" s="3" t="s">
        <v>408</v>
      </c>
      <c r="B742" s="1">
        <v>6.1</v>
      </c>
      <c r="C742" s="1" t="s">
        <v>1270</v>
      </c>
      <c r="D742" s="1" t="s">
        <v>1885</v>
      </c>
      <c r="E742" s="1" t="s">
        <v>17763</v>
      </c>
      <c r="F742" s="1" t="s">
        <v>17471</v>
      </c>
      <c r="G742" s="1"/>
      <c r="H742" s="1"/>
      <c r="I742" s="1"/>
      <c r="J742" s="1"/>
      <c r="K742" s="1" t="s">
        <v>3000</v>
      </c>
    </row>
    <row r="743" ht="14.25" customHeight="1">
      <c r="A743" s="3" t="s">
        <v>408</v>
      </c>
      <c r="B743" s="1">
        <v>6.4</v>
      </c>
      <c r="C743" s="1" t="s">
        <v>1270</v>
      </c>
      <c r="D743" s="1" t="s">
        <v>1885</v>
      </c>
      <c r="E743" s="1" t="s">
        <v>17763</v>
      </c>
      <c r="F743" s="1" t="s">
        <v>17471</v>
      </c>
      <c r="G743" s="1"/>
      <c r="H743" s="1"/>
      <c r="I743" s="1"/>
      <c r="J743" s="1"/>
      <c r="K743" s="1" t="s">
        <v>3703</v>
      </c>
    </row>
    <row r="744" ht="14.25" customHeight="1">
      <c r="A744" s="3" t="s">
        <v>408</v>
      </c>
      <c r="B744" s="1">
        <v>6.3</v>
      </c>
      <c r="C744" s="1" t="s">
        <v>1270</v>
      </c>
      <c r="D744" s="1" t="s">
        <v>1885</v>
      </c>
      <c r="E744" s="1" t="s">
        <v>17763</v>
      </c>
      <c r="F744" s="1" t="s">
        <v>17471</v>
      </c>
      <c r="G744" s="1"/>
      <c r="H744" s="1"/>
      <c r="I744" s="1"/>
      <c r="J744" s="1"/>
      <c r="K744" s="1" t="s">
        <v>3827</v>
      </c>
    </row>
    <row r="745" ht="14.25" customHeight="1">
      <c r="A745" s="3" t="s">
        <v>408</v>
      </c>
      <c r="B745" s="1">
        <v>6.6</v>
      </c>
      <c r="C745" s="1" t="s">
        <v>1270</v>
      </c>
      <c r="D745" s="1" t="s">
        <v>1885</v>
      </c>
      <c r="E745" s="1" t="s">
        <v>17763</v>
      </c>
      <c r="F745" s="1" t="s">
        <v>17471</v>
      </c>
      <c r="G745" s="1"/>
      <c r="H745" s="1"/>
      <c r="I745" s="1"/>
      <c r="J745" s="1"/>
      <c r="K745" s="1" t="s">
        <v>4407</v>
      </c>
    </row>
    <row r="746" ht="14.25" customHeight="1">
      <c r="A746" s="3" t="s">
        <v>408</v>
      </c>
      <c r="B746" s="1">
        <v>5.7</v>
      </c>
      <c r="C746" s="1" t="s">
        <v>1270</v>
      </c>
      <c r="D746" s="1" t="s">
        <v>1885</v>
      </c>
      <c r="E746" s="1" t="s">
        <v>17763</v>
      </c>
      <c r="F746" s="1" t="s">
        <v>17471</v>
      </c>
      <c r="G746" s="1"/>
      <c r="H746" s="1"/>
      <c r="I746" s="1"/>
      <c r="J746" s="1"/>
      <c r="K746" s="1" t="s">
        <v>4958</v>
      </c>
    </row>
    <row r="747" ht="14.25" customHeight="1">
      <c r="A747" s="3" t="s">
        <v>408</v>
      </c>
      <c r="B747" s="1">
        <v>5.9</v>
      </c>
      <c r="C747" s="1" t="s">
        <v>1270</v>
      </c>
      <c r="D747" s="1" t="s">
        <v>1885</v>
      </c>
      <c r="E747" s="1" t="s">
        <v>17763</v>
      </c>
      <c r="F747" s="1" t="s">
        <v>17471</v>
      </c>
      <c r="G747" s="1"/>
      <c r="H747" s="1"/>
      <c r="I747" s="1"/>
      <c r="J747" s="1"/>
      <c r="K747" s="1" t="s">
        <v>6718</v>
      </c>
    </row>
    <row r="748" ht="14.25" customHeight="1">
      <c r="A748" s="3" t="s">
        <v>408</v>
      </c>
      <c r="B748" s="1">
        <v>6.0</v>
      </c>
      <c r="C748" s="1" t="s">
        <v>1270</v>
      </c>
      <c r="D748" s="1" t="s">
        <v>1885</v>
      </c>
      <c r="E748" s="1" t="s">
        <v>17763</v>
      </c>
      <c r="F748" s="1" t="s">
        <v>17471</v>
      </c>
      <c r="G748" s="1"/>
      <c r="H748" s="1"/>
      <c r="I748" s="1"/>
      <c r="J748" s="1"/>
      <c r="K748" s="1" t="s">
        <v>7849</v>
      </c>
    </row>
    <row r="749" ht="14.25" customHeight="1">
      <c r="A749" s="3" t="s">
        <v>408</v>
      </c>
      <c r="B749" s="1">
        <v>6.1</v>
      </c>
      <c r="C749" s="1" t="s">
        <v>1270</v>
      </c>
      <c r="D749" s="1" t="s">
        <v>1885</v>
      </c>
      <c r="E749" s="1" t="s">
        <v>17763</v>
      </c>
      <c r="F749" s="1" t="s">
        <v>17471</v>
      </c>
      <c r="G749" s="1"/>
      <c r="H749" s="1"/>
      <c r="I749" s="1"/>
      <c r="J749" s="1"/>
      <c r="K749" s="1" t="s">
        <v>8515</v>
      </c>
    </row>
    <row r="750" ht="14.25" customHeight="1">
      <c r="A750" s="3" t="s">
        <v>408</v>
      </c>
      <c r="B750" s="1">
        <v>6.7</v>
      </c>
      <c r="C750" s="1" t="s">
        <v>1270</v>
      </c>
      <c r="D750" s="1" t="s">
        <v>1885</v>
      </c>
      <c r="E750" s="1" t="s">
        <v>17763</v>
      </c>
      <c r="F750" s="1" t="s">
        <v>17471</v>
      </c>
      <c r="G750" s="1"/>
      <c r="H750" s="1"/>
      <c r="I750" s="1"/>
      <c r="J750" s="1"/>
      <c r="K750" s="1" t="s">
        <v>8852</v>
      </c>
    </row>
    <row r="751" ht="14.25" customHeight="1">
      <c r="A751" s="3" t="s">
        <v>408</v>
      </c>
      <c r="B751" s="1">
        <v>6.7</v>
      </c>
      <c r="C751" s="1" t="s">
        <v>1270</v>
      </c>
      <c r="D751" s="1" t="s">
        <v>1885</v>
      </c>
      <c r="E751" s="1" t="s">
        <v>17763</v>
      </c>
      <c r="F751" s="1" t="s">
        <v>17471</v>
      </c>
      <c r="G751" s="1"/>
      <c r="H751" s="1"/>
      <c r="I751" s="1"/>
      <c r="J751" s="1"/>
      <c r="K751" s="1" t="s">
        <v>9321</v>
      </c>
    </row>
    <row r="752" ht="14.25" customHeight="1">
      <c r="A752" s="3" t="s">
        <v>408</v>
      </c>
      <c r="B752" s="1">
        <v>7.9</v>
      </c>
      <c r="C752" s="1" t="s">
        <v>1270</v>
      </c>
      <c r="D752" s="1" t="s">
        <v>1885</v>
      </c>
      <c r="E752" s="1" t="s">
        <v>17763</v>
      </c>
      <c r="F752" s="1" t="s">
        <v>17471</v>
      </c>
      <c r="G752" s="1"/>
      <c r="H752" s="1"/>
      <c r="I752" s="1"/>
      <c r="J752" s="1"/>
      <c r="K752" s="1" t="s">
        <v>9787</v>
      </c>
    </row>
    <row r="753" ht="14.25" customHeight="1">
      <c r="A753" s="3" t="s">
        <v>408</v>
      </c>
      <c r="B753" s="1">
        <v>4.3</v>
      </c>
      <c r="C753" s="1" t="s">
        <v>1270</v>
      </c>
      <c r="D753" s="1" t="s">
        <v>1885</v>
      </c>
      <c r="E753" s="1" t="s">
        <v>17763</v>
      </c>
      <c r="F753" s="1" t="s">
        <v>17471</v>
      </c>
      <c r="G753" s="1"/>
      <c r="H753" s="1"/>
      <c r="I753" s="1"/>
      <c r="J753" s="1"/>
      <c r="K753" s="1" t="s">
        <v>10222</v>
      </c>
    </row>
    <row r="754" ht="14.25" customHeight="1">
      <c r="A754" s="3" t="s">
        <v>408</v>
      </c>
      <c r="B754" s="1">
        <v>5.7</v>
      </c>
      <c r="C754" s="1" t="s">
        <v>1270</v>
      </c>
      <c r="D754" s="1" t="s">
        <v>1885</v>
      </c>
      <c r="E754" s="1" t="s">
        <v>17763</v>
      </c>
      <c r="F754" s="1" t="s">
        <v>17471</v>
      </c>
      <c r="G754" s="1"/>
      <c r="H754" s="1"/>
      <c r="I754" s="1"/>
      <c r="J754" s="1"/>
      <c r="K754" s="1" t="s">
        <v>10369</v>
      </c>
    </row>
    <row r="755" ht="14.25" customHeight="1">
      <c r="A755" s="3" t="s">
        <v>408</v>
      </c>
      <c r="B755" s="1">
        <v>6.7</v>
      </c>
      <c r="C755" s="1" t="s">
        <v>1270</v>
      </c>
      <c r="D755" s="1" t="s">
        <v>1885</v>
      </c>
      <c r="E755" s="1" t="s">
        <v>17763</v>
      </c>
      <c r="F755" s="1" t="s">
        <v>17471</v>
      </c>
      <c r="G755" s="1"/>
      <c r="H755" s="1"/>
      <c r="I755" s="1"/>
      <c r="J755" s="1"/>
      <c r="K755" s="1" t="s">
        <v>12054</v>
      </c>
    </row>
    <row r="756" ht="14.25" customHeight="1">
      <c r="A756" s="3" t="s">
        <v>408</v>
      </c>
      <c r="B756" s="1">
        <v>6.7</v>
      </c>
      <c r="C756" s="1" t="s">
        <v>1270</v>
      </c>
      <c r="D756" s="1" t="s">
        <v>1885</v>
      </c>
      <c r="E756" s="1" t="s">
        <v>17763</v>
      </c>
      <c r="F756" s="1" t="s">
        <v>17471</v>
      </c>
      <c r="G756" s="1"/>
      <c r="H756" s="1"/>
      <c r="I756" s="1"/>
      <c r="J756" s="1"/>
      <c r="K756" s="1" t="s">
        <v>12290</v>
      </c>
    </row>
    <row r="757" ht="14.25" customHeight="1">
      <c r="A757" s="3" t="s">
        <v>408</v>
      </c>
      <c r="B757" s="1">
        <v>8.1</v>
      </c>
      <c r="C757" s="1" t="s">
        <v>1270</v>
      </c>
      <c r="D757" s="1" t="s">
        <v>1885</v>
      </c>
      <c r="E757" s="1" t="s">
        <v>17763</v>
      </c>
      <c r="F757" s="1" t="s">
        <v>17471</v>
      </c>
      <c r="G757" s="1"/>
      <c r="H757" s="1"/>
      <c r="I757" s="1"/>
      <c r="J757" s="1"/>
      <c r="K757" s="1" t="s">
        <v>14054</v>
      </c>
    </row>
    <row r="758" ht="14.25" customHeight="1">
      <c r="A758" s="3" t="s">
        <v>408</v>
      </c>
      <c r="B758" s="1">
        <v>6.1</v>
      </c>
      <c r="C758" s="1" t="s">
        <v>1270</v>
      </c>
      <c r="D758" s="1" t="s">
        <v>1885</v>
      </c>
      <c r="E758" s="1" t="s">
        <v>17763</v>
      </c>
      <c r="F758" s="1" t="s">
        <v>17471</v>
      </c>
      <c r="G758" s="1"/>
      <c r="H758" s="1"/>
      <c r="I758" s="1"/>
      <c r="J758" s="1"/>
      <c r="K758" s="1" t="s">
        <v>14296</v>
      </c>
    </row>
    <row r="759" ht="14.25" customHeight="1">
      <c r="A759" s="3" t="s">
        <v>675</v>
      </c>
      <c r="B759" s="1">
        <v>5.6</v>
      </c>
      <c r="C759" s="1" t="s">
        <v>1270</v>
      </c>
      <c r="D759" s="1" t="s">
        <v>917</v>
      </c>
      <c r="E759" s="1" t="s">
        <v>3238</v>
      </c>
      <c r="F759" s="1" t="s">
        <v>17471</v>
      </c>
      <c r="G759" s="1"/>
      <c r="H759" s="1"/>
      <c r="I759" s="1"/>
      <c r="J759" s="1"/>
      <c r="K759" s="1" t="s">
        <v>674</v>
      </c>
    </row>
    <row r="760" ht="14.25" customHeight="1">
      <c r="A760" s="3" t="s">
        <v>675</v>
      </c>
      <c r="B760" s="1">
        <v>6.6</v>
      </c>
      <c r="C760" s="1" t="s">
        <v>1270</v>
      </c>
      <c r="D760" s="1" t="s">
        <v>917</v>
      </c>
      <c r="E760" s="1" t="s">
        <v>3238</v>
      </c>
      <c r="F760" s="1" t="s">
        <v>17471</v>
      </c>
      <c r="G760" s="1"/>
      <c r="H760" s="1"/>
      <c r="I760" s="1"/>
      <c r="J760" s="1"/>
      <c r="K760" s="1" t="s">
        <v>1289</v>
      </c>
    </row>
    <row r="761" ht="14.25" customHeight="1">
      <c r="A761" s="3" t="s">
        <v>675</v>
      </c>
      <c r="B761" s="1">
        <v>6.9</v>
      </c>
      <c r="C761" s="1" t="s">
        <v>1270</v>
      </c>
      <c r="D761" s="1" t="s">
        <v>917</v>
      </c>
      <c r="E761" s="1" t="s">
        <v>3238</v>
      </c>
      <c r="F761" s="1" t="s">
        <v>17471</v>
      </c>
      <c r="G761" s="1"/>
      <c r="H761" s="1"/>
      <c r="I761" s="1"/>
      <c r="J761" s="1"/>
      <c r="K761" s="1" t="s">
        <v>1442</v>
      </c>
    </row>
    <row r="762" ht="14.25" customHeight="1">
      <c r="A762" s="3" t="s">
        <v>675</v>
      </c>
      <c r="B762" s="1">
        <v>4.8</v>
      </c>
      <c r="C762" s="1" t="s">
        <v>1270</v>
      </c>
      <c r="D762" s="1" t="s">
        <v>917</v>
      </c>
      <c r="E762" s="1" t="s">
        <v>3238</v>
      </c>
      <c r="F762" s="1" t="s">
        <v>17471</v>
      </c>
      <c r="G762" s="1"/>
      <c r="H762" s="1"/>
      <c r="I762" s="1"/>
      <c r="J762" s="1"/>
      <c r="K762" s="1" t="s">
        <v>2217</v>
      </c>
    </row>
    <row r="763" ht="14.25" customHeight="1">
      <c r="A763" s="3" t="s">
        <v>675</v>
      </c>
      <c r="B763" s="1">
        <v>6.2</v>
      </c>
      <c r="C763" s="1" t="s">
        <v>1270</v>
      </c>
      <c r="D763" s="1" t="s">
        <v>917</v>
      </c>
      <c r="E763" s="1" t="s">
        <v>3238</v>
      </c>
      <c r="F763" s="1" t="s">
        <v>17471</v>
      </c>
      <c r="G763" s="1"/>
      <c r="H763" s="1"/>
      <c r="I763" s="1"/>
      <c r="J763" s="1"/>
      <c r="K763" s="1" t="s">
        <v>2238</v>
      </c>
    </row>
    <row r="764" ht="14.25" customHeight="1">
      <c r="A764" s="3" t="s">
        <v>675</v>
      </c>
      <c r="B764" s="1">
        <v>6.0</v>
      </c>
      <c r="C764" s="1" t="s">
        <v>1270</v>
      </c>
      <c r="D764" s="1" t="s">
        <v>917</v>
      </c>
      <c r="E764" s="1" t="s">
        <v>3238</v>
      </c>
      <c r="F764" s="1" t="s">
        <v>17471</v>
      </c>
      <c r="G764" s="1"/>
      <c r="H764" s="1"/>
      <c r="I764" s="1"/>
      <c r="J764" s="1"/>
      <c r="K764" s="1" t="s">
        <v>2535</v>
      </c>
    </row>
    <row r="765" ht="14.25" customHeight="1">
      <c r="A765" s="3" t="s">
        <v>675</v>
      </c>
      <c r="B765" s="1">
        <v>4.9</v>
      </c>
      <c r="C765" s="1" t="s">
        <v>1270</v>
      </c>
      <c r="D765" s="1" t="s">
        <v>917</v>
      </c>
      <c r="E765" s="1" t="s">
        <v>3238</v>
      </c>
      <c r="F765" s="1" t="s">
        <v>17471</v>
      </c>
      <c r="G765" s="1"/>
      <c r="H765" s="1"/>
      <c r="I765" s="1"/>
      <c r="J765" s="1"/>
      <c r="K765" s="1" t="s">
        <v>2681</v>
      </c>
    </row>
    <row r="766" ht="14.25" customHeight="1">
      <c r="A766" s="3" t="s">
        <v>675</v>
      </c>
      <c r="B766" s="1">
        <v>5.6</v>
      </c>
      <c r="C766" s="1" t="s">
        <v>1270</v>
      </c>
      <c r="D766" s="1" t="s">
        <v>917</v>
      </c>
      <c r="E766" s="1" t="s">
        <v>3238</v>
      </c>
      <c r="F766" s="1" t="s">
        <v>17471</v>
      </c>
      <c r="G766" s="1"/>
      <c r="H766" s="1"/>
      <c r="I766" s="1"/>
      <c r="J766" s="1"/>
      <c r="K766" s="1" t="s">
        <v>2909</v>
      </c>
    </row>
    <row r="767" ht="14.25" customHeight="1">
      <c r="A767" s="3" t="s">
        <v>675</v>
      </c>
      <c r="B767" s="1">
        <v>6.1</v>
      </c>
      <c r="C767" s="1" t="s">
        <v>1270</v>
      </c>
      <c r="D767" s="1" t="s">
        <v>917</v>
      </c>
      <c r="E767" s="1" t="s">
        <v>3238</v>
      </c>
      <c r="F767" s="1" t="s">
        <v>17471</v>
      </c>
      <c r="G767" s="1"/>
      <c r="H767" s="1"/>
      <c r="I767" s="1"/>
      <c r="J767" s="1"/>
      <c r="K767" s="1" t="s">
        <v>3016</v>
      </c>
    </row>
    <row r="768" ht="14.25" customHeight="1">
      <c r="A768" s="3" t="s">
        <v>675</v>
      </c>
      <c r="B768" s="1">
        <v>6.1</v>
      </c>
      <c r="C768" s="1" t="s">
        <v>1270</v>
      </c>
      <c r="D768" s="1" t="s">
        <v>917</v>
      </c>
      <c r="E768" s="1" t="s">
        <v>3238</v>
      </c>
      <c r="F768" s="1" t="s">
        <v>17471</v>
      </c>
      <c r="G768" s="1"/>
      <c r="H768" s="1"/>
      <c r="I768" s="1"/>
      <c r="J768" s="1"/>
      <c r="K768" s="1" t="s">
        <v>6072</v>
      </c>
    </row>
    <row r="769" ht="14.25" customHeight="1">
      <c r="A769" s="3" t="s">
        <v>675</v>
      </c>
      <c r="B769" s="1">
        <v>4.8</v>
      </c>
      <c r="C769" s="1" t="s">
        <v>1270</v>
      </c>
      <c r="D769" s="1" t="s">
        <v>917</v>
      </c>
      <c r="E769" s="1" t="s">
        <v>3238</v>
      </c>
      <c r="F769" s="1" t="s">
        <v>17471</v>
      </c>
      <c r="G769" s="1"/>
      <c r="H769" s="1"/>
      <c r="I769" s="1"/>
      <c r="J769" s="1"/>
      <c r="K769" s="1" t="s">
        <v>6406</v>
      </c>
    </row>
    <row r="770" ht="14.25" customHeight="1">
      <c r="A770" s="3" t="s">
        <v>675</v>
      </c>
      <c r="B770" s="1">
        <v>5.5</v>
      </c>
      <c r="C770" s="1" t="s">
        <v>1270</v>
      </c>
      <c r="D770" s="1" t="s">
        <v>917</v>
      </c>
      <c r="E770" s="1" t="s">
        <v>3238</v>
      </c>
      <c r="F770" s="1" t="s">
        <v>17471</v>
      </c>
      <c r="G770" s="1"/>
      <c r="H770" s="1"/>
      <c r="I770" s="1"/>
      <c r="J770" s="1"/>
      <c r="K770" s="1" t="s">
        <v>8815</v>
      </c>
    </row>
    <row r="771" ht="14.25" customHeight="1">
      <c r="A771" s="3" t="s">
        <v>7208</v>
      </c>
      <c r="B771" s="1">
        <v>3.8</v>
      </c>
      <c r="C771" s="1" t="s">
        <v>917</v>
      </c>
      <c r="D771" s="1" t="s">
        <v>17765</v>
      </c>
      <c r="E771" s="1" t="s">
        <v>3238</v>
      </c>
      <c r="F771" s="1" t="s">
        <v>17471</v>
      </c>
      <c r="G771" s="1"/>
      <c r="H771" s="1"/>
      <c r="I771" s="1"/>
      <c r="J771" s="1"/>
      <c r="K771" s="1" t="s">
        <v>7207</v>
      </c>
    </row>
    <row r="772" ht="14.25" customHeight="1">
      <c r="A772" s="3" t="s">
        <v>7208</v>
      </c>
      <c r="B772" s="1">
        <v>6.5</v>
      </c>
      <c r="C772" s="1" t="s">
        <v>917</v>
      </c>
      <c r="D772" s="1" t="s">
        <v>17765</v>
      </c>
      <c r="E772" s="1" t="s">
        <v>3238</v>
      </c>
      <c r="F772" s="1" t="s">
        <v>17471</v>
      </c>
      <c r="G772" s="1"/>
      <c r="H772" s="1"/>
      <c r="I772" s="1"/>
      <c r="J772" s="1"/>
      <c r="K772" s="1" t="s">
        <v>7429</v>
      </c>
    </row>
    <row r="773" ht="14.25" customHeight="1">
      <c r="A773" s="3" t="s">
        <v>7208</v>
      </c>
      <c r="B773" s="1">
        <v>6.7</v>
      </c>
      <c r="C773" s="1" t="s">
        <v>917</v>
      </c>
      <c r="D773" s="1" t="s">
        <v>17765</v>
      </c>
      <c r="E773" s="1" t="s">
        <v>3238</v>
      </c>
      <c r="F773" s="1" t="s">
        <v>17471</v>
      </c>
      <c r="G773" s="1"/>
      <c r="H773" s="1"/>
      <c r="I773" s="1"/>
      <c r="J773" s="1"/>
      <c r="K773" s="1" t="s">
        <v>10800</v>
      </c>
    </row>
    <row r="774" ht="14.25" customHeight="1">
      <c r="A774" s="3" t="s">
        <v>14937</v>
      </c>
      <c r="B774" s="1">
        <v>8.1</v>
      </c>
      <c r="C774" s="1" t="s">
        <v>1270</v>
      </c>
      <c r="D774" s="1" t="s">
        <v>1885</v>
      </c>
      <c r="E774" s="1" t="s">
        <v>3238</v>
      </c>
      <c r="F774" s="1" t="s">
        <v>17471</v>
      </c>
      <c r="G774" s="1"/>
      <c r="H774" s="1"/>
      <c r="I774" s="1"/>
      <c r="J774" s="1"/>
      <c r="K774" s="1" t="s">
        <v>14936</v>
      </c>
    </row>
    <row r="775" ht="14.25" customHeight="1">
      <c r="A775" s="3" t="s">
        <v>449</v>
      </c>
      <c r="B775" s="1">
        <v>4.9</v>
      </c>
      <c r="C775" s="1" t="s">
        <v>1270</v>
      </c>
      <c r="D775" s="1" t="s">
        <v>17763</v>
      </c>
      <c r="E775" s="1" t="s">
        <v>3238</v>
      </c>
      <c r="F775" s="1" t="s">
        <v>17471</v>
      </c>
      <c r="G775" s="1"/>
      <c r="H775" s="1"/>
      <c r="I775" s="1"/>
      <c r="J775" s="1"/>
      <c r="K775" s="1" t="s">
        <v>448</v>
      </c>
    </row>
    <row r="776" ht="14.25" customHeight="1">
      <c r="A776" s="3" t="s">
        <v>449</v>
      </c>
      <c r="B776" s="1">
        <v>7.3</v>
      </c>
      <c r="C776" s="1" t="s">
        <v>1270</v>
      </c>
      <c r="D776" s="1" t="s">
        <v>17763</v>
      </c>
      <c r="E776" s="1" t="s">
        <v>3238</v>
      </c>
      <c r="F776" s="1" t="s">
        <v>17471</v>
      </c>
      <c r="G776" s="1"/>
      <c r="H776" s="1"/>
      <c r="I776" s="1"/>
      <c r="J776" s="1"/>
      <c r="K776" s="1" t="s">
        <v>2182</v>
      </c>
    </row>
    <row r="777" ht="14.25" customHeight="1">
      <c r="A777" s="3" t="s">
        <v>449</v>
      </c>
      <c r="B777" s="1">
        <v>6.4</v>
      </c>
      <c r="C777" s="1" t="s">
        <v>1270</v>
      </c>
      <c r="D777" s="1" t="s">
        <v>17763</v>
      </c>
      <c r="E777" s="1" t="s">
        <v>3238</v>
      </c>
      <c r="F777" s="1" t="s">
        <v>17471</v>
      </c>
      <c r="G777" s="1"/>
      <c r="H777" s="1"/>
      <c r="I777" s="1"/>
      <c r="J777" s="1"/>
      <c r="K777" s="1" t="s">
        <v>3318</v>
      </c>
    </row>
    <row r="778" ht="14.25" customHeight="1">
      <c r="A778" s="3" t="s">
        <v>449</v>
      </c>
      <c r="B778" s="1">
        <v>6.7</v>
      </c>
      <c r="C778" s="1" t="s">
        <v>1270</v>
      </c>
      <c r="D778" s="1" t="s">
        <v>17763</v>
      </c>
      <c r="E778" s="1" t="s">
        <v>3238</v>
      </c>
      <c r="F778" s="1" t="s">
        <v>17471</v>
      </c>
      <c r="G778" s="1"/>
      <c r="H778" s="1"/>
      <c r="I778" s="1"/>
      <c r="J778" s="1"/>
      <c r="K778" s="1" t="s">
        <v>3435</v>
      </c>
    </row>
    <row r="779" ht="14.25" customHeight="1">
      <c r="A779" s="3" t="s">
        <v>449</v>
      </c>
      <c r="B779" s="1">
        <v>3.6</v>
      </c>
      <c r="C779" s="1" t="s">
        <v>1270</v>
      </c>
      <c r="D779" s="1" t="s">
        <v>17763</v>
      </c>
      <c r="E779" s="1" t="s">
        <v>3238</v>
      </c>
      <c r="F779" s="1" t="s">
        <v>17471</v>
      </c>
      <c r="G779" s="1"/>
      <c r="H779" s="1"/>
      <c r="I779" s="1"/>
      <c r="J779" s="1"/>
      <c r="K779" s="1" t="s">
        <v>3669</v>
      </c>
    </row>
    <row r="780" ht="14.25" customHeight="1">
      <c r="A780" s="3" t="s">
        <v>449</v>
      </c>
      <c r="B780" s="1">
        <v>5.7</v>
      </c>
      <c r="C780" s="1" t="s">
        <v>1270</v>
      </c>
      <c r="D780" s="1" t="s">
        <v>17763</v>
      </c>
      <c r="E780" s="1" t="s">
        <v>3238</v>
      </c>
      <c r="F780" s="1" t="s">
        <v>17471</v>
      </c>
      <c r="G780" s="1"/>
      <c r="H780" s="1"/>
      <c r="I780" s="1"/>
      <c r="J780" s="1"/>
      <c r="K780" s="1" t="s">
        <v>3889</v>
      </c>
    </row>
    <row r="781" ht="14.25" customHeight="1">
      <c r="A781" s="3" t="s">
        <v>449</v>
      </c>
      <c r="B781" s="1">
        <v>6.0</v>
      </c>
      <c r="C781" s="1" t="s">
        <v>1270</v>
      </c>
      <c r="D781" s="1" t="s">
        <v>17763</v>
      </c>
      <c r="E781" s="1" t="s">
        <v>3238</v>
      </c>
      <c r="F781" s="1" t="s">
        <v>17471</v>
      </c>
      <c r="G781" s="1"/>
      <c r="H781" s="1"/>
      <c r="I781" s="1"/>
      <c r="J781" s="1"/>
      <c r="K781" s="1" t="s">
        <v>3960</v>
      </c>
    </row>
    <row r="782" ht="14.25" customHeight="1">
      <c r="A782" s="3" t="s">
        <v>449</v>
      </c>
      <c r="B782" s="1">
        <v>4.7</v>
      </c>
      <c r="C782" s="1" t="s">
        <v>1270</v>
      </c>
      <c r="D782" s="1" t="s">
        <v>17763</v>
      </c>
      <c r="E782" s="1" t="s">
        <v>3238</v>
      </c>
      <c r="F782" s="1" t="s">
        <v>17471</v>
      </c>
      <c r="G782" s="1"/>
      <c r="H782" s="1"/>
      <c r="I782" s="1"/>
      <c r="J782" s="1"/>
      <c r="K782" s="1" t="s">
        <v>4001</v>
      </c>
    </row>
    <row r="783" ht="14.25" customHeight="1">
      <c r="A783" s="3" t="s">
        <v>449</v>
      </c>
      <c r="B783" s="1">
        <v>6.3</v>
      </c>
      <c r="C783" s="1" t="s">
        <v>1270</v>
      </c>
      <c r="D783" s="1" t="s">
        <v>17763</v>
      </c>
      <c r="E783" s="1" t="s">
        <v>3238</v>
      </c>
      <c r="F783" s="1" t="s">
        <v>17471</v>
      </c>
      <c r="G783" s="1"/>
      <c r="H783" s="1"/>
      <c r="I783" s="1"/>
      <c r="J783" s="1"/>
      <c r="K783" s="1" t="s">
        <v>4070</v>
      </c>
    </row>
    <row r="784" ht="14.25" customHeight="1">
      <c r="A784" s="3" t="s">
        <v>449</v>
      </c>
      <c r="B784" s="1">
        <v>5.9</v>
      </c>
      <c r="C784" s="1" t="s">
        <v>1270</v>
      </c>
      <c r="D784" s="1" t="s">
        <v>17763</v>
      </c>
      <c r="E784" s="1" t="s">
        <v>3238</v>
      </c>
      <c r="F784" s="1" t="s">
        <v>17471</v>
      </c>
      <c r="G784" s="1"/>
      <c r="H784" s="1"/>
      <c r="I784" s="1"/>
      <c r="J784" s="1"/>
      <c r="K784" s="1" t="s">
        <v>4403</v>
      </c>
    </row>
    <row r="785" ht="14.25" customHeight="1">
      <c r="A785" s="3" t="s">
        <v>449</v>
      </c>
      <c r="B785" s="1">
        <v>5.9</v>
      </c>
      <c r="C785" s="1" t="s">
        <v>1270</v>
      </c>
      <c r="D785" s="1" t="s">
        <v>17763</v>
      </c>
      <c r="E785" s="1" t="s">
        <v>3238</v>
      </c>
      <c r="F785" s="1" t="s">
        <v>17471</v>
      </c>
      <c r="G785" s="1"/>
      <c r="H785" s="1"/>
      <c r="I785" s="1"/>
      <c r="J785" s="1"/>
      <c r="K785" s="1" t="s">
        <v>4476</v>
      </c>
    </row>
    <row r="786" ht="14.25" customHeight="1">
      <c r="A786" s="3" t="s">
        <v>449</v>
      </c>
      <c r="B786" s="1">
        <v>7.5</v>
      </c>
      <c r="C786" s="1" t="s">
        <v>1270</v>
      </c>
      <c r="D786" s="1" t="s">
        <v>17763</v>
      </c>
      <c r="E786" s="1" t="s">
        <v>3238</v>
      </c>
      <c r="F786" s="1" t="s">
        <v>17471</v>
      </c>
      <c r="G786" s="1"/>
      <c r="H786" s="1"/>
      <c r="I786" s="1"/>
      <c r="J786" s="1"/>
      <c r="K786" s="1" t="s">
        <v>4807</v>
      </c>
    </row>
    <row r="787" ht="14.25" customHeight="1">
      <c r="A787" s="3" t="s">
        <v>449</v>
      </c>
      <c r="B787" s="1">
        <v>5.6</v>
      </c>
      <c r="C787" s="1" t="s">
        <v>1270</v>
      </c>
      <c r="D787" s="1" t="s">
        <v>17763</v>
      </c>
      <c r="E787" s="1" t="s">
        <v>3238</v>
      </c>
      <c r="F787" s="1" t="s">
        <v>17471</v>
      </c>
      <c r="G787" s="1"/>
      <c r="H787" s="1"/>
      <c r="I787" s="1"/>
      <c r="J787" s="1"/>
      <c r="K787" s="1" t="s">
        <v>4921</v>
      </c>
    </row>
    <row r="788" ht="14.25" customHeight="1">
      <c r="A788" s="3" t="s">
        <v>449</v>
      </c>
      <c r="B788" s="1">
        <v>6.4</v>
      </c>
      <c r="C788" s="1" t="s">
        <v>1270</v>
      </c>
      <c r="D788" s="1" t="s">
        <v>17763</v>
      </c>
      <c r="E788" s="1" t="s">
        <v>3238</v>
      </c>
      <c r="F788" s="1" t="s">
        <v>17471</v>
      </c>
      <c r="G788" s="1"/>
      <c r="H788" s="1"/>
      <c r="I788" s="1"/>
      <c r="J788" s="1"/>
      <c r="K788" s="1" t="s">
        <v>5101</v>
      </c>
    </row>
    <row r="789" ht="14.25" customHeight="1">
      <c r="A789" s="3" t="s">
        <v>449</v>
      </c>
      <c r="B789" s="1">
        <v>6.3</v>
      </c>
      <c r="C789" s="1" t="s">
        <v>1270</v>
      </c>
      <c r="D789" s="1" t="s">
        <v>17763</v>
      </c>
      <c r="E789" s="1" t="s">
        <v>3238</v>
      </c>
      <c r="F789" s="1" t="s">
        <v>17471</v>
      </c>
      <c r="G789" s="1"/>
      <c r="H789" s="1"/>
      <c r="I789" s="1"/>
      <c r="J789" s="1"/>
      <c r="K789" s="1" t="s">
        <v>5530</v>
      </c>
    </row>
    <row r="790" ht="14.25" customHeight="1">
      <c r="A790" s="3" t="s">
        <v>449</v>
      </c>
      <c r="B790" s="1">
        <v>4.3</v>
      </c>
      <c r="C790" s="1" t="s">
        <v>1270</v>
      </c>
      <c r="D790" s="1" t="s">
        <v>17763</v>
      </c>
      <c r="E790" s="1" t="s">
        <v>3238</v>
      </c>
      <c r="F790" s="1" t="s">
        <v>17471</v>
      </c>
      <c r="G790" s="1"/>
      <c r="H790" s="1"/>
      <c r="I790" s="1"/>
      <c r="J790" s="1"/>
      <c r="K790" s="1" t="s">
        <v>5685</v>
      </c>
    </row>
    <row r="791" ht="14.25" customHeight="1">
      <c r="A791" s="3" t="s">
        <v>449</v>
      </c>
      <c r="B791" s="1">
        <v>5.9</v>
      </c>
      <c r="C791" s="1" t="s">
        <v>1270</v>
      </c>
      <c r="D791" s="1" t="s">
        <v>17763</v>
      </c>
      <c r="E791" s="1" t="s">
        <v>3238</v>
      </c>
      <c r="F791" s="1" t="s">
        <v>17471</v>
      </c>
      <c r="G791" s="1"/>
      <c r="H791" s="1"/>
      <c r="I791" s="1"/>
      <c r="J791" s="1"/>
      <c r="K791" s="1" t="s">
        <v>5778</v>
      </c>
    </row>
    <row r="792" ht="14.25" customHeight="1">
      <c r="A792" s="3" t="s">
        <v>449</v>
      </c>
      <c r="B792" s="1">
        <v>5.5</v>
      </c>
      <c r="C792" s="1" t="s">
        <v>1270</v>
      </c>
      <c r="D792" s="1" t="s">
        <v>17763</v>
      </c>
      <c r="E792" s="1" t="s">
        <v>3238</v>
      </c>
      <c r="F792" s="1" t="s">
        <v>17471</v>
      </c>
      <c r="G792" s="1"/>
      <c r="H792" s="1"/>
      <c r="I792" s="1"/>
      <c r="J792" s="1"/>
      <c r="K792" s="1" t="s">
        <v>6292</v>
      </c>
    </row>
    <row r="793" ht="14.25" customHeight="1">
      <c r="A793" s="3" t="s">
        <v>449</v>
      </c>
      <c r="B793" s="1">
        <v>6.2</v>
      </c>
      <c r="C793" s="1" t="s">
        <v>1270</v>
      </c>
      <c r="D793" s="1" t="s">
        <v>17763</v>
      </c>
      <c r="E793" s="1" t="s">
        <v>3238</v>
      </c>
      <c r="F793" s="1" t="s">
        <v>17471</v>
      </c>
      <c r="G793" s="1"/>
      <c r="H793" s="1"/>
      <c r="I793" s="1"/>
      <c r="J793" s="1"/>
      <c r="K793" s="1" t="s">
        <v>6335</v>
      </c>
    </row>
    <row r="794" ht="14.25" customHeight="1">
      <c r="A794" s="3" t="s">
        <v>449</v>
      </c>
      <c r="B794" s="1">
        <v>8.8</v>
      </c>
      <c r="C794" s="1" t="s">
        <v>1270</v>
      </c>
      <c r="D794" s="1" t="s">
        <v>17763</v>
      </c>
      <c r="E794" s="1" t="s">
        <v>3238</v>
      </c>
      <c r="F794" s="1" t="s">
        <v>17471</v>
      </c>
      <c r="G794" s="1"/>
      <c r="H794" s="1"/>
      <c r="I794" s="1"/>
      <c r="J794" s="1"/>
      <c r="K794" s="1" t="s">
        <v>6751</v>
      </c>
    </row>
    <row r="795" ht="14.25" customHeight="1">
      <c r="A795" s="3" t="s">
        <v>449</v>
      </c>
      <c r="B795" s="1">
        <v>5.2</v>
      </c>
      <c r="C795" s="1" t="s">
        <v>1270</v>
      </c>
      <c r="D795" s="1" t="s">
        <v>17763</v>
      </c>
      <c r="E795" s="1" t="s">
        <v>3238</v>
      </c>
      <c r="F795" s="1" t="s">
        <v>17471</v>
      </c>
      <c r="G795" s="1"/>
      <c r="H795" s="1"/>
      <c r="I795" s="1"/>
      <c r="J795" s="1"/>
      <c r="K795" s="1" t="s">
        <v>7190</v>
      </c>
    </row>
    <row r="796" ht="14.25" customHeight="1">
      <c r="A796" s="3" t="s">
        <v>449</v>
      </c>
      <c r="B796" s="1">
        <v>7.0</v>
      </c>
      <c r="C796" s="1" t="s">
        <v>1270</v>
      </c>
      <c r="D796" s="1" t="s">
        <v>17763</v>
      </c>
      <c r="E796" s="1" t="s">
        <v>3238</v>
      </c>
      <c r="F796" s="1" t="s">
        <v>17471</v>
      </c>
      <c r="G796" s="1"/>
      <c r="H796" s="1"/>
      <c r="I796" s="1"/>
      <c r="J796" s="1"/>
      <c r="K796" s="1" t="s">
        <v>7199</v>
      </c>
    </row>
    <row r="797" ht="14.25" customHeight="1">
      <c r="A797" s="3" t="s">
        <v>449</v>
      </c>
      <c r="B797" s="1">
        <v>6.6</v>
      </c>
      <c r="C797" s="1" t="s">
        <v>1270</v>
      </c>
      <c r="D797" s="1" t="s">
        <v>17763</v>
      </c>
      <c r="E797" s="1" t="s">
        <v>3238</v>
      </c>
      <c r="F797" s="1" t="s">
        <v>17471</v>
      </c>
      <c r="G797" s="1"/>
      <c r="H797" s="1"/>
      <c r="I797" s="1"/>
      <c r="J797" s="1"/>
      <c r="K797" s="1" t="s">
        <v>7270</v>
      </c>
    </row>
    <row r="798" ht="14.25" customHeight="1">
      <c r="A798" s="3" t="s">
        <v>449</v>
      </c>
      <c r="B798" s="1">
        <v>7.3</v>
      </c>
      <c r="C798" s="1" t="s">
        <v>1270</v>
      </c>
      <c r="D798" s="1" t="s">
        <v>17763</v>
      </c>
      <c r="E798" s="1" t="s">
        <v>3238</v>
      </c>
      <c r="F798" s="1" t="s">
        <v>17471</v>
      </c>
      <c r="G798" s="1"/>
      <c r="H798" s="1"/>
      <c r="I798" s="1"/>
      <c r="J798" s="1"/>
      <c r="K798" s="1" t="s">
        <v>7343</v>
      </c>
    </row>
    <row r="799" ht="14.25" customHeight="1">
      <c r="A799" s="3" t="s">
        <v>449</v>
      </c>
      <c r="B799" s="1">
        <v>5.6</v>
      </c>
      <c r="C799" s="1" t="s">
        <v>1270</v>
      </c>
      <c r="D799" s="1" t="s">
        <v>17763</v>
      </c>
      <c r="E799" s="1" t="s">
        <v>3238</v>
      </c>
      <c r="F799" s="1" t="s">
        <v>17471</v>
      </c>
      <c r="G799" s="1"/>
      <c r="H799" s="1"/>
      <c r="I799" s="1"/>
      <c r="J799" s="1"/>
      <c r="K799" s="1" t="s">
        <v>7971</v>
      </c>
    </row>
    <row r="800" ht="14.25" customHeight="1">
      <c r="A800" s="3" t="s">
        <v>449</v>
      </c>
      <c r="B800" s="1">
        <v>6.6</v>
      </c>
      <c r="C800" s="1" t="s">
        <v>1270</v>
      </c>
      <c r="D800" s="1" t="s">
        <v>17763</v>
      </c>
      <c r="E800" s="1" t="s">
        <v>3238</v>
      </c>
      <c r="F800" s="1" t="s">
        <v>17471</v>
      </c>
      <c r="G800" s="1"/>
      <c r="H800" s="1"/>
      <c r="I800" s="1"/>
      <c r="J800" s="1"/>
      <c r="K800" s="1" t="s">
        <v>8093</v>
      </c>
    </row>
    <row r="801" ht="14.25" customHeight="1">
      <c r="A801" s="3" t="s">
        <v>449</v>
      </c>
      <c r="B801" s="1">
        <v>5.4</v>
      </c>
      <c r="C801" s="1" t="s">
        <v>1270</v>
      </c>
      <c r="D801" s="1" t="s">
        <v>17763</v>
      </c>
      <c r="E801" s="1" t="s">
        <v>3238</v>
      </c>
      <c r="F801" s="1" t="s">
        <v>17471</v>
      </c>
      <c r="G801" s="1"/>
      <c r="H801" s="1"/>
      <c r="I801" s="1"/>
      <c r="J801" s="1"/>
      <c r="K801" s="1" t="s">
        <v>8107</v>
      </c>
    </row>
    <row r="802" ht="14.25" customHeight="1">
      <c r="A802" s="3" t="s">
        <v>449</v>
      </c>
      <c r="B802" s="1">
        <v>6.3</v>
      </c>
      <c r="C802" s="1" t="s">
        <v>1270</v>
      </c>
      <c r="D802" s="1" t="s">
        <v>17763</v>
      </c>
      <c r="E802" s="1" t="s">
        <v>3238</v>
      </c>
      <c r="F802" s="1" t="s">
        <v>17471</v>
      </c>
      <c r="G802" s="1"/>
      <c r="H802" s="1"/>
      <c r="I802" s="1"/>
      <c r="J802" s="1"/>
      <c r="K802" s="1" t="s">
        <v>8399</v>
      </c>
    </row>
    <row r="803" ht="14.25" customHeight="1">
      <c r="A803" s="3" t="s">
        <v>449</v>
      </c>
      <c r="B803" s="1">
        <v>7.9</v>
      </c>
      <c r="C803" s="1" t="s">
        <v>1270</v>
      </c>
      <c r="D803" s="1" t="s">
        <v>17763</v>
      </c>
      <c r="E803" s="1" t="s">
        <v>3238</v>
      </c>
      <c r="F803" s="1" t="s">
        <v>17471</v>
      </c>
      <c r="G803" s="1"/>
      <c r="H803" s="1"/>
      <c r="I803" s="1"/>
      <c r="J803" s="1"/>
      <c r="K803" s="1" t="s">
        <v>8848</v>
      </c>
    </row>
    <row r="804" ht="14.25" customHeight="1">
      <c r="A804" s="3" t="s">
        <v>449</v>
      </c>
      <c r="B804" s="1">
        <v>6.3</v>
      </c>
      <c r="C804" s="1" t="s">
        <v>1270</v>
      </c>
      <c r="D804" s="1" t="s">
        <v>17763</v>
      </c>
      <c r="E804" s="1" t="s">
        <v>3238</v>
      </c>
      <c r="F804" s="1" t="s">
        <v>17471</v>
      </c>
      <c r="G804" s="1"/>
      <c r="H804" s="1"/>
      <c r="I804" s="1"/>
      <c r="J804" s="1"/>
      <c r="K804" s="1" t="s">
        <v>8878</v>
      </c>
    </row>
    <row r="805" ht="14.25" customHeight="1">
      <c r="A805" s="3" t="s">
        <v>449</v>
      </c>
      <c r="B805" s="1">
        <v>6.0</v>
      </c>
      <c r="C805" s="1" t="s">
        <v>1270</v>
      </c>
      <c r="D805" s="1" t="s">
        <v>17763</v>
      </c>
      <c r="E805" s="1" t="s">
        <v>3238</v>
      </c>
      <c r="F805" s="1" t="s">
        <v>17471</v>
      </c>
      <c r="G805" s="1"/>
      <c r="H805" s="1"/>
      <c r="I805" s="1"/>
      <c r="J805" s="1"/>
      <c r="K805" s="1" t="s">
        <v>8908</v>
      </c>
    </row>
    <row r="806" ht="14.25" customHeight="1">
      <c r="A806" s="3" t="s">
        <v>449</v>
      </c>
      <c r="B806" s="1">
        <v>7.2</v>
      </c>
      <c r="C806" s="1" t="s">
        <v>1270</v>
      </c>
      <c r="D806" s="1" t="s">
        <v>17763</v>
      </c>
      <c r="E806" s="1" t="s">
        <v>3238</v>
      </c>
      <c r="F806" s="1" t="s">
        <v>17471</v>
      </c>
      <c r="G806" s="1"/>
      <c r="H806" s="1"/>
      <c r="I806" s="1"/>
      <c r="J806" s="1"/>
      <c r="K806" s="1" t="s">
        <v>9179</v>
      </c>
    </row>
    <row r="807" ht="14.25" customHeight="1">
      <c r="A807" s="3" t="s">
        <v>449</v>
      </c>
      <c r="B807" s="1">
        <v>5.1</v>
      </c>
      <c r="C807" s="1" t="s">
        <v>1270</v>
      </c>
      <c r="D807" s="1" t="s">
        <v>17763</v>
      </c>
      <c r="E807" s="1" t="s">
        <v>3238</v>
      </c>
      <c r="F807" s="1" t="s">
        <v>17471</v>
      </c>
      <c r="G807" s="1"/>
      <c r="H807" s="1"/>
      <c r="I807" s="1"/>
      <c r="J807" s="1"/>
      <c r="K807" s="1" t="s">
        <v>9374</v>
      </c>
    </row>
    <row r="808" ht="14.25" customHeight="1">
      <c r="A808" s="3" t="s">
        <v>449</v>
      </c>
      <c r="B808" s="1">
        <v>7.3</v>
      </c>
      <c r="C808" s="1" t="s">
        <v>1270</v>
      </c>
      <c r="D808" s="1" t="s">
        <v>17763</v>
      </c>
      <c r="E808" s="1" t="s">
        <v>3238</v>
      </c>
      <c r="F808" s="1" t="s">
        <v>17471</v>
      </c>
      <c r="G808" s="1"/>
      <c r="H808" s="1"/>
      <c r="I808" s="1"/>
      <c r="J808" s="1"/>
      <c r="K808" s="1" t="s">
        <v>9609</v>
      </c>
    </row>
    <row r="809" ht="14.25" customHeight="1">
      <c r="A809" s="3" t="s">
        <v>449</v>
      </c>
      <c r="B809" s="1">
        <v>8.0</v>
      </c>
      <c r="C809" s="1" t="s">
        <v>1270</v>
      </c>
      <c r="D809" s="1" t="s">
        <v>17763</v>
      </c>
      <c r="E809" s="1" t="s">
        <v>3238</v>
      </c>
      <c r="F809" s="1" t="s">
        <v>17471</v>
      </c>
      <c r="G809" s="1"/>
      <c r="H809" s="1"/>
      <c r="I809" s="1"/>
      <c r="J809" s="1"/>
      <c r="K809" s="1" t="s">
        <v>10055</v>
      </c>
    </row>
    <row r="810" ht="14.25" customHeight="1">
      <c r="A810" s="3" t="s">
        <v>449</v>
      </c>
      <c r="B810" s="1">
        <v>6.2</v>
      </c>
      <c r="C810" s="1" t="s">
        <v>1270</v>
      </c>
      <c r="D810" s="1" t="s">
        <v>17763</v>
      </c>
      <c r="E810" s="1" t="s">
        <v>3238</v>
      </c>
      <c r="F810" s="1" t="s">
        <v>17471</v>
      </c>
      <c r="G810" s="1"/>
      <c r="H810" s="1"/>
      <c r="I810" s="1"/>
      <c r="J810" s="1"/>
      <c r="K810" s="1" t="s">
        <v>10194</v>
      </c>
    </row>
    <row r="811" ht="14.25" customHeight="1">
      <c r="A811" s="3" t="s">
        <v>449</v>
      </c>
      <c r="B811" s="1">
        <v>6.0</v>
      </c>
      <c r="C811" s="1" t="s">
        <v>1270</v>
      </c>
      <c r="D811" s="1" t="s">
        <v>17763</v>
      </c>
      <c r="E811" s="1" t="s">
        <v>3238</v>
      </c>
      <c r="F811" s="1" t="s">
        <v>17471</v>
      </c>
      <c r="G811" s="1"/>
      <c r="H811" s="1"/>
      <c r="I811" s="1"/>
      <c r="J811" s="1"/>
      <c r="K811" s="1" t="s">
        <v>10294</v>
      </c>
    </row>
    <row r="812" ht="14.25" customHeight="1">
      <c r="A812" s="3" t="s">
        <v>449</v>
      </c>
      <c r="B812" s="1">
        <v>6.7</v>
      </c>
      <c r="C812" s="1" t="s">
        <v>1270</v>
      </c>
      <c r="D812" s="1" t="s">
        <v>17763</v>
      </c>
      <c r="E812" s="1" t="s">
        <v>3238</v>
      </c>
      <c r="F812" s="1" t="s">
        <v>17471</v>
      </c>
      <c r="G812" s="1"/>
      <c r="H812" s="1"/>
      <c r="I812" s="1"/>
      <c r="J812" s="1"/>
      <c r="K812" s="1" t="s">
        <v>10415</v>
      </c>
    </row>
    <row r="813" ht="14.25" customHeight="1">
      <c r="A813" s="3" t="s">
        <v>449</v>
      </c>
      <c r="B813" s="1">
        <v>8.1</v>
      </c>
      <c r="C813" s="1" t="s">
        <v>1270</v>
      </c>
      <c r="D813" s="1" t="s">
        <v>17763</v>
      </c>
      <c r="E813" s="1" t="s">
        <v>3238</v>
      </c>
      <c r="F813" s="1" t="s">
        <v>17471</v>
      </c>
      <c r="G813" s="1"/>
      <c r="H813" s="1"/>
      <c r="I813" s="1"/>
      <c r="J813" s="1"/>
      <c r="K813" s="1" t="s">
        <v>10975</v>
      </c>
    </row>
    <row r="814" ht="14.25" customHeight="1">
      <c r="A814" s="3" t="s">
        <v>449</v>
      </c>
      <c r="B814" s="1">
        <v>6.4</v>
      </c>
      <c r="C814" s="1" t="s">
        <v>1270</v>
      </c>
      <c r="D814" s="1" t="s">
        <v>17763</v>
      </c>
      <c r="E814" s="1" t="s">
        <v>3238</v>
      </c>
      <c r="F814" s="1" t="s">
        <v>17471</v>
      </c>
      <c r="G814" s="1"/>
      <c r="H814" s="1"/>
      <c r="I814" s="1"/>
      <c r="J814" s="1"/>
      <c r="K814" s="1" t="s">
        <v>11037</v>
      </c>
    </row>
    <row r="815" ht="14.25" customHeight="1">
      <c r="A815" s="3" t="s">
        <v>449</v>
      </c>
      <c r="B815" s="1">
        <v>8.0</v>
      </c>
      <c r="C815" s="1" t="s">
        <v>1270</v>
      </c>
      <c r="D815" s="1" t="s">
        <v>17763</v>
      </c>
      <c r="E815" s="1" t="s">
        <v>3238</v>
      </c>
      <c r="F815" s="1" t="s">
        <v>17471</v>
      </c>
      <c r="G815" s="1"/>
      <c r="H815" s="1"/>
      <c r="I815" s="1"/>
      <c r="J815" s="1"/>
      <c r="K815" s="1" t="s">
        <v>11122</v>
      </c>
    </row>
    <row r="816" ht="14.25" customHeight="1">
      <c r="A816" s="3" t="s">
        <v>449</v>
      </c>
      <c r="B816" s="1">
        <v>6.3</v>
      </c>
      <c r="C816" s="1" t="s">
        <v>1270</v>
      </c>
      <c r="D816" s="1" t="s">
        <v>17763</v>
      </c>
      <c r="E816" s="1" t="s">
        <v>3238</v>
      </c>
      <c r="F816" s="1" t="s">
        <v>17471</v>
      </c>
      <c r="G816" s="1"/>
      <c r="H816" s="1"/>
      <c r="I816" s="1"/>
      <c r="J816" s="1"/>
      <c r="K816" s="1" t="s">
        <v>11541</v>
      </c>
    </row>
    <row r="817" ht="14.25" customHeight="1">
      <c r="A817" s="3" t="s">
        <v>449</v>
      </c>
      <c r="B817" s="1">
        <v>6.4</v>
      </c>
      <c r="C817" s="1" t="s">
        <v>1270</v>
      </c>
      <c r="D817" s="1" t="s">
        <v>17763</v>
      </c>
      <c r="E817" s="1" t="s">
        <v>3238</v>
      </c>
      <c r="F817" s="1" t="s">
        <v>17471</v>
      </c>
      <c r="G817" s="1"/>
      <c r="H817" s="1"/>
      <c r="I817" s="1"/>
      <c r="J817" s="1"/>
      <c r="K817" s="1" t="s">
        <v>13487</v>
      </c>
    </row>
    <row r="818" ht="14.25" customHeight="1">
      <c r="A818" s="3" t="s">
        <v>449</v>
      </c>
      <c r="B818" s="1">
        <v>6.6</v>
      </c>
      <c r="C818" s="1" t="s">
        <v>1270</v>
      </c>
      <c r="D818" s="1" t="s">
        <v>17763</v>
      </c>
      <c r="E818" s="1" t="s">
        <v>3238</v>
      </c>
      <c r="F818" s="1" t="s">
        <v>17471</v>
      </c>
      <c r="G818" s="1"/>
      <c r="H818" s="1"/>
      <c r="I818" s="1"/>
      <c r="J818" s="1"/>
      <c r="K818" s="1" t="s">
        <v>13771</v>
      </c>
    </row>
    <row r="819" ht="14.25" customHeight="1">
      <c r="A819" s="3" t="s">
        <v>449</v>
      </c>
      <c r="B819" s="1">
        <v>6.4</v>
      </c>
      <c r="C819" s="1" t="s">
        <v>1270</v>
      </c>
      <c r="D819" s="1" t="s">
        <v>17763</v>
      </c>
      <c r="E819" s="1" t="s">
        <v>3238</v>
      </c>
      <c r="F819" s="1" t="s">
        <v>17471</v>
      </c>
      <c r="G819" s="1"/>
      <c r="H819" s="1"/>
      <c r="I819" s="1"/>
      <c r="J819" s="1"/>
      <c r="K819" s="1" t="s">
        <v>14222</v>
      </c>
    </row>
    <row r="820" ht="14.25" customHeight="1">
      <c r="A820" s="3" t="s">
        <v>449</v>
      </c>
      <c r="B820" s="1">
        <v>6.0</v>
      </c>
      <c r="C820" s="1" t="s">
        <v>1270</v>
      </c>
      <c r="D820" s="1" t="s">
        <v>17763</v>
      </c>
      <c r="E820" s="1" t="s">
        <v>3238</v>
      </c>
      <c r="F820" s="1" t="s">
        <v>17471</v>
      </c>
      <c r="G820" s="1"/>
      <c r="H820" s="1"/>
      <c r="I820" s="1"/>
      <c r="J820" s="1"/>
      <c r="K820" s="1" t="s">
        <v>14499</v>
      </c>
    </row>
    <row r="821" ht="14.25" customHeight="1">
      <c r="A821" s="3" t="s">
        <v>449</v>
      </c>
      <c r="B821" s="1">
        <v>6.6</v>
      </c>
      <c r="C821" s="1" t="s">
        <v>1270</v>
      </c>
      <c r="D821" s="1" t="s">
        <v>17763</v>
      </c>
      <c r="E821" s="1" t="s">
        <v>3238</v>
      </c>
      <c r="F821" s="1" t="s">
        <v>17471</v>
      </c>
      <c r="G821" s="1"/>
      <c r="H821" s="1"/>
      <c r="I821" s="1"/>
      <c r="J821" s="1"/>
      <c r="K821" s="1" t="s">
        <v>14843</v>
      </c>
    </row>
    <row r="822" ht="14.25" customHeight="1">
      <c r="A822" s="3" t="s">
        <v>449</v>
      </c>
      <c r="B822" s="1">
        <v>5.9</v>
      </c>
      <c r="C822" s="1" t="s">
        <v>1270</v>
      </c>
      <c r="D822" s="1" t="s">
        <v>17763</v>
      </c>
      <c r="E822" s="1" t="s">
        <v>3238</v>
      </c>
      <c r="F822" s="1" t="s">
        <v>17471</v>
      </c>
      <c r="G822" s="1"/>
      <c r="H822" s="1"/>
      <c r="I822" s="1"/>
      <c r="J822" s="1"/>
      <c r="K822" s="1" t="s">
        <v>16359</v>
      </c>
    </row>
    <row r="823" ht="14.25" customHeight="1">
      <c r="A823" s="3" t="s">
        <v>449</v>
      </c>
      <c r="B823" s="1">
        <v>6.4</v>
      </c>
      <c r="C823" s="1" t="s">
        <v>1270</v>
      </c>
      <c r="D823" s="1" t="s">
        <v>17763</v>
      </c>
      <c r="E823" s="1" t="s">
        <v>3238</v>
      </c>
      <c r="F823" s="1" t="s">
        <v>17471</v>
      </c>
      <c r="G823" s="1"/>
      <c r="H823" s="1"/>
      <c r="I823" s="1"/>
      <c r="J823" s="1"/>
      <c r="K823" s="1" t="s">
        <v>4070</v>
      </c>
    </row>
    <row r="824" ht="14.25" customHeight="1">
      <c r="A824" s="3" t="s">
        <v>449</v>
      </c>
      <c r="B824" s="1">
        <v>6.3</v>
      </c>
      <c r="C824" s="1" t="s">
        <v>1270</v>
      </c>
      <c r="D824" s="1" t="s">
        <v>17763</v>
      </c>
      <c r="E824" s="1" t="s">
        <v>3238</v>
      </c>
      <c r="F824" s="1" t="s">
        <v>17471</v>
      </c>
      <c r="G824" s="1"/>
      <c r="H824" s="1"/>
      <c r="I824" s="1"/>
      <c r="J824" s="1"/>
      <c r="K824" s="1" t="s">
        <v>7190</v>
      </c>
    </row>
    <row r="825" ht="14.25" customHeight="1">
      <c r="A825" s="3" t="s">
        <v>11141</v>
      </c>
      <c r="B825" s="1">
        <v>7.3</v>
      </c>
      <c r="C825" s="1" t="s">
        <v>17765</v>
      </c>
      <c r="D825" s="1" t="s">
        <v>17763</v>
      </c>
      <c r="E825" s="1" t="s">
        <v>3238</v>
      </c>
      <c r="F825" s="1" t="s">
        <v>17471</v>
      </c>
      <c r="G825" s="1"/>
      <c r="H825" s="1"/>
      <c r="I825" s="1"/>
      <c r="J825" s="1"/>
      <c r="K825" s="1" t="s">
        <v>11140</v>
      </c>
    </row>
    <row r="826" ht="14.25" customHeight="1">
      <c r="A826" s="3" t="s">
        <v>11141</v>
      </c>
      <c r="B826" s="1">
        <v>6.8</v>
      </c>
      <c r="C826" s="1" t="s">
        <v>17765</v>
      </c>
      <c r="D826" s="1" t="s">
        <v>17763</v>
      </c>
      <c r="E826" s="1" t="s">
        <v>3238</v>
      </c>
      <c r="F826" s="1" t="s">
        <v>17471</v>
      </c>
      <c r="G826" s="1"/>
      <c r="H826" s="1"/>
      <c r="I826" s="1"/>
      <c r="J826" s="1"/>
      <c r="K826" s="1" t="s">
        <v>15018</v>
      </c>
    </row>
    <row r="827" ht="14.25" customHeight="1">
      <c r="A827" s="3" t="s">
        <v>11141</v>
      </c>
      <c r="B827" s="1">
        <v>7.2</v>
      </c>
      <c r="C827" s="1" t="s">
        <v>17765</v>
      </c>
      <c r="D827" s="1" t="s">
        <v>17763</v>
      </c>
      <c r="E827" s="1" t="s">
        <v>3238</v>
      </c>
      <c r="F827" s="1" t="s">
        <v>17471</v>
      </c>
      <c r="G827" s="1"/>
      <c r="H827" s="1"/>
      <c r="I827" s="1"/>
      <c r="J827" s="1"/>
      <c r="K827" s="1" t="s">
        <v>15264</v>
      </c>
    </row>
    <row r="828" ht="14.25" customHeight="1">
      <c r="A828" s="3" t="s">
        <v>11141</v>
      </c>
      <c r="B828" s="1">
        <v>5.7</v>
      </c>
      <c r="C828" s="1" t="s">
        <v>17765</v>
      </c>
      <c r="D828" s="1" t="s">
        <v>17763</v>
      </c>
      <c r="E828" s="1" t="s">
        <v>3238</v>
      </c>
      <c r="F828" s="1" t="s">
        <v>17471</v>
      </c>
      <c r="G828" s="1"/>
      <c r="H828" s="1"/>
      <c r="I828" s="1"/>
      <c r="J828" s="1"/>
      <c r="K828" s="1" t="s">
        <v>17475</v>
      </c>
    </row>
    <row r="829" ht="14.25" customHeight="1">
      <c r="A829" s="3" t="s">
        <v>5022</v>
      </c>
      <c r="B829" s="1">
        <v>6.0</v>
      </c>
      <c r="C829" s="1" t="s">
        <v>1885</v>
      </c>
      <c r="D829" s="1" t="s">
        <v>17763</v>
      </c>
      <c r="E829" s="1" t="s">
        <v>3238</v>
      </c>
      <c r="F829" s="1" t="s">
        <v>17471</v>
      </c>
      <c r="G829" s="1"/>
      <c r="H829" s="1"/>
      <c r="I829" s="1"/>
      <c r="J829" s="1"/>
      <c r="K829" s="1" t="s">
        <v>5021</v>
      </c>
    </row>
    <row r="830" ht="14.25" customHeight="1">
      <c r="A830" s="3" t="s">
        <v>5022</v>
      </c>
      <c r="B830" s="1">
        <v>6.5</v>
      </c>
      <c r="C830" s="1" t="s">
        <v>1885</v>
      </c>
      <c r="D830" s="1" t="s">
        <v>17763</v>
      </c>
      <c r="E830" s="1" t="s">
        <v>3238</v>
      </c>
      <c r="F830" s="1" t="s">
        <v>17471</v>
      </c>
      <c r="G830" s="1"/>
      <c r="H830" s="1"/>
      <c r="I830" s="1"/>
      <c r="J830" s="1"/>
      <c r="K830" s="1" t="s">
        <v>5168</v>
      </c>
    </row>
    <row r="831" ht="14.25" customHeight="1">
      <c r="A831" s="3" t="s">
        <v>5022</v>
      </c>
      <c r="B831" s="1">
        <v>5.8</v>
      </c>
      <c r="C831" s="1" t="s">
        <v>1885</v>
      </c>
      <c r="D831" s="1" t="s">
        <v>17763</v>
      </c>
      <c r="E831" s="1" t="s">
        <v>3238</v>
      </c>
      <c r="F831" s="1" t="s">
        <v>17471</v>
      </c>
      <c r="G831" s="1"/>
      <c r="H831" s="1"/>
      <c r="I831" s="1"/>
      <c r="J831" s="1"/>
      <c r="K831" s="1" t="s">
        <v>6466</v>
      </c>
    </row>
    <row r="832" ht="14.25" customHeight="1">
      <c r="A832" s="3" t="s">
        <v>5022</v>
      </c>
      <c r="B832" s="1">
        <v>5.8</v>
      </c>
      <c r="C832" s="1" t="s">
        <v>1885</v>
      </c>
      <c r="D832" s="1" t="s">
        <v>17763</v>
      </c>
      <c r="E832" s="1" t="s">
        <v>3238</v>
      </c>
      <c r="F832" s="1" t="s">
        <v>17471</v>
      </c>
      <c r="G832" s="1"/>
      <c r="H832" s="1"/>
      <c r="I832" s="1"/>
      <c r="J832" s="1"/>
      <c r="K832" s="1" t="s">
        <v>9560</v>
      </c>
    </row>
    <row r="833" ht="14.25" customHeight="1">
      <c r="A833" s="3" t="s">
        <v>5022</v>
      </c>
      <c r="B833" s="1">
        <v>6.7</v>
      </c>
      <c r="C833" s="1" t="s">
        <v>1885</v>
      </c>
      <c r="D833" s="1" t="s">
        <v>17763</v>
      </c>
      <c r="E833" s="1" t="s">
        <v>3238</v>
      </c>
      <c r="F833" s="1" t="s">
        <v>17471</v>
      </c>
      <c r="G833" s="1"/>
      <c r="H833" s="1"/>
      <c r="I833" s="1"/>
      <c r="J833" s="1"/>
      <c r="K833" s="1" t="s">
        <v>13361</v>
      </c>
    </row>
    <row r="834" ht="14.25" customHeight="1">
      <c r="A834" s="3" t="s">
        <v>5022</v>
      </c>
      <c r="B834" s="1">
        <v>7.8</v>
      </c>
      <c r="C834" s="1" t="s">
        <v>1885</v>
      </c>
      <c r="D834" s="1" t="s">
        <v>17763</v>
      </c>
      <c r="E834" s="1" t="s">
        <v>3238</v>
      </c>
      <c r="F834" s="1" t="s">
        <v>17471</v>
      </c>
      <c r="G834" s="1"/>
      <c r="H834" s="1"/>
      <c r="I834" s="1"/>
      <c r="J834" s="1"/>
      <c r="K834" s="1" t="s">
        <v>14790</v>
      </c>
    </row>
    <row r="835" ht="14.25" customHeight="1">
      <c r="A835" s="3" t="s">
        <v>5022</v>
      </c>
      <c r="B835" s="1">
        <v>5.6</v>
      </c>
      <c r="C835" s="1" t="s">
        <v>1885</v>
      </c>
      <c r="D835" s="1" t="s">
        <v>17763</v>
      </c>
      <c r="E835" s="1" t="s">
        <v>3238</v>
      </c>
      <c r="F835" s="1" t="s">
        <v>17471</v>
      </c>
      <c r="G835" s="1"/>
      <c r="H835" s="1"/>
      <c r="I835" s="1"/>
      <c r="J835" s="1"/>
      <c r="K835" s="1" t="s">
        <v>15209</v>
      </c>
    </row>
    <row r="836" ht="14.25" customHeight="1">
      <c r="A836" s="3" t="s">
        <v>6457</v>
      </c>
      <c r="B836" s="1">
        <v>5.8</v>
      </c>
      <c r="C836" s="1" t="s">
        <v>1270</v>
      </c>
      <c r="D836" s="1" t="s">
        <v>917</v>
      </c>
      <c r="E836" s="1" t="s">
        <v>17758</v>
      </c>
      <c r="F836" s="1" t="s">
        <v>17471</v>
      </c>
      <c r="G836" s="1"/>
      <c r="H836" s="1"/>
      <c r="I836" s="1"/>
      <c r="J836" s="1"/>
      <c r="K836" s="1" t="s">
        <v>6456</v>
      </c>
    </row>
    <row r="837" ht="14.25" customHeight="1">
      <c r="A837" s="3" t="s">
        <v>1185</v>
      </c>
      <c r="B837" s="1">
        <v>7.4</v>
      </c>
      <c r="C837" s="1" t="s">
        <v>917</v>
      </c>
      <c r="D837" s="1" t="s">
        <v>17757</v>
      </c>
      <c r="E837" s="1" t="s">
        <v>17758</v>
      </c>
      <c r="F837" s="1" t="s">
        <v>17471</v>
      </c>
      <c r="G837" s="1"/>
      <c r="H837" s="1"/>
      <c r="I837" s="1"/>
      <c r="J837" s="1"/>
      <c r="K837" s="1" t="s">
        <v>1184</v>
      </c>
    </row>
    <row r="838" ht="14.25" customHeight="1">
      <c r="A838" s="3" t="s">
        <v>1849</v>
      </c>
      <c r="B838" s="1">
        <v>6.9</v>
      </c>
      <c r="C838" s="1" t="s">
        <v>1270</v>
      </c>
      <c r="D838" s="1" t="s">
        <v>917</v>
      </c>
      <c r="E838" s="1" t="s">
        <v>17759</v>
      </c>
      <c r="F838" s="1" t="s">
        <v>17471</v>
      </c>
      <c r="G838" s="1"/>
      <c r="H838" s="1"/>
      <c r="I838" s="1"/>
      <c r="J838" s="1"/>
      <c r="K838" s="1" t="s">
        <v>1848</v>
      </c>
    </row>
    <row r="839" ht="14.25" customHeight="1">
      <c r="A839" s="3" t="s">
        <v>1849</v>
      </c>
      <c r="B839" s="1">
        <v>5.5</v>
      </c>
      <c r="C839" s="1" t="s">
        <v>1270</v>
      </c>
      <c r="D839" s="1" t="s">
        <v>917</v>
      </c>
      <c r="E839" s="1" t="s">
        <v>17759</v>
      </c>
      <c r="F839" s="1" t="s">
        <v>17471</v>
      </c>
      <c r="G839" s="1"/>
      <c r="H839" s="1"/>
      <c r="I839" s="1"/>
      <c r="J839" s="1"/>
      <c r="K839" s="1" t="s">
        <v>1941</v>
      </c>
    </row>
    <row r="840" ht="14.25" customHeight="1">
      <c r="A840" s="3" t="s">
        <v>1849</v>
      </c>
      <c r="B840" s="1">
        <v>6.3</v>
      </c>
      <c r="C840" s="1" t="s">
        <v>1270</v>
      </c>
      <c r="D840" s="1" t="s">
        <v>917</v>
      </c>
      <c r="E840" s="1" t="s">
        <v>17759</v>
      </c>
      <c r="F840" s="1" t="s">
        <v>17471</v>
      </c>
      <c r="G840" s="1"/>
      <c r="H840" s="1"/>
      <c r="I840" s="1"/>
      <c r="J840" s="1"/>
      <c r="K840" s="1" t="s">
        <v>3843</v>
      </c>
    </row>
    <row r="841" ht="14.25" customHeight="1">
      <c r="A841" s="3" t="s">
        <v>1849</v>
      </c>
      <c r="B841" s="1">
        <v>4.7</v>
      </c>
      <c r="C841" s="1" t="s">
        <v>1270</v>
      </c>
      <c r="D841" s="1" t="s">
        <v>917</v>
      </c>
      <c r="E841" s="1" t="s">
        <v>17759</v>
      </c>
      <c r="F841" s="1" t="s">
        <v>17471</v>
      </c>
      <c r="G841" s="1"/>
      <c r="H841" s="1"/>
      <c r="I841" s="1"/>
      <c r="J841" s="1"/>
      <c r="K841" s="1" t="s">
        <v>4183</v>
      </c>
    </row>
    <row r="842" ht="14.25" customHeight="1">
      <c r="A842" s="3" t="s">
        <v>1849</v>
      </c>
      <c r="B842" s="1">
        <v>5.6</v>
      </c>
      <c r="C842" s="1" t="s">
        <v>1270</v>
      </c>
      <c r="D842" s="1" t="s">
        <v>917</v>
      </c>
      <c r="E842" s="1" t="s">
        <v>17759</v>
      </c>
      <c r="F842" s="1" t="s">
        <v>17471</v>
      </c>
      <c r="G842" s="1"/>
      <c r="H842" s="1"/>
      <c r="I842" s="1"/>
      <c r="J842" s="1"/>
      <c r="K842" s="1" t="s">
        <v>6399</v>
      </c>
    </row>
    <row r="843" ht="14.25" customHeight="1">
      <c r="A843" s="3" t="s">
        <v>2856</v>
      </c>
      <c r="B843" s="1">
        <v>6.4</v>
      </c>
      <c r="C843" s="1" t="s">
        <v>1270</v>
      </c>
      <c r="D843" s="1" t="s">
        <v>17763</v>
      </c>
      <c r="E843" s="1" t="s">
        <v>17759</v>
      </c>
      <c r="F843" s="1" t="s">
        <v>17471</v>
      </c>
      <c r="G843" s="1"/>
      <c r="H843" s="1"/>
      <c r="I843" s="1"/>
      <c r="J843" s="1"/>
      <c r="K843" s="1" t="s">
        <v>2855</v>
      </c>
    </row>
    <row r="844" ht="14.25" customHeight="1">
      <c r="A844" s="3" t="s">
        <v>2856</v>
      </c>
      <c r="B844" s="1">
        <v>4.2</v>
      </c>
      <c r="C844" s="1" t="s">
        <v>1270</v>
      </c>
      <c r="D844" s="1" t="s">
        <v>17763</v>
      </c>
      <c r="E844" s="1" t="s">
        <v>17759</v>
      </c>
      <c r="F844" s="1" t="s">
        <v>17471</v>
      </c>
      <c r="G844" s="1"/>
      <c r="H844" s="1"/>
      <c r="I844" s="1"/>
      <c r="J844" s="1"/>
      <c r="K844" s="1" t="s">
        <v>3624</v>
      </c>
    </row>
    <row r="845" ht="14.25" customHeight="1">
      <c r="A845" s="3" t="s">
        <v>2856</v>
      </c>
      <c r="B845" s="1">
        <v>6.4</v>
      </c>
      <c r="C845" s="1" t="s">
        <v>1270</v>
      </c>
      <c r="D845" s="1" t="s">
        <v>17763</v>
      </c>
      <c r="E845" s="1" t="s">
        <v>17759</v>
      </c>
      <c r="F845" s="1" t="s">
        <v>17471</v>
      </c>
      <c r="G845" s="1"/>
      <c r="H845" s="1"/>
      <c r="I845" s="1"/>
      <c r="J845" s="1"/>
      <c r="K845" s="1" t="s">
        <v>4171</v>
      </c>
    </row>
    <row r="846" ht="14.25" customHeight="1">
      <c r="A846" s="3" t="s">
        <v>5629</v>
      </c>
      <c r="B846" s="1">
        <v>7.7</v>
      </c>
      <c r="C846" s="1" t="s">
        <v>17765</v>
      </c>
      <c r="D846" s="1" t="s">
        <v>3238</v>
      </c>
      <c r="E846" s="1" t="s">
        <v>17772</v>
      </c>
      <c r="F846" s="1" t="s">
        <v>17471</v>
      </c>
      <c r="G846" s="1"/>
      <c r="H846" s="1"/>
      <c r="I846" s="1"/>
      <c r="J846" s="1"/>
      <c r="K846" s="1" t="s">
        <v>5628</v>
      </c>
    </row>
    <row r="847" ht="14.25" customHeight="1">
      <c r="A847" s="3" t="s">
        <v>5629</v>
      </c>
      <c r="B847" s="1">
        <v>6.7</v>
      </c>
      <c r="C847" s="1" t="s">
        <v>17765</v>
      </c>
      <c r="D847" s="1" t="s">
        <v>3238</v>
      </c>
      <c r="E847" s="1" t="s">
        <v>17772</v>
      </c>
      <c r="F847" s="1" t="s">
        <v>17471</v>
      </c>
      <c r="G847" s="1"/>
      <c r="H847" s="1"/>
      <c r="I847" s="1"/>
      <c r="J847" s="1"/>
      <c r="K847" s="1" t="s">
        <v>14709</v>
      </c>
    </row>
    <row r="848" ht="14.25" customHeight="1">
      <c r="A848" s="3" t="s">
        <v>5423</v>
      </c>
      <c r="B848" s="1">
        <v>7.7</v>
      </c>
      <c r="C848" s="1" t="s">
        <v>1270</v>
      </c>
      <c r="D848" s="1" t="s">
        <v>917</v>
      </c>
      <c r="E848" s="1" t="s">
        <v>6019</v>
      </c>
      <c r="F848" s="1" t="s">
        <v>17471</v>
      </c>
      <c r="G848" s="1"/>
      <c r="H848" s="1"/>
      <c r="I848" s="1"/>
      <c r="J848" s="1"/>
      <c r="K848" s="1" t="s">
        <v>5422</v>
      </c>
    </row>
    <row r="849" ht="14.25" customHeight="1">
      <c r="A849" s="3" t="s">
        <v>5423</v>
      </c>
      <c r="B849" s="1">
        <v>5.7</v>
      </c>
      <c r="C849" s="1" t="s">
        <v>1270</v>
      </c>
      <c r="D849" s="1" t="s">
        <v>917</v>
      </c>
      <c r="E849" s="1" t="s">
        <v>6019</v>
      </c>
      <c r="F849" s="1" t="s">
        <v>17471</v>
      </c>
      <c r="G849" s="1"/>
      <c r="H849" s="1"/>
      <c r="I849" s="1"/>
      <c r="J849" s="1"/>
      <c r="K849" s="1" t="s">
        <v>8928</v>
      </c>
    </row>
    <row r="850" ht="14.25" customHeight="1">
      <c r="A850" s="3" t="s">
        <v>16793</v>
      </c>
      <c r="B850" s="1">
        <v>7.6</v>
      </c>
      <c r="C850" s="1" t="s">
        <v>1270</v>
      </c>
      <c r="D850" s="1" t="s">
        <v>3238</v>
      </c>
      <c r="E850" s="1" t="s">
        <v>6019</v>
      </c>
      <c r="F850" s="1" t="s">
        <v>17471</v>
      </c>
      <c r="G850" s="1"/>
      <c r="H850" s="1"/>
      <c r="I850" s="1"/>
      <c r="J850" s="1"/>
      <c r="K850" s="1" t="s">
        <v>16792</v>
      </c>
    </row>
    <row r="851" ht="14.25" customHeight="1">
      <c r="A851" s="3" t="s">
        <v>4460</v>
      </c>
      <c r="B851" s="1">
        <v>6.4</v>
      </c>
      <c r="C851" s="1" t="s">
        <v>917</v>
      </c>
      <c r="D851" s="1" t="s">
        <v>3238</v>
      </c>
      <c r="E851" s="1" t="s">
        <v>6019</v>
      </c>
      <c r="F851" s="1" t="s">
        <v>17471</v>
      </c>
      <c r="G851" s="1"/>
      <c r="H851" s="1"/>
      <c r="I851" s="1"/>
      <c r="J851" s="1"/>
      <c r="K851" s="1" t="s">
        <v>4459</v>
      </c>
    </row>
    <row r="852" ht="14.25" customHeight="1">
      <c r="A852" s="3" t="s">
        <v>6249</v>
      </c>
      <c r="B852" s="1">
        <v>5.6</v>
      </c>
      <c r="C852" s="1" t="s">
        <v>17763</v>
      </c>
      <c r="D852" s="1" t="s">
        <v>3238</v>
      </c>
      <c r="E852" s="1" t="s">
        <v>6019</v>
      </c>
      <c r="F852" s="1" t="s">
        <v>17471</v>
      </c>
      <c r="G852" s="1"/>
      <c r="H852" s="1"/>
      <c r="I852" s="1"/>
      <c r="J852" s="1"/>
      <c r="K852" s="1" t="s">
        <v>6248</v>
      </c>
    </row>
    <row r="853" ht="14.25" customHeight="1">
      <c r="A853" s="3" t="s">
        <v>6249</v>
      </c>
      <c r="B853" s="1">
        <v>6.8</v>
      </c>
      <c r="C853" s="1" t="s">
        <v>17763</v>
      </c>
      <c r="D853" s="1" t="s">
        <v>3238</v>
      </c>
      <c r="E853" s="1" t="s">
        <v>6019</v>
      </c>
      <c r="F853" s="1" t="s">
        <v>17471</v>
      </c>
      <c r="G853" s="1"/>
      <c r="H853" s="1"/>
      <c r="I853" s="1"/>
      <c r="J853" s="1"/>
      <c r="K853" s="1" t="s">
        <v>9795</v>
      </c>
    </row>
    <row r="854" ht="14.25" customHeight="1">
      <c r="A854" s="3" t="s">
        <v>6249</v>
      </c>
      <c r="B854" s="1">
        <v>2.4</v>
      </c>
      <c r="C854" s="1" t="s">
        <v>17763</v>
      </c>
      <c r="D854" s="1" t="s">
        <v>3238</v>
      </c>
      <c r="E854" s="1" t="s">
        <v>6019</v>
      </c>
      <c r="F854" s="1" t="s">
        <v>17471</v>
      </c>
      <c r="G854" s="1"/>
      <c r="H854" s="1"/>
      <c r="I854" s="1"/>
      <c r="J854" s="1"/>
      <c r="K854" s="1" t="s">
        <v>11912</v>
      </c>
    </row>
    <row r="855" ht="14.25" customHeight="1">
      <c r="A855" s="3" t="s">
        <v>6249</v>
      </c>
      <c r="B855" s="1">
        <v>6.2</v>
      </c>
      <c r="C855" s="1" t="s">
        <v>17763</v>
      </c>
      <c r="D855" s="1" t="s">
        <v>3238</v>
      </c>
      <c r="E855" s="1" t="s">
        <v>6019</v>
      </c>
      <c r="F855" s="1" t="s">
        <v>17471</v>
      </c>
      <c r="G855" s="1"/>
      <c r="H855" s="1"/>
      <c r="I855" s="1"/>
      <c r="J855" s="1"/>
      <c r="K855" s="1" t="s">
        <v>15600</v>
      </c>
    </row>
    <row r="856" ht="14.25" customHeight="1">
      <c r="A856" s="3" t="s">
        <v>6249</v>
      </c>
      <c r="B856" s="1">
        <v>5.9</v>
      </c>
      <c r="C856" s="1" t="s">
        <v>17763</v>
      </c>
      <c r="D856" s="1" t="s">
        <v>3238</v>
      </c>
      <c r="E856" s="1" t="s">
        <v>6019</v>
      </c>
      <c r="F856" s="1" t="s">
        <v>17471</v>
      </c>
      <c r="G856" s="1"/>
      <c r="H856" s="1"/>
      <c r="I856" s="1"/>
      <c r="J856" s="1"/>
      <c r="K856" s="1" t="s">
        <v>17146</v>
      </c>
    </row>
    <row r="857" ht="14.25" customHeight="1">
      <c r="A857" s="3" t="s">
        <v>8311</v>
      </c>
      <c r="B857" s="1">
        <v>7.1</v>
      </c>
      <c r="C857" s="1" t="s">
        <v>1270</v>
      </c>
      <c r="D857" s="1" t="s">
        <v>17759</v>
      </c>
      <c r="E857" s="1" t="s">
        <v>6019</v>
      </c>
      <c r="F857" s="1" t="s">
        <v>17471</v>
      </c>
      <c r="G857" s="1"/>
      <c r="H857" s="1"/>
      <c r="I857" s="1"/>
      <c r="J857" s="1"/>
      <c r="K857" s="1" t="s">
        <v>8310</v>
      </c>
    </row>
    <row r="858" ht="14.25" customHeight="1">
      <c r="A858" s="3" t="s">
        <v>8311</v>
      </c>
      <c r="B858" s="1">
        <v>7.6</v>
      </c>
      <c r="C858" s="1" t="s">
        <v>1270</v>
      </c>
      <c r="D858" s="1" t="s">
        <v>17759</v>
      </c>
      <c r="E858" s="1" t="s">
        <v>6019</v>
      </c>
      <c r="F858" s="1" t="s">
        <v>17471</v>
      </c>
      <c r="G858" s="1"/>
      <c r="H858" s="1"/>
      <c r="I858" s="1"/>
      <c r="J858" s="1"/>
      <c r="K858" s="1" t="s">
        <v>10099</v>
      </c>
    </row>
    <row r="859" ht="14.25" customHeight="1">
      <c r="A859" s="3" t="s">
        <v>8311</v>
      </c>
      <c r="B859" s="1">
        <v>5.5</v>
      </c>
      <c r="C859" s="1" t="s">
        <v>1270</v>
      </c>
      <c r="D859" s="1" t="s">
        <v>17759</v>
      </c>
      <c r="E859" s="1" t="s">
        <v>6019</v>
      </c>
      <c r="F859" s="1" t="s">
        <v>17471</v>
      </c>
      <c r="G859" s="1"/>
      <c r="H859" s="1"/>
      <c r="I859" s="1"/>
      <c r="J859" s="1"/>
      <c r="K859" s="1" t="s">
        <v>12716</v>
      </c>
    </row>
    <row r="860" ht="14.25" customHeight="1">
      <c r="A860" s="3" t="s">
        <v>8311</v>
      </c>
      <c r="B860" s="1">
        <v>7.0</v>
      </c>
      <c r="C860" s="1" t="s">
        <v>1270</v>
      </c>
      <c r="D860" s="1" t="s">
        <v>17759</v>
      </c>
      <c r="E860" s="1" t="s">
        <v>6019</v>
      </c>
      <c r="F860" s="1" t="s">
        <v>17471</v>
      </c>
      <c r="G860" s="1"/>
      <c r="H860" s="1"/>
      <c r="I860" s="1"/>
      <c r="J860" s="1"/>
      <c r="K860" s="1" t="s">
        <v>14341</v>
      </c>
    </row>
    <row r="861" ht="14.25" customHeight="1">
      <c r="A861" s="3" t="s">
        <v>8311</v>
      </c>
      <c r="B861" s="1">
        <v>7.1</v>
      </c>
      <c r="C861" s="1" t="s">
        <v>1270</v>
      </c>
      <c r="D861" s="1" t="s">
        <v>17759</v>
      </c>
      <c r="E861" s="1" t="s">
        <v>6019</v>
      </c>
      <c r="F861" s="1" t="s">
        <v>17471</v>
      </c>
      <c r="G861" s="1"/>
      <c r="H861" s="1"/>
      <c r="I861" s="1"/>
      <c r="J861" s="1"/>
      <c r="K861" s="1" t="s">
        <v>14992</v>
      </c>
    </row>
    <row r="862" ht="14.25" customHeight="1">
      <c r="A862" s="3" t="s">
        <v>7545</v>
      </c>
      <c r="B862" s="1">
        <v>7.4</v>
      </c>
      <c r="C862" s="1" t="s">
        <v>1885</v>
      </c>
      <c r="D862" s="1" t="s">
        <v>17759</v>
      </c>
      <c r="E862" s="1" t="s">
        <v>6019</v>
      </c>
      <c r="F862" s="1" t="s">
        <v>17471</v>
      </c>
      <c r="G862" s="1"/>
      <c r="H862" s="1"/>
      <c r="I862" s="1"/>
      <c r="J862" s="1"/>
      <c r="K862" s="1" t="s">
        <v>7544</v>
      </c>
    </row>
    <row r="863" ht="14.25" customHeight="1">
      <c r="A863" s="3" t="s">
        <v>7545</v>
      </c>
      <c r="B863" s="1">
        <v>7.6</v>
      </c>
      <c r="C863" s="1" t="s">
        <v>1885</v>
      </c>
      <c r="D863" s="1" t="s">
        <v>17759</v>
      </c>
      <c r="E863" s="1" t="s">
        <v>6019</v>
      </c>
      <c r="F863" s="1" t="s">
        <v>17471</v>
      </c>
      <c r="G863" s="1"/>
      <c r="H863" s="1"/>
      <c r="I863" s="1"/>
      <c r="J863" s="1"/>
      <c r="K863" s="1" t="s">
        <v>8190</v>
      </c>
    </row>
    <row r="864" ht="14.25" customHeight="1">
      <c r="A864" s="3" t="s">
        <v>7545</v>
      </c>
      <c r="B864" s="1">
        <v>5.9</v>
      </c>
      <c r="C864" s="1" t="s">
        <v>1885</v>
      </c>
      <c r="D864" s="1" t="s">
        <v>17759</v>
      </c>
      <c r="E864" s="1" t="s">
        <v>6019</v>
      </c>
      <c r="F864" s="1" t="s">
        <v>17471</v>
      </c>
      <c r="G864" s="1"/>
      <c r="H864" s="1"/>
      <c r="I864" s="1"/>
      <c r="J864" s="1"/>
      <c r="K864" s="1" t="s">
        <v>11884</v>
      </c>
    </row>
    <row r="865" ht="14.25" customHeight="1">
      <c r="A865" s="3" t="s">
        <v>7545</v>
      </c>
      <c r="B865" s="1">
        <v>5.9</v>
      </c>
      <c r="C865" s="1" t="s">
        <v>1885</v>
      </c>
      <c r="D865" s="1" t="s">
        <v>17759</v>
      </c>
      <c r="E865" s="1" t="s">
        <v>6019</v>
      </c>
      <c r="F865" s="1" t="s">
        <v>17471</v>
      </c>
      <c r="G865" s="1"/>
      <c r="H865" s="1"/>
      <c r="I865" s="1"/>
      <c r="J865" s="1"/>
      <c r="K865" s="1" t="s">
        <v>15014</v>
      </c>
    </row>
    <row r="866" ht="14.25" customHeight="1">
      <c r="A866" s="3" t="s">
        <v>7545</v>
      </c>
      <c r="B866" s="1">
        <v>8.0</v>
      </c>
      <c r="C866" s="1" t="s">
        <v>1885</v>
      </c>
      <c r="D866" s="1" t="s">
        <v>17759</v>
      </c>
      <c r="E866" s="1" t="s">
        <v>6019</v>
      </c>
      <c r="F866" s="1" t="s">
        <v>17471</v>
      </c>
      <c r="G866" s="1"/>
      <c r="H866" s="1"/>
      <c r="I866" s="1"/>
      <c r="J866" s="1"/>
      <c r="K866" s="1" t="s">
        <v>15714</v>
      </c>
    </row>
    <row r="867" ht="14.25" customHeight="1">
      <c r="A867" s="3" t="s">
        <v>7545</v>
      </c>
      <c r="B867" s="1">
        <v>7.4</v>
      </c>
      <c r="C867" s="1" t="s">
        <v>1885</v>
      </c>
      <c r="D867" s="1" t="s">
        <v>17759</v>
      </c>
      <c r="E867" s="1" t="s">
        <v>6019</v>
      </c>
      <c r="F867" s="1" t="s">
        <v>17471</v>
      </c>
      <c r="G867" s="1"/>
      <c r="H867" s="1"/>
      <c r="I867" s="1"/>
      <c r="J867" s="1"/>
      <c r="K867" s="1" t="s">
        <v>15745</v>
      </c>
    </row>
    <row r="868" ht="14.25" customHeight="1">
      <c r="A868" s="3" t="s">
        <v>858</v>
      </c>
      <c r="B868" s="1">
        <v>5.8</v>
      </c>
      <c r="C868" s="1" t="s">
        <v>3238</v>
      </c>
      <c r="D868" s="1" t="s">
        <v>17759</v>
      </c>
      <c r="E868" s="1" t="s">
        <v>6019</v>
      </c>
      <c r="F868" s="1" t="s">
        <v>17471</v>
      </c>
      <c r="G868" s="1"/>
      <c r="H868" s="1"/>
      <c r="I868" s="1"/>
      <c r="J868" s="1"/>
      <c r="K868" s="1" t="s">
        <v>857</v>
      </c>
    </row>
    <row r="869" ht="14.25" customHeight="1">
      <c r="A869" s="3" t="s">
        <v>858</v>
      </c>
      <c r="B869" s="1">
        <v>6.3</v>
      </c>
      <c r="C869" s="1" t="s">
        <v>3238</v>
      </c>
      <c r="D869" s="1" t="s">
        <v>17759</v>
      </c>
      <c r="E869" s="1" t="s">
        <v>6019</v>
      </c>
      <c r="F869" s="1" t="s">
        <v>17471</v>
      </c>
      <c r="G869" s="1"/>
      <c r="H869" s="1"/>
      <c r="I869" s="1"/>
      <c r="J869" s="1"/>
      <c r="K869" s="1" t="s">
        <v>11496</v>
      </c>
    </row>
    <row r="870" ht="14.25" customHeight="1">
      <c r="A870" s="3" t="s">
        <v>858</v>
      </c>
      <c r="B870" s="1">
        <v>5.7</v>
      </c>
      <c r="C870" s="1" t="s">
        <v>3238</v>
      </c>
      <c r="D870" s="1" t="s">
        <v>17759</v>
      </c>
      <c r="E870" s="1" t="s">
        <v>6019</v>
      </c>
      <c r="F870" s="1" t="s">
        <v>17471</v>
      </c>
      <c r="G870" s="1"/>
      <c r="H870" s="1"/>
      <c r="I870" s="1"/>
      <c r="J870" s="1"/>
      <c r="K870" s="1" t="s">
        <v>11635</v>
      </c>
    </row>
    <row r="871" ht="14.25" customHeight="1">
      <c r="A871" s="3" t="s">
        <v>858</v>
      </c>
      <c r="B871" s="1">
        <v>5.1</v>
      </c>
      <c r="C871" s="1" t="s">
        <v>3238</v>
      </c>
      <c r="D871" s="1" t="s">
        <v>17759</v>
      </c>
      <c r="E871" s="1" t="s">
        <v>6019</v>
      </c>
      <c r="F871" s="1" t="s">
        <v>17471</v>
      </c>
      <c r="G871" s="1"/>
      <c r="H871" s="1"/>
      <c r="I871" s="1"/>
      <c r="J871" s="1"/>
      <c r="K871" s="1" t="s">
        <v>16672</v>
      </c>
    </row>
    <row r="872" ht="14.25" customHeight="1">
      <c r="A872" s="3" t="s">
        <v>10624</v>
      </c>
      <c r="B872" s="1">
        <v>7.6</v>
      </c>
      <c r="C872" s="1" t="s">
        <v>17763</v>
      </c>
      <c r="D872" s="1" t="s">
        <v>3238</v>
      </c>
      <c r="E872" s="1" t="s">
        <v>17774</v>
      </c>
      <c r="F872" s="1" t="s">
        <v>17471</v>
      </c>
      <c r="G872" s="1"/>
      <c r="H872" s="1"/>
      <c r="I872" s="1"/>
      <c r="J872" s="1"/>
      <c r="K872" s="1" t="s">
        <v>10623</v>
      </c>
    </row>
    <row r="873" ht="14.25" customHeight="1">
      <c r="A873" s="3" t="s">
        <v>15270</v>
      </c>
      <c r="B873" s="1">
        <v>6.4</v>
      </c>
      <c r="C873" s="1" t="s">
        <v>17763</v>
      </c>
      <c r="D873" s="1" t="s">
        <v>6019</v>
      </c>
      <c r="E873" s="1" t="s">
        <v>17774</v>
      </c>
      <c r="F873" s="1" t="s">
        <v>17471</v>
      </c>
      <c r="G873" s="1"/>
      <c r="H873" s="1"/>
      <c r="I873" s="1"/>
      <c r="J873" s="1"/>
      <c r="K873" s="1" t="s">
        <v>15269</v>
      </c>
    </row>
    <row r="874" ht="14.25" customHeight="1">
      <c r="A874" s="3" t="s">
        <v>1155</v>
      </c>
      <c r="B874" s="1">
        <v>7.4</v>
      </c>
      <c r="C874" s="1" t="s">
        <v>1270</v>
      </c>
      <c r="D874" s="1" t="s">
        <v>17763</v>
      </c>
      <c r="E874" s="1" t="s">
        <v>17761</v>
      </c>
      <c r="F874" s="1" t="s">
        <v>17471</v>
      </c>
      <c r="G874" s="1"/>
      <c r="H874" s="1"/>
      <c r="I874" s="1"/>
      <c r="J874" s="1"/>
      <c r="K874" s="1" t="s">
        <v>1154</v>
      </c>
    </row>
    <row r="875" ht="14.25" customHeight="1">
      <c r="A875" s="3" t="s">
        <v>1155</v>
      </c>
      <c r="B875" s="1">
        <v>8.2</v>
      </c>
      <c r="C875" s="1" t="s">
        <v>1270</v>
      </c>
      <c r="D875" s="1" t="s">
        <v>17763</v>
      </c>
      <c r="E875" s="1" t="s">
        <v>17761</v>
      </c>
      <c r="F875" s="1" t="s">
        <v>17471</v>
      </c>
      <c r="G875" s="1"/>
      <c r="H875" s="1"/>
      <c r="I875" s="1"/>
      <c r="J875" s="1"/>
      <c r="K875" s="1" t="s">
        <v>2263</v>
      </c>
    </row>
    <row r="876" ht="14.25" customHeight="1">
      <c r="A876" s="3" t="s">
        <v>1155</v>
      </c>
      <c r="B876" s="1">
        <v>6.5</v>
      </c>
      <c r="C876" s="1" t="s">
        <v>1270</v>
      </c>
      <c r="D876" s="1" t="s">
        <v>17763</v>
      </c>
      <c r="E876" s="1" t="s">
        <v>17761</v>
      </c>
      <c r="F876" s="1" t="s">
        <v>17471</v>
      </c>
      <c r="G876" s="1"/>
      <c r="H876" s="1"/>
      <c r="I876" s="1"/>
      <c r="J876" s="1"/>
      <c r="K876" s="1" t="s">
        <v>3852</v>
      </c>
    </row>
    <row r="877" ht="14.25" customHeight="1">
      <c r="A877" s="3" t="s">
        <v>1155</v>
      </c>
      <c r="B877" s="1">
        <v>5.5</v>
      </c>
      <c r="C877" s="1" t="s">
        <v>1270</v>
      </c>
      <c r="D877" s="1" t="s">
        <v>17763</v>
      </c>
      <c r="E877" s="1" t="s">
        <v>17761</v>
      </c>
      <c r="F877" s="1" t="s">
        <v>17471</v>
      </c>
      <c r="G877" s="1"/>
      <c r="H877" s="1"/>
      <c r="I877" s="1"/>
      <c r="J877" s="1"/>
      <c r="K877" s="1" t="s">
        <v>7051</v>
      </c>
    </row>
    <row r="878" ht="14.25" customHeight="1">
      <c r="A878" s="3" t="s">
        <v>1155</v>
      </c>
      <c r="B878" s="1">
        <v>6.5</v>
      </c>
      <c r="C878" s="1" t="s">
        <v>1270</v>
      </c>
      <c r="D878" s="1" t="s">
        <v>17763</v>
      </c>
      <c r="E878" s="1" t="s">
        <v>17761</v>
      </c>
      <c r="F878" s="1" t="s">
        <v>17471</v>
      </c>
      <c r="G878" s="1"/>
      <c r="H878" s="1"/>
      <c r="I878" s="1"/>
      <c r="J878" s="1"/>
      <c r="K878" s="1" t="s">
        <v>7174</v>
      </c>
    </row>
    <row r="879" ht="14.25" customHeight="1">
      <c r="A879" s="3" t="s">
        <v>1155</v>
      </c>
      <c r="B879" s="1">
        <v>5.6</v>
      </c>
      <c r="C879" s="1" t="s">
        <v>1270</v>
      </c>
      <c r="D879" s="1" t="s">
        <v>17763</v>
      </c>
      <c r="E879" s="1" t="s">
        <v>17761</v>
      </c>
      <c r="F879" s="1" t="s">
        <v>17471</v>
      </c>
      <c r="G879" s="1"/>
      <c r="H879" s="1"/>
      <c r="I879" s="1"/>
      <c r="J879" s="1"/>
      <c r="K879" s="1" t="s">
        <v>3852</v>
      </c>
    </row>
    <row r="880" ht="14.25" customHeight="1">
      <c r="A880" s="3" t="s">
        <v>1676</v>
      </c>
      <c r="B880" s="1">
        <v>4.6</v>
      </c>
      <c r="C880" s="1" t="s">
        <v>1270</v>
      </c>
      <c r="D880" s="1" t="s">
        <v>3238</v>
      </c>
      <c r="E880" s="1" t="s">
        <v>17761</v>
      </c>
      <c r="F880" s="1" t="s">
        <v>17471</v>
      </c>
      <c r="G880" s="1"/>
      <c r="H880" s="1"/>
      <c r="I880" s="1"/>
      <c r="J880" s="1"/>
      <c r="K880" s="1" t="s">
        <v>1675</v>
      </c>
    </row>
    <row r="881" ht="14.25" customHeight="1">
      <c r="A881" s="3" t="s">
        <v>2061</v>
      </c>
      <c r="B881" s="1">
        <v>7.9</v>
      </c>
      <c r="C881" s="1" t="s">
        <v>17763</v>
      </c>
      <c r="D881" s="1" t="s">
        <v>3238</v>
      </c>
      <c r="E881" s="1" t="s">
        <v>17761</v>
      </c>
      <c r="F881" s="1" t="s">
        <v>17471</v>
      </c>
      <c r="G881" s="1"/>
      <c r="H881" s="1"/>
      <c r="I881" s="1"/>
      <c r="J881" s="1"/>
      <c r="K881" s="1" t="s">
        <v>2060</v>
      </c>
    </row>
    <row r="882" ht="14.25" customHeight="1">
      <c r="A882" s="3" t="s">
        <v>2061</v>
      </c>
      <c r="B882" s="1">
        <v>7.1</v>
      </c>
      <c r="C882" s="1" t="s">
        <v>17763</v>
      </c>
      <c r="D882" s="1" t="s">
        <v>3238</v>
      </c>
      <c r="E882" s="1" t="s">
        <v>17761</v>
      </c>
      <c r="F882" s="1" t="s">
        <v>17471</v>
      </c>
      <c r="G882" s="1"/>
      <c r="H882" s="1"/>
      <c r="I882" s="1"/>
      <c r="J882" s="1"/>
      <c r="K882" s="1" t="s">
        <v>3744</v>
      </c>
    </row>
    <row r="883" ht="14.25" customHeight="1">
      <c r="A883" s="3" t="s">
        <v>2061</v>
      </c>
      <c r="B883" s="1">
        <v>6.9</v>
      </c>
      <c r="C883" s="1" t="s">
        <v>17763</v>
      </c>
      <c r="D883" s="1" t="s">
        <v>3238</v>
      </c>
      <c r="E883" s="1" t="s">
        <v>17761</v>
      </c>
      <c r="F883" s="1" t="s">
        <v>17471</v>
      </c>
      <c r="G883" s="1"/>
      <c r="H883" s="1"/>
      <c r="I883" s="1"/>
      <c r="J883" s="1"/>
      <c r="K883" s="1" t="s">
        <v>4050</v>
      </c>
    </row>
    <row r="884" ht="14.25" customHeight="1">
      <c r="A884" s="3" t="s">
        <v>2061</v>
      </c>
      <c r="B884" s="1">
        <v>7.3</v>
      </c>
      <c r="C884" s="1" t="s">
        <v>17763</v>
      </c>
      <c r="D884" s="1" t="s">
        <v>3238</v>
      </c>
      <c r="E884" s="1" t="s">
        <v>17761</v>
      </c>
      <c r="F884" s="1" t="s">
        <v>17471</v>
      </c>
      <c r="G884" s="1"/>
      <c r="H884" s="1"/>
      <c r="I884" s="1"/>
      <c r="J884" s="1"/>
      <c r="K884" s="1" t="s">
        <v>4115</v>
      </c>
    </row>
    <row r="885" ht="14.25" customHeight="1">
      <c r="A885" s="3" t="s">
        <v>2061</v>
      </c>
      <c r="B885" s="1">
        <v>7.0</v>
      </c>
      <c r="C885" s="1" t="s">
        <v>17763</v>
      </c>
      <c r="D885" s="1" t="s">
        <v>3238</v>
      </c>
      <c r="E885" s="1" t="s">
        <v>17761</v>
      </c>
      <c r="F885" s="1" t="s">
        <v>17471</v>
      </c>
      <c r="G885" s="1"/>
      <c r="H885" s="1"/>
      <c r="I885" s="1"/>
      <c r="J885" s="1"/>
      <c r="K885" s="1" t="s">
        <v>4499</v>
      </c>
    </row>
    <row r="886" ht="14.25" customHeight="1">
      <c r="A886" s="3" t="s">
        <v>2061</v>
      </c>
      <c r="B886" s="1">
        <v>7.7</v>
      </c>
      <c r="C886" s="1" t="s">
        <v>17763</v>
      </c>
      <c r="D886" s="1" t="s">
        <v>3238</v>
      </c>
      <c r="E886" s="1" t="s">
        <v>17761</v>
      </c>
      <c r="F886" s="1" t="s">
        <v>17471</v>
      </c>
      <c r="G886" s="1"/>
      <c r="H886" s="1"/>
      <c r="I886" s="1"/>
      <c r="J886" s="1"/>
      <c r="K886" s="1" t="s">
        <v>4802</v>
      </c>
    </row>
    <row r="887" ht="14.25" customHeight="1">
      <c r="A887" s="3" t="s">
        <v>2061</v>
      </c>
      <c r="B887" s="1">
        <v>6.7</v>
      </c>
      <c r="C887" s="1" t="s">
        <v>17763</v>
      </c>
      <c r="D887" s="1" t="s">
        <v>3238</v>
      </c>
      <c r="E887" s="1" t="s">
        <v>17761</v>
      </c>
      <c r="F887" s="1" t="s">
        <v>17471</v>
      </c>
      <c r="G887" s="1"/>
      <c r="H887" s="1"/>
      <c r="I887" s="1"/>
      <c r="J887" s="1"/>
      <c r="K887" s="1" t="s">
        <v>4877</v>
      </c>
    </row>
    <row r="888" ht="14.25" customHeight="1">
      <c r="A888" s="3" t="s">
        <v>2061</v>
      </c>
      <c r="B888" s="1">
        <v>6.3</v>
      </c>
      <c r="C888" s="1" t="s">
        <v>17763</v>
      </c>
      <c r="D888" s="1" t="s">
        <v>3238</v>
      </c>
      <c r="E888" s="1" t="s">
        <v>17761</v>
      </c>
      <c r="F888" s="1" t="s">
        <v>17471</v>
      </c>
      <c r="G888" s="1"/>
      <c r="H888" s="1"/>
      <c r="I888" s="1"/>
      <c r="J888" s="1"/>
      <c r="K888" s="1" t="s">
        <v>5216</v>
      </c>
    </row>
    <row r="889" ht="14.25" customHeight="1">
      <c r="A889" s="3" t="s">
        <v>2061</v>
      </c>
      <c r="B889" s="1">
        <v>5.8</v>
      </c>
      <c r="C889" s="1" t="s">
        <v>17763</v>
      </c>
      <c r="D889" s="1" t="s">
        <v>3238</v>
      </c>
      <c r="E889" s="1" t="s">
        <v>17761</v>
      </c>
      <c r="F889" s="1" t="s">
        <v>17471</v>
      </c>
      <c r="G889" s="1"/>
      <c r="H889" s="1"/>
      <c r="I889" s="1"/>
      <c r="J889" s="1"/>
      <c r="K889" s="1" t="s">
        <v>5364</v>
      </c>
    </row>
    <row r="890" ht="14.25" customHeight="1">
      <c r="A890" s="3" t="s">
        <v>2061</v>
      </c>
      <c r="B890" s="1">
        <v>7.1</v>
      </c>
      <c r="C890" s="1" t="s">
        <v>17763</v>
      </c>
      <c r="D890" s="1" t="s">
        <v>3238</v>
      </c>
      <c r="E890" s="1" t="s">
        <v>17761</v>
      </c>
      <c r="F890" s="1" t="s">
        <v>17471</v>
      </c>
      <c r="G890" s="1"/>
      <c r="H890" s="1"/>
      <c r="I890" s="1"/>
      <c r="J890" s="1"/>
      <c r="K890" s="1" t="s">
        <v>5367</v>
      </c>
    </row>
    <row r="891" ht="14.25" customHeight="1">
      <c r="A891" s="3" t="s">
        <v>2061</v>
      </c>
      <c r="B891" s="1">
        <v>7.3</v>
      </c>
      <c r="C891" s="1" t="s">
        <v>17763</v>
      </c>
      <c r="D891" s="1" t="s">
        <v>3238</v>
      </c>
      <c r="E891" s="1" t="s">
        <v>17761</v>
      </c>
      <c r="F891" s="1" t="s">
        <v>17471</v>
      </c>
      <c r="G891" s="1"/>
      <c r="H891" s="1"/>
      <c r="I891" s="1"/>
      <c r="J891" s="1"/>
      <c r="K891" s="1" t="s">
        <v>5384</v>
      </c>
    </row>
    <row r="892" ht="14.25" customHeight="1">
      <c r="A892" s="3" t="s">
        <v>2061</v>
      </c>
      <c r="B892" s="1">
        <v>6.4</v>
      </c>
      <c r="C892" s="1" t="s">
        <v>17763</v>
      </c>
      <c r="D892" s="1" t="s">
        <v>3238</v>
      </c>
      <c r="E892" s="1" t="s">
        <v>17761</v>
      </c>
      <c r="F892" s="1" t="s">
        <v>17471</v>
      </c>
      <c r="G892" s="1"/>
      <c r="H892" s="1"/>
      <c r="I892" s="1"/>
      <c r="J892" s="1"/>
      <c r="K892" s="1" t="s">
        <v>5556</v>
      </c>
    </row>
    <row r="893" ht="14.25" customHeight="1">
      <c r="A893" s="3" t="s">
        <v>2061</v>
      </c>
      <c r="B893" s="1">
        <v>7.1</v>
      </c>
      <c r="C893" s="1" t="s">
        <v>17763</v>
      </c>
      <c r="D893" s="1" t="s">
        <v>3238</v>
      </c>
      <c r="E893" s="1" t="s">
        <v>17761</v>
      </c>
      <c r="F893" s="1" t="s">
        <v>17471</v>
      </c>
      <c r="G893" s="1"/>
      <c r="H893" s="1"/>
      <c r="I893" s="1"/>
      <c r="J893" s="1"/>
      <c r="K893" s="1" t="s">
        <v>5748</v>
      </c>
    </row>
    <row r="894" ht="14.25" customHeight="1">
      <c r="A894" s="3" t="s">
        <v>2061</v>
      </c>
      <c r="B894" s="1">
        <v>7.6</v>
      </c>
      <c r="C894" s="1" t="s">
        <v>17763</v>
      </c>
      <c r="D894" s="1" t="s">
        <v>3238</v>
      </c>
      <c r="E894" s="1" t="s">
        <v>17761</v>
      </c>
      <c r="F894" s="1" t="s">
        <v>17471</v>
      </c>
      <c r="G894" s="1"/>
      <c r="H894" s="1"/>
      <c r="I894" s="1"/>
      <c r="J894" s="1"/>
      <c r="K894" s="1" t="s">
        <v>5980</v>
      </c>
    </row>
    <row r="895" ht="14.25" customHeight="1">
      <c r="A895" s="3" t="s">
        <v>2061</v>
      </c>
      <c r="B895" s="1">
        <v>6.8</v>
      </c>
      <c r="C895" s="1" t="s">
        <v>17763</v>
      </c>
      <c r="D895" s="1" t="s">
        <v>3238</v>
      </c>
      <c r="E895" s="1" t="s">
        <v>17761</v>
      </c>
      <c r="F895" s="1" t="s">
        <v>17471</v>
      </c>
      <c r="G895" s="1"/>
      <c r="H895" s="1"/>
      <c r="I895" s="1"/>
      <c r="J895" s="1"/>
      <c r="K895" s="1" t="s">
        <v>6303</v>
      </c>
    </row>
    <row r="896" ht="14.25" customHeight="1">
      <c r="A896" s="3" t="s">
        <v>2061</v>
      </c>
      <c r="B896" s="1">
        <v>6.6</v>
      </c>
      <c r="C896" s="1" t="s">
        <v>17763</v>
      </c>
      <c r="D896" s="1" t="s">
        <v>3238</v>
      </c>
      <c r="E896" s="1" t="s">
        <v>17761</v>
      </c>
      <c r="F896" s="1" t="s">
        <v>17471</v>
      </c>
      <c r="G896" s="1"/>
      <c r="H896" s="1"/>
      <c r="I896" s="1"/>
      <c r="J896" s="1"/>
      <c r="K896" s="1" t="s">
        <v>6597</v>
      </c>
    </row>
    <row r="897" ht="14.25" customHeight="1">
      <c r="A897" s="3" t="s">
        <v>2061</v>
      </c>
      <c r="B897" s="1">
        <v>6.7</v>
      </c>
      <c r="C897" s="1" t="s">
        <v>17763</v>
      </c>
      <c r="D897" s="1" t="s">
        <v>3238</v>
      </c>
      <c r="E897" s="1" t="s">
        <v>17761</v>
      </c>
      <c r="F897" s="1" t="s">
        <v>17471</v>
      </c>
      <c r="G897" s="1"/>
      <c r="H897" s="1"/>
      <c r="I897" s="1"/>
      <c r="J897" s="1"/>
      <c r="K897" s="1" t="s">
        <v>6863</v>
      </c>
    </row>
    <row r="898" ht="14.25" customHeight="1">
      <c r="A898" s="3" t="s">
        <v>2061</v>
      </c>
      <c r="B898" s="1">
        <v>6.1</v>
      </c>
      <c r="C898" s="1" t="s">
        <v>17763</v>
      </c>
      <c r="D898" s="1" t="s">
        <v>3238</v>
      </c>
      <c r="E898" s="1" t="s">
        <v>17761</v>
      </c>
      <c r="F898" s="1" t="s">
        <v>17471</v>
      </c>
      <c r="G898" s="1"/>
      <c r="H898" s="1"/>
      <c r="I898" s="1"/>
      <c r="J898" s="1"/>
      <c r="K898" s="1" t="s">
        <v>7056</v>
      </c>
    </row>
    <row r="899" ht="14.25" customHeight="1">
      <c r="A899" s="3" t="s">
        <v>2061</v>
      </c>
      <c r="B899" s="1">
        <v>6.0</v>
      </c>
      <c r="C899" s="1" t="s">
        <v>17763</v>
      </c>
      <c r="D899" s="1" t="s">
        <v>3238</v>
      </c>
      <c r="E899" s="1" t="s">
        <v>17761</v>
      </c>
      <c r="F899" s="1" t="s">
        <v>17471</v>
      </c>
      <c r="G899" s="1"/>
      <c r="H899" s="1"/>
      <c r="I899" s="1"/>
      <c r="J899" s="1"/>
      <c r="K899" s="1" t="s">
        <v>7234</v>
      </c>
    </row>
    <row r="900" ht="14.25" customHeight="1">
      <c r="A900" s="3" t="s">
        <v>2061</v>
      </c>
      <c r="B900" s="1">
        <v>7.6</v>
      </c>
      <c r="C900" s="1" t="s">
        <v>17763</v>
      </c>
      <c r="D900" s="1" t="s">
        <v>3238</v>
      </c>
      <c r="E900" s="1" t="s">
        <v>17761</v>
      </c>
      <c r="F900" s="1" t="s">
        <v>17471</v>
      </c>
      <c r="G900" s="1"/>
      <c r="H900" s="1"/>
      <c r="I900" s="1"/>
      <c r="J900" s="1"/>
      <c r="K900" s="1" t="s">
        <v>7618</v>
      </c>
    </row>
    <row r="901" ht="14.25" customHeight="1">
      <c r="A901" s="3" t="s">
        <v>2061</v>
      </c>
      <c r="B901" s="1">
        <v>7.1</v>
      </c>
      <c r="C901" s="1" t="s">
        <v>17763</v>
      </c>
      <c r="D901" s="1" t="s">
        <v>3238</v>
      </c>
      <c r="E901" s="1" t="s">
        <v>17761</v>
      </c>
      <c r="F901" s="1" t="s">
        <v>17471</v>
      </c>
      <c r="G901" s="1"/>
      <c r="H901" s="1"/>
      <c r="I901" s="1"/>
      <c r="J901" s="1"/>
      <c r="K901" s="1" t="s">
        <v>7630</v>
      </c>
    </row>
    <row r="902" ht="14.25" customHeight="1">
      <c r="A902" s="3" t="s">
        <v>2061</v>
      </c>
      <c r="B902" s="1">
        <v>5.0</v>
      </c>
      <c r="C902" s="1" t="s">
        <v>17763</v>
      </c>
      <c r="D902" s="1" t="s">
        <v>3238</v>
      </c>
      <c r="E902" s="1" t="s">
        <v>17761</v>
      </c>
      <c r="F902" s="1" t="s">
        <v>17471</v>
      </c>
      <c r="G902" s="1"/>
      <c r="H902" s="1"/>
      <c r="I902" s="1"/>
      <c r="J902" s="1"/>
      <c r="K902" s="1" t="s">
        <v>7994</v>
      </c>
    </row>
    <row r="903" ht="14.25" customHeight="1">
      <c r="A903" s="3" t="s">
        <v>2061</v>
      </c>
      <c r="B903" s="1">
        <v>6.2</v>
      </c>
      <c r="C903" s="1" t="s">
        <v>17763</v>
      </c>
      <c r="D903" s="1" t="s">
        <v>3238</v>
      </c>
      <c r="E903" s="1" t="s">
        <v>17761</v>
      </c>
      <c r="F903" s="1" t="s">
        <v>17471</v>
      </c>
      <c r="G903" s="1"/>
      <c r="H903" s="1"/>
      <c r="I903" s="1"/>
      <c r="J903" s="1"/>
      <c r="K903" s="1" t="s">
        <v>8445</v>
      </c>
    </row>
    <row r="904" ht="14.25" customHeight="1">
      <c r="A904" s="3" t="s">
        <v>2061</v>
      </c>
      <c r="B904" s="1">
        <v>5.6</v>
      </c>
      <c r="C904" s="1" t="s">
        <v>17763</v>
      </c>
      <c r="D904" s="1" t="s">
        <v>3238</v>
      </c>
      <c r="E904" s="1" t="s">
        <v>17761</v>
      </c>
      <c r="F904" s="1" t="s">
        <v>17471</v>
      </c>
      <c r="G904" s="1"/>
      <c r="H904" s="1"/>
      <c r="I904" s="1"/>
      <c r="J904" s="1"/>
      <c r="K904" s="1" t="s">
        <v>8471</v>
      </c>
    </row>
    <row r="905" ht="14.25" customHeight="1">
      <c r="A905" s="3" t="s">
        <v>2061</v>
      </c>
      <c r="B905" s="1">
        <v>7.4</v>
      </c>
      <c r="C905" s="1" t="s">
        <v>17763</v>
      </c>
      <c r="D905" s="1" t="s">
        <v>3238</v>
      </c>
      <c r="E905" s="1" t="s">
        <v>17761</v>
      </c>
      <c r="F905" s="1" t="s">
        <v>17471</v>
      </c>
      <c r="G905" s="1"/>
      <c r="H905" s="1"/>
      <c r="I905" s="1"/>
      <c r="J905" s="1"/>
      <c r="K905" s="1" t="s">
        <v>8500</v>
      </c>
    </row>
    <row r="906" ht="14.25" customHeight="1">
      <c r="A906" s="3" t="s">
        <v>2061</v>
      </c>
      <c r="B906" s="1">
        <v>5.0</v>
      </c>
      <c r="C906" s="1" t="s">
        <v>17763</v>
      </c>
      <c r="D906" s="1" t="s">
        <v>3238</v>
      </c>
      <c r="E906" s="1" t="s">
        <v>17761</v>
      </c>
      <c r="F906" s="1" t="s">
        <v>17471</v>
      </c>
      <c r="G906" s="1"/>
      <c r="H906" s="1"/>
      <c r="I906" s="1"/>
      <c r="J906" s="1"/>
      <c r="K906" s="1" t="s">
        <v>8554</v>
      </c>
    </row>
    <row r="907" ht="14.25" customHeight="1">
      <c r="A907" s="3" t="s">
        <v>2061</v>
      </c>
      <c r="B907" s="1">
        <v>5.2</v>
      </c>
      <c r="C907" s="1" t="s">
        <v>17763</v>
      </c>
      <c r="D907" s="1" t="s">
        <v>3238</v>
      </c>
      <c r="E907" s="1" t="s">
        <v>17761</v>
      </c>
      <c r="F907" s="1" t="s">
        <v>17471</v>
      </c>
      <c r="G907" s="1"/>
      <c r="H907" s="1"/>
      <c r="I907" s="1"/>
      <c r="J907" s="1"/>
      <c r="K907" s="1" t="s">
        <v>9222</v>
      </c>
    </row>
    <row r="908" ht="14.25" customHeight="1">
      <c r="A908" s="3" t="s">
        <v>2061</v>
      </c>
      <c r="B908" s="1">
        <v>7.6</v>
      </c>
      <c r="C908" s="1" t="s">
        <v>17763</v>
      </c>
      <c r="D908" s="1" t="s">
        <v>3238</v>
      </c>
      <c r="E908" s="1" t="s">
        <v>17761</v>
      </c>
      <c r="F908" s="1" t="s">
        <v>17471</v>
      </c>
      <c r="G908" s="1"/>
      <c r="H908" s="1"/>
      <c r="I908" s="1"/>
      <c r="J908" s="1"/>
      <c r="K908" s="1" t="s">
        <v>9595</v>
      </c>
    </row>
    <row r="909" ht="14.25" customHeight="1">
      <c r="A909" s="3" t="s">
        <v>2061</v>
      </c>
      <c r="B909" s="1">
        <v>6.6</v>
      </c>
      <c r="C909" s="1" t="s">
        <v>17763</v>
      </c>
      <c r="D909" s="1" t="s">
        <v>3238</v>
      </c>
      <c r="E909" s="1" t="s">
        <v>17761</v>
      </c>
      <c r="F909" s="1" t="s">
        <v>17471</v>
      </c>
      <c r="G909" s="1"/>
      <c r="H909" s="1"/>
      <c r="I909" s="1"/>
      <c r="J909" s="1"/>
      <c r="K909" s="1" t="s">
        <v>9683</v>
      </c>
    </row>
    <row r="910" ht="14.25" customHeight="1">
      <c r="A910" s="3" t="s">
        <v>2061</v>
      </c>
      <c r="B910" s="1">
        <v>7.0</v>
      </c>
      <c r="C910" s="1" t="s">
        <v>17763</v>
      </c>
      <c r="D910" s="1" t="s">
        <v>3238</v>
      </c>
      <c r="E910" s="1" t="s">
        <v>17761</v>
      </c>
      <c r="F910" s="1" t="s">
        <v>17471</v>
      </c>
      <c r="G910" s="1"/>
      <c r="H910" s="1"/>
      <c r="I910" s="1"/>
      <c r="J910" s="1"/>
      <c r="K910" s="1" t="s">
        <v>9993</v>
      </c>
    </row>
    <row r="911" ht="14.25" customHeight="1">
      <c r="A911" s="3" t="s">
        <v>2061</v>
      </c>
      <c r="B911" s="1">
        <v>5.7</v>
      </c>
      <c r="C911" s="1" t="s">
        <v>17763</v>
      </c>
      <c r="D911" s="1" t="s">
        <v>3238</v>
      </c>
      <c r="E911" s="1" t="s">
        <v>17761</v>
      </c>
      <c r="F911" s="1" t="s">
        <v>17471</v>
      </c>
      <c r="G911" s="1"/>
      <c r="H911" s="1"/>
      <c r="I911" s="1"/>
      <c r="J911" s="1"/>
      <c r="K911" s="1" t="s">
        <v>10023</v>
      </c>
    </row>
    <row r="912" ht="14.25" customHeight="1">
      <c r="A912" s="3" t="s">
        <v>2061</v>
      </c>
      <c r="B912" s="1">
        <v>8.2</v>
      </c>
      <c r="C912" s="1" t="s">
        <v>17763</v>
      </c>
      <c r="D912" s="1" t="s">
        <v>3238</v>
      </c>
      <c r="E912" s="1" t="s">
        <v>17761</v>
      </c>
      <c r="F912" s="1" t="s">
        <v>17471</v>
      </c>
      <c r="G912" s="1"/>
      <c r="H912" s="1"/>
      <c r="I912" s="1"/>
      <c r="J912" s="1"/>
      <c r="K912" s="1" t="s">
        <v>10534</v>
      </c>
    </row>
    <row r="913" ht="14.25" customHeight="1">
      <c r="A913" s="3" t="s">
        <v>2061</v>
      </c>
      <c r="B913" s="1">
        <v>6.2</v>
      </c>
      <c r="C913" s="1" t="s">
        <v>17763</v>
      </c>
      <c r="D913" s="1" t="s">
        <v>3238</v>
      </c>
      <c r="E913" s="1" t="s">
        <v>17761</v>
      </c>
      <c r="F913" s="1" t="s">
        <v>17471</v>
      </c>
      <c r="G913" s="1"/>
      <c r="H913" s="1"/>
      <c r="I913" s="1"/>
      <c r="J913" s="1"/>
      <c r="K913" s="1" t="s">
        <v>10940</v>
      </c>
    </row>
    <row r="914" ht="14.25" customHeight="1">
      <c r="A914" s="3" t="s">
        <v>2061</v>
      </c>
      <c r="B914" s="1">
        <v>6.6</v>
      </c>
      <c r="C914" s="1" t="s">
        <v>17763</v>
      </c>
      <c r="D914" s="1" t="s">
        <v>3238</v>
      </c>
      <c r="E914" s="1" t="s">
        <v>17761</v>
      </c>
      <c r="F914" s="1" t="s">
        <v>17471</v>
      </c>
      <c r="G914" s="1"/>
      <c r="H914" s="1"/>
      <c r="I914" s="1"/>
      <c r="J914" s="1"/>
      <c r="K914" s="1" t="s">
        <v>11362</v>
      </c>
    </row>
    <row r="915" ht="14.25" customHeight="1">
      <c r="A915" s="3" t="s">
        <v>2061</v>
      </c>
      <c r="B915" s="1">
        <v>4.7</v>
      </c>
      <c r="C915" s="1" t="s">
        <v>17763</v>
      </c>
      <c r="D915" s="1" t="s">
        <v>3238</v>
      </c>
      <c r="E915" s="1" t="s">
        <v>17761</v>
      </c>
      <c r="F915" s="1" t="s">
        <v>17471</v>
      </c>
      <c r="G915" s="1"/>
      <c r="H915" s="1"/>
      <c r="I915" s="1"/>
      <c r="J915" s="1"/>
      <c r="K915" s="1" t="s">
        <v>11898</v>
      </c>
    </row>
    <row r="916" ht="14.25" customHeight="1">
      <c r="A916" s="3" t="s">
        <v>2061</v>
      </c>
      <c r="B916" s="1">
        <v>6.3</v>
      </c>
      <c r="C916" s="1" t="s">
        <v>17763</v>
      </c>
      <c r="D916" s="1" t="s">
        <v>3238</v>
      </c>
      <c r="E916" s="1" t="s">
        <v>17761</v>
      </c>
      <c r="F916" s="1" t="s">
        <v>17471</v>
      </c>
      <c r="G916" s="1"/>
      <c r="H916" s="1"/>
      <c r="I916" s="1"/>
      <c r="J916" s="1"/>
      <c r="K916" s="1" t="s">
        <v>13079</v>
      </c>
    </row>
    <row r="917" ht="14.25" customHeight="1">
      <c r="A917" s="3" t="s">
        <v>2061</v>
      </c>
      <c r="B917" s="1">
        <v>6.1</v>
      </c>
      <c r="C917" s="1" t="s">
        <v>17763</v>
      </c>
      <c r="D917" s="1" t="s">
        <v>3238</v>
      </c>
      <c r="E917" s="1" t="s">
        <v>17761</v>
      </c>
      <c r="F917" s="1" t="s">
        <v>17471</v>
      </c>
      <c r="G917" s="1"/>
      <c r="H917" s="1"/>
      <c r="I917" s="1"/>
      <c r="J917" s="1"/>
      <c r="K917" s="1" t="s">
        <v>13490</v>
      </c>
    </row>
    <row r="918" ht="14.25" customHeight="1">
      <c r="A918" s="3" t="s">
        <v>2061</v>
      </c>
      <c r="B918" s="1">
        <v>6.7</v>
      </c>
      <c r="C918" s="1" t="s">
        <v>17763</v>
      </c>
      <c r="D918" s="1" t="s">
        <v>3238</v>
      </c>
      <c r="E918" s="1" t="s">
        <v>17761</v>
      </c>
      <c r="F918" s="1" t="s">
        <v>17471</v>
      </c>
      <c r="G918" s="1"/>
      <c r="H918" s="1"/>
      <c r="I918" s="1"/>
      <c r="J918" s="1"/>
      <c r="K918" s="1" t="s">
        <v>14185</v>
      </c>
    </row>
    <row r="919" ht="14.25" customHeight="1">
      <c r="A919" s="3" t="s">
        <v>2061</v>
      </c>
      <c r="B919" s="1">
        <v>6.1</v>
      </c>
      <c r="C919" s="1" t="s">
        <v>17763</v>
      </c>
      <c r="D919" s="1" t="s">
        <v>3238</v>
      </c>
      <c r="E919" s="1" t="s">
        <v>17761</v>
      </c>
      <c r="F919" s="1" t="s">
        <v>17471</v>
      </c>
      <c r="G919" s="1"/>
      <c r="H919" s="1"/>
      <c r="I919" s="1"/>
      <c r="J919" s="1"/>
      <c r="K919" s="1" t="s">
        <v>14656</v>
      </c>
    </row>
    <row r="920" ht="14.25" customHeight="1">
      <c r="A920" s="3" t="s">
        <v>2061</v>
      </c>
      <c r="B920" s="1">
        <v>7.0</v>
      </c>
      <c r="C920" s="1" t="s">
        <v>17763</v>
      </c>
      <c r="D920" s="1" t="s">
        <v>3238</v>
      </c>
      <c r="E920" s="1" t="s">
        <v>17761</v>
      </c>
      <c r="F920" s="1" t="s">
        <v>17471</v>
      </c>
      <c r="G920" s="1"/>
      <c r="H920" s="1"/>
      <c r="I920" s="1"/>
      <c r="J920" s="1"/>
      <c r="K920" s="1" t="s">
        <v>14909</v>
      </c>
    </row>
    <row r="921" ht="14.25" customHeight="1">
      <c r="A921" s="3" t="s">
        <v>2061</v>
      </c>
      <c r="B921" s="1">
        <v>7.4</v>
      </c>
      <c r="C921" s="1" t="s">
        <v>17763</v>
      </c>
      <c r="D921" s="1" t="s">
        <v>3238</v>
      </c>
      <c r="E921" s="1" t="s">
        <v>17761</v>
      </c>
      <c r="F921" s="1" t="s">
        <v>17471</v>
      </c>
      <c r="G921" s="1"/>
      <c r="H921" s="1"/>
      <c r="I921" s="1"/>
      <c r="J921" s="1"/>
      <c r="K921" s="1" t="s">
        <v>8471</v>
      </c>
    </row>
    <row r="922" ht="14.25" customHeight="1">
      <c r="A922" s="3" t="s">
        <v>2061</v>
      </c>
      <c r="B922" s="1">
        <v>7.3</v>
      </c>
      <c r="C922" s="1" t="s">
        <v>17763</v>
      </c>
      <c r="D922" s="1" t="s">
        <v>3238</v>
      </c>
      <c r="E922" s="1" t="s">
        <v>17761</v>
      </c>
      <c r="F922" s="1" t="s">
        <v>17471</v>
      </c>
      <c r="G922" s="1"/>
      <c r="H922" s="1"/>
      <c r="I922" s="1"/>
      <c r="J922" s="1"/>
      <c r="K922" s="1" t="s">
        <v>11362</v>
      </c>
    </row>
    <row r="923" ht="14.25" customHeight="1">
      <c r="A923" s="3" t="s">
        <v>10790</v>
      </c>
      <c r="B923" s="1">
        <v>5.8</v>
      </c>
      <c r="C923" s="1" t="s">
        <v>917</v>
      </c>
      <c r="D923" s="1" t="s">
        <v>17759</v>
      </c>
      <c r="E923" s="1" t="s">
        <v>17761</v>
      </c>
      <c r="F923" s="1" t="s">
        <v>17471</v>
      </c>
      <c r="G923" s="1"/>
      <c r="H923" s="1"/>
      <c r="I923" s="1"/>
      <c r="J923" s="1"/>
      <c r="K923" s="1" t="s">
        <v>10789</v>
      </c>
    </row>
    <row r="924" ht="14.25" customHeight="1">
      <c r="A924" s="3" t="s">
        <v>3181</v>
      </c>
      <c r="B924" s="1">
        <v>6.7</v>
      </c>
      <c r="C924" s="1" t="s">
        <v>3238</v>
      </c>
      <c r="D924" s="1" t="s">
        <v>17759</v>
      </c>
      <c r="E924" s="1" t="s">
        <v>17761</v>
      </c>
      <c r="F924" s="1" t="s">
        <v>17471</v>
      </c>
      <c r="G924" s="1"/>
      <c r="H924" s="1"/>
      <c r="I924" s="1"/>
      <c r="J924" s="1"/>
      <c r="K924" s="1" t="s">
        <v>3180</v>
      </c>
    </row>
    <row r="925" ht="14.25" customHeight="1">
      <c r="A925" s="3" t="s">
        <v>3181</v>
      </c>
      <c r="B925" s="1">
        <v>5.8</v>
      </c>
      <c r="C925" s="1" t="s">
        <v>3238</v>
      </c>
      <c r="D925" s="1" t="s">
        <v>17759</v>
      </c>
      <c r="E925" s="1" t="s">
        <v>17761</v>
      </c>
      <c r="F925" s="1" t="s">
        <v>17471</v>
      </c>
      <c r="G925" s="1"/>
      <c r="H925" s="1"/>
      <c r="I925" s="1"/>
      <c r="J925" s="1"/>
      <c r="K925" s="1" t="s">
        <v>9063</v>
      </c>
    </row>
    <row r="926" ht="14.25" customHeight="1">
      <c r="A926" s="3" t="s">
        <v>7338</v>
      </c>
      <c r="B926" s="1">
        <v>7.8</v>
      </c>
      <c r="C926" s="1" t="s">
        <v>17763</v>
      </c>
      <c r="D926" s="1" t="s">
        <v>6019</v>
      </c>
      <c r="E926" s="1" t="s">
        <v>17761</v>
      </c>
      <c r="F926" s="1" t="s">
        <v>17471</v>
      </c>
      <c r="G926" s="1"/>
      <c r="H926" s="1"/>
      <c r="I926" s="1"/>
      <c r="J926" s="1"/>
      <c r="K926" s="1" t="s">
        <v>7337</v>
      </c>
    </row>
    <row r="927" ht="14.25" customHeight="1">
      <c r="A927" s="3" t="s">
        <v>7338</v>
      </c>
      <c r="B927" s="1">
        <v>6.6</v>
      </c>
      <c r="C927" s="1" t="s">
        <v>17763</v>
      </c>
      <c r="D927" s="1" t="s">
        <v>6019</v>
      </c>
      <c r="E927" s="1" t="s">
        <v>17761</v>
      </c>
      <c r="F927" s="1" t="s">
        <v>17471</v>
      </c>
      <c r="G927" s="1"/>
      <c r="H927" s="1"/>
      <c r="I927" s="1"/>
      <c r="J927" s="1"/>
      <c r="K927" s="1" t="s">
        <v>8524</v>
      </c>
    </row>
    <row r="928" ht="14.25" customHeight="1">
      <c r="A928" s="3" t="s">
        <v>5758</v>
      </c>
      <c r="B928" s="1">
        <v>6.5</v>
      </c>
      <c r="C928" s="1" t="s">
        <v>3238</v>
      </c>
      <c r="D928" s="1" t="s">
        <v>6019</v>
      </c>
      <c r="E928" s="1" t="s">
        <v>17761</v>
      </c>
      <c r="F928" s="1" t="s">
        <v>17471</v>
      </c>
      <c r="G928" s="1"/>
      <c r="H928" s="1"/>
      <c r="I928" s="1"/>
      <c r="J928" s="1"/>
      <c r="K928" s="1" t="s">
        <v>5757</v>
      </c>
    </row>
    <row r="929" ht="14.25" customHeight="1">
      <c r="A929" s="3" t="s">
        <v>5758</v>
      </c>
      <c r="B929" s="1">
        <v>6.7</v>
      </c>
      <c r="C929" s="1" t="s">
        <v>3238</v>
      </c>
      <c r="D929" s="1" t="s">
        <v>6019</v>
      </c>
      <c r="E929" s="1" t="s">
        <v>17761</v>
      </c>
      <c r="F929" s="1" t="s">
        <v>17471</v>
      </c>
      <c r="G929" s="1"/>
      <c r="H929" s="1"/>
      <c r="I929" s="1"/>
      <c r="J929" s="1"/>
      <c r="K929" s="1" t="s">
        <v>6765</v>
      </c>
    </row>
    <row r="930" ht="14.25" customHeight="1">
      <c r="A930" s="3" t="s">
        <v>5758</v>
      </c>
      <c r="B930" s="1">
        <v>7.3</v>
      </c>
      <c r="C930" s="1" t="s">
        <v>3238</v>
      </c>
      <c r="D930" s="1" t="s">
        <v>6019</v>
      </c>
      <c r="E930" s="1" t="s">
        <v>17761</v>
      </c>
      <c r="F930" s="1" t="s">
        <v>17471</v>
      </c>
      <c r="G930" s="1"/>
      <c r="H930" s="1"/>
      <c r="I930" s="1"/>
      <c r="J930" s="1"/>
      <c r="K930" s="1" t="s">
        <v>8819</v>
      </c>
    </row>
    <row r="931" ht="14.25" customHeight="1">
      <c r="A931" s="3" t="s">
        <v>5758</v>
      </c>
      <c r="B931" s="1">
        <v>5.8</v>
      </c>
      <c r="C931" s="1" t="s">
        <v>3238</v>
      </c>
      <c r="D931" s="1" t="s">
        <v>6019</v>
      </c>
      <c r="E931" s="1" t="s">
        <v>17761</v>
      </c>
      <c r="F931" s="1" t="s">
        <v>17471</v>
      </c>
      <c r="G931" s="1"/>
      <c r="H931" s="1"/>
      <c r="I931" s="1"/>
      <c r="J931" s="1"/>
      <c r="K931" s="1" t="s">
        <v>9904</v>
      </c>
    </row>
    <row r="932" ht="14.25" customHeight="1">
      <c r="A932" s="3" t="s">
        <v>5758</v>
      </c>
      <c r="B932" s="1">
        <v>5.5</v>
      </c>
      <c r="C932" s="1" t="s">
        <v>3238</v>
      </c>
      <c r="D932" s="1" t="s">
        <v>6019</v>
      </c>
      <c r="E932" s="1" t="s">
        <v>17761</v>
      </c>
      <c r="F932" s="1" t="s">
        <v>17471</v>
      </c>
      <c r="G932" s="1"/>
      <c r="H932" s="1"/>
      <c r="I932" s="1"/>
      <c r="J932" s="1"/>
      <c r="K932" s="1" t="s">
        <v>10628</v>
      </c>
    </row>
    <row r="933" ht="14.25" customHeight="1">
      <c r="A933" s="3" t="s">
        <v>5758</v>
      </c>
      <c r="B933" s="1">
        <v>6.3</v>
      </c>
      <c r="C933" s="1" t="s">
        <v>3238</v>
      </c>
      <c r="D933" s="1" t="s">
        <v>6019</v>
      </c>
      <c r="E933" s="1" t="s">
        <v>17761</v>
      </c>
      <c r="F933" s="1" t="s">
        <v>17471</v>
      </c>
      <c r="G933" s="1"/>
      <c r="H933" s="1"/>
      <c r="I933" s="1"/>
      <c r="J933" s="1"/>
      <c r="K933" s="1" t="s">
        <v>12137</v>
      </c>
    </row>
    <row r="934" ht="14.25" customHeight="1">
      <c r="A934" s="3" t="s">
        <v>5758</v>
      </c>
      <c r="B934" s="1">
        <v>7.4</v>
      </c>
      <c r="C934" s="1" t="s">
        <v>3238</v>
      </c>
      <c r="D934" s="1" t="s">
        <v>6019</v>
      </c>
      <c r="E934" s="1" t="s">
        <v>17761</v>
      </c>
      <c r="F934" s="1" t="s">
        <v>17471</v>
      </c>
      <c r="G934" s="1"/>
      <c r="H934" s="1"/>
      <c r="I934" s="1"/>
      <c r="J934" s="1"/>
      <c r="K934" s="1" t="s">
        <v>13155</v>
      </c>
    </row>
    <row r="935" ht="14.25" customHeight="1">
      <c r="A935" s="3" t="s">
        <v>5758</v>
      </c>
      <c r="B935" s="1">
        <v>5.9</v>
      </c>
      <c r="C935" s="1" t="s">
        <v>3238</v>
      </c>
      <c r="D935" s="1" t="s">
        <v>6019</v>
      </c>
      <c r="E935" s="1" t="s">
        <v>17761</v>
      </c>
      <c r="F935" s="1" t="s">
        <v>17471</v>
      </c>
      <c r="G935" s="1"/>
      <c r="H935" s="1"/>
      <c r="I935" s="1"/>
      <c r="J935" s="1"/>
      <c r="K935" s="1" t="s">
        <v>15412</v>
      </c>
    </row>
    <row r="936" ht="14.25" customHeight="1">
      <c r="A936" s="3" t="s">
        <v>5758</v>
      </c>
      <c r="B936" s="1">
        <v>6.2</v>
      </c>
      <c r="C936" s="1" t="s">
        <v>3238</v>
      </c>
      <c r="D936" s="1" t="s">
        <v>6019</v>
      </c>
      <c r="E936" s="1" t="s">
        <v>17761</v>
      </c>
      <c r="F936" s="1" t="s">
        <v>17471</v>
      </c>
      <c r="G936" s="1"/>
      <c r="H936" s="1"/>
      <c r="I936" s="1"/>
      <c r="J936" s="1"/>
      <c r="K936" s="1" t="s">
        <v>16221</v>
      </c>
    </row>
    <row r="937" ht="14.25" customHeight="1">
      <c r="A937" s="3" t="s">
        <v>5758</v>
      </c>
      <c r="B937" s="1">
        <v>5.9</v>
      </c>
      <c r="C937" s="1" t="s">
        <v>3238</v>
      </c>
      <c r="D937" s="1" t="s">
        <v>6019</v>
      </c>
      <c r="E937" s="1" t="s">
        <v>17761</v>
      </c>
      <c r="F937" s="1" t="s">
        <v>17471</v>
      </c>
      <c r="G937" s="1"/>
      <c r="H937" s="1"/>
      <c r="I937" s="1"/>
      <c r="J937" s="1"/>
      <c r="K937" s="1" t="s">
        <v>16302</v>
      </c>
    </row>
    <row r="938" ht="14.25" customHeight="1">
      <c r="A938" s="3" t="s">
        <v>5758</v>
      </c>
      <c r="B938" s="1">
        <v>6.5</v>
      </c>
      <c r="C938" s="1" t="s">
        <v>3238</v>
      </c>
      <c r="D938" s="1" t="s">
        <v>6019</v>
      </c>
      <c r="E938" s="1" t="s">
        <v>17761</v>
      </c>
      <c r="F938" s="1" t="s">
        <v>17471</v>
      </c>
      <c r="G938" s="1"/>
      <c r="H938" s="1"/>
      <c r="I938" s="1"/>
      <c r="J938" s="1"/>
      <c r="K938" s="1" t="s">
        <v>16848</v>
      </c>
    </row>
    <row r="939" ht="14.25" customHeight="1">
      <c r="A939" s="3" t="s">
        <v>2546</v>
      </c>
      <c r="B939" s="1">
        <v>4.4</v>
      </c>
      <c r="C939" s="1" t="s">
        <v>17759</v>
      </c>
      <c r="D939" s="1" t="s">
        <v>6019</v>
      </c>
      <c r="E939" s="1" t="s">
        <v>17761</v>
      </c>
      <c r="F939" s="1" t="s">
        <v>17471</v>
      </c>
      <c r="G939" s="1"/>
      <c r="H939" s="1"/>
      <c r="I939" s="1"/>
      <c r="J939" s="1"/>
      <c r="K939" s="1" t="s">
        <v>2545</v>
      </c>
    </row>
    <row r="940" ht="14.25" customHeight="1">
      <c r="A940" s="3" t="s">
        <v>2546</v>
      </c>
      <c r="B940" s="1">
        <v>3.5</v>
      </c>
      <c r="C940" s="1" t="s">
        <v>17759</v>
      </c>
      <c r="D940" s="1" t="s">
        <v>6019</v>
      </c>
      <c r="E940" s="1" t="s">
        <v>17761</v>
      </c>
      <c r="F940" s="1" t="s">
        <v>17471</v>
      </c>
      <c r="G940" s="1"/>
      <c r="H940" s="1"/>
      <c r="I940" s="1"/>
      <c r="J940" s="1"/>
      <c r="K940" s="1" t="s">
        <v>5774</v>
      </c>
    </row>
    <row r="941" ht="14.25" customHeight="1">
      <c r="A941" s="3" t="s">
        <v>2546</v>
      </c>
      <c r="B941" s="1">
        <v>6.6</v>
      </c>
      <c r="C941" s="1" t="s">
        <v>17759</v>
      </c>
      <c r="D941" s="1" t="s">
        <v>6019</v>
      </c>
      <c r="E941" s="1" t="s">
        <v>17761</v>
      </c>
      <c r="F941" s="1" t="s">
        <v>17471</v>
      </c>
      <c r="G941" s="1"/>
      <c r="H941" s="1"/>
      <c r="I941" s="1"/>
      <c r="J941" s="1"/>
      <c r="K941" s="1" t="s">
        <v>7841</v>
      </c>
    </row>
    <row r="942" ht="14.25" customHeight="1">
      <c r="A942" s="3" t="s">
        <v>2546</v>
      </c>
      <c r="B942" s="1">
        <v>6.0</v>
      </c>
      <c r="C942" s="1" t="s">
        <v>17759</v>
      </c>
      <c r="D942" s="1" t="s">
        <v>6019</v>
      </c>
      <c r="E942" s="1" t="s">
        <v>17761</v>
      </c>
      <c r="F942" s="1" t="s">
        <v>17471</v>
      </c>
      <c r="G942" s="1"/>
      <c r="H942" s="1"/>
      <c r="I942" s="1"/>
      <c r="J942" s="1"/>
      <c r="K942" s="1" t="s">
        <v>13987</v>
      </c>
    </row>
    <row r="943" ht="14.25" customHeight="1">
      <c r="A943" s="3" t="s">
        <v>2546</v>
      </c>
      <c r="B943" s="1">
        <v>6.4</v>
      </c>
      <c r="C943" s="1" t="s">
        <v>17759</v>
      </c>
      <c r="D943" s="1" t="s">
        <v>6019</v>
      </c>
      <c r="E943" s="1" t="s">
        <v>17761</v>
      </c>
      <c r="F943" s="1" t="s">
        <v>17471</v>
      </c>
      <c r="G943" s="1"/>
      <c r="H943" s="1"/>
      <c r="I943" s="1"/>
      <c r="J943" s="1"/>
      <c r="K943" s="1" t="s">
        <v>15328</v>
      </c>
    </row>
    <row r="944" ht="14.25" customHeight="1">
      <c r="A944" s="3" t="s">
        <v>2546</v>
      </c>
      <c r="B944" s="1">
        <v>6.5</v>
      </c>
      <c r="C944" s="1" t="s">
        <v>17759</v>
      </c>
      <c r="D944" s="1" t="s">
        <v>6019</v>
      </c>
      <c r="E944" s="1" t="s">
        <v>17761</v>
      </c>
      <c r="F944" s="1" t="s">
        <v>17471</v>
      </c>
      <c r="G944" s="1"/>
      <c r="H944" s="1"/>
      <c r="I944" s="1"/>
      <c r="J944" s="1"/>
      <c r="K944" s="1" t="s">
        <v>16610</v>
      </c>
    </row>
    <row r="945" ht="14.25" customHeight="1">
      <c r="A945" s="3" t="s">
        <v>2971</v>
      </c>
      <c r="B945" s="1">
        <v>4.3</v>
      </c>
      <c r="C945" s="1" t="s">
        <v>1270</v>
      </c>
      <c r="D945" s="1" t="s">
        <v>917</v>
      </c>
      <c r="E945" s="1" t="s">
        <v>17762</v>
      </c>
      <c r="F945" s="1" t="s">
        <v>17471</v>
      </c>
      <c r="G945" s="1"/>
      <c r="H945" s="1"/>
      <c r="I945" s="1"/>
      <c r="J945" s="1"/>
      <c r="K945" s="1" t="s">
        <v>2970</v>
      </c>
    </row>
    <row r="946" ht="14.25" customHeight="1">
      <c r="A946" s="3" t="s">
        <v>2944</v>
      </c>
      <c r="B946" s="1">
        <v>4.2</v>
      </c>
      <c r="C946" s="1" t="s">
        <v>1270</v>
      </c>
      <c r="D946" s="1" t="s">
        <v>1885</v>
      </c>
      <c r="E946" s="1" t="s">
        <v>17762</v>
      </c>
      <c r="F946" s="1" t="s">
        <v>17471</v>
      </c>
      <c r="G946" s="1"/>
      <c r="H946" s="1"/>
      <c r="I946" s="1"/>
      <c r="J946" s="1"/>
      <c r="K946" s="1" t="s">
        <v>2943</v>
      </c>
    </row>
    <row r="947" ht="14.25" customHeight="1">
      <c r="A947" s="3" t="s">
        <v>1529</v>
      </c>
      <c r="B947" s="1">
        <v>6.5</v>
      </c>
      <c r="C947" s="1" t="s">
        <v>1270</v>
      </c>
      <c r="D947" s="1" t="s">
        <v>17763</v>
      </c>
      <c r="E947" s="1" t="s">
        <v>17762</v>
      </c>
      <c r="F947" s="1" t="s">
        <v>17471</v>
      </c>
      <c r="G947" s="1"/>
      <c r="H947" s="1"/>
      <c r="I947" s="1"/>
      <c r="J947" s="1"/>
      <c r="K947" s="1" t="s">
        <v>1528</v>
      </c>
    </row>
    <row r="948" ht="14.25" customHeight="1">
      <c r="A948" s="3" t="s">
        <v>1529</v>
      </c>
      <c r="B948" s="1">
        <v>6.1</v>
      </c>
      <c r="C948" s="1" t="s">
        <v>1270</v>
      </c>
      <c r="D948" s="1" t="s">
        <v>17763</v>
      </c>
      <c r="E948" s="1" t="s">
        <v>17762</v>
      </c>
      <c r="F948" s="1" t="s">
        <v>17471</v>
      </c>
      <c r="G948" s="1"/>
      <c r="H948" s="1"/>
      <c r="I948" s="1"/>
      <c r="J948" s="1"/>
      <c r="K948" s="1" t="s">
        <v>3415</v>
      </c>
    </row>
    <row r="949" ht="14.25" customHeight="1">
      <c r="A949" s="3" t="s">
        <v>1529</v>
      </c>
      <c r="B949" s="1">
        <v>6.3</v>
      </c>
      <c r="C949" s="1" t="s">
        <v>1270</v>
      </c>
      <c r="D949" s="1" t="s">
        <v>17763</v>
      </c>
      <c r="E949" s="1" t="s">
        <v>17762</v>
      </c>
      <c r="F949" s="1" t="s">
        <v>17471</v>
      </c>
      <c r="G949" s="1"/>
      <c r="H949" s="1"/>
      <c r="I949" s="1"/>
      <c r="J949" s="1"/>
      <c r="K949" s="1" t="s">
        <v>7133</v>
      </c>
    </row>
    <row r="950" ht="14.25" customHeight="1">
      <c r="A950" s="3" t="s">
        <v>4018</v>
      </c>
      <c r="B950" s="1">
        <v>6.2</v>
      </c>
      <c r="C950" s="1" t="s">
        <v>1885</v>
      </c>
      <c r="D950" s="1" t="s">
        <v>17763</v>
      </c>
      <c r="E950" s="1" t="s">
        <v>17762</v>
      </c>
      <c r="F950" s="1" t="s">
        <v>17471</v>
      </c>
      <c r="G950" s="1"/>
      <c r="H950" s="1"/>
      <c r="I950" s="1"/>
      <c r="J950" s="1"/>
      <c r="K950" s="1" t="s">
        <v>4017</v>
      </c>
    </row>
    <row r="951" ht="14.25" customHeight="1">
      <c r="A951" s="3" t="s">
        <v>4018</v>
      </c>
      <c r="B951" s="1">
        <v>5.9</v>
      </c>
      <c r="C951" s="1" t="s">
        <v>1885</v>
      </c>
      <c r="D951" s="1" t="s">
        <v>17763</v>
      </c>
      <c r="E951" s="1" t="s">
        <v>17762</v>
      </c>
      <c r="F951" s="1" t="s">
        <v>17471</v>
      </c>
      <c r="G951" s="1"/>
      <c r="H951" s="1"/>
      <c r="I951" s="1"/>
      <c r="J951" s="1"/>
      <c r="K951" s="1" t="s">
        <v>4356</v>
      </c>
    </row>
    <row r="952" ht="14.25" customHeight="1">
      <c r="A952" s="3" t="s">
        <v>4018</v>
      </c>
      <c r="B952" s="1">
        <v>5.9</v>
      </c>
      <c r="C952" s="1" t="s">
        <v>1885</v>
      </c>
      <c r="D952" s="1" t="s">
        <v>17763</v>
      </c>
      <c r="E952" s="1" t="s">
        <v>17762</v>
      </c>
      <c r="F952" s="1" t="s">
        <v>17471</v>
      </c>
      <c r="G952" s="1"/>
      <c r="H952" s="1"/>
      <c r="I952" s="1"/>
      <c r="J952" s="1"/>
      <c r="K952" s="1" t="s">
        <v>15556</v>
      </c>
    </row>
    <row r="953" ht="14.25" customHeight="1">
      <c r="A953" s="3" t="s">
        <v>9029</v>
      </c>
      <c r="B953" s="1">
        <v>6.5</v>
      </c>
      <c r="C953" s="1" t="s">
        <v>1885</v>
      </c>
      <c r="D953" s="1" t="s">
        <v>3238</v>
      </c>
      <c r="E953" s="1" t="s">
        <v>17762</v>
      </c>
      <c r="F953" s="1" t="s">
        <v>17471</v>
      </c>
      <c r="G953" s="1"/>
      <c r="H953" s="1"/>
      <c r="I953" s="1"/>
      <c r="J953" s="1"/>
      <c r="K953" s="1" t="s">
        <v>9028</v>
      </c>
    </row>
    <row r="954" ht="14.25" customHeight="1">
      <c r="A954" s="3" t="s">
        <v>9029</v>
      </c>
      <c r="B954" s="1">
        <v>6.4</v>
      </c>
      <c r="C954" s="1" t="s">
        <v>1885</v>
      </c>
      <c r="D954" s="1" t="s">
        <v>3238</v>
      </c>
      <c r="E954" s="1" t="s">
        <v>17762</v>
      </c>
      <c r="F954" s="1" t="s">
        <v>17471</v>
      </c>
      <c r="G954" s="1"/>
      <c r="H954" s="1"/>
      <c r="I954" s="1"/>
      <c r="J954" s="1"/>
      <c r="K954" s="1" t="s">
        <v>9952</v>
      </c>
    </row>
    <row r="955" ht="14.25" customHeight="1">
      <c r="A955" s="3" t="s">
        <v>4987</v>
      </c>
      <c r="B955" s="1">
        <v>6.5</v>
      </c>
      <c r="C955" s="1" t="s">
        <v>17763</v>
      </c>
      <c r="D955" s="1" t="s">
        <v>3238</v>
      </c>
      <c r="E955" s="1" t="s">
        <v>17762</v>
      </c>
      <c r="F955" s="1" t="s">
        <v>17471</v>
      </c>
      <c r="G955" s="1"/>
      <c r="H955" s="1"/>
      <c r="I955" s="1"/>
      <c r="J955" s="1"/>
      <c r="K955" s="1" t="s">
        <v>4986</v>
      </c>
    </row>
    <row r="956" ht="14.25" customHeight="1">
      <c r="A956" s="3" t="s">
        <v>4987</v>
      </c>
      <c r="B956" s="1">
        <v>5.7</v>
      </c>
      <c r="C956" s="1" t="s">
        <v>17763</v>
      </c>
      <c r="D956" s="1" t="s">
        <v>3238</v>
      </c>
      <c r="E956" s="1" t="s">
        <v>17762</v>
      </c>
      <c r="F956" s="1" t="s">
        <v>17471</v>
      </c>
      <c r="G956" s="1"/>
      <c r="H956" s="1"/>
      <c r="I956" s="1"/>
      <c r="J956" s="1"/>
      <c r="K956" s="1" t="s">
        <v>5270</v>
      </c>
    </row>
    <row r="957" ht="14.25" customHeight="1">
      <c r="A957" s="3" t="s">
        <v>4987</v>
      </c>
      <c r="B957" s="1">
        <v>8.0</v>
      </c>
      <c r="C957" s="1" t="s">
        <v>17763</v>
      </c>
      <c r="D957" s="1" t="s">
        <v>3238</v>
      </c>
      <c r="E957" s="1" t="s">
        <v>17762</v>
      </c>
      <c r="F957" s="1" t="s">
        <v>17471</v>
      </c>
      <c r="G957" s="1"/>
      <c r="H957" s="1"/>
      <c r="I957" s="1"/>
      <c r="J957" s="1"/>
      <c r="K957" s="1" t="s">
        <v>6283</v>
      </c>
    </row>
    <row r="958" ht="14.25" customHeight="1">
      <c r="A958" s="3" t="s">
        <v>4987</v>
      </c>
      <c r="B958" s="1">
        <v>7.3</v>
      </c>
      <c r="C958" s="1" t="s">
        <v>17763</v>
      </c>
      <c r="D958" s="1" t="s">
        <v>3238</v>
      </c>
      <c r="E958" s="1" t="s">
        <v>17762</v>
      </c>
      <c r="F958" s="1" t="s">
        <v>17471</v>
      </c>
      <c r="G958" s="1"/>
      <c r="H958" s="1"/>
      <c r="I958" s="1"/>
      <c r="J958" s="1"/>
      <c r="K958" s="1" t="s">
        <v>7960</v>
      </c>
    </row>
    <row r="959" ht="14.25" customHeight="1">
      <c r="A959" s="3" t="s">
        <v>4987</v>
      </c>
      <c r="B959" s="1">
        <v>6.7</v>
      </c>
      <c r="C959" s="1" t="s">
        <v>17763</v>
      </c>
      <c r="D959" s="1" t="s">
        <v>3238</v>
      </c>
      <c r="E959" s="1" t="s">
        <v>17762</v>
      </c>
      <c r="F959" s="1" t="s">
        <v>17471</v>
      </c>
      <c r="G959" s="1"/>
      <c r="H959" s="1"/>
      <c r="I959" s="1"/>
      <c r="J959" s="1"/>
      <c r="K959" s="1" t="s">
        <v>8427</v>
      </c>
    </row>
    <row r="960" ht="14.25" customHeight="1">
      <c r="A960" s="3" t="s">
        <v>4987</v>
      </c>
      <c r="B960" s="1">
        <v>7.5</v>
      </c>
      <c r="C960" s="1" t="s">
        <v>17763</v>
      </c>
      <c r="D960" s="1" t="s">
        <v>3238</v>
      </c>
      <c r="E960" s="1" t="s">
        <v>17762</v>
      </c>
      <c r="F960" s="1" t="s">
        <v>17471</v>
      </c>
      <c r="G960" s="1"/>
      <c r="H960" s="1"/>
      <c r="I960" s="1"/>
      <c r="J960" s="1"/>
      <c r="K960" s="1" t="s">
        <v>9587</v>
      </c>
    </row>
    <row r="961" ht="14.25" customHeight="1">
      <c r="A961" s="3" t="s">
        <v>4987</v>
      </c>
      <c r="B961" s="1">
        <v>5.4</v>
      </c>
      <c r="C961" s="1" t="s">
        <v>17763</v>
      </c>
      <c r="D961" s="1" t="s">
        <v>3238</v>
      </c>
      <c r="E961" s="1" t="s">
        <v>17762</v>
      </c>
      <c r="F961" s="1" t="s">
        <v>17471</v>
      </c>
      <c r="G961" s="1"/>
      <c r="H961" s="1"/>
      <c r="I961" s="1"/>
      <c r="J961" s="1"/>
      <c r="K961" s="1" t="s">
        <v>10044</v>
      </c>
    </row>
    <row r="962" ht="14.25" customHeight="1">
      <c r="A962" s="3" t="s">
        <v>4987</v>
      </c>
      <c r="B962" s="1">
        <v>6.6</v>
      </c>
      <c r="C962" s="1" t="s">
        <v>17763</v>
      </c>
      <c r="D962" s="1" t="s">
        <v>3238</v>
      </c>
      <c r="E962" s="1" t="s">
        <v>17762</v>
      </c>
      <c r="F962" s="1" t="s">
        <v>17471</v>
      </c>
      <c r="G962" s="1"/>
      <c r="H962" s="1"/>
      <c r="I962" s="1"/>
      <c r="J962" s="1"/>
      <c r="K962" s="1" t="s">
        <v>10481</v>
      </c>
    </row>
    <row r="963" ht="14.25" customHeight="1">
      <c r="A963" s="3" t="s">
        <v>4987</v>
      </c>
      <c r="B963" s="1">
        <v>7.7</v>
      </c>
      <c r="C963" s="1" t="s">
        <v>17763</v>
      </c>
      <c r="D963" s="1" t="s">
        <v>3238</v>
      </c>
      <c r="E963" s="1" t="s">
        <v>17762</v>
      </c>
      <c r="F963" s="1" t="s">
        <v>17471</v>
      </c>
      <c r="G963" s="1"/>
      <c r="H963" s="1"/>
      <c r="I963" s="1"/>
      <c r="J963" s="1"/>
      <c r="K963" s="1" t="s">
        <v>11251</v>
      </c>
    </row>
    <row r="964" ht="14.25" customHeight="1">
      <c r="A964" s="3" t="s">
        <v>4987</v>
      </c>
      <c r="B964" s="1">
        <v>5.8</v>
      </c>
      <c r="C964" s="1" t="s">
        <v>17763</v>
      </c>
      <c r="D964" s="1" t="s">
        <v>3238</v>
      </c>
      <c r="E964" s="1" t="s">
        <v>17762</v>
      </c>
      <c r="F964" s="1" t="s">
        <v>17471</v>
      </c>
      <c r="G964" s="1"/>
      <c r="H964" s="1"/>
      <c r="I964" s="1"/>
      <c r="J964" s="1"/>
      <c r="K964" s="1" t="s">
        <v>11809</v>
      </c>
    </row>
    <row r="965" ht="14.25" customHeight="1">
      <c r="A965" s="3" t="s">
        <v>4987</v>
      </c>
      <c r="B965" s="1">
        <v>6.4</v>
      </c>
      <c r="C965" s="1" t="s">
        <v>17763</v>
      </c>
      <c r="D965" s="1" t="s">
        <v>3238</v>
      </c>
      <c r="E965" s="1" t="s">
        <v>17762</v>
      </c>
      <c r="F965" s="1" t="s">
        <v>17471</v>
      </c>
      <c r="G965" s="1"/>
      <c r="H965" s="1"/>
      <c r="I965" s="1"/>
      <c r="J965" s="1"/>
      <c r="K965" s="1" t="s">
        <v>12587</v>
      </c>
    </row>
    <row r="966" ht="14.25" customHeight="1">
      <c r="A966" s="3" t="s">
        <v>4987</v>
      </c>
      <c r="B966" s="1">
        <v>5.6</v>
      </c>
      <c r="C966" s="1" t="s">
        <v>17763</v>
      </c>
      <c r="D966" s="1" t="s">
        <v>3238</v>
      </c>
      <c r="E966" s="1" t="s">
        <v>17762</v>
      </c>
      <c r="F966" s="1" t="s">
        <v>17471</v>
      </c>
      <c r="G966" s="1"/>
      <c r="H966" s="1"/>
      <c r="I966" s="1"/>
      <c r="J966" s="1"/>
      <c r="K966" s="1" t="s">
        <v>13556</v>
      </c>
    </row>
    <row r="967" ht="14.25" customHeight="1">
      <c r="A967" s="3" t="s">
        <v>4987</v>
      </c>
      <c r="B967" s="1">
        <v>6.0</v>
      </c>
      <c r="C967" s="1" t="s">
        <v>17763</v>
      </c>
      <c r="D967" s="1" t="s">
        <v>3238</v>
      </c>
      <c r="E967" s="1" t="s">
        <v>17762</v>
      </c>
      <c r="F967" s="1" t="s">
        <v>17471</v>
      </c>
      <c r="G967" s="1"/>
      <c r="H967" s="1"/>
      <c r="I967" s="1"/>
      <c r="J967" s="1"/>
      <c r="K967" s="1" t="s">
        <v>15364</v>
      </c>
    </row>
    <row r="968" ht="14.25" customHeight="1">
      <c r="A968" s="3" t="s">
        <v>4987</v>
      </c>
      <c r="B968" s="1">
        <v>6.2</v>
      </c>
      <c r="C968" s="1" t="s">
        <v>17763</v>
      </c>
      <c r="D968" s="1" t="s">
        <v>3238</v>
      </c>
      <c r="E968" s="1" t="s">
        <v>17762</v>
      </c>
      <c r="F968" s="1" t="s">
        <v>17471</v>
      </c>
      <c r="G968" s="1"/>
      <c r="H968" s="1"/>
      <c r="I968" s="1"/>
      <c r="J968" s="1"/>
      <c r="K968" s="1" t="s">
        <v>15436</v>
      </c>
    </row>
    <row r="969" ht="14.25" customHeight="1">
      <c r="A969" s="3" t="s">
        <v>9507</v>
      </c>
      <c r="B969" s="1">
        <v>5.9</v>
      </c>
      <c r="C969" s="1" t="s">
        <v>3238</v>
      </c>
      <c r="D969" s="1" t="s">
        <v>17759</v>
      </c>
      <c r="E969" s="1" t="s">
        <v>17762</v>
      </c>
      <c r="F969" s="1" t="s">
        <v>17471</v>
      </c>
      <c r="G969" s="1"/>
      <c r="H969" s="1"/>
      <c r="I969" s="1"/>
      <c r="J969" s="1"/>
      <c r="K969" s="1" t="s">
        <v>9506</v>
      </c>
    </row>
    <row r="970" ht="14.25" customHeight="1">
      <c r="A970" s="3" t="s">
        <v>3218</v>
      </c>
      <c r="B970" s="1">
        <v>5.1</v>
      </c>
      <c r="C970" s="1" t="s">
        <v>3238</v>
      </c>
      <c r="D970" s="1" t="s">
        <v>6019</v>
      </c>
      <c r="E970" s="1" t="s">
        <v>17762</v>
      </c>
      <c r="F970" s="1" t="s">
        <v>17471</v>
      </c>
      <c r="G970" s="1"/>
      <c r="H970" s="1"/>
      <c r="I970" s="1"/>
      <c r="J970" s="1"/>
      <c r="K970" s="1" t="s">
        <v>3217</v>
      </c>
    </row>
    <row r="971" ht="14.25" customHeight="1">
      <c r="A971" s="3" t="s">
        <v>3218</v>
      </c>
      <c r="B971" s="1">
        <v>6.8</v>
      </c>
      <c r="C971" s="1" t="s">
        <v>3238</v>
      </c>
      <c r="D971" s="1" t="s">
        <v>6019</v>
      </c>
      <c r="E971" s="1" t="s">
        <v>17762</v>
      </c>
      <c r="F971" s="1" t="s">
        <v>17471</v>
      </c>
      <c r="G971" s="1"/>
      <c r="H971" s="1"/>
      <c r="I971" s="1"/>
      <c r="J971" s="1"/>
      <c r="K971" s="1" t="s">
        <v>5300</v>
      </c>
    </row>
    <row r="972" ht="14.25" customHeight="1">
      <c r="A972" s="3" t="s">
        <v>14660</v>
      </c>
      <c r="B972" s="1">
        <v>6.0</v>
      </c>
      <c r="C972" s="1" t="s">
        <v>17759</v>
      </c>
      <c r="D972" s="1" t="s">
        <v>6019</v>
      </c>
      <c r="E972" s="1" t="s">
        <v>17762</v>
      </c>
      <c r="F972" s="1" t="s">
        <v>17471</v>
      </c>
      <c r="G972" s="1"/>
      <c r="H972" s="1"/>
      <c r="I972" s="1"/>
      <c r="J972" s="1"/>
      <c r="K972" s="1" t="s">
        <v>14659</v>
      </c>
    </row>
    <row r="973" ht="14.25" customHeight="1">
      <c r="A973" s="3" t="s">
        <v>4511</v>
      </c>
      <c r="B973" s="1">
        <v>5.1</v>
      </c>
      <c r="C973" s="1" t="s">
        <v>3238</v>
      </c>
      <c r="D973" s="1" t="s">
        <v>17760</v>
      </c>
      <c r="E973" s="1" t="s">
        <v>17762</v>
      </c>
      <c r="F973" s="1" t="s">
        <v>17471</v>
      </c>
      <c r="G973" s="1"/>
      <c r="H973" s="1"/>
      <c r="I973" s="1"/>
      <c r="J973" s="1"/>
      <c r="K973" s="1" t="s">
        <v>4510</v>
      </c>
    </row>
    <row r="974" ht="14.25" customHeight="1">
      <c r="A974" s="3" t="s">
        <v>3113</v>
      </c>
      <c r="B974" s="1">
        <v>5.8</v>
      </c>
      <c r="C974" s="1" t="s">
        <v>3238</v>
      </c>
      <c r="D974" s="1" t="s">
        <v>17761</v>
      </c>
      <c r="E974" s="1" t="s">
        <v>17762</v>
      </c>
      <c r="F974" s="1" t="s">
        <v>17471</v>
      </c>
      <c r="G974" s="1"/>
      <c r="H974" s="1"/>
      <c r="I974" s="1"/>
      <c r="J974" s="1"/>
      <c r="K974" s="1" t="s">
        <v>3112</v>
      </c>
    </row>
    <row r="975" ht="14.25" customHeight="1">
      <c r="A975" s="3" t="s">
        <v>3113</v>
      </c>
      <c r="B975" s="1">
        <v>6.2</v>
      </c>
      <c r="C975" s="1" t="s">
        <v>3238</v>
      </c>
      <c r="D975" s="1" t="s">
        <v>17761</v>
      </c>
      <c r="E975" s="1" t="s">
        <v>17762</v>
      </c>
      <c r="F975" s="1" t="s">
        <v>17471</v>
      </c>
      <c r="G975" s="1"/>
      <c r="H975" s="1"/>
      <c r="I975" s="1"/>
      <c r="J975" s="1"/>
      <c r="K975" s="1" t="s">
        <v>6761</v>
      </c>
    </row>
    <row r="976" ht="14.25" customHeight="1">
      <c r="A976" s="3" t="s">
        <v>3113</v>
      </c>
      <c r="B976" s="1">
        <v>6.4</v>
      </c>
      <c r="C976" s="1" t="s">
        <v>3238</v>
      </c>
      <c r="D976" s="1" t="s">
        <v>17761</v>
      </c>
      <c r="E976" s="1" t="s">
        <v>17762</v>
      </c>
      <c r="F976" s="1" t="s">
        <v>17471</v>
      </c>
      <c r="G976" s="1"/>
      <c r="H976" s="1"/>
      <c r="I976" s="1"/>
      <c r="J976" s="1"/>
      <c r="K976" s="1" t="s">
        <v>8031</v>
      </c>
    </row>
    <row r="977" ht="14.25" customHeight="1">
      <c r="A977" s="3" t="s">
        <v>3113</v>
      </c>
      <c r="B977" s="1">
        <v>4.8</v>
      </c>
      <c r="C977" s="1" t="s">
        <v>3238</v>
      </c>
      <c r="D977" s="1" t="s">
        <v>17761</v>
      </c>
      <c r="E977" s="1" t="s">
        <v>17762</v>
      </c>
      <c r="F977" s="1" t="s">
        <v>17471</v>
      </c>
      <c r="G977" s="1"/>
      <c r="H977" s="1"/>
      <c r="I977" s="1"/>
      <c r="J977" s="1"/>
      <c r="K977" s="1" t="s">
        <v>8633</v>
      </c>
    </row>
    <row r="978" ht="14.25" customHeight="1">
      <c r="A978" s="3" t="s">
        <v>3113</v>
      </c>
      <c r="B978" s="1">
        <v>4.9</v>
      </c>
      <c r="C978" s="1" t="s">
        <v>3238</v>
      </c>
      <c r="D978" s="1" t="s">
        <v>17761</v>
      </c>
      <c r="E978" s="1" t="s">
        <v>17762</v>
      </c>
      <c r="F978" s="1" t="s">
        <v>17471</v>
      </c>
      <c r="G978" s="1"/>
      <c r="H978" s="1"/>
      <c r="I978" s="1"/>
      <c r="J978" s="1"/>
      <c r="K978" s="1" t="s">
        <v>8673</v>
      </c>
    </row>
    <row r="979" ht="14.25" customHeight="1">
      <c r="A979" s="3" t="s">
        <v>3113</v>
      </c>
      <c r="B979" s="1">
        <v>5.6</v>
      </c>
      <c r="C979" s="1" t="s">
        <v>3238</v>
      </c>
      <c r="D979" s="1" t="s">
        <v>17761</v>
      </c>
      <c r="E979" s="1" t="s">
        <v>17762</v>
      </c>
      <c r="F979" s="1" t="s">
        <v>17471</v>
      </c>
      <c r="G979" s="1"/>
      <c r="H979" s="1"/>
      <c r="I979" s="1"/>
      <c r="J979" s="1"/>
      <c r="K979" s="1" t="s">
        <v>8031</v>
      </c>
    </row>
    <row r="980" ht="14.25" customHeight="1">
      <c r="A980" s="3" t="s">
        <v>3113</v>
      </c>
      <c r="B980" s="1">
        <v>5.5</v>
      </c>
      <c r="C980" s="1" t="s">
        <v>3238</v>
      </c>
      <c r="D980" s="1" t="s">
        <v>17761</v>
      </c>
      <c r="E980" s="1" t="s">
        <v>17762</v>
      </c>
      <c r="F980" s="1" t="s">
        <v>17471</v>
      </c>
      <c r="G980" s="1"/>
      <c r="H980" s="1"/>
      <c r="I980" s="1"/>
      <c r="J980" s="1"/>
      <c r="K980" s="1" t="s">
        <v>10411</v>
      </c>
    </row>
    <row r="981" ht="14.25" customHeight="1">
      <c r="A981" s="3" t="s">
        <v>3113</v>
      </c>
      <c r="B981" s="1">
        <v>3.7</v>
      </c>
      <c r="C981" s="1" t="s">
        <v>3238</v>
      </c>
      <c r="D981" s="1" t="s">
        <v>17761</v>
      </c>
      <c r="E981" s="1" t="s">
        <v>17762</v>
      </c>
      <c r="F981" s="1" t="s">
        <v>17471</v>
      </c>
      <c r="G981" s="1"/>
      <c r="H981" s="1"/>
      <c r="I981" s="1"/>
      <c r="J981" s="1"/>
      <c r="K981" s="1" t="s">
        <v>11131</v>
      </c>
    </row>
    <row r="982" ht="14.25" customHeight="1">
      <c r="A982" s="3" t="s">
        <v>3113</v>
      </c>
      <c r="B982" s="1">
        <v>5.9</v>
      </c>
      <c r="C982" s="1" t="s">
        <v>3238</v>
      </c>
      <c r="D982" s="1" t="s">
        <v>17761</v>
      </c>
      <c r="E982" s="1" t="s">
        <v>17762</v>
      </c>
      <c r="F982" s="1" t="s">
        <v>17471</v>
      </c>
      <c r="G982" s="1"/>
      <c r="H982" s="1"/>
      <c r="I982" s="1"/>
      <c r="J982" s="1"/>
      <c r="K982" s="1" t="s">
        <v>11131</v>
      </c>
    </row>
    <row r="983" ht="14.25" customHeight="1">
      <c r="A983" s="3" t="s">
        <v>3113</v>
      </c>
      <c r="B983" s="1">
        <v>6.3</v>
      </c>
      <c r="C983" s="1" t="s">
        <v>3238</v>
      </c>
      <c r="D983" s="1" t="s">
        <v>17761</v>
      </c>
      <c r="E983" s="1" t="s">
        <v>17762</v>
      </c>
      <c r="F983" s="1" t="s">
        <v>17471</v>
      </c>
      <c r="G983" s="1"/>
      <c r="H983" s="1"/>
      <c r="I983" s="1"/>
      <c r="J983" s="1"/>
      <c r="K983" s="1" t="s">
        <v>12407</v>
      </c>
    </row>
    <row r="984" ht="14.25" customHeight="1">
      <c r="A984" s="3" t="s">
        <v>3113</v>
      </c>
      <c r="B984" s="1">
        <v>7.6</v>
      </c>
      <c r="C984" s="1" t="s">
        <v>3238</v>
      </c>
      <c r="D984" s="1" t="s">
        <v>17761</v>
      </c>
      <c r="E984" s="1" t="s">
        <v>17762</v>
      </c>
      <c r="F984" s="1" t="s">
        <v>17471</v>
      </c>
      <c r="G984" s="1"/>
      <c r="H984" s="1"/>
      <c r="I984" s="1"/>
      <c r="J984" s="1"/>
      <c r="K984" s="1" t="s">
        <v>14733</v>
      </c>
    </row>
    <row r="985" ht="14.25" customHeight="1">
      <c r="A985" s="3" t="s">
        <v>219</v>
      </c>
      <c r="B985" s="1">
        <v>8.3</v>
      </c>
      <c r="C985" s="1" t="s">
        <v>1270</v>
      </c>
      <c r="D985" s="1" t="s">
        <v>917</v>
      </c>
      <c r="E985" s="1" t="s">
        <v>17764</v>
      </c>
      <c r="F985" s="1" t="s">
        <v>17471</v>
      </c>
      <c r="G985" s="1"/>
      <c r="H985" s="1"/>
      <c r="I985" s="1"/>
      <c r="J985" s="1"/>
      <c r="K985" s="1" t="s">
        <v>218</v>
      </c>
    </row>
    <row r="986" ht="14.25" customHeight="1">
      <c r="A986" s="3" t="s">
        <v>219</v>
      </c>
      <c r="B986" s="1">
        <v>6.9</v>
      </c>
      <c r="C986" s="1" t="s">
        <v>1270</v>
      </c>
      <c r="D986" s="1" t="s">
        <v>917</v>
      </c>
      <c r="E986" s="1" t="s">
        <v>17764</v>
      </c>
      <c r="F986" s="1" t="s">
        <v>17471</v>
      </c>
      <c r="G986" s="1"/>
      <c r="H986" s="1"/>
      <c r="I986" s="1"/>
      <c r="J986" s="1"/>
      <c r="K986" s="1" t="s">
        <v>226</v>
      </c>
    </row>
    <row r="987" ht="14.25" customHeight="1">
      <c r="A987" s="3" t="s">
        <v>219</v>
      </c>
      <c r="B987" s="1">
        <v>6.7</v>
      </c>
      <c r="C987" s="1" t="s">
        <v>1270</v>
      </c>
      <c r="D987" s="1" t="s">
        <v>917</v>
      </c>
      <c r="E987" s="1" t="s">
        <v>17764</v>
      </c>
      <c r="F987" s="1" t="s">
        <v>17471</v>
      </c>
      <c r="G987" s="1"/>
      <c r="H987" s="1"/>
      <c r="I987" s="1"/>
      <c r="J987" s="1"/>
      <c r="K987" s="1" t="s">
        <v>395</v>
      </c>
    </row>
    <row r="988" ht="14.25" customHeight="1">
      <c r="A988" s="3" t="s">
        <v>219</v>
      </c>
      <c r="B988" s="1">
        <v>6.8</v>
      </c>
      <c r="C988" s="1" t="s">
        <v>1270</v>
      </c>
      <c r="D988" s="1" t="s">
        <v>917</v>
      </c>
      <c r="E988" s="1" t="s">
        <v>17764</v>
      </c>
      <c r="F988" s="1" t="s">
        <v>17471</v>
      </c>
      <c r="G988" s="1"/>
      <c r="H988" s="1"/>
      <c r="I988" s="1"/>
      <c r="J988" s="1"/>
      <c r="K988" s="1" t="s">
        <v>514</v>
      </c>
    </row>
    <row r="989" ht="14.25" customHeight="1">
      <c r="A989" s="3" t="s">
        <v>219</v>
      </c>
      <c r="B989" s="1">
        <v>7.1</v>
      </c>
      <c r="C989" s="1" t="s">
        <v>1270</v>
      </c>
      <c r="D989" s="1" t="s">
        <v>917</v>
      </c>
      <c r="E989" s="1" t="s">
        <v>17764</v>
      </c>
      <c r="F989" s="1" t="s">
        <v>17471</v>
      </c>
      <c r="G989" s="1"/>
      <c r="H989" s="1"/>
      <c r="I989" s="1"/>
      <c r="J989" s="1"/>
      <c r="K989" s="1" t="s">
        <v>521</v>
      </c>
    </row>
    <row r="990" ht="14.25" customHeight="1">
      <c r="A990" s="3" t="s">
        <v>219</v>
      </c>
      <c r="B990" s="1">
        <v>6.4</v>
      </c>
      <c r="C990" s="1" t="s">
        <v>1270</v>
      </c>
      <c r="D990" s="1" t="s">
        <v>917</v>
      </c>
      <c r="E990" s="1" t="s">
        <v>17764</v>
      </c>
      <c r="F990" s="1" t="s">
        <v>17471</v>
      </c>
      <c r="G990" s="1"/>
      <c r="H990" s="1"/>
      <c r="I990" s="1"/>
      <c r="J990" s="1"/>
      <c r="K990" s="1" t="s">
        <v>641</v>
      </c>
    </row>
    <row r="991" ht="14.25" customHeight="1">
      <c r="A991" s="3" t="s">
        <v>219</v>
      </c>
      <c r="B991" s="1">
        <v>6.4</v>
      </c>
      <c r="C991" s="1" t="s">
        <v>1270</v>
      </c>
      <c r="D991" s="1" t="s">
        <v>917</v>
      </c>
      <c r="E991" s="1" t="s">
        <v>17764</v>
      </c>
      <c r="F991" s="1" t="s">
        <v>17471</v>
      </c>
      <c r="G991" s="1"/>
      <c r="H991" s="1"/>
      <c r="I991" s="1"/>
      <c r="J991" s="1"/>
      <c r="K991" s="1" t="s">
        <v>809</v>
      </c>
    </row>
    <row r="992" ht="14.25" customHeight="1">
      <c r="A992" s="3" t="s">
        <v>219</v>
      </c>
      <c r="B992" s="1">
        <v>7.4</v>
      </c>
      <c r="C992" s="1" t="s">
        <v>1270</v>
      </c>
      <c r="D992" s="1" t="s">
        <v>917</v>
      </c>
      <c r="E992" s="1" t="s">
        <v>17764</v>
      </c>
      <c r="F992" s="1" t="s">
        <v>17471</v>
      </c>
      <c r="G992" s="1"/>
      <c r="H992" s="1"/>
      <c r="I992" s="1"/>
      <c r="J992" s="1"/>
      <c r="K992" s="1" t="s">
        <v>940</v>
      </c>
    </row>
    <row r="993" ht="14.25" customHeight="1">
      <c r="A993" s="3" t="s">
        <v>219</v>
      </c>
      <c r="B993" s="1">
        <v>6.4</v>
      </c>
      <c r="C993" s="1" t="s">
        <v>1270</v>
      </c>
      <c r="D993" s="1" t="s">
        <v>917</v>
      </c>
      <c r="E993" s="1" t="s">
        <v>17764</v>
      </c>
      <c r="F993" s="1" t="s">
        <v>17471</v>
      </c>
      <c r="G993" s="1"/>
      <c r="H993" s="1"/>
      <c r="I993" s="1"/>
      <c r="J993" s="1"/>
      <c r="K993" s="1" t="s">
        <v>1008</v>
      </c>
    </row>
    <row r="994" ht="14.25" customHeight="1">
      <c r="A994" s="3" t="s">
        <v>219</v>
      </c>
      <c r="B994" s="1">
        <v>6.0</v>
      </c>
      <c r="C994" s="1" t="s">
        <v>1270</v>
      </c>
      <c r="D994" s="1" t="s">
        <v>917</v>
      </c>
      <c r="E994" s="1" t="s">
        <v>17764</v>
      </c>
      <c r="F994" s="1" t="s">
        <v>17471</v>
      </c>
      <c r="G994" s="1"/>
      <c r="H994" s="1"/>
      <c r="I994" s="1"/>
      <c r="J994" s="1"/>
      <c r="K994" s="1" t="s">
        <v>1035</v>
      </c>
    </row>
    <row r="995" ht="14.25" customHeight="1">
      <c r="A995" s="3" t="s">
        <v>219</v>
      </c>
      <c r="B995" s="1">
        <v>6.5</v>
      </c>
      <c r="C995" s="1" t="s">
        <v>1270</v>
      </c>
      <c r="D995" s="1" t="s">
        <v>917</v>
      </c>
      <c r="E995" s="1" t="s">
        <v>17764</v>
      </c>
      <c r="F995" s="1" t="s">
        <v>17471</v>
      </c>
      <c r="G995" s="1"/>
      <c r="H995" s="1"/>
      <c r="I995" s="1"/>
      <c r="J995" s="1"/>
      <c r="K995" s="1" t="s">
        <v>1281</v>
      </c>
    </row>
    <row r="996" ht="14.25" customHeight="1">
      <c r="A996" s="3" t="s">
        <v>219</v>
      </c>
      <c r="B996" s="1">
        <v>7.8</v>
      </c>
      <c r="C996" s="1" t="s">
        <v>1270</v>
      </c>
      <c r="D996" s="1" t="s">
        <v>917</v>
      </c>
      <c r="E996" s="1" t="s">
        <v>17764</v>
      </c>
      <c r="F996" s="1" t="s">
        <v>17471</v>
      </c>
      <c r="G996" s="1"/>
      <c r="H996" s="1"/>
      <c r="I996" s="1"/>
      <c r="J996" s="1"/>
      <c r="K996" s="1" t="s">
        <v>1296</v>
      </c>
    </row>
    <row r="997" ht="14.25" customHeight="1">
      <c r="A997" s="3" t="s">
        <v>219</v>
      </c>
      <c r="B997" s="1">
        <v>6.0</v>
      </c>
      <c r="C997" s="1" t="s">
        <v>1270</v>
      </c>
      <c r="D997" s="1" t="s">
        <v>917</v>
      </c>
      <c r="E997" s="1" t="s">
        <v>17764</v>
      </c>
      <c r="F997" s="1" t="s">
        <v>17471</v>
      </c>
      <c r="G997" s="1"/>
      <c r="H997" s="1"/>
      <c r="I997" s="1"/>
      <c r="J997" s="1"/>
      <c r="K997" s="1" t="s">
        <v>1339</v>
      </c>
    </row>
    <row r="998" ht="14.25" customHeight="1">
      <c r="A998" s="3" t="s">
        <v>219</v>
      </c>
      <c r="B998" s="1">
        <v>7.0</v>
      </c>
      <c r="C998" s="1" t="s">
        <v>1270</v>
      </c>
      <c r="D998" s="1" t="s">
        <v>917</v>
      </c>
      <c r="E998" s="1" t="s">
        <v>17764</v>
      </c>
      <c r="F998" s="1" t="s">
        <v>17471</v>
      </c>
      <c r="G998" s="1"/>
      <c r="H998" s="1"/>
      <c r="I998" s="1"/>
      <c r="J998" s="1"/>
      <c r="K998" s="1" t="s">
        <v>1388</v>
      </c>
    </row>
    <row r="999" ht="14.25" customHeight="1">
      <c r="A999" s="3" t="s">
        <v>219</v>
      </c>
      <c r="B999" s="1">
        <v>6.0</v>
      </c>
      <c r="C999" s="1" t="s">
        <v>1270</v>
      </c>
      <c r="D999" s="1" t="s">
        <v>917</v>
      </c>
      <c r="E999" s="1" t="s">
        <v>17764</v>
      </c>
      <c r="F999" s="1" t="s">
        <v>17471</v>
      </c>
      <c r="G999" s="1"/>
      <c r="H999" s="1"/>
      <c r="I999" s="1"/>
      <c r="J999" s="1"/>
      <c r="K999" s="1" t="s">
        <v>1628</v>
      </c>
    </row>
    <row r="1000" ht="14.25" customHeight="1">
      <c r="A1000" s="3" t="s">
        <v>219</v>
      </c>
      <c r="B1000" s="1">
        <v>6.1</v>
      </c>
      <c r="C1000" s="1" t="s">
        <v>1270</v>
      </c>
      <c r="D1000" s="1" t="s">
        <v>917</v>
      </c>
      <c r="E1000" s="1" t="s">
        <v>17764</v>
      </c>
      <c r="F1000" s="1" t="s">
        <v>17471</v>
      </c>
      <c r="G1000" s="1"/>
      <c r="H1000" s="1"/>
      <c r="I1000" s="1"/>
      <c r="J1000" s="1"/>
      <c r="K1000" s="1" t="s">
        <v>1950</v>
      </c>
    </row>
    <row r="1001" ht="14.25" customHeight="1">
      <c r="A1001" s="3" t="s">
        <v>219</v>
      </c>
      <c r="B1001" s="1">
        <v>6.8</v>
      </c>
      <c r="C1001" s="1" t="s">
        <v>1270</v>
      </c>
      <c r="D1001" s="1" t="s">
        <v>917</v>
      </c>
      <c r="E1001" s="1" t="s">
        <v>17764</v>
      </c>
      <c r="F1001" s="1" t="s">
        <v>17471</v>
      </c>
      <c r="G1001" s="1"/>
      <c r="H1001" s="1"/>
      <c r="I1001" s="1"/>
      <c r="J1001" s="1"/>
      <c r="K1001" s="1" t="s">
        <v>2363</v>
      </c>
    </row>
    <row r="1002" ht="14.25" customHeight="1">
      <c r="A1002" s="3" t="s">
        <v>219</v>
      </c>
      <c r="B1002" s="1">
        <v>6.4</v>
      </c>
      <c r="C1002" s="1" t="s">
        <v>1270</v>
      </c>
      <c r="D1002" s="1" t="s">
        <v>917</v>
      </c>
      <c r="E1002" s="1" t="s">
        <v>17764</v>
      </c>
      <c r="F1002" s="1" t="s">
        <v>17471</v>
      </c>
      <c r="G1002" s="1"/>
      <c r="H1002" s="1"/>
      <c r="I1002" s="1"/>
      <c r="J1002" s="1"/>
      <c r="K1002" s="1" t="s">
        <v>2401</v>
      </c>
    </row>
    <row r="1003" ht="14.25" customHeight="1">
      <c r="A1003" s="3" t="s">
        <v>219</v>
      </c>
      <c r="B1003" s="1">
        <v>4.5</v>
      </c>
      <c r="C1003" s="1" t="s">
        <v>1270</v>
      </c>
      <c r="D1003" s="1" t="s">
        <v>917</v>
      </c>
      <c r="E1003" s="1" t="s">
        <v>17764</v>
      </c>
      <c r="F1003" s="1" t="s">
        <v>17471</v>
      </c>
      <c r="G1003" s="1"/>
      <c r="H1003" s="1"/>
      <c r="I1003" s="1"/>
      <c r="J1003" s="1"/>
      <c r="K1003" s="1" t="s">
        <v>3205</v>
      </c>
    </row>
    <row r="1004" ht="14.25" customHeight="1">
      <c r="A1004" s="3" t="s">
        <v>219</v>
      </c>
      <c r="B1004" s="1">
        <v>5.8</v>
      </c>
      <c r="C1004" s="1" t="s">
        <v>1270</v>
      </c>
      <c r="D1004" s="1" t="s">
        <v>917</v>
      </c>
      <c r="E1004" s="1" t="s">
        <v>17764</v>
      </c>
      <c r="F1004" s="1" t="s">
        <v>17471</v>
      </c>
      <c r="G1004" s="1"/>
      <c r="H1004" s="1"/>
      <c r="I1004" s="1"/>
      <c r="J1004" s="1"/>
      <c r="K1004" s="1" t="s">
        <v>4040</v>
      </c>
    </row>
    <row r="1005" ht="14.25" customHeight="1">
      <c r="A1005" s="3" t="s">
        <v>219</v>
      </c>
      <c r="B1005" s="1">
        <v>6.3</v>
      </c>
      <c r="C1005" s="1" t="s">
        <v>1270</v>
      </c>
      <c r="D1005" s="1" t="s">
        <v>917</v>
      </c>
      <c r="E1005" s="1" t="s">
        <v>17764</v>
      </c>
      <c r="F1005" s="1" t="s">
        <v>17471</v>
      </c>
      <c r="G1005" s="1"/>
      <c r="H1005" s="1"/>
      <c r="I1005" s="1"/>
      <c r="J1005" s="1"/>
      <c r="K1005" s="1" t="s">
        <v>4894</v>
      </c>
    </row>
    <row r="1006" ht="14.25" customHeight="1">
      <c r="A1006" s="3" t="s">
        <v>219</v>
      </c>
      <c r="B1006" s="1">
        <v>5.7</v>
      </c>
      <c r="C1006" s="1" t="s">
        <v>1270</v>
      </c>
      <c r="D1006" s="1" t="s">
        <v>917</v>
      </c>
      <c r="E1006" s="1" t="s">
        <v>17764</v>
      </c>
      <c r="F1006" s="1" t="s">
        <v>17471</v>
      </c>
      <c r="G1006" s="1"/>
      <c r="H1006" s="1"/>
      <c r="I1006" s="1"/>
      <c r="J1006" s="1"/>
      <c r="K1006" s="1" t="s">
        <v>5074</v>
      </c>
    </row>
    <row r="1007" ht="14.25" customHeight="1">
      <c r="A1007" s="3" t="s">
        <v>219</v>
      </c>
      <c r="B1007" s="1">
        <v>7.2</v>
      </c>
      <c r="C1007" s="1" t="s">
        <v>1270</v>
      </c>
      <c r="D1007" s="1" t="s">
        <v>917</v>
      </c>
      <c r="E1007" s="1" t="s">
        <v>17764</v>
      </c>
      <c r="F1007" s="1" t="s">
        <v>17471</v>
      </c>
      <c r="G1007" s="1"/>
      <c r="H1007" s="1"/>
      <c r="I1007" s="1"/>
      <c r="J1007" s="1"/>
      <c r="K1007" s="1" t="s">
        <v>5534</v>
      </c>
    </row>
    <row r="1008" ht="14.25" customHeight="1">
      <c r="A1008" s="3" t="s">
        <v>219</v>
      </c>
      <c r="B1008" s="1">
        <v>7.6</v>
      </c>
      <c r="C1008" s="1" t="s">
        <v>1270</v>
      </c>
      <c r="D1008" s="1" t="s">
        <v>917</v>
      </c>
      <c r="E1008" s="1" t="s">
        <v>17764</v>
      </c>
      <c r="F1008" s="1" t="s">
        <v>17471</v>
      </c>
      <c r="G1008" s="1"/>
      <c r="H1008" s="1"/>
      <c r="I1008" s="1"/>
      <c r="J1008" s="1"/>
      <c r="K1008" s="1" t="s">
        <v>6083</v>
      </c>
    </row>
    <row r="1009" ht="14.25" customHeight="1">
      <c r="A1009" s="3" t="s">
        <v>219</v>
      </c>
      <c r="B1009" s="1">
        <v>4.7</v>
      </c>
      <c r="C1009" s="1" t="s">
        <v>1270</v>
      </c>
      <c r="D1009" s="1" t="s">
        <v>917</v>
      </c>
      <c r="E1009" s="1" t="s">
        <v>17764</v>
      </c>
      <c r="F1009" s="1" t="s">
        <v>17471</v>
      </c>
      <c r="G1009" s="1"/>
      <c r="H1009" s="1"/>
      <c r="I1009" s="1"/>
      <c r="J1009" s="1"/>
      <c r="K1009" s="1" t="s">
        <v>6514</v>
      </c>
    </row>
    <row r="1010" ht="14.25" customHeight="1">
      <c r="A1010" s="3" t="s">
        <v>219</v>
      </c>
      <c r="B1010" s="1">
        <v>6.6</v>
      </c>
      <c r="C1010" s="1" t="s">
        <v>1270</v>
      </c>
      <c r="D1010" s="1" t="s">
        <v>917</v>
      </c>
      <c r="E1010" s="1" t="s">
        <v>17764</v>
      </c>
      <c r="F1010" s="1" t="s">
        <v>17471</v>
      </c>
      <c r="G1010" s="1"/>
      <c r="H1010" s="1"/>
      <c r="I1010" s="1"/>
      <c r="J1010" s="1"/>
      <c r="K1010" s="1" t="s">
        <v>6657</v>
      </c>
    </row>
    <row r="1011" ht="14.25" customHeight="1">
      <c r="A1011" s="3" t="s">
        <v>219</v>
      </c>
      <c r="B1011" s="1">
        <v>6.8</v>
      </c>
      <c r="C1011" s="1" t="s">
        <v>1270</v>
      </c>
      <c r="D1011" s="1" t="s">
        <v>917</v>
      </c>
      <c r="E1011" s="1" t="s">
        <v>17764</v>
      </c>
      <c r="F1011" s="1" t="s">
        <v>17471</v>
      </c>
      <c r="G1011" s="1"/>
      <c r="H1011" s="1"/>
      <c r="I1011" s="1"/>
      <c r="J1011" s="1"/>
      <c r="K1011" s="1" t="s">
        <v>7531</v>
      </c>
    </row>
    <row r="1012" ht="14.25" customHeight="1">
      <c r="A1012" s="3" t="s">
        <v>219</v>
      </c>
      <c r="B1012" s="1">
        <v>4.8</v>
      </c>
      <c r="C1012" s="1" t="s">
        <v>1270</v>
      </c>
      <c r="D1012" s="1" t="s">
        <v>917</v>
      </c>
      <c r="E1012" s="1" t="s">
        <v>17764</v>
      </c>
      <c r="F1012" s="1" t="s">
        <v>17471</v>
      </c>
      <c r="G1012" s="1"/>
      <c r="H1012" s="1"/>
      <c r="I1012" s="1"/>
      <c r="J1012" s="1"/>
      <c r="K1012" s="1" t="s">
        <v>7752</v>
      </c>
    </row>
    <row r="1013" ht="14.25" customHeight="1">
      <c r="A1013" s="3" t="s">
        <v>219</v>
      </c>
      <c r="B1013" s="1">
        <v>6.3</v>
      </c>
      <c r="C1013" s="1" t="s">
        <v>1270</v>
      </c>
      <c r="D1013" s="1" t="s">
        <v>917</v>
      </c>
      <c r="E1013" s="1" t="s">
        <v>17764</v>
      </c>
      <c r="F1013" s="1" t="s">
        <v>17471</v>
      </c>
      <c r="G1013" s="1"/>
      <c r="H1013" s="1"/>
      <c r="I1013" s="1"/>
      <c r="J1013" s="1"/>
      <c r="K1013" s="1" t="s">
        <v>8437</v>
      </c>
    </row>
    <row r="1014" ht="14.25" customHeight="1">
      <c r="A1014" s="3" t="s">
        <v>219</v>
      </c>
      <c r="B1014" s="1">
        <v>5.5</v>
      </c>
      <c r="C1014" s="1" t="s">
        <v>1270</v>
      </c>
      <c r="D1014" s="1" t="s">
        <v>917</v>
      </c>
      <c r="E1014" s="1" t="s">
        <v>17764</v>
      </c>
      <c r="F1014" s="1" t="s">
        <v>17471</v>
      </c>
      <c r="G1014" s="1"/>
      <c r="H1014" s="1"/>
      <c r="I1014" s="1"/>
      <c r="J1014" s="1"/>
      <c r="K1014" s="1" t="s">
        <v>10232</v>
      </c>
    </row>
    <row r="1015" ht="14.25" customHeight="1">
      <c r="A1015" s="3" t="s">
        <v>219</v>
      </c>
      <c r="B1015" s="1">
        <v>6.2</v>
      </c>
      <c r="C1015" s="1" t="s">
        <v>1270</v>
      </c>
      <c r="D1015" s="1" t="s">
        <v>917</v>
      </c>
      <c r="E1015" s="1" t="s">
        <v>17764</v>
      </c>
      <c r="F1015" s="1" t="s">
        <v>17471</v>
      </c>
      <c r="G1015" s="1"/>
      <c r="H1015" s="1"/>
      <c r="I1015" s="1"/>
      <c r="J1015" s="1"/>
      <c r="K1015" s="1" t="s">
        <v>12025</v>
      </c>
    </row>
    <row r="1016" ht="14.25" customHeight="1">
      <c r="A1016" s="3" t="s">
        <v>219</v>
      </c>
      <c r="B1016" s="1">
        <v>5.8</v>
      </c>
      <c r="C1016" s="1" t="s">
        <v>1270</v>
      </c>
      <c r="D1016" s="1" t="s">
        <v>917</v>
      </c>
      <c r="E1016" s="1" t="s">
        <v>17764</v>
      </c>
      <c r="F1016" s="1" t="s">
        <v>17471</v>
      </c>
      <c r="G1016" s="1"/>
      <c r="H1016" s="1"/>
      <c r="I1016" s="1"/>
      <c r="J1016" s="1"/>
      <c r="K1016" s="1" t="s">
        <v>13200</v>
      </c>
    </row>
    <row r="1017" ht="14.25" customHeight="1">
      <c r="A1017" s="3" t="s">
        <v>219</v>
      </c>
      <c r="B1017" s="1">
        <v>5.7</v>
      </c>
      <c r="C1017" s="1" t="s">
        <v>1270</v>
      </c>
      <c r="D1017" s="1" t="s">
        <v>917</v>
      </c>
      <c r="E1017" s="1" t="s">
        <v>17764</v>
      </c>
      <c r="F1017" s="1" t="s">
        <v>17471</v>
      </c>
      <c r="G1017" s="1"/>
      <c r="H1017" s="1"/>
      <c r="I1017" s="1"/>
      <c r="J1017" s="1"/>
      <c r="K1017" s="1" t="s">
        <v>1628</v>
      </c>
    </row>
    <row r="1018" ht="14.25" customHeight="1">
      <c r="A1018" s="3" t="s">
        <v>219</v>
      </c>
      <c r="B1018" s="1">
        <v>6.5</v>
      </c>
      <c r="C1018" s="1" t="s">
        <v>1270</v>
      </c>
      <c r="D1018" s="1" t="s">
        <v>917</v>
      </c>
      <c r="E1018" s="1" t="s">
        <v>17764</v>
      </c>
      <c r="F1018" s="1" t="s">
        <v>17471</v>
      </c>
      <c r="G1018" s="1"/>
      <c r="H1018" s="1"/>
      <c r="I1018" s="1"/>
      <c r="J1018" s="1"/>
      <c r="K1018" s="1" t="s">
        <v>16286</v>
      </c>
    </row>
    <row r="1019" ht="14.25" customHeight="1">
      <c r="A1019" s="3" t="s">
        <v>10951</v>
      </c>
      <c r="B1019" s="1">
        <v>6.7</v>
      </c>
      <c r="C1019" s="1" t="s">
        <v>1270</v>
      </c>
      <c r="D1019" s="1" t="s">
        <v>17757</v>
      </c>
      <c r="E1019" s="1" t="s">
        <v>17764</v>
      </c>
      <c r="F1019" s="1" t="s">
        <v>17471</v>
      </c>
      <c r="G1019" s="1"/>
      <c r="H1019" s="1"/>
      <c r="I1019" s="1"/>
      <c r="J1019" s="1"/>
      <c r="K1019" s="1" t="s">
        <v>10950</v>
      </c>
    </row>
    <row r="1020" ht="14.25" customHeight="1">
      <c r="A1020" s="3" t="s">
        <v>7102</v>
      </c>
      <c r="B1020" s="1">
        <v>7.4</v>
      </c>
      <c r="C1020" s="1" t="s">
        <v>1270</v>
      </c>
      <c r="D1020" s="1" t="s">
        <v>1885</v>
      </c>
      <c r="E1020" s="1" t="s">
        <v>17764</v>
      </c>
      <c r="F1020" s="1" t="s">
        <v>17471</v>
      </c>
      <c r="G1020" s="1"/>
      <c r="H1020" s="1"/>
      <c r="I1020" s="1"/>
      <c r="J1020" s="1"/>
      <c r="K1020" s="1" t="s">
        <v>7101</v>
      </c>
    </row>
    <row r="1021" ht="14.25" customHeight="1">
      <c r="A1021" s="3" t="s">
        <v>7102</v>
      </c>
      <c r="B1021" s="1">
        <v>6.9</v>
      </c>
      <c r="C1021" s="1" t="s">
        <v>1270</v>
      </c>
      <c r="D1021" s="1" t="s">
        <v>1885</v>
      </c>
      <c r="E1021" s="1" t="s">
        <v>17764</v>
      </c>
      <c r="F1021" s="1" t="s">
        <v>17471</v>
      </c>
      <c r="G1021" s="1"/>
      <c r="H1021" s="1"/>
      <c r="I1021" s="1"/>
      <c r="J1021" s="1"/>
      <c r="K1021" s="1" t="s">
        <v>12439</v>
      </c>
    </row>
    <row r="1022" ht="14.25" customHeight="1">
      <c r="A1022" s="3" t="s">
        <v>1345</v>
      </c>
      <c r="B1022" s="1">
        <v>5.5</v>
      </c>
      <c r="C1022" s="1" t="s">
        <v>1270</v>
      </c>
      <c r="D1022" s="1" t="s">
        <v>17763</v>
      </c>
      <c r="E1022" s="1" t="s">
        <v>17764</v>
      </c>
      <c r="F1022" s="1" t="s">
        <v>17471</v>
      </c>
      <c r="G1022" s="1"/>
      <c r="H1022" s="1"/>
      <c r="I1022" s="1"/>
      <c r="J1022" s="1"/>
      <c r="K1022" s="1" t="s">
        <v>1344</v>
      </c>
    </row>
    <row r="1023" ht="14.25" customHeight="1">
      <c r="A1023" s="3" t="s">
        <v>1345</v>
      </c>
      <c r="B1023" s="1">
        <v>8.1</v>
      </c>
      <c r="C1023" s="1" t="s">
        <v>1270</v>
      </c>
      <c r="D1023" s="1" t="s">
        <v>17763</v>
      </c>
      <c r="E1023" s="1" t="s">
        <v>17764</v>
      </c>
      <c r="F1023" s="1" t="s">
        <v>17471</v>
      </c>
      <c r="G1023" s="1"/>
      <c r="H1023" s="1"/>
      <c r="I1023" s="1"/>
      <c r="J1023" s="1"/>
      <c r="K1023" s="1" t="s">
        <v>2499</v>
      </c>
    </row>
    <row r="1024" ht="14.25" customHeight="1">
      <c r="A1024" s="3" t="s">
        <v>1345</v>
      </c>
      <c r="B1024" s="1">
        <v>7.7</v>
      </c>
      <c r="C1024" s="1" t="s">
        <v>1270</v>
      </c>
      <c r="D1024" s="1" t="s">
        <v>17763</v>
      </c>
      <c r="E1024" s="1" t="s">
        <v>17764</v>
      </c>
      <c r="F1024" s="1" t="s">
        <v>17471</v>
      </c>
      <c r="G1024" s="1"/>
      <c r="H1024" s="1"/>
      <c r="I1024" s="1"/>
      <c r="J1024" s="1"/>
      <c r="K1024" s="1" t="s">
        <v>3312</v>
      </c>
    </row>
    <row r="1025" ht="14.25" customHeight="1">
      <c r="A1025" s="3" t="s">
        <v>1345</v>
      </c>
      <c r="B1025" s="1">
        <v>7.3</v>
      </c>
      <c r="C1025" s="1" t="s">
        <v>1270</v>
      </c>
      <c r="D1025" s="1" t="s">
        <v>17763</v>
      </c>
      <c r="E1025" s="1" t="s">
        <v>17764</v>
      </c>
      <c r="F1025" s="1" t="s">
        <v>17471</v>
      </c>
      <c r="G1025" s="1"/>
      <c r="H1025" s="1"/>
      <c r="I1025" s="1"/>
      <c r="J1025" s="1"/>
      <c r="K1025" s="1" t="s">
        <v>7476</v>
      </c>
    </row>
    <row r="1026" ht="14.25" customHeight="1">
      <c r="A1026" s="3" t="s">
        <v>1345</v>
      </c>
      <c r="B1026" s="1">
        <v>5.2</v>
      </c>
      <c r="C1026" s="1" t="s">
        <v>1270</v>
      </c>
      <c r="D1026" s="1" t="s">
        <v>17763</v>
      </c>
      <c r="E1026" s="1" t="s">
        <v>17764</v>
      </c>
      <c r="F1026" s="1" t="s">
        <v>17471</v>
      </c>
      <c r="G1026" s="1"/>
      <c r="H1026" s="1"/>
      <c r="I1026" s="1"/>
      <c r="J1026" s="1"/>
      <c r="K1026" s="1" t="s">
        <v>7853</v>
      </c>
    </row>
    <row r="1027" ht="14.25" customHeight="1">
      <c r="A1027" s="3" t="s">
        <v>1345</v>
      </c>
      <c r="B1027" s="1">
        <v>7.1</v>
      </c>
      <c r="C1027" s="1" t="s">
        <v>1270</v>
      </c>
      <c r="D1027" s="1" t="s">
        <v>17763</v>
      </c>
      <c r="E1027" s="1" t="s">
        <v>17764</v>
      </c>
      <c r="F1027" s="1" t="s">
        <v>17471</v>
      </c>
      <c r="G1027" s="1"/>
      <c r="H1027" s="1"/>
      <c r="I1027" s="1"/>
      <c r="J1027" s="1"/>
      <c r="K1027" s="1" t="s">
        <v>7932</v>
      </c>
    </row>
    <row r="1028" ht="14.25" customHeight="1">
      <c r="A1028" s="3" t="s">
        <v>1345</v>
      </c>
      <c r="B1028" s="1">
        <v>7.1</v>
      </c>
      <c r="C1028" s="1" t="s">
        <v>1270</v>
      </c>
      <c r="D1028" s="1" t="s">
        <v>17763</v>
      </c>
      <c r="E1028" s="1" t="s">
        <v>17764</v>
      </c>
      <c r="F1028" s="1" t="s">
        <v>17471</v>
      </c>
      <c r="G1028" s="1"/>
      <c r="H1028" s="1"/>
      <c r="I1028" s="1"/>
      <c r="J1028" s="1"/>
      <c r="K1028" s="1" t="s">
        <v>8276</v>
      </c>
    </row>
    <row r="1029" ht="14.25" customHeight="1">
      <c r="A1029" s="3" t="s">
        <v>1345</v>
      </c>
      <c r="B1029" s="1">
        <v>7.2</v>
      </c>
      <c r="C1029" s="1" t="s">
        <v>1270</v>
      </c>
      <c r="D1029" s="1" t="s">
        <v>17763</v>
      </c>
      <c r="E1029" s="1" t="s">
        <v>17764</v>
      </c>
      <c r="F1029" s="1" t="s">
        <v>17471</v>
      </c>
      <c r="G1029" s="1"/>
      <c r="H1029" s="1"/>
      <c r="I1029" s="1"/>
      <c r="J1029" s="1"/>
      <c r="K1029" s="1" t="s">
        <v>9620</v>
      </c>
    </row>
    <row r="1030" ht="14.25" customHeight="1">
      <c r="A1030" s="3" t="s">
        <v>1345</v>
      </c>
      <c r="B1030" s="1">
        <v>6.5</v>
      </c>
      <c r="C1030" s="1" t="s">
        <v>1270</v>
      </c>
      <c r="D1030" s="1" t="s">
        <v>17763</v>
      </c>
      <c r="E1030" s="1" t="s">
        <v>17764</v>
      </c>
      <c r="F1030" s="1" t="s">
        <v>17471</v>
      </c>
      <c r="G1030" s="1"/>
      <c r="H1030" s="1"/>
      <c r="I1030" s="1"/>
      <c r="J1030" s="1"/>
      <c r="K1030" s="1" t="s">
        <v>10240</v>
      </c>
    </row>
    <row r="1031" ht="14.25" customHeight="1">
      <c r="A1031" s="3" t="s">
        <v>1345</v>
      </c>
      <c r="B1031" s="1">
        <v>4.6</v>
      </c>
      <c r="C1031" s="1" t="s">
        <v>1270</v>
      </c>
      <c r="D1031" s="1" t="s">
        <v>17763</v>
      </c>
      <c r="E1031" s="1" t="s">
        <v>17764</v>
      </c>
      <c r="F1031" s="1" t="s">
        <v>17471</v>
      </c>
      <c r="G1031" s="1"/>
      <c r="H1031" s="1"/>
      <c r="I1031" s="1"/>
      <c r="J1031" s="1"/>
      <c r="K1031" s="1" t="s">
        <v>1344</v>
      </c>
    </row>
    <row r="1032" ht="14.25" customHeight="1">
      <c r="A1032" s="3" t="s">
        <v>1345</v>
      </c>
      <c r="B1032" s="1">
        <v>5.6</v>
      </c>
      <c r="C1032" s="1" t="s">
        <v>1270</v>
      </c>
      <c r="D1032" s="1" t="s">
        <v>17763</v>
      </c>
      <c r="E1032" s="1" t="s">
        <v>17764</v>
      </c>
      <c r="F1032" s="1" t="s">
        <v>17471</v>
      </c>
      <c r="G1032" s="1"/>
      <c r="H1032" s="1"/>
      <c r="I1032" s="1"/>
      <c r="J1032" s="1"/>
      <c r="K1032" s="1" t="s">
        <v>12774</v>
      </c>
    </row>
    <row r="1033" ht="14.25" customHeight="1">
      <c r="A1033" s="3" t="s">
        <v>1335</v>
      </c>
      <c r="B1033" s="1">
        <v>7.7</v>
      </c>
      <c r="C1033" s="1" t="s">
        <v>1270</v>
      </c>
      <c r="D1033" s="1" t="s">
        <v>3238</v>
      </c>
      <c r="E1033" s="1" t="s">
        <v>17764</v>
      </c>
      <c r="F1033" s="1" t="s">
        <v>17471</v>
      </c>
      <c r="G1033" s="1"/>
      <c r="H1033" s="1"/>
      <c r="I1033" s="1"/>
      <c r="J1033" s="1"/>
      <c r="K1033" s="1" t="s">
        <v>1334</v>
      </c>
    </row>
    <row r="1034" ht="14.25" customHeight="1">
      <c r="A1034" s="3" t="s">
        <v>1335</v>
      </c>
      <c r="B1034" s="1">
        <v>7.2</v>
      </c>
      <c r="C1034" s="1" t="s">
        <v>1270</v>
      </c>
      <c r="D1034" s="1" t="s">
        <v>3238</v>
      </c>
      <c r="E1034" s="1" t="s">
        <v>17764</v>
      </c>
      <c r="F1034" s="1" t="s">
        <v>17471</v>
      </c>
      <c r="G1034" s="1"/>
      <c r="H1034" s="1"/>
      <c r="I1034" s="1"/>
      <c r="J1034" s="1"/>
      <c r="K1034" s="1" t="s">
        <v>1957</v>
      </c>
    </row>
    <row r="1035" ht="14.25" customHeight="1">
      <c r="A1035" s="3" t="s">
        <v>1335</v>
      </c>
      <c r="B1035" s="1">
        <v>6.8</v>
      </c>
      <c r="C1035" s="1" t="s">
        <v>1270</v>
      </c>
      <c r="D1035" s="1" t="s">
        <v>3238</v>
      </c>
      <c r="E1035" s="1" t="s">
        <v>17764</v>
      </c>
      <c r="F1035" s="1" t="s">
        <v>17471</v>
      </c>
      <c r="G1035" s="1"/>
      <c r="H1035" s="1"/>
      <c r="I1035" s="1"/>
      <c r="J1035" s="1"/>
      <c r="K1035" s="1" t="s">
        <v>2176</v>
      </c>
    </row>
    <row r="1036" ht="14.25" customHeight="1">
      <c r="A1036" s="3" t="s">
        <v>1335</v>
      </c>
      <c r="B1036" s="1">
        <v>5.4</v>
      </c>
      <c r="C1036" s="1" t="s">
        <v>1270</v>
      </c>
      <c r="D1036" s="1" t="s">
        <v>3238</v>
      </c>
      <c r="E1036" s="1" t="s">
        <v>17764</v>
      </c>
      <c r="F1036" s="1" t="s">
        <v>17471</v>
      </c>
      <c r="G1036" s="1"/>
      <c r="H1036" s="1"/>
      <c r="I1036" s="1"/>
      <c r="J1036" s="1"/>
      <c r="K1036" s="1" t="s">
        <v>4502</v>
      </c>
    </row>
    <row r="1037" ht="14.25" customHeight="1">
      <c r="A1037" s="3" t="s">
        <v>1335</v>
      </c>
      <c r="B1037" s="1">
        <v>6.3</v>
      </c>
      <c r="C1037" s="1" t="s">
        <v>1270</v>
      </c>
      <c r="D1037" s="1" t="s">
        <v>3238</v>
      </c>
      <c r="E1037" s="1" t="s">
        <v>17764</v>
      </c>
      <c r="F1037" s="1" t="s">
        <v>17471</v>
      </c>
      <c r="G1037" s="1"/>
      <c r="H1037" s="1"/>
      <c r="I1037" s="1"/>
      <c r="J1037" s="1"/>
      <c r="K1037" s="1" t="s">
        <v>6493</v>
      </c>
    </row>
    <row r="1038" ht="14.25" customHeight="1">
      <c r="A1038" s="3" t="s">
        <v>1335</v>
      </c>
      <c r="B1038" s="1">
        <v>5.6</v>
      </c>
      <c r="C1038" s="1" t="s">
        <v>1270</v>
      </c>
      <c r="D1038" s="1" t="s">
        <v>3238</v>
      </c>
      <c r="E1038" s="1" t="s">
        <v>17764</v>
      </c>
      <c r="F1038" s="1" t="s">
        <v>17471</v>
      </c>
      <c r="G1038" s="1"/>
      <c r="H1038" s="1"/>
      <c r="I1038" s="1"/>
      <c r="J1038" s="1"/>
      <c r="K1038" s="1" t="s">
        <v>7230</v>
      </c>
    </row>
    <row r="1039" ht="14.25" customHeight="1">
      <c r="A1039" s="3" t="s">
        <v>1335</v>
      </c>
      <c r="B1039" s="1">
        <v>6.8</v>
      </c>
      <c r="C1039" s="1" t="s">
        <v>1270</v>
      </c>
      <c r="D1039" s="1" t="s">
        <v>3238</v>
      </c>
      <c r="E1039" s="1" t="s">
        <v>17764</v>
      </c>
      <c r="F1039" s="1" t="s">
        <v>17471</v>
      </c>
      <c r="G1039" s="1"/>
      <c r="H1039" s="1"/>
      <c r="I1039" s="1"/>
      <c r="J1039" s="1"/>
      <c r="K1039" s="1" t="s">
        <v>10473</v>
      </c>
    </row>
    <row r="1040" ht="14.25" customHeight="1">
      <c r="A1040" s="3" t="s">
        <v>1418</v>
      </c>
      <c r="B1040" s="1">
        <v>4.3</v>
      </c>
      <c r="C1040" s="1" t="s">
        <v>917</v>
      </c>
      <c r="D1040" s="1" t="s">
        <v>3238</v>
      </c>
      <c r="E1040" s="1" t="s">
        <v>17764</v>
      </c>
      <c r="F1040" s="1" t="s">
        <v>17471</v>
      </c>
      <c r="G1040" s="1"/>
      <c r="H1040" s="1"/>
      <c r="I1040" s="1"/>
      <c r="J1040" s="1"/>
      <c r="K1040" s="1" t="s">
        <v>1417</v>
      </c>
    </row>
    <row r="1041" ht="14.25" customHeight="1">
      <c r="A1041" s="3" t="s">
        <v>1418</v>
      </c>
      <c r="B1041" s="1">
        <v>6.3</v>
      </c>
      <c r="C1041" s="1" t="s">
        <v>917</v>
      </c>
      <c r="D1041" s="1" t="s">
        <v>3238</v>
      </c>
      <c r="E1041" s="1" t="s">
        <v>17764</v>
      </c>
      <c r="F1041" s="1" t="s">
        <v>17471</v>
      </c>
      <c r="G1041" s="1"/>
      <c r="H1041" s="1"/>
      <c r="I1041" s="1"/>
      <c r="J1041" s="1"/>
      <c r="K1041" s="1" t="s">
        <v>2432</v>
      </c>
    </row>
    <row r="1042" ht="14.25" customHeight="1">
      <c r="A1042" s="3" t="s">
        <v>1418</v>
      </c>
      <c r="B1042" s="1">
        <v>6.5</v>
      </c>
      <c r="C1042" s="1" t="s">
        <v>917</v>
      </c>
      <c r="D1042" s="1" t="s">
        <v>3238</v>
      </c>
      <c r="E1042" s="1" t="s">
        <v>17764</v>
      </c>
      <c r="F1042" s="1" t="s">
        <v>17471</v>
      </c>
      <c r="G1042" s="1"/>
      <c r="H1042" s="1"/>
      <c r="I1042" s="1"/>
      <c r="J1042" s="1"/>
      <c r="K1042" s="1" t="s">
        <v>3233</v>
      </c>
    </row>
    <row r="1043" ht="14.25" customHeight="1">
      <c r="A1043" s="3" t="s">
        <v>1418</v>
      </c>
      <c r="B1043" s="1">
        <v>6.4</v>
      </c>
      <c r="C1043" s="1" t="s">
        <v>917</v>
      </c>
      <c r="D1043" s="1" t="s">
        <v>3238</v>
      </c>
      <c r="E1043" s="1" t="s">
        <v>17764</v>
      </c>
      <c r="F1043" s="1" t="s">
        <v>17471</v>
      </c>
      <c r="G1043" s="1"/>
      <c r="H1043" s="1"/>
      <c r="I1043" s="1"/>
      <c r="J1043" s="1"/>
      <c r="K1043" s="1" t="s">
        <v>10914</v>
      </c>
    </row>
    <row r="1044" ht="14.25" customHeight="1">
      <c r="A1044" s="3" t="s">
        <v>3612</v>
      </c>
      <c r="B1044" s="1">
        <v>6.3</v>
      </c>
      <c r="C1044" s="1" t="s">
        <v>1270</v>
      </c>
      <c r="D1044" s="1" t="s">
        <v>17759</v>
      </c>
      <c r="E1044" s="1" t="s">
        <v>17764</v>
      </c>
      <c r="F1044" s="1" t="s">
        <v>17471</v>
      </c>
      <c r="G1044" s="1"/>
      <c r="H1044" s="1"/>
      <c r="I1044" s="1"/>
      <c r="J1044" s="1"/>
      <c r="K1044" s="1" t="s">
        <v>3611</v>
      </c>
    </row>
    <row r="1045" ht="14.25" customHeight="1">
      <c r="A1045" s="3" t="s">
        <v>2123</v>
      </c>
      <c r="B1045" s="1">
        <v>5.9</v>
      </c>
      <c r="C1045" s="1" t="s">
        <v>1270</v>
      </c>
      <c r="D1045" s="1" t="s">
        <v>6019</v>
      </c>
      <c r="E1045" s="1" t="s">
        <v>17764</v>
      </c>
      <c r="F1045" s="1" t="s">
        <v>17471</v>
      </c>
      <c r="G1045" s="1"/>
      <c r="H1045" s="1"/>
      <c r="I1045" s="1"/>
      <c r="J1045" s="1"/>
      <c r="K1045" s="1" t="s">
        <v>2122</v>
      </c>
    </row>
    <row r="1046" ht="14.25" customHeight="1">
      <c r="A1046" s="3" t="s">
        <v>2123</v>
      </c>
      <c r="B1046" s="1">
        <v>6.5</v>
      </c>
      <c r="C1046" s="1" t="s">
        <v>1270</v>
      </c>
      <c r="D1046" s="1" t="s">
        <v>6019</v>
      </c>
      <c r="E1046" s="1" t="s">
        <v>17764</v>
      </c>
      <c r="F1046" s="1" t="s">
        <v>17471</v>
      </c>
      <c r="G1046" s="1"/>
      <c r="H1046" s="1"/>
      <c r="I1046" s="1"/>
      <c r="J1046" s="1"/>
      <c r="K1046" s="1" t="s">
        <v>3186</v>
      </c>
    </row>
    <row r="1047" ht="14.25" customHeight="1">
      <c r="A1047" s="3" t="s">
        <v>2123</v>
      </c>
      <c r="B1047" s="1">
        <v>6.5</v>
      </c>
      <c r="C1047" s="1" t="s">
        <v>1270</v>
      </c>
      <c r="D1047" s="1" t="s">
        <v>6019</v>
      </c>
      <c r="E1047" s="1" t="s">
        <v>17764</v>
      </c>
      <c r="F1047" s="1" t="s">
        <v>17471</v>
      </c>
      <c r="G1047" s="1"/>
      <c r="H1047" s="1"/>
      <c r="I1047" s="1"/>
      <c r="J1047" s="1"/>
      <c r="K1047" s="1" t="s">
        <v>3570</v>
      </c>
    </row>
    <row r="1048" ht="14.25" customHeight="1">
      <c r="A1048" s="3" t="s">
        <v>2123</v>
      </c>
      <c r="B1048" s="1">
        <v>6.1</v>
      </c>
      <c r="C1048" s="1" t="s">
        <v>1270</v>
      </c>
      <c r="D1048" s="1" t="s">
        <v>6019</v>
      </c>
      <c r="E1048" s="1" t="s">
        <v>17764</v>
      </c>
      <c r="F1048" s="1" t="s">
        <v>17471</v>
      </c>
      <c r="G1048" s="1"/>
      <c r="H1048" s="1"/>
      <c r="I1048" s="1"/>
      <c r="J1048" s="1"/>
      <c r="K1048" s="1" t="s">
        <v>4565</v>
      </c>
    </row>
    <row r="1049" ht="14.25" customHeight="1">
      <c r="A1049" s="3" t="s">
        <v>2123</v>
      </c>
      <c r="B1049" s="1">
        <v>5.9</v>
      </c>
      <c r="C1049" s="1" t="s">
        <v>1270</v>
      </c>
      <c r="D1049" s="1" t="s">
        <v>6019</v>
      </c>
      <c r="E1049" s="1" t="s">
        <v>17764</v>
      </c>
      <c r="F1049" s="1" t="s">
        <v>17471</v>
      </c>
      <c r="G1049" s="1"/>
      <c r="H1049" s="1"/>
      <c r="I1049" s="1"/>
      <c r="J1049" s="1"/>
      <c r="K1049" s="1" t="s">
        <v>4976</v>
      </c>
    </row>
    <row r="1050" ht="14.25" customHeight="1">
      <c r="A1050" s="3" t="s">
        <v>2123</v>
      </c>
      <c r="B1050" s="1">
        <v>6.6</v>
      </c>
      <c r="C1050" s="1" t="s">
        <v>1270</v>
      </c>
      <c r="D1050" s="1" t="s">
        <v>6019</v>
      </c>
      <c r="E1050" s="1" t="s">
        <v>17764</v>
      </c>
      <c r="F1050" s="1" t="s">
        <v>17471</v>
      </c>
      <c r="G1050" s="1"/>
      <c r="H1050" s="1"/>
      <c r="I1050" s="1"/>
      <c r="J1050" s="1"/>
      <c r="K1050" s="1" t="s">
        <v>5472</v>
      </c>
    </row>
    <row r="1051" ht="14.25" customHeight="1">
      <c r="A1051" s="3" t="s">
        <v>2123</v>
      </c>
      <c r="B1051" s="1">
        <v>7.4</v>
      </c>
      <c r="C1051" s="1" t="s">
        <v>1270</v>
      </c>
      <c r="D1051" s="1" t="s">
        <v>6019</v>
      </c>
      <c r="E1051" s="1" t="s">
        <v>17764</v>
      </c>
      <c r="F1051" s="1" t="s">
        <v>17471</v>
      </c>
      <c r="G1051" s="1"/>
      <c r="H1051" s="1"/>
      <c r="I1051" s="1"/>
      <c r="J1051" s="1"/>
      <c r="K1051" s="1" t="s">
        <v>6140</v>
      </c>
    </row>
    <row r="1052" ht="14.25" customHeight="1">
      <c r="A1052" s="3" t="s">
        <v>2123</v>
      </c>
      <c r="B1052" s="1">
        <v>7.3</v>
      </c>
      <c r="C1052" s="1" t="s">
        <v>1270</v>
      </c>
      <c r="D1052" s="1" t="s">
        <v>6019</v>
      </c>
      <c r="E1052" s="1" t="s">
        <v>17764</v>
      </c>
      <c r="F1052" s="1" t="s">
        <v>17471</v>
      </c>
      <c r="G1052" s="1"/>
      <c r="H1052" s="1"/>
      <c r="I1052" s="1"/>
      <c r="J1052" s="1"/>
      <c r="K1052" s="1" t="s">
        <v>6875</v>
      </c>
    </row>
    <row r="1053" ht="14.25" customHeight="1">
      <c r="A1053" s="3" t="s">
        <v>2123</v>
      </c>
      <c r="B1053" s="1">
        <v>6.6</v>
      </c>
      <c r="C1053" s="1" t="s">
        <v>1270</v>
      </c>
      <c r="D1053" s="1" t="s">
        <v>6019</v>
      </c>
      <c r="E1053" s="1" t="s">
        <v>17764</v>
      </c>
      <c r="F1053" s="1" t="s">
        <v>17471</v>
      </c>
      <c r="G1053" s="1"/>
      <c r="H1053" s="1"/>
      <c r="I1053" s="1"/>
      <c r="J1053" s="1"/>
      <c r="K1053" s="1" t="s">
        <v>7966</v>
      </c>
    </row>
    <row r="1054" ht="14.25" customHeight="1">
      <c r="A1054" s="3" t="s">
        <v>2123</v>
      </c>
      <c r="B1054" s="1">
        <v>5.6</v>
      </c>
      <c r="C1054" s="1" t="s">
        <v>1270</v>
      </c>
      <c r="D1054" s="1" t="s">
        <v>6019</v>
      </c>
      <c r="E1054" s="1" t="s">
        <v>17764</v>
      </c>
      <c r="F1054" s="1" t="s">
        <v>17471</v>
      </c>
      <c r="G1054" s="1"/>
      <c r="H1054" s="1"/>
      <c r="I1054" s="1"/>
      <c r="J1054" s="1"/>
      <c r="K1054" s="1" t="s">
        <v>10070</v>
      </c>
    </row>
    <row r="1055" ht="14.25" customHeight="1">
      <c r="A1055" s="3" t="s">
        <v>2123</v>
      </c>
      <c r="B1055" s="1">
        <v>5.3</v>
      </c>
      <c r="C1055" s="1" t="s">
        <v>1270</v>
      </c>
      <c r="D1055" s="1" t="s">
        <v>6019</v>
      </c>
      <c r="E1055" s="1" t="s">
        <v>17764</v>
      </c>
      <c r="F1055" s="1" t="s">
        <v>17471</v>
      </c>
      <c r="G1055" s="1"/>
      <c r="H1055" s="1"/>
      <c r="I1055" s="1"/>
      <c r="J1055" s="1"/>
      <c r="K1055" s="1" t="s">
        <v>11717</v>
      </c>
    </row>
    <row r="1056" ht="14.25" customHeight="1">
      <c r="A1056" s="3" t="s">
        <v>2123</v>
      </c>
      <c r="B1056" s="1">
        <v>6.0</v>
      </c>
      <c r="C1056" s="1" t="s">
        <v>1270</v>
      </c>
      <c r="D1056" s="1" t="s">
        <v>6019</v>
      </c>
      <c r="E1056" s="1" t="s">
        <v>17764</v>
      </c>
      <c r="F1056" s="1" t="s">
        <v>17471</v>
      </c>
      <c r="G1056" s="1"/>
      <c r="H1056" s="1"/>
      <c r="I1056" s="1"/>
      <c r="J1056" s="1"/>
      <c r="K1056" s="1" t="s">
        <v>12098</v>
      </c>
    </row>
    <row r="1057" ht="14.25" customHeight="1">
      <c r="A1057" s="3" t="s">
        <v>2123</v>
      </c>
      <c r="B1057" s="1">
        <v>5.4</v>
      </c>
      <c r="C1057" s="1" t="s">
        <v>1270</v>
      </c>
      <c r="D1057" s="1" t="s">
        <v>6019</v>
      </c>
      <c r="E1057" s="1" t="s">
        <v>17764</v>
      </c>
      <c r="F1057" s="1" t="s">
        <v>17471</v>
      </c>
      <c r="G1057" s="1"/>
      <c r="H1057" s="1"/>
      <c r="I1057" s="1"/>
      <c r="J1057" s="1"/>
      <c r="K1057" s="1" t="s">
        <v>13146</v>
      </c>
    </row>
    <row r="1058" ht="14.25" customHeight="1">
      <c r="A1058" s="3" t="s">
        <v>2123</v>
      </c>
      <c r="B1058" s="1">
        <v>6.8</v>
      </c>
      <c r="C1058" s="1" t="s">
        <v>1270</v>
      </c>
      <c r="D1058" s="1" t="s">
        <v>6019</v>
      </c>
      <c r="E1058" s="1" t="s">
        <v>17764</v>
      </c>
      <c r="F1058" s="1" t="s">
        <v>17471</v>
      </c>
      <c r="G1058" s="1"/>
      <c r="H1058" s="1"/>
      <c r="I1058" s="1"/>
      <c r="J1058" s="1"/>
      <c r="K1058" s="1" t="s">
        <v>13745</v>
      </c>
    </row>
    <row r="1059" ht="14.25" customHeight="1">
      <c r="A1059" s="3" t="s">
        <v>3448</v>
      </c>
      <c r="B1059" s="1">
        <v>6.4</v>
      </c>
      <c r="C1059" s="1" t="s">
        <v>3238</v>
      </c>
      <c r="D1059" s="1" t="s">
        <v>6019</v>
      </c>
      <c r="E1059" s="1" t="s">
        <v>17764</v>
      </c>
      <c r="F1059" s="1" t="s">
        <v>17471</v>
      </c>
      <c r="G1059" s="1"/>
      <c r="H1059" s="1"/>
      <c r="I1059" s="1"/>
      <c r="J1059" s="1"/>
      <c r="K1059" s="1" t="s">
        <v>3447</v>
      </c>
    </row>
    <row r="1060" ht="14.25" customHeight="1">
      <c r="A1060" s="3" t="s">
        <v>3448</v>
      </c>
      <c r="B1060" s="1">
        <v>7.1</v>
      </c>
      <c r="C1060" s="1" t="s">
        <v>3238</v>
      </c>
      <c r="D1060" s="1" t="s">
        <v>6019</v>
      </c>
      <c r="E1060" s="1" t="s">
        <v>17764</v>
      </c>
      <c r="F1060" s="1" t="s">
        <v>17471</v>
      </c>
      <c r="G1060" s="1"/>
      <c r="H1060" s="1"/>
      <c r="I1060" s="1"/>
      <c r="J1060" s="1"/>
      <c r="K1060" s="1" t="s">
        <v>5672</v>
      </c>
    </row>
    <row r="1061" ht="14.25" customHeight="1">
      <c r="A1061" s="3" t="s">
        <v>3448</v>
      </c>
      <c r="B1061" s="1">
        <v>4.9</v>
      </c>
      <c r="C1061" s="1" t="s">
        <v>3238</v>
      </c>
      <c r="D1061" s="1" t="s">
        <v>6019</v>
      </c>
      <c r="E1061" s="1" t="s">
        <v>17764</v>
      </c>
      <c r="F1061" s="1" t="s">
        <v>17471</v>
      </c>
      <c r="G1061" s="1"/>
      <c r="H1061" s="1"/>
      <c r="I1061" s="1"/>
      <c r="J1061" s="1"/>
      <c r="K1061" s="1" t="s">
        <v>5672</v>
      </c>
    </row>
    <row r="1062" ht="14.25" customHeight="1">
      <c r="A1062" s="3" t="s">
        <v>3448</v>
      </c>
      <c r="B1062" s="1">
        <v>5.8</v>
      </c>
      <c r="C1062" s="1" t="s">
        <v>3238</v>
      </c>
      <c r="D1062" s="1" t="s">
        <v>6019</v>
      </c>
      <c r="E1062" s="1" t="s">
        <v>17764</v>
      </c>
      <c r="F1062" s="1" t="s">
        <v>17471</v>
      </c>
      <c r="G1062" s="1"/>
      <c r="H1062" s="1"/>
      <c r="I1062" s="1"/>
      <c r="J1062" s="1"/>
      <c r="K1062" s="1" t="s">
        <v>8067</v>
      </c>
    </row>
    <row r="1063" ht="14.25" customHeight="1">
      <c r="A1063" s="3" t="s">
        <v>3448</v>
      </c>
      <c r="B1063" s="1">
        <v>7.1</v>
      </c>
      <c r="C1063" s="1" t="s">
        <v>3238</v>
      </c>
      <c r="D1063" s="1" t="s">
        <v>6019</v>
      </c>
      <c r="E1063" s="1" t="s">
        <v>17764</v>
      </c>
      <c r="F1063" s="1" t="s">
        <v>17471</v>
      </c>
      <c r="G1063" s="1"/>
      <c r="H1063" s="1"/>
      <c r="I1063" s="1"/>
      <c r="J1063" s="1"/>
      <c r="K1063" s="1" t="s">
        <v>8572</v>
      </c>
    </row>
    <row r="1064" ht="14.25" customHeight="1">
      <c r="A1064" s="3" t="s">
        <v>3448</v>
      </c>
      <c r="B1064" s="1">
        <v>7.2</v>
      </c>
      <c r="C1064" s="1" t="s">
        <v>3238</v>
      </c>
      <c r="D1064" s="1" t="s">
        <v>6019</v>
      </c>
      <c r="E1064" s="1" t="s">
        <v>17764</v>
      </c>
      <c r="F1064" s="1" t="s">
        <v>17471</v>
      </c>
      <c r="G1064" s="1"/>
      <c r="H1064" s="1"/>
      <c r="I1064" s="1"/>
      <c r="J1064" s="1"/>
      <c r="K1064" s="1" t="s">
        <v>5672</v>
      </c>
    </row>
    <row r="1065" ht="14.25" customHeight="1">
      <c r="A1065" s="3" t="s">
        <v>3448</v>
      </c>
      <c r="B1065" s="1">
        <v>6.0</v>
      </c>
      <c r="C1065" s="1" t="s">
        <v>3238</v>
      </c>
      <c r="D1065" s="1" t="s">
        <v>6019</v>
      </c>
      <c r="E1065" s="1" t="s">
        <v>17764</v>
      </c>
      <c r="F1065" s="1" t="s">
        <v>17471</v>
      </c>
      <c r="G1065" s="1"/>
      <c r="H1065" s="1"/>
      <c r="I1065" s="1"/>
      <c r="J1065" s="1"/>
      <c r="K1065" s="1" t="s">
        <v>9783</v>
      </c>
    </row>
    <row r="1066" ht="14.25" customHeight="1">
      <c r="A1066" s="3" t="s">
        <v>3448</v>
      </c>
      <c r="B1066" s="1">
        <v>6.0</v>
      </c>
      <c r="C1066" s="1" t="s">
        <v>3238</v>
      </c>
      <c r="D1066" s="1" t="s">
        <v>6019</v>
      </c>
      <c r="E1066" s="1" t="s">
        <v>17764</v>
      </c>
      <c r="F1066" s="1" t="s">
        <v>17471</v>
      </c>
      <c r="G1066" s="1"/>
      <c r="H1066" s="1"/>
      <c r="I1066" s="1"/>
      <c r="J1066" s="1"/>
      <c r="K1066" s="1" t="s">
        <v>10375</v>
      </c>
    </row>
    <row r="1067" ht="14.25" customHeight="1">
      <c r="A1067" s="3" t="s">
        <v>3448</v>
      </c>
      <c r="B1067" s="1">
        <v>7.0</v>
      </c>
      <c r="C1067" s="1" t="s">
        <v>3238</v>
      </c>
      <c r="D1067" s="1" t="s">
        <v>6019</v>
      </c>
      <c r="E1067" s="1" t="s">
        <v>17764</v>
      </c>
      <c r="F1067" s="1" t="s">
        <v>17471</v>
      </c>
      <c r="G1067" s="1"/>
      <c r="H1067" s="1"/>
      <c r="I1067" s="1"/>
      <c r="J1067" s="1"/>
      <c r="K1067" s="1" t="s">
        <v>13935</v>
      </c>
    </row>
    <row r="1068" ht="14.25" customHeight="1">
      <c r="A1068" s="3" t="s">
        <v>1567</v>
      </c>
      <c r="B1068" s="1">
        <v>5.4</v>
      </c>
      <c r="C1068" s="1" t="s">
        <v>1270</v>
      </c>
      <c r="D1068" s="1" t="s">
        <v>17761</v>
      </c>
      <c r="E1068" s="1" t="s">
        <v>17764</v>
      </c>
      <c r="F1068" s="1" t="s">
        <v>17471</v>
      </c>
      <c r="G1068" s="1"/>
      <c r="H1068" s="1"/>
      <c r="I1068" s="1"/>
      <c r="J1068" s="1"/>
      <c r="K1068" s="1" t="s">
        <v>1566</v>
      </c>
    </row>
    <row r="1069" ht="14.25" customHeight="1">
      <c r="A1069" s="3" t="s">
        <v>1567</v>
      </c>
      <c r="B1069" s="1">
        <v>6.5</v>
      </c>
      <c r="C1069" s="1" t="s">
        <v>1270</v>
      </c>
      <c r="D1069" s="1" t="s">
        <v>17761</v>
      </c>
      <c r="E1069" s="1" t="s">
        <v>17764</v>
      </c>
      <c r="F1069" s="1" t="s">
        <v>17471</v>
      </c>
      <c r="G1069" s="1"/>
      <c r="H1069" s="1"/>
      <c r="I1069" s="1"/>
      <c r="J1069" s="1"/>
      <c r="K1069" s="1" t="s">
        <v>1615</v>
      </c>
    </row>
    <row r="1070" ht="14.25" customHeight="1">
      <c r="A1070" s="3" t="s">
        <v>1567</v>
      </c>
      <c r="B1070" s="1">
        <v>6.4</v>
      </c>
      <c r="C1070" s="1" t="s">
        <v>1270</v>
      </c>
      <c r="D1070" s="1" t="s">
        <v>17761</v>
      </c>
      <c r="E1070" s="1" t="s">
        <v>17764</v>
      </c>
      <c r="F1070" s="1" t="s">
        <v>17471</v>
      </c>
      <c r="G1070" s="1"/>
      <c r="H1070" s="1"/>
      <c r="I1070" s="1"/>
      <c r="J1070" s="1"/>
      <c r="K1070" s="1" t="s">
        <v>2417</v>
      </c>
    </row>
    <row r="1071" ht="14.25" customHeight="1">
      <c r="A1071" s="3" t="s">
        <v>1567</v>
      </c>
      <c r="B1071" s="1">
        <v>4.9</v>
      </c>
      <c r="C1071" s="1" t="s">
        <v>1270</v>
      </c>
      <c r="D1071" s="1" t="s">
        <v>17761</v>
      </c>
      <c r="E1071" s="1" t="s">
        <v>17764</v>
      </c>
      <c r="F1071" s="1" t="s">
        <v>17471</v>
      </c>
      <c r="G1071" s="1"/>
      <c r="H1071" s="1"/>
      <c r="I1071" s="1"/>
      <c r="J1071" s="1"/>
      <c r="K1071" s="1" t="s">
        <v>3925</v>
      </c>
    </row>
    <row r="1072" ht="14.25" customHeight="1">
      <c r="A1072" s="3" t="s">
        <v>1567</v>
      </c>
      <c r="B1072" s="1">
        <v>6.3</v>
      </c>
      <c r="C1072" s="1" t="s">
        <v>1270</v>
      </c>
      <c r="D1072" s="1" t="s">
        <v>17761</v>
      </c>
      <c r="E1072" s="1" t="s">
        <v>17764</v>
      </c>
      <c r="F1072" s="1" t="s">
        <v>17471</v>
      </c>
      <c r="G1072" s="1"/>
      <c r="H1072" s="1"/>
      <c r="I1072" s="1"/>
      <c r="J1072" s="1"/>
      <c r="K1072" s="1" t="s">
        <v>7245</v>
      </c>
    </row>
    <row r="1073" ht="14.25" customHeight="1">
      <c r="A1073" s="3" t="s">
        <v>1567</v>
      </c>
      <c r="B1073" s="1">
        <v>7.7</v>
      </c>
      <c r="C1073" s="1" t="s">
        <v>1270</v>
      </c>
      <c r="D1073" s="1" t="s">
        <v>17761</v>
      </c>
      <c r="E1073" s="1" t="s">
        <v>17764</v>
      </c>
      <c r="F1073" s="1" t="s">
        <v>17471</v>
      </c>
      <c r="G1073" s="1"/>
      <c r="H1073" s="1"/>
      <c r="I1073" s="1"/>
      <c r="J1073" s="1"/>
      <c r="K1073" s="1" t="s">
        <v>8668</v>
      </c>
    </row>
    <row r="1074" ht="14.25" customHeight="1">
      <c r="A1074" s="3" t="s">
        <v>11148</v>
      </c>
      <c r="B1074" s="1">
        <v>7.8</v>
      </c>
      <c r="C1074" s="1" t="s">
        <v>1885</v>
      </c>
      <c r="D1074" s="1" t="s">
        <v>17761</v>
      </c>
      <c r="E1074" s="1" t="s">
        <v>17764</v>
      </c>
      <c r="F1074" s="1" t="s">
        <v>17471</v>
      </c>
      <c r="G1074" s="1"/>
      <c r="H1074" s="1"/>
      <c r="I1074" s="1"/>
      <c r="J1074" s="1"/>
      <c r="K1074" s="1" t="s">
        <v>11147</v>
      </c>
    </row>
    <row r="1075" ht="14.25" customHeight="1">
      <c r="A1075" s="3" t="s">
        <v>2117</v>
      </c>
      <c r="B1075" s="1">
        <v>5.5</v>
      </c>
      <c r="C1075" s="1" t="s">
        <v>3238</v>
      </c>
      <c r="D1075" s="1" t="s">
        <v>17761</v>
      </c>
      <c r="E1075" s="1" t="s">
        <v>17764</v>
      </c>
      <c r="F1075" s="1" t="s">
        <v>17471</v>
      </c>
      <c r="G1075" s="1"/>
      <c r="H1075" s="1"/>
      <c r="I1075" s="1"/>
      <c r="J1075" s="1"/>
      <c r="K1075" s="1" t="s">
        <v>2116</v>
      </c>
    </row>
    <row r="1076" ht="14.25" customHeight="1">
      <c r="A1076" s="3" t="s">
        <v>2117</v>
      </c>
      <c r="B1076" s="1">
        <v>7.5</v>
      </c>
      <c r="C1076" s="1" t="s">
        <v>3238</v>
      </c>
      <c r="D1076" s="1" t="s">
        <v>17761</v>
      </c>
      <c r="E1076" s="1" t="s">
        <v>17764</v>
      </c>
      <c r="F1076" s="1" t="s">
        <v>17471</v>
      </c>
      <c r="G1076" s="1"/>
      <c r="H1076" s="1"/>
      <c r="I1076" s="1"/>
      <c r="J1076" s="1"/>
      <c r="K1076" s="1" t="s">
        <v>2611</v>
      </c>
    </row>
    <row r="1077" ht="14.25" customHeight="1">
      <c r="A1077" s="3" t="s">
        <v>2117</v>
      </c>
      <c r="B1077" s="1">
        <v>6.4</v>
      </c>
      <c r="C1077" s="1" t="s">
        <v>3238</v>
      </c>
      <c r="D1077" s="1" t="s">
        <v>17761</v>
      </c>
      <c r="E1077" s="1" t="s">
        <v>17764</v>
      </c>
      <c r="F1077" s="1" t="s">
        <v>17471</v>
      </c>
      <c r="G1077" s="1"/>
      <c r="H1077" s="1"/>
      <c r="I1077" s="1"/>
      <c r="J1077" s="1"/>
      <c r="K1077" s="1" t="s">
        <v>3019</v>
      </c>
    </row>
    <row r="1078" ht="14.25" customHeight="1">
      <c r="A1078" s="3" t="s">
        <v>2117</v>
      </c>
      <c r="B1078" s="1">
        <v>5.6</v>
      </c>
      <c r="C1078" s="1" t="s">
        <v>3238</v>
      </c>
      <c r="D1078" s="1" t="s">
        <v>17761</v>
      </c>
      <c r="E1078" s="1" t="s">
        <v>17764</v>
      </c>
      <c r="F1078" s="1" t="s">
        <v>17471</v>
      </c>
      <c r="G1078" s="1"/>
      <c r="H1078" s="1"/>
      <c r="I1078" s="1"/>
      <c r="J1078" s="1"/>
      <c r="K1078" s="1" t="s">
        <v>3035</v>
      </c>
    </row>
    <row r="1079" ht="14.25" customHeight="1">
      <c r="A1079" s="3" t="s">
        <v>2117</v>
      </c>
      <c r="B1079" s="1">
        <v>7.5</v>
      </c>
      <c r="C1079" s="1" t="s">
        <v>3238</v>
      </c>
      <c r="D1079" s="1" t="s">
        <v>17761</v>
      </c>
      <c r="E1079" s="1" t="s">
        <v>17764</v>
      </c>
      <c r="F1079" s="1" t="s">
        <v>17471</v>
      </c>
      <c r="G1079" s="1"/>
      <c r="H1079" s="1"/>
      <c r="I1079" s="1"/>
      <c r="J1079" s="1"/>
      <c r="K1079" s="1" t="s">
        <v>3421</v>
      </c>
    </row>
    <row r="1080" ht="14.25" customHeight="1">
      <c r="A1080" s="3" t="s">
        <v>2117</v>
      </c>
      <c r="B1080" s="1">
        <v>6.8</v>
      </c>
      <c r="C1080" s="1" t="s">
        <v>3238</v>
      </c>
      <c r="D1080" s="1" t="s">
        <v>17761</v>
      </c>
      <c r="E1080" s="1" t="s">
        <v>17764</v>
      </c>
      <c r="F1080" s="1" t="s">
        <v>17471</v>
      </c>
      <c r="G1080" s="1"/>
      <c r="H1080" s="1"/>
      <c r="I1080" s="1"/>
      <c r="J1080" s="1"/>
      <c r="K1080" s="1" t="s">
        <v>4817</v>
      </c>
    </row>
    <row r="1081" ht="14.25" customHeight="1">
      <c r="A1081" s="3" t="s">
        <v>2117</v>
      </c>
      <c r="B1081" s="1">
        <v>6.8</v>
      </c>
      <c r="C1081" s="1" t="s">
        <v>3238</v>
      </c>
      <c r="D1081" s="1" t="s">
        <v>17761</v>
      </c>
      <c r="E1081" s="1" t="s">
        <v>17764</v>
      </c>
      <c r="F1081" s="1" t="s">
        <v>17471</v>
      </c>
      <c r="G1081" s="1"/>
      <c r="H1081" s="1"/>
      <c r="I1081" s="1"/>
      <c r="J1081" s="1"/>
      <c r="K1081" s="1" t="s">
        <v>6059</v>
      </c>
    </row>
    <row r="1082" ht="14.25" customHeight="1">
      <c r="A1082" s="3" t="s">
        <v>2117</v>
      </c>
      <c r="B1082" s="1">
        <v>6.0</v>
      </c>
      <c r="C1082" s="1" t="s">
        <v>3238</v>
      </c>
      <c r="D1082" s="1" t="s">
        <v>17761</v>
      </c>
      <c r="E1082" s="1" t="s">
        <v>17764</v>
      </c>
      <c r="F1082" s="1" t="s">
        <v>17471</v>
      </c>
      <c r="G1082" s="1"/>
      <c r="H1082" s="1"/>
      <c r="I1082" s="1"/>
      <c r="J1082" s="1"/>
      <c r="K1082" s="1" t="s">
        <v>6420</v>
      </c>
    </row>
    <row r="1083" ht="14.25" customHeight="1">
      <c r="A1083" s="3" t="s">
        <v>2117</v>
      </c>
      <c r="B1083" s="1">
        <v>7.3</v>
      </c>
      <c r="C1083" s="1" t="s">
        <v>3238</v>
      </c>
      <c r="D1083" s="1" t="s">
        <v>17761</v>
      </c>
      <c r="E1083" s="1" t="s">
        <v>17764</v>
      </c>
      <c r="F1083" s="1" t="s">
        <v>17471</v>
      </c>
      <c r="G1083" s="1"/>
      <c r="H1083" s="1"/>
      <c r="I1083" s="1"/>
      <c r="J1083" s="1"/>
      <c r="K1083" s="1" t="s">
        <v>7071</v>
      </c>
    </row>
    <row r="1084" ht="14.25" customHeight="1">
      <c r="A1084" s="3" t="s">
        <v>2117</v>
      </c>
      <c r="B1084" s="1">
        <v>6.0</v>
      </c>
      <c r="C1084" s="1" t="s">
        <v>3238</v>
      </c>
      <c r="D1084" s="1" t="s">
        <v>17761</v>
      </c>
      <c r="E1084" s="1" t="s">
        <v>17764</v>
      </c>
      <c r="F1084" s="1" t="s">
        <v>17471</v>
      </c>
      <c r="G1084" s="1"/>
      <c r="H1084" s="1"/>
      <c r="I1084" s="1"/>
      <c r="J1084" s="1"/>
      <c r="K1084" s="1" t="s">
        <v>8196</v>
      </c>
    </row>
    <row r="1085" ht="14.25" customHeight="1">
      <c r="A1085" s="3" t="s">
        <v>2117</v>
      </c>
      <c r="B1085" s="1">
        <v>7.0</v>
      </c>
      <c r="C1085" s="1" t="s">
        <v>3238</v>
      </c>
      <c r="D1085" s="1" t="s">
        <v>17761</v>
      </c>
      <c r="E1085" s="1" t="s">
        <v>17764</v>
      </c>
      <c r="F1085" s="1" t="s">
        <v>17471</v>
      </c>
      <c r="G1085" s="1"/>
      <c r="H1085" s="1"/>
      <c r="I1085" s="1"/>
      <c r="J1085" s="1"/>
      <c r="K1085" s="1" t="s">
        <v>9210</v>
      </c>
    </row>
    <row r="1086" ht="14.25" customHeight="1">
      <c r="A1086" s="3" t="s">
        <v>2117</v>
      </c>
      <c r="B1086" s="1">
        <v>5.1</v>
      </c>
      <c r="C1086" s="1" t="s">
        <v>3238</v>
      </c>
      <c r="D1086" s="1" t="s">
        <v>17761</v>
      </c>
      <c r="E1086" s="1" t="s">
        <v>17764</v>
      </c>
      <c r="F1086" s="1" t="s">
        <v>17471</v>
      </c>
      <c r="G1086" s="1"/>
      <c r="H1086" s="1"/>
      <c r="I1086" s="1"/>
      <c r="J1086" s="1"/>
      <c r="K1086" s="1" t="s">
        <v>12315</v>
      </c>
    </row>
    <row r="1087" ht="14.25" customHeight="1">
      <c r="A1087" s="3" t="s">
        <v>4055</v>
      </c>
      <c r="B1087" s="1">
        <v>6.8</v>
      </c>
      <c r="C1087" s="1" t="s">
        <v>6019</v>
      </c>
      <c r="D1087" s="1" t="s">
        <v>17761</v>
      </c>
      <c r="E1087" s="1" t="s">
        <v>17764</v>
      </c>
      <c r="F1087" s="1" t="s">
        <v>17471</v>
      </c>
      <c r="G1087" s="1"/>
      <c r="H1087" s="1"/>
      <c r="I1087" s="1"/>
      <c r="J1087" s="1"/>
      <c r="K1087" s="1" t="s">
        <v>4054</v>
      </c>
    </row>
    <row r="1088" ht="14.25" customHeight="1">
      <c r="A1088" s="3" t="s">
        <v>4055</v>
      </c>
      <c r="B1088" s="1">
        <v>6.5</v>
      </c>
      <c r="C1088" s="1" t="s">
        <v>6019</v>
      </c>
      <c r="D1088" s="1" t="s">
        <v>17761</v>
      </c>
      <c r="E1088" s="1" t="s">
        <v>17764</v>
      </c>
      <c r="F1088" s="1" t="s">
        <v>17471</v>
      </c>
      <c r="G1088" s="1"/>
      <c r="H1088" s="1"/>
      <c r="I1088" s="1"/>
      <c r="J1088" s="1"/>
      <c r="K1088" s="1" t="s">
        <v>11695</v>
      </c>
    </row>
    <row r="1089" ht="14.25" customHeight="1">
      <c r="A1089" s="3" t="s">
        <v>4055</v>
      </c>
      <c r="B1089" s="1">
        <v>6.6</v>
      </c>
      <c r="C1089" s="1" t="s">
        <v>6019</v>
      </c>
      <c r="D1089" s="1" t="s">
        <v>17761</v>
      </c>
      <c r="E1089" s="1" t="s">
        <v>17764</v>
      </c>
      <c r="F1089" s="1" t="s">
        <v>17471</v>
      </c>
      <c r="G1089" s="1"/>
      <c r="H1089" s="1"/>
      <c r="I1089" s="1"/>
      <c r="J1089" s="1"/>
      <c r="K1089" s="1" t="s">
        <v>15159</v>
      </c>
    </row>
    <row r="1090" ht="14.25" customHeight="1">
      <c r="A1090" s="3" t="s">
        <v>4055</v>
      </c>
      <c r="B1090" s="1">
        <v>7.2</v>
      </c>
      <c r="C1090" s="1" t="s">
        <v>6019</v>
      </c>
      <c r="D1090" s="1" t="s">
        <v>17761</v>
      </c>
      <c r="E1090" s="1" t="s">
        <v>17764</v>
      </c>
      <c r="F1090" s="1" t="s">
        <v>17471</v>
      </c>
      <c r="G1090" s="1"/>
      <c r="H1090" s="1"/>
      <c r="I1090" s="1"/>
      <c r="J1090" s="1"/>
      <c r="K1090" s="1" t="s">
        <v>16111</v>
      </c>
    </row>
    <row r="1091" ht="14.25" customHeight="1">
      <c r="A1091" s="3" t="s">
        <v>4055</v>
      </c>
      <c r="B1091" s="1">
        <v>7.0</v>
      </c>
      <c r="C1091" s="1" t="s">
        <v>6019</v>
      </c>
      <c r="D1091" s="1" t="s">
        <v>17761</v>
      </c>
      <c r="E1091" s="1" t="s">
        <v>17764</v>
      </c>
      <c r="F1091" s="1" t="s">
        <v>17471</v>
      </c>
      <c r="G1091" s="1"/>
      <c r="H1091" s="1"/>
      <c r="I1091" s="1"/>
      <c r="J1091" s="1"/>
      <c r="K1091" s="1" t="s">
        <v>16831</v>
      </c>
    </row>
    <row r="1092" ht="14.25" customHeight="1">
      <c r="A1092" s="3" t="s">
        <v>6361</v>
      </c>
      <c r="B1092" s="1">
        <v>7.0</v>
      </c>
      <c r="C1092" s="1" t="s">
        <v>1885</v>
      </c>
      <c r="D1092" s="1" t="s">
        <v>17762</v>
      </c>
      <c r="E1092" s="1" t="s">
        <v>17764</v>
      </c>
      <c r="F1092" s="1" t="s">
        <v>17471</v>
      </c>
      <c r="G1092" s="1"/>
      <c r="H1092" s="1"/>
      <c r="I1092" s="1"/>
      <c r="J1092" s="1"/>
      <c r="K1092" s="1" t="s">
        <v>6360</v>
      </c>
    </row>
    <row r="1093" ht="14.25" customHeight="1">
      <c r="A1093" s="3" t="s">
        <v>14202</v>
      </c>
      <c r="B1093" s="1">
        <v>5.9</v>
      </c>
      <c r="C1093" s="1" t="s">
        <v>3238</v>
      </c>
      <c r="D1093" s="1" t="s">
        <v>17762</v>
      </c>
      <c r="E1093" s="1" t="s">
        <v>17764</v>
      </c>
      <c r="F1093" s="1" t="s">
        <v>17471</v>
      </c>
      <c r="G1093" s="1"/>
      <c r="H1093" s="1"/>
      <c r="I1093" s="1"/>
      <c r="J1093" s="1"/>
      <c r="K1093" s="1" t="s">
        <v>14201</v>
      </c>
    </row>
    <row r="1094" ht="14.25" customHeight="1">
      <c r="A1094" s="3" t="s">
        <v>14202</v>
      </c>
      <c r="B1094" s="1">
        <v>5.4</v>
      </c>
      <c r="C1094" s="1" t="s">
        <v>3238</v>
      </c>
      <c r="D1094" s="1" t="s">
        <v>17762</v>
      </c>
      <c r="E1094" s="1" t="s">
        <v>17764</v>
      </c>
      <c r="F1094" s="1" t="s">
        <v>17471</v>
      </c>
      <c r="G1094" s="1"/>
      <c r="H1094" s="1"/>
      <c r="I1094" s="1"/>
      <c r="J1094" s="1"/>
      <c r="K1094" s="1" t="s">
        <v>16209</v>
      </c>
    </row>
    <row r="1095" ht="14.25" customHeight="1">
      <c r="A1095" s="3" t="s">
        <v>1803</v>
      </c>
      <c r="B1095" s="1">
        <v>6.6</v>
      </c>
      <c r="C1095" s="1" t="s">
        <v>1270</v>
      </c>
      <c r="D1095" s="1" t="s">
        <v>17763</v>
      </c>
      <c r="E1095" s="1" t="s">
        <v>17773</v>
      </c>
      <c r="F1095" s="1" t="s">
        <v>17471</v>
      </c>
      <c r="G1095" s="1"/>
      <c r="H1095" s="1"/>
      <c r="I1095" s="1"/>
      <c r="J1095" s="1"/>
      <c r="K1095" s="1" t="s">
        <v>1802</v>
      </c>
    </row>
    <row r="1096" ht="14.25" customHeight="1">
      <c r="A1096" s="3" t="s">
        <v>1803</v>
      </c>
      <c r="B1096" s="1">
        <v>7.0</v>
      </c>
      <c r="C1096" s="1" t="s">
        <v>1270</v>
      </c>
      <c r="D1096" s="1" t="s">
        <v>17763</v>
      </c>
      <c r="E1096" s="1" t="s">
        <v>17773</v>
      </c>
      <c r="F1096" s="1" t="s">
        <v>17471</v>
      </c>
      <c r="G1096" s="1"/>
      <c r="H1096" s="1"/>
      <c r="I1096" s="1"/>
      <c r="J1096" s="1"/>
      <c r="K1096" s="1" t="s">
        <v>1802</v>
      </c>
    </row>
    <row r="1097" ht="14.25" customHeight="1">
      <c r="A1097" s="3" t="s">
        <v>4506</v>
      </c>
      <c r="B1097" s="1">
        <v>6.5</v>
      </c>
      <c r="C1097" s="1" t="s">
        <v>1270</v>
      </c>
      <c r="D1097" s="1" t="s">
        <v>3238</v>
      </c>
      <c r="E1097" s="1" t="s">
        <v>17773</v>
      </c>
      <c r="F1097" s="1" t="s">
        <v>17471</v>
      </c>
      <c r="G1097" s="1"/>
      <c r="H1097" s="1"/>
      <c r="I1097" s="1"/>
      <c r="J1097" s="1"/>
      <c r="K1097" s="1" t="s">
        <v>4505</v>
      </c>
    </row>
    <row r="1098" ht="14.25" customHeight="1">
      <c r="A1098" s="3" t="s">
        <v>13465</v>
      </c>
      <c r="B1098" s="1">
        <v>6.3</v>
      </c>
      <c r="C1098" s="1" t="s">
        <v>917</v>
      </c>
      <c r="D1098" s="1" t="s">
        <v>17765</v>
      </c>
      <c r="E1098" s="1" t="s">
        <v>3238</v>
      </c>
      <c r="F1098" s="1" t="s">
        <v>9025</v>
      </c>
      <c r="G1098" s="1"/>
      <c r="H1098" s="1"/>
      <c r="I1098" s="1"/>
      <c r="J1098" s="1"/>
      <c r="K1098" s="1" t="s">
        <v>13464</v>
      </c>
    </row>
    <row r="1099" ht="14.25" customHeight="1">
      <c r="A1099" s="3" t="s">
        <v>14213</v>
      </c>
      <c r="B1099" s="1">
        <v>6.5</v>
      </c>
      <c r="C1099" s="1" t="s">
        <v>17757</v>
      </c>
      <c r="D1099" s="1" t="s">
        <v>17765</v>
      </c>
      <c r="E1099" s="1" t="s">
        <v>3238</v>
      </c>
      <c r="F1099" s="1" t="s">
        <v>9025</v>
      </c>
      <c r="G1099" s="1"/>
      <c r="H1099" s="1"/>
      <c r="I1099" s="1"/>
      <c r="J1099" s="1"/>
      <c r="K1099" s="1" t="s">
        <v>14212</v>
      </c>
    </row>
    <row r="1100" ht="14.25" customHeight="1">
      <c r="A1100" s="3" t="s">
        <v>11959</v>
      </c>
      <c r="B1100" s="1">
        <v>6.5</v>
      </c>
      <c r="C1100" s="1" t="s">
        <v>1270</v>
      </c>
      <c r="D1100" s="1" t="s">
        <v>1885</v>
      </c>
      <c r="E1100" s="1" t="s">
        <v>3238</v>
      </c>
      <c r="F1100" s="1" t="s">
        <v>9025</v>
      </c>
      <c r="G1100" s="1"/>
      <c r="H1100" s="1"/>
      <c r="I1100" s="1"/>
      <c r="J1100" s="1"/>
      <c r="K1100" s="1" t="s">
        <v>11958</v>
      </c>
    </row>
    <row r="1101" ht="14.25" customHeight="1">
      <c r="A1101" s="3" t="s">
        <v>12208</v>
      </c>
      <c r="B1101" s="1">
        <v>5.8</v>
      </c>
      <c r="C1101" s="1" t="s">
        <v>17765</v>
      </c>
      <c r="D1101" s="1" t="s">
        <v>1885</v>
      </c>
      <c r="E1101" s="1" t="s">
        <v>3238</v>
      </c>
      <c r="F1101" s="1" t="s">
        <v>9025</v>
      </c>
      <c r="G1101" s="1"/>
      <c r="H1101" s="1"/>
      <c r="I1101" s="1"/>
      <c r="J1101" s="1"/>
      <c r="K1101" s="1" t="s">
        <v>12207</v>
      </c>
    </row>
    <row r="1102" ht="14.25" customHeight="1">
      <c r="A1102" s="3" t="s">
        <v>12160</v>
      </c>
      <c r="B1102" s="1">
        <v>6.6</v>
      </c>
      <c r="C1102" s="1" t="s">
        <v>17765</v>
      </c>
      <c r="D1102" s="1" t="s">
        <v>17763</v>
      </c>
      <c r="E1102" s="1" t="s">
        <v>3238</v>
      </c>
      <c r="F1102" s="1" t="s">
        <v>9025</v>
      </c>
      <c r="G1102" s="1"/>
      <c r="H1102" s="1"/>
      <c r="I1102" s="1"/>
      <c r="J1102" s="1"/>
      <c r="K1102" s="1" t="s">
        <v>12159</v>
      </c>
    </row>
    <row r="1103" ht="14.25" customHeight="1">
      <c r="A1103" s="3" t="s">
        <v>3427</v>
      </c>
      <c r="B1103" s="1">
        <v>5.4</v>
      </c>
      <c r="C1103" s="1" t="s">
        <v>1270</v>
      </c>
      <c r="D1103" s="1" t="s">
        <v>917</v>
      </c>
      <c r="E1103" s="1" t="s">
        <v>17759</v>
      </c>
      <c r="F1103" s="1" t="s">
        <v>9025</v>
      </c>
      <c r="G1103" s="1"/>
      <c r="H1103" s="1"/>
      <c r="I1103" s="1"/>
      <c r="J1103" s="1"/>
      <c r="K1103" s="1" t="s">
        <v>3426</v>
      </c>
    </row>
    <row r="1104" ht="14.25" customHeight="1">
      <c r="A1104" s="3" t="s">
        <v>1493</v>
      </c>
      <c r="B1104" s="1">
        <v>6.1</v>
      </c>
      <c r="C1104" s="1" t="s">
        <v>1270</v>
      </c>
      <c r="D1104" s="1" t="s">
        <v>3238</v>
      </c>
      <c r="E1104" s="1" t="s">
        <v>17759</v>
      </c>
      <c r="F1104" s="1" t="s">
        <v>9025</v>
      </c>
      <c r="G1104" s="1"/>
      <c r="H1104" s="1"/>
      <c r="I1104" s="1"/>
      <c r="J1104" s="1"/>
      <c r="K1104" s="1" t="s">
        <v>1492</v>
      </c>
    </row>
    <row r="1105" ht="14.25" customHeight="1">
      <c r="A1105" s="3" t="s">
        <v>1493</v>
      </c>
      <c r="B1105" s="1">
        <v>4.0</v>
      </c>
      <c r="C1105" s="1" t="s">
        <v>1270</v>
      </c>
      <c r="D1105" s="1" t="s">
        <v>3238</v>
      </c>
      <c r="E1105" s="1" t="s">
        <v>17759</v>
      </c>
      <c r="F1105" s="1" t="s">
        <v>9025</v>
      </c>
      <c r="G1105" s="1"/>
      <c r="H1105" s="1"/>
      <c r="I1105" s="1"/>
      <c r="J1105" s="1"/>
      <c r="K1105" s="1">
        <v>300.0</v>
      </c>
    </row>
    <row r="1106" ht="14.25" customHeight="1">
      <c r="A1106" s="3" t="s">
        <v>980</v>
      </c>
      <c r="B1106" s="1">
        <v>7.6</v>
      </c>
      <c r="C1106" s="1" t="s">
        <v>1270</v>
      </c>
      <c r="D1106" s="1" t="s">
        <v>3238</v>
      </c>
      <c r="E1106" s="1" t="s">
        <v>17772</v>
      </c>
      <c r="F1106" s="1" t="s">
        <v>9025</v>
      </c>
      <c r="G1106" s="1"/>
      <c r="H1106" s="1"/>
      <c r="I1106" s="1"/>
      <c r="J1106" s="1"/>
      <c r="K1106" s="1" t="s">
        <v>979</v>
      </c>
    </row>
    <row r="1107" ht="14.25" customHeight="1">
      <c r="A1107" s="3" t="s">
        <v>980</v>
      </c>
      <c r="B1107" s="1">
        <v>7.9</v>
      </c>
      <c r="C1107" s="1" t="s">
        <v>1270</v>
      </c>
      <c r="D1107" s="1" t="s">
        <v>3238</v>
      </c>
      <c r="E1107" s="1" t="s">
        <v>17772</v>
      </c>
      <c r="F1107" s="1" t="s">
        <v>9025</v>
      </c>
      <c r="G1107" s="1"/>
      <c r="H1107" s="1"/>
      <c r="I1107" s="1"/>
      <c r="J1107" s="1"/>
      <c r="K1107" s="1" t="s">
        <v>1452</v>
      </c>
    </row>
    <row r="1108" ht="14.25" customHeight="1">
      <c r="A1108" s="3" t="s">
        <v>980</v>
      </c>
      <c r="B1108" s="1">
        <v>5.3</v>
      </c>
      <c r="C1108" s="1" t="s">
        <v>1270</v>
      </c>
      <c r="D1108" s="1" t="s">
        <v>3238</v>
      </c>
      <c r="E1108" s="1" t="s">
        <v>17772</v>
      </c>
      <c r="F1108" s="1" t="s">
        <v>9025</v>
      </c>
      <c r="G1108" s="1"/>
      <c r="H1108" s="1"/>
      <c r="I1108" s="1"/>
      <c r="J1108" s="1"/>
      <c r="K1108" s="1" t="s">
        <v>3196</v>
      </c>
    </row>
    <row r="1109" ht="14.25" customHeight="1">
      <c r="A1109" s="3" t="s">
        <v>980</v>
      </c>
      <c r="B1109" s="1">
        <v>6.6</v>
      </c>
      <c r="C1109" s="1" t="s">
        <v>1270</v>
      </c>
      <c r="D1109" s="1" t="s">
        <v>3238</v>
      </c>
      <c r="E1109" s="1" t="s">
        <v>17772</v>
      </c>
      <c r="F1109" s="1" t="s">
        <v>9025</v>
      </c>
      <c r="G1109" s="1"/>
      <c r="H1109" s="1"/>
      <c r="I1109" s="1"/>
      <c r="J1109" s="1"/>
      <c r="K1109" s="1" t="s">
        <v>8956</v>
      </c>
    </row>
    <row r="1110" ht="14.25" customHeight="1">
      <c r="A1110" s="3" t="s">
        <v>3075</v>
      </c>
      <c r="B1110" s="1">
        <v>6.3</v>
      </c>
      <c r="C1110" s="1" t="s">
        <v>17765</v>
      </c>
      <c r="D1110" s="1" t="s">
        <v>3238</v>
      </c>
      <c r="E1110" s="1" t="s">
        <v>17772</v>
      </c>
      <c r="F1110" s="1" t="s">
        <v>9025</v>
      </c>
      <c r="G1110" s="1"/>
      <c r="H1110" s="1"/>
      <c r="I1110" s="1"/>
      <c r="J1110" s="1"/>
      <c r="K1110" s="1" t="s">
        <v>3074</v>
      </c>
    </row>
    <row r="1111" ht="14.25" customHeight="1">
      <c r="A1111" s="3" t="s">
        <v>3075</v>
      </c>
      <c r="B1111" s="1">
        <v>7.2</v>
      </c>
      <c r="C1111" s="1" t="s">
        <v>17765</v>
      </c>
      <c r="D1111" s="1" t="s">
        <v>3238</v>
      </c>
      <c r="E1111" s="1" t="s">
        <v>17772</v>
      </c>
      <c r="F1111" s="1" t="s">
        <v>9025</v>
      </c>
      <c r="G1111" s="1"/>
      <c r="H1111" s="1"/>
      <c r="I1111" s="1"/>
      <c r="J1111" s="1"/>
      <c r="K1111" s="1" t="s">
        <v>3452</v>
      </c>
    </row>
    <row r="1112" ht="14.25" customHeight="1">
      <c r="A1112" s="3" t="s">
        <v>3075</v>
      </c>
      <c r="B1112" s="1">
        <v>7.0</v>
      </c>
      <c r="C1112" s="1" t="s">
        <v>17765</v>
      </c>
      <c r="D1112" s="1" t="s">
        <v>3238</v>
      </c>
      <c r="E1112" s="1" t="s">
        <v>17772</v>
      </c>
      <c r="F1112" s="1" t="s">
        <v>9025</v>
      </c>
      <c r="G1112" s="1"/>
      <c r="H1112" s="1"/>
      <c r="I1112" s="1"/>
      <c r="J1112" s="1"/>
      <c r="K1112" s="1" t="s">
        <v>4516</v>
      </c>
    </row>
    <row r="1113" ht="14.25" customHeight="1">
      <c r="A1113" s="3" t="s">
        <v>3075</v>
      </c>
      <c r="B1113" s="1">
        <v>6.9</v>
      </c>
      <c r="C1113" s="1" t="s">
        <v>17765</v>
      </c>
      <c r="D1113" s="1" t="s">
        <v>3238</v>
      </c>
      <c r="E1113" s="1" t="s">
        <v>17772</v>
      </c>
      <c r="F1113" s="1" t="s">
        <v>9025</v>
      </c>
      <c r="G1113" s="1"/>
      <c r="H1113" s="1"/>
      <c r="I1113" s="1"/>
      <c r="J1113" s="1"/>
      <c r="K1113" s="1" t="s">
        <v>8381</v>
      </c>
    </row>
    <row r="1114" ht="14.25" customHeight="1">
      <c r="A1114" s="3" t="s">
        <v>3075</v>
      </c>
      <c r="B1114" s="1">
        <v>5.2</v>
      </c>
      <c r="C1114" s="1" t="s">
        <v>17765</v>
      </c>
      <c r="D1114" s="1" t="s">
        <v>3238</v>
      </c>
      <c r="E1114" s="1" t="s">
        <v>17772</v>
      </c>
      <c r="F1114" s="1" t="s">
        <v>9025</v>
      </c>
      <c r="G1114" s="1"/>
      <c r="H1114" s="1"/>
      <c r="I1114" s="1"/>
      <c r="J1114" s="1"/>
      <c r="K1114" s="1" t="s">
        <v>12197</v>
      </c>
    </row>
    <row r="1115" ht="14.25" customHeight="1">
      <c r="A1115" s="3" t="s">
        <v>10289</v>
      </c>
      <c r="B1115" s="1">
        <v>8.1</v>
      </c>
      <c r="C1115" s="1" t="s">
        <v>1885</v>
      </c>
      <c r="D1115" s="1" t="s">
        <v>3238</v>
      </c>
      <c r="E1115" s="1" t="s">
        <v>17774</v>
      </c>
      <c r="F1115" s="1" t="s">
        <v>9025</v>
      </c>
      <c r="G1115" s="1"/>
      <c r="H1115" s="1"/>
      <c r="I1115" s="1"/>
      <c r="J1115" s="1"/>
      <c r="K1115" s="1" t="s">
        <v>10288</v>
      </c>
    </row>
    <row r="1116" ht="14.25" customHeight="1">
      <c r="A1116" s="3" t="s">
        <v>1176</v>
      </c>
      <c r="B1116" s="1">
        <v>6.6</v>
      </c>
      <c r="C1116" s="1" t="s">
        <v>917</v>
      </c>
      <c r="D1116" s="1" t="s">
        <v>3238</v>
      </c>
      <c r="E1116" s="1" t="s">
        <v>17762</v>
      </c>
      <c r="F1116" s="1" t="s">
        <v>9025</v>
      </c>
      <c r="G1116" s="1"/>
      <c r="H1116" s="1"/>
      <c r="I1116" s="1"/>
      <c r="J1116" s="1"/>
      <c r="K1116" s="1" t="s">
        <v>362</v>
      </c>
    </row>
    <row r="1117" ht="14.25" customHeight="1">
      <c r="A1117" s="3" t="s">
        <v>1176</v>
      </c>
      <c r="B1117" s="1">
        <v>6.2</v>
      </c>
      <c r="C1117" s="1" t="s">
        <v>917</v>
      </c>
      <c r="D1117" s="1" t="s">
        <v>3238</v>
      </c>
      <c r="E1117" s="1" t="s">
        <v>17762</v>
      </c>
      <c r="F1117" s="1" t="s">
        <v>9025</v>
      </c>
      <c r="G1117" s="1"/>
      <c r="H1117" s="1"/>
      <c r="I1117" s="1"/>
      <c r="J1117" s="1"/>
      <c r="K1117" s="1" t="s">
        <v>4188</v>
      </c>
    </row>
    <row r="1118" ht="14.25" customHeight="1">
      <c r="A1118" s="3" t="s">
        <v>1176</v>
      </c>
      <c r="B1118" s="1">
        <v>7.2</v>
      </c>
      <c r="C1118" s="1" t="s">
        <v>917</v>
      </c>
      <c r="D1118" s="1" t="s">
        <v>3238</v>
      </c>
      <c r="E1118" s="1" t="s">
        <v>17762</v>
      </c>
      <c r="F1118" s="1" t="s">
        <v>9025</v>
      </c>
      <c r="G1118" s="1"/>
      <c r="H1118" s="1"/>
      <c r="I1118" s="1"/>
      <c r="J1118" s="1"/>
      <c r="K1118" s="1" t="s">
        <v>7128</v>
      </c>
    </row>
    <row r="1119" ht="14.25" customHeight="1">
      <c r="A1119" s="3" t="s">
        <v>1176</v>
      </c>
      <c r="B1119" s="1">
        <v>7.3</v>
      </c>
      <c r="C1119" s="1" t="s">
        <v>917</v>
      </c>
      <c r="D1119" s="1" t="s">
        <v>3238</v>
      </c>
      <c r="E1119" s="1" t="s">
        <v>17762</v>
      </c>
      <c r="F1119" s="1" t="s">
        <v>9025</v>
      </c>
      <c r="G1119" s="1"/>
      <c r="H1119" s="1"/>
      <c r="I1119" s="1"/>
      <c r="J1119" s="1"/>
      <c r="K1119" s="1" t="s">
        <v>14420</v>
      </c>
    </row>
    <row r="1120" ht="14.25" customHeight="1">
      <c r="A1120" s="3" t="s">
        <v>10924</v>
      </c>
      <c r="B1120" s="1">
        <v>6.7</v>
      </c>
      <c r="C1120" s="1" t="s">
        <v>17765</v>
      </c>
      <c r="D1120" s="1" t="s">
        <v>3238</v>
      </c>
      <c r="E1120" s="1" t="s">
        <v>17762</v>
      </c>
      <c r="F1120" s="1" t="s">
        <v>9025</v>
      </c>
      <c r="G1120" s="1"/>
      <c r="H1120" s="1"/>
      <c r="I1120" s="1"/>
      <c r="J1120" s="1"/>
      <c r="K1120" s="1" t="s">
        <v>10923</v>
      </c>
    </row>
    <row r="1121" ht="14.25" customHeight="1">
      <c r="A1121" s="3" t="s">
        <v>15306</v>
      </c>
      <c r="B1121" s="1">
        <v>6.4</v>
      </c>
      <c r="C1121" s="1" t="s">
        <v>1885</v>
      </c>
      <c r="D1121" s="1" t="s">
        <v>3238</v>
      </c>
      <c r="E1121" s="1" t="s">
        <v>17762</v>
      </c>
      <c r="F1121" s="1" t="s">
        <v>9025</v>
      </c>
      <c r="G1121" s="1"/>
      <c r="H1121" s="1"/>
      <c r="I1121" s="1"/>
      <c r="J1121" s="1"/>
      <c r="K1121" s="1" t="s">
        <v>15305</v>
      </c>
    </row>
    <row r="1122" ht="14.25" customHeight="1">
      <c r="A1122" s="3" t="s">
        <v>1859</v>
      </c>
      <c r="B1122" s="1">
        <v>7.8</v>
      </c>
      <c r="C1122" s="1" t="s">
        <v>3238</v>
      </c>
      <c r="D1122" s="1" t="s">
        <v>17772</v>
      </c>
      <c r="E1122" s="1" t="s">
        <v>17762</v>
      </c>
      <c r="F1122" s="1" t="s">
        <v>9025</v>
      </c>
      <c r="G1122" s="1"/>
      <c r="H1122" s="1"/>
      <c r="I1122" s="1"/>
      <c r="J1122" s="1"/>
      <c r="K1122" s="1" t="s">
        <v>1858</v>
      </c>
    </row>
    <row r="1123" ht="14.25" customHeight="1">
      <c r="A1123" s="3" t="s">
        <v>1859</v>
      </c>
      <c r="B1123" s="1">
        <v>6.4</v>
      </c>
      <c r="C1123" s="1" t="s">
        <v>3238</v>
      </c>
      <c r="D1123" s="1" t="s">
        <v>17772</v>
      </c>
      <c r="E1123" s="1" t="s">
        <v>17762</v>
      </c>
      <c r="F1123" s="1" t="s">
        <v>9025</v>
      </c>
      <c r="G1123" s="1"/>
      <c r="H1123" s="1"/>
      <c r="I1123" s="1"/>
      <c r="J1123" s="1"/>
      <c r="K1123" s="1" t="s">
        <v>11358</v>
      </c>
    </row>
    <row r="1124" ht="14.25" customHeight="1">
      <c r="A1124" s="3" t="s">
        <v>1859</v>
      </c>
      <c r="B1124" s="1">
        <v>4.1</v>
      </c>
      <c r="C1124" s="1" t="s">
        <v>3238</v>
      </c>
      <c r="D1124" s="1" t="s">
        <v>17772</v>
      </c>
      <c r="E1124" s="1" t="s">
        <v>17762</v>
      </c>
      <c r="F1124" s="1" t="s">
        <v>9025</v>
      </c>
      <c r="G1124" s="1"/>
      <c r="H1124" s="1"/>
      <c r="I1124" s="1"/>
      <c r="J1124" s="1"/>
      <c r="K1124" s="1" t="s">
        <v>15648</v>
      </c>
    </row>
    <row r="1125" ht="14.25" customHeight="1">
      <c r="A1125" s="3" t="s">
        <v>4293</v>
      </c>
      <c r="B1125" s="1">
        <v>4.1</v>
      </c>
      <c r="C1125" s="1" t="s">
        <v>3238</v>
      </c>
      <c r="D1125" s="1" t="s">
        <v>17774</v>
      </c>
      <c r="E1125" s="1" t="s">
        <v>17762</v>
      </c>
      <c r="F1125" s="1" t="s">
        <v>9025</v>
      </c>
      <c r="G1125" s="1"/>
      <c r="H1125" s="1"/>
      <c r="I1125" s="1"/>
      <c r="J1125" s="1"/>
      <c r="K1125" s="1" t="s">
        <v>4292</v>
      </c>
    </row>
    <row r="1126" ht="14.25" customHeight="1">
      <c r="A1126" s="3" t="s">
        <v>4559</v>
      </c>
      <c r="B1126" s="1">
        <v>7.4</v>
      </c>
      <c r="C1126" s="1" t="s">
        <v>3238</v>
      </c>
      <c r="D1126" s="1" t="s">
        <v>17761</v>
      </c>
      <c r="E1126" s="1" t="s">
        <v>17762</v>
      </c>
      <c r="F1126" s="1" t="s">
        <v>9025</v>
      </c>
      <c r="G1126" s="1"/>
      <c r="H1126" s="1"/>
      <c r="I1126" s="1"/>
      <c r="J1126" s="1"/>
      <c r="K1126" s="1" t="s">
        <v>4558</v>
      </c>
    </row>
    <row r="1127" ht="14.25" customHeight="1">
      <c r="A1127" s="3" t="s">
        <v>4559</v>
      </c>
      <c r="B1127" s="1">
        <v>5.8</v>
      </c>
      <c r="C1127" s="1" t="s">
        <v>3238</v>
      </c>
      <c r="D1127" s="1" t="s">
        <v>17761</v>
      </c>
      <c r="E1127" s="1" t="s">
        <v>17762</v>
      </c>
      <c r="F1127" s="1" t="s">
        <v>9025</v>
      </c>
      <c r="G1127" s="1"/>
      <c r="H1127" s="1"/>
      <c r="I1127" s="1"/>
      <c r="J1127" s="1"/>
      <c r="K1127" s="1" t="s">
        <v>7782</v>
      </c>
    </row>
    <row r="1128" ht="14.25" customHeight="1">
      <c r="A1128" s="3" t="s">
        <v>3497</v>
      </c>
      <c r="B1128" s="1">
        <v>7.6</v>
      </c>
      <c r="C1128" s="1" t="s">
        <v>17765</v>
      </c>
      <c r="D1128" s="1" t="s">
        <v>3238</v>
      </c>
      <c r="E1128" s="1" t="s">
        <v>17773</v>
      </c>
      <c r="F1128" s="1" t="s">
        <v>9025</v>
      </c>
      <c r="G1128" s="1"/>
      <c r="H1128" s="1"/>
      <c r="I1128" s="1"/>
      <c r="J1128" s="1"/>
      <c r="K1128" s="1" t="s">
        <v>3496</v>
      </c>
    </row>
    <row r="1129" ht="14.25" customHeight="1">
      <c r="A1129" s="3" t="s">
        <v>3497</v>
      </c>
      <c r="B1129" s="1">
        <v>7.2</v>
      </c>
      <c r="C1129" s="1" t="s">
        <v>17765</v>
      </c>
      <c r="D1129" s="1" t="s">
        <v>3238</v>
      </c>
      <c r="E1129" s="1" t="s">
        <v>17773</v>
      </c>
      <c r="F1129" s="1" t="s">
        <v>9025</v>
      </c>
      <c r="G1129" s="1"/>
      <c r="H1129" s="1"/>
      <c r="I1129" s="1"/>
      <c r="J1129" s="1"/>
      <c r="K1129" s="1" t="s">
        <v>3496</v>
      </c>
    </row>
    <row r="1130" ht="14.25" customHeight="1">
      <c r="A1130" s="3" t="s">
        <v>4235</v>
      </c>
      <c r="B1130" s="1">
        <v>7.8</v>
      </c>
      <c r="C1130" s="1" t="s">
        <v>1270</v>
      </c>
      <c r="D1130" s="1" t="s">
        <v>917</v>
      </c>
      <c r="E1130" s="1" t="s">
        <v>17471</v>
      </c>
      <c r="F1130" s="1" t="s">
        <v>9025</v>
      </c>
      <c r="G1130" s="1"/>
      <c r="H1130" s="1"/>
      <c r="I1130" s="1"/>
      <c r="J1130" s="1"/>
      <c r="K1130" s="1" t="s">
        <v>4234</v>
      </c>
    </row>
    <row r="1131" ht="14.25" customHeight="1">
      <c r="A1131" s="3" t="s">
        <v>4235</v>
      </c>
      <c r="B1131" s="1">
        <v>7.7</v>
      </c>
      <c r="C1131" s="1" t="s">
        <v>1270</v>
      </c>
      <c r="D1131" s="1" t="s">
        <v>917</v>
      </c>
      <c r="E1131" s="1" t="s">
        <v>17471</v>
      </c>
      <c r="F1131" s="1" t="s">
        <v>9025</v>
      </c>
      <c r="G1131" s="1"/>
      <c r="H1131" s="1"/>
      <c r="I1131" s="1"/>
      <c r="J1131" s="1"/>
      <c r="K1131" s="1" t="s">
        <v>5644</v>
      </c>
    </row>
    <row r="1132" ht="14.25" customHeight="1">
      <c r="A1132" s="3" t="s">
        <v>1827</v>
      </c>
      <c r="B1132" s="1">
        <v>6.4</v>
      </c>
      <c r="C1132" s="1" t="s">
        <v>1270</v>
      </c>
      <c r="D1132" s="1" t="s">
        <v>3238</v>
      </c>
      <c r="E1132" s="1" t="s">
        <v>17471</v>
      </c>
      <c r="F1132" s="1" t="s">
        <v>9025</v>
      </c>
      <c r="G1132" s="1"/>
      <c r="H1132" s="1"/>
      <c r="I1132" s="1"/>
      <c r="J1132" s="1"/>
      <c r="K1132" s="1" t="s">
        <v>1826</v>
      </c>
    </row>
    <row r="1133" ht="14.25" customHeight="1">
      <c r="A1133" s="3" t="s">
        <v>1827</v>
      </c>
      <c r="B1133" s="1">
        <v>5.1</v>
      </c>
      <c r="C1133" s="1" t="s">
        <v>1270</v>
      </c>
      <c r="D1133" s="1" t="s">
        <v>3238</v>
      </c>
      <c r="E1133" s="1" t="s">
        <v>17471</v>
      </c>
      <c r="F1133" s="1" t="s">
        <v>9025</v>
      </c>
      <c r="G1133" s="1"/>
      <c r="H1133" s="1"/>
      <c r="I1133" s="1"/>
      <c r="J1133" s="1"/>
      <c r="K1133" s="1" t="s">
        <v>2939</v>
      </c>
    </row>
    <row r="1134" ht="14.25" customHeight="1">
      <c r="A1134" s="3" t="s">
        <v>1827</v>
      </c>
      <c r="B1134" s="1">
        <v>5.5</v>
      </c>
      <c r="C1134" s="1" t="s">
        <v>1270</v>
      </c>
      <c r="D1134" s="1" t="s">
        <v>3238</v>
      </c>
      <c r="E1134" s="1" t="s">
        <v>17471</v>
      </c>
      <c r="F1134" s="1" t="s">
        <v>9025</v>
      </c>
      <c r="G1134" s="1"/>
      <c r="H1134" s="1"/>
      <c r="I1134" s="1"/>
      <c r="J1134" s="1"/>
      <c r="K1134" s="1" t="s">
        <v>4372</v>
      </c>
    </row>
    <row r="1135" ht="14.25" customHeight="1">
      <c r="A1135" s="3" t="s">
        <v>1827</v>
      </c>
      <c r="B1135" s="1">
        <v>7.4</v>
      </c>
      <c r="C1135" s="1" t="s">
        <v>1270</v>
      </c>
      <c r="D1135" s="1" t="s">
        <v>3238</v>
      </c>
      <c r="E1135" s="1" t="s">
        <v>17471</v>
      </c>
      <c r="F1135" s="1" t="s">
        <v>9025</v>
      </c>
      <c r="G1135" s="1"/>
      <c r="H1135" s="1"/>
      <c r="I1135" s="1"/>
      <c r="J1135" s="1"/>
      <c r="K1135" s="1" t="s">
        <v>4906</v>
      </c>
    </row>
    <row r="1136" ht="14.25" customHeight="1">
      <c r="A1136" s="3" t="s">
        <v>1827</v>
      </c>
      <c r="B1136" s="1">
        <v>6.0</v>
      </c>
      <c r="C1136" s="1" t="s">
        <v>1270</v>
      </c>
      <c r="D1136" s="1" t="s">
        <v>3238</v>
      </c>
      <c r="E1136" s="1" t="s">
        <v>17471</v>
      </c>
      <c r="F1136" s="1" t="s">
        <v>9025</v>
      </c>
      <c r="G1136" s="1"/>
      <c r="H1136" s="1"/>
      <c r="I1136" s="1"/>
      <c r="J1136" s="1"/>
      <c r="K1136" s="1" t="s">
        <v>6029</v>
      </c>
    </row>
    <row r="1137" ht="14.25" customHeight="1">
      <c r="A1137" s="3" t="s">
        <v>1827</v>
      </c>
      <c r="B1137" s="1">
        <v>7.5</v>
      </c>
      <c r="C1137" s="1" t="s">
        <v>1270</v>
      </c>
      <c r="D1137" s="1" t="s">
        <v>3238</v>
      </c>
      <c r="E1137" s="1" t="s">
        <v>17471</v>
      </c>
      <c r="F1137" s="1" t="s">
        <v>9025</v>
      </c>
      <c r="G1137" s="1"/>
      <c r="H1137" s="1"/>
      <c r="I1137" s="1"/>
      <c r="J1137" s="1"/>
      <c r="K1137" s="1" t="s">
        <v>7150</v>
      </c>
    </row>
    <row r="1138" ht="14.25" customHeight="1">
      <c r="A1138" s="3" t="s">
        <v>12733</v>
      </c>
      <c r="B1138" s="1">
        <v>7.0</v>
      </c>
      <c r="C1138" s="1" t="s">
        <v>917</v>
      </c>
      <c r="D1138" s="1" t="s">
        <v>3238</v>
      </c>
      <c r="E1138" s="1" t="s">
        <v>17471</v>
      </c>
      <c r="F1138" s="1" t="s">
        <v>9025</v>
      </c>
      <c r="G1138" s="1"/>
      <c r="H1138" s="1"/>
      <c r="I1138" s="1"/>
      <c r="J1138" s="1"/>
      <c r="K1138" s="1" t="s">
        <v>12732</v>
      </c>
    </row>
    <row r="1139" ht="14.25" customHeight="1">
      <c r="A1139" s="3" t="s">
        <v>9137</v>
      </c>
      <c r="B1139" s="1">
        <v>7.5</v>
      </c>
      <c r="C1139" s="1" t="s">
        <v>17765</v>
      </c>
      <c r="D1139" s="1" t="s">
        <v>3238</v>
      </c>
      <c r="E1139" s="1" t="s">
        <v>17471</v>
      </c>
      <c r="F1139" s="1" t="s">
        <v>9025</v>
      </c>
      <c r="G1139" s="1"/>
      <c r="H1139" s="1"/>
      <c r="I1139" s="1"/>
      <c r="J1139" s="1"/>
      <c r="K1139" s="1" t="s">
        <v>9136</v>
      </c>
    </row>
    <row r="1140" ht="14.25" customHeight="1">
      <c r="A1140" s="3" t="s">
        <v>9137</v>
      </c>
      <c r="B1140" s="1">
        <v>7.3</v>
      </c>
      <c r="C1140" s="1" t="s">
        <v>17765</v>
      </c>
      <c r="D1140" s="1" t="s">
        <v>3238</v>
      </c>
      <c r="E1140" s="1" t="s">
        <v>17471</v>
      </c>
      <c r="F1140" s="1" t="s">
        <v>9025</v>
      </c>
      <c r="G1140" s="1"/>
      <c r="H1140" s="1"/>
      <c r="I1140" s="1"/>
      <c r="J1140" s="1"/>
      <c r="K1140" s="1" t="s">
        <v>11453</v>
      </c>
    </row>
    <row r="1141" ht="14.25" customHeight="1">
      <c r="A1141" s="3" t="s">
        <v>2090</v>
      </c>
      <c r="B1141" s="1">
        <v>5.7</v>
      </c>
      <c r="C1141" s="1" t="s">
        <v>3238</v>
      </c>
      <c r="D1141" s="1" t="s">
        <v>17772</v>
      </c>
      <c r="E1141" s="1" t="s">
        <v>17471</v>
      </c>
      <c r="F1141" s="1" t="s">
        <v>9025</v>
      </c>
      <c r="G1141" s="1"/>
      <c r="H1141" s="1"/>
      <c r="I1141" s="1"/>
      <c r="J1141" s="1"/>
      <c r="K1141" s="1" t="s">
        <v>2089</v>
      </c>
    </row>
    <row r="1142" ht="14.25" customHeight="1">
      <c r="A1142" s="3" t="s">
        <v>2090</v>
      </c>
      <c r="B1142" s="1">
        <v>7.3</v>
      </c>
      <c r="C1142" s="1" t="s">
        <v>3238</v>
      </c>
      <c r="D1142" s="1" t="s">
        <v>17772</v>
      </c>
      <c r="E1142" s="1" t="s">
        <v>17471</v>
      </c>
      <c r="F1142" s="1" t="s">
        <v>9025</v>
      </c>
      <c r="G1142" s="1"/>
      <c r="H1142" s="1"/>
      <c r="I1142" s="1"/>
      <c r="J1142" s="1"/>
      <c r="K1142" s="1" t="s">
        <v>2187</v>
      </c>
    </row>
    <row r="1143" ht="14.25" customHeight="1">
      <c r="A1143" s="3" t="s">
        <v>2090</v>
      </c>
      <c r="B1143" s="1">
        <v>7.2</v>
      </c>
      <c r="C1143" s="1" t="s">
        <v>3238</v>
      </c>
      <c r="D1143" s="1" t="s">
        <v>17772</v>
      </c>
      <c r="E1143" s="1" t="s">
        <v>17471</v>
      </c>
      <c r="F1143" s="1" t="s">
        <v>9025</v>
      </c>
      <c r="G1143" s="1"/>
      <c r="H1143" s="1"/>
      <c r="I1143" s="1"/>
      <c r="J1143" s="1"/>
      <c r="K1143" s="1" t="s">
        <v>11713</v>
      </c>
    </row>
    <row r="1144" ht="14.25" customHeight="1">
      <c r="A1144" s="3" t="s">
        <v>2090</v>
      </c>
      <c r="B1144" s="1">
        <v>5.9</v>
      </c>
      <c r="C1144" s="1" t="s">
        <v>3238</v>
      </c>
      <c r="D1144" s="1" t="s">
        <v>17772</v>
      </c>
      <c r="E1144" s="1" t="s">
        <v>17471</v>
      </c>
      <c r="F1144" s="1" t="s">
        <v>9025</v>
      </c>
      <c r="G1144" s="1"/>
      <c r="H1144" s="1"/>
      <c r="I1144" s="1"/>
      <c r="J1144" s="1"/>
      <c r="K1144" s="1" t="s">
        <v>13829</v>
      </c>
    </row>
    <row r="1145" ht="14.25" customHeight="1">
      <c r="A1145" s="3" t="s">
        <v>4417</v>
      </c>
      <c r="B1145" s="1">
        <v>7.8</v>
      </c>
      <c r="C1145" s="1" t="s">
        <v>1270</v>
      </c>
      <c r="D1145" s="1" t="s">
        <v>917</v>
      </c>
      <c r="E1145" s="1" t="s">
        <v>1885</v>
      </c>
      <c r="F1145" s="1" t="s">
        <v>14463</v>
      </c>
      <c r="G1145" s="1"/>
      <c r="H1145" s="1"/>
      <c r="I1145" s="1"/>
      <c r="J1145" s="1"/>
      <c r="K1145" s="1" t="s">
        <v>4416</v>
      </c>
    </row>
    <row r="1146" ht="14.25" customHeight="1">
      <c r="A1146" s="3" t="s">
        <v>4417</v>
      </c>
      <c r="B1146" s="1">
        <v>7.7</v>
      </c>
      <c r="C1146" s="1" t="s">
        <v>1270</v>
      </c>
      <c r="D1146" s="1" t="s">
        <v>917</v>
      </c>
      <c r="E1146" s="1" t="s">
        <v>1885</v>
      </c>
      <c r="F1146" s="1" t="s">
        <v>14463</v>
      </c>
      <c r="G1146" s="1"/>
      <c r="H1146" s="1"/>
      <c r="I1146" s="1"/>
      <c r="J1146" s="1"/>
      <c r="K1146" s="1" t="s">
        <v>13660</v>
      </c>
    </row>
    <row r="1147" ht="14.25" customHeight="1">
      <c r="A1147" s="3" t="s">
        <v>8614</v>
      </c>
      <c r="B1147" s="1">
        <v>8.1</v>
      </c>
      <c r="C1147" s="1" t="s">
        <v>1270</v>
      </c>
      <c r="D1147" s="1" t="s">
        <v>17763</v>
      </c>
      <c r="E1147" s="1" t="s">
        <v>3238</v>
      </c>
      <c r="F1147" s="1" t="s">
        <v>14463</v>
      </c>
      <c r="G1147" s="1"/>
      <c r="H1147" s="1"/>
      <c r="I1147" s="1"/>
      <c r="J1147" s="1"/>
      <c r="K1147" s="1" t="s">
        <v>8613</v>
      </c>
    </row>
    <row r="1148" ht="14.25" customHeight="1">
      <c r="A1148" s="3" t="s">
        <v>5261</v>
      </c>
      <c r="B1148" s="1">
        <v>6.6</v>
      </c>
      <c r="C1148" s="1" t="s">
        <v>917</v>
      </c>
      <c r="D1148" s="1" t="s">
        <v>17763</v>
      </c>
      <c r="E1148" s="1" t="s">
        <v>3238</v>
      </c>
      <c r="F1148" s="1" t="s">
        <v>14463</v>
      </c>
      <c r="G1148" s="1"/>
      <c r="H1148" s="1"/>
      <c r="I1148" s="1"/>
      <c r="J1148" s="1"/>
      <c r="K1148" s="1" t="s">
        <v>5260</v>
      </c>
    </row>
    <row r="1149" ht="14.25" customHeight="1">
      <c r="A1149" s="3" t="s">
        <v>14620</v>
      </c>
      <c r="B1149" s="1">
        <v>7.1</v>
      </c>
      <c r="C1149" s="1" t="s">
        <v>17765</v>
      </c>
      <c r="D1149" s="1" t="s">
        <v>17763</v>
      </c>
      <c r="E1149" s="1" t="s">
        <v>3238</v>
      </c>
      <c r="F1149" s="1" t="s">
        <v>14463</v>
      </c>
      <c r="G1149" s="1"/>
      <c r="H1149" s="1"/>
      <c r="I1149" s="1"/>
      <c r="J1149" s="1"/>
      <c r="K1149" s="1" t="s">
        <v>14619</v>
      </c>
    </row>
    <row r="1150" ht="14.25" customHeight="1">
      <c r="A1150" s="3" t="s">
        <v>2593</v>
      </c>
      <c r="B1150" s="1">
        <v>5.9</v>
      </c>
      <c r="C1150" s="1" t="s">
        <v>917</v>
      </c>
      <c r="D1150" s="1" t="s">
        <v>17757</v>
      </c>
      <c r="E1150" s="1" t="s">
        <v>17758</v>
      </c>
      <c r="F1150" s="1" t="s">
        <v>14463</v>
      </c>
      <c r="G1150" s="1"/>
      <c r="H1150" s="1"/>
      <c r="I1150" s="1"/>
      <c r="J1150" s="1"/>
      <c r="K1150" s="1" t="s">
        <v>2592</v>
      </c>
    </row>
    <row r="1151" ht="14.25" customHeight="1">
      <c r="A1151" s="3" t="s">
        <v>479</v>
      </c>
      <c r="B1151" s="1">
        <v>8.0</v>
      </c>
      <c r="C1151" s="1" t="s">
        <v>1270</v>
      </c>
      <c r="D1151" s="1" t="s">
        <v>1885</v>
      </c>
      <c r="E1151" s="1" t="s">
        <v>17764</v>
      </c>
      <c r="F1151" s="1" t="s">
        <v>14463</v>
      </c>
      <c r="G1151" s="1"/>
      <c r="H1151" s="1"/>
      <c r="I1151" s="1"/>
      <c r="J1151" s="1"/>
      <c r="K1151" s="1" t="s">
        <v>478</v>
      </c>
    </row>
    <row r="1152" ht="14.25" customHeight="1">
      <c r="A1152" s="3" t="s">
        <v>5930</v>
      </c>
      <c r="B1152" s="1">
        <v>4.6</v>
      </c>
      <c r="C1152" s="1" t="s">
        <v>917</v>
      </c>
      <c r="D1152" s="1" t="s">
        <v>1885</v>
      </c>
      <c r="E1152" s="1" t="s">
        <v>17764</v>
      </c>
      <c r="F1152" s="1" t="s">
        <v>14463</v>
      </c>
      <c r="G1152" s="1"/>
      <c r="H1152" s="1"/>
      <c r="I1152" s="1"/>
      <c r="J1152" s="1"/>
      <c r="K1152" s="1" t="s">
        <v>5929</v>
      </c>
    </row>
    <row r="1153" ht="14.25" customHeight="1">
      <c r="A1153" s="3" t="s">
        <v>1090</v>
      </c>
      <c r="B1153" s="1">
        <v>6.1</v>
      </c>
      <c r="C1153" s="1" t="s">
        <v>917</v>
      </c>
      <c r="D1153" s="1" t="s">
        <v>3238</v>
      </c>
      <c r="E1153" s="1" t="s">
        <v>17471</v>
      </c>
      <c r="F1153" s="1" t="s">
        <v>14463</v>
      </c>
      <c r="G1153" s="1"/>
      <c r="H1153" s="1"/>
      <c r="I1153" s="1"/>
      <c r="J1153" s="1"/>
      <c r="K1153" s="1" t="s">
        <v>1089</v>
      </c>
    </row>
    <row r="1154" ht="14.25" customHeight="1">
      <c r="A1154" s="3" t="s">
        <v>1975</v>
      </c>
      <c r="B1154" s="1">
        <v>7.2</v>
      </c>
      <c r="C1154" s="1" t="s">
        <v>3238</v>
      </c>
      <c r="D1154" s="1" t="s">
        <v>17772</v>
      </c>
      <c r="E1154" s="1" t="s">
        <v>9025</v>
      </c>
      <c r="F1154" s="1" t="s">
        <v>14463</v>
      </c>
      <c r="G1154" s="1"/>
      <c r="H1154" s="1"/>
      <c r="I1154" s="1"/>
      <c r="J1154" s="1"/>
      <c r="K1154" s="1" t="s">
        <v>1974</v>
      </c>
    </row>
    <row r="1155" ht="14.25" customHeight="1">
      <c r="A1155" s="3" t="s">
        <v>1975</v>
      </c>
      <c r="B1155" s="1">
        <v>6.4</v>
      </c>
      <c r="C1155" s="1" t="s">
        <v>3238</v>
      </c>
      <c r="D1155" s="1" t="s">
        <v>17772</v>
      </c>
      <c r="E1155" s="1" t="s">
        <v>9025</v>
      </c>
      <c r="F1155" s="1" t="s">
        <v>14463</v>
      </c>
      <c r="G1155" s="1"/>
      <c r="H1155" s="1"/>
      <c r="I1155" s="1"/>
      <c r="J1155" s="1"/>
      <c r="K1155" s="1" t="s">
        <v>1974</v>
      </c>
    </row>
    <row r="1156" ht="14.25" customHeight="1">
      <c r="A1156" s="3" t="s">
        <v>7239</v>
      </c>
      <c r="B1156" s="1">
        <v>6.0</v>
      </c>
      <c r="C1156" s="1" t="s">
        <v>3238</v>
      </c>
      <c r="D1156" s="1" t="s">
        <v>17762</v>
      </c>
      <c r="E1156" s="1" t="s">
        <v>9025</v>
      </c>
      <c r="F1156" s="1" t="s">
        <v>14463</v>
      </c>
      <c r="G1156" s="1"/>
      <c r="H1156" s="1"/>
      <c r="I1156" s="1"/>
      <c r="J1156" s="1"/>
      <c r="K1156" s="1" t="s">
        <v>7238</v>
      </c>
    </row>
    <row r="1157" ht="14.25" customHeight="1">
      <c r="A1157" s="3" t="s">
        <v>7239</v>
      </c>
      <c r="B1157" s="1">
        <v>5.2</v>
      </c>
      <c r="C1157" s="1" t="s">
        <v>3238</v>
      </c>
      <c r="D1157" s="1" t="s">
        <v>17762</v>
      </c>
      <c r="E1157" s="1" t="s">
        <v>9025</v>
      </c>
      <c r="F1157" s="1" t="s">
        <v>14463</v>
      </c>
      <c r="G1157" s="1"/>
      <c r="H1157" s="1"/>
      <c r="I1157" s="1"/>
      <c r="J1157" s="1"/>
      <c r="K1157" s="1" t="s">
        <v>7663</v>
      </c>
    </row>
    <row r="1158" ht="14.25" customHeight="1">
      <c r="A1158" s="3" t="s">
        <v>1551</v>
      </c>
      <c r="B1158" s="1">
        <v>7.6</v>
      </c>
      <c r="C1158" s="1" t="s">
        <v>1270</v>
      </c>
      <c r="D1158" s="1" t="s">
        <v>917</v>
      </c>
      <c r="E1158" s="1" t="s">
        <v>1885</v>
      </c>
      <c r="F1158" s="1"/>
      <c r="G1158" s="1"/>
      <c r="H1158" s="1"/>
      <c r="I1158" s="1"/>
      <c r="J1158" s="1"/>
      <c r="K1158" s="1" t="s">
        <v>1550</v>
      </c>
    </row>
    <row r="1159" ht="14.25" customHeight="1">
      <c r="A1159" s="3" t="s">
        <v>1551</v>
      </c>
      <c r="B1159" s="1">
        <v>6.4</v>
      </c>
      <c r="C1159" s="1" t="s">
        <v>1270</v>
      </c>
      <c r="D1159" s="1" t="s">
        <v>917</v>
      </c>
      <c r="E1159" s="1" t="s">
        <v>1885</v>
      </c>
      <c r="F1159" s="1"/>
      <c r="G1159" s="1"/>
      <c r="H1159" s="1"/>
      <c r="I1159" s="1"/>
      <c r="J1159" s="1"/>
      <c r="K1159" s="1" t="s">
        <v>1986</v>
      </c>
    </row>
    <row r="1160" ht="14.25" customHeight="1">
      <c r="A1160" s="3" t="s">
        <v>1551</v>
      </c>
      <c r="B1160" s="1">
        <v>6.1</v>
      </c>
      <c r="C1160" s="1" t="s">
        <v>1270</v>
      </c>
      <c r="D1160" s="1" t="s">
        <v>917</v>
      </c>
      <c r="E1160" s="1" t="s">
        <v>1885</v>
      </c>
      <c r="F1160" s="1"/>
      <c r="G1160" s="1"/>
      <c r="H1160" s="1"/>
      <c r="I1160" s="1"/>
      <c r="J1160" s="1"/>
      <c r="K1160" s="1" t="s">
        <v>2477</v>
      </c>
    </row>
    <row r="1161" ht="14.25" customHeight="1">
      <c r="A1161" s="3" t="s">
        <v>1551</v>
      </c>
      <c r="B1161" s="1">
        <v>6.1</v>
      </c>
      <c r="C1161" s="1" t="s">
        <v>1270</v>
      </c>
      <c r="D1161" s="1" t="s">
        <v>917</v>
      </c>
      <c r="E1161" s="1" t="s">
        <v>1885</v>
      </c>
      <c r="F1161" s="1"/>
      <c r="G1161" s="1"/>
      <c r="H1161" s="1"/>
      <c r="I1161" s="1"/>
      <c r="J1161" s="1"/>
      <c r="K1161" s="1" t="s">
        <v>2948</v>
      </c>
    </row>
    <row r="1162" ht="14.25" customHeight="1">
      <c r="A1162" s="3" t="s">
        <v>1551</v>
      </c>
      <c r="B1162" s="1">
        <v>5.2</v>
      </c>
      <c r="C1162" s="1" t="s">
        <v>1270</v>
      </c>
      <c r="D1162" s="1" t="s">
        <v>917</v>
      </c>
      <c r="E1162" s="1" t="s">
        <v>1885</v>
      </c>
      <c r="F1162" s="1"/>
      <c r="G1162" s="1"/>
      <c r="H1162" s="1"/>
      <c r="I1162" s="1"/>
      <c r="J1162" s="1"/>
      <c r="K1162" s="1" t="s">
        <v>3603</v>
      </c>
    </row>
    <row r="1163" ht="14.25" customHeight="1">
      <c r="A1163" s="3" t="s">
        <v>1551</v>
      </c>
      <c r="B1163" s="1">
        <v>7.7</v>
      </c>
      <c r="C1163" s="1" t="s">
        <v>1270</v>
      </c>
      <c r="D1163" s="1" t="s">
        <v>917</v>
      </c>
      <c r="E1163" s="1" t="s">
        <v>1885</v>
      </c>
      <c r="F1163" s="1"/>
      <c r="G1163" s="1"/>
      <c r="H1163" s="1"/>
      <c r="I1163" s="1"/>
      <c r="J1163" s="1"/>
      <c r="K1163" s="1" t="s">
        <v>4670</v>
      </c>
    </row>
    <row r="1164" ht="14.25" customHeight="1">
      <c r="A1164" s="3" t="s">
        <v>1551</v>
      </c>
      <c r="B1164" s="1">
        <v>7.3</v>
      </c>
      <c r="C1164" s="1" t="s">
        <v>1270</v>
      </c>
      <c r="D1164" s="1" t="s">
        <v>917</v>
      </c>
      <c r="E1164" s="1" t="s">
        <v>1885</v>
      </c>
      <c r="F1164" s="1"/>
      <c r="G1164" s="1"/>
      <c r="H1164" s="1"/>
      <c r="I1164" s="1"/>
      <c r="J1164" s="1"/>
      <c r="K1164" s="1" t="s">
        <v>4860</v>
      </c>
    </row>
    <row r="1165" ht="14.25" customHeight="1">
      <c r="A1165" s="3" t="s">
        <v>1551</v>
      </c>
      <c r="B1165" s="1">
        <v>6.9</v>
      </c>
      <c r="C1165" s="1" t="s">
        <v>1270</v>
      </c>
      <c r="D1165" s="1" t="s">
        <v>917</v>
      </c>
      <c r="E1165" s="1" t="s">
        <v>1885</v>
      </c>
      <c r="F1165" s="1"/>
      <c r="G1165" s="1"/>
      <c r="H1165" s="1"/>
      <c r="I1165" s="1"/>
      <c r="J1165" s="1"/>
      <c r="K1165" s="1" t="s">
        <v>5505</v>
      </c>
    </row>
    <row r="1166" ht="14.25" customHeight="1">
      <c r="A1166" s="3" t="s">
        <v>1551</v>
      </c>
      <c r="B1166" s="1">
        <v>8.5</v>
      </c>
      <c r="C1166" s="1" t="s">
        <v>1270</v>
      </c>
      <c r="D1166" s="1" t="s">
        <v>917</v>
      </c>
      <c r="E1166" s="1" t="s">
        <v>1885</v>
      </c>
      <c r="F1166" s="1"/>
      <c r="G1166" s="1"/>
      <c r="H1166" s="1"/>
      <c r="I1166" s="1"/>
      <c r="J1166" s="1"/>
      <c r="K1166" s="1" t="s">
        <v>12007</v>
      </c>
    </row>
    <row r="1167" ht="14.25" customHeight="1">
      <c r="A1167" s="3" t="s">
        <v>1551</v>
      </c>
      <c r="B1167" s="1">
        <v>6.3</v>
      </c>
      <c r="C1167" s="1" t="s">
        <v>1270</v>
      </c>
      <c r="D1167" s="1" t="s">
        <v>917</v>
      </c>
      <c r="E1167" s="1" t="s">
        <v>1885</v>
      </c>
      <c r="F1167" s="1"/>
      <c r="G1167" s="1"/>
      <c r="H1167" s="1"/>
      <c r="I1167" s="1"/>
      <c r="J1167" s="1"/>
      <c r="K1167" s="1" t="s">
        <v>1550</v>
      </c>
    </row>
    <row r="1168" ht="14.25" customHeight="1">
      <c r="A1168" s="3" t="s">
        <v>3088</v>
      </c>
      <c r="B1168" s="1">
        <v>5.9</v>
      </c>
      <c r="C1168" s="1" t="s">
        <v>917</v>
      </c>
      <c r="D1168" s="1" t="s">
        <v>17757</v>
      </c>
      <c r="E1168" s="1" t="s">
        <v>1885</v>
      </c>
      <c r="F1168" s="1"/>
      <c r="G1168" s="1"/>
      <c r="H1168" s="1"/>
      <c r="I1168" s="1"/>
      <c r="J1168" s="1"/>
      <c r="K1168" s="1" t="s">
        <v>3087</v>
      </c>
    </row>
    <row r="1169" ht="14.25" customHeight="1">
      <c r="A1169" s="3" t="s">
        <v>1670</v>
      </c>
      <c r="B1169" s="1">
        <v>7.8</v>
      </c>
      <c r="C1169" s="1" t="s">
        <v>1270</v>
      </c>
      <c r="D1169" s="1" t="s">
        <v>1885</v>
      </c>
      <c r="E1169" s="1" t="s">
        <v>17763</v>
      </c>
      <c r="F1169" s="1"/>
      <c r="G1169" s="1"/>
      <c r="H1169" s="1"/>
      <c r="I1169" s="1"/>
      <c r="J1169" s="1"/>
      <c r="K1169" s="1" t="s">
        <v>1669</v>
      </c>
    </row>
    <row r="1170" ht="14.25" customHeight="1">
      <c r="A1170" s="3" t="s">
        <v>1670</v>
      </c>
      <c r="B1170" s="1">
        <v>6.7</v>
      </c>
      <c r="C1170" s="1" t="s">
        <v>1270</v>
      </c>
      <c r="D1170" s="1" t="s">
        <v>1885</v>
      </c>
      <c r="E1170" s="1" t="s">
        <v>17763</v>
      </c>
      <c r="F1170" s="1"/>
      <c r="G1170" s="1"/>
      <c r="H1170" s="1"/>
      <c r="I1170" s="1"/>
      <c r="J1170" s="1"/>
      <c r="K1170" s="1" t="s">
        <v>2271</v>
      </c>
    </row>
    <row r="1171" ht="14.25" customHeight="1">
      <c r="A1171" s="3" t="s">
        <v>1670</v>
      </c>
      <c r="B1171" s="1">
        <v>6.4</v>
      </c>
      <c r="C1171" s="1" t="s">
        <v>1270</v>
      </c>
      <c r="D1171" s="1" t="s">
        <v>1885</v>
      </c>
      <c r="E1171" s="1" t="s">
        <v>17763</v>
      </c>
      <c r="F1171" s="1"/>
      <c r="G1171" s="1"/>
      <c r="H1171" s="1"/>
      <c r="I1171" s="1"/>
      <c r="J1171" s="1"/>
      <c r="K1171" s="1" t="s">
        <v>3650</v>
      </c>
    </row>
    <row r="1172" ht="14.25" customHeight="1">
      <c r="A1172" s="3" t="s">
        <v>1670</v>
      </c>
      <c r="B1172" s="1">
        <v>5.9</v>
      </c>
      <c r="C1172" s="1" t="s">
        <v>1270</v>
      </c>
      <c r="D1172" s="1" t="s">
        <v>1885</v>
      </c>
      <c r="E1172" s="1" t="s">
        <v>17763</v>
      </c>
      <c r="F1172" s="1"/>
      <c r="G1172" s="1"/>
      <c r="H1172" s="1"/>
      <c r="I1172" s="1"/>
      <c r="J1172" s="1"/>
      <c r="K1172" s="1" t="s">
        <v>3992</v>
      </c>
    </row>
    <row r="1173" ht="14.25" customHeight="1">
      <c r="A1173" s="3" t="s">
        <v>1670</v>
      </c>
      <c r="B1173" s="1">
        <v>6.6</v>
      </c>
      <c r="C1173" s="1" t="s">
        <v>1270</v>
      </c>
      <c r="D1173" s="1" t="s">
        <v>1885</v>
      </c>
      <c r="E1173" s="1" t="s">
        <v>17763</v>
      </c>
      <c r="F1173" s="1"/>
      <c r="G1173" s="1"/>
      <c r="H1173" s="1"/>
      <c r="I1173" s="1"/>
      <c r="J1173" s="1"/>
      <c r="K1173" s="1" t="s">
        <v>4771</v>
      </c>
    </row>
    <row r="1174" ht="14.25" customHeight="1">
      <c r="A1174" s="3" t="s">
        <v>1670</v>
      </c>
      <c r="B1174" s="1">
        <v>6.8</v>
      </c>
      <c r="C1174" s="1" t="s">
        <v>1270</v>
      </c>
      <c r="D1174" s="1" t="s">
        <v>1885</v>
      </c>
      <c r="E1174" s="1" t="s">
        <v>17763</v>
      </c>
      <c r="F1174" s="1"/>
      <c r="G1174" s="1"/>
      <c r="H1174" s="1"/>
      <c r="I1174" s="1"/>
      <c r="J1174" s="1"/>
      <c r="K1174" s="1" t="s">
        <v>4785</v>
      </c>
    </row>
    <row r="1175" ht="14.25" customHeight="1">
      <c r="A1175" s="3" t="s">
        <v>1670</v>
      </c>
      <c r="B1175" s="1">
        <v>6.5</v>
      </c>
      <c r="C1175" s="1" t="s">
        <v>1270</v>
      </c>
      <c r="D1175" s="1" t="s">
        <v>1885</v>
      </c>
      <c r="E1175" s="1" t="s">
        <v>17763</v>
      </c>
      <c r="F1175" s="1"/>
      <c r="G1175" s="1"/>
      <c r="H1175" s="1"/>
      <c r="I1175" s="1"/>
      <c r="J1175" s="1"/>
      <c r="K1175" s="1" t="s">
        <v>5709</v>
      </c>
    </row>
    <row r="1176" ht="14.25" customHeight="1">
      <c r="A1176" s="3" t="s">
        <v>1670</v>
      </c>
      <c r="B1176" s="1">
        <v>6.6</v>
      </c>
      <c r="C1176" s="1" t="s">
        <v>1270</v>
      </c>
      <c r="D1176" s="1" t="s">
        <v>1885</v>
      </c>
      <c r="E1176" s="1" t="s">
        <v>17763</v>
      </c>
      <c r="F1176" s="1"/>
      <c r="G1176" s="1"/>
      <c r="H1176" s="1"/>
      <c r="I1176" s="1"/>
      <c r="J1176" s="1"/>
      <c r="K1176" s="1" t="s">
        <v>5732</v>
      </c>
    </row>
    <row r="1177" ht="14.25" customHeight="1">
      <c r="A1177" s="3" t="s">
        <v>1670</v>
      </c>
      <c r="B1177" s="1">
        <v>5.8</v>
      </c>
      <c r="C1177" s="1" t="s">
        <v>1270</v>
      </c>
      <c r="D1177" s="1" t="s">
        <v>1885</v>
      </c>
      <c r="E1177" s="1" t="s">
        <v>17763</v>
      </c>
      <c r="F1177" s="1"/>
      <c r="G1177" s="1"/>
      <c r="H1177" s="1"/>
      <c r="I1177" s="1"/>
      <c r="J1177" s="1"/>
      <c r="K1177" s="1" t="s">
        <v>5814</v>
      </c>
    </row>
    <row r="1178" ht="14.25" customHeight="1">
      <c r="A1178" s="3" t="s">
        <v>1670</v>
      </c>
      <c r="B1178" s="1">
        <v>6.9</v>
      </c>
      <c r="C1178" s="1" t="s">
        <v>1270</v>
      </c>
      <c r="D1178" s="1" t="s">
        <v>1885</v>
      </c>
      <c r="E1178" s="1" t="s">
        <v>17763</v>
      </c>
      <c r="F1178" s="1"/>
      <c r="G1178" s="1"/>
      <c r="H1178" s="1"/>
      <c r="I1178" s="1"/>
      <c r="J1178" s="1"/>
      <c r="K1178" s="1" t="s">
        <v>6314</v>
      </c>
    </row>
    <row r="1179" ht="14.25" customHeight="1">
      <c r="A1179" s="3" t="s">
        <v>1670</v>
      </c>
      <c r="B1179" s="1">
        <v>7.1</v>
      </c>
      <c r="C1179" s="1" t="s">
        <v>1270</v>
      </c>
      <c r="D1179" s="1" t="s">
        <v>1885</v>
      </c>
      <c r="E1179" s="1" t="s">
        <v>17763</v>
      </c>
      <c r="F1179" s="1"/>
      <c r="G1179" s="1"/>
      <c r="H1179" s="1"/>
      <c r="I1179" s="1"/>
      <c r="J1179" s="1"/>
      <c r="K1179" s="1" t="s">
        <v>6579</v>
      </c>
    </row>
    <row r="1180" ht="14.25" customHeight="1">
      <c r="A1180" s="3" t="s">
        <v>1670</v>
      </c>
      <c r="B1180" s="1">
        <v>5.8</v>
      </c>
      <c r="C1180" s="1" t="s">
        <v>1270</v>
      </c>
      <c r="D1180" s="1" t="s">
        <v>1885</v>
      </c>
      <c r="E1180" s="1" t="s">
        <v>17763</v>
      </c>
      <c r="F1180" s="1"/>
      <c r="G1180" s="1"/>
      <c r="H1180" s="1"/>
      <c r="I1180" s="1"/>
      <c r="J1180" s="1"/>
      <c r="K1180" s="1" t="s">
        <v>6698</v>
      </c>
    </row>
    <row r="1181" ht="14.25" customHeight="1">
      <c r="A1181" s="3" t="s">
        <v>1670</v>
      </c>
      <c r="B1181" s="1">
        <v>7.2</v>
      </c>
      <c r="C1181" s="1" t="s">
        <v>1270</v>
      </c>
      <c r="D1181" s="1" t="s">
        <v>1885</v>
      </c>
      <c r="E1181" s="1" t="s">
        <v>17763</v>
      </c>
      <c r="F1181" s="1"/>
      <c r="G1181" s="1"/>
      <c r="H1181" s="1"/>
      <c r="I1181" s="1"/>
      <c r="J1181" s="1"/>
      <c r="K1181" s="1" t="s">
        <v>7122</v>
      </c>
    </row>
    <row r="1182" ht="14.25" customHeight="1">
      <c r="A1182" s="3" t="s">
        <v>1670</v>
      </c>
      <c r="B1182" s="1">
        <v>6.0</v>
      </c>
      <c r="C1182" s="1" t="s">
        <v>1270</v>
      </c>
      <c r="D1182" s="1" t="s">
        <v>1885</v>
      </c>
      <c r="E1182" s="1" t="s">
        <v>17763</v>
      </c>
      <c r="F1182" s="1"/>
      <c r="G1182" s="1"/>
      <c r="H1182" s="1"/>
      <c r="I1182" s="1"/>
      <c r="J1182" s="1"/>
      <c r="K1182" s="1" t="s">
        <v>7314</v>
      </c>
    </row>
    <row r="1183" ht="14.25" customHeight="1">
      <c r="A1183" s="3" t="s">
        <v>1670</v>
      </c>
      <c r="B1183" s="1">
        <v>4.7</v>
      </c>
      <c r="C1183" s="1" t="s">
        <v>1270</v>
      </c>
      <c r="D1183" s="1" t="s">
        <v>1885</v>
      </c>
      <c r="E1183" s="1" t="s">
        <v>17763</v>
      </c>
      <c r="F1183" s="1"/>
      <c r="G1183" s="1"/>
      <c r="H1183" s="1"/>
      <c r="I1183" s="1"/>
      <c r="J1183" s="1"/>
      <c r="K1183" s="1" t="s">
        <v>7420</v>
      </c>
    </row>
    <row r="1184" ht="14.25" customHeight="1">
      <c r="A1184" s="3" t="s">
        <v>1670</v>
      </c>
      <c r="B1184" s="1">
        <v>5.2</v>
      </c>
      <c r="C1184" s="1" t="s">
        <v>1270</v>
      </c>
      <c r="D1184" s="1" t="s">
        <v>1885</v>
      </c>
      <c r="E1184" s="1" t="s">
        <v>17763</v>
      </c>
      <c r="F1184" s="1"/>
      <c r="G1184" s="1"/>
      <c r="H1184" s="1"/>
      <c r="I1184" s="1"/>
      <c r="J1184" s="1"/>
      <c r="K1184" s="1" t="s">
        <v>8305</v>
      </c>
    </row>
    <row r="1185" ht="14.25" customHeight="1">
      <c r="A1185" s="3" t="s">
        <v>1670</v>
      </c>
      <c r="B1185" s="1">
        <v>5.5</v>
      </c>
      <c r="C1185" s="1" t="s">
        <v>1270</v>
      </c>
      <c r="D1185" s="1" t="s">
        <v>1885</v>
      </c>
      <c r="E1185" s="1" t="s">
        <v>17763</v>
      </c>
      <c r="F1185" s="1"/>
      <c r="G1185" s="1"/>
      <c r="H1185" s="1"/>
      <c r="I1185" s="1"/>
      <c r="J1185" s="1"/>
      <c r="K1185" s="1" t="s">
        <v>8394</v>
      </c>
    </row>
    <row r="1186" ht="14.25" customHeight="1">
      <c r="A1186" s="3" t="s">
        <v>1670</v>
      </c>
      <c r="B1186" s="1">
        <v>7.0</v>
      </c>
      <c r="C1186" s="1" t="s">
        <v>1270</v>
      </c>
      <c r="D1186" s="1" t="s">
        <v>1885</v>
      </c>
      <c r="E1186" s="1" t="s">
        <v>17763</v>
      </c>
      <c r="F1186" s="1"/>
      <c r="G1186" s="1"/>
      <c r="H1186" s="1"/>
      <c r="I1186" s="1"/>
      <c r="J1186" s="1"/>
      <c r="K1186" s="1" t="s">
        <v>8535</v>
      </c>
    </row>
    <row r="1187" ht="14.25" customHeight="1">
      <c r="A1187" s="3" t="s">
        <v>1670</v>
      </c>
      <c r="B1187" s="1">
        <v>5.8</v>
      </c>
      <c r="C1187" s="1" t="s">
        <v>1270</v>
      </c>
      <c r="D1187" s="1" t="s">
        <v>1885</v>
      </c>
      <c r="E1187" s="1" t="s">
        <v>17763</v>
      </c>
      <c r="F1187" s="1"/>
      <c r="G1187" s="1"/>
      <c r="H1187" s="1"/>
      <c r="I1187" s="1"/>
      <c r="J1187" s="1"/>
      <c r="K1187" s="1" t="s">
        <v>8559</v>
      </c>
    </row>
    <row r="1188" ht="14.25" customHeight="1">
      <c r="A1188" s="3" t="s">
        <v>1670</v>
      </c>
      <c r="B1188" s="1">
        <v>6.2</v>
      </c>
      <c r="C1188" s="1" t="s">
        <v>1270</v>
      </c>
      <c r="D1188" s="1" t="s">
        <v>1885</v>
      </c>
      <c r="E1188" s="1" t="s">
        <v>17763</v>
      </c>
      <c r="F1188" s="1"/>
      <c r="G1188" s="1"/>
      <c r="H1188" s="1"/>
      <c r="I1188" s="1"/>
      <c r="J1188" s="1"/>
      <c r="K1188" s="1" t="s">
        <v>8562</v>
      </c>
    </row>
    <row r="1189" ht="14.25" customHeight="1">
      <c r="A1189" s="3" t="s">
        <v>1670</v>
      </c>
      <c r="B1189" s="1">
        <v>6.5</v>
      </c>
      <c r="C1189" s="1" t="s">
        <v>1270</v>
      </c>
      <c r="D1189" s="1" t="s">
        <v>1885</v>
      </c>
      <c r="E1189" s="1" t="s">
        <v>17763</v>
      </c>
      <c r="F1189" s="1"/>
      <c r="G1189" s="1"/>
      <c r="H1189" s="1"/>
      <c r="I1189" s="1"/>
      <c r="J1189" s="1"/>
      <c r="K1189" s="1" t="s">
        <v>10334</v>
      </c>
    </row>
    <row r="1190" ht="14.25" customHeight="1">
      <c r="A1190" s="3" t="s">
        <v>1670</v>
      </c>
      <c r="B1190" s="1">
        <v>7.2</v>
      </c>
      <c r="C1190" s="1" t="s">
        <v>1270</v>
      </c>
      <c r="D1190" s="1" t="s">
        <v>1885</v>
      </c>
      <c r="E1190" s="1" t="s">
        <v>17763</v>
      </c>
      <c r="F1190" s="1"/>
      <c r="G1190" s="1"/>
      <c r="H1190" s="1"/>
      <c r="I1190" s="1"/>
      <c r="J1190" s="1"/>
      <c r="K1190" s="1" t="s">
        <v>10339</v>
      </c>
    </row>
    <row r="1191" ht="14.25" customHeight="1">
      <c r="A1191" s="3" t="s">
        <v>1670</v>
      </c>
      <c r="B1191" s="1">
        <v>5.1</v>
      </c>
      <c r="C1191" s="1" t="s">
        <v>1270</v>
      </c>
      <c r="D1191" s="1" t="s">
        <v>1885</v>
      </c>
      <c r="E1191" s="1" t="s">
        <v>17763</v>
      </c>
      <c r="F1191" s="1"/>
      <c r="G1191" s="1"/>
      <c r="H1191" s="1"/>
      <c r="I1191" s="1"/>
      <c r="J1191" s="1"/>
      <c r="K1191" s="1" t="s">
        <v>11410</v>
      </c>
    </row>
    <row r="1192" ht="14.25" customHeight="1">
      <c r="A1192" s="3" t="s">
        <v>1670</v>
      </c>
      <c r="B1192" s="1">
        <v>4.7</v>
      </c>
      <c r="C1192" s="1" t="s">
        <v>1270</v>
      </c>
      <c r="D1192" s="1" t="s">
        <v>1885</v>
      </c>
      <c r="E1192" s="1" t="s">
        <v>17763</v>
      </c>
      <c r="F1192" s="1"/>
      <c r="G1192" s="1"/>
      <c r="H1192" s="1"/>
      <c r="I1192" s="1"/>
      <c r="J1192" s="1"/>
      <c r="K1192" s="1" t="s">
        <v>12267</v>
      </c>
    </row>
    <row r="1193" ht="14.25" customHeight="1">
      <c r="A1193" s="3" t="s">
        <v>1670</v>
      </c>
      <c r="B1193" s="1">
        <v>5.9</v>
      </c>
      <c r="C1193" s="1" t="s">
        <v>1270</v>
      </c>
      <c r="D1193" s="1" t="s">
        <v>1885</v>
      </c>
      <c r="E1193" s="1" t="s">
        <v>17763</v>
      </c>
      <c r="F1193" s="1"/>
      <c r="G1193" s="1"/>
      <c r="H1193" s="1"/>
      <c r="I1193" s="1"/>
      <c r="J1193" s="1"/>
      <c r="K1193" s="1" t="s">
        <v>13254</v>
      </c>
    </row>
    <row r="1194" ht="14.25" customHeight="1">
      <c r="A1194" s="3" t="s">
        <v>1670</v>
      </c>
      <c r="B1194" s="1">
        <v>5.8</v>
      </c>
      <c r="C1194" s="1" t="s">
        <v>1270</v>
      </c>
      <c r="D1194" s="1" t="s">
        <v>1885</v>
      </c>
      <c r="E1194" s="1" t="s">
        <v>17763</v>
      </c>
      <c r="F1194" s="1"/>
      <c r="G1194" s="1"/>
      <c r="H1194" s="1"/>
      <c r="I1194" s="1"/>
      <c r="J1194" s="1"/>
      <c r="K1194" s="1" t="s">
        <v>14117</v>
      </c>
    </row>
    <row r="1195" ht="14.25" customHeight="1">
      <c r="A1195" s="3" t="s">
        <v>1670</v>
      </c>
      <c r="B1195" s="1">
        <v>7.2</v>
      </c>
      <c r="C1195" s="1" t="s">
        <v>1270</v>
      </c>
      <c r="D1195" s="1" t="s">
        <v>1885</v>
      </c>
      <c r="E1195" s="1" t="s">
        <v>17763</v>
      </c>
      <c r="F1195" s="1"/>
      <c r="G1195" s="1"/>
      <c r="H1195" s="1"/>
      <c r="I1195" s="1"/>
      <c r="J1195" s="1"/>
      <c r="K1195" s="1" t="s">
        <v>15912</v>
      </c>
    </row>
    <row r="1196" ht="14.25" customHeight="1">
      <c r="A1196" s="3" t="s">
        <v>8979</v>
      </c>
      <c r="B1196" s="1">
        <v>6.2</v>
      </c>
      <c r="C1196" s="1" t="s">
        <v>917</v>
      </c>
      <c r="D1196" s="1" t="s">
        <v>1885</v>
      </c>
      <c r="E1196" s="1" t="s">
        <v>17763</v>
      </c>
      <c r="F1196" s="1"/>
      <c r="G1196" s="1"/>
      <c r="H1196" s="1"/>
      <c r="I1196" s="1"/>
      <c r="J1196" s="1"/>
      <c r="K1196" s="1" t="s">
        <v>8978</v>
      </c>
    </row>
    <row r="1197" ht="14.25" customHeight="1">
      <c r="A1197" s="3" t="s">
        <v>9804</v>
      </c>
      <c r="B1197" s="1">
        <v>5.7</v>
      </c>
      <c r="C1197" s="1" t="s">
        <v>1270</v>
      </c>
      <c r="D1197" s="1" t="s">
        <v>1885</v>
      </c>
      <c r="E1197" s="1" t="s">
        <v>15542</v>
      </c>
      <c r="F1197" s="1"/>
      <c r="G1197" s="1"/>
      <c r="H1197" s="1"/>
      <c r="I1197" s="1"/>
      <c r="J1197" s="1"/>
      <c r="K1197" s="1" t="s">
        <v>9803</v>
      </c>
    </row>
    <row r="1198" ht="14.25" customHeight="1">
      <c r="A1198" s="3" t="s">
        <v>15876</v>
      </c>
      <c r="B1198" s="1">
        <v>6.1</v>
      </c>
      <c r="C1198" s="1" t="s">
        <v>17765</v>
      </c>
      <c r="D1198" s="1" t="s">
        <v>1885</v>
      </c>
      <c r="E1198" s="1" t="s">
        <v>15542</v>
      </c>
      <c r="F1198" s="1"/>
      <c r="G1198" s="1"/>
      <c r="H1198" s="1"/>
      <c r="I1198" s="1"/>
      <c r="J1198" s="1"/>
      <c r="K1198" s="1" t="s">
        <v>15875</v>
      </c>
    </row>
    <row r="1199" ht="14.25" customHeight="1">
      <c r="A1199" s="3" t="s">
        <v>986</v>
      </c>
      <c r="B1199" s="1">
        <v>6.0</v>
      </c>
      <c r="C1199" s="1" t="s">
        <v>1270</v>
      </c>
      <c r="D1199" s="1" t="s">
        <v>917</v>
      </c>
      <c r="E1199" s="1" t="s">
        <v>3238</v>
      </c>
      <c r="F1199" s="1"/>
      <c r="G1199" s="1"/>
      <c r="H1199" s="1"/>
      <c r="I1199" s="1"/>
      <c r="J1199" s="1"/>
      <c r="K1199" s="1" t="s">
        <v>985</v>
      </c>
    </row>
    <row r="1200" ht="14.25" customHeight="1">
      <c r="A1200" s="3" t="s">
        <v>986</v>
      </c>
      <c r="B1200" s="1">
        <v>6.9</v>
      </c>
      <c r="C1200" s="1" t="s">
        <v>1270</v>
      </c>
      <c r="D1200" s="1" t="s">
        <v>917</v>
      </c>
      <c r="E1200" s="1" t="s">
        <v>3238</v>
      </c>
      <c r="F1200" s="1"/>
      <c r="G1200" s="1"/>
      <c r="H1200" s="1"/>
      <c r="I1200" s="1"/>
      <c r="J1200" s="1"/>
      <c r="K1200" s="1" t="s">
        <v>1160</v>
      </c>
    </row>
    <row r="1201" ht="14.25" customHeight="1">
      <c r="A1201" s="3" t="s">
        <v>986</v>
      </c>
      <c r="B1201" s="1">
        <v>6.5</v>
      </c>
      <c r="C1201" s="1" t="s">
        <v>1270</v>
      </c>
      <c r="D1201" s="1" t="s">
        <v>917</v>
      </c>
      <c r="E1201" s="1" t="s">
        <v>3238</v>
      </c>
      <c r="F1201" s="1"/>
      <c r="G1201" s="1"/>
      <c r="H1201" s="1"/>
      <c r="I1201" s="1"/>
      <c r="J1201" s="1"/>
      <c r="K1201" s="1" t="s">
        <v>985</v>
      </c>
    </row>
    <row r="1202" ht="14.25" customHeight="1">
      <c r="A1202" s="3" t="s">
        <v>986</v>
      </c>
      <c r="B1202" s="1">
        <v>5.0</v>
      </c>
      <c r="C1202" s="1" t="s">
        <v>1270</v>
      </c>
      <c r="D1202" s="1" t="s">
        <v>917</v>
      </c>
      <c r="E1202" s="1" t="s">
        <v>3238</v>
      </c>
      <c r="F1202" s="1"/>
      <c r="G1202" s="1"/>
      <c r="H1202" s="1"/>
      <c r="I1202" s="1"/>
      <c r="J1202" s="1"/>
      <c r="K1202" s="1" t="s">
        <v>17294</v>
      </c>
    </row>
    <row r="1203" ht="14.25" customHeight="1">
      <c r="A1203" s="3" t="s">
        <v>6559</v>
      </c>
      <c r="B1203" s="1">
        <v>5.7</v>
      </c>
      <c r="C1203" s="1" t="s">
        <v>1270</v>
      </c>
      <c r="D1203" s="1" t="s">
        <v>17765</v>
      </c>
      <c r="E1203" s="1" t="s">
        <v>3238</v>
      </c>
      <c r="F1203" s="1"/>
      <c r="G1203" s="1"/>
      <c r="H1203" s="1"/>
      <c r="I1203" s="1"/>
      <c r="J1203" s="1"/>
      <c r="K1203" s="1" t="s">
        <v>6558</v>
      </c>
    </row>
    <row r="1204" ht="14.25" customHeight="1">
      <c r="A1204" s="3" t="s">
        <v>10147</v>
      </c>
      <c r="B1204" s="1">
        <v>7.0</v>
      </c>
      <c r="C1204" s="1" t="s">
        <v>917</v>
      </c>
      <c r="D1204" s="1" t="s">
        <v>17765</v>
      </c>
      <c r="E1204" s="1" t="s">
        <v>3238</v>
      </c>
      <c r="F1204" s="1"/>
      <c r="G1204" s="1"/>
      <c r="H1204" s="1"/>
      <c r="I1204" s="1"/>
      <c r="J1204" s="1"/>
      <c r="K1204" s="1" t="s">
        <v>10146</v>
      </c>
    </row>
    <row r="1205" ht="14.25" customHeight="1">
      <c r="A1205" s="3" t="s">
        <v>10147</v>
      </c>
      <c r="B1205" s="1">
        <v>5.1</v>
      </c>
      <c r="C1205" s="1" t="s">
        <v>917</v>
      </c>
      <c r="D1205" s="1" t="s">
        <v>17765</v>
      </c>
      <c r="E1205" s="1" t="s">
        <v>3238</v>
      </c>
      <c r="F1205" s="1"/>
      <c r="G1205" s="1"/>
      <c r="H1205" s="1"/>
      <c r="I1205" s="1"/>
      <c r="J1205" s="1"/>
      <c r="K1205" s="1" t="s">
        <v>11565</v>
      </c>
    </row>
    <row r="1206" ht="14.25" customHeight="1">
      <c r="A1206" s="3" t="s">
        <v>10147</v>
      </c>
      <c r="B1206" s="1">
        <v>5.3</v>
      </c>
      <c r="C1206" s="1" t="s">
        <v>917</v>
      </c>
      <c r="D1206" s="1" t="s">
        <v>17765</v>
      </c>
      <c r="E1206" s="1" t="s">
        <v>3238</v>
      </c>
      <c r="F1206" s="1"/>
      <c r="G1206" s="1"/>
      <c r="H1206" s="1"/>
      <c r="I1206" s="1"/>
      <c r="J1206" s="1"/>
      <c r="K1206" s="1" t="s">
        <v>14381</v>
      </c>
    </row>
    <row r="1207" ht="14.25" customHeight="1">
      <c r="A1207" s="3" t="s">
        <v>13610</v>
      </c>
      <c r="B1207" s="1">
        <v>4.4</v>
      </c>
      <c r="C1207" s="1" t="s">
        <v>1270</v>
      </c>
      <c r="D1207" s="1" t="s">
        <v>1885</v>
      </c>
      <c r="E1207" s="1" t="s">
        <v>3238</v>
      </c>
      <c r="F1207" s="1"/>
      <c r="G1207" s="1"/>
      <c r="H1207" s="1"/>
      <c r="I1207" s="1"/>
      <c r="J1207" s="1"/>
      <c r="K1207" s="1" t="s">
        <v>13609</v>
      </c>
    </row>
    <row r="1208" ht="14.25" customHeight="1">
      <c r="A1208" s="3" t="s">
        <v>5085</v>
      </c>
      <c r="B1208" s="1">
        <v>4.7</v>
      </c>
      <c r="C1208" s="1" t="s">
        <v>917</v>
      </c>
      <c r="D1208" s="1" t="s">
        <v>1885</v>
      </c>
      <c r="E1208" s="1" t="s">
        <v>3238</v>
      </c>
      <c r="F1208" s="1"/>
      <c r="G1208" s="1"/>
      <c r="H1208" s="1"/>
      <c r="I1208" s="1"/>
      <c r="J1208" s="1"/>
      <c r="K1208" s="1" t="s">
        <v>5084</v>
      </c>
    </row>
    <row r="1209" ht="14.25" customHeight="1">
      <c r="A1209" s="3" t="s">
        <v>5085</v>
      </c>
      <c r="B1209" s="1">
        <v>6.7</v>
      </c>
      <c r="C1209" s="1" t="s">
        <v>917</v>
      </c>
      <c r="D1209" s="1" t="s">
        <v>1885</v>
      </c>
      <c r="E1209" s="1" t="s">
        <v>3238</v>
      </c>
      <c r="F1209" s="1"/>
      <c r="G1209" s="1"/>
      <c r="H1209" s="1"/>
      <c r="I1209" s="1"/>
      <c r="J1209" s="1"/>
      <c r="K1209" s="1" t="s">
        <v>5371</v>
      </c>
    </row>
    <row r="1210" ht="14.25" customHeight="1">
      <c r="A1210" s="3" t="s">
        <v>5085</v>
      </c>
      <c r="B1210" s="1">
        <v>6.7</v>
      </c>
      <c r="C1210" s="1" t="s">
        <v>917</v>
      </c>
      <c r="D1210" s="1" t="s">
        <v>1885</v>
      </c>
      <c r="E1210" s="1" t="s">
        <v>3238</v>
      </c>
      <c r="F1210" s="1"/>
      <c r="G1210" s="1"/>
      <c r="H1210" s="1"/>
      <c r="I1210" s="1"/>
      <c r="J1210" s="1"/>
      <c r="K1210" s="1" t="s">
        <v>5480</v>
      </c>
    </row>
    <row r="1211" ht="14.25" customHeight="1">
      <c r="A1211" s="3" t="s">
        <v>5085</v>
      </c>
      <c r="B1211" s="1">
        <v>5.7</v>
      </c>
      <c r="C1211" s="1" t="s">
        <v>917</v>
      </c>
      <c r="D1211" s="1" t="s">
        <v>1885</v>
      </c>
      <c r="E1211" s="1" t="s">
        <v>3238</v>
      </c>
      <c r="F1211" s="1"/>
      <c r="G1211" s="1"/>
      <c r="H1211" s="1"/>
      <c r="I1211" s="1"/>
      <c r="J1211" s="1"/>
      <c r="K1211" s="1" t="s">
        <v>10639</v>
      </c>
    </row>
    <row r="1212" ht="14.25" customHeight="1">
      <c r="A1212" s="3" t="s">
        <v>5085</v>
      </c>
      <c r="B1212" s="1">
        <v>7.4</v>
      </c>
      <c r="C1212" s="1" t="s">
        <v>917</v>
      </c>
      <c r="D1212" s="1" t="s">
        <v>1885</v>
      </c>
      <c r="E1212" s="1" t="s">
        <v>3238</v>
      </c>
      <c r="F1212" s="1"/>
      <c r="G1212" s="1"/>
      <c r="H1212" s="1"/>
      <c r="I1212" s="1"/>
      <c r="J1212" s="1"/>
      <c r="K1212" s="1" t="s">
        <v>11259</v>
      </c>
    </row>
    <row r="1213" ht="14.25" customHeight="1">
      <c r="A1213" s="3" t="s">
        <v>5085</v>
      </c>
      <c r="B1213" s="1">
        <v>6.1</v>
      </c>
      <c r="C1213" s="1" t="s">
        <v>917</v>
      </c>
      <c r="D1213" s="1" t="s">
        <v>1885</v>
      </c>
      <c r="E1213" s="1" t="s">
        <v>3238</v>
      </c>
      <c r="F1213" s="1"/>
      <c r="G1213" s="1"/>
      <c r="H1213" s="1"/>
      <c r="I1213" s="1"/>
      <c r="J1213" s="1"/>
      <c r="K1213" s="1" t="s">
        <v>12712</v>
      </c>
    </row>
    <row r="1214" ht="14.25" customHeight="1">
      <c r="A1214" s="3" t="s">
        <v>5085</v>
      </c>
      <c r="B1214" s="1">
        <v>6.4</v>
      </c>
      <c r="C1214" s="1" t="s">
        <v>917</v>
      </c>
      <c r="D1214" s="1" t="s">
        <v>1885</v>
      </c>
      <c r="E1214" s="1" t="s">
        <v>3238</v>
      </c>
      <c r="F1214" s="1"/>
      <c r="G1214" s="1"/>
      <c r="H1214" s="1"/>
      <c r="I1214" s="1"/>
      <c r="J1214" s="1"/>
      <c r="K1214" s="1" t="s">
        <v>16862</v>
      </c>
    </row>
    <row r="1215" ht="14.25" customHeight="1">
      <c r="A1215" s="3" t="s">
        <v>16319</v>
      </c>
      <c r="B1215" s="1">
        <v>6.2</v>
      </c>
      <c r="C1215" s="1" t="s">
        <v>17757</v>
      </c>
      <c r="D1215" s="1" t="s">
        <v>1885</v>
      </c>
      <c r="E1215" s="1" t="s">
        <v>3238</v>
      </c>
      <c r="F1215" s="1"/>
      <c r="G1215" s="1"/>
      <c r="H1215" s="1"/>
      <c r="I1215" s="1"/>
      <c r="J1215" s="1"/>
      <c r="K1215" s="1" t="s">
        <v>16318</v>
      </c>
    </row>
    <row r="1216" ht="14.25" customHeight="1">
      <c r="A1216" s="3" t="s">
        <v>3956</v>
      </c>
      <c r="B1216" s="1">
        <v>6.2</v>
      </c>
      <c r="C1216" s="1" t="s">
        <v>17765</v>
      </c>
      <c r="D1216" s="1" t="s">
        <v>1885</v>
      </c>
      <c r="E1216" s="1" t="s">
        <v>3238</v>
      </c>
      <c r="F1216" s="1"/>
      <c r="G1216" s="1"/>
      <c r="H1216" s="1"/>
      <c r="I1216" s="1"/>
      <c r="J1216" s="1"/>
      <c r="K1216" s="1" t="s">
        <v>3955</v>
      </c>
    </row>
    <row r="1217" ht="14.25" customHeight="1">
      <c r="A1217" s="3" t="s">
        <v>3956</v>
      </c>
      <c r="B1217" s="1">
        <v>5.9</v>
      </c>
      <c r="C1217" s="1" t="s">
        <v>17765</v>
      </c>
      <c r="D1217" s="1" t="s">
        <v>1885</v>
      </c>
      <c r="E1217" s="1" t="s">
        <v>3238</v>
      </c>
      <c r="F1217" s="1"/>
      <c r="G1217" s="1"/>
      <c r="H1217" s="1"/>
      <c r="I1217" s="1"/>
      <c r="J1217" s="1"/>
      <c r="K1217" s="1" t="s">
        <v>4687</v>
      </c>
    </row>
    <row r="1218" ht="14.25" customHeight="1">
      <c r="A1218" s="3" t="s">
        <v>3956</v>
      </c>
      <c r="B1218" s="1">
        <v>4.0</v>
      </c>
      <c r="C1218" s="1" t="s">
        <v>17765</v>
      </c>
      <c r="D1218" s="1" t="s">
        <v>1885</v>
      </c>
      <c r="E1218" s="1" t="s">
        <v>3238</v>
      </c>
      <c r="F1218" s="1"/>
      <c r="G1218" s="1"/>
      <c r="H1218" s="1"/>
      <c r="I1218" s="1"/>
      <c r="J1218" s="1"/>
      <c r="K1218" s="1" t="s">
        <v>5290</v>
      </c>
    </row>
    <row r="1219" ht="14.25" customHeight="1">
      <c r="A1219" s="3" t="s">
        <v>3956</v>
      </c>
      <c r="B1219" s="1">
        <v>6.2</v>
      </c>
      <c r="C1219" s="1" t="s">
        <v>17765</v>
      </c>
      <c r="D1219" s="1" t="s">
        <v>1885</v>
      </c>
      <c r="E1219" s="1" t="s">
        <v>3238</v>
      </c>
      <c r="F1219" s="1"/>
      <c r="G1219" s="1"/>
      <c r="H1219" s="1"/>
      <c r="I1219" s="1"/>
      <c r="J1219" s="1"/>
      <c r="K1219" s="1" t="s">
        <v>10888</v>
      </c>
    </row>
    <row r="1220" ht="14.25" customHeight="1">
      <c r="A1220" s="3" t="s">
        <v>13449</v>
      </c>
      <c r="B1220" s="1">
        <v>4.6</v>
      </c>
      <c r="C1220" s="1" t="s">
        <v>1270</v>
      </c>
      <c r="D1220" s="1" t="s">
        <v>17763</v>
      </c>
      <c r="E1220" s="1" t="s">
        <v>3238</v>
      </c>
      <c r="F1220" s="1"/>
      <c r="G1220" s="1"/>
      <c r="H1220" s="1"/>
      <c r="I1220" s="1"/>
      <c r="J1220" s="1"/>
      <c r="K1220" s="1" t="s">
        <v>13448</v>
      </c>
    </row>
    <row r="1221" ht="14.25" customHeight="1">
      <c r="A1221" s="3" t="s">
        <v>13449</v>
      </c>
      <c r="B1221" s="1">
        <v>6.4</v>
      </c>
      <c r="C1221" s="1" t="s">
        <v>1270</v>
      </c>
      <c r="D1221" s="1" t="s">
        <v>17763</v>
      </c>
      <c r="E1221" s="1" t="s">
        <v>3238</v>
      </c>
      <c r="F1221" s="1"/>
      <c r="G1221" s="1"/>
      <c r="H1221" s="1"/>
      <c r="I1221" s="1"/>
      <c r="J1221" s="1"/>
      <c r="K1221" s="1" t="s">
        <v>15420</v>
      </c>
    </row>
    <row r="1222" ht="14.25" customHeight="1">
      <c r="A1222" s="3" t="s">
        <v>13449</v>
      </c>
      <c r="B1222" s="1">
        <v>5.9</v>
      </c>
      <c r="C1222" s="1" t="s">
        <v>1270</v>
      </c>
      <c r="D1222" s="1" t="s">
        <v>17763</v>
      </c>
      <c r="E1222" s="1" t="s">
        <v>3238</v>
      </c>
      <c r="F1222" s="1"/>
      <c r="G1222" s="1"/>
      <c r="H1222" s="1"/>
      <c r="I1222" s="1"/>
      <c r="J1222" s="1"/>
      <c r="K1222" s="1" t="s">
        <v>16452</v>
      </c>
    </row>
    <row r="1223" ht="14.25" customHeight="1">
      <c r="A1223" s="3" t="s">
        <v>13449</v>
      </c>
      <c r="B1223" s="1">
        <v>5.1</v>
      </c>
      <c r="C1223" s="1" t="s">
        <v>1270</v>
      </c>
      <c r="D1223" s="1" t="s">
        <v>17763</v>
      </c>
      <c r="E1223" s="1" t="s">
        <v>3238</v>
      </c>
      <c r="F1223" s="1"/>
      <c r="G1223" s="1"/>
      <c r="H1223" s="1"/>
      <c r="I1223" s="1"/>
      <c r="J1223" s="1"/>
      <c r="K1223" s="1" t="s">
        <v>17189</v>
      </c>
    </row>
    <row r="1224" ht="14.25" customHeight="1">
      <c r="A1224" s="3" t="s">
        <v>1643</v>
      </c>
      <c r="B1224" s="1">
        <v>7.6</v>
      </c>
      <c r="C1224" s="1" t="s">
        <v>17765</v>
      </c>
      <c r="D1224" s="1" t="s">
        <v>17763</v>
      </c>
      <c r="E1224" s="1" t="s">
        <v>3238</v>
      </c>
      <c r="F1224" s="1"/>
      <c r="G1224" s="1"/>
      <c r="H1224" s="1"/>
      <c r="I1224" s="1"/>
      <c r="J1224" s="1"/>
      <c r="K1224" s="1" t="s">
        <v>1642</v>
      </c>
    </row>
    <row r="1225" ht="14.25" customHeight="1">
      <c r="A1225" s="3" t="s">
        <v>1643</v>
      </c>
      <c r="B1225" s="1">
        <v>4.2</v>
      </c>
      <c r="C1225" s="1" t="s">
        <v>17765</v>
      </c>
      <c r="D1225" s="1" t="s">
        <v>17763</v>
      </c>
      <c r="E1225" s="1" t="s">
        <v>3238</v>
      </c>
      <c r="F1225" s="1"/>
      <c r="G1225" s="1"/>
      <c r="H1225" s="1"/>
      <c r="I1225" s="1"/>
      <c r="J1225" s="1"/>
      <c r="K1225" s="1" t="s">
        <v>4623</v>
      </c>
    </row>
    <row r="1226" ht="14.25" customHeight="1">
      <c r="A1226" s="3" t="s">
        <v>1643</v>
      </c>
      <c r="B1226" s="1">
        <v>7.8</v>
      </c>
      <c r="C1226" s="1" t="s">
        <v>17765</v>
      </c>
      <c r="D1226" s="1" t="s">
        <v>17763</v>
      </c>
      <c r="E1226" s="1" t="s">
        <v>3238</v>
      </c>
      <c r="F1226" s="1"/>
      <c r="G1226" s="1"/>
      <c r="H1226" s="1"/>
      <c r="I1226" s="1"/>
      <c r="J1226" s="1"/>
      <c r="K1226" s="1" t="s">
        <v>4649</v>
      </c>
    </row>
    <row r="1227" ht="14.25" customHeight="1">
      <c r="A1227" s="3" t="s">
        <v>1643</v>
      </c>
      <c r="B1227" s="1">
        <v>5.8</v>
      </c>
      <c r="C1227" s="1" t="s">
        <v>17765</v>
      </c>
      <c r="D1227" s="1" t="s">
        <v>17763</v>
      </c>
      <c r="E1227" s="1" t="s">
        <v>3238</v>
      </c>
      <c r="F1227" s="1"/>
      <c r="G1227" s="1"/>
      <c r="H1227" s="1"/>
      <c r="I1227" s="1"/>
      <c r="J1227" s="1"/>
      <c r="K1227" s="1" t="s">
        <v>4693</v>
      </c>
    </row>
    <row r="1228" ht="14.25" customHeight="1">
      <c r="A1228" s="3" t="s">
        <v>1643</v>
      </c>
      <c r="B1228" s="1">
        <v>5.9</v>
      </c>
      <c r="C1228" s="1" t="s">
        <v>17765</v>
      </c>
      <c r="D1228" s="1" t="s">
        <v>17763</v>
      </c>
      <c r="E1228" s="1" t="s">
        <v>3238</v>
      </c>
      <c r="F1228" s="1"/>
      <c r="G1228" s="1"/>
      <c r="H1228" s="1"/>
      <c r="I1228" s="1"/>
      <c r="J1228" s="1"/>
      <c r="K1228" s="1" t="s">
        <v>6950</v>
      </c>
    </row>
    <row r="1229" ht="14.25" customHeight="1">
      <c r="A1229" s="3" t="s">
        <v>1643</v>
      </c>
      <c r="B1229" s="1">
        <v>8.4</v>
      </c>
      <c r="C1229" s="1" t="s">
        <v>17765</v>
      </c>
      <c r="D1229" s="1" t="s">
        <v>17763</v>
      </c>
      <c r="E1229" s="1" t="s">
        <v>3238</v>
      </c>
      <c r="F1229" s="1"/>
      <c r="G1229" s="1"/>
      <c r="H1229" s="1"/>
      <c r="I1229" s="1"/>
      <c r="J1229" s="1"/>
      <c r="K1229" s="1" t="s">
        <v>7019</v>
      </c>
    </row>
    <row r="1230" ht="14.25" customHeight="1">
      <c r="A1230" s="3" t="s">
        <v>1643</v>
      </c>
      <c r="B1230" s="1">
        <v>4.8</v>
      </c>
      <c r="C1230" s="1" t="s">
        <v>17765</v>
      </c>
      <c r="D1230" s="1" t="s">
        <v>17763</v>
      </c>
      <c r="E1230" s="1" t="s">
        <v>3238</v>
      </c>
      <c r="F1230" s="1"/>
      <c r="G1230" s="1"/>
      <c r="H1230" s="1"/>
      <c r="I1230" s="1"/>
      <c r="J1230" s="1"/>
      <c r="K1230" s="1" t="s">
        <v>7066</v>
      </c>
    </row>
    <row r="1231" ht="14.25" customHeight="1">
      <c r="A1231" s="3" t="s">
        <v>1643</v>
      </c>
      <c r="B1231" s="1">
        <v>6.2</v>
      </c>
      <c r="C1231" s="1" t="s">
        <v>17765</v>
      </c>
      <c r="D1231" s="1" t="s">
        <v>17763</v>
      </c>
      <c r="E1231" s="1" t="s">
        <v>3238</v>
      </c>
      <c r="F1231" s="1"/>
      <c r="G1231" s="1"/>
      <c r="H1231" s="1"/>
      <c r="I1231" s="1"/>
      <c r="J1231" s="1"/>
      <c r="K1231" s="1" t="s">
        <v>7743</v>
      </c>
    </row>
    <row r="1232" ht="14.25" customHeight="1">
      <c r="A1232" s="3" t="s">
        <v>1643</v>
      </c>
      <c r="B1232" s="1">
        <v>6.5</v>
      </c>
      <c r="C1232" s="1" t="s">
        <v>17765</v>
      </c>
      <c r="D1232" s="1" t="s">
        <v>17763</v>
      </c>
      <c r="E1232" s="1" t="s">
        <v>3238</v>
      </c>
      <c r="F1232" s="1"/>
      <c r="G1232" s="1"/>
      <c r="H1232" s="1"/>
      <c r="I1232" s="1"/>
      <c r="J1232" s="1"/>
      <c r="K1232" s="1" t="s">
        <v>8826</v>
      </c>
    </row>
    <row r="1233" ht="14.25" customHeight="1">
      <c r="A1233" s="3" t="s">
        <v>1643</v>
      </c>
      <c r="B1233" s="1">
        <v>6.3</v>
      </c>
      <c r="C1233" s="1" t="s">
        <v>17765</v>
      </c>
      <c r="D1233" s="1" t="s">
        <v>17763</v>
      </c>
      <c r="E1233" s="1" t="s">
        <v>3238</v>
      </c>
      <c r="F1233" s="1"/>
      <c r="G1233" s="1"/>
      <c r="H1233" s="1"/>
      <c r="I1233" s="1"/>
      <c r="J1233" s="1"/>
      <c r="K1233" s="1" t="s">
        <v>9722</v>
      </c>
    </row>
    <row r="1234" ht="14.25" customHeight="1">
      <c r="A1234" s="3" t="s">
        <v>1643</v>
      </c>
      <c r="B1234" s="1">
        <v>3.3</v>
      </c>
      <c r="C1234" s="1" t="s">
        <v>17765</v>
      </c>
      <c r="D1234" s="1" t="s">
        <v>17763</v>
      </c>
      <c r="E1234" s="1" t="s">
        <v>3238</v>
      </c>
      <c r="F1234" s="1"/>
      <c r="G1234" s="1"/>
      <c r="H1234" s="1"/>
      <c r="I1234" s="1"/>
      <c r="J1234" s="1"/>
      <c r="K1234" s="1" t="s">
        <v>12430</v>
      </c>
    </row>
    <row r="1235" ht="14.25" customHeight="1">
      <c r="A1235" s="3" t="s">
        <v>1643</v>
      </c>
      <c r="B1235" s="1">
        <v>5.9</v>
      </c>
      <c r="C1235" s="1" t="s">
        <v>17765</v>
      </c>
      <c r="D1235" s="1" t="s">
        <v>17763</v>
      </c>
      <c r="E1235" s="1" t="s">
        <v>3238</v>
      </c>
      <c r="F1235" s="1"/>
      <c r="G1235" s="1"/>
      <c r="H1235" s="1"/>
      <c r="I1235" s="1"/>
      <c r="J1235" s="1"/>
      <c r="K1235" s="1" t="s">
        <v>13550</v>
      </c>
    </row>
    <row r="1236" ht="14.25" customHeight="1">
      <c r="A1236" s="3" t="s">
        <v>1643</v>
      </c>
      <c r="B1236" s="1">
        <v>6.0</v>
      </c>
      <c r="C1236" s="1" t="s">
        <v>17765</v>
      </c>
      <c r="D1236" s="1" t="s">
        <v>17763</v>
      </c>
      <c r="E1236" s="1" t="s">
        <v>3238</v>
      </c>
      <c r="F1236" s="1"/>
      <c r="G1236" s="1"/>
      <c r="H1236" s="1"/>
      <c r="I1236" s="1"/>
      <c r="J1236" s="1"/>
      <c r="K1236" s="1" t="s">
        <v>13949</v>
      </c>
    </row>
    <row r="1237" ht="14.25" customHeight="1">
      <c r="A1237" s="3" t="s">
        <v>1643</v>
      </c>
      <c r="B1237" s="1">
        <v>5.8</v>
      </c>
      <c r="C1237" s="1" t="s">
        <v>17765</v>
      </c>
      <c r="D1237" s="1" t="s">
        <v>17763</v>
      </c>
      <c r="E1237" s="1" t="s">
        <v>3238</v>
      </c>
      <c r="F1237" s="1"/>
      <c r="G1237" s="1"/>
      <c r="H1237" s="1"/>
      <c r="I1237" s="1"/>
      <c r="J1237" s="1"/>
      <c r="K1237" s="1" t="s">
        <v>14278</v>
      </c>
    </row>
    <row r="1238" ht="14.25" customHeight="1">
      <c r="A1238" s="3" t="s">
        <v>1643</v>
      </c>
      <c r="B1238" s="1">
        <v>4.7</v>
      </c>
      <c r="C1238" s="1" t="s">
        <v>17765</v>
      </c>
      <c r="D1238" s="1" t="s">
        <v>17763</v>
      </c>
      <c r="E1238" s="1" t="s">
        <v>3238</v>
      </c>
      <c r="F1238" s="1"/>
      <c r="G1238" s="1"/>
      <c r="H1238" s="1"/>
      <c r="I1238" s="1"/>
      <c r="J1238" s="1"/>
      <c r="K1238" s="1" t="s">
        <v>14400</v>
      </c>
    </row>
    <row r="1239" ht="14.25" customHeight="1">
      <c r="A1239" s="3" t="s">
        <v>8521</v>
      </c>
      <c r="B1239" s="1">
        <v>4.1</v>
      </c>
      <c r="C1239" s="1" t="s">
        <v>1885</v>
      </c>
      <c r="D1239" s="1" t="s">
        <v>17763</v>
      </c>
      <c r="E1239" s="1" t="s">
        <v>3238</v>
      </c>
      <c r="F1239" s="1"/>
      <c r="G1239" s="1"/>
      <c r="H1239" s="1"/>
      <c r="I1239" s="1"/>
      <c r="J1239" s="1"/>
      <c r="K1239" s="1" t="s">
        <v>8520</v>
      </c>
    </row>
    <row r="1240" ht="14.25" customHeight="1">
      <c r="A1240" s="3" t="s">
        <v>8521</v>
      </c>
      <c r="B1240" s="1">
        <v>6.8</v>
      </c>
      <c r="C1240" s="1" t="s">
        <v>1885</v>
      </c>
      <c r="D1240" s="1" t="s">
        <v>17763</v>
      </c>
      <c r="E1240" s="1" t="s">
        <v>3238</v>
      </c>
      <c r="F1240" s="1"/>
      <c r="G1240" s="1"/>
      <c r="H1240" s="1"/>
      <c r="I1240" s="1"/>
      <c r="J1240" s="1"/>
      <c r="K1240" s="1" t="s">
        <v>8600</v>
      </c>
    </row>
    <row r="1241" ht="14.25" customHeight="1">
      <c r="A1241" s="3" t="s">
        <v>8521</v>
      </c>
      <c r="B1241" s="1">
        <v>6.2</v>
      </c>
      <c r="C1241" s="1" t="s">
        <v>1885</v>
      </c>
      <c r="D1241" s="1" t="s">
        <v>17763</v>
      </c>
      <c r="E1241" s="1" t="s">
        <v>3238</v>
      </c>
      <c r="F1241" s="1"/>
      <c r="G1241" s="1"/>
      <c r="H1241" s="1"/>
      <c r="I1241" s="1"/>
      <c r="J1241" s="1"/>
      <c r="K1241" s="1" t="s">
        <v>9312</v>
      </c>
    </row>
    <row r="1242" ht="14.25" customHeight="1">
      <c r="A1242" s="3" t="s">
        <v>8521</v>
      </c>
      <c r="B1242" s="1">
        <v>4.5</v>
      </c>
      <c r="C1242" s="1" t="s">
        <v>1885</v>
      </c>
      <c r="D1242" s="1" t="s">
        <v>17763</v>
      </c>
      <c r="E1242" s="1" t="s">
        <v>3238</v>
      </c>
      <c r="F1242" s="1"/>
      <c r="G1242" s="1"/>
      <c r="H1242" s="1"/>
      <c r="I1242" s="1"/>
      <c r="J1242" s="1"/>
      <c r="K1242" s="1" t="s">
        <v>9881</v>
      </c>
    </row>
    <row r="1243" ht="14.25" customHeight="1">
      <c r="A1243" s="3" t="s">
        <v>8521</v>
      </c>
      <c r="B1243" s="1">
        <v>5.8</v>
      </c>
      <c r="C1243" s="1" t="s">
        <v>1885</v>
      </c>
      <c r="D1243" s="1" t="s">
        <v>17763</v>
      </c>
      <c r="E1243" s="1" t="s">
        <v>3238</v>
      </c>
      <c r="F1243" s="1"/>
      <c r="G1243" s="1"/>
      <c r="H1243" s="1"/>
      <c r="I1243" s="1"/>
      <c r="J1243" s="1"/>
      <c r="K1243" s="1" t="s">
        <v>10107</v>
      </c>
    </row>
    <row r="1244" ht="14.25" customHeight="1">
      <c r="A1244" s="3" t="s">
        <v>8521</v>
      </c>
      <c r="B1244" s="1">
        <v>7.3</v>
      </c>
      <c r="C1244" s="1" t="s">
        <v>1885</v>
      </c>
      <c r="D1244" s="1" t="s">
        <v>17763</v>
      </c>
      <c r="E1244" s="1" t="s">
        <v>3238</v>
      </c>
      <c r="F1244" s="1"/>
      <c r="G1244" s="1"/>
      <c r="H1244" s="1"/>
      <c r="I1244" s="1"/>
      <c r="J1244" s="1"/>
      <c r="K1244" s="1" t="s">
        <v>10693</v>
      </c>
    </row>
    <row r="1245" ht="14.25" customHeight="1">
      <c r="A1245" s="3" t="s">
        <v>8521</v>
      </c>
      <c r="B1245" s="1">
        <v>5.9</v>
      </c>
      <c r="C1245" s="1" t="s">
        <v>1885</v>
      </c>
      <c r="D1245" s="1" t="s">
        <v>17763</v>
      </c>
      <c r="E1245" s="1" t="s">
        <v>3238</v>
      </c>
      <c r="F1245" s="1"/>
      <c r="G1245" s="1"/>
      <c r="H1245" s="1"/>
      <c r="I1245" s="1"/>
      <c r="J1245" s="1"/>
      <c r="K1245" s="1" t="s">
        <v>10771</v>
      </c>
    </row>
    <row r="1246" ht="14.25" customHeight="1">
      <c r="A1246" s="3" t="s">
        <v>8521</v>
      </c>
      <c r="B1246" s="1">
        <v>4.4</v>
      </c>
      <c r="C1246" s="1" t="s">
        <v>1885</v>
      </c>
      <c r="D1246" s="1" t="s">
        <v>17763</v>
      </c>
      <c r="E1246" s="1" t="s">
        <v>3238</v>
      </c>
      <c r="F1246" s="1"/>
      <c r="G1246" s="1"/>
      <c r="H1246" s="1"/>
      <c r="I1246" s="1"/>
      <c r="J1246" s="1"/>
      <c r="K1246" s="1" t="s">
        <v>11838</v>
      </c>
    </row>
    <row r="1247" ht="14.25" customHeight="1">
      <c r="A1247" s="3" t="s">
        <v>8521</v>
      </c>
      <c r="B1247" s="1">
        <v>5.8</v>
      </c>
      <c r="C1247" s="1" t="s">
        <v>1885</v>
      </c>
      <c r="D1247" s="1" t="s">
        <v>17763</v>
      </c>
      <c r="E1247" s="1" t="s">
        <v>3238</v>
      </c>
      <c r="F1247" s="1"/>
      <c r="G1247" s="1"/>
      <c r="H1247" s="1"/>
      <c r="I1247" s="1"/>
      <c r="J1247" s="1"/>
      <c r="K1247" s="1" t="s">
        <v>11909</v>
      </c>
    </row>
    <row r="1248" ht="14.25" customHeight="1">
      <c r="A1248" s="3" t="s">
        <v>8521</v>
      </c>
      <c r="B1248" s="1">
        <v>5.1</v>
      </c>
      <c r="C1248" s="1" t="s">
        <v>1885</v>
      </c>
      <c r="D1248" s="1" t="s">
        <v>17763</v>
      </c>
      <c r="E1248" s="1" t="s">
        <v>3238</v>
      </c>
      <c r="F1248" s="1"/>
      <c r="G1248" s="1"/>
      <c r="H1248" s="1"/>
      <c r="I1248" s="1"/>
      <c r="J1248" s="1"/>
      <c r="K1248" s="1" t="s">
        <v>12413</v>
      </c>
    </row>
    <row r="1249" ht="14.25" customHeight="1">
      <c r="A1249" s="3" t="s">
        <v>8521</v>
      </c>
      <c r="B1249" s="1">
        <v>6.9</v>
      </c>
      <c r="C1249" s="1" t="s">
        <v>1885</v>
      </c>
      <c r="D1249" s="1" t="s">
        <v>17763</v>
      </c>
      <c r="E1249" s="1" t="s">
        <v>3238</v>
      </c>
      <c r="F1249" s="1"/>
      <c r="G1249" s="1"/>
      <c r="H1249" s="1"/>
      <c r="I1249" s="1"/>
      <c r="J1249" s="1"/>
      <c r="K1249" s="1" t="s">
        <v>14320</v>
      </c>
    </row>
    <row r="1250" ht="14.25" customHeight="1">
      <c r="A1250" s="3" t="s">
        <v>8521</v>
      </c>
      <c r="B1250" s="1">
        <v>6.2</v>
      </c>
      <c r="C1250" s="1" t="s">
        <v>1885</v>
      </c>
      <c r="D1250" s="1" t="s">
        <v>17763</v>
      </c>
      <c r="E1250" s="1" t="s">
        <v>3238</v>
      </c>
      <c r="F1250" s="1"/>
      <c r="G1250" s="1"/>
      <c r="H1250" s="1"/>
      <c r="I1250" s="1"/>
      <c r="J1250" s="1"/>
      <c r="K1250" s="1" t="s">
        <v>14718</v>
      </c>
    </row>
    <row r="1251" ht="14.25" customHeight="1">
      <c r="A1251" s="3" t="s">
        <v>8521</v>
      </c>
      <c r="B1251" s="1">
        <v>6.9</v>
      </c>
      <c r="C1251" s="1" t="s">
        <v>1885</v>
      </c>
      <c r="D1251" s="1" t="s">
        <v>17763</v>
      </c>
      <c r="E1251" s="1" t="s">
        <v>3238</v>
      </c>
      <c r="F1251" s="1"/>
      <c r="G1251" s="1"/>
      <c r="H1251" s="1"/>
      <c r="I1251" s="1"/>
      <c r="J1251" s="1"/>
      <c r="K1251" s="1" t="s">
        <v>14870</v>
      </c>
    </row>
    <row r="1252" ht="14.25" customHeight="1">
      <c r="A1252" s="3" t="s">
        <v>8521</v>
      </c>
      <c r="B1252" s="1">
        <v>7.3</v>
      </c>
      <c r="C1252" s="1" t="s">
        <v>1885</v>
      </c>
      <c r="D1252" s="1" t="s">
        <v>17763</v>
      </c>
      <c r="E1252" s="1" t="s">
        <v>3238</v>
      </c>
      <c r="F1252" s="1"/>
      <c r="G1252" s="1"/>
      <c r="H1252" s="1"/>
      <c r="I1252" s="1"/>
      <c r="J1252" s="1"/>
      <c r="K1252" s="1" t="s">
        <v>15274</v>
      </c>
    </row>
    <row r="1253" ht="14.25" customHeight="1">
      <c r="A1253" s="3" t="s">
        <v>8521</v>
      </c>
      <c r="B1253" s="1">
        <v>7.1</v>
      </c>
      <c r="C1253" s="1" t="s">
        <v>1885</v>
      </c>
      <c r="D1253" s="1" t="s">
        <v>17763</v>
      </c>
      <c r="E1253" s="1" t="s">
        <v>3238</v>
      </c>
      <c r="F1253" s="1"/>
      <c r="G1253" s="1"/>
      <c r="H1253" s="1"/>
      <c r="I1253" s="1"/>
      <c r="J1253" s="1"/>
      <c r="K1253" s="1" t="s">
        <v>15393</v>
      </c>
    </row>
    <row r="1254" ht="14.25" customHeight="1">
      <c r="A1254" s="3" t="s">
        <v>8521</v>
      </c>
      <c r="B1254" s="1">
        <v>6.0</v>
      </c>
      <c r="C1254" s="1" t="s">
        <v>1885</v>
      </c>
      <c r="D1254" s="1" t="s">
        <v>17763</v>
      </c>
      <c r="E1254" s="1" t="s">
        <v>3238</v>
      </c>
      <c r="F1254" s="1"/>
      <c r="G1254" s="1"/>
      <c r="H1254" s="1"/>
      <c r="I1254" s="1"/>
      <c r="J1254" s="1"/>
      <c r="K1254" s="1" t="s">
        <v>15676</v>
      </c>
    </row>
    <row r="1255" ht="14.25" customHeight="1">
      <c r="A1255" s="3" t="s">
        <v>8521</v>
      </c>
      <c r="B1255" s="1">
        <v>7.0</v>
      </c>
      <c r="C1255" s="1" t="s">
        <v>1885</v>
      </c>
      <c r="D1255" s="1" t="s">
        <v>17763</v>
      </c>
      <c r="E1255" s="1" t="s">
        <v>3238</v>
      </c>
      <c r="F1255" s="1"/>
      <c r="G1255" s="1"/>
      <c r="H1255" s="1"/>
      <c r="I1255" s="1"/>
      <c r="J1255" s="1"/>
      <c r="K1255" s="1" t="s">
        <v>16213</v>
      </c>
    </row>
    <row r="1256" ht="14.25" customHeight="1">
      <c r="A1256" s="3" t="s">
        <v>17659</v>
      </c>
      <c r="B1256" s="1">
        <v>7.6</v>
      </c>
      <c r="C1256" s="1" t="s">
        <v>1885</v>
      </c>
      <c r="D1256" s="1" t="s">
        <v>15542</v>
      </c>
      <c r="E1256" s="1" t="s">
        <v>3238</v>
      </c>
      <c r="F1256" s="1"/>
      <c r="G1256" s="1"/>
      <c r="H1256" s="1"/>
      <c r="I1256" s="1"/>
      <c r="J1256" s="1"/>
      <c r="K1256" s="1" t="s">
        <v>17658</v>
      </c>
    </row>
    <row r="1257" ht="14.25" customHeight="1">
      <c r="A1257" s="3" t="s">
        <v>15852</v>
      </c>
      <c r="B1257" s="1">
        <v>7.1</v>
      </c>
      <c r="C1257" s="1" t="s">
        <v>17763</v>
      </c>
      <c r="D1257" s="1" t="s">
        <v>15542</v>
      </c>
      <c r="E1257" s="1" t="s">
        <v>3238</v>
      </c>
      <c r="F1257" s="1"/>
      <c r="G1257" s="1"/>
      <c r="H1257" s="1"/>
      <c r="I1257" s="1"/>
      <c r="J1257" s="1"/>
      <c r="K1257" s="1" t="s">
        <v>15851</v>
      </c>
    </row>
    <row r="1258" ht="14.25" customHeight="1">
      <c r="A1258" s="3" t="s">
        <v>2688</v>
      </c>
      <c r="B1258" s="1">
        <v>6.7</v>
      </c>
      <c r="C1258" s="1" t="s">
        <v>917</v>
      </c>
      <c r="D1258" s="1" t="s">
        <v>17757</v>
      </c>
      <c r="E1258" s="1" t="s">
        <v>17758</v>
      </c>
      <c r="F1258" s="1"/>
      <c r="G1258" s="1"/>
      <c r="H1258" s="1"/>
      <c r="I1258" s="1"/>
      <c r="J1258" s="1"/>
      <c r="K1258" s="1" t="s">
        <v>2687</v>
      </c>
    </row>
    <row r="1259" ht="14.25" customHeight="1">
      <c r="A1259" s="3" t="s">
        <v>2688</v>
      </c>
      <c r="B1259" s="1">
        <v>7.0</v>
      </c>
      <c r="C1259" s="1" t="s">
        <v>917</v>
      </c>
      <c r="D1259" s="1" t="s">
        <v>17757</v>
      </c>
      <c r="E1259" s="1" t="s">
        <v>17758</v>
      </c>
      <c r="F1259" s="1"/>
      <c r="G1259" s="1"/>
      <c r="H1259" s="1"/>
      <c r="I1259" s="1"/>
      <c r="J1259" s="1"/>
      <c r="K1259" s="1" t="s">
        <v>12529</v>
      </c>
    </row>
    <row r="1260" ht="14.25" customHeight="1">
      <c r="A1260" s="3" t="s">
        <v>8359</v>
      </c>
      <c r="B1260" s="1">
        <v>8.0</v>
      </c>
      <c r="C1260" s="1" t="s">
        <v>1270</v>
      </c>
      <c r="D1260" s="1" t="s">
        <v>1885</v>
      </c>
      <c r="E1260" s="1" t="s">
        <v>17758</v>
      </c>
      <c r="F1260" s="1"/>
      <c r="G1260" s="1"/>
      <c r="H1260" s="1"/>
      <c r="I1260" s="1"/>
      <c r="J1260" s="1"/>
      <c r="K1260" s="1" t="s">
        <v>8358</v>
      </c>
    </row>
    <row r="1261" ht="14.25" customHeight="1">
      <c r="A1261" s="3" t="s">
        <v>8359</v>
      </c>
      <c r="B1261" s="1">
        <v>5.3</v>
      </c>
      <c r="C1261" s="1" t="s">
        <v>1270</v>
      </c>
      <c r="D1261" s="1" t="s">
        <v>1885</v>
      </c>
      <c r="E1261" s="1" t="s">
        <v>17758</v>
      </c>
      <c r="F1261" s="1"/>
      <c r="G1261" s="1"/>
      <c r="H1261" s="1"/>
      <c r="I1261" s="1"/>
      <c r="J1261" s="1"/>
      <c r="K1261" s="1" t="s">
        <v>10279</v>
      </c>
    </row>
    <row r="1262" ht="14.25" customHeight="1">
      <c r="A1262" s="3" t="s">
        <v>2267</v>
      </c>
      <c r="B1262" s="1">
        <v>4.9</v>
      </c>
      <c r="C1262" s="1" t="s">
        <v>917</v>
      </c>
      <c r="D1262" s="1" t="s">
        <v>1885</v>
      </c>
      <c r="E1262" s="1" t="s">
        <v>17758</v>
      </c>
      <c r="F1262" s="1"/>
      <c r="G1262" s="1"/>
      <c r="H1262" s="1"/>
      <c r="I1262" s="1"/>
      <c r="J1262" s="1"/>
      <c r="K1262" s="1" t="s">
        <v>2266</v>
      </c>
    </row>
    <row r="1263" ht="14.25" customHeight="1">
      <c r="A1263" s="3" t="s">
        <v>2267</v>
      </c>
      <c r="B1263" s="1">
        <v>6.4</v>
      </c>
      <c r="C1263" s="1" t="s">
        <v>917</v>
      </c>
      <c r="D1263" s="1" t="s">
        <v>1885</v>
      </c>
      <c r="E1263" s="1" t="s">
        <v>17758</v>
      </c>
      <c r="F1263" s="1"/>
      <c r="G1263" s="1"/>
      <c r="H1263" s="1"/>
      <c r="I1263" s="1"/>
      <c r="J1263" s="1"/>
      <c r="K1263" s="1" t="s">
        <v>3809</v>
      </c>
    </row>
    <row r="1264" ht="14.25" customHeight="1">
      <c r="A1264" s="3" t="s">
        <v>2267</v>
      </c>
      <c r="B1264" s="1">
        <v>7.4</v>
      </c>
      <c r="C1264" s="1" t="s">
        <v>917</v>
      </c>
      <c r="D1264" s="1" t="s">
        <v>1885</v>
      </c>
      <c r="E1264" s="1" t="s">
        <v>17758</v>
      </c>
      <c r="F1264" s="1"/>
      <c r="G1264" s="1"/>
      <c r="H1264" s="1"/>
      <c r="I1264" s="1"/>
      <c r="J1264" s="1"/>
      <c r="K1264" s="1" t="s">
        <v>9775</v>
      </c>
    </row>
    <row r="1265" ht="14.25" customHeight="1">
      <c r="A1265" s="3" t="s">
        <v>2267</v>
      </c>
      <c r="B1265" s="1">
        <v>6.1</v>
      </c>
      <c r="C1265" s="1" t="s">
        <v>917</v>
      </c>
      <c r="D1265" s="1" t="s">
        <v>1885</v>
      </c>
      <c r="E1265" s="1" t="s">
        <v>17758</v>
      </c>
      <c r="F1265" s="1"/>
      <c r="G1265" s="1"/>
      <c r="H1265" s="1"/>
      <c r="I1265" s="1"/>
      <c r="J1265" s="1"/>
      <c r="K1265" s="1" t="s">
        <v>11504</v>
      </c>
    </row>
    <row r="1266" ht="14.25" customHeight="1">
      <c r="A1266" s="3" t="s">
        <v>2267</v>
      </c>
      <c r="B1266" s="1">
        <v>6.5</v>
      </c>
      <c r="C1266" s="1" t="s">
        <v>917</v>
      </c>
      <c r="D1266" s="1" t="s">
        <v>1885</v>
      </c>
      <c r="E1266" s="1" t="s">
        <v>17758</v>
      </c>
      <c r="F1266" s="1"/>
      <c r="G1266" s="1"/>
      <c r="H1266" s="1"/>
      <c r="I1266" s="1"/>
      <c r="J1266" s="1"/>
      <c r="K1266" s="1" t="s">
        <v>11834</v>
      </c>
    </row>
    <row r="1267" ht="14.25" customHeight="1">
      <c r="A1267" s="3" t="s">
        <v>2267</v>
      </c>
      <c r="B1267" s="1">
        <v>5.7</v>
      </c>
      <c r="C1267" s="1" t="s">
        <v>917</v>
      </c>
      <c r="D1267" s="1" t="s">
        <v>1885</v>
      </c>
      <c r="E1267" s="1" t="s">
        <v>17758</v>
      </c>
      <c r="F1267" s="1"/>
      <c r="G1267" s="1"/>
      <c r="H1267" s="1"/>
      <c r="I1267" s="1"/>
      <c r="J1267" s="1"/>
      <c r="K1267" s="1" t="s">
        <v>11504</v>
      </c>
    </row>
    <row r="1268" ht="14.25" customHeight="1">
      <c r="A1268" s="3" t="s">
        <v>2267</v>
      </c>
      <c r="B1268" s="1">
        <v>5.1</v>
      </c>
      <c r="C1268" s="1" t="s">
        <v>917</v>
      </c>
      <c r="D1268" s="1" t="s">
        <v>1885</v>
      </c>
      <c r="E1268" s="1" t="s">
        <v>17758</v>
      </c>
      <c r="F1268" s="1"/>
      <c r="G1268" s="1"/>
      <c r="H1268" s="1"/>
      <c r="I1268" s="1"/>
      <c r="J1268" s="1"/>
      <c r="K1268" s="1" t="s">
        <v>12278</v>
      </c>
    </row>
    <row r="1269" ht="14.25" customHeight="1">
      <c r="A1269" s="3" t="s">
        <v>2816</v>
      </c>
      <c r="B1269" s="1">
        <v>6.6</v>
      </c>
      <c r="C1269" s="1" t="s">
        <v>17757</v>
      </c>
      <c r="D1269" s="1" t="s">
        <v>1885</v>
      </c>
      <c r="E1269" s="1" t="s">
        <v>17758</v>
      </c>
      <c r="F1269" s="1"/>
      <c r="G1269" s="1"/>
      <c r="H1269" s="1"/>
      <c r="I1269" s="1"/>
      <c r="J1269" s="1"/>
      <c r="K1269" s="1" t="s">
        <v>2815</v>
      </c>
    </row>
    <row r="1270" ht="14.25" customHeight="1">
      <c r="A1270" s="3" t="s">
        <v>2816</v>
      </c>
      <c r="B1270" s="1">
        <v>6.5</v>
      </c>
      <c r="C1270" s="1" t="s">
        <v>17757</v>
      </c>
      <c r="D1270" s="1" t="s">
        <v>1885</v>
      </c>
      <c r="E1270" s="1" t="s">
        <v>17758</v>
      </c>
      <c r="F1270" s="1"/>
      <c r="G1270" s="1"/>
      <c r="H1270" s="1"/>
      <c r="I1270" s="1"/>
      <c r="J1270" s="1"/>
      <c r="K1270" s="1" t="s">
        <v>3371</v>
      </c>
    </row>
    <row r="1271" ht="14.25" customHeight="1">
      <c r="A1271" s="3" t="s">
        <v>2816</v>
      </c>
      <c r="B1271" s="1">
        <v>6.9</v>
      </c>
      <c r="C1271" s="1" t="s">
        <v>17757</v>
      </c>
      <c r="D1271" s="1" t="s">
        <v>1885</v>
      </c>
      <c r="E1271" s="1" t="s">
        <v>17758</v>
      </c>
      <c r="F1271" s="1"/>
      <c r="G1271" s="1"/>
      <c r="H1271" s="1"/>
      <c r="I1271" s="1"/>
      <c r="J1271" s="1"/>
      <c r="K1271" s="1" t="s">
        <v>4714</v>
      </c>
    </row>
    <row r="1272" ht="14.25" customHeight="1">
      <c r="A1272" s="3" t="s">
        <v>2816</v>
      </c>
      <c r="B1272" s="1">
        <v>7.6</v>
      </c>
      <c r="C1272" s="1" t="s">
        <v>17757</v>
      </c>
      <c r="D1272" s="1" t="s">
        <v>1885</v>
      </c>
      <c r="E1272" s="1" t="s">
        <v>17758</v>
      </c>
      <c r="F1272" s="1"/>
      <c r="G1272" s="1"/>
      <c r="H1272" s="1"/>
      <c r="I1272" s="1"/>
      <c r="J1272" s="1"/>
      <c r="K1272" s="1" t="s">
        <v>8078</v>
      </c>
    </row>
    <row r="1273" ht="14.25" customHeight="1">
      <c r="A1273" s="3" t="s">
        <v>2816</v>
      </c>
      <c r="B1273" s="1">
        <v>5.6</v>
      </c>
      <c r="C1273" s="1" t="s">
        <v>17757</v>
      </c>
      <c r="D1273" s="1" t="s">
        <v>1885</v>
      </c>
      <c r="E1273" s="1" t="s">
        <v>17758</v>
      </c>
      <c r="F1273" s="1"/>
      <c r="G1273" s="1"/>
      <c r="H1273" s="1"/>
      <c r="I1273" s="1"/>
      <c r="J1273" s="1"/>
      <c r="K1273" s="1" t="s">
        <v>15063</v>
      </c>
    </row>
    <row r="1274" ht="14.25" customHeight="1">
      <c r="A1274" s="3" t="s">
        <v>12720</v>
      </c>
      <c r="B1274" s="1">
        <v>6.2</v>
      </c>
      <c r="C1274" s="1" t="s">
        <v>1885</v>
      </c>
      <c r="D1274" s="1" t="s">
        <v>17763</v>
      </c>
      <c r="E1274" s="1" t="s">
        <v>17758</v>
      </c>
      <c r="F1274" s="1"/>
      <c r="G1274" s="1"/>
      <c r="H1274" s="1"/>
      <c r="I1274" s="1"/>
      <c r="J1274" s="1"/>
      <c r="K1274" s="1" t="s">
        <v>12719</v>
      </c>
    </row>
    <row r="1275" ht="14.25" customHeight="1">
      <c r="A1275" s="3" t="s">
        <v>3106</v>
      </c>
      <c r="B1275" s="1">
        <v>4.4</v>
      </c>
      <c r="C1275" s="1" t="s">
        <v>917</v>
      </c>
      <c r="D1275" s="1" t="s">
        <v>3238</v>
      </c>
      <c r="E1275" s="1" t="s">
        <v>17758</v>
      </c>
      <c r="F1275" s="1"/>
      <c r="G1275" s="1"/>
      <c r="H1275" s="1"/>
      <c r="I1275" s="1"/>
      <c r="J1275" s="1"/>
      <c r="K1275" s="1" t="s">
        <v>3105</v>
      </c>
    </row>
    <row r="1276" ht="14.25" customHeight="1">
      <c r="A1276" s="3" t="s">
        <v>3106</v>
      </c>
      <c r="B1276" s="1">
        <v>5.6</v>
      </c>
      <c r="C1276" s="1" t="s">
        <v>917</v>
      </c>
      <c r="D1276" s="1" t="s">
        <v>3238</v>
      </c>
      <c r="E1276" s="1" t="s">
        <v>17758</v>
      </c>
      <c r="F1276" s="1"/>
      <c r="G1276" s="1"/>
      <c r="H1276" s="1"/>
      <c r="I1276" s="1"/>
      <c r="J1276" s="1"/>
      <c r="K1276" s="1" t="s">
        <v>5954</v>
      </c>
    </row>
    <row r="1277" ht="14.25" customHeight="1">
      <c r="A1277" s="3" t="s">
        <v>3106</v>
      </c>
      <c r="B1277" s="1">
        <v>5.5</v>
      </c>
      <c r="C1277" s="1" t="s">
        <v>917</v>
      </c>
      <c r="D1277" s="1" t="s">
        <v>3238</v>
      </c>
      <c r="E1277" s="1" t="s">
        <v>17758</v>
      </c>
      <c r="F1277" s="1"/>
      <c r="G1277" s="1"/>
      <c r="H1277" s="1"/>
      <c r="I1277" s="1"/>
      <c r="J1277" s="1"/>
      <c r="K1277" s="1" t="s">
        <v>11664</v>
      </c>
    </row>
    <row r="1278" ht="14.25" customHeight="1">
      <c r="A1278" s="3" t="s">
        <v>3106</v>
      </c>
      <c r="B1278" s="1">
        <v>6.7</v>
      </c>
      <c r="C1278" s="1" t="s">
        <v>917</v>
      </c>
      <c r="D1278" s="1" t="s">
        <v>3238</v>
      </c>
      <c r="E1278" s="1" t="s">
        <v>17758</v>
      </c>
      <c r="F1278" s="1"/>
      <c r="G1278" s="1"/>
      <c r="H1278" s="1"/>
      <c r="I1278" s="1"/>
      <c r="J1278" s="1"/>
      <c r="K1278" s="1" t="s">
        <v>12854</v>
      </c>
    </row>
    <row r="1279" ht="14.25" customHeight="1">
      <c r="A1279" s="3" t="s">
        <v>8806</v>
      </c>
      <c r="B1279" s="1">
        <v>6.1</v>
      </c>
      <c r="C1279" s="1" t="s">
        <v>17765</v>
      </c>
      <c r="D1279" s="1" t="s">
        <v>3238</v>
      </c>
      <c r="E1279" s="1" t="s">
        <v>17758</v>
      </c>
      <c r="F1279" s="1"/>
      <c r="G1279" s="1"/>
      <c r="H1279" s="1"/>
      <c r="I1279" s="1"/>
      <c r="J1279" s="1"/>
      <c r="K1279" s="1" t="s">
        <v>8805</v>
      </c>
    </row>
    <row r="1280" ht="14.25" customHeight="1">
      <c r="A1280" s="3" t="s">
        <v>3731</v>
      </c>
      <c r="B1280" s="1">
        <v>6.2</v>
      </c>
      <c r="C1280" s="1" t="s">
        <v>1885</v>
      </c>
      <c r="D1280" s="1" t="s">
        <v>3238</v>
      </c>
      <c r="E1280" s="1" t="s">
        <v>17758</v>
      </c>
      <c r="F1280" s="1"/>
      <c r="G1280" s="1"/>
      <c r="H1280" s="1"/>
      <c r="I1280" s="1"/>
      <c r="J1280" s="1"/>
      <c r="K1280" s="1" t="s">
        <v>3730</v>
      </c>
    </row>
    <row r="1281" ht="14.25" customHeight="1">
      <c r="A1281" s="3" t="s">
        <v>3731</v>
      </c>
      <c r="B1281" s="1">
        <v>7.3</v>
      </c>
      <c r="C1281" s="1" t="s">
        <v>1885</v>
      </c>
      <c r="D1281" s="1" t="s">
        <v>3238</v>
      </c>
      <c r="E1281" s="1" t="s">
        <v>17758</v>
      </c>
      <c r="F1281" s="1"/>
      <c r="G1281" s="1"/>
      <c r="H1281" s="1"/>
      <c r="I1281" s="1"/>
      <c r="J1281" s="1"/>
      <c r="K1281" s="1" t="s">
        <v>7694</v>
      </c>
    </row>
    <row r="1282" ht="14.25" customHeight="1">
      <c r="A1282" s="3" t="s">
        <v>3731</v>
      </c>
      <c r="B1282" s="1">
        <v>6.6</v>
      </c>
      <c r="C1282" s="1" t="s">
        <v>1885</v>
      </c>
      <c r="D1282" s="1" t="s">
        <v>3238</v>
      </c>
      <c r="E1282" s="1" t="s">
        <v>17758</v>
      </c>
      <c r="F1282" s="1"/>
      <c r="G1282" s="1"/>
      <c r="H1282" s="1"/>
      <c r="I1282" s="1"/>
      <c r="J1282" s="1"/>
      <c r="K1282" s="1" t="s">
        <v>7818</v>
      </c>
    </row>
    <row r="1283" ht="14.25" customHeight="1">
      <c r="A1283" s="3" t="s">
        <v>3731</v>
      </c>
      <c r="B1283" s="1">
        <v>8.2</v>
      </c>
      <c r="C1283" s="1" t="s">
        <v>1885</v>
      </c>
      <c r="D1283" s="1" t="s">
        <v>3238</v>
      </c>
      <c r="E1283" s="1" t="s">
        <v>17758</v>
      </c>
      <c r="F1283" s="1"/>
      <c r="G1283" s="1"/>
      <c r="H1283" s="1"/>
      <c r="I1283" s="1"/>
      <c r="J1283" s="1"/>
      <c r="K1283" s="1" t="s">
        <v>8505</v>
      </c>
    </row>
    <row r="1284" ht="14.25" customHeight="1">
      <c r="A1284" s="3" t="s">
        <v>3731</v>
      </c>
      <c r="B1284" s="1">
        <v>6.4</v>
      </c>
      <c r="C1284" s="1" t="s">
        <v>1885</v>
      </c>
      <c r="D1284" s="1" t="s">
        <v>3238</v>
      </c>
      <c r="E1284" s="1" t="s">
        <v>17758</v>
      </c>
      <c r="F1284" s="1"/>
      <c r="G1284" s="1"/>
      <c r="H1284" s="1"/>
      <c r="I1284" s="1"/>
      <c r="J1284" s="1"/>
      <c r="K1284" s="1" t="s">
        <v>10138</v>
      </c>
    </row>
    <row r="1285" ht="14.25" customHeight="1">
      <c r="A1285" s="3" t="s">
        <v>3731</v>
      </c>
      <c r="B1285" s="1">
        <v>6.4</v>
      </c>
      <c r="C1285" s="1" t="s">
        <v>1885</v>
      </c>
      <c r="D1285" s="1" t="s">
        <v>3238</v>
      </c>
      <c r="E1285" s="1" t="s">
        <v>17758</v>
      </c>
      <c r="F1285" s="1"/>
      <c r="G1285" s="1"/>
      <c r="H1285" s="1"/>
      <c r="I1285" s="1"/>
      <c r="J1285" s="1"/>
      <c r="K1285" s="1" t="s">
        <v>11416</v>
      </c>
    </row>
    <row r="1286" ht="14.25" customHeight="1">
      <c r="A1286" s="3" t="s">
        <v>3731</v>
      </c>
      <c r="B1286" s="1">
        <v>5.2</v>
      </c>
      <c r="C1286" s="1" t="s">
        <v>1885</v>
      </c>
      <c r="D1286" s="1" t="s">
        <v>3238</v>
      </c>
      <c r="E1286" s="1" t="s">
        <v>17758</v>
      </c>
      <c r="F1286" s="1"/>
      <c r="G1286" s="1"/>
      <c r="H1286" s="1"/>
      <c r="I1286" s="1"/>
      <c r="J1286" s="1"/>
      <c r="K1286" s="1" t="s">
        <v>11611</v>
      </c>
    </row>
    <row r="1287" ht="14.25" customHeight="1">
      <c r="A1287" s="3" t="s">
        <v>3731</v>
      </c>
      <c r="B1287" s="1">
        <v>6.5</v>
      </c>
      <c r="C1287" s="1" t="s">
        <v>1885</v>
      </c>
      <c r="D1287" s="1" t="s">
        <v>3238</v>
      </c>
      <c r="E1287" s="1" t="s">
        <v>17758</v>
      </c>
      <c r="F1287" s="1"/>
      <c r="G1287" s="1"/>
      <c r="H1287" s="1"/>
      <c r="I1287" s="1"/>
      <c r="J1287" s="1"/>
      <c r="K1287" s="1" t="s">
        <v>12295</v>
      </c>
    </row>
    <row r="1288" ht="14.25" customHeight="1">
      <c r="A1288" s="3" t="s">
        <v>3731</v>
      </c>
      <c r="B1288" s="1">
        <v>7.1</v>
      </c>
      <c r="C1288" s="1" t="s">
        <v>1885</v>
      </c>
      <c r="D1288" s="1" t="s">
        <v>3238</v>
      </c>
      <c r="E1288" s="1" t="s">
        <v>17758</v>
      </c>
      <c r="F1288" s="1"/>
      <c r="G1288" s="1"/>
      <c r="H1288" s="1"/>
      <c r="I1288" s="1"/>
      <c r="J1288" s="1"/>
      <c r="K1288" s="1" t="s">
        <v>14152</v>
      </c>
    </row>
    <row r="1289" ht="14.25" customHeight="1">
      <c r="A1289" s="3" t="s">
        <v>3731</v>
      </c>
      <c r="B1289" s="1">
        <v>7.3</v>
      </c>
      <c r="C1289" s="1" t="s">
        <v>1885</v>
      </c>
      <c r="D1289" s="1" t="s">
        <v>3238</v>
      </c>
      <c r="E1289" s="1" t="s">
        <v>17758</v>
      </c>
      <c r="F1289" s="1"/>
      <c r="G1289" s="1"/>
      <c r="H1289" s="1"/>
      <c r="I1289" s="1"/>
      <c r="J1289" s="1"/>
      <c r="K1289" s="1" t="s">
        <v>16188</v>
      </c>
    </row>
    <row r="1290" ht="14.25" customHeight="1">
      <c r="A1290" s="3" t="s">
        <v>3731</v>
      </c>
      <c r="B1290" s="1">
        <v>5.2</v>
      </c>
      <c r="C1290" s="1" t="s">
        <v>1885</v>
      </c>
      <c r="D1290" s="1" t="s">
        <v>3238</v>
      </c>
      <c r="E1290" s="1" t="s">
        <v>17758</v>
      </c>
      <c r="F1290" s="1"/>
      <c r="G1290" s="1"/>
      <c r="H1290" s="1"/>
      <c r="I1290" s="1"/>
      <c r="J1290" s="1"/>
      <c r="K1290" s="1" t="s">
        <v>16648</v>
      </c>
    </row>
    <row r="1291" ht="14.25" customHeight="1">
      <c r="A1291" s="3" t="s">
        <v>40</v>
      </c>
      <c r="B1291" s="1">
        <v>7.7</v>
      </c>
      <c r="C1291" s="1" t="s">
        <v>1270</v>
      </c>
      <c r="D1291" s="1" t="s">
        <v>917</v>
      </c>
      <c r="E1291" s="1" t="s">
        <v>17759</v>
      </c>
      <c r="F1291" s="1"/>
      <c r="G1291" s="1"/>
      <c r="H1291" s="1"/>
      <c r="I1291" s="1"/>
      <c r="J1291" s="1"/>
      <c r="K1291" s="1" t="s">
        <v>39</v>
      </c>
    </row>
    <row r="1292" ht="14.25" customHeight="1">
      <c r="A1292" s="3" t="s">
        <v>40</v>
      </c>
      <c r="B1292" s="1">
        <v>7.6</v>
      </c>
      <c r="C1292" s="1" t="s">
        <v>1270</v>
      </c>
      <c r="D1292" s="1" t="s">
        <v>917</v>
      </c>
      <c r="E1292" s="1" t="s">
        <v>17759</v>
      </c>
      <c r="F1292" s="1"/>
      <c r="G1292" s="1"/>
      <c r="H1292" s="1"/>
      <c r="I1292" s="1"/>
      <c r="J1292" s="1"/>
      <c r="K1292" s="1" t="s">
        <v>124</v>
      </c>
    </row>
    <row r="1293" ht="14.25" customHeight="1">
      <c r="A1293" s="3" t="s">
        <v>40</v>
      </c>
      <c r="B1293" s="1">
        <v>5.7</v>
      </c>
      <c r="C1293" s="1" t="s">
        <v>1270</v>
      </c>
      <c r="D1293" s="1" t="s">
        <v>917</v>
      </c>
      <c r="E1293" s="1" t="s">
        <v>17759</v>
      </c>
      <c r="F1293" s="1"/>
      <c r="G1293" s="1"/>
      <c r="H1293" s="1"/>
      <c r="I1293" s="1"/>
      <c r="J1293" s="1"/>
      <c r="K1293" s="1" t="s">
        <v>150</v>
      </c>
    </row>
    <row r="1294" ht="14.25" customHeight="1">
      <c r="A1294" s="3" t="s">
        <v>40</v>
      </c>
      <c r="B1294" s="1">
        <v>7.0</v>
      </c>
      <c r="C1294" s="1" t="s">
        <v>1270</v>
      </c>
      <c r="D1294" s="1" t="s">
        <v>917</v>
      </c>
      <c r="E1294" s="1" t="s">
        <v>17759</v>
      </c>
      <c r="F1294" s="1"/>
      <c r="G1294" s="1"/>
      <c r="H1294" s="1"/>
      <c r="I1294" s="1"/>
      <c r="J1294" s="1"/>
      <c r="K1294" s="1" t="s">
        <v>173</v>
      </c>
    </row>
    <row r="1295" ht="14.25" customHeight="1">
      <c r="A1295" s="3" t="s">
        <v>40</v>
      </c>
      <c r="B1295" s="1">
        <v>6.0</v>
      </c>
      <c r="C1295" s="1" t="s">
        <v>1270</v>
      </c>
      <c r="D1295" s="1" t="s">
        <v>917</v>
      </c>
      <c r="E1295" s="1" t="s">
        <v>17759</v>
      </c>
      <c r="F1295" s="1"/>
      <c r="G1295" s="1"/>
      <c r="H1295" s="1"/>
      <c r="I1295" s="1"/>
      <c r="J1295" s="1"/>
      <c r="K1295" s="1" t="s">
        <v>382</v>
      </c>
    </row>
    <row r="1296" ht="14.25" customHeight="1">
      <c r="A1296" s="3" t="s">
        <v>40</v>
      </c>
      <c r="B1296" s="1">
        <v>8.1</v>
      </c>
      <c r="C1296" s="1" t="s">
        <v>1270</v>
      </c>
      <c r="D1296" s="1" t="s">
        <v>917</v>
      </c>
      <c r="E1296" s="1" t="s">
        <v>17759</v>
      </c>
      <c r="F1296" s="1"/>
      <c r="G1296" s="1"/>
      <c r="H1296" s="1"/>
      <c r="I1296" s="1"/>
      <c r="J1296" s="1"/>
      <c r="K1296" s="1" t="s">
        <v>692</v>
      </c>
    </row>
    <row r="1297" ht="14.25" customHeight="1">
      <c r="A1297" s="3" t="s">
        <v>40</v>
      </c>
      <c r="B1297" s="1">
        <v>8.0</v>
      </c>
      <c r="C1297" s="1" t="s">
        <v>1270</v>
      </c>
      <c r="D1297" s="1" t="s">
        <v>917</v>
      </c>
      <c r="E1297" s="1" t="s">
        <v>17759</v>
      </c>
      <c r="F1297" s="1"/>
      <c r="G1297" s="1"/>
      <c r="H1297" s="1"/>
      <c r="I1297" s="1"/>
      <c r="J1297" s="1"/>
      <c r="K1297" s="1" t="s">
        <v>804</v>
      </c>
    </row>
    <row r="1298" ht="14.25" customHeight="1">
      <c r="A1298" s="3" t="s">
        <v>40</v>
      </c>
      <c r="B1298" s="1">
        <v>5.6</v>
      </c>
      <c r="C1298" s="1" t="s">
        <v>1270</v>
      </c>
      <c r="D1298" s="1" t="s">
        <v>917</v>
      </c>
      <c r="E1298" s="1" t="s">
        <v>17759</v>
      </c>
      <c r="F1298" s="1"/>
      <c r="G1298" s="1"/>
      <c r="H1298" s="1"/>
      <c r="I1298" s="1"/>
      <c r="J1298" s="1"/>
      <c r="K1298" s="1" t="s">
        <v>821</v>
      </c>
    </row>
    <row r="1299" ht="14.25" customHeight="1">
      <c r="A1299" s="3" t="s">
        <v>40</v>
      </c>
      <c r="B1299" s="1">
        <v>6.1</v>
      </c>
      <c r="C1299" s="1" t="s">
        <v>1270</v>
      </c>
      <c r="D1299" s="1" t="s">
        <v>917</v>
      </c>
      <c r="E1299" s="1" t="s">
        <v>17759</v>
      </c>
      <c r="F1299" s="1"/>
      <c r="G1299" s="1"/>
      <c r="H1299" s="1"/>
      <c r="I1299" s="1"/>
      <c r="J1299" s="1"/>
      <c r="K1299" s="1" t="s">
        <v>840</v>
      </c>
    </row>
    <row r="1300" ht="14.25" customHeight="1">
      <c r="A1300" s="3" t="s">
        <v>40</v>
      </c>
      <c r="B1300" s="1">
        <v>6.9</v>
      </c>
      <c r="C1300" s="1" t="s">
        <v>1270</v>
      </c>
      <c r="D1300" s="1" t="s">
        <v>917</v>
      </c>
      <c r="E1300" s="1" t="s">
        <v>17759</v>
      </c>
      <c r="F1300" s="1"/>
      <c r="G1300" s="1"/>
      <c r="H1300" s="1"/>
      <c r="I1300" s="1"/>
      <c r="J1300" s="1"/>
      <c r="K1300" s="1" t="s">
        <v>1003</v>
      </c>
    </row>
    <row r="1301" ht="14.25" customHeight="1">
      <c r="A1301" s="3" t="s">
        <v>40</v>
      </c>
      <c r="B1301" s="1">
        <v>5.2</v>
      </c>
      <c r="C1301" s="1" t="s">
        <v>1270</v>
      </c>
      <c r="D1301" s="1" t="s">
        <v>917</v>
      </c>
      <c r="E1301" s="1" t="s">
        <v>17759</v>
      </c>
      <c r="F1301" s="1"/>
      <c r="G1301" s="1"/>
      <c r="H1301" s="1"/>
      <c r="I1301" s="1"/>
      <c r="J1301" s="1"/>
      <c r="K1301" s="1" t="s">
        <v>1211</v>
      </c>
    </row>
    <row r="1302" ht="14.25" customHeight="1">
      <c r="A1302" s="3" t="s">
        <v>40</v>
      </c>
      <c r="B1302" s="1">
        <v>7.0</v>
      </c>
      <c r="C1302" s="1" t="s">
        <v>1270</v>
      </c>
      <c r="D1302" s="1" t="s">
        <v>917</v>
      </c>
      <c r="E1302" s="1" t="s">
        <v>17759</v>
      </c>
      <c r="F1302" s="1"/>
      <c r="G1302" s="1"/>
      <c r="H1302" s="1"/>
      <c r="I1302" s="1"/>
      <c r="J1302" s="1"/>
      <c r="K1302" s="1" t="s">
        <v>1244</v>
      </c>
    </row>
    <row r="1303" ht="14.25" customHeight="1">
      <c r="A1303" s="3" t="s">
        <v>40</v>
      </c>
      <c r="B1303" s="1">
        <v>6.3</v>
      </c>
      <c r="C1303" s="1" t="s">
        <v>1270</v>
      </c>
      <c r="D1303" s="1" t="s">
        <v>917</v>
      </c>
      <c r="E1303" s="1" t="s">
        <v>17759</v>
      </c>
      <c r="F1303" s="1"/>
      <c r="G1303" s="1"/>
      <c r="H1303" s="1"/>
      <c r="I1303" s="1"/>
      <c r="J1303" s="1"/>
      <c r="K1303" s="1" t="s">
        <v>1752</v>
      </c>
    </row>
    <row r="1304" ht="14.25" customHeight="1">
      <c r="A1304" s="3" t="s">
        <v>40</v>
      </c>
      <c r="B1304" s="1">
        <v>7.0</v>
      </c>
      <c r="C1304" s="1" t="s">
        <v>1270</v>
      </c>
      <c r="D1304" s="1" t="s">
        <v>917</v>
      </c>
      <c r="E1304" s="1" t="s">
        <v>17759</v>
      </c>
      <c r="F1304" s="1"/>
      <c r="G1304" s="1"/>
      <c r="H1304" s="1"/>
      <c r="I1304" s="1"/>
      <c r="J1304" s="1"/>
      <c r="K1304" s="1" t="s">
        <v>1937</v>
      </c>
    </row>
    <row r="1305" ht="14.25" customHeight="1">
      <c r="A1305" s="3" t="s">
        <v>40</v>
      </c>
      <c r="B1305" s="1">
        <v>6.9</v>
      </c>
      <c r="C1305" s="1" t="s">
        <v>1270</v>
      </c>
      <c r="D1305" s="1" t="s">
        <v>917</v>
      </c>
      <c r="E1305" s="1" t="s">
        <v>17759</v>
      </c>
      <c r="F1305" s="1"/>
      <c r="G1305" s="1"/>
      <c r="H1305" s="1"/>
      <c r="I1305" s="1"/>
      <c r="J1305" s="1"/>
      <c r="K1305" s="1" t="s">
        <v>2142</v>
      </c>
    </row>
    <row r="1306" ht="14.25" customHeight="1">
      <c r="A1306" s="3" t="s">
        <v>40</v>
      </c>
      <c r="B1306" s="1">
        <v>6.2</v>
      </c>
      <c r="C1306" s="1" t="s">
        <v>1270</v>
      </c>
      <c r="D1306" s="1" t="s">
        <v>917</v>
      </c>
      <c r="E1306" s="1" t="s">
        <v>17759</v>
      </c>
      <c r="F1306" s="1"/>
      <c r="G1306" s="1"/>
      <c r="H1306" s="1"/>
      <c r="I1306" s="1"/>
      <c r="J1306" s="1"/>
      <c r="K1306" s="1" t="s">
        <v>2727</v>
      </c>
    </row>
    <row r="1307" ht="14.25" customHeight="1">
      <c r="A1307" s="3" t="s">
        <v>40</v>
      </c>
      <c r="B1307" s="1">
        <v>6.4</v>
      </c>
      <c r="C1307" s="1" t="s">
        <v>1270</v>
      </c>
      <c r="D1307" s="1" t="s">
        <v>917</v>
      </c>
      <c r="E1307" s="1" t="s">
        <v>17759</v>
      </c>
      <c r="F1307" s="1"/>
      <c r="G1307" s="1"/>
      <c r="H1307" s="1"/>
      <c r="I1307" s="1"/>
      <c r="J1307" s="1"/>
      <c r="K1307" s="1" t="s">
        <v>3352</v>
      </c>
    </row>
    <row r="1308" ht="14.25" customHeight="1">
      <c r="A1308" s="3" t="s">
        <v>40</v>
      </c>
      <c r="B1308" s="1">
        <v>6.4</v>
      </c>
      <c r="C1308" s="1" t="s">
        <v>1270</v>
      </c>
      <c r="D1308" s="1" t="s">
        <v>917</v>
      </c>
      <c r="E1308" s="1" t="s">
        <v>17759</v>
      </c>
      <c r="F1308" s="1"/>
      <c r="G1308" s="1"/>
      <c r="H1308" s="1"/>
      <c r="I1308" s="1"/>
      <c r="J1308" s="1"/>
      <c r="K1308" s="1" t="s">
        <v>4275</v>
      </c>
    </row>
    <row r="1309" ht="14.25" customHeight="1">
      <c r="A1309" s="3" t="s">
        <v>40</v>
      </c>
      <c r="B1309" s="1">
        <v>5.7</v>
      </c>
      <c r="C1309" s="1" t="s">
        <v>1270</v>
      </c>
      <c r="D1309" s="1" t="s">
        <v>917</v>
      </c>
      <c r="E1309" s="1" t="s">
        <v>17759</v>
      </c>
      <c r="F1309" s="1"/>
      <c r="G1309" s="1"/>
      <c r="H1309" s="1"/>
      <c r="I1309" s="1"/>
      <c r="J1309" s="1"/>
      <c r="K1309" s="1" t="s">
        <v>4431</v>
      </c>
    </row>
    <row r="1310" ht="14.25" customHeight="1">
      <c r="A1310" s="3" t="s">
        <v>40</v>
      </c>
      <c r="B1310" s="1">
        <v>6.1</v>
      </c>
      <c r="C1310" s="1" t="s">
        <v>1270</v>
      </c>
      <c r="D1310" s="1" t="s">
        <v>917</v>
      </c>
      <c r="E1310" s="1" t="s">
        <v>17759</v>
      </c>
      <c r="F1310" s="1"/>
      <c r="G1310" s="1"/>
      <c r="H1310" s="1"/>
      <c r="I1310" s="1"/>
      <c r="J1310" s="1"/>
      <c r="K1310" s="1" t="s">
        <v>5208</v>
      </c>
    </row>
    <row r="1311" ht="14.25" customHeight="1">
      <c r="A1311" s="3" t="s">
        <v>40</v>
      </c>
      <c r="B1311" s="1">
        <v>5.4</v>
      </c>
      <c r="C1311" s="1" t="s">
        <v>1270</v>
      </c>
      <c r="D1311" s="1" t="s">
        <v>917</v>
      </c>
      <c r="E1311" s="1" t="s">
        <v>17759</v>
      </c>
      <c r="F1311" s="1"/>
      <c r="G1311" s="1"/>
      <c r="H1311" s="1"/>
      <c r="I1311" s="1"/>
      <c r="J1311" s="1"/>
      <c r="K1311" s="1" t="s">
        <v>7214</v>
      </c>
    </row>
    <row r="1312" ht="14.25" customHeight="1">
      <c r="A1312" s="3" t="s">
        <v>40</v>
      </c>
      <c r="B1312" s="1">
        <v>6.7</v>
      </c>
      <c r="C1312" s="1" t="s">
        <v>1270</v>
      </c>
      <c r="D1312" s="1" t="s">
        <v>917</v>
      </c>
      <c r="E1312" s="1" t="s">
        <v>17759</v>
      </c>
      <c r="F1312" s="1"/>
      <c r="G1312" s="1"/>
      <c r="H1312" s="1"/>
      <c r="I1312" s="1"/>
      <c r="J1312" s="1"/>
      <c r="K1312" s="1" t="s">
        <v>10775</v>
      </c>
    </row>
    <row r="1313" ht="14.25" customHeight="1">
      <c r="A1313" s="3" t="s">
        <v>40</v>
      </c>
      <c r="B1313" s="1">
        <v>6.8</v>
      </c>
      <c r="C1313" s="1" t="s">
        <v>1270</v>
      </c>
      <c r="D1313" s="1" t="s">
        <v>917</v>
      </c>
      <c r="E1313" s="1" t="s">
        <v>17759</v>
      </c>
      <c r="F1313" s="1"/>
      <c r="G1313" s="1"/>
      <c r="H1313" s="1"/>
      <c r="I1313" s="1"/>
      <c r="J1313" s="1"/>
      <c r="K1313" s="1" t="s">
        <v>10878</v>
      </c>
    </row>
    <row r="1314" ht="14.25" customHeight="1">
      <c r="A1314" s="3" t="s">
        <v>40</v>
      </c>
      <c r="B1314" s="1">
        <v>6.0</v>
      </c>
      <c r="C1314" s="1" t="s">
        <v>1270</v>
      </c>
      <c r="D1314" s="1" t="s">
        <v>917</v>
      </c>
      <c r="E1314" s="1" t="s">
        <v>17759</v>
      </c>
      <c r="F1314" s="1"/>
      <c r="G1314" s="1"/>
      <c r="H1314" s="1"/>
      <c r="I1314" s="1"/>
      <c r="J1314" s="1"/>
      <c r="K1314" s="1" t="s">
        <v>11339</v>
      </c>
    </row>
    <row r="1315" ht="14.25" customHeight="1">
      <c r="A1315" s="3" t="s">
        <v>40</v>
      </c>
      <c r="B1315" s="1">
        <v>7.8</v>
      </c>
      <c r="C1315" s="1" t="s">
        <v>1270</v>
      </c>
      <c r="D1315" s="1" t="s">
        <v>917</v>
      </c>
      <c r="E1315" s="1" t="s">
        <v>17759</v>
      </c>
      <c r="F1315" s="1"/>
      <c r="G1315" s="1"/>
      <c r="H1315" s="1"/>
      <c r="I1315" s="1"/>
      <c r="J1315" s="1"/>
      <c r="K1315" s="1" t="s">
        <v>1244</v>
      </c>
    </row>
    <row r="1316" ht="14.25" customHeight="1">
      <c r="A1316" s="3" t="s">
        <v>10444</v>
      </c>
      <c r="B1316" s="1">
        <v>5.3</v>
      </c>
      <c r="C1316" s="1" t="s">
        <v>917</v>
      </c>
      <c r="D1316" s="1" t="s">
        <v>17757</v>
      </c>
      <c r="E1316" s="1" t="s">
        <v>17759</v>
      </c>
      <c r="F1316" s="1"/>
      <c r="G1316" s="1"/>
      <c r="H1316" s="1"/>
      <c r="I1316" s="1"/>
      <c r="J1316" s="1"/>
      <c r="K1316" s="1" t="s">
        <v>10443</v>
      </c>
    </row>
    <row r="1317" ht="14.25" customHeight="1">
      <c r="A1317" s="3" t="s">
        <v>1207</v>
      </c>
      <c r="B1317" s="1">
        <v>4.5</v>
      </c>
      <c r="C1317" s="1" t="s">
        <v>1270</v>
      </c>
      <c r="D1317" s="1" t="s">
        <v>1885</v>
      </c>
      <c r="E1317" s="1" t="s">
        <v>17759</v>
      </c>
      <c r="F1317" s="1"/>
      <c r="G1317" s="1"/>
      <c r="H1317" s="1"/>
      <c r="I1317" s="1"/>
      <c r="J1317" s="1"/>
      <c r="K1317" s="1" t="s">
        <v>1206</v>
      </c>
    </row>
    <row r="1318" ht="14.25" customHeight="1">
      <c r="A1318" s="3" t="s">
        <v>1207</v>
      </c>
      <c r="B1318" s="1">
        <v>5.4</v>
      </c>
      <c r="C1318" s="1" t="s">
        <v>1270</v>
      </c>
      <c r="D1318" s="1" t="s">
        <v>1885</v>
      </c>
      <c r="E1318" s="1" t="s">
        <v>17759</v>
      </c>
      <c r="F1318" s="1"/>
      <c r="G1318" s="1"/>
      <c r="H1318" s="1"/>
      <c r="I1318" s="1"/>
      <c r="J1318" s="1"/>
      <c r="K1318" s="1" t="s">
        <v>4704</v>
      </c>
    </row>
    <row r="1319" ht="14.25" customHeight="1">
      <c r="A1319" s="3" t="s">
        <v>1207</v>
      </c>
      <c r="B1319" s="1">
        <v>7.8</v>
      </c>
      <c r="C1319" s="1" t="s">
        <v>1270</v>
      </c>
      <c r="D1319" s="1" t="s">
        <v>1885</v>
      </c>
      <c r="E1319" s="1" t="s">
        <v>17759</v>
      </c>
      <c r="F1319" s="1"/>
      <c r="G1319" s="1"/>
      <c r="H1319" s="1"/>
      <c r="I1319" s="1"/>
      <c r="J1319" s="1"/>
      <c r="K1319" s="1" t="s">
        <v>5828</v>
      </c>
    </row>
    <row r="1320" ht="14.25" customHeight="1">
      <c r="A1320" s="3" t="s">
        <v>5121</v>
      </c>
      <c r="B1320" s="1">
        <v>7.2</v>
      </c>
      <c r="C1320" s="1" t="s">
        <v>917</v>
      </c>
      <c r="D1320" s="1" t="s">
        <v>1885</v>
      </c>
      <c r="E1320" s="1" t="s">
        <v>17759</v>
      </c>
      <c r="F1320" s="1"/>
      <c r="G1320" s="1"/>
      <c r="H1320" s="1"/>
      <c r="I1320" s="1"/>
      <c r="J1320" s="1"/>
      <c r="K1320" s="1" t="s">
        <v>5120</v>
      </c>
    </row>
    <row r="1321" ht="14.25" customHeight="1">
      <c r="A1321" s="3" t="s">
        <v>5121</v>
      </c>
      <c r="B1321" s="1">
        <v>6.6</v>
      </c>
      <c r="C1321" s="1" t="s">
        <v>917</v>
      </c>
      <c r="D1321" s="1" t="s">
        <v>1885</v>
      </c>
      <c r="E1321" s="1" t="s">
        <v>17759</v>
      </c>
      <c r="F1321" s="1"/>
      <c r="G1321" s="1"/>
      <c r="H1321" s="1"/>
      <c r="I1321" s="1"/>
      <c r="J1321" s="1"/>
      <c r="K1321" s="1" t="s">
        <v>6990</v>
      </c>
    </row>
    <row r="1322" ht="14.25" customHeight="1">
      <c r="A1322" s="3" t="s">
        <v>5121</v>
      </c>
      <c r="B1322" s="1">
        <v>7.6</v>
      </c>
      <c r="C1322" s="1" t="s">
        <v>917</v>
      </c>
      <c r="D1322" s="1" t="s">
        <v>1885</v>
      </c>
      <c r="E1322" s="1" t="s">
        <v>17759</v>
      </c>
      <c r="F1322" s="1"/>
      <c r="G1322" s="1"/>
      <c r="H1322" s="1"/>
      <c r="I1322" s="1"/>
      <c r="J1322" s="1"/>
      <c r="K1322" s="1" t="s">
        <v>17380</v>
      </c>
    </row>
    <row r="1323" ht="14.25" customHeight="1">
      <c r="A1323" s="3" t="s">
        <v>3011</v>
      </c>
      <c r="B1323" s="1">
        <v>5.9</v>
      </c>
      <c r="C1323" s="1" t="s">
        <v>17757</v>
      </c>
      <c r="D1323" s="1" t="s">
        <v>1885</v>
      </c>
      <c r="E1323" s="1" t="s">
        <v>17759</v>
      </c>
      <c r="F1323" s="1"/>
      <c r="G1323" s="1"/>
      <c r="H1323" s="1"/>
      <c r="I1323" s="1"/>
      <c r="J1323" s="1"/>
      <c r="K1323" s="1" t="s">
        <v>3010</v>
      </c>
    </row>
    <row r="1324" ht="14.25" customHeight="1">
      <c r="A1324" s="3" t="s">
        <v>6499</v>
      </c>
      <c r="B1324" s="1">
        <v>6.7</v>
      </c>
      <c r="C1324" s="1" t="s">
        <v>1270</v>
      </c>
      <c r="D1324" s="1" t="s">
        <v>3238</v>
      </c>
      <c r="E1324" s="1" t="s">
        <v>17759</v>
      </c>
      <c r="F1324" s="1"/>
      <c r="G1324" s="1"/>
      <c r="H1324" s="1"/>
      <c r="I1324" s="1"/>
      <c r="J1324" s="1"/>
      <c r="K1324" s="1" t="s">
        <v>6498</v>
      </c>
    </row>
    <row r="1325" ht="14.25" customHeight="1">
      <c r="A1325" s="3" t="s">
        <v>6499</v>
      </c>
      <c r="B1325" s="1">
        <v>7.7</v>
      </c>
      <c r="C1325" s="1" t="s">
        <v>1270</v>
      </c>
      <c r="D1325" s="1" t="s">
        <v>3238</v>
      </c>
      <c r="E1325" s="1" t="s">
        <v>17759</v>
      </c>
      <c r="F1325" s="1"/>
      <c r="G1325" s="1"/>
      <c r="H1325" s="1"/>
      <c r="I1325" s="1"/>
      <c r="J1325" s="1"/>
      <c r="K1325" s="1" t="s">
        <v>8126</v>
      </c>
    </row>
    <row r="1326" ht="14.25" customHeight="1">
      <c r="A1326" s="3" t="s">
        <v>1301</v>
      </c>
      <c r="B1326" s="1">
        <v>5.4</v>
      </c>
      <c r="C1326" s="1" t="s">
        <v>917</v>
      </c>
      <c r="D1326" s="1" t="s">
        <v>3238</v>
      </c>
      <c r="E1326" s="1" t="s">
        <v>17759</v>
      </c>
      <c r="F1326" s="1"/>
      <c r="G1326" s="1"/>
      <c r="H1326" s="1"/>
      <c r="I1326" s="1"/>
      <c r="J1326" s="1"/>
      <c r="K1326" s="1" t="s">
        <v>1300</v>
      </c>
    </row>
    <row r="1327" ht="14.25" customHeight="1">
      <c r="A1327" s="3" t="s">
        <v>1301</v>
      </c>
      <c r="B1327" s="1">
        <v>6.9</v>
      </c>
      <c r="C1327" s="1" t="s">
        <v>917</v>
      </c>
      <c r="D1327" s="1" t="s">
        <v>3238</v>
      </c>
      <c r="E1327" s="1" t="s">
        <v>17759</v>
      </c>
      <c r="F1327" s="1"/>
      <c r="G1327" s="1"/>
      <c r="H1327" s="1"/>
      <c r="I1327" s="1"/>
      <c r="J1327" s="1"/>
      <c r="K1327" s="1" t="s">
        <v>3213</v>
      </c>
    </row>
    <row r="1328" ht="14.25" customHeight="1">
      <c r="A1328" s="3" t="s">
        <v>1301</v>
      </c>
      <c r="B1328" s="1">
        <v>7.7</v>
      </c>
      <c r="C1328" s="1" t="s">
        <v>917</v>
      </c>
      <c r="D1328" s="1" t="s">
        <v>3238</v>
      </c>
      <c r="E1328" s="1" t="s">
        <v>17759</v>
      </c>
      <c r="F1328" s="1"/>
      <c r="G1328" s="1"/>
      <c r="H1328" s="1"/>
      <c r="I1328" s="1"/>
      <c r="J1328" s="1"/>
      <c r="K1328" s="1" t="s">
        <v>11904</v>
      </c>
    </row>
    <row r="1329" ht="14.25" customHeight="1">
      <c r="A1329" s="3" t="s">
        <v>7388</v>
      </c>
      <c r="B1329" s="1">
        <v>6.8</v>
      </c>
      <c r="C1329" s="1" t="s">
        <v>1885</v>
      </c>
      <c r="D1329" s="1" t="s">
        <v>3238</v>
      </c>
      <c r="E1329" s="1" t="s">
        <v>17759</v>
      </c>
      <c r="F1329" s="1"/>
      <c r="G1329" s="1"/>
      <c r="H1329" s="1"/>
      <c r="I1329" s="1"/>
      <c r="J1329" s="1"/>
      <c r="K1329" s="1" t="s">
        <v>7387</v>
      </c>
    </row>
    <row r="1330" ht="14.25" customHeight="1">
      <c r="A1330" s="3" t="s">
        <v>7388</v>
      </c>
      <c r="B1330" s="1">
        <v>6.4</v>
      </c>
      <c r="C1330" s="1" t="s">
        <v>1885</v>
      </c>
      <c r="D1330" s="1" t="s">
        <v>3238</v>
      </c>
      <c r="E1330" s="1" t="s">
        <v>17759</v>
      </c>
      <c r="F1330" s="1"/>
      <c r="G1330" s="1"/>
      <c r="H1330" s="1"/>
      <c r="I1330" s="1"/>
      <c r="J1330" s="1"/>
      <c r="K1330" s="1" t="s">
        <v>9296</v>
      </c>
    </row>
    <row r="1331" ht="14.25" customHeight="1">
      <c r="A1331" s="3" t="s">
        <v>7388</v>
      </c>
      <c r="B1331" s="1">
        <v>5.7</v>
      </c>
      <c r="C1331" s="1" t="s">
        <v>1885</v>
      </c>
      <c r="D1331" s="1" t="s">
        <v>3238</v>
      </c>
      <c r="E1331" s="1" t="s">
        <v>17759</v>
      </c>
      <c r="F1331" s="1"/>
      <c r="G1331" s="1"/>
      <c r="H1331" s="1"/>
      <c r="I1331" s="1"/>
      <c r="J1331" s="1"/>
      <c r="K1331" s="1" t="s">
        <v>12321</v>
      </c>
    </row>
    <row r="1332" ht="14.25" customHeight="1">
      <c r="A1332" s="3" t="s">
        <v>3644</v>
      </c>
      <c r="B1332" s="1">
        <v>7.3</v>
      </c>
      <c r="C1332" s="1" t="s">
        <v>17763</v>
      </c>
      <c r="D1332" s="1" t="s">
        <v>3238</v>
      </c>
      <c r="E1332" s="1" t="s">
        <v>17759</v>
      </c>
      <c r="F1332" s="1"/>
      <c r="G1332" s="1"/>
      <c r="H1332" s="1"/>
      <c r="I1332" s="1"/>
      <c r="J1332" s="1"/>
      <c r="K1332" s="1" t="s">
        <v>3643</v>
      </c>
    </row>
    <row r="1333" ht="14.25" customHeight="1">
      <c r="A1333" s="3" t="s">
        <v>192</v>
      </c>
      <c r="B1333" s="1">
        <v>6.8</v>
      </c>
      <c r="C1333" s="1" t="s">
        <v>917</v>
      </c>
      <c r="D1333" s="1" t="s">
        <v>17758</v>
      </c>
      <c r="E1333" s="1" t="s">
        <v>17759</v>
      </c>
      <c r="F1333" s="1"/>
      <c r="G1333" s="1"/>
      <c r="H1333" s="1"/>
      <c r="I1333" s="1"/>
      <c r="J1333" s="1"/>
      <c r="K1333" s="1" t="s">
        <v>191</v>
      </c>
    </row>
    <row r="1334" ht="14.25" customHeight="1">
      <c r="A1334" s="3" t="s">
        <v>192</v>
      </c>
      <c r="B1334" s="1">
        <v>6.3</v>
      </c>
      <c r="C1334" s="1" t="s">
        <v>917</v>
      </c>
      <c r="D1334" s="1" t="s">
        <v>17758</v>
      </c>
      <c r="E1334" s="1" t="s">
        <v>17759</v>
      </c>
      <c r="F1334" s="1"/>
      <c r="G1334" s="1"/>
      <c r="H1334" s="1"/>
      <c r="I1334" s="1"/>
      <c r="J1334" s="1"/>
      <c r="K1334" s="1" t="s">
        <v>248</v>
      </c>
    </row>
    <row r="1335" ht="14.25" customHeight="1">
      <c r="A1335" s="3" t="s">
        <v>192</v>
      </c>
      <c r="B1335" s="1">
        <v>5.9</v>
      </c>
      <c r="C1335" s="1" t="s">
        <v>917</v>
      </c>
      <c r="D1335" s="1" t="s">
        <v>17758</v>
      </c>
      <c r="E1335" s="1" t="s">
        <v>17759</v>
      </c>
      <c r="F1335" s="1"/>
      <c r="G1335" s="1"/>
      <c r="H1335" s="1"/>
      <c r="I1335" s="1"/>
      <c r="J1335" s="1"/>
      <c r="K1335" s="1" t="s">
        <v>282</v>
      </c>
    </row>
    <row r="1336" ht="14.25" customHeight="1">
      <c r="A1336" s="3" t="s">
        <v>192</v>
      </c>
      <c r="B1336" s="1">
        <v>7.4</v>
      </c>
      <c r="C1336" s="1" t="s">
        <v>917</v>
      </c>
      <c r="D1336" s="1" t="s">
        <v>17758</v>
      </c>
      <c r="E1336" s="1" t="s">
        <v>17759</v>
      </c>
      <c r="F1336" s="1"/>
      <c r="G1336" s="1"/>
      <c r="H1336" s="1"/>
      <c r="I1336" s="1"/>
      <c r="J1336" s="1"/>
      <c r="K1336" s="1" t="s">
        <v>438</v>
      </c>
    </row>
    <row r="1337" ht="14.25" customHeight="1">
      <c r="A1337" s="3" t="s">
        <v>192</v>
      </c>
      <c r="B1337" s="1">
        <v>8.3</v>
      </c>
      <c r="C1337" s="1" t="s">
        <v>917</v>
      </c>
      <c r="D1337" s="1" t="s">
        <v>17758</v>
      </c>
      <c r="E1337" s="1" t="s">
        <v>17759</v>
      </c>
      <c r="F1337" s="1"/>
      <c r="G1337" s="1"/>
      <c r="H1337" s="1"/>
      <c r="I1337" s="1"/>
      <c r="J1337" s="1"/>
      <c r="K1337" s="1" t="s">
        <v>681</v>
      </c>
    </row>
    <row r="1338" ht="14.25" customHeight="1">
      <c r="A1338" s="3" t="s">
        <v>192</v>
      </c>
      <c r="B1338" s="1">
        <v>6.2</v>
      </c>
      <c r="C1338" s="1" t="s">
        <v>917</v>
      </c>
      <c r="D1338" s="1" t="s">
        <v>17758</v>
      </c>
      <c r="E1338" s="1" t="s">
        <v>17759</v>
      </c>
      <c r="F1338" s="1"/>
      <c r="G1338" s="1"/>
      <c r="H1338" s="1"/>
      <c r="I1338" s="1"/>
      <c r="J1338" s="1"/>
      <c r="K1338" s="1" t="s">
        <v>705</v>
      </c>
    </row>
    <row r="1339" ht="14.25" customHeight="1">
      <c r="A1339" s="3" t="s">
        <v>192</v>
      </c>
      <c r="B1339" s="1">
        <v>6.3</v>
      </c>
      <c r="C1339" s="1" t="s">
        <v>917</v>
      </c>
      <c r="D1339" s="1" t="s">
        <v>17758</v>
      </c>
      <c r="E1339" s="1" t="s">
        <v>17759</v>
      </c>
      <c r="F1339" s="1"/>
      <c r="G1339" s="1"/>
      <c r="H1339" s="1"/>
      <c r="I1339" s="1"/>
      <c r="J1339" s="1"/>
      <c r="K1339" s="1" t="s">
        <v>904</v>
      </c>
    </row>
    <row r="1340" ht="14.25" customHeight="1">
      <c r="A1340" s="3" t="s">
        <v>192</v>
      </c>
      <c r="B1340" s="1">
        <v>5.8</v>
      </c>
      <c r="C1340" s="1" t="s">
        <v>917</v>
      </c>
      <c r="D1340" s="1" t="s">
        <v>17758</v>
      </c>
      <c r="E1340" s="1" t="s">
        <v>17759</v>
      </c>
      <c r="F1340" s="1"/>
      <c r="G1340" s="1"/>
      <c r="H1340" s="1"/>
      <c r="I1340" s="1"/>
      <c r="J1340" s="1"/>
      <c r="K1340" s="1" t="s">
        <v>1082</v>
      </c>
    </row>
    <row r="1341" ht="14.25" customHeight="1">
      <c r="A1341" s="3" t="s">
        <v>192</v>
      </c>
      <c r="B1341" s="1">
        <v>7.5</v>
      </c>
      <c r="C1341" s="1" t="s">
        <v>917</v>
      </c>
      <c r="D1341" s="1" t="s">
        <v>17758</v>
      </c>
      <c r="E1341" s="1" t="s">
        <v>17759</v>
      </c>
      <c r="F1341" s="1"/>
      <c r="G1341" s="1"/>
      <c r="H1341" s="1"/>
      <c r="I1341" s="1"/>
      <c r="J1341" s="1"/>
      <c r="K1341" s="1" t="s">
        <v>1201</v>
      </c>
    </row>
    <row r="1342" ht="14.25" customHeight="1">
      <c r="A1342" s="3" t="s">
        <v>192</v>
      </c>
      <c r="B1342" s="1">
        <v>6.3</v>
      </c>
      <c r="C1342" s="1" t="s">
        <v>917</v>
      </c>
      <c r="D1342" s="1" t="s">
        <v>17758</v>
      </c>
      <c r="E1342" s="1" t="s">
        <v>17759</v>
      </c>
      <c r="F1342" s="1"/>
      <c r="G1342" s="1"/>
      <c r="H1342" s="1"/>
      <c r="I1342" s="1"/>
      <c r="J1342" s="1"/>
      <c r="K1342" s="1" t="s">
        <v>904</v>
      </c>
    </row>
    <row r="1343" ht="14.25" customHeight="1">
      <c r="A1343" s="3" t="s">
        <v>192</v>
      </c>
      <c r="B1343" s="1">
        <v>6.4</v>
      </c>
      <c r="C1343" s="1" t="s">
        <v>917</v>
      </c>
      <c r="D1343" s="1" t="s">
        <v>17758</v>
      </c>
      <c r="E1343" s="1" t="s">
        <v>17759</v>
      </c>
      <c r="F1343" s="1"/>
      <c r="G1343" s="1"/>
      <c r="H1343" s="1"/>
      <c r="I1343" s="1"/>
      <c r="J1343" s="1"/>
      <c r="K1343" s="1" t="s">
        <v>1962</v>
      </c>
    </row>
    <row r="1344" ht="14.25" customHeight="1">
      <c r="A1344" s="3" t="s">
        <v>192</v>
      </c>
      <c r="B1344" s="1">
        <v>7.2</v>
      </c>
      <c r="C1344" s="1" t="s">
        <v>917</v>
      </c>
      <c r="D1344" s="1" t="s">
        <v>17758</v>
      </c>
      <c r="E1344" s="1" t="s">
        <v>17759</v>
      </c>
      <c r="F1344" s="1"/>
      <c r="G1344" s="1"/>
      <c r="H1344" s="1"/>
      <c r="I1344" s="1"/>
      <c r="J1344" s="1"/>
      <c r="K1344" s="1" t="s">
        <v>1991</v>
      </c>
    </row>
    <row r="1345" ht="14.25" customHeight="1">
      <c r="A1345" s="3" t="s">
        <v>192</v>
      </c>
      <c r="B1345" s="1">
        <v>6.3</v>
      </c>
      <c r="C1345" s="1" t="s">
        <v>917</v>
      </c>
      <c r="D1345" s="1" t="s">
        <v>17758</v>
      </c>
      <c r="E1345" s="1" t="s">
        <v>17759</v>
      </c>
      <c r="F1345" s="1"/>
      <c r="G1345" s="1"/>
      <c r="H1345" s="1"/>
      <c r="I1345" s="1"/>
      <c r="J1345" s="1"/>
      <c r="K1345" s="1" t="s">
        <v>2138</v>
      </c>
    </row>
    <row r="1346" ht="14.25" customHeight="1">
      <c r="A1346" s="3" t="s">
        <v>192</v>
      </c>
      <c r="B1346" s="1">
        <v>6.9</v>
      </c>
      <c r="C1346" s="1" t="s">
        <v>917</v>
      </c>
      <c r="D1346" s="1" t="s">
        <v>17758</v>
      </c>
      <c r="E1346" s="1" t="s">
        <v>17759</v>
      </c>
      <c r="F1346" s="1"/>
      <c r="G1346" s="1"/>
      <c r="H1346" s="1"/>
      <c r="I1346" s="1"/>
      <c r="J1346" s="1"/>
      <c r="K1346" s="1" t="s">
        <v>4167</v>
      </c>
    </row>
    <row r="1347" ht="14.25" customHeight="1">
      <c r="A1347" s="3" t="s">
        <v>192</v>
      </c>
      <c r="B1347" s="1">
        <v>6.6</v>
      </c>
      <c r="C1347" s="1" t="s">
        <v>917</v>
      </c>
      <c r="D1347" s="1" t="s">
        <v>17758</v>
      </c>
      <c r="E1347" s="1" t="s">
        <v>17759</v>
      </c>
      <c r="F1347" s="1"/>
      <c r="G1347" s="1"/>
      <c r="H1347" s="1"/>
      <c r="I1347" s="1"/>
      <c r="J1347" s="1"/>
      <c r="K1347" s="1" t="s">
        <v>9427</v>
      </c>
    </row>
    <row r="1348" ht="14.25" customHeight="1">
      <c r="A1348" s="3" t="s">
        <v>192</v>
      </c>
      <c r="B1348" s="1">
        <v>6.0</v>
      </c>
      <c r="C1348" s="1" t="s">
        <v>917</v>
      </c>
      <c r="D1348" s="1" t="s">
        <v>17758</v>
      </c>
      <c r="E1348" s="1" t="s">
        <v>17759</v>
      </c>
      <c r="F1348" s="1"/>
      <c r="G1348" s="1"/>
      <c r="H1348" s="1"/>
      <c r="I1348" s="1"/>
      <c r="J1348" s="1"/>
      <c r="K1348" s="1" t="s">
        <v>904</v>
      </c>
    </row>
    <row r="1349" ht="14.25" customHeight="1">
      <c r="A1349" s="3" t="s">
        <v>192</v>
      </c>
      <c r="B1349" s="1">
        <v>7.5</v>
      </c>
      <c r="C1349" s="1" t="s">
        <v>917</v>
      </c>
      <c r="D1349" s="1" t="s">
        <v>17758</v>
      </c>
      <c r="E1349" s="1" t="s">
        <v>17759</v>
      </c>
      <c r="F1349" s="1"/>
      <c r="G1349" s="1"/>
      <c r="H1349" s="1"/>
      <c r="I1349" s="1"/>
      <c r="J1349" s="1"/>
      <c r="K1349" s="1" t="s">
        <v>248</v>
      </c>
    </row>
    <row r="1350" ht="14.25" customHeight="1">
      <c r="A1350" s="3" t="s">
        <v>192</v>
      </c>
      <c r="B1350" s="1">
        <v>7.7</v>
      </c>
      <c r="C1350" s="1" t="s">
        <v>917</v>
      </c>
      <c r="D1350" s="1" t="s">
        <v>17758</v>
      </c>
      <c r="E1350" s="1" t="s">
        <v>17759</v>
      </c>
      <c r="F1350" s="1"/>
      <c r="G1350" s="1"/>
      <c r="H1350" s="1"/>
      <c r="I1350" s="1"/>
      <c r="J1350" s="1"/>
      <c r="K1350" s="1" t="s">
        <v>282</v>
      </c>
    </row>
    <row r="1351" ht="14.25" customHeight="1">
      <c r="A1351" s="3" t="s">
        <v>3880</v>
      </c>
      <c r="B1351" s="1">
        <v>6.2</v>
      </c>
      <c r="C1351" s="1" t="s">
        <v>17757</v>
      </c>
      <c r="D1351" s="1" t="s">
        <v>17758</v>
      </c>
      <c r="E1351" s="1" t="s">
        <v>17759</v>
      </c>
      <c r="F1351" s="1"/>
      <c r="G1351" s="1"/>
      <c r="H1351" s="1"/>
      <c r="I1351" s="1"/>
      <c r="J1351" s="1"/>
      <c r="K1351" s="1" t="s">
        <v>3879</v>
      </c>
    </row>
    <row r="1352" ht="14.25" customHeight="1">
      <c r="A1352" s="3" t="s">
        <v>501</v>
      </c>
      <c r="B1352" s="1">
        <v>5.4</v>
      </c>
      <c r="C1352" s="1" t="s">
        <v>1885</v>
      </c>
      <c r="D1352" s="1" t="s">
        <v>17758</v>
      </c>
      <c r="E1352" s="1" t="s">
        <v>17759</v>
      </c>
      <c r="F1352" s="1"/>
      <c r="G1352" s="1"/>
      <c r="H1352" s="1"/>
      <c r="I1352" s="1"/>
      <c r="J1352" s="1"/>
      <c r="K1352" s="1" t="s">
        <v>500</v>
      </c>
    </row>
    <row r="1353" ht="14.25" customHeight="1">
      <c r="A1353" s="3" t="s">
        <v>501</v>
      </c>
      <c r="B1353" s="1">
        <v>6.6</v>
      </c>
      <c r="C1353" s="1" t="s">
        <v>1885</v>
      </c>
      <c r="D1353" s="1" t="s">
        <v>17758</v>
      </c>
      <c r="E1353" s="1" t="s">
        <v>17759</v>
      </c>
      <c r="F1353" s="1"/>
      <c r="G1353" s="1"/>
      <c r="H1353" s="1"/>
      <c r="I1353" s="1"/>
      <c r="J1353" s="1"/>
      <c r="K1353" s="1" t="s">
        <v>1275</v>
      </c>
    </row>
    <row r="1354" ht="14.25" customHeight="1">
      <c r="A1354" s="3" t="s">
        <v>501</v>
      </c>
      <c r="B1354" s="1">
        <v>5.3</v>
      </c>
      <c r="C1354" s="1" t="s">
        <v>1885</v>
      </c>
      <c r="D1354" s="1" t="s">
        <v>17758</v>
      </c>
      <c r="E1354" s="1" t="s">
        <v>17759</v>
      </c>
      <c r="F1354" s="1"/>
      <c r="G1354" s="1"/>
      <c r="H1354" s="1"/>
      <c r="I1354" s="1"/>
      <c r="J1354" s="1"/>
      <c r="K1354" s="1" t="s">
        <v>1807</v>
      </c>
    </row>
    <row r="1355" ht="14.25" customHeight="1">
      <c r="A1355" s="3" t="s">
        <v>501</v>
      </c>
      <c r="B1355" s="1">
        <v>5.6</v>
      </c>
      <c r="C1355" s="1" t="s">
        <v>1885</v>
      </c>
      <c r="D1355" s="1" t="s">
        <v>17758</v>
      </c>
      <c r="E1355" s="1" t="s">
        <v>17759</v>
      </c>
      <c r="F1355" s="1"/>
      <c r="G1355" s="1"/>
      <c r="H1355" s="1"/>
      <c r="I1355" s="1"/>
      <c r="J1355" s="1"/>
      <c r="K1355" s="1" t="s">
        <v>3068</v>
      </c>
    </row>
    <row r="1356" ht="14.25" customHeight="1">
      <c r="A1356" s="3" t="s">
        <v>501</v>
      </c>
      <c r="B1356" s="1">
        <v>5.9</v>
      </c>
      <c r="C1356" s="1" t="s">
        <v>1885</v>
      </c>
      <c r="D1356" s="1" t="s">
        <v>17758</v>
      </c>
      <c r="E1356" s="1" t="s">
        <v>17759</v>
      </c>
      <c r="F1356" s="1"/>
      <c r="G1356" s="1"/>
      <c r="H1356" s="1"/>
      <c r="I1356" s="1"/>
      <c r="J1356" s="1"/>
      <c r="K1356" s="1" t="s">
        <v>3117</v>
      </c>
    </row>
    <row r="1357" ht="14.25" customHeight="1">
      <c r="A1357" s="3" t="s">
        <v>501</v>
      </c>
      <c r="B1357" s="1">
        <v>7.8</v>
      </c>
      <c r="C1357" s="1" t="s">
        <v>1885</v>
      </c>
      <c r="D1357" s="1" t="s">
        <v>17758</v>
      </c>
      <c r="E1357" s="1" t="s">
        <v>17759</v>
      </c>
      <c r="F1357" s="1"/>
      <c r="G1357" s="1"/>
      <c r="H1357" s="1"/>
      <c r="I1357" s="1"/>
      <c r="J1357" s="1"/>
      <c r="K1357" s="1" t="s">
        <v>3467</v>
      </c>
    </row>
    <row r="1358" ht="14.25" customHeight="1">
      <c r="A1358" s="3" t="s">
        <v>501</v>
      </c>
      <c r="B1358" s="1">
        <v>6.7</v>
      </c>
      <c r="C1358" s="1" t="s">
        <v>1885</v>
      </c>
      <c r="D1358" s="1" t="s">
        <v>17758</v>
      </c>
      <c r="E1358" s="1" t="s">
        <v>17759</v>
      </c>
      <c r="F1358" s="1"/>
      <c r="G1358" s="1"/>
      <c r="H1358" s="1"/>
      <c r="I1358" s="1"/>
      <c r="J1358" s="1"/>
      <c r="K1358" s="1" t="s">
        <v>3518</v>
      </c>
    </row>
    <row r="1359" ht="14.25" customHeight="1">
      <c r="A1359" s="3" t="s">
        <v>501</v>
      </c>
      <c r="B1359" s="1">
        <v>7.4</v>
      </c>
      <c r="C1359" s="1" t="s">
        <v>1885</v>
      </c>
      <c r="D1359" s="1" t="s">
        <v>17758</v>
      </c>
      <c r="E1359" s="1" t="s">
        <v>17759</v>
      </c>
      <c r="F1359" s="1"/>
      <c r="G1359" s="1"/>
      <c r="H1359" s="1"/>
      <c r="I1359" s="1"/>
      <c r="J1359" s="1"/>
      <c r="K1359" s="1" t="s">
        <v>3893</v>
      </c>
    </row>
    <row r="1360" ht="14.25" customHeight="1">
      <c r="A1360" s="3" t="s">
        <v>501</v>
      </c>
      <c r="B1360" s="1">
        <v>6.2</v>
      </c>
      <c r="C1360" s="1" t="s">
        <v>1885</v>
      </c>
      <c r="D1360" s="1" t="s">
        <v>17758</v>
      </c>
      <c r="E1360" s="1" t="s">
        <v>17759</v>
      </c>
      <c r="F1360" s="1"/>
      <c r="G1360" s="1"/>
      <c r="H1360" s="1"/>
      <c r="I1360" s="1"/>
      <c r="J1360" s="1"/>
      <c r="K1360" s="1" t="s">
        <v>4359</v>
      </c>
    </row>
    <row r="1361" ht="14.25" customHeight="1">
      <c r="A1361" s="3" t="s">
        <v>501</v>
      </c>
      <c r="B1361" s="1">
        <v>5.4</v>
      </c>
      <c r="C1361" s="1" t="s">
        <v>1885</v>
      </c>
      <c r="D1361" s="1" t="s">
        <v>17758</v>
      </c>
      <c r="E1361" s="1" t="s">
        <v>17759</v>
      </c>
      <c r="F1361" s="1"/>
      <c r="G1361" s="1"/>
      <c r="H1361" s="1"/>
      <c r="I1361" s="1"/>
      <c r="J1361" s="1"/>
      <c r="K1361" s="1" t="s">
        <v>4426</v>
      </c>
    </row>
    <row r="1362" ht="14.25" customHeight="1">
      <c r="A1362" s="3" t="s">
        <v>501</v>
      </c>
      <c r="B1362" s="1">
        <v>6.7</v>
      </c>
      <c r="C1362" s="1" t="s">
        <v>1885</v>
      </c>
      <c r="D1362" s="1" t="s">
        <v>17758</v>
      </c>
      <c r="E1362" s="1" t="s">
        <v>17759</v>
      </c>
      <c r="F1362" s="1"/>
      <c r="G1362" s="1"/>
      <c r="H1362" s="1"/>
      <c r="I1362" s="1"/>
      <c r="J1362" s="1"/>
      <c r="K1362" s="1" t="s">
        <v>5335</v>
      </c>
    </row>
    <row r="1363" ht="14.25" customHeight="1">
      <c r="A1363" s="3" t="s">
        <v>501</v>
      </c>
      <c r="B1363" s="1">
        <v>5.3</v>
      </c>
      <c r="C1363" s="1" t="s">
        <v>1885</v>
      </c>
      <c r="D1363" s="1" t="s">
        <v>17758</v>
      </c>
      <c r="E1363" s="1" t="s">
        <v>17759</v>
      </c>
      <c r="F1363" s="1"/>
      <c r="G1363" s="1"/>
      <c r="H1363" s="1"/>
      <c r="I1363" s="1"/>
      <c r="J1363" s="1"/>
      <c r="K1363" s="1" t="s">
        <v>7061</v>
      </c>
    </row>
    <row r="1364" ht="14.25" customHeight="1">
      <c r="A1364" s="3" t="s">
        <v>501</v>
      </c>
      <c r="B1364" s="1">
        <v>5.9</v>
      </c>
      <c r="C1364" s="1" t="s">
        <v>1885</v>
      </c>
      <c r="D1364" s="1" t="s">
        <v>17758</v>
      </c>
      <c r="E1364" s="1" t="s">
        <v>17759</v>
      </c>
      <c r="F1364" s="1"/>
      <c r="G1364" s="1"/>
      <c r="H1364" s="1"/>
      <c r="I1364" s="1"/>
      <c r="J1364" s="1"/>
      <c r="K1364" s="1" t="s">
        <v>7485</v>
      </c>
    </row>
    <row r="1365" ht="14.25" customHeight="1">
      <c r="A1365" s="3" t="s">
        <v>501</v>
      </c>
      <c r="B1365" s="1">
        <v>4.8</v>
      </c>
      <c r="C1365" s="1" t="s">
        <v>1885</v>
      </c>
      <c r="D1365" s="1" t="s">
        <v>17758</v>
      </c>
      <c r="E1365" s="1" t="s">
        <v>17759</v>
      </c>
      <c r="F1365" s="1"/>
      <c r="G1365" s="1"/>
      <c r="H1365" s="1"/>
      <c r="I1365" s="1"/>
      <c r="J1365" s="1"/>
      <c r="K1365" s="1" t="s">
        <v>8291</v>
      </c>
    </row>
    <row r="1366" ht="14.25" customHeight="1">
      <c r="A1366" s="3" t="s">
        <v>501</v>
      </c>
      <c r="B1366" s="1">
        <v>3.8</v>
      </c>
      <c r="C1366" s="1" t="s">
        <v>1885</v>
      </c>
      <c r="D1366" s="1" t="s">
        <v>17758</v>
      </c>
      <c r="E1366" s="1" t="s">
        <v>17759</v>
      </c>
      <c r="F1366" s="1"/>
      <c r="G1366" s="1"/>
      <c r="H1366" s="1"/>
      <c r="I1366" s="1"/>
      <c r="J1366" s="1"/>
      <c r="K1366" s="1" t="s">
        <v>8364</v>
      </c>
    </row>
    <row r="1367" ht="14.25" customHeight="1">
      <c r="A1367" s="3" t="s">
        <v>501</v>
      </c>
      <c r="B1367" s="1">
        <v>8.5</v>
      </c>
      <c r="C1367" s="1" t="s">
        <v>1885</v>
      </c>
      <c r="D1367" s="1" t="s">
        <v>17758</v>
      </c>
      <c r="E1367" s="1" t="s">
        <v>17759</v>
      </c>
      <c r="F1367" s="1"/>
      <c r="G1367" s="1"/>
      <c r="H1367" s="1"/>
      <c r="I1367" s="1"/>
      <c r="J1367" s="1"/>
      <c r="K1367" s="1" t="s">
        <v>8834</v>
      </c>
    </row>
    <row r="1368" ht="14.25" customHeight="1">
      <c r="A1368" s="3" t="s">
        <v>501</v>
      </c>
      <c r="B1368" s="1">
        <v>6.8</v>
      </c>
      <c r="C1368" s="1" t="s">
        <v>1885</v>
      </c>
      <c r="D1368" s="1" t="s">
        <v>17758</v>
      </c>
      <c r="E1368" s="1" t="s">
        <v>17759</v>
      </c>
      <c r="F1368" s="1"/>
      <c r="G1368" s="1"/>
      <c r="H1368" s="1"/>
      <c r="I1368" s="1"/>
      <c r="J1368" s="1"/>
      <c r="K1368" s="1" t="s">
        <v>10103</v>
      </c>
    </row>
    <row r="1369" ht="14.25" customHeight="1">
      <c r="A1369" s="3" t="s">
        <v>5488</v>
      </c>
      <c r="B1369" s="1">
        <v>6.8</v>
      </c>
      <c r="C1369" s="1" t="s">
        <v>3238</v>
      </c>
      <c r="D1369" s="1" t="s">
        <v>17758</v>
      </c>
      <c r="E1369" s="1" t="s">
        <v>17759</v>
      </c>
      <c r="F1369" s="1"/>
      <c r="G1369" s="1"/>
      <c r="H1369" s="1"/>
      <c r="I1369" s="1"/>
      <c r="J1369" s="1"/>
      <c r="K1369" s="1" t="s">
        <v>5487</v>
      </c>
    </row>
    <row r="1370" ht="14.25" customHeight="1">
      <c r="A1370" s="3" t="s">
        <v>5488</v>
      </c>
      <c r="B1370" s="1">
        <v>5.3</v>
      </c>
      <c r="C1370" s="1" t="s">
        <v>3238</v>
      </c>
      <c r="D1370" s="1" t="s">
        <v>17758</v>
      </c>
      <c r="E1370" s="1" t="s">
        <v>17759</v>
      </c>
      <c r="F1370" s="1"/>
      <c r="G1370" s="1"/>
      <c r="H1370" s="1"/>
      <c r="I1370" s="1"/>
      <c r="J1370" s="1"/>
      <c r="K1370" s="1" t="s">
        <v>7004</v>
      </c>
    </row>
    <row r="1371" ht="14.25" customHeight="1">
      <c r="A1371" s="3" t="s">
        <v>1257</v>
      </c>
      <c r="B1371" s="1">
        <v>7.3</v>
      </c>
      <c r="C1371" s="1" t="s">
        <v>1270</v>
      </c>
      <c r="D1371" s="1" t="s">
        <v>917</v>
      </c>
      <c r="E1371" s="1" t="s">
        <v>17772</v>
      </c>
      <c r="F1371" s="1"/>
      <c r="G1371" s="1"/>
      <c r="H1371" s="1"/>
      <c r="I1371" s="1"/>
      <c r="J1371" s="1"/>
      <c r="K1371" s="1" t="s">
        <v>1256</v>
      </c>
    </row>
    <row r="1372" ht="14.25" customHeight="1">
      <c r="A1372" s="3" t="s">
        <v>1257</v>
      </c>
      <c r="B1372" s="1">
        <v>6.6</v>
      </c>
      <c r="C1372" s="1" t="s">
        <v>1270</v>
      </c>
      <c r="D1372" s="1" t="s">
        <v>917</v>
      </c>
      <c r="E1372" s="1" t="s">
        <v>17772</v>
      </c>
      <c r="F1372" s="1"/>
      <c r="G1372" s="1"/>
      <c r="H1372" s="1"/>
      <c r="I1372" s="1"/>
      <c r="J1372" s="1"/>
      <c r="K1372" s="1" t="s">
        <v>5791</v>
      </c>
    </row>
    <row r="1373" ht="14.25" customHeight="1">
      <c r="A1373" s="3" t="s">
        <v>1257</v>
      </c>
      <c r="B1373" s="1">
        <v>6.2</v>
      </c>
      <c r="C1373" s="1" t="s">
        <v>1270</v>
      </c>
      <c r="D1373" s="1" t="s">
        <v>917</v>
      </c>
      <c r="E1373" s="1" t="s">
        <v>17772</v>
      </c>
      <c r="F1373" s="1"/>
      <c r="G1373" s="1"/>
      <c r="H1373" s="1"/>
      <c r="I1373" s="1"/>
      <c r="J1373" s="1"/>
      <c r="K1373" s="1" t="s">
        <v>5791</v>
      </c>
    </row>
    <row r="1374" ht="14.25" customHeight="1">
      <c r="A1374" s="3" t="s">
        <v>1257</v>
      </c>
      <c r="B1374" s="1">
        <v>5.2</v>
      </c>
      <c r="C1374" s="1" t="s">
        <v>1270</v>
      </c>
      <c r="D1374" s="1" t="s">
        <v>917</v>
      </c>
      <c r="E1374" s="1" t="s">
        <v>17772</v>
      </c>
      <c r="F1374" s="1"/>
      <c r="G1374" s="1"/>
      <c r="H1374" s="1"/>
      <c r="I1374" s="1"/>
      <c r="J1374" s="1"/>
      <c r="K1374" s="1" t="s">
        <v>12149</v>
      </c>
    </row>
    <row r="1375" ht="14.25" customHeight="1">
      <c r="A1375" s="3" t="s">
        <v>16411</v>
      </c>
      <c r="B1375" s="1">
        <v>6.2</v>
      </c>
      <c r="C1375" s="1" t="s">
        <v>17765</v>
      </c>
      <c r="D1375" s="1" t="s">
        <v>15542</v>
      </c>
      <c r="E1375" s="1" t="s">
        <v>17772</v>
      </c>
      <c r="F1375" s="1"/>
      <c r="G1375" s="1"/>
      <c r="H1375" s="1"/>
      <c r="I1375" s="1"/>
      <c r="J1375" s="1"/>
      <c r="K1375" s="1" t="s">
        <v>16410</v>
      </c>
    </row>
    <row r="1376" ht="14.25" customHeight="1">
      <c r="A1376" s="3" t="s">
        <v>3461</v>
      </c>
      <c r="B1376" s="1">
        <v>6.2</v>
      </c>
      <c r="C1376" s="1" t="s">
        <v>917</v>
      </c>
      <c r="D1376" s="1" t="s">
        <v>3238</v>
      </c>
      <c r="E1376" s="1" t="s">
        <v>17772</v>
      </c>
      <c r="F1376" s="1"/>
      <c r="G1376" s="1"/>
      <c r="H1376" s="1"/>
      <c r="I1376" s="1"/>
      <c r="J1376" s="1"/>
      <c r="K1376" s="1" t="s">
        <v>3460</v>
      </c>
    </row>
    <row r="1377" ht="14.25" customHeight="1">
      <c r="A1377" s="3" t="s">
        <v>3461</v>
      </c>
      <c r="B1377" s="1">
        <v>6.6</v>
      </c>
      <c r="C1377" s="1" t="s">
        <v>917</v>
      </c>
      <c r="D1377" s="1" t="s">
        <v>3238</v>
      </c>
      <c r="E1377" s="1" t="s">
        <v>17772</v>
      </c>
      <c r="F1377" s="1"/>
      <c r="G1377" s="1"/>
      <c r="H1377" s="1"/>
      <c r="I1377" s="1"/>
      <c r="J1377" s="1"/>
      <c r="K1377" s="1" t="s">
        <v>8422</v>
      </c>
    </row>
    <row r="1378" ht="14.25" customHeight="1">
      <c r="A1378" s="3" t="s">
        <v>3461</v>
      </c>
      <c r="B1378" s="1">
        <v>6.2</v>
      </c>
      <c r="C1378" s="1" t="s">
        <v>917</v>
      </c>
      <c r="D1378" s="1" t="s">
        <v>3238</v>
      </c>
      <c r="E1378" s="1" t="s">
        <v>17772</v>
      </c>
      <c r="F1378" s="1"/>
      <c r="G1378" s="1"/>
      <c r="H1378" s="1"/>
      <c r="I1378" s="1"/>
      <c r="J1378" s="1"/>
      <c r="K1378" s="1" t="s">
        <v>8475</v>
      </c>
    </row>
    <row r="1379" ht="14.25" customHeight="1">
      <c r="A1379" s="3" t="s">
        <v>5578</v>
      </c>
      <c r="B1379" s="1">
        <v>5.1</v>
      </c>
      <c r="C1379" s="1" t="s">
        <v>17765</v>
      </c>
      <c r="D1379" s="1" t="s">
        <v>3238</v>
      </c>
      <c r="E1379" s="1" t="s">
        <v>17772</v>
      </c>
      <c r="F1379" s="1"/>
      <c r="G1379" s="1"/>
      <c r="H1379" s="1"/>
      <c r="I1379" s="1"/>
      <c r="J1379" s="1"/>
      <c r="K1379" s="1" t="s">
        <v>5577</v>
      </c>
    </row>
    <row r="1380" ht="14.25" customHeight="1">
      <c r="A1380" s="3" t="s">
        <v>5578</v>
      </c>
      <c r="B1380" s="1">
        <v>6.6</v>
      </c>
      <c r="C1380" s="1" t="s">
        <v>17765</v>
      </c>
      <c r="D1380" s="1" t="s">
        <v>3238</v>
      </c>
      <c r="E1380" s="1" t="s">
        <v>17772</v>
      </c>
      <c r="F1380" s="1"/>
      <c r="G1380" s="1"/>
      <c r="H1380" s="1"/>
      <c r="I1380" s="1"/>
      <c r="J1380" s="1"/>
      <c r="K1380" s="1" t="s">
        <v>7302</v>
      </c>
    </row>
    <row r="1381" ht="14.25" customHeight="1">
      <c r="A1381" s="3" t="s">
        <v>5578</v>
      </c>
      <c r="B1381" s="1">
        <v>6.1</v>
      </c>
      <c r="C1381" s="1" t="s">
        <v>17765</v>
      </c>
      <c r="D1381" s="1" t="s">
        <v>3238</v>
      </c>
      <c r="E1381" s="1" t="s">
        <v>17772</v>
      </c>
      <c r="F1381" s="1"/>
      <c r="G1381" s="1"/>
      <c r="H1381" s="1"/>
      <c r="I1381" s="1"/>
      <c r="J1381" s="1"/>
      <c r="K1381" s="1" t="s">
        <v>8183</v>
      </c>
    </row>
    <row r="1382" ht="14.25" customHeight="1">
      <c r="A1382" s="3" t="s">
        <v>5578</v>
      </c>
      <c r="B1382" s="1">
        <v>6.6</v>
      </c>
      <c r="C1382" s="1" t="s">
        <v>17765</v>
      </c>
      <c r="D1382" s="1" t="s">
        <v>3238</v>
      </c>
      <c r="E1382" s="1" t="s">
        <v>17772</v>
      </c>
      <c r="F1382" s="1"/>
      <c r="G1382" s="1"/>
      <c r="H1382" s="1"/>
      <c r="I1382" s="1"/>
      <c r="J1382" s="1"/>
      <c r="K1382" s="1" t="s">
        <v>8697</v>
      </c>
    </row>
    <row r="1383" ht="14.25" customHeight="1">
      <c r="A1383" s="3" t="s">
        <v>5578</v>
      </c>
      <c r="B1383" s="1">
        <v>5.9</v>
      </c>
      <c r="C1383" s="1" t="s">
        <v>17765</v>
      </c>
      <c r="D1383" s="1" t="s">
        <v>3238</v>
      </c>
      <c r="E1383" s="1" t="s">
        <v>17772</v>
      </c>
      <c r="F1383" s="1"/>
      <c r="G1383" s="1"/>
      <c r="H1383" s="1"/>
      <c r="I1383" s="1"/>
      <c r="J1383" s="1"/>
      <c r="K1383" s="1" t="s">
        <v>8713</v>
      </c>
    </row>
    <row r="1384" ht="14.25" customHeight="1">
      <c r="A1384" s="3" t="s">
        <v>5578</v>
      </c>
      <c r="B1384" s="1">
        <v>6.3</v>
      </c>
      <c r="C1384" s="1" t="s">
        <v>17765</v>
      </c>
      <c r="D1384" s="1" t="s">
        <v>3238</v>
      </c>
      <c r="E1384" s="1" t="s">
        <v>17772</v>
      </c>
      <c r="F1384" s="1"/>
      <c r="G1384" s="1"/>
      <c r="H1384" s="1"/>
      <c r="I1384" s="1"/>
      <c r="J1384" s="1"/>
      <c r="K1384" s="1" t="s">
        <v>8845</v>
      </c>
    </row>
    <row r="1385" ht="14.25" customHeight="1">
      <c r="A1385" s="3" t="s">
        <v>5578</v>
      </c>
      <c r="B1385" s="1">
        <v>7.1</v>
      </c>
      <c r="C1385" s="1" t="s">
        <v>17765</v>
      </c>
      <c r="D1385" s="1" t="s">
        <v>3238</v>
      </c>
      <c r="E1385" s="1" t="s">
        <v>17772</v>
      </c>
      <c r="F1385" s="1"/>
      <c r="G1385" s="1"/>
      <c r="H1385" s="1"/>
      <c r="I1385" s="1"/>
      <c r="J1385" s="1"/>
      <c r="K1385" s="1" t="s">
        <v>8943</v>
      </c>
    </row>
    <row r="1386" ht="14.25" customHeight="1">
      <c r="A1386" s="3" t="s">
        <v>5578</v>
      </c>
      <c r="B1386" s="1">
        <v>5.0</v>
      </c>
      <c r="C1386" s="1" t="s">
        <v>17765</v>
      </c>
      <c r="D1386" s="1" t="s">
        <v>3238</v>
      </c>
      <c r="E1386" s="1" t="s">
        <v>17772</v>
      </c>
      <c r="F1386" s="1"/>
      <c r="G1386" s="1"/>
      <c r="H1386" s="1"/>
      <c r="I1386" s="1"/>
      <c r="J1386" s="1"/>
      <c r="K1386" s="1" t="s">
        <v>9123</v>
      </c>
    </row>
    <row r="1387" ht="14.25" customHeight="1">
      <c r="A1387" s="3" t="s">
        <v>5578</v>
      </c>
      <c r="B1387" s="1">
        <v>5.6</v>
      </c>
      <c r="C1387" s="1" t="s">
        <v>17765</v>
      </c>
      <c r="D1387" s="1" t="s">
        <v>3238</v>
      </c>
      <c r="E1387" s="1" t="s">
        <v>17772</v>
      </c>
      <c r="F1387" s="1"/>
      <c r="G1387" s="1"/>
      <c r="H1387" s="1"/>
      <c r="I1387" s="1"/>
      <c r="J1387" s="1"/>
      <c r="K1387" s="1" t="s">
        <v>9548</v>
      </c>
    </row>
    <row r="1388" ht="14.25" customHeight="1">
      <c r="A1388" s="3" t="s">
        <v>5578</v>
      </c>
      <c r="B1388" s="1">
        <v>7.4</v>
      </c>
      <c r="C1388" s="1" t="s">
        <v>17765</v>
      </c>
      <c r="D1388" s="1" t="s">
        <v>3238</v>
      </c>
      <c r="E1388" s="1" t="s">
        <v>17772</v>
      </c>
      <c r="F1388" s="1"/>
      <c r="G1388" s="1"/>
      <c r="H1388" s="1"/>
      <c r="I1388" s="1"/>
      <c r="J1388" s="1"/>
      <c r="K1388" s="1" t="s">
        <v>9861</v>
      </c>
    </row>
    <row r="1389" ht="14.25" customHeight="1">
      <c r="A1389" s="3" t="s">
        <v>5578</v>
      </c>
      <c r="B1389" s="1">
        <v>4.5</v>
      </c>
      <c r="C1389" s="1" t="s">
        <v>17765</v>
      </c>
      <c r="D1389" s="1" t="s">
        <v>3238</v>
      </c>
      <c r="E1389" s="1" t="s">
        <v>17772</v>
      </c>
      <c r="F1389" s="1"/>
      <c r="G1389" s="1"/>
      <c r="H1389" s="1"/>
      <c r="I1389" s="1"/>
      <c r="J1389" s="1"/>
      <c r="K1389" s="1" t="s">
        <v>9894</v>
      </c>
    </row>
    <row r="1390" ht="14.25" customHeight="1">
      <c r="A1390" s="3" t="s">
        <v>5578</v>
      </c>
      <c r="B1390" s="1">
        <v>6.2</v>
      </c>
      <c r="C1390" s="1" t="s">
        <v>17765</v>
      </c>
      <c r="D1390" s="1" t="s">
        <v>3238</v>
      </c>
      <c r="E1390" s="1" t="s">
        <v>17772</v>
      </c>
      <c r="F1390" s="1"/>
      <c r="G1390" s="1"/>
      <c r="H1390" s="1"/>
      <c r="I1390" s="1"/>
      <c r="J1390" s="1"/>
      <c r="K1390" s="1" t="s">
        <v>10001</v>
      </c>
    </row>
    <row r="1391" ht="14.25" customHeight="1">
      <c r="A1391" s="3" t="s">
        <v>5578</v>
      </c>
      <c r="B1391" s="1">
        <v>5.0</v>
      </c>
      <c r="C1391" s="1" t="s">
        <v>17765</v>
      </c>
      <c r="D1391" s="1" t="s">
        <v>3238</v>
      </c>
      <c r="E1391" s="1" t="s">
        <v>17772</v>
      </c>
      <c r="F1391" s="1"/>
      <c r="G1391" s="1"/>
      <c r="H1391" s="1"/>
      <c r="I1391" s="1"/>
      <c r="J1391" s="1"/>
      <c r="K1391" s="1" t="s">
        <v>10211</v>
      </c>
    </row>
    <row r="1392" ht="14.25" customHeight="1">
      <c r="A1392" s="3" t="s">
        <v>5578</v>
      </c>
      <c r="B1392" s="1">
        <v>6.5</v>
      </c>
      <c r="C1392" s="1" t="s">
        <v>17765</v>
      </c>
      <c r="D1392" s="1" t="s">
        <v>3238</v>
      </c>
      <c r="E1392" s="1" t="s">
        <v>17772</v>
      </c>
      <c r="F1392" s="1"/>
      <c r="G1392" s="1"/>
      <c r="H1392" s="1"/>
      <c r="I1392" s="1"/>
      <c r="J1392" s="1"/>
      <c r="K1392" s="1" t="s">
        <v>10247</v>
      </c>
    </row>
    <row r="1393" ht="14.25" customHeight="1">
      <c r="A1393" s="3" t="s">
        <v>5578</v>
      </c>
      <c r="B1393" s="1">
        <v>5.1</v>
      </c>
      <c r="C1393" s="1" t="s">
        <v>17765</v>
      </c>
      <c r="D1393" s="1" t="s">
        <v>3238</v>
      </c>
      <c r="E1393" s="1" t="s">
        <v>17772</v>
      </c>
      <c r="F1393" s="1"/>
      <c r="G1393" s="1"/>
      <c r="H1393" s="1"/>
      <c r="I1393" s="1"/>
      <c r="J1393" s="1"/>
      <c r="K1393" s="1" t="s">
        <v>12042</v>
      </c>
    </row>
    <row r="1394" ht="14.25" customHeight="1">
      <c r="A1394" s="3" t="s">
        <v>5578</v>
      </c>
      <c r="B1394" s="1">
        <v>6.5</v>
      </c>
      <c r="C1394" s="1" t="s">
        <v>17765</v>
      </c>
      <c r="D1394" s="1" t="s">
        <v>3238</v>
      </c>
      <c r="E1394" s="1" t="s">
        <v>17772</v>
      </c>
      <c r="F1394" s="1"/>
      <c r="G1394" s="1"/>
      <c r="H1394" s="1"/>
      <c r="I1394" s="1"/>
      <c r="J1394" s="1"/>
      <c r="K1394" s="1" t="s">
        <v>12132</v>
      </c>
    </row>
    <row r="1395" ht="14.25" customHeight="1">
      <c r="A1395" s="3" t="s">
        <v>5578</v>
      </c>
      <c r="B1395" s="1">
        <v>6.2</v>
      </c>
      <c r="C1395" s="1" t="s">
        <v>17765</v>
      </c>
      <c r="D1395" s="1" t="s">
        <v>3238</v>
      </c>
      <c r="E1395" s="1" t="s">
        <v>17772</v>
      </c>
      <c r="F1395" s="1"/>
      <c r="G1395" s="1"/>
      <c r="H1395" s="1"/>
      <c r="I1395" s="1"/>
      <c r="J1395" s="1"/>
      <c r="K1395" s="1" t="s">
        <v>12154</v>
      </c>
    </row>
    <row r="1396" ht="14.25" customHeight="1">
      <c r="A1396" s="3" t="s">
        <v>5578</v>
      </c>
      <c r="B1396" s="1">
        <v>6.3</v>
      </c>
      <c r="C1396" s="1" t="s">
        <v>17765</v>
      </c>
      <c r="D1396" s="1" t="s">
        <v>3238</v>
      </c>
      <c r="E1396" s="1" t="s">
        <v>17772</v>
      </c>
      <c r="F1396" s="1"/>
      <c r="G1396" s="1"/>
      <c r="H1396" s="1"/>
      <c r="I1396" s="1"/>
      <c r="J1396" s="1"/>
      <c r="K1396" s="1" t="s">
        <v>13017</v>
      </c>
    </row>
    <row r="1397" ht="14.25" customHeight="1">
      <c r="A1397" s="3" t="s">
        <v>5578</v>
      </c>
      <c r="B1397" s="1">
        <v>3.8</v>
      </c>
      <c r="C1397" s="1" t="s">
        <v>17765</v>
      </c>
      <c r="D1397" s="1" t="s">
        <v>3238</v>
      </c>
      <c r="E1397" s="1" t="s">
        <v>17772</v>
      </c>
      <c r="F1397" s="1"/>
      <c r="G1397" s="1"/>
      <c r="H1397" s="1"/>
      <c r="I1397" s="1"/>
      <c r="J1397" s="1"/>
      <c r="K1397" s="1" t="s">
        <v>13037</v>
      </c>
    </row>
    <row r="1398" ht="14.25" customHeight="1">
      <c r="A1398" s="3" t="s">
        <v>5578</v>
      </c>
      <c r="B1398" s="1">
        <v>6.2</v>
      </c>
      <c r="C1398" s="1" t="s">
        <v>17765</v>
      </c>
      <c r="D1398" s="1" t="s">
        <v>3238</v>
      </c>
      <c r="E1398" s="1" t="s">
        <v>17772</v>
      </c>
      <c r="F1398" s="1"/>
      <c r="G1398" s="1"/>
      <c r="H1398" s="1"/>
      <c r="I1398" s="1"/>
      <c r="J1398" s="1"/>
      <c r="K1398" s="1" t="s">
        <v>14275</v>
      </c>
    </row>
    <row r="1399" ht="14.25" customHeight="1">
      <c r="A1399" s="3" t="s">
        <v>9116</v>
      </c>
      <c r="B1399" s="1">
        <v>5.7</v>
      </c>
      <c r="C1399" s="1" t="s">
        <v>17763</v>
      </c>
      <c r="D1399" s="1" t="s">
        <v>3238</v>
      </c>
      <c r="E1399" s="1" t="s">
        <v>17772</v>
      </c>
      <c r="F1399" s="1"/>
      <c r="G1399" s="1"/>
      <c r="H1399" s="1"/>
      <c r="I1399" s="1"/>
      <c r="J1399" s="1"/>
      <c r="K1399" s="1" t="s">
        <v>9115</v>
      </c>
    </row>
    <row r="1400" ht="14.25" customHeight="1">
      <c r="A1400" s="3" t="s">
        <v>7987</v>
      </c>
      <c r="B1400" s="1">
        <v>6.7</v>
      </c>
      <c r="C1400" s="1" t="s">
        <v>1270</v>
      </c>
      <c r="D1400" s="1" t="s">
        <v>1885</v>
      </c>
      <c r="E1400" s="1" t="s">
        <v>6019</v>
      </c>
      <c r="F1400" s="1"/>
      <c r="G1400" s="1"/>
      <c r="H1400" s="1"/>
      <c r="I1400" s="1"/>
      <c r="J1400" s="1"/>
      <c r="K1400" s="1" t="s">
        <v>7986</v>
      </c>
    </row>
    <row r="1401" ht="14.25" customHeight="1">
      <c r="A1401" s="3" t="s">
        <v>7987</v>
      </c>
      <c r="B1401" s="1">
        <v>6.8</v>
      </c>
      <c r="C1401" s="1" t="s">
        <v>1270</v>
      </c>
      <c r="D1401" s="1" t="s">
        <v>1885</v>
      </c>
      <c r="E1401" s="1" t="s">
        <v>6019</v>
      </c>
      <c r="F1401" s="1"/>
      <c r="G1401" s="1"/>
      <c r="H1401" s="1"/>
      <c r="I1401" s="1"/>
      <c r="J1401" s="1"/>
      <c r="K1401" s="1" t="s">
        <v>8467</v>
      </c>
    </row>
    <row r="1402" ht="14.25" customHeight="1">
      <c r="A1402" s="3" t="s">
        <v>16690</v>
      </c>
      <c r="B1402" s="1">
        <v>6.0</v>
      </c>
      <c r="C1402" s="1" t="s">
        <v>917</v>
      </c>
      <c r="D1402" s="1" t="s">
        <v>1885</v>
      </c>
      <c r="E1402" s="1" t="s">
        <v>6019</v>
      </c>
      <c r="F1402" s="1"/>
      <c r="G1402" s="1"/>
      <c r="H1402" s="1"/>
      <c r="I1402" s="1"/>
      <c r="J1402" s="1"/>
      <c r="K1402" s="1" t="s">
        <v>16689</v>
      </c>
    </row>
    <row r="1403" ht="14.25" customHeight="1">
      <c r="A1403" s="3" t="s">
        <v>17709</v>
      </c>
      <c r="B1403" s="1">
        <v>7.3</v>
      </c>
      <c r="C1403" s="1" t="s">
        <v>1885</v>
      </c>
      <c r="D1403" s="1" t="s">
        <v>17763</v>
      </c>
      <c r="E1403" s="1" t="s">
        <v>6019</v>
      </c>
      <c r="F1403" s="1"/>
      <c r="G1403" s="1"/>
      <c r="H1403" s="1"/>
      <c r="I1403" s="1"/>
      <c r="J1403" s="1"/>
      <c r="K1403" s="1" t="s">
        <v>17708</v>
      </c>
    </row>
    <row r="1404" ht="14.25" customHeight="1">
      <c r="A1404" s="3" t="s">
        <v>15995</v>
      </c>
      <c r="B1404" s="1">
        <v>5.5</v>
      </c>
      <c r="C1404" s="1" t="s">
        <v>1885</v>
      </c>
      <c r="D1404" s="1" t="s">
        <v>3238</v>
      </c>
      <c r="E1404" s="1" t="s">
        <v>6019</v>
      </c>
      <c r="F1404" s="1"/>
      <c r="G1404" s="1"/>
      <c r="H1404" s="1"/>
      <c r="I1404" s="1"/>
      <c r="J1404" s="1"/>
      <c r="K1404" s="1" t="s">
        <v>15994</v>
      </c>
    </row>
    <row r="1405" ht="14.25" customHeight="1">
      <c r="A1405" s="3" t="s">
        <v>3286</v>
      </c>
      <c r="B1405" s="1">
        <v>6.7</v>
      </c>
      <c r="C1405" s="1" t="s">
        <v>1270</v>
      </c>
      <c r="D1405" s="1" t="s">
        <v>17759</v>
      </c>
      <c r="E1405" s="1" t="s">
        <v>6019</v>
      </c>
      <c r="F1405" s="1"/>
      <c r="G1405" s="1"/>
      <c r="H1405" s="1"/>
      <c r="I1405" s="1"/>
      <c r="J1405" s="1"/>
      <c r="K1405" s="1" t="s">
        <v>3285</v>
      </c>
    </row>
    <row r="1406" ht="14.25" customHeight="1">
      <c r="A1406" s="3" t="s">
        <v>3286</v>
      </c>
      <c r="B1406" s="1">
        <v>4.8</v>
      </c>
      <c r="C1406" s="1" t="s">
        <v>1270</v>
      </c>
      <c r="D1406" s="1" t="s">
        <v>17759</v>
      </c>
      <c r="E1406" s="1" t="s">
        <v>6019</v>
      </c>
      <c r="F1406" s="1"/>
      <c r="G1406" s="1"/>
      <c r="H1406" s="1"/>
      <c r="I1406" s="1"/>
      <c r="J1406" s="1"/>
      <c r="K1406" s="1" t="s">
        <v>3412</v>
      </c>
    </row>
    <row r="1407" ht="14.25" customHeight="1">
      <c r="A1407" s="3" t="s">
        <v>3286</v>
      </c>
      <c r="B1407" s="1">
        <v>5.7</v>
      </c>
      <c r="C1407" s="1" t="s">
        <v>1270</v>
      </c>
      <c r="D1407" s="1" t="s">
        <v>17759</v>
      </c>
      <c r="E1407" s="1" t="s">
        <v>6019</v>
      </c>
      <c r="F1407" s="1"/>
      <c r="G1407" s="1"/>
      <c r="H1407" s="1"/>
      <c r="I1407" s="1"/>
      <c r="J1407" s="1"/>
      <c r="K1407" s="1" t="s">
        <v>4883</v>
      </c>
    </row>
    <row r="1408" ht="14.25" customHeight="1">
      <c r="A1408" s="3" t="s">
        <v>3286</v>
      </c>
      <c r="B1408" s="1">
        <v>5.1</v>
      </c>
      <c r="C1408" s="1" t="s">
        <v>1270</v>
      </c>
      <c r="D1408" s="1" t="s">
        <v>17759</v>
      </c>
      <c r="E1408" s="1" t="s">
        <v>6019</v>
      </c>
      <c r="F1408" s="1"/>
      <c r="G1408" s="1"/>
      <c r="H1408" s="1"/>
      <c r="I1408" s="1"/>
      <c r="J1408" s="1"/>
      <c r="K1408" s="1" t="s">
        <v>8596</v>
      </c>
    </row>
    <row r="1409" ht="14.25" customHeight="1">
      <c r="A1409" s="3" t="s">
        <v>846</v>
      </c>
      <c r="B1409" s="1">
        <v>6.0</v>
      </c>
      <c r="C1409" s="1" t="s">
        <v>1885</v>
      </c>
      <c r="D1409" s="1" t="s">
        <v>17759</v>
      </c>
      <c r="E1409" s="1" t="s">
        <v>6019</v>
      </c>
      <c r="F1409" s="1"/>
      <c r="G1409" s="1"/>
      <c r="H1409" s="1"/>
      <c r="I1409" s="1"/>
      <c r="J1409" s="1"/>
      <c r="K1409" s="1" t="s">
        <v>845</v>
      </c>
    </row>
    <row r="1410" ht="14.25" customHeight="1">
      <c r="A1410" s="3" t="s">
        <v>846</v>
      </c>
      <c r="B1410" s="1">
        <v>4.2</v>
      </c>
      <c r="C1410" s="1" t="s">
        <v>1885</v>
      </c>
      <c r="D1410" s="1" t="s">
        <v>17759</v>
      </c>
      <c r="E1410" s="1" t="s">
        <v>6019</v>
      </c>
      <c r="F1410" s="1"/>
      <c r="G1410" s="1"/>
      <c r="H1410" s="1"/>
      <c r="I1410" s="1"/>
      <c r="J1410" s="1"/>
      <c r="K1410" s="1" t="s">
        <v>4412</v>
      </c>
    </row>
    <row r="1411" ht="14.25" customHeight="1">
      <c r="A1411" s="3" t="s">
        <v>846</v>
      </c>
      <c r="B1411" s="1">
        <v>7.4</v>
      </c>
      <c r="C1411" s="1" t="s">
        <v>1885</v>
      </c>
      <c r="D1411" s="1" t="s">
        <v>17759</v>
      </c>
      <c r="E1411" s="1" t="s">
        <v>6019</v>
      </c>
      <c r="F1411" s="1"/>
      <c r="G1411" s="1"/>
      <c r="H1411" s="1"/>
      <c r="I1411" s="1"/>
      <c r="J1411" s="1"/>
      <c r="K1411" s="1" t="s">
        <v>4963</v>
      </c>
    </row>
    <row r="1412" ht="14.25" customHeight="1">
      <c r="A1412" s="3" t="s">
        <v>846</v>
      </c>
      <c r="B1412" s="1">
        <v>4.6</v>
      </c>
      <c r="C1412" s="1" t="s">
        <v>1885</v>
      </c>
      <c r="D1412" s="1" t="s">
        <v>17759</v>
      </c>
      <c r="E1412" s="1" t="s">
        <v>6019</v>
      </c>
      <c r="F1412" s="1"/>
      <c r="G1412" s="1"/>
      <c r="H1412" s="1"/>
      <c r="I1412" s="1"/>
      <c r="J1412" s="1"/>
      <c r="K1412" s="1" t="s">
        <v>11292</v>
      </c>
    </row>
    <row r="1413" ht="14.25" customHeight="1">
      <c r="A1413" s="3" t="s">
        <v>846</v>
      </c>
      <c r="B1413" s="1">
        <v>6.9</v>
      </c>
      <c r="C1413" s="1" t="s">
        <v>1885</v>
      </c>
      <c r="D1413" s="1" t="s">
        <v>17759</v>
      </c>
      <c r="E1413" s="1" t="s">
        <v>6019</v>
      </c>
      <c r="F1413" s="1"/>
      <c r="G1413" s="1"/>
      <c r="H1413" s="1"/>
      <c r="I1413" s="1"/>
      <c r="J1413" s="1"/>
      <c r="K1413" s="1" t="s">
        <v>11523</v>
      </c>
    </row>
    <row r="1414" ht="14.25" customHeight="1">
      <c r="A1414" s="3" t="s">
        <v>846</v>
      </c>
      <c r="B1414" s="1">
        <v>6.9</v>
      </c>
      <c r="C1414" s="1" t="s">
        <v>1885</v>
      </c>
      <c r="D1414" s="1" t="s">
        <v>17759</v>
      </c>
      <c r="E1414" s="1" t="s">
        <v>6019</v>
      </c>
      <c r="F1414" s="1"/>
      <c r="G1414" s="1"/>
      <c r="H1414" s="1"/>
      <c r="I1414" s="1"/>
      <c r="J1414" s="1"/>
      <c r="K1414" s="1" t="s">
        <v>12912</v>
      </c>
    </row>
    <row r="1415" ht="14.25" customHeight="1">
      <c r="A1415" s="3" t="s">
        <v>846</v>
      </c>
      <c r="B1415" s="1">
        <v>8.0</v>
      </c>
      <c r="C1415" s="1" t="s">
        <v>1885</v>
      </c>
      <c r="D1415" s="1" t="s">
        <v>17759</v>
      </c>
      <c r="E1415" s="1" t="s">
        <v>6019</v>
      </c>
      <c r="F1415" s="1"/>
      <c r="G1415" s="1"/>
      <c r="H1415" s="1"/>
      <c r="I1415" s="1"/>
      <c r="J1415" s="1"/>
      <c r="K1415" s="1" t="s">
        <v>13023</v>
      </c>
    </row>
    <row r="1416" ht="14.25" customHeight="1">
      <c r="A1416" s="3" t="s">
        <v>846</v>
      </c>
      <c r="B1416" s="1">
        <v>6.4</v>
      </c>
      <c r="C1416" s="1" t="s">
        <v>1885</v>
      </c>
      <c r="D1416" s="1" t="s">
        <v>17759</v>
      </c>
      <c r="E1416" s="1" t="s">
        <v>6019</v>
      </c>
      <c r="F1416" s="1"/>
      <c r="G1416" s="1"/>
      <c r="H1416" s="1"/>
      <c r="I1416" s="1"/>
      <c r="J1416" s="1"/>
      <c r="K1416" s="1" t="s">
        <v>17306</v>
      </c>
    </row>
    <row r="1417" ht="14.25" customHeight="1">
      <c r="A1417" s="3" t="s">
        <v>10159</v>
      </c>
      <c r="B1417" s="1">
        <v>6.3</v>
      </c>
      <c r="C1417" s="1" t="s">
        <v>17763</v>
      </c>
      <c r="D1417" s="1" t="s">
        <v>17759</v>
      </c>
      <c r="E1417" s="1" t="s">
        <v>6019</v>
      </c>
      <c r="F1417" s="1"/>
      <c r="G1417" s="1"/>
      <c r="H1417" s="1"/>
      <c r="I1417" s="1"/>
      <c r="J1417" s="1"/>
      <c r="K1417" s="1" t="s">
        <v>10158</v>
      </c>
    </row>
    <row r="1418" ht="14.25" customHeight="1">
      <c r="A1418" s="3" t="s">
        <v>4777</v>
      </c>
      <c r="B1418" s="1">
        <v>6.8</v>
      </c>
      <c r="C1418" s="1" t="s">
        <v>3238</v>
      </c>
      <c r="D1418" s="1" t="s">
        <v>17759</v>
      </c>
      <c r="E1418" s="1" t="s">
        <v>6019</v>
      </c>
      <c r="F1418" s="1"/>
      <c r="G1418" s="1"/>
      <c r="H1418" s="1"/>
      <c r="I1418" s="1"/>
      <c r="J1418" s="1"/>
      <c r="K1418" s="1" t="s">
        <v>4776</v>
      </c>
    </row>
    <row r="1419" ht="14.25" customHeight="1">
      <c r="A1419" s="3" t="s">
        <v>4777</v>
      </c>
      <c r="B1419" s="1">
        <v>6.8</v>
      </c>
      <c r="C1419" s="1" t="s">
        <v>3238</v>
      </c>
      <c r="D1419" s="1" t="s">
        <v>17759</v>
      </c>
      <c r="E1419" s="1" t="s">
        <v>6019</v>
      </c>
      <c r="F1419" s="1"/>
      <c r="G1419" s="1"/>
      <c r="H1419" s="1"/>
      <c r="I1419" s="1"/>
      <c r="J1419" s="1"/>
      <c r="K1419" s="1" t="s">
        <v>7028</v>
      </c>
    </row>
    <row r="1420" ht="14.25" customHeight="1">
      <c r="A1420" s="3" t="s">
        <v>4777</v>
      </c>
      <c r="B1420" s="1">
        <v>5.4</v>
      </c>
      <c r="C1420" s="1" t="s">
        <v>3238</v>
      </c>
      <c r="D1420" s="1" t="s">
        <v>17759</v>
      </c>
      <c r="E1420" s="1" t="s">
        <v>6019</v>
      </c>
      <c r="F1420" s="1"/>
      <c r="G1420" s="1"/>
      <c r="H1420" s="1"/>
      <c r="I1420" s="1"/>
      <c r="J1420" s="1"/>
      <c r="K1420" s="1" t="s">
        <v>7877</v>
      </c>
    </row>
    <row r="1421" ht="14.25" customHeight="1">
      <c r="A1421" s="3" t="s">
        <v>4777</v>
      </c>
      <c r="B1421" s="1">
        <v>7.2</v>
      </c>
      <c r="C1421" s="1" t="s">
        <v>3238</v>
      </c>
      <c r="D1421" s="1" t="s">
        <v>17759</v>
      </c>
      <c r="E1421" s="1" t="s">
        <v>6019</v>
      </c>
      <c r="F1421" s="1"/>
      <c r="G1421" s="1"/>
      <c r="H1421" s="1"/>
      <c r="I1421" s="1"/>
      <c r="J1421" s="1"/>
      <c r="K1421" s="1" t="s">
        <v>7877</v>
      </c>
    </row>
    <row r="1422" ht="14.25" customHeight="1">
      <c r="A1422" s="3" t="s">
        <v>4638</v>
      </c>
      <c r="B1422" s="1">
        <v>7.3</v>
      </c>
      <c r="C1422" s="1" t="s">
        <v>3238</v>
      </c>
      <c r="D1422" s="1" t="s">
        <v>17772</v>
      </c>
      <c r="E1422" s="1" t="s">
        <v>6019</v>
      </c>
      <c r="F1422" s="1"/>
      <c r="G1422" s="1"/>
      <c r="H1422" s="1"/>
      <c r="I1422" s="1"/>
      <c r="J1422" s="1"/>
      <c r="K1422" s="1" t="s">
        <v>4637</v>
      </c>
    </row>
    <row r="1423" ht="14.25" customHeight="1">
      <c r="A1423" s="3" t="s">
        <v>8971</v>
      </c>
      <c r="B1423" s="1">
        <v>5.2</v>
      </c>
      <c r="C1423" s="1" t="s">
        <v>1270</v>
      </c>
      <c r="D1423" s="1" t="s">
        <v>1885</v>
      </c>
      <c r="E1423" s="1" t="s">
        <v>17774</v>
      </c>
      <c r="F1423" s="1"/>
      <c r="G1423" s="1"/>
      <c r="H1423" s="1"/>
      <c r="I1423" s="1"/>
      <c r="J1423" s="1"/>
      <c r="K1423" s="1" t="s">
        <v>8970</v>
      </c>
    </row>
    <row r="1424" ht="14.25" customHeight="1">
      <c r="A1424" s="3" t="s">
        <v>2930</v>
      </c>
      <c r="B1424" s="1">
        <v>5.5</v>
      </c>
      <c r="C1424" s="1" t="s">
        <v>1885</v>
      </c>
      <c r="D1424" s="1" t="s">
        <v>17763</v>
      </c>
      <c r="E1424" s="1" t="s">
        <v>17774</v>
      </c>
      <c r="F1424" s="1"/>
      <c r="G1424" s="1"/>
      <c r="H1424" s="1"/>
      <c r="I1424" s="1"/>
      <c r="J1424" s="1"/>
      <c r="K1424" s="1" t="s">
        <v>2929</v>
      </c>
    </row>
    <row r="1425" ht="14.25" customHeight="1">
      <c r="A1425" s="3" t="s">
        <v>2930</v>
      </c>
      <c r="B1425" s="1">
        <v>7.7</v>
      </c>
      <c r="C1425" s="1" t="s">
        <v>1885</v>
      </c>
      <c r="D1425" s="1" t="s">
        <v>17763</v>
      </c>
      <c r="E1425" s="1" t="s">
        <v>17774</v>
      </c>
      <c r="F1425" s="1"/>
      <c r="G1425" s="1"/>
      <c r="H1425" s="1"/>
      <c r="I1425" s="1"/>
      <c r="J1425" s="1"/>
      <c r="K1425" s="1" t="s">
        <v>10342</v>
      </c>
    </row>
    <row r="1426" ht="14.25" customHeight="1">
      <c r="A1426" s="3" t="s">
        <v>15907</v>
      </c>
      <c r="B1426" s="1">
        <v>7.1</v>
      </c>
      <c r="C1426" s="1" t="s">
        <v>1885</v>
      </c>
      <c r="D1426" s="1" t="s">
        <v>15542</v>
      </c>
      <c r="E1426" s="1" t="s">
        <v>17774</v>
      </c>
      <c r="F1426" s="1"/>
      <c r="G1426" s="1"/>
      <c r="H1426" s="1"/>
      <c r="I1426" s="1"/>
      <c r="J1426" s="1"/>
      <c r="K1426" s="1" t="s">
        <v>15906</v>
      </c>
    </row>
    <row r="1427" ht="14.25" customHeight="1">
      <c r="A1427" s="3" t="s">
        <v>4075</v>
      </c>
      <c r="B1427" s="1">
        <v>5.3</v>
      </c>
      <c r="C1427" s="1" t="s">
        <v>17765</v>
      </c>
      <c r="D1427" s="1" t="s">
        <v>3238</v>
      </c>
      <c r="E1427" s="1" t="s">
        <v>17774</v>
      </c>
      <c r="F1427" s="1"/>
      <c r="G1427" s="1"/>
      <c r="H1427" s="1"/>
      <c r="I1427" s="1"/>
      <c r="J1427" s="1"/>
      <c r="K1427" s="1" t="s">
        <v>4074</v>
      </c>
    </row>
    <row r="1428" ht="14.25" customHeight="1">
      <c r="A1428" s="3" t="s">
        <v>4075</v>
      </c>
      <c r="B1428" s="1">
        <v>5.6</v>
      </c>
      <c r="C1428" s="1" t="s">
        <v>17765</v>
      </c>
      <c r="D1428" s="1" t="s">
        <v>3238</v>
      </c>
      <c r="E1428" s="1" t="s">
        <v>17774</v>
      </c>
      <c r="F1428" s="1"/>
      <c r="G1428" s="1"/>
      <c r="H1428" s="1"/>
      <c r="I1428" s="1"/>
      <c r="J1428" s="1"/>
      <c r="K1428" s="1" t="s">
        <v>5971</v>
      </c>
    </row>
    <row r="1429" ht="14.25" customHeight="1">
      <c r="A1429" s="3" t="s">
        <v>4075</v>
      </c>
      <c r="B1429" s="1">
        <v>5.7</v>
      </c>
      <c r="C1429" s="1" t="s">
        <v>17765</v>
      </c>
      <c r="D1429" s="1" t="s">
        <v>3238</v>
      </c>
      <c r="E1429" s="1" t="s">
        <v>17774</v>
      </c>
      <c r="F1429" s="1"/>
      <c r="G1429" s="1"/>
      <c r="H1429" s="1"/>
      <c r="I1429" s="1"/>
      <c r="J1429" s="1"/>
      <c r="K1429" s="1" t="s">
        <v>7922</v>
      </c>
    </row>
    <row r="1430" ht="14.25" customHeight="1">
      <c r="A1430" s="3" t="s">
        <v>4075</v>
      </c>
      <c r="B1430" s="1">
        <v>7.1</v>
      </c>
      <c r="C1430" s="1" t="s">
        <v>17765</v>
      </c>
      <c r="D1430" s="1" t="s">
        <v>3238</v>
      </c>
      <c r="E1430" s="1" t="s">
        <v>17774</v>
      </c>
      <c r="F1430" s="1"/>
      <c r="G1430" s="1"/>
      <c r="H1430" s="1"/>
      <c r="I1430" s="1"/>
      <c r="J1430" s="1"/>
      <c r="K1430" s="1" t="s">
        <v>9963</v>
      </c>
    </row>
    <row r="1431" ht="14.25" customHeight="1">
      <c r="A1431" s="3" t="s">
        <v>4075</v>
      </c>
      <c r="B1431" s="1">
        <v>7.6</v>
      </c>
      <c r="C1431" s="1" t="s">
        <v>17765</v>
      </c>
      <c r="D1431" s="1" t="s">
        <v>3238</v>
      </c>
      <c r="E1431" s="1" t="s">
        <v>17774</v>
      </c>
      <c r="F1431" s="1"/>
      <c r="G1431" s="1"/>
      <c r="H1431" s="1"/>
      <c r="I1431" s="1"/>
      <c r="J1431" s="1"/>
      <c r="K1431" s="1" t="s">
        <v>10426</v>
      </c>
    </row>
    <row r="1432" ht="14.25" customHeight="1">
      <c r="A1432" s="3" t="s">
        <v>4075</v>
      </c>
      <c r="B1432" s="1">
        <v>5.5</v>
      </c>
      <c r="C1432" s="1" t="s">
        <v>17765</v>
      </c>
      <c r="D1432" s="1" t="s">
        <v>3238</v>
      </c>
      <c r="E1432" s="1" t="s">
        <v>17774</v>
      </c>
      <c r="F1432" s="1"/>
      <c r="G1432" s="1"/>
      <c r="H1432" s="1"/>
      <c r="I1432" s="1"/>
      <c r="J1432" s="1"/>
      <c r="K1432" s="1" t="s">
        <v>12763</v>
      </c>
    </row>
    <row r="1433" ht="14.25" customHeight="1">
      <c r="A1433" s="3" t="s">
        <v>4075</v>
      </c>
      <c r="B1433" s="1">
        <v>5.1</v>
      </c>
      <c r="C1433" s="1" t="s">
        <v>17765</v>
      </c>
      <c r="D1433" s="1" t="s">
        <v>3238</v>
      </c>
      <c r="E1433" s="1" t="s">
        <v>17774</v>
      </c>
      <c r="F1433" s="1"/>
      <c r="G1433" s="1"/>
      <c r="H1433" s="1"/>
      <c r="I1433" s="1"/>
      <c r="J1433" s="1"/>
      <c r="K1433" s="1" t="s">
        <v>13067</v>
      </c>
    </row>
    <row r="1434" ht="14.25" customHeight="1">
      <c r="A1434" s="3" t="s">
        <v>4075</v>
      </c>
      <c r="B1434" s="1">
        <v>4.9</v>
      </c>
      <c r="C1434" s="1" t="s">
        <v>17765</v>
      </c>
      <c r="D1434" s="1" t="s">
        <v>3238</v>
      </c>
      <c r="E1434" s="1" t="s">
        <v>17774</v>
      </c>
      <c r="F1434" s="1"/>
      <c r="G1434" s="1"/>
      <c r="H1434" s="1"/>
      <c r="I1434" s="1"/>
      <c r="J1434" s="1"/>
      <c r="K1434" s="1" t="s">
        <v>13715</v>
      </c>
    </row>
    <row r="1435" ht="14.25" customHeight="1">
      <c r="A1435" s="3" t="s">
        <v>4075</v>
      </c>
      <c r="B1435" s="1">
        <v>6.5</v>
      </c>
      <c r="C1435" s="1" t="s">
        <v>17765</v>
      </c>
      <c r="D1435" s="1" t="s">
        <v>3238</v>
      </c>
      <c r="E1435" s="1" t="s">
        <v>17774</v>
      </c>
      <c r="F1435" s="1"/>
      <c r="G1435" s="1"/>
      <c r="H1435" s="1"/>
      <c r="I1435" s="1"/>
      <c r="J1435" s="1"/>
      <c r="K1435" s="1" t="s">
        <v>14525</v>
      </c>
    </row>
    <row r="1436" ht="14.25" customHeight="1">
      <c r="A1436" s="3" t="s">
        <v>4075</v>
      </c>
      <c r="B1436" s="1">
        <v>5.6</v>
      </c>
      <c r="C1436" s="1" t="s">
        <v>17765</v>
      </c>
      <c r="D1436" s="1" t="s">
        <v>3238</v>
      </c>
      <c r="E1436" s="1" t="s">
        <v>17774</v>
      </c>
      <c r="F1436" s="1"/>
      <c r="G1436" s="1"/>
      <c r="H1436" s="1"/>
      <c r="I1436" s="1"/>
      <c r="J1436" s="1"/>
      <c r="K1436" s="1" t="s">
        <v>14582</v>
      </c>
    </row>
    <row r="1437" ht="14.25" customHeight="1">
      <c r="A1437" s="3" t="s">
        <v>8240</v>
      </c>
      <c r="B1437" s="1">
        <v>5.3</v>
      </c>
      <c r="C1437" s="1" t="s">
        <v>1885</v>
      </c>
      <c r="D1437" s="1" t="s">
        <v>3238</v>
      </c>
      <c r="E1437" s="1" t="s">
        <v>17774</v>
      </c>
      <c r="F1437" s="1"/>
      <c r="G1437" s="1"/>
      <c r="H1437" s="1"/>
      <c r="I1437" s="1"/>
      <c r="J1437" s="1"/>
      <c r="K1437" s="1" t="s">
        <v>8239</v>
      </c>
    </row>
    <row r="1438" ht="14.25" customHeight="1">
      <c r="A1438" s="3" t="s">
        <v>8240</v>
      </c>
      <c r="B1438" s="1">
        <v>6.5</v>
      </c>
      <c r="C1438" s="1" t="s">
        <v>1885</v>
      </c>
      <c r="D1438" s="1" t="s">
        <v>3238</v>
      </c>
      <c r="E1438" s="1" t="s">
        <v>17774</v>
      </c>
      <c r="F1438" s="1"/>
      <c r="G1438" s="1"/>
      <c r="H1438" s="1"/>
      <c r="I1438" s="1"/>
      <c r="J1438" s="1"/>
      <c r="K1438" s="1" t="s">
        <v>11328</v>
      </c>
    </row>
    <row r="1439" ht="14.25" customHeight="1">
      <c r="A1439" s="3" t="s">
        <v>8240</v>
      </c>
      <c r="B1439" s="1">
        <v>6.8</v>
      </c>
      <c r="C1439" s="1" t="s">
        <v>1885</v>
      </c>
      <c r="D1439" s="1" t="s">
        <v>3238</v>
      </c>
      <c r="E1439" s="1" t="s">
        <v>17774</v>
      </c>
      <c r="F1439" s="1"/>
      <c r="G1439" s="1"/>
      <c r="H1439" s="1"/>
      <c r="I1439" s="1"/>
      <c r="J1439" s="1"/>
      <c r="K1439" s="1" t="s">
        <v>11973</v>
      </c>
    </row>
    <row r="1440" ht="14.25" customHeight="1">
      <c r="A1440" s="3" t="s">
        <v>8240</v>
      </c>
      <c r="B1440" s="1">
        <v>6.5</v>
      </c>
      <c r="C1440" s="1" t="s">
        <v>1885</v>
      </c>
      <c r="D1440" s="1" t="s">
        <v>3238</v>
      </c>
      <c r="E1440" s="1" t="s">
        <v>17774</v>
      </c>
      <c r="F1440" s="1"/>
      <c r="G1440" s="1"/>
      <c r="H1440" s="1"/>
      <c r="I1440" s="1"/>
      <c r="J1440" s="1"/>
      <c r="K1440" s="1" t="s">
        <v>13290</v>
      </c>
    </row>
    <row r="1441" ht="14.25" customHeight="1">
      <c r="A1441" s="3" t="s">
        <v>8240</v>
      </c>
      <c r="B1441" s="1">
        <v>6.0</v>
      </c>
      <c r="C1441" s="1" t="s">
        <v>1885</v>
      </c>
      <c r="D1441" s="1" t="s">
        <v>3238</v>
      </c>
      <c r="E1441" s="1" t="s">
        <v>17774</v>
      </c>
      <c r="F1441" s="1"/>
      <c r="G1441" s="1"/>
      <c r="H1441" s="1"/>
      <c r="I1441" s="1"/>
      <c r="J1441" s="1"/>
      <c r="K1441" s="1" t="s">
        <v>13514</v>
      </c>
    </row>
    <row r="1442" ht="14.25" customHeight="1">
      <c r="A1442" s="3" t="s">
        <v>8240</v>
      </c>
      <c r="B1442" s="1">
        <v>8.4</v>
      </c>
      <c r="C1442" s="1" t="s">
        <v>1885</v>
      </c>
      <c r="D1442" s="1" t="s">
        <v>3238</v>
      </c>
      <c r="E1442" s="1" t="s">
        <v>17774</v>
      </c>
      <c r="F1442" s="1"/>
      <c r="G1442" s="1"/>
      <c r="H1442" s="1"/>
      <c r="I1442" s="1"/>
      <c r="J1442" s="1"/>
      <c r="K1442" s="1" t="s">
        <v>15696</v>
      </c>
    </row>
    <row r="1443" ht="14.25" customHeight="1">
      <c r="A1443" s="3" t="s">
        <v>8240</v>
      </c>
      <c r="B1443" s="1">
        <v>6.0</v>
      </c>
      <c r="C1443" s="1" t="s">
        <v>1885</v>
      </c>
      <c r="D1443" s="1" t="s">
        <v>3238</v>
      </c>
      <c r="E1443" s="1" t="s">
        <v>17774</v>
      </c>
      <c r="F1443" s="1"/>
      <c r="G1443" s="1"/>
      <c r="H1443" s="1"/>
      <c r="I1443" s="1"/>
      <c r="J1443" s="1"/>
      <c r="K1443" s="1" t="s">
        <v>16125</v>
      </c>
    </row>
    <row r="1444" ht="14.25" customHeight="1">
      <c r="A1444" s="3" t="s">
        <v>8240</v>
      </c>
      <c r="B1444" s="1">
        <v>7.6</v>
      </c>
      <c r="C1444" s="1" t="s">
        <v>1885</v>
      </c>
      <c r="D1444" s="1" t="s">
        <v>3238</v>
      </c>
      <c r="E1444" s="1" t="s">
        <v>17774</v>
      </c>
      <c r="F1444" s="1"/>
      <c r="G1444" s="1"/>
      <c r="H1444" s="1"/>
      <c r="I1444" s="1"/>
      <c r="J1444" s="1"/>
      <c r="K1444" s="1" t="s">
        <v>16872</v>
      </c>
    </row>
    <row r="1445" ht="14.25" customHeight="1">
      <c r="A1445" s="3" t="s">
        <v>8240</v>
      </c>
      <c r="B1445" s="1">
        <v>6.9</v>
      </c>
      <c r="C1445" s="1" t="s">
        <v>1885</v>
      </c>
      <c r="D1445" s="1" t="s">
        <v>3238</v>
      </c>
      <c r="E1445" s="1" t="s">
        <v>17774</v>
      </c>
      <c r="F1445" s="1"/>
      <c r="G1445" s="1"/>
      <c r="H1445" s="1"/>
      <c r="I1445" s="1"/>
      <c r="J1445" s="1"/>
      <c r="K1445" s="1" t="s">
        <v>15696</v>
      </c>
    </row>
    <row r="1446" ht="14.25" customHeight="1">
      <c r="A1446" s="3" t="s">
        <v>8240</v>
      </c>
      <c r="B1446" s="1">
        <v>6.4</v>
      </c>
      <c r="C1446" s="1" t="s">
        <v>1885</v>
      </c>
      <c r="D1446" s="1" t="s">
        <v>3238</v>
      </c>
      <c r="E1446" s="1" t="s">
        <v>17774</v>
      </c>
      <c r="F1446" s="1"/>
      <c r="G1446" s="1"/>
      <c r="H1446" s="1"/>
      <c r="I1446" s="1"/>
      <c r="J1446" s="1"/>
      <c r="K1446" s="1" t="s">
        <v>17118</v>
      </c>
    </row>
    <row r="1447" ht="14.25" customHeight="1">
      <c r="A1447" s="3" t="s">
        <v>5256</v>
      </c>
      <c r="B1447" s="1">
        <v>5.1</v>
      </c>
      <c r="C1447" s="1" t="s">
        <v>17763</v>
      </c>
      <c r="D1447" s="1" t="s">
        <v>3238</v>
      </c>
      <c r="E1447" s="1" t="s">
        <v>17774</v>
      </c>
      <c r="F1447" s="1"/>
      <c r="G1447" s="1"/>
      <c r="H1447" s="1"/>
      <c r="I1447" s="1"/>
      <c r="J1447" s="1"/>
      <c r="K1447" s="1" t="s">
        <v>5255</v>
      </c>
    </row>
    <row r="1448" ht="14.25" customHeight="1">
      <c r="A1448" s="3" t="s">
        <v>5256</v>
      </c>
      <c r="B1448" s="1">
        <v>7.0</v>
      </c>
      <c r="C1448" s="1" t="s">
        <v>17763</v>
      </c>
      <c r="D1448" s="1" t="s">
        <v>3238</v>
      </c>
      <c r="E1448" s="1" t="s">
        <v>17774</v>
      </c>
      <c r="F1448" s="1"/>
      <c r="G1448" s="1"/>
      <c r="H1448" s="1"/>
      <c r="I1448" s="1"/>
      <c r="J1448" s="1"/>
      <c r="K1448" s="1" t="s">
        <v>16058</v>
      </c>
    </row>
    <row r="1449" ht="14.25" customHeight="1">
      <c r="A1449" s="3" t="s">
        <v>8964</v>
      </c>
      <c r="B1449" s="1">
        <v>5.7</v>
      </c>
      <c r="C1449" s="1" t="s">
        <v>1885</v>
      </c>
      <c r="D1449" s="1" t="s">
        <v>17758</v>
      </c>
      <c r="E1449" s="1" t="s">
        <v>17774</v>
      </c>
      <c r="F1449" s="1"/>
      <c r="G1449" s="1"/>
      <c r="H1449" s="1"/>
      <c r="I1449" s="1"/>
      <c r="J1449" s="1"/>
      <c r="K1449" s="1" t="s">
        <v>8963</v>
      </c>
    </row>
    <row r="1450" ht="14.25" customHeight="1">
      <c r="A1450" s="3" t="s">
        <v>10616</v>
      </c>
      <c r="B1450" s="1">
        <v>6.8</v>
      </c>
      <c r="C1450" s="1" t="s">
        <v>17758</v>
      </c>
      <c r="D1450" s="1" t="s">
        <v>17759</v>
      </c>
      <c r="E1450" s="1" t="s">
        <v>17774</v>
      </c>
      <c r="F1450" s="1"/>
      <c r="G1450" s="1"/>
      <c r="H1450" s="1"/>
      <c r="I1450" s="1"/>
      <c r="J1450" s="1"/>
      <c r="K1450" s="1" t="s">
        <v>10615</v>
      </c>
    </row>
    <row r="1451" ht="14.25" customHeight="1">
      <c r="A1451" s="3" t="s">
        <v>17182</v>
      </c>
      <c r="B1451" s="1">
        <v>6.7</v>
      </c>
      <c r="C1451" s="1" t="s">
        <v>15542</v>
      </c>
      <c r="D1451" s="1" t="s">
        <v>17772</v>
      </c>
      <c r="E1451" s="1" t="s">
        <v>17774</v>
      </c>
      <c r="F1451" s="1"/>
      <c r="G1451" s="1"/>
      <c r="H1451" s="1"/>
      <c r="I1451" s="1"/>
      <c r="J1451" s="1"/>
      <c r="K1451" s="1" t="s">
        <v>17181</v>
      </c>
    </row>
    <row r="1452" ht="14.25" customHeight="1">
      <c r="A1452" s="3" t="s">
        <v>10454</v>
      </c>
      <c r="B1452" s="1">
        <v>6.2</v>
      </c>
      <c r="C1452" s="1" t="s">
        <v>17765</v>
      </c>
      <c r="D1452" s="1" t="s">
        <v>1885</v>
      </c>
      <c r="E1452" s="1" t="s">
        <v>17760</v>
      </c>
      <c r="F1452" s="1"/>
      <c r="G1452" s="1"/>
      <c r="H1452" s="1"/>
      <c r="I1452" s="1"/>
      <c r="J1452" s="1"/>
      <c r="K1452" s="1" t="s">
        <v>10453</v>
      </c>
    </row>
    <row r="1453" ht="14.25" customHeight="1">
      <c r="A1453" s="3" t="s">
        <v>7563</v>
      </c>
      <c r="B1453" s="1">
        <v>7.2</v>
      </c>
      <c r="C1453" s="1" t="s">
        <v>1885</v>
      </c>
      <c r="D1453" s="1" t="s">
        <v>17763</v>
      </c>
      <c r="E1453" s="1" t="s">
        <v>17760</v>
      </c>
      <c r="F1453" s="1"/>
      <c r="G1453" s="1"/>
      <c r="H1453" s="1"/>
      <c r="I1453" s="1"/>
      <c r="J1453" s="1"/>
      <c r="K1453" s="1" t="s">
        <v>7562</v>
      </c>
    </row>
    <row r="1454" ht="14.25" customHeight="1">
      <c r="A1454" s="3" t="s">
        <v>14513</v>
      </c>
      <c r="B1454" s="1">
        <v>6.2</v>
      </c>
      <c r="C1454" s="1" t="s">
        <v>1885</v>
      </c>
      <c r="D1454" s="1" t="s">
        <v>3238</v>
      </c>
      <c r="E1454" s="1" t="s">
        <v>17760</v>
      </c>
      <c r="F1454" s="1"/>
      <c r="G1454" s="1"/>
      <c r="H1454" s="1"/>
      <c r="I1454" s="1"/>
      <c r="J1454" s="1"/>
      <c r="K1454" s="1" t="s">
        <v>14512</v>
      </c>
    </row>
    <row r="1455" ht="14.25" customHeight="1">
      <c r="A1455" s="3" t="s">
        <v>14513</v>
      </c>
      <c r="B1455" s="1">
        <v>5.6</v>
      </c>
      <c r="C1455" s="1" t="s">
        <v>1885</v>
      </c>
      <c r="D1455" s="1" t="s">
        <v>3238</v>
      </c>
      <c r="E1455" s="1" t="s">
        <v>17760</v>
      </c>
      <c r="F1455" s="1"/>
      <c r="G1455" s="1"/>
      <c r="H1455" s="1"/>
      <c r="I1455" s="1"/>
      <c r="J1455" s="1"/>
      <c r="K1455" s="1" t="s">
        <v>14688</v>
      </c>
    </row>
    <row r="1456" ht="14.25" customHeight="1">
      <c r="A1456" s="3" t="s">
        <v>12504</v>
      </c>
      <c r="B1456" s="1">
        <v>4.4</v>
      </c>
      <c r="C1456" s="1" t="s">
        <v>17763</v>
      </c>
      <c r="D1456" s="1" t="s">
        <v>3238</v>
      </c>
      <c r="E1456" s="1" t="s">
        <v>17760</v>
      </c>
      <c r="F1456" s="1"/>
      <c r="G1456" s="1"/>
      <c r="H1456" s="1"/>
      <c r="I1456" s="1"/>
      <c r="J1456" s="1"/>
      <c r="K1456" s="1" t="s">
        <v>12503</v>
      </c>
    </row>
    <row r="1457" ht="14.25" customHeight="1">
      <c r="A1457" s="3" t="s">
        <v>13186</v>
      </c>
      <c r="B1457" s="1">
        <v>7.5</v>
      </c>
      <c r="C1457" s="1" t="s">
        <v>3238</v>
      </c>
      <c r="D1457" s="1" t="s">
        <v>17758</v>
      </c>
      <c r="E1457" s="1" t="s">
        <v>17760</v>
      </c>
      <c r="F1457" s="1"/>
      <c r="G1457" s="1"/>
      <c r="H1457" s="1"/>
      <c r="I1457" s="1"/>
      <c r="J1457" s="1"/>
      <c r="K1457" s="1" t="s">
        <v>13185</v>
      </c>
    </row>
    <row r="1458" ht="14.25" customHeight="1">
      <c r="A1458" s="3" t="s">
        <v>17348</v>
      </c>
      <c r="B1458" s="1">
        <v>7.1</v>
      </c>
      <c r="C1458" s="1" t="s">
        <v>1885</v>
      </c>
      <c r="D1458" s="1" t="s">
        <v>6019</v>
      </c>
      <c r="E1458" s="1" t="s">
        <v>17760</v>
      </c>
      <c r="F1458" s="1"/>
      <c r="G1458" s="1"/>
      <c r="H1458" s="1"/>
      <c r="I1458" s="1"/>
      <c r="J1458" s="1"/>
      <c r="K1458" s="1" t="s">
        <v>17347</v>
      </c>
    </row>
    <row r="1459" ht="14.25" customHeight="1">
      <c r="A1459" s="3" t="s">
        <v>2923</v>
      </c>
      <c r="B1459" s="1">
        <v>6.4</v>
      </c>
      <c r="C1459" s="1" t="s">
        <v>3238</v>
      </c>
      <c r="D1459" s="1" t="s">
        <v>17774</v>
      </c>
      <c r="E1459" s="1" t="s">
        <v>17760</v>
      </c>
      <c r="F1459" s="1"/>
      <c r="G1459" s="1"/>
      <c r="H1459" s="1"/>
      <c r="I1459" s="1"/>
      <c r="J1459" s="1"/>
      <c r="K1459" s="1" t="s">
        <v>2922</v>
      </c>
    </row>
    <row r="1460" ht="14.25" customHeight="1">
      <c r="A1460" s="3" t="s">
        <v>11270</v>
      </c>
      <c r="B1460" s="1">
        <v>7.1</v>
      </c>
      <c r="C1460" s="1" t="s">
        <v>1270</v>
      </c>
      <c r="D1460" s="1" t="s">
        <v>1885</v>
      </c>
      <c r="E1460" s="1" t="s">
        <v>17761</v>
      </c>
      <c r="F1460" s="1"/>
      <c r="G1460" s="1"/>
      <c r="H1460" s="1"/>
      <c r="I1460" s="1"/>
      <c r="J1460" s="1"/>
      <c r="K1460" s="1" t="s">
        <v>11269</v>
      </c>
    </row>
    <row r="1461" ht="14.25" customHeight="1">
      <c r="A1461" s="3" t="s">
        <v>2377</v>
      </c>
      <c r="B1461" s="1">
        <v>6.9</v>
      </c>
      <c r="C1461" s="1" t="s">
        <v>917</v>
      </c>
      <c r="D1461" s="1" t="s">
        <v>1885</v>
      </c>
      <c r="E1461" s="1" t="s">
        <v>17761</v>
      </c>
      <c r="F1461" s="1"/>
      <c r="G1461" s="1"/>
      <c r="H1461" s="1"/>
      <c r="I1461" s="1"/>
      <c r="J1461" s="1"/>
      <c r="K1461" s="1" t="s">
        <v>2376</v>
      </c>
    </row>
    <row r="1462" ht="14.25" customHeight="1">
      <c r="A1462" s="3" t="s">
        <v>2377</v>
      </c>
      <c r="B1462" s="1">
        <v>7.5</v>
      </c>
      <c r="C1462" s="1" t="s">
        <v>917</v>
      </c>
      <c r="D1462" s="1" t="s">
        <v>1885</v>
      </c>
      <c r="E1462" s="1" t="s">
        <v>17761</v>
      </c>
      <c r="F1462" s="1"/>
      <c r="G1462" s="1"/>
      <c r="H1462" s="1"/>
      <c r="I1462" s="1"/>
      <c r="J1462" s="1"/>
      <c r="K1462" s="1" t="s">
        <v>7723</v>
      </c>
    </row>
    <row r="1463" ht="14.25" customHeight="1">
      <c r="A1463" s="3" t="s">
        <v>11297</v>
      </c>
      <c r="B1463" s="1">
        <v>6.3</v>
      </c>
      <c r="C1463" s="1" t="s">
        <v>1885</v>
      </c>
      <c r="D1463" s="1" t="s">
        <v>17763</v>
      </c>
      <c r="E1463" s="1" t="s">
        <v>17761</v>
      </c>
      <c r="F1463" s="1"/>
      <c r="G1463" s="1"/>
      <c r="H1463" s="1"/>
      <c r="I1463" s="1"/>
      <c r="J1463" s="1"/>
      <c r="K1463" s="1" t="s">
        <v>11296</v>
      </c>
    </row>
    <row r="1464" ht="14.25" customHeight="1">
      <c r="A1464" s="3" t="s">
        <v>11297</v>
      </c>
      <c r="B1464" s="1">
        <v>6.4</v>
      </c>
      <c r="C1464" s="1" t="s">
        <v>1885</v>
      </c>
      <c r="D1464" s="1" t="s">
        <v>17763</v>
      </c>
      <c r="E1464" s="1" t="s">
        <v>17761</v>
      </c>
      <c r="F1464" s="1"/>
      <c r="G1464" s="1"/>
      <c r="H1464" s="1"/>
      <c r="I1464" s="1"/>
      <c r="J1464" s="1"/>
      <c r="K1464" s="1" t="s">
        <v>11879</v>
      </c>
    </row>
    <row r="1465" ht="14.25" customHeight="1">
      <c r="A1465" s="3" t="s">
        <v>11297</v>
      </c>
      <c r="B1465" s="1">
        <v>5.9</v>
      </c>
      <c r="C1465" s="1" t="s">
        <v>1885</v>
      </c>
      <c r="D1465" s="1" t="s">
        <v>17763</v>
      </c>
      <c r="E1465" s="1" t="s">
        <v>17761</v>
      </c>
      <c r="F1465" s="1"/>
      <c r="G1465" s="1"/>
      <c r="H1465" s="1"/>
      <c r="I1465" s="1"/>
      <c r="J1465" s="1"/>
      <c r="K1465" s="1" t="s">
        <v>15500</v>
      </c>
    </row>
    <row r="1466" ht="14.25" customHeight="1">
      <c r="A1466" s="3" t="s">
        <v>11297</v>
      </c>
      <c r="B1466" s="1">
        <v>6.8</v>
      </c>
      <c r="C1466" s="1" t="s">
        <v>1885</v>
      </c>
      <c r="D1466" s="1" t="s">
        <v>17763</v>
      </c>
      <c r="E1466" s="1" t="s">
        <v>17761</v>
      </c>
      <c r="F1466" s="1"/>
      <c r="G1466" s="1"/>
      <c r="H1466" s="1"/>
      <c r="I1466" s="1"/>
      <c r="J1466" s="1"/>
      <c r="K1466" s="1" t="s">
        <v>16735</v>
      </c>
    </row>
    <row r="1467" ht="14.25" customHeight="1">
      <c r="A1467" s="3" t="s">
        <v>6223</v>
      </c>
      <c r="B1467" s="1">
        <v>6.3</v>
      </c>
      <c r="C1467" s="1" t="s">
        <v>917</v>
      </c>
      <c r="D1467" s="1" t="s">
        <v>3238</v>
      </c>
      <c r="E1467" s="1" t="s">
        <v>17761</v>
      </c>
      <c r="F1467" s="1"/>
      <c r="G1467" s="1"/>
      <c r="H1467" s="1"/>
      <c r="I1467" s="1"/>
      <c r="J1467" s="1"/>
      <c r="K1467" s="1" t="s">
        <v>6222</v>
      </c>
    </row>
    <row r="1468" ht="14.25" customHeight="1">
      <c r="A1468" s="3" t="s">
        <v>10510</v>
      </c>
      <c r="B1468" s="1">
        <v>3.6</v>
      </c>
      <c r="C1468" s="1" t="s">
        <v>17763</v>
      </c>
      <c r="D1468" s="1" t="s">
        <v>3238</v>
      </c>
      <c r="E1468" s="1" t="s">
        <v>17761</v>
      </c>
      <c r="F1468" s="1"/>
      <c r="G1468" s="1"/>
      <c r="H1468" s="1"/>
      <c r="I1468" s="1"/>
      <c r="J1468" s="1"/>
      <c r="K1468" s="1" t="s">
        <v>10509</v>
      </c>
    </row>
    <row r="1469" ht="14.25" customHeight="1">
      <c r="A1469" s="3" t="s">
        <v>10510</v>
      </c>
      <c r="B1469" s="1">
        <v>5.3</v>
      </c>
      <c r="C1469" s="1" t="s">
        <v>17763</v>
      </c>
      <c r="D1469" s="1" t="s">
        <v>3238</v>
      </c>
      <c r="E1469" s="1" t="s">
        <v>17761</v>
      </c>
      <c r="F1469" s="1"/>
      <c r="G1469" s="1"/>
      <c r="H1469" s="1"/>
      <c r="I1469" s="1"/>
      <c r="J1469" s="1"/>
      <c r="K1469" s="1" t="s">
        <v>12480</v>
      </c>
    </row>
    <row r="1470" ht="14.25" customHeight="1">
      <c r="A1470" s="3" t="s">
        <v>10510</v>
      </c>
      <c r="B1470" s="1">
        <v>5.9</v>
      </c>
      <c r="C1470" s="1" t="s">
        <v>17763</v>
      </c>
      <c r="D1470" s="1" t="s">
        <v>3238</v>
      </c>
      <c r="E1470" s="1" t="s">
        <v>17761</v>
      </c>
      <c r="F1470" s="1"/>
      <c r="G1470" s="1"/>
      <c r="H1470" s="1"/>
      <c r="I1470" s="1"/>
      <c r="J1470" s="1"/>
      <c r="K1470" s="1" t="s">
        <v>15386</v>
      </c>
    </row>
    <row r="1471" ht="14.25" customHeight="1">
      <c r="A1471" s="3" t="s">
        <v>10510</v>
      </c>
      <c r="B1471" s="1">
        <v>6.9</v>
      </c>
      <c r="C1471" s="1" t="s">
        <v>17763</v>
      </c>
      <c r="D1471" s="1" t="s">
        <v>3238</v>
      </c>
      <c r="E1471" s="1" t="s">
        <v>17761</v>
      </c>
      <c r="F1471" s="1"/>
      <c r="G1471" s="1"/>
      <c r="H1471" s="1"/>
      <c r="I1471" s="1"/>
      <c r="J1471" s="1"/>
      <c r="K1471" s="1" t="s">
        <v>16926</v>
      </c>
    </row>
    <row r="1472" ht="14.25" customHeight="1">
      <c r="A1472" s="3" t="s">
        <v>8087</v>
      </c>
      <c r="B1472" s="1">
        <v>6.9</v>
      </c>
      <c r="C1472" s="1" t="s">
        <v>917</v>
      </c>
      <c r="D1472" s="1" t="s">
        <v>17759</v>
      </c>
      <c r="E1472" s="1" t="s">
        <v>17761</v>
      </c>
      <c r="F1472" s="1"/>
      <c r="G1472" s="1"/>
      <c r="H1472" s="1"/>
      <c r="I1472" s="1"/>
      <c r="J1472" s="1"/>
      <c r="K1472" s="1" t="s">
        <v>8086</v>
      </c>
    </row>
    <row r="1473" ht="14.25" customHeight="1">
      <c r="A1473" s="3" t="s">
        <v>4933</v>
      </c>
      <c r="B1473" s="1">
        <v>6.1</v>
      </c>
      <c r="C1473" s="1" t="s">
        <v>917</v>
      </c>
      <c r="D1473" s="1" t="s">
        <v>6019</v>
      </c>
      <c r="E1473" s="1" t="s">
        <v>17761</v>
      </c>
      <c r="F1473" s="1"/>
      <c r="G1473" s="1"/>
      <c r="H1473" s="1"/>
      <c r="I1473" s="1"/>
      <c r="J1473" s="1"/>
      <c r="K1473" s="1" t="s">
        <v>4932</v>
      </c>
    </row>
    <row r="1474" ht="14.25" customHeight="1">
      <c r="A1474" s="3" t="s">
        <v>15606</v>
      </c>
      <c r="B1474" s="1">
        <v>8.5</v>
      </c>
      <c r="C1474" s="1" t="s">
        <v>1885</v>
      </c>
      <c r="D1474" s="1" t="s">
        <v>6019</v>
      </c>
      <c r="E1474" s="1" t="s">
        <v>17761</v>
      </c>
      <c r="F1474" s="1"/>
      <c r="G1474" s="1"/>
      <c r="H1474" s="1"/>
      <c r="I1474" s="1"/>
      <c r="J1474" s="1"/>
      <c r="K1474" s="1" t="s">
        <v>15605</v>
      </c>
    </row>
    <row r="1475" ht="14.25" customHeight="1">
      <c r="A1475" s="3" t="s">
        <v>11950</v>
      </c>
      <c r="B1475" s="1">
        <v>6.3</v>
      </c>
      <c r="C1475" s="1" t="s">
        <v>17759</v>
      </c>
      <c r="D1475" s="1" t="s">
        <v>6019</v>
      </c>
      <c r="E1475" s="1" t="s">
        <v>17761</v>
      </c>
      <c r="F1475" s="1"/>
      <c r="G1475" s="1"/>
      <c r="H1475" s="1"/>
      <c r="I1475" s="1"/>
      <c r="J1475" s="1"/>
      <c r="K1475" s="1" t="s">
        <v>11949</v>
      </c>
    </row>
    <row r="1476" ht="14.25" customHeight="1">
      <c r="A1476" s="3" t="s">
        <v>73</v>
      </c>
      <c r="B1476" s="1">
        <v>7.3</v>
      </c>
      <c r="C1476" s="1" t="s">
        <v>1270</v>
      </c>
      <c r="D1476" s="1" t="s">
        <v>917</v>
      </c>
      <c r="E1476" s="1" t="s">
        <v>17762</v>
      </c>
      <c r="F1476" s="1"/>
      <c r="G1476" s="1"/>
      <c r="H1476" s="1"/>
      <c r="I1476" s="1"/>
      <c r="J1476" s="1"/>
      <c r="K1476" s="1" t="s">
        <v>72</v>
      </c>
    </row>
    <row r="1477" ht="14.25" customHeight="1">
      <c r="A1477" s="3" t="s">
        <v>73</v>
      </c>
      <c r="B1477" s="1">
        <v>6.3</v>
      </c>
      <c r="C1477" s="1" t="s">
        <v>1270</v>
      </c>
      <c r="D1477" s="1" t="s">
        <v>917</v>
      </c>
      <c r="E1477" s="1" t="s">
        <v>17762</v>
      </c>
      <c r="F1477" s="1"/>
      <c r="G1477" s="1"/>
      <c r="H1477" s="1"/>
      <c r="I1477" s="1"/>
      <c r="J1477" s="1"/>
      <c r="K1477" s="1" t="s">
        <v>2247</v>
      </c>
    </row>
    <row r="1478" ht="14.25" customHeight="1">
      <c r="A1478" s="3" t="s">
        <v>73</v>
      </c>
      <c r="B1478" s="1">
        <v>7.2</v>
      </c>
      <c r="C1478" s="1" t="s">
        <v>1270</v>
      </c>
      <c r="D1478" s="1" t="s">
        <v>917</v>
      </c>
      <c r="E1478" s="1" t="s">
        <v>17762</v>
      </c>
      <c r="F1478" s="1"/>
      <c r="G1478" s="1"/>
      <c r="H1478" s="1"/>
      <c r="I1478" s="1"/>
      <c r="J1478" s="1"/>
      <c r="K1478" s="1" t="s">
        <v>5823</v>
      </c>
    </row>
    <row r="1479" ht="14.25" customHeight="1">
      <c r="A1479" s="3" t="s">
        <v>73</v>
      </c>
      <c r="B1479" s="1">
        <v>7.3</v>
      </c>
      <c r="C1479" s="1" t="s">
        <v>1270</v>
      </c>
      <c r="D1479" s="1" t="s">
        <v>917</v>
      </c>
      <c r="E1479" s="1" t="s">
        <v>17762</v>
      </c>
      <c r="F1479" s="1"/>
      <c r="G1479" s="1"/>
      <c r="H1479" s="1"/>
      <c r="I1479" s="1"/>
      <c r="J1479" s="1"/>
      <c r="K1479" s="1" t="s">
        <v>6264</v>
      </c>
    </row>
    <row r="1480" ht="14.25" customHeight="1">
      <c r="A1480" s="3" t="s">
        <v>73</v>
      </c>
      <c r="B1480" s="1">
        <v>6.3</v>
      </c>
      <c r="C1480" s="1" t="s">
        <v>1270</v>
      </c>
      <c r="D1480" s="1" t="s">
        <v>917</v>
      </c>
      <c r="E1480" s="1" t="s">
        <v>17762</v>
      </c>
      <c r="F1480" s="1"/>
      <c r="G1480" s="1"/>
      <c r="H1480" s="1"/>
      <c r="I1480" s="1"/>
      <c r="J1480" s="1"/>
      <c r="K1480" s="1" t="s">
        <v>72</v>
      </c>
    </row>
    <row r="1481" ht="14.25" customHeight="1">
      <c r="A1481" s="3" t="s">
        <v>1367</v>
      </c>
      <c r="B1481" s="1">
        <v>8.1</v>
      </c>
      <c r="C1481" s="1" t="s">
        <v>1270</v>
      </c>
      <c r="D1481" s="1" t="s">
        <v>1885</v>
      </c>
      <c r="E1481" s="1" t="s">
        <v>17762</v>
      </c>
      <c r="F1481" s="1"/>
      <c r="G1481" s="1"/>
      <c r="H1481" s="1"/>
      <c r="I1481" s="1"/>
      <c r="J1481" s="1"/>
      <c r="K1481" s="1" t="s">
        <v>1366</v>
      </c>
    </row>
    <row r="1482" ht="14.25" customHeight="1">
      <c r="A1482" s="3" t="s">
        <v>1367</v>
      </c>
      <c r="B1482" s="1">
        <v>6.9</v>
      </c>
      <c r="C1482" s="1" t="s">
        <v>1270</v>
      </c>
      <c r="D1482" s="1" t="s">
        <v>1885</v>
      </c>
      <c r="E1482" s="1" t="s">
        <v>17762</v>
      </c>
      <c r="F1482" s="1"/>
      <c r="G1482" s="1"/>
      <c r="H1482" s="1"/>
      <c r="I1482" s="1"/>
      <c r="J1482" s="1"/>
      <c r="K1482" s="1" t="s">
        <v>3553</v>
      </c>
    </row>
    <row r="1483" ht="14.25" customHeight="1">
      <c r="A1483" s="3" t="s">
        <v>1367</v>
      </c>
      <c r="B1483" s="1">
        <v>6.3</v>
      </c>
      <c r="C1483" s="1" t="s">
        <v>1270</v>
      </c>
      <c r="D1483" s="1" t="s">
        <v>1885</v>
      </c>
      <c r="E1483" s="1" t="s">
        <v>17762</v>
      </c>
      <c r="F1483" s="1"/>
      <c r="G1483" s="1"/>
      <c r="H1483" s="1"/>
      <c r="I1483" s="1"/>
      <c r="J1483" s="1"/>
      <c r="K1483" s="1" t="s">
        <v>5638</v>
      </c>
    </row>
    <row r="1484" ht="14.25" customHeight="1">
      <c r="A1484" s="3" t="s">
        <v>1367</v>
      </c>
      <c r="B1484" s="1">
        <v>7.3</v>
      </c>
      <c r="C1484" s="1" t="s">
        <v>1270</v>
      </c>
      <c r="D1484" s="1" t="s">
        <v>1885</v>
      </c>
      <c r="E1484" s="1" t="s">
        <v>17762</v>
      </c>
      <c r="F1484" s="1"/>
      <c r="G1484" s="1"/>
      <c r="H1484" s="1"/>
      <c r="I1484" s="1"/>
      <c r="J1484" s="1"/>
      <c r="K1484" s="1" t="s">
        <v>9654</v>
      </c>
    </row>
    <row r="1485" ht="14.25" customHeight="1">
      <c r="A1485" s="3" t="s">
        <v>1367</v>
      </c>
      <c r="B1485" s="1">
        <v>5.5</v>
      </c>
      <c r="C1485" s="1" t="s">
        <v>1270</v>
      </c>
      <c r="D1485" s="1" t="s">
        <v>1885</v>
      </c>
      <c r="E1485" s="1" t="s">
        <v>17762</v>
      </c>
      <c r="F1485" s="1"/>
      <c r="G1485" s="1"/>
      <c r="H1485" s="1"/>
      <c r="I1485" s="1"/>
      <c r="J1485" s="1"/>
      <c r="K1485" s="1" t="s">
        <v>13401</v>
      </c>
    </row>
    <row r="1486" ht="14.25" customHeight="1">
      <c r="A1486" s="3" t="s">
        <v>1367</v>
      </c>
      <c r="B1486" s="1">
        <v>6.1</v>
      </c>
      <c r="C1486" s="1" t="s">
        <v>1270</v>
      </c>
      <c r="D1486" s="1" t="s">
        <v>1885</v>
      </c>
      <c r="E1486" s="1" t="s">
        <v>17762</v>
      </c>
      <c r="F1486" s="1"/>
      <c r="G1486" s="1"/>
      <c r="H1486" s="1"/>
      <c r="I1486" s="1"/>
      <c r="J1486" s="1"/>
      <c r="K1486" s="1" t="s">
        <v>15778</v>
      </c>
    </row>
    <row r="1487" ht="14.25" customHeight="1">
      <c r="A1487" s="3" t="s">
        <v>10600</v>
      </c>
      <c r="B1487" s="1">
        <v>6.9</v>
      </c>
      <c r="C1487" s="1" t="s">
        <v>917</v>
      </c>
      <c r="D1487" s="1" t="s">
        <v>1885</v>
      </c>
      <c r="E1487" s="1" t="s">
        <v>17762</v>
      </c>
      <c r="F1487" s="1"/>
      <c r="G1487" s="1"/>
      <c r="H1487" s="1"/>
      <c r="I1487" s="1"/>
      <c r="J1487" s="1"/>
      <c r="K1487" s="1" t="s">
        <v>10599</v>
      </c>
    </row>
    <row r="1488" ht="14.25" customHeight="1">
      <c r="A1488" s="3" t="s">
        <v>6775</v>
      </c>
      <c r="B1488" s="1">
        <v>7.2</v>
      </c>
      <c r="C1488" s="1" t="s">
        <v>17765</v>
      </c>
      <c r="D1488" s="1" t="s">
        <v>1885</v>
      </c>
      <c r="E1488" s="1" t="s">
        <v>17762</v>
      </c>
      <c r="F1488" s="1"/>
      <c r="G1488" s="1"/>
      <c r="H1488" s="1"/>
      <c r="I1488" s="1"/>
      <c r="J1488" s="1"/>
      <c r="K1488" s="1" t="s">
        <v>6774</v>
      </c>
    </row>
    <row r="1489" ht="14.25" customHeight="1">
      <c r="A1489" s="3" t="s">
        <v>6775</v>
      </c>
      <c r="B1489" s="1">
        <v>6.4</v>
      </c>
      <c r="C1489" s="1" t="s">
        <v>17765</v>
      </c>
      <c r="D1489" s="1" t="s">
        <v>1885</v>
      </c>
      <c r="E1489" s="1" t="s">
        <v>17762</v>
      </c>
      <c r="F1489" s="1"/>
      <c r="G1489" s="1"/>
      <c r="H1489" s="1"/>
      <c r="I1489" s="1"/>
      <c r="J1489" s="1"/>
      <c r="K1489" s="1" t="s">
        <v>17653</v>
      </c>
    </row>
    <row r="1490" ht="14.25" customHeight="1">
      <c r="A1490" s="3" t="s">
        <v>4045</v>
      </c>
      <c r="B1490" s="1">
        <v>6.4</v>
      </c>
      <c r="C1490" s="1" t="s">
        <v>1885</v>
      </c>
      <c r="D1490" s="1" t="s">
        <v>17763</v>
      </c>
      <c r="E1490" s="1" t="s">
        <v>17762</v>
      </c>
      <c r="F1490" s="1"/>
      <c r="G1490" s="1"/>
      <c r="H1490" s="1"/>
      <c r="I1490" s="1"/>
      <c r="J1490" s="1"/>
      <c r="K1490" s="1" t="s">
        <v>4044</v>
      </c>
    </row>
    <row r="1491" ht="14.25" customHeight="1">
      <c r="A1491" s="3" t="s">
        <v>4045</v>
      </c>
      <c r="B1491" s="1">
        <v>8.3</v>
      </c>
      <c r="C1491" s="1" t="s">
        <v>1885</v>
      </c>
      <c r="D1491" s="1" t="s">
        <v>17763</v>
      </c>
      <c r="E1491" s="1" t="s">
        <v>17762</v>
      </c>
      <c r="F1491" s="1"/>
      <c r="G1491" s="1"/>
      <c r="H1491" s="1"/>
      <c r="I1491" s="1"/>
      <c r="J1491" s="1"/>
      <c r="K1491" s="1" t="s">
        <v>4597</v>
      </c>
    </row>
    <row r="1492" ht="14.25" customHeight="1">
      <c r="A1492" s="3" t="s">
        <v>4045</v>
      </c>
      <c r="B1492" s="1">
        <v>7.2</v>
      </c>
      <c r="C1492" s="1" t="s">
        <v>1885</v>
      </c>
      <c r="D1492" s="1" t="s">
        <v>17763</v>
      </c>
      <c r="E1492" s="1" t="s">
        <v>17762</v>
      </c>
      <c r="F1492" s="1"/>
      <c r="G1492" s="1"/>
      <c r="H1492" s="1"/>
      <c r="I1492" s="1"/>
      <c r="J1492" s="1"/>
      <c r="K1492" s="1" t="s">
        <v>6087</v>
      </c>
    </row>
    <row r="1493" ht="14.25" customHeight="1">
      <c r="A1493" s="3" t="s">
        <v>4045</v>
      </c>
      <c r="B1493" s="1">
        <v>6.8</v>
      </c>
      <c r="C1493" s="1" t="s">
        <v>1885</v>
      </c>
      <c r="D1493" s="1" t="s">
        <v>17763</v>
      </c>
      <c r="E1493" s="1" t="s">
        <v>17762</v>
      </c>
      <c r="F1493" s="1"/>
      <c r="G1493" s="1"/>
      <c r="H1493" s="1"/>
      <c r="I1493" s="1"/>
      <c r="J1493" s="1"/>
      <c r="K1493" s="1" t="s">
        <v>6196</v>
      </c>
    </row>
    <row r="1494" ht="14.25" customHeight="1">
      <c r="A1494" s="3" t="s">
        <v>4045</v>
      </c>
      <c r="B1494" s="1">
        <v>6.5</v>
      </c>
      <c r="C1494" s="1" t="s">
        <v>1885</v>
      </c>
      <c r="D1494" s="1" t="s">
        <v>17763</v>
      </c>
      <c r="E1494" s="1" t="s">
        <v>17762</v>
      </c>
      <c r="F1494" s="1"/>
      <c r="G1494" s="1"/>
      <c r="H1494" s="1"/>
      <c r="I1494" s="1"/>
      <c r="J1494" s="1"/>
      <c r="K1494" s="1" t="s">
        <v>6576</v>
      </c>
    </row>
    <row r="1495" ht="14.25" customHeight="1">
      <c r="A1495" s="3" t="s">
        <v>4045</v>
      </c>
      <c r="B1495" s="1">
        <v>7.8</v>
      </c>
      <c r="C1495" s="1" t="s">
        <v>1885</v>
      </c>
      <c r="D1495" s="1" t="s">
        <v>17763</v>
      </c>
      <c r="E1495" s="1" t="s">
        <v>17762</v>
      </c>
      <c r="F1495" s="1"/>
      <c r="G1495" s="1"/>
      <c r="H1495" s="1"/>
      <c r="I1495" s="1"/>
      <c r="J1495" s="1"/>
      <c r="K1495" s="1" t="s">
        <v>9578</v>
      </c>
    </row>
    <row r="1496" ht="14.25" customHeight="1">
      <c r="A1496" s="3" t="s">
        <v>4045</v>
      </c>
      <c r="B1496" s="1">
        <v>7.6</v>
      </c>
      <c r="C1496" s="1" t="s">
        <v>1885</v>
      </c>
      <c r="D1496" s="1" t="s">
        <v>17763</v>
      </c>
      <c r="E1496" s="1" t="s">
        <v>17762</v>
      </c>
      <c r="F1496" s="1"/>
      <c r="G1496" s="1"/>
      <c r="H1496" s="1"/>
      <c r="I1496" s="1"/>
      <c r="J1496" s="1"/>
      <c r="K1496" s="1" t="s">
        <v>13544</v>
      </c>
    </row>
    <row r="1497" ht="14.25" customHeight="1">
      <c r="A1497" s="3" t="s">
        <v>4045</v>
      </c>
      <c r="B1497" s="1">
        <v>7.2</v>
      </c>
      <c r="C1497" s="1" t="s">
        <v>1885</v>
      </c>
      <c r="D1497" s="1" t="s">
        <v>17763</v>
      </c>
      <c r="E1497" s="1" t="s">
        <v>17762</v>
      </c>
      <c r="F1497" s="1"/>
      <c r="G1497" s="1"/>
      <c r="H1497" s="1"/>
      <c r="I1497" s="1"/>
      <c r="J1497" s="1"/>
      <c r="K1497" s="1" t="s">
        <v>14198</v>
      </c>
    </row>
    <row r="1498" ht="14.25" customHeight="1">
      <c r="A1498" s="3" t="s">
        <v>4045</v>
      </c>
      <c r="B1498" s="1">
        <v>6.7</v>
      </c>
      <c r="C1498" s="1" t="s">
        <v>1885</v>
      </c>
      <c r="D1498" s="1" t="s">
        <v>17763</v>
      </c>
      <c r="E1498" s="1" t="s">
        <v>17762</v>
      </c>
      <c r="F1498" s="1"/>
      <c r="G1498" s="1"/>
      <c r="H1498" s="1"/>
      <c r="I1498" s="1"/>
      <c r="J1498" s="1"/>
      <c r="K1498" s="1" t="s">
        <v>14819</v>
      </c>
    </row>
    <row r="1499" ht="14.25" customHeight="1">
      <c r="A1499" s="3" t="s">
        <v>4045</v>
      </c>
      <c r="B1499" s="1">
        <v>6.8</v>
      </c>
      <c r="C1499" s="1" t="s">
        <v>1885</v>
      </c>
      <c r="D1499" s="1" t="s">
        <v>17763</v>
      </c>
      <c r="E1499" s="1" t="s">
        <v>17762</v>
      </c>
      <c r="F1499" s="1"/>
      <c r="G1499" s="1"/>
      <c r="H1499" s="1"/>
      <c r="I1499" s="1"/>
      <c r="J1499" s="1"/>
      <c r="K1499" s="1" t="s">
        <v>15596</v>
      </c>
    </row>
    <row r="1500" ht="14.25" customHeight="1">
      <c r="A1500" s="3" t="s">
        <v>4045</v>
      </c>
      <c r="B1500" s="1">
        <v>6.3</v>
      </c>
      <c r="C1500" s="1" t="s">
        <v>1885</v>
      </c>
      <c r="D1500" s="1" t="s">
        <v>17763</v>
      </c>
      <c r="E1500" s="1" t="s">
        <v>17762</v>
      </c>
      <c r="F1500" s="1"/>
      <c r="G1500" s="1"/>
      <c r="H1500" s="1"/>
      <c r="I1500" s="1"/>
      <c r="J1500" s="1"/>
      <c r="K1500" s="1" t="s">
        <v>16545</v>
      </c>
    </row>
    <row r="1501" ht="14.25" customHeight="1">
      <c r="A1501" s="3" t="s">
        <v>1610</v>
      </c>
      <c r="B1501" s="1">
        <v>6.2</v>
      </c>
      <c r="C1501" s="1" t="s">
        <v>1270</v>
      </c>
      <c r="D1501" s="1" t="s">
        <v>3238</v>
      </c>
      <c r="E1501" s="1" t="s">
        <v>17762</v>
      </c>
      <c r="F1501" s="1"/>
      <c r="G1501" s="1"/>
      <c r="H1501" s="1"/>
      <c r="I1501" s="1"/>
      <c r="J1501" s="1"/>
      <c r="K1501" s="1" t="s">
        <v>1609</v>
      </c>
    </row>
    <row r="1502" ht="14.25" customHeight="1">
      <c r="A1502" s="3" t="s">
        <v>1610</v>
      </c>
      <c r="B1502" s="1">
        <v>6.2</v>
      </c>
      <c r="C1502" s="1" t="s">
        <v>1270</v>
      </c>
      <c r="D1502" s="1" t="s">
        <v>3238</v>
      </c>
      <c r="E1502" s="1" t="s">
        <v>17762</v>
      </c>
      <c r="F1502" s="1"/>
      <c r="G1502" s="1"/>
      <c r="H1502" s="1"/>
      <c r="I1502" s="1"/>
      <c r="J1502" s="1"/>
      <c r="K1502" s="1" t="s">
        <v>11422</v>
      </c>
    </row>
    <row r="1503" ht="14.25" customHeight="1">
      <c r="A1503" s="3" t="s">
        <v>1610</v>
      </c>
      <c r="B1503" s="1">
        <v>8.6</v>
      </c>
      <c r="C1503" s="1" t="s">
        <v>1270</v>
      </c>
      <c r="D1503" s="1" t="s">
        <v>3238</v>
      </c>
      <c r="E1503" s="1" t="s">
        <v>17762</v>
      </c>
      <c r="F1503" s="1"/>
      <c r="G1503" s="1"/>
      <c r="H1503" s="1"/>
      <c r="I1503" s="1"/>
      <c r="J1503" s="1"/>
      <c r="K1503" s="1" t="s">
        <v>11426</v>
      </c>
    </row>
    <row r="1504" ht="14.25" customHeight="1">
      <c r="A1504" s="3" t="s">
        <v>2223</v>
      </c>
      <c r="B1504" s="1">
        <v>8.0</v>
      </c>
      <c r="C1504" s="1" t="s">
        <v>917</v>
      </c>
      <c r="D1504" s="1" t="s">
        <v>3238</v>
      </c>
      <c r="E1504" s="1" t="s">
        <v>17762</v>
      </c>
      <c r="F1504" s="1"/>
      <c r="G1504" s="1"/>
      <c r="H1504" s="1"/>
      <c r="I1504" s="1"/>
      <c r="J1504" s="1"/>
      <c r="K1504" s="1" t="s">
        <v>2222</v>
      </c>
    </row>
    <row r="1505" ht="14.25" customHeight="1">
      <c r="A1505" s="3" t="s">
        <v>2223</v>
      </c>
      <c r="B1505" s="1">
        <v>7.0</v>
      </c>
      <c r="C1505" s="1" t="s">
        <v>917</v>
      </c>
      <c r="D1505" s="1" t="s">
        <v>3238</v>
      </c>
      <c r="E1505" s="1" t="s">
        <v>17762</v>
      </c>
      <c r="F1505" s="1"/>
      <c r="G1505" s="1"/>
      <c r="H1505" s="1"/>
      <c r="I1505" s="1"/>
      <c r="J1505" s="1"/>
      <c r="K1505" s="1" t="s">
        <v>6133</v>
      </c>
    </row>
    <row r="1506" ht="14.25" customHeight="1">
      <c r="A1506" s="3" t="s">
        <v>2223</v>
      </c>
      <c r="B1506" s="1">
        <v>8.0</v>
      </c>
      <c r="C1506" s="1" t="s">
        <v>917</v>
      </c>
      <c r="D1506" s="1" t="s">
        <v>3238</v>
      </c>
      <c r="E1506" s="1" t="s">
        <v>17762</v>
      </c>
      <c r="F1506" s="1"/>
      <c r="G1506" s="1"/>
      <c r="H1506" s="1"/>
      <c r="I1506" s="1"/>
      <c r="J1506" s="1"/>
      <c r="K1506" s="1" t="s">
        <v>7294</v>
      </c>
    </row>
    <row r="1507" ht="14.25" customHeight="1">
      <c r="A1507" s="3" t="s">
        <v>2223</v>
      </c>
      <c r="B1507" s="1">
        <v>8.1</v>
      </c>
      <c r="C1507" s="1" t="s">
        <v>917</v>
      </c>
      <c r="D1507" s="1" t="s">
        <v>3238</v>
      </c>
      <c r="E1507" s="1" t="s">
        <v>17762</v>
      </c>
      <c r="F1507" s="1"/>
      <c r="G1507" s="1"/>
      <c r="H1507" s="1"/>
      <c r="I1507" s="1"/>
      <c r="J1507" s="1"/>
      <c r="K1507" s="1" t="s">
        <v>13061</v>
      </c>
    </row>
    <row r="1508" ht="14.25" customHeight="1">
      <c r="A1508" s="3" t="s">
        <v>5942</v>
      </c>
      <c r="B1508" s="1">
        <v>6.7</v>
      </c>
      <c r="C1508" s="1" t="s">
        <v>17765</v>
      </c>
      <c r="D1508" s="1" t="s">
        <v>3238</v>
      </c>
      <c r="E1508" s="1" t="s">
        <v>17762</v>
      </c>
      <c r="F1508" s="1"/>
      <c r="G1508" s="1"/>
      <c r="H1508" s="1"/>
      <c r="I1508" s="1"/>
      <c r="J1508" s="1"/>
      <c r="K1508" s="1" t="s">
        <v>5941</v>
      </c>
    </row>
    <row r="1509" ht="14.25" customHeight="1">
      <c r="A1509" s="3" t="s">
        <v>5942</v>
      </c>
      <c r="B1509" s="1">
        <v>7.9</v>
      </c>
      <c r="C1509" s="1" t="s">
        <v>17765</v>
      </c>
      <c r="D1509" s="1" t="s">
        <v>3238</v>
      </c>
      <c r="E1509" s="1" t="s">
        <v>17762</v>
      </c>
      <c r="F1509" s="1"/>
      <c r="G1509" s="1"/>
      <c r="H1509" s="1"/>
      <c r="I1509" s="1"/>
      <c r="J1509" s="1"/>
      <c r="K1509" s="1" t="s">
        <v>6383</v>
      </c>
    </row>
    <row r="1510" ht="14.25" customHeight="1">
      <c r="A1510" s="3" t="s">
        <v>5942</v>
      </c>
      <c r="B1510" s="1">
        <v>6.1</v>
      </c>
      <c r="C1510" s="1" t="s">
        <v>17765</v>
      </c>
      <c r="D1510" s="1" t="s">
        <v>3238</v>
      </c>
      <c r="E1510" s="1" t="s">
        <v>17762</v>
      </c>
      <c r="F1510" s="1"/>
      <c r="G1510" s="1"/>
      <c r="H1510" s="1"/>
      <c r="I1510" s="1"/>
      <c r="J1510" s="1"/>
      <c r="K1510" s="1" t="s">
        <v>7524</v>
      </c>
    </row>
    <row r="1511" ht="14.25" customHeight="1">
      <c r="A1511" s="3" t="s">
        <v>5942</v>
      </c>
      <c r="B1511" s="1">
        <v>4.2</v>
      </c>
      <c r="C1511" s="1" t="s">
        <v>17765</v>
      </c>
      <c r="D1511" s="1" t="s">
        <v>3238</v>
      </c>
      <c r="E1511" s="1" t="s">
        <v>17762</v>
      </c>
      <c r="F1511" s="1"/>
      <c r="G1511" s="1"/>
      <c r="H1511" s="1"/>
      <c r="I1511" s="1"/>
      <c r="J1511" s="1"/>
      <c r="K1511" s="1" t="s">
        <v>8120</v>
      </c>
    </row>
    <row r="1512" ht="14.25" customHeight="1">
      <c r="A1512" s="3" t="s">
        <v>5942</v>
      </c>
      <c r="B1512" s="1">
        <v>6.1</v>
      </c>
      <c r="C1512" s="1" t="s">
        <v>17765</v>
      </c>
      <c r="D1512" s="1" t="s">
        <v>3238</v>
      </c>
      <c r="E1512" s="1" t="s">
        <v>17762</v>
      </c>
      <c r="F1512" s="1"/>
      <c r="G1512" s="1"/>
      <c r="H1512" s="1"/>
      <c r="I1512" s="1"/>
      <c r="J1512" s="1"/>
      <c r="K1512" s="1" t="s">
        <v>9563</v>
      </c>
    </row>
    <row r="1513" ht="14.25" customHeight="1">
      <c r="A1513" s="3" t="s">
        <v>5942</v>
      </c>
      <c r="B1513" s="1">
        <v>6.6</v>
      </c>
      <c r="C1513" s="1" t="s">
        <v>17765</v>
      </c>
      <c r="D1513" s="1" t="s">
        <v>3238</v>
      </c>
      <c r="E1513" s="1" t="s">
        <v>17762</v>
      </c>
      <c r="F1513" s="1"/>
      <c r="G1513" s="1"/>
      <c r="H1513" s="1"/>
      <c r="I1513" s="1"/>
      <c r="J1513" s="1"/>
      <c r="K1513" s="1" t="s">
        <v>10883</v>
      </c>
    </row>
    <row r="1514" ht="14.25" customHeight="1">
      <c r="A1514" s="3" t="s">
        <v>5942</v>
      </c>
      <c r="B1514" s="1">
        <v>7.5</v>
      </c>
      <c r="C1514" s="1" t="s">
        <v>17765</v>
      </c>
      <c r="D1514" s="1" t="s">
        <v>3238</v>
      </c>
      <c r="E1514" s="1" t="s">
        <v>17762</v>
      </c>
      <c r="F1514" s="1"/>
      <c r="G1514" s="1"/>
      <c r="H1514" s="1"/>
      <c r="I1514" s="1"/>
      <c r="J1514" s="1"/>
      <c r="K1514" s="1" t="s">
        <v>11164</v>
      </c>
    </row>
    <row r="1515" ht="14.25" customHeight="1">
      <c r="A1515" s="3" t="s">
        <v>5942</v>
      </c>
      <c r="B1515" s="1">
        <v>7.4</v>
      </c>
      <c r="C1515" s="1" t="s">
        <v>17765</v>
      </c>
      <c r="D1515" s="1" t="s">
        <v>3238</v>
      </c>
      <c r="E1515" s="1" t="s">
        <v>17762</v>
      </c>
      <c r="F1515" s="1"/>
      <c r="G1515" s="1"/>
      <c r="H1515" s="1"/>
      <c r="I1515" s="1"/>
      <c r="J1515" s="1"/>
      <c r="K1515" s="1" t="s">
        <v>11176</v>
      </c>
    </row>
    <row r="1516" ht="14.25" customHeight="1">
      <c r="A1516" s="3" t="s">
        <v>5942</v>
      </c>
      <c r="B1516" s="1">
        <v>7.2</v>
      </c>
      <c r="C1516" s="1" t="s">
        <v>17765</v>
      </c>
      <c r="D1516" s="1" t="s">
        <v>3238</v>
      </c>
      <c r="E1516" s="1" t="s">
        <v>17762</v>
      </c>
      <c r="F1516" s="1"/>
      <c r="G1516" s="1"/>
      <c r="H1516" s="1"/>
      <c r="I1516" s="1"/>
      <c r="J1516" s="1"/>
      <c r="K1516" s="1" t="s">
        <v>11546</v>
      </c>
    </row>
    <row r="1517" ht="14.25" customHeight="1">
      <c r="A1517" s="3" t="s">
        <v>5942</v>
      </c>
      <c r="B1517" s="1">
        <v>6.9</v>
      </c>
      <c r="C1517" s="1" t="s">
        <v>17765</v>
      </c>
      <c r="D1517" s="1" t="s">
        <v>3238</v>
      </c>
      <c r="E1517" s="1" t="s">
        <v>17762</v>
      </c>
      <c r="F1517" s="1"/>
      <c r="G1517" s="1"/>
      <c r="H1517" s="1"/>
      <c r="I1517" s="1"/>
      <c r="J1517" s="1"/>
      <c r="K1517" s="1" t="s">
        <v>12201</v>
      </c>
    </row>
    <row r="1518" ht="14.25" customHeight="1">
      <c r="A1518" s="3" t="s">
        <v>5942</v>
      </c>
      <c r="B1518" s="1">
        <v>7.4</v>
      </c>
      <c r="C1518" s="1" t="s">
        <v>17765</v>
      </c>
      <c r="D1518" s="1" t="s">
        <v>3238</v>
      </c>
      <c r="E1518" s="1" t="s">
        <v>17762</v>
      </c>
      <c r="F1518" s="1"/>
      <c r="G1518" s="1"/>
      <c r="H1518" s="1"/>
      <c r="I1518" s="1"/>
      <c r="J1518" s="1"/>
      <c r="K1518" s="1" t="s">
        <v>12666</v>
      </c>
    </row>
    <row r="1519" ht="14.25" customHeight="1">
      <c r="A1519" s="3" t="s">
        <v>5942</v>
      </c>
      <c r="B1519" s="1">
        <v>5.4</v>
      </c>
      <c r="C1519" s="1" t="s">
        <v>17765</v>
      </c>
      <c r="D1519" s="1" t="s">
        <v>3238</v>
      </c>
      <c r="E1519" s="1" t="s">
        <v>17762</v>
      </c>
      <c r="F1519" s="1"/>
      <c r="G1519" s="1"/>
      <c r="H1519" s="1"/>
      <c r="I1519" s="1"/>
      <c r="J1519" s="1"/>
      <c r="K1519" s="1" t="s">
        <v>13882</v>
      </c>
    </row>
    <row r="1520" ht="14.25" customHeight="1">
      <c r="A1520" s="3" t="s">
        <v>5942</v>
      </c>
      <c r="B1520" s="1">
        <v>6.8</v>
      </c>
      <c r="C1520" s="1" t="s">
        <v>17765</v>
      </c>
      <c r="D1520" s="1" t="s">
        <v>3238</v>
      </c>
      <c r="E1520" s="1" t="s">
        <v>17762</v>
      </c>
      <c r="F1520" s="1"/>
      <c r="G1520" s="1"/>
      <c r="H1520" s="1"/>
      <c r="I1520" s="1"/>
      <c r="J1520" s="1"/>
      <c r="K1520" s="1" t="s">
        <v>14448</v>
      </c>
    </row>
    <row r="1521" ht="14.25" customHeight="1">
      <c r="A1521" s="3" t="s">
        <v>5942</v>
      </c>
      <c r="B1521" s="1">
        <v>6.3</v>
      </c>
      <c r="C1521" s="1" t="s">
        <v>17765</v>
      </c>
      <c r="D1521" s="1" t="s">
        <v>3238</v>
      </c>
      <c r="E1521" s="1" t="s">
        <v>17762</v>
      </c>
      <c r="F1521" s="1"/>
      <c r="G1521" s="1"/>
      <c r="H1521" s="1"/>
      <c r="I1521" s="1"/>
      <c r="J1521" s="1"/>
      <c r="K1521" s="1" t="s">
        <v>14892</v>
      </c>
    </row>
    <row r="1522" ht="14.25" customHeight="1">
      <c r="A1522" s="3" t="s">
        <v>5942</v>
      </c>
      <c r="B1522" s="1">
        <v>7.2</v>
      </c>
      <c r="C1522" s="1" t="s">
        <v>17765</v>
      </c>
      <c r="D1522" s="1" t="s">
        <v>3238</v>
      </c>
      <c r="E1522" s="1" t="s">
        <v>17762</v>
      </c>
      <c r="F1522" s="1"/>
      <c r="G1522" s="1"/>
      <c r="H1522" s="1"/>
      <c r="I1522" s="1"/>
      <c r="J1522" s="1"/>
      <c r="K1522" s="1" t="s">
        <v>17059</v>
      </c>
    </row>
    <row r="1523" ht="14.25" customHeight="1">
      <c r="A1523" s="3" t="s">
        <v>1359</v>
      </c>
      <c r="B1523" s="1">
        <v>6.9</v>
      </c>
      <c r="C1523" s="1" t="s">
        <v>1885</v>
      </c>
      <c r="D1523" s="1" t="s">
        <v>3238</v>
      </c>
      <c r="E1523" s="1" t="s">
        <v>17762</v>
      </c>
      <c r="F1523" s="1"/>
      <c r="G1523" s="1"/>
      <c r="H1523" s="1"/>
      <c r="I1523" s="1"/>
      <c r="J1523" s="1"/>
      <c r="K1523" s="1" t="s">
        <v>1358</v>
      </c>
    </row>
    <row r="1524" ht="14.25" customHeight="1">
      <c r="A1524" s="3" t="s">
        <v>1359</v>
      </c>
      <c r="B1524" s="1">
        <v>6.0</v>
      </c>
      <c r="C1524" s="1" t="s">
        <v>1885</v>
      </c>
      <c r="D1524" s="1" t="s">
        <v>3238</v>
      </c>
      <c r="E1524" s="1" t="s">
        <v>17762</v>
      </c>
      <c r="F1524" s="1"/>
      <c r="G1524" s="1"/>
      <c r="H1524" s="1"/>
      <c r="I1524" s="1"/>
      <c r="J1524" s="1"/>
      <c r="K1524" s="1" t="s">
        <v>1896</v>
      </c>
    </row>
    <row r="1525" ht="14.25" customHeight="1">
      <c r="A1525" s="3" t="s">
        <v>1359</v>
      </c>
      <c r="B1525" s="1">
        <v>5.9</v>
      </c>
      <c r="C1525" s="1" t="s">
        <v>1885</v>
      </c>
      <c r="D1525" s="1" t="s">
        <v>3238</v>
      </c>
      <c r="E1525" s="1" t="s">
        <v>17762</v>
      </c>
      <c r="F1525" s="1"/>
      <c r="G1525" s="1"/>
      <c r="H1525" s="1"/>
      <c r="I1525" s="1"/>
      <c r="J1525" s="1"/>
      <c r="K1525" s="1" t="s">
        <v>2285</v>
      </c>
    </row>
    <row r="1526" ht="14.25" customHeight="1">
      <c r="A1526" s="3" t="s">
        <v>1359</v>
      </c>
      <c r="B1526" s="1">
        <v>5.4</v>
      </c>
      <c r="C1526" s="1" t="s">
        <v>1885</v>
      </c>
      <c r="D1526" s="1" t="s">
        <v>3238</v>
      </c>
      <c r="E1526" s="1" t="s">
        <v>17762</v>
      </c>
      <c r="F1526" s="1"/>
      <c r="G1526" s="1"/>
      <c r="H1526" s="1"/>
      <c r="I1526" s="1"/>
      <c r="J1526" s="1"/>
      <c r="K1526" s="1" t="s">
        <v>2480</v>
      </c>
    </row>
    <row r="1527" ht="14.25" customHeight="1">
      <c r="A1527" s="3" t="s">
        <v>1359</v>
      </c>
      <c r="B1527" s="1">
        <v>5.9</v>
      </c>
      <c r="C1527" s="1" t="s">
        <v>1885</v>
      </c>
      <c r="D1527" s="1" t="s">
        <v>3238</v>
      </c>
      <c r="E1527" s="1" t="s">
        <v>17762</v>
      </c>
      <c r="F1527" s="1"/>
      <c r="G1527" s="1"/>
      <c r="H1527" s="1"/>
      <c r="I1527" s="1"/>
      <c r="J1527" s="1"/>
      <c r="K1527" s="1" t="s">
        <v>2490</v>
      </c>
    </row>
    <row r="1528" ht="14.25" customHeight="1">
      <c r="A1528" s="3" t="s">
        <v>1359</v>
      </c>
      <c r="B1528" s="1">
        <v>6.1</v>
      </c>
      <c r="C1528" s="1" t="s">
        <v>1885</v>
      </c>
      <c r="D1528" s="1" t="s">
        <v>3238</v>
      </c>
      <c r="E1528" s="1" t="s">
        <v>17762</v>
      </c>
      <c r="F1528" s="1"/>
      <c r="G1528" s="1"/>
      <c r="H1528" s="1"/>
      <c r="I1528" s="1"/>
      <c r="J1528" s="1"/>
      <c r="K1528" s="1" t="s">
        <v>2952</v>
      </c>
    </row>
    <row r="1529" ht="14.25" customHeight="1">
      <c r="A1529" s="3" t="s">
        <v>1359</v>
      </c>
      <c r="B1529" s="1">
        <v>7.7</v>
      </c>
      <c r="C1529" s="1" t="s">
        <v>1885</v>
      </c>
      <c r="D1529" s="1" t="s">
        <v>3238</v>
      </c>
      <c r="E1529" s="1" t="s">
        <v>17762</v>
      </c>
      <c r="F1529" s="1"/>
      <c r="G1529" s="1"/>
      <c r="H1529" s="1"/>
      <c r="I1529" s="1"/>
      <c r="J1529" s="1"/>
      <c r="K1529" s="1" t="s">
        <v>3478</v>
      </c>
    </row>
    <row r="1530" ht="14.25" customHeight="1">
      <c r="A1530" s="3" t="s">
        <v>1359</v>
      </c>
      <c r="B1530" s="1">
        <v>5.8</v>
      </c>
      <c r="C1530" s="1" t="s">
        <v>1885</v>
      </c>
      <c r="D1530" s="1" t="s">
        <v>3238</v>
      </c>
      <c r="E1530" s="1" t="s">
        <v>17762</v>
      </c>
      <c r="F1530" s="1"/>
      <c r="G1530" s="1"/>
      <c r="H1530" s="1"/>
      <c r="I1530" s="1"/>
      <c r="J1530" s="1"/>
      <c r="K1530" s="1" t="s">
        <v>3692</v>
      </c>
    </row>
    <row r="1531" ht="14.25" customHeight="1">
      <c r="A1531" s="3" t="s">
        <v>1359</v>
      </c>
      <c r="B1531" s="1">
        <v>7.6</v>
      </c>
      <c r="C1531" s="1" t="s">
        <v>1885</v>
      </c>
      <c r="D1531" s="1" t="s">
        <v>3238</v>
      </c>
      <c r="E1531" s="1" t="s">
        <v>17762</v>
      </c>
      <c r="F1531" s="1"/>
      <c r="G1531" s="1"/>
      <c r="H1531" s="1"/>
      <c r="I1531" s="1"/>
      <c r="J1531" s="1"/>
      <c r="K1531" s="1" t="s">
        <v>4247</v>
      </c>
    </row>
    <row r="1532" ht="14.25" customHeight="1">
      <c r="A1532" s="3" t="s">
        <v>1359</v>
      </c>
      <c r="B1532" s="1">
        <v>6.1</v>
      </c>
      <c r="C1532" s="1" t="s">
        <v>1885</v>
      </c>
      <c r="D1532" s="1" t="s">
        <v>3238</v>
      </c>
      <c r="E1532" s="1" t="s">
        <v>17762</v>
      </c>
      <c r="F1532" s="1"/>
      <c r="G1532" s="1"/>
      <c r="H1532" s="1"/>
      <c r="I1532" s="1"/>
      <c r="J1532" s="1"/>
      <c r="K1532" s="1" t="s">
        <v>4368</v>
      </c>
    </row>
    <row r="1533" ht="14.25" customHeight="1">
      <c r="A1533" s="3" t="s">
        <v>1359</v>
      </c>
      <c r="B1533" s="1">
        <v>5.4</v>
      </c>
      <c r="C1533" s="1" t="s">
        <v>1885</v>
      </c>
      <c r="D1533" s="1" t="s">
        <v>3238</v>
      </c>
      <c r="E1533" s="1" t="s">
        <v>17762</v>
      </c>
      <c r="F1533" s="1"/>
      <c r="G1533" s="1"/>
      <c r="H1533" s="1"/>
      <c r="I1533" s="1"/>
      <c r="J1533" s="1"/>
      <c r="K1533" s="1" t="s">
        <v>4582</v>
      </c>
    </row>
    <row r="1534" ht="14.25" customHeight="1">
      <c r="A1534" s="3" t="s">
        <v>1359</v>
      </c>
      <c r="B1534" s="1">
        <v>5.1</v>
      </c>
      <c r="C1534" s="1" t="s">
        <v>1885</v>
      </c>
      <c r="D1534" s="1" t="s">
        <v>3238</v>
      </c>
      <c r="E1534" s="1" t="s">
        <v>17762</v>
      </c>
      <c r="F1534" s="1"/>
      <c r="G1534" s="1"/>
      <c r="H1534" s="1"/>
      <c r="I1534" s="1"/>
      <c r="J1534" s="1"/>
      <c r="K1534" s="1" t="s">
        <v>4657</v>
      </c>
    </row>
    <row r="1535" ht="14.25" customHeight="1">
      <c r="A1535" s="3" t="s">
        <v>1359</v>
      </c>
      <c r="B1535" s="1">
        <v>6.4</v>
      </c>
      <c r="C1535" s="1" t="s">
        <v>1885</v>
      </c>
      <c r="D1535" s="1" t="s">
        <v>3238</v>
      </c>
      <c r="E1535" s="1" t="s">
        <v>17762</v>
      </c>
      <c r="F1535" s="1"/>
      <c r="G1535" s="1"/>
      <c r="H1535" s="1"/>
      <c r="I1535" s="1"/>
      <c r="J1535" s="1"/>
      <c r="K1535" s="1" t="s">
        <v>4742</v>
      </c>
    </row>
    <row r="1536" ht="14.25" customHeight="1">
      <c r="A1536" s="3" t="s">
        <v>1359</v>
      </c>
      <c r="B1536" s="1">
        <v>6.3</v>
      </c>
      <c r="C1536" s="1" t="s">
        <v>1885</v>
      </c>
      <c r="D1536" s="1" t="s">
        <v>3238</v>
      </c>
      <c r="E1536" s="1" t="s">
        <v>17762</v>
      </c>
      <c r="F1536" s="1"/>
      <c r="G1536" s="1"/>
      <c r="H1536" s="1"/>
      <c r="I1536" s="1"/>
      <c r="J1536" s="1"/>
      <c r="K1536" s="1" t="s">
        <v>4824</v>
      </c>
    </row>
    <row r="1537" ht="14.25" customHeight="1">
      <c r="A1537" s="3" t="s">
        <v>1359</v>
      </c>
      <c r="B1537" s="1">
        <v>7.5</v>
      </c>
      <c r="C1537" s="1" t="s">
        <v>1885</v>
      </c>
      <c r="D1537" s="1" t="s">
        <v>3238</v>
      </c>
      <c r="E1537" s="1" t="s">
        <v>17762</v>
      </c>
      <c r="F1537" s="1"/>
      <c r="G1537" s="1"/>
      <c r="H1537" s="1"/>
      <c r="I1537" s="1"/>
      <c r="J1537" s="1"/>
      <c r="K1537" s="1" t="s">
        <v>4981</v>
      </c>
    </row>
    <row r="1538" ht="14.25" customHeight="1">
      <c r="A1538" s="3" t="s">
        <v>1359</v>
      </c>
      <c r="B1538" s="1">
        <v>7.1</v>
      </c>
      <c r="C1538" s="1" t="s">
        <v>1885</v>
      </c>
      <c r="D1538" s="1" t="s">
        <v>3238</v>
      </c>
      <c r="E1538" s="1" t="s">
        <v>17762</v>
      </c>
      <c r="F1538" s="1"/>
      <c r="G1538" s="1"/>
      <c r="H1538" s="1"/>
      <c r="I1538" s="1"/>
      <c r="J1538" s="1"/>
      <c r="K1538" s="1" t="s">
        <v>5007</v>
      </c>
    </row>
    <row r="1539" ht="14.25" customHeight="1">
      <c r="A1539" s="3" t="s">
        <v>1359</v>
      </c>
      <c r="B1539" s="1">
        <v>7.8</v>
      </c>
      <c r="C1539" s="1" t="s">
        <v>1885</v>
      </c>
      <c r="D1539" s="1" t="s">
        <v>3238</v>
      </c>
      <c r="E1539" s="1" t="s">
        <v>17762</v>
      </c>
      <c r="F1539" s="1"/>
      <c r="G1539" s="1"/>
      <c r="H1539" s="1"/>
      <c r="I1539" s="1"/>
      <c r="J1539" s="1"/>
      <c r="K1539" s="1" t="s">
        <v>5050</v>
      </c>
    </row>
    <row r="1540" ht="14.25" customHeight="1">
      <c r="A1540" s="3" t="s">
        <v>1359</v>
      </c>
      <c r="B1540" s="1">
        <v>6.5</v>
      </c>
      <c r="C1540" s="1" t="s">
        <v>1885</v>
      </c>
      <c r="D1540" s="1" t="s">
        <v>3238</v>
      </c>
      <c r="E1540" s="1" t="s">
        <v>17762</v>
      </c>
      <c r="F1540" s="1"/>
      <c r="G1540" s="1"/>
      <c r="H1540" s="1"/>
      <c r="I1540" s="1"/>
      <c r="J1540" s="1"/>
      <c r="K1540" s="1" t="s">
        <v>5435</v>
      </c>
    </row>
    <row r="1541" ht="14.25" customHeight="1">
      <c r="A1541" s="3" t="s">
        <v>1359</v>
      </c>
      <c r="B1541" s="1">
        <v>6.6</v>
      </c>
      <c r="C1541" s="1" t="s">
        <v>1885</v>
      </c>
      <c r="D1541" s="1" t="s">
        <v>3238</v>
      </c>
      <c r="E1541" s="1" t="s">
        <v>17762</v>
      </c>
      <c r="F1541" s="1"/>
      <c r="G1541" s="1"/>
      <c r="H1541" s="1"/>
      <c r="I1541" s="1"/>
      <c r="J1541" s="1"/>
      <c r="K1541" s="1" t="s">
        <v>5713</v>
      </c>
    </row>
    <row r="1542" ht="14.25" customHeight="1">
      <c r="A1542" s="3" t="s">
        <v>1359</v>
      </c>
      <c r="B1542" s="1">
        <v>7.4</v>
      </c>
      <c r="C1542" s="1" t="s">
        <v>1885</v>
      </c>
      <c r="D1542" s="1" t="s">
        <v>3238</v>
      </c>
      <c r="E1542" s="1" t="s">
        <v>17762</v>
      </c>
      <c r="F1542" s="1"/>
      <c r="G1542" s="1"/>
      <c r="H1542" s="1"/>
      <c r="I1542" s="1"/>
      <c r="J1542" s="1"/>
      <c r="K1542" s="1" t="s">
        <v>5728</v>
      </c>
    </row>
    <row r="1543" ht="14.25" customHeight="1">
      <c r="A1543" s="3" t="s">
        <v>1359</v>
      </c>
      <c r="B1543" s="1">
        <v>7.6</v>
      </c>
      <c r="C1543" s="1" t="s">
        <v>1885</v>
      </c>
      <c r="D1543" s="1" t="s">
        <v>3238</v>
      </c>
      <c r="E1543" s="1" t="s">
        <v>17762</v>
      </c>
      <c r="F1543" s="1"/>
      <c r="G1543" s="1"/>
      <c r="H1543" s="1"/>
      <c r="I1543" s="1"/>
      <c r="J1543" s="1"/>
      <c r="K1543" s="1" t="s">
        <v>5752</v>
      </c>
    </row>
    <row r="1544" ht="14.25" customHeight="1">
      <c r="A1544" s="3" t="s">
        <v>1359</v>
      </c>
      <c r="B1544" s="1">
        <v>7.5</v>
      </c>
      <c r="C1544" s="1" t="s">
        <v>1885</v>
      </c>
      <c r="D1544" s="1" t="s">
        <v>3238</v>
      </c>
      <c r="E1544" s="1" t="s">
        <v>17762</v>
      </c>
      <c r="F1544" s="1"/>
      <c r="G1544" s="1"/>
      <c r="H1544" s="1"/>
      <c r="I1544" s="1"/>
      <c r="J1544" s="1"/>
      <c r="K1544" s="1" t="s">
        <v>5858</v>
      </c>
    </row>
    <row r="1545" ht="14.25" customHeight="1">
      <c r="A1545" s="3" t="s">
        <v>1359</v>
      </c>
      <c r="B1545" s="1">
        <v>6.6</v>
      </c>
      <c r="C1545" s="1" t="s">
        <v>1885</v>
      </c>
      <c r="D1545" s="1" t="s">
        <v>3238</v>
      </c>
      <c r="E1545" s="1" t="s">
        <v>17762</v>
      </c>
      <c r="F1545" s="1"/>
      <c r="G1545" s="1"/>
      <c r="H1545" s="1"/>
      <c r="I1545" s="1"/>
      <c r="J1545" s="1"/>
      <c r="K1545" s="1" t="s">
        <v>5912</v>
      </c>
    </row>
    <row r="1546" ht="14.25" customHeight="1">
      <c r="A1546" s="3" t="s">
        <v>1359</v>
      </c>
      <c r="B1546" s="1">
        <v>7.2</v>
      </c>
      <c r="C1546" s="1" t="s">
        <v>1885</v>
      </c>
      <c r="D1546" s="1" t="s">
        <v>3238</v>
      </c>
      <c r="E1546" s="1" t="s">
        <v>17762</v>
      </c>
      <c r="F1546" s="1"/>
      <c r="G1546" s="1"/>
      <c r="H1546" s="1"/>
      <c r="I1546" s="1"/>
      <c r="J1546" s="1"/>
      <c r="K1546" s="1" t="s">
        <v>6034</v>
      </c>
    </row>
    <row r="1547" ht="14.25" customHeight="1">
      <c r="A1547" s="3" t="s">
        <v>1359</v>
      </c>
      <c r="B1547" s="1">
        <v>7.6</v>
      </c>
      <c r="C1547" s="1" t="s">
        <v>1885</v>
      </c>
      <c r="D1547" s="1" t="s">
        <v>3238</v>
      </c>
      <c r="E1547" s="1" t="s">
        <v>17762</v>
      </c>
      <c r="F1547" s="1"/>
      <c r="G1547" s="1"/>
      <c r="H1547" s="1"/>
      <c r="I1547" s="1"/>
      <c r="J1547" s="1"/>
      <c r="K1547" s="1" t="s">
        <v>6228</v>
      </c>
    </row>
    <row r="1548" ht="14.25" customHeight="1">
      <c r="A1548" s="3" t="s">
        <v>1359</v>
      </c>
      <c r="B1548" s="1">
        <v>6.2</v>
      </c>
      <c r="C1548" s="1" t="s">
        <v>1885</v>
      </c>
      <c r="D1548" s="1" t="s">
        <v>3238</v>
      </c>
      <c r="E1548" s="1" t="s">
        <v>17762</v>
      </c>
      <c r="F1548" s="1"/>
      <c r="G1548" s="1"/>
      <c r="H1548" s="1"/>
      <c r="I1548" s="1"/>
      <c r="J1548" s="1"/>
      <c r="K1548" s="1" t="s">
        <v>6380</v>
      </c>
    </row>
    <row r="1549" ht="14.25" customHeight="1">
      <c r="A1549" s="3" t="s">
        <v>1359</v>
      </c>
      <c r="B1549" s="1">
        <v>5.6</v>
      </c>
      <c r="C1549" s="1" t="s">
        <v>1885</v>
      </c>
      <c r="D1549" s="1" t="s">
        <v>3238</v>
      </c>
      <c r="E1549" s="1" t="s">
        <v>17762</v>
      </c>
      <c r="F1549" s="1"/>
      <c r="G1549" s="1"/>
      <c r="H1549" s="1"/>
      <c r="I1549" s="1"/>
      <c r="J1549" s="1"/>
      <c r="K1549" s="1" t="s">
        <v>6673</v>
      </c>
    </row>
    <row r="1550" ht="14.25" customHeight="1">
      <c r="A1550" s="3" t="s">
        <v>1359</v>
      </c>
      <c r="B1550" s="1">
        <v>7.6</v>
      </c>
      <c r="C1550" s="1" t="s">
        <v>1885</v>
      </c>
      <c r="D1550" s="1" t="s">
        <v>3238</v>
      </c>
      <c r="E1550" s="1" t="s">
        <v>17762</v>
      </c>
      <c r="F1550" s="1"/>
      <c r="G1550" s="1"/>
      <c r="H1550" s="1"/>
      <c r="I1550" s="1"/>
      <c r="J1550" s="1"/>
      <c r="K1550" s="1" t="s">
        <v>6754</v>
      </c>
    </row>
    <row r="1551" ht="14.25" customHeight="1">
      <c r="A1551" s="3" t="s">
        <v>1359</v>
      </c>
      <c r="B1551" s="1">
        <v>6.6</v>
      </c>
      <c r="C1551" s="1" t="s">
        <v>1885</v>
      </c>
      <c r="D1551" s="1" t="s">
        <v>3238</v>
      </c>
      <c r="E1551" s="1" t="s">
        <v>17762</v>
      </c>
      <c r="F1551" s="1"/>
      <c r="G1551" s="1"/>
      <c r="H1551" s="1"/>
      <c r="I1551" s="1"/>
      <c r="J1551" s="1"/>
      <c r="K1551" s="1" t="s">
        <v>6829</v>
      </c>
    </row>
    <row r="1552" ht="14.25" customHeight="1">
      <c r="A1552" s="3" t="s">
        <v>1359</v>
      </c>
      <c r="B1552" s="1">
        <v>7.0</v>
      </c>
      <c r="C1552" s="1" t="s">
        <v>1885</v>
      </c>
      <c r="D1552" s="1" t="s">
        <v>3238</v>
      </c>
      <c r="E1552" s="1" t="s">
        <v>17762</v>
      </c>
      <c r="F1552" s="1"/>
      <c r="G1552" s="1"/>
      <c r="H1552" s="1"/>
      <c r="I1552" s="1"/>
      <c r="J1552" s="1"/>
      <c r="K1552" s="1" t="s">
        <v>6983</v>
      </c>
    </row>
    <row r="1553" ht="14.25" customHeight="1">
      <c r="A1553" s="3" t="s">
        <v>1359</v>
      </c>
      <c r="B1553" s="1">
        <v>2.7</v>
      </c>
      <c r="C1553" s="1" t="s">
        <v>1885</v>
      </c>
      <c r="D1553" s="1" t="s">
        <v>3238</v>
      </c>
      <c r="E1553" s="1" t="s">
        <v>17762</v>
      </c>
      <c r="F1553" s="1"/>
      <c r="G1553" s="1"/>
      <c r="H1553" s="1"/>
      <c r="I1553" s="1"/>
      <c r="J1553" s="1"/>
      <c r="K1553" s="1" t="s">
        <v>7048</v>
      </c>
    </row>
    <row r="1554" ht="14.25" customHeight="1">
      <c r="A1554" s="3" t="s">
        <v>1359</v>
      </c>
      <c r="B1554" s="1">
        <v>7.6</v>
      </c>
      <c r="C1554" s="1" t="s">
        <v>1885</v>
      </c>
      <c r="D1554" s="1" t="s">
        <v>3238</v>
      </c>
      <c r="E1554" s="1" t="s">
        <v>17762</v>
      </c>
      <c r="F1554" s="1"/>
      <c r="G1554" s="1"/>
      <c r="H1554" s="1"/>
      <c r="I1554" s="1"/>
      <c r="J1554" s="1"/>
      <c r="K1554" s="1" t="s">
        <v>7220</v>
      </c>
    </row>
    <row r="1555" ht="14.25" customHeight="1">
      <c r="A1555" s="3" t="s">
        <v>1359</v>
      </c>
      <c r="B1555" s="1">
        <v>6.6</v>
      </c>
      <c r="C1555" s="1" t="s">
        <v>1885</v>
      </c>
      <c r="D1555" s="1" t="s">
        <v>3238</v>
      </c>
      <c r="E1555" s="1" t="s">
        <v>17762</v>
      </c>
      <c r="F1555" s="1"/>
      <c r="G1555" s="1"/>
      <c r="H1555" s="1"/>
      <c r="I1555" s="1"/>
      <c r="J1555" s="1"/>
      <c r="K1555" s="1" t="s">
        <v>7357</v>
      </c>
    </row>
    <row r="1556" ht="14.25" customHeight="1">
      <c r="A1556" s="3" t="s">
        <v>1359</v>
      </c>
      <c r="B1556" s="1">
        <v>6.9</v>
      </c>
      <c r="C1556" s="1" t="s">
        <v>1885</v>
      </c>
      <c r="D1556" s="1" t="s">
        <v>3238</v>
      </c>
      <c r="E1556" s="1" t="s">
        <v>17762</v>
      </c>
      <c r="F1556" s="1"/>
      <c r="G1556" s="1"/>
      <c r="H1556" s="1"/>
      <c r="I1556" s="1"/>
      <c r="J1556" s="1"/>
      <c r="K1556" s="1" t="s">
        <v>7698</v>
      </c>
    </row>
    <row r="1557" ht="14.25" customHeight="1">
      <c r="A1557" s="3" t="s">
        <v>1359</v>
      </c>
      <c r="B1557" s="1">
        <v>6.8</v>
      </c>
      <c r="C1557" s="1" t="s">
        <v>1885</v>
      </c>
      <c r="D1557" s="1" t="s">
        <v>3238</v>
      </c>
      <c r="E1557" s="1" t="s">
        <v>17762</v>
      </c>
      <c r="F1557" s="1"/>
      <c r="G1557" s="1"/>
      <c r="H1557" s="1"/>
      <c r="I1557" s="1"/>
      <c r="J1557" s="1"/>
      <c r="K1557" s="1" t="s">
        <v>7702</v>
      </c>
    </row>
    <row r="1558" ht="14.25" customHeight="1">
      <c r="A1558" s="3" t="s">
        <v>1359</v>
      </c>
      <c r="B1558" s="1">
        <v>3.7</v>
      </c>
      <c r="C1558" s="1" t="s">
        <v>1885</v>
      </c>
      <c r="D1558" s="1" t="s">
        <v>3238</v>
      </c>
      <c r="E1558" s="1" t="s">
        <v>17762</v>
      </c>
      <c r="F1558" s="1"/>
      <c r="G1558" s="1"/>
      <c r="H1558" s="1"/>
      <c r="I1558" s="1"/>
      <c r="J1558" s="1"/>
      <c r="K1558" s="1" t="s">
        <v>7787</v>
      </c>
    </row>
    <row r="1559" ht="14.25" customHeight="1">
      <c r="A1559" s="3" t="s">
        <v>1359</v>
      </c>
      <c r="B1559" s="1">
        <v>6.1</v>
      </c>
      <c r="C1559" s="1" t="s">
        <v>1885</v>
      </c>
      <c r="D1559" s="1" t="s">
        <v>3238</v>
      </c>
      <c r="E1559" s="1" t="s">
        <v>17762</v>
      </c>
      <c r="F1559" s="1"/>
      <c r="G1559" s="1"/>
      <c r="H1559" s="1"/>
      <c r="I1559" s="1"/>
      <c r="J1559" s="1"/>
      <c r="K1559" s="1" t="s">
        <v>7873</v>
      </c>
    </row>
    <row r="1560" ht="14.25" customHeight="1">
      <c r="A1560" s="3" t="s">
        <v>1359</v>
      </c>
      <c r="B1560" s="1">
        <v>5.9</v>
      </c>
      <c r="C1560" s="1" t="s">
        <v>1885</v>
      </c>
      <c r="D1560" s="1" t="s">
        <v>3238</v>
      </c>
      <c r="E1560" s="1" t="s">
        <v>17762</v>
      </c>
      <c r="F1560" s="1"/>
      <c r="G1560" s="1"/>
      <c r="H1560" s="1"/>
      <c r="I1560" s="1"/>
      <c r="J1560" s="1"/>
      <c r="K1560" s="1" t="s">
        <v>7917</v>
      </c>
    </row>
    <row r="1561" ht="14.25" customHeight="1">
      <c r="A1561" s="3" t="s">
        <v>1359</v>
      </c>
      <c r="B1561" s="1">
        <v>6.7</v>
      </c>
      <c r="C1561" s="1" t="s">
        <v>1885</v>
      </c>
      <c r="D1561" s="1" t="s">
        <v>3238</v>
      </c>
      <c r="E1561" s="1" t="s">
        <v>17762</v>
      </c>
      <c r="F1561" s="1"/>
      <c r="G1561" s="1"/>
      <c r="H1561" s="1"/>
      <c r="I1561" s="1"/>
      <c r="J1561" s="1"/>
      <c r="K1561" s="1" t="s">
        <v>7947</v>
      </c>
    </row>
    <row r="1562" ht="14.25" customHeight="1">
      <c r="A1562" s="3" t="s">
        <v>1359</v>
      </c>
      <c r="B1562" s="1">
        <v>6.9</v>
      </c>
      <c r="C1562" s="1" t="s">
        <v>1885</v>
      </c>
      <c r="D1562" s="1" t="s">
        <v>3238</v>
      </c>
      <c r="E1562" s="1" t="s">
        <v>17762</v>
      </c>
      <c r="F1562" s="1"/>
      <c r="G1562" s="1"/>
      <c r="H1562" s="1"/>
      <c r="I1562" s="1"/>
      <c r="J1562" s="1"/>
      <c r="K1562" s="1" t="s">
        <v>7991</v>
      </c>
    </row>
    <row r="1563" ht="14.25" customHeight="1">
      <c r="A1563" s="3" t="s">
        <v>1359</v>
      </c>
      <c r="B1563" s="1">
        <v>5.5</v>
      </c>
      <c r="C1563" s="1" t="s">
        <v>1885</v>
      </c>
      <c r="D1563" s="1" t="s">
        <v>3238</v>
      </c>
      <c r="E1563" s="1" t="s">
        <v>17762</v>
      </c>
      <c r="F1563" s="1"/>
      <c r="G1563" s="1"/>
      <c r="H1563" s="1"/>
      <c r="I1563" s="1"/>
      <c r="J1563" s="1"/>
      <c r="K1563" s="1" t="s">
        <v>8164</v>
      </c>
    </row>
    <row r="1564" ht="14.25" customHeight="1">
      <c r="A1564" s="3" t="s">
        <v>1359</v>
      </c>
      <c r="B1564" s="1">
        <v>7.1</v>
      </c>
      <c r="C1564" s="1" t="s">
        <v>1885</v>
      </c>
      <c r="D1564" s="1" t="s">
        <v>3238</v>
      </c>
      <c r="E1564" s="1" t="s">
        <v>17762</v>
      </c>
      <c r="F1564" s="1"/>
      <c r="G1564" s="1"/>
      <c r="H1564" s="1"/>
      <c r="I1564" s="1"/>
      <c r="J1564" s="1"/>
      <c r="K1564" s="1" t="s">
        <v>8296</v>
      </c>
    </row>
    <row r="1565" ht="14.25" customHeight="1">
      <c r="A1565" s="3" t="s">
        <v>1359</v>
      </c>
      <c r="B1565" s="1">
        <v>7.1</v>
      </c>
      <c r="C1565" s="1" t="s">
        <v>1885</v>
      </c>
      <c r="D1565" s="1" t="s">
        <v>3238</v>
      </c>
      <c r="E1565" s="1" t="s">
        <v>17762</v>
      </c>
      <c r="F1565" s="1"/>
      <c r="G1565" s="1"/>
      <c r="H1565" s="1"/>
      <c r="I1565" s="1"/>
      <c r="J1565" s="1"/>
      <c r="K1565" s="1" t="s">
        <v>8388</v>
      </c>
    </row>
    <row r="1566" ht="14.25" customHeight="1">
      <c r="A1566" s="3" t="s">
        <v>1359</v>
      </c>
      <c r="B1566" s="1">
        <v>7.3</v>
      </c>
      <c r="C1566" s="1" t="s">
        <v>1885</v>
      </c>
      <c r="D1566" s="1" t="s">
        <v>3238</v>
      </c>
      <c r="E1566" s="1" t="s">
        <v>17762</v>
      </c>
      <c r="F1566" s="1"/>
      <c r="G1566" s="1"/>
      <c r="H1566" s="1"/>
      <c r="I1566" s="1"/>
      <c r="J1566" s="1"/>
      <c r="K1566" s="1" t="s">
        <v>8418</v>
      </c>
    </row>
    <row r="1567" ht="14.25" customHeight="1">
      <c r="A1567" s="3" t="s">
        <v>1359</v>
      </c>
      <c r="B1567" s="1">
        <v>3.4</v>
      </c>
      <c r="C1567" s="1" t="s">
        <v>1885</v>
      </c>
      <c r="D1567" s="1" t="s">
        <v>3238</v>
      </c>
      <c r="E1567" s="1" t="s">
        <v>17762</v>
      </c>
      <c r="F1567" s="1"/>
      <c r="G1567" s="1"/>
      <c r="H1567" s="1"/>
      <c r="I1567" s="1"/>
      <c r="J1567" s="1"/>
      <c r="K1567" s="1" t="s">
        <v>8461</v>
      </c>
    </row>
    <row r="1568" ht="14.25" customHeight="1">
      <c r="A1568" s="3" t="s">
        <v>1359</v>
      </c>
      <c r="B1568" s="1">
        <v>6.8</v>
      </c>
      <c r="C1568" s="1" t="s">
        <v>1885</v>
      </c>
      <c r="D1568" s="1" t="s">
        <v>3238</v>
      </c>
      <c r="E1568" s="1" t="s">
        <v>17762</v>
      </c>
      <c r="F1568" s="1"/>
      <c r="G1568" s="1"/>
      <c r="H1568" s="1"/>
      <c r="I1568" s="1"/>
      <c r="J1568" s="1"/>
      <c r="K1568" s="1" t="s">
        <v>8548</v>
      </c>
    </row>
    <row r="1569" ht="14.25" customHeight="1">
      <c r="A1569" s="3" t="s">
        <v>1359</v>
      </c>
      <c r="B1569" s="1">
        <v>6.9</v>
      </c>
      <c r="C1569" s="1" t="s">
        <v>1885</v>
      </c>
      <c r="D1569" s="1" t="s">
        <v>3238</v>
      </c>
      <c r="E1569" s="1" t="s">
        <v>17762</v>
      </c>
      <c r="F1569" s="1"/>
      <c r="G1569" s="1"/>
      <c r="H1569" s="1"/>
      <c r="I1569" s="1"/>
      <c r="J1569" s="1"/>
      <c r="K1569" s="1" t="s">
        <v>8565</v>
      </c>
    </row>
    <row r="1570" ht="14.25" customHeight="1">
      <c r="A1570" s="3" t="s">
        <v>1359</v>
      </c>
      <c r="B1570" s="1">
        <v>7.0</v>
      </c>
      <c r="C1570" s="1" t="s">
        <v>1885</v>
      </c>
      <c r="D1570" s="1" t="s">
        <v>3238</v>
      </c>
      <c r="E1570" s="1" t="s">
        <v>17762</v>
      </c>
      <c r="F1570" s="1"/>
      <c r="G1570" s="1"/>
      <c r="H1570" s="1"/>
      <c r="I1570" s="1"/>
      <c r="J1570" s="1"/>
      <c r="K1570" s="1" t="s">
        <v>8604</v>
      </c>
    </row>
    <row r="1571" ht="14.25" customHeight="1">
      <c r="A1571" s="3" t="s">
        <v>1359</v>
      </c>
      <c r="B1571" s="1">
        <v>5.5</v>
      </c>
      <c r="C1571" s="1" t="s">
        <v>1885</v>
      </c>
      <c r="D1571" s="1" t="s">
        <v>3238</v>
      </c>
      <c r="E1571" s="1" t="s">
        <v>17762</v>
      </c>
      <c r="F1571" s="1"/>
      <c r="G1571" s="1"/>
      <c r="H1571" s="1"/>
      <c r="I1571" s="1"/>
      <c r="J1571" s="1"/>
      <c r="K1571" s="1" t="s">
        <v>8762</v>
      </c>
    </row>
    <row r="1572" ht="14.25" customHeight="1">
      <c r="A1572" s="3" t="s">
        <v>1359</v>
      </c>
      <c r="B1572" s="1">
        <v>5.1</v>
      </c>
      <c r="C1572" s="1" t="s">
        <v>1885</v>
      </c>
      <c r="D1572" s="1" t="s">
        <v>3238</v>
      </c>
      <c r="E1572" s="1" t="s">
        <v>17762</v>
      </c>
      <c r="F1572" s="1"/>
      <c r="G1572" s="1"/>
      <c r="H1572" s="1"/>
      <c r="I1572" s="1"/>
      <c r="J1572" s="1"/>
      <c r="K1572" s="1" t="s">
        <v>8997</v>
      </c>
    </row>
    <row r="1573" ht="14.25" customHeight="1">
      <c r="A1573" s="3" t="s">
        <v>1359</v>
      </c>
      <c r="B1573" s="1">
        <v>6.2</v>
      </c>
      <c r="C1573" s="1" t="s">
        <v>1885</v>
      </c>
      <c r="D1573" s="1" t="s">
        <v>3238</v>
      </c>
      <c r="E1573" s="1" t="s">
        <v>17762</v>
      </c>
      <c r="F1573" s="1"/>
      <c r="G1573" s="1"/>
      <c r="H1573" s="1"/>
      <c r="I1573" s="1"/>
      <c r="J1573" s="1"/>
      <c r="K1573" s="1" t="s">
        <v>9011</v>
      </c>
    </row>
    <row r="1574" ht="14.25" customHeight="1">
      <c r="A1574" s="3" t="s">
        <v>1359</v>
      </c>
      <c r="B1574" s="1">
        <v>5.9</v>
      </c>
      <c r="C1574" s="1" t="s">
        <v>1885</v>
      </c>
      <c r="D1574" s="1" t="s">
        <v>3238</v>
      </c>
      <c r="E1574" s="1" t="s">
        <v>17762</v>
      </c>
      <c r="F1574" s="1"/>
      <c r="G1574" s="1"/>
      <c r="H1574" s="1"/>
      <c r="I1574" s="1"/>
      <c r="J1574" s="1"/>
      <c r="K1574" s="1" t="s">
        <v>9074</v>
      </c>
    </row>
    <row r="1575" ht="14.25" customHeight="1">
      <c r="A1575" s="3" t="s">
        <v>1359</v>
      </c>
      <c r="B1575" s="1">
        <v>5.2</v>
      </c>
      <c r="C1575" s="1" t="s">
        <v>1885</v>
      </c>
      <c r="D1575" s="1" t="s">
        <v>3238</v>
      </c>
      <c r="E1575" s="1" t="s">
        <v>17762</v>
      </c>
      <c r="F1575" s="1"/>
      <c r="G1575" s="1"/>
      <c r="H1575" s="1"/>
      <c r="I1575" s="1"/>
      <c r="J1575" s="1"/>
      <c r="K1575" s="1" t="s">
        <v>9082</v>
      </c>
    </row>
    <row r="1576" ht="14.25" customHeight="1">
      <c r="A1576" s="3" t="s">
        <v>1359</v>
      </c>
      <c r="B1576" s="1">
        <v>6.2</v>
      </c>
      <c r="C1576" s="1" t="s">
        <v>1885</v>
      </c>
      <c r="D1576" s="1" t="s">
        <v>3238</v>
      </c>
      <c r="E1576" s="1" t="s">
        <v>17762</v>
      </c>
      <c r="F1576" s="1"/>
      <c r="G1576" s="1"/>
      <c r="H1576" s="1"/>
      <c r="I1576" s="1"/>
      <c r="J1576" s="1"/>
      <c r="K1576" s="1" t="s">
        <v>9166</v>
      </c>
    </row>
    <row r="1577" ht="14.25" customHeight="1">
      <c r="A1577" s="3" t="s">
        <v>1359</v>
      </c>
      <c r="B1577" s="1">
        <v>5.5</v>
      </c>
      <c r="C1577" s="1" t="s">
        <v>1885</v>
      </c>
      <c r="D1577" s="1" t="s">
        <v>3238</v>
      </c>
      <c r="E1577" s="1" t="s">
        <v>17762</v>
      </c>
      <c r="F1577" s="1"/>
      <c r="G1577" s="1"/>
      <c r="H1577" s="1"/>
      <c r="I1577" s="1"/>
      <c r="J1577" s="1"/>
      <c r="K1577" s="1" t="s">
        <v>9303</v>
      </c>
    </row>
    <row r="1578" ht="14.25" customHeight="1">
      <c r="A1578" s="3" t="s">
        <v>1359</v>
      </c>
      <c r="B1578" s="1">
        <v>7.4</v>
      </c>
      <c r="C1578" s="1" t="s">
        <v>1885</v>
      </c>
      <c r="D1578" s="1" t="s">
        <v>3238</v>
      </c>
      <c r="E1578" s="1" t="s">
        <v>17762</v>
      </c>
      <c r="F1578" s="1"/>
      <c r="G1578" s="1"/>
      <c r="H1578" s="1"/>
      <c r="I1578" s="1"/>
      <c r="J1578" s="1"/>
      <c r="K1578" s="1" t="s">
        <v>9476</v>
      </c>
    </row>
    <row r="1579" ht="14.25" customHeight="1">
      <c r="A1579" s="3" t="s">
        <v>1359</v>
      </c>
      <c r="B1579" s="1">
        <v>4.4</v>
      </c>
      <c r="C1579" s="1" t="s">
        <v>1885</v>
      </c>
      <c r="D1579" s="1" t="s">
        <v>3238</v>
      </c>
      <c r="E1579" s="1" t="s">
        <v>17762</v>
      </c>
      <c r="F1579" s="1"/>
      <c r="G1579" s="1"/>
      <c r="H1579" s="1"/>
      <c r="I1579" s="1"/>
      <c r="J1579" s="1"/>
      <c r="K1579" s="1" t="s">
        <v>9719</v>
      </c>
    </row>
    <row r="1580" ht="14.25" customHeight="1">
      <c r="A1580" s="3" t="s">
        <v>1359</v>
      </c>
      <c r="B1580" s="1">
        <v>6.3</v>
      </c>
      <c r="C1580" s="1" t="s">
        <v>1885</v>
      </c>
      <c r="D1580" s="1" t="s">
        <v>3238</v>
      </c>
      <c r="E1580" s="1" t="s">
        <v>17762</v>
      </c>
      <c r="F1580" s="1"/>
      <c r="G1580" s="1"/>
      <c r="H1580" s="1"/>
      <c r="I1580" s="1"/>
      <c r="J1580" s="1"/>
      <c r="K1580" s="1" t="s">
        <v>9740</v>
      </c>
    </row>
    <row r="1581" ht="14.25" customHeight="1">
      <c r="A1581" s="3" t="s">
        <v>1359</v>
      </c>
      <c r="B1581" s="1">
        <v>6.1</v>
      </c>
      <c r="C1581" s="1" t="s">
        <v>1885</v>
      </c>
      <c r="D1581" s="1" t="s">
        <v>3238</v>
      </c>
      <c r="E1581" s="1" t="s">
        <v>17762</v>
      </c>
      <c r="F1581" s="1"/>
      <c r="G1581" s="1"/>
      <c r="H1581" s="1"/>
      <c r="I1581" s="1"/>
      <c r="J1581" s="1"/>
      <c r="K1581" s="1" t="s">
        <v>9755</v>
      </c>
    </row>
    <row r="1582" ht="14.25" customHeight="1">
      <c r="A1582" s="3" t="s">
        <v>1359</v>
      </c>
      <c r="B1582" s="1">
        <v>5.3</v>
      </c>
      <c r="C1582" s="1" t="s">
        <v>1885</v>
      </c>
      <c r="D1582" s="1" t="s">
        <v>3238</v>
      </c>
      <c r="E1582" s="1" t="s">
        <v>17762</v>
      </c>
      <c r="F1582" s="1"/>
      <c r="G1582" s="1"/>
      <c r="H1582" s="1"/>
      <c r="I1582" s="1"/>
      <c r="J1582" s="1"/>
      <c r="K1582" s="1" t="s">
        <v>9869</v>
      </c>
    </row>
    <row r="1583" ht="14.25" customHeight="1">
      <c r="A1583" s="3" t="s">
        <v>1359</v>
      </c>
      <c r="B1583" s="1">
        <v>5.4</v>
      </c>
      <c r="C1583" s="1" t="s">
        <v>1885</v>
      </c>
      <c r="D1583" s="1" t="s">
        <v>3238</v>
      </c>
      <c r="E1583" s="1" t="s">
        <v>17762</v>
      </c>
      <c r="F1583" s="1"/>
      <c r="G1583" s="1"/>
      <c r="H1583" s="1"/>
      <c r="I1583" s="1"/>
      <c r="J1583" s="1"/>
      <c r="K1583" s="1" t="s">
        <v>9943</v>
      </c>
    </row>
    <row r="1584" ht="14.25" customHeight="1">
      <c r="A1584" s="3" t="s">
        <v>1359</v>
      </c>
      <c r="B1584" s="1">
        <v>6.7</v>
      </c>
      <c r="C1584" s="1" t="s">
        <v>1885</v>
      </c>
      <c r="D1584" s="1" t="s">
        <v>3238</v>
      </c>
      <c r="E1584" s="1" t="s">
        <v>17762</v>
      </c>
      <c r="F1584" s="1"/>
      <c r="G1584" s="1"/>
      <c r="H1584" s="1"/>
      <c r="I1584" s="1"/>
      <c r="J1584" s="1"/>
      <c r="K1584" s="1" t="s">
        <v>10167</v>
      </c>
    </row>
    <row r="1585" ht="14.25" customHeight="1">
      <c r="A1585" s="3" t="s">
        <v>1359</v>
      </c>
      <c r="B1585" s="1">
        <v>5.9</v>
      </c>
      <c r="C1585" s="1" t="s">
        <v>1885</v>
      </c>
      <c r="D1585" s="1" t="s">
        <v>3238</v>
      </c>
      <c r="E1585" s="1" t="s">
        <v>17762</v>
      </c>
      <c r="F1585" s="1"/>
      <c r="G1585" s="1"/>
      <c r="H1585" s="1"/>
      <c r="I1585" s="1"/>
      <c r="J1585" s="1"/>
      <c r="K1585" s="1" t="s">
        <v>10440</v>
      </c>
    </row>
    <row r="1586" ht="14.25" customHeight="1">
      <c r="A1586" s="3" t="s">
        <v>1359</v>
      </c>
      <c r="B1586" s="1">
        <v>7.3</v>
      </c>
      <c r="C1586" s="1" t="s">
        <v>1885</v>
      </c>
      <c r="D1586" s="1" t="s">
        <v>3238</v>
      </c>
      <c r="E1586" s="1" t="s">
        <v>17762</v>
      </c>
      <c r="F1586" s="1"/>
      <c r="G1586" s="1"/>
      <c r="H1586" s="1"/>
      <c r="I1586" s="1"/>
      <c r="J1586" s="1"/>
      <c r="K1586" s="1" t="s">
        <v>10562</v>
      </c>
    </row>
    <row r="1587" ht="14.25" customHeight="1">
      <c r="A1587" s="3" t="s">
        <v>1359</v>
      </c>
      <c r="B1587" s="1">
        <v>5.5</v>
      </c>
      <c r="C1587" s="1" t="s">
        <v>1885</v>
      </c>
      <c r="D1587" s="1" t="s">
        <v>3238</v>
      </c>
      <c r="E1587" s="1" t="s">
        <v>17762</v>
      </c>
      <c r="F1587" s="1"/>
      <c r="G1587" s="1"/>
      <c r="H1587" s="1"/>
      <c r="I1587" s="1"/>
      <c r="J1587" s="1"/>
      <c r="K1587" s="1" t="s">
        <v>10611</v>
      </c>
    </row>
    <row r="1588" ht="14.25" customHeight="1">
      <c r="A1588" s="3" t="s">
        <v>1359</v>
      </c>
      <c r="B1588" s="1">
        <v>5.8</v>
      </c>
      <c r="C1588" s="1" t="s">
        <v>1885</v>
      </c>
      <c r="D1588" s="1" t="s">
        <v>3238</v>
      </c>
      <c r="E1588" s="1" t="s">
        <v>17762</v>
      </c>
      <c r="F1588" s="1"/>
      <c r="G1588" s="1"/>
      <c r="H1588" s="1"/>
      <c r="I1588" s="1"/>
      <c r="J1588" s="1"/>
      <c r="K1588" s="1" t="s">
        <v>10684</v>
      </c>
    </row>
    <row r="1589" ht="14.25" customHeight="1">
      <c r="A1589" s="3" t="s">
        <v>1359</v>
      </c>
      <c r="B1589" s="1">
        <v>4.6</v>
      </c>
      <c r="C1589" s="1" t="s">
        <v>1885</v>
      </c>
      <c r="D1589" s="1" t="s">
        <v>3238</v>
      </c>
      <c r="E1589" s="1" t="s">
        <v>17762</v>
      </c>
      <c r="F1589" s="1"/>
      <c r="G1589" s="1"/>
      <c r="H1589" s="1"/>
      <c r="I1589" s="1"/>
      <c r="J1589" s="1"/>
      <c r="K1589" s="1" t="s">
        <v>10725</v>
      </c>
    </row>
    <row r="1590" ht="14.25" customHeight="1">
      <c r="A1590" s="3" t="s">
        <v>1359</v>
      </c>
      <c r="B1590" s="1">
        <v>6.7</v>
      </c>
      <c r="C1590" s="1" t="s">
        <v>1885</v>
      </c>
      <c r="D1590" s="1" t="s">
        <v>3238</v>
      </c>
      <c r="E1590" s="1" t="s">
        <v>17762</v>
      </c>
      <c r="F1590" s="1"/>
      <c r="G1590" s="1"/>
      <c r="H1590" s="1"/>
      <c r="I1590" s="1"/>
      <c r="J1590" s="1"/>
      <c r="K1590" s="1" t="s">
        <v>10736</v>
      </c>
    </row>
    <row r="1591" ht="14.25" customHeight="1">
      <c r="A1591" s="3" t="s">
        <v>1359</v>
      </c>
      <c r="B1591" s="1">
        <v>5.1</v>
      </c>
      <c r="C1591" s="1" t="s">
        <v>1885</v>
      </c>
      <c r="D1591" s="1" t="s">
        <v>3238</v>
      </c>
      <c r="E1591" s="1" t="s">
        <v>17762</v>
      </c>
      <c r="F1591" s="1"/>
      <c r="G1591" s="1"/>
      <c r="H1591" s="1"/>
      <c r="I1591" s="1"/>
      <c r="J1591" s="1"/>
      <c r="K1591" s="1" t="s">
        <v>10833</v>
      </c>
    </row>
    <row r="1592" ht="14.25" customHeight="1">
      <c r="A1592" s="3" t="s">
        <v>1359</v>
      </c>
      <c r="B1592" s="1">
        <v>5.6</v>
      </c>
      <c r="C1592" s="1" t="s">
        <v>1885</v>
      </c>
      <c r="D1592" s="1" t="s">
        <v>3238</v>
      </c>
      <c r="E1592" s="1" t="s">
        <v>17762</v>
      </c>
      <c r="F1592" s="1"/>
      <c r="G1592" s="1"/>
      <c r="H1592" s="1"/>
      <c r="I1592" s="1"/>
      <c r="J1592" s="1"/>
      <c r="K1592" s="1" t="s">
        <v>10856</v>
      </c>
    </row>
    <row r="1593" ht="14.25" customHeight="1">
      <c r="A1593" s="3" t="s">
        <v>1359</v>
      </c>
      <c r="B1593" s="1">
        <v>7.0</v>
      </c>
      <c r="C1593" s="1" t="s">
        <v>1885</v>
      </c>
      <c r="D1593" s="1" t="s">
        <v>3238</v>
      </c>
      <c r="E1593" s="1" t="s">
        <v>17762</v>
      </c>
      <c r="F1593" s="1"/>
      <c r="G1593" s="1"/>
      <c r="H1593" s="1"/>
      <c r="I1593" s="1"/>
      <c r="J1593" s="1"/>
      <c r="K1593" s="1" t="s">
        <v>10867</v>
      </c>
    </row>
    <row r="1594" ht="14.25" customHeight="1">
      <c r="A1594" s="3" t="s">
        <v>1359</v>
      </c>
      <c r="B1594" s="1">
        <v>6.4</v>
      </c>
      <c r="C1594" s="1" t="s">
        <v>1885</v>
      </c>
      <c r="D1594" s="1" t="s">
        <v>3238</v>
      </c>
      <c r="E1594" s="1" t="s">
        <v>17762</v>
      </c>
      <c r="F1594" s="1"/>
      <c r="G1594" s="1"/>
      <c r="H1594" s="1"/>
      <c r="I1594" s="1"/>
      <c r="J1594" s="1"/>
      <c r="K1594" s="1" t="s">
        <v>11197</v>
      </c>
    </row>
    <row r="1595" ht="14.25" customHeight="1">
      <c r="A1595" s="3" t="s">
        <v>1359</v>
      </c>
      <c r="B1595" s="1">
        <v>6.7</v>
      </c>
      <c r="C1595" s="1" t="s">
        <v>1885</v>
      </c>
      <c r="D1595" s="1" t="s">
        <v>3238</v>
      </c>
      <c r="E1595" s="1" t="s">
        <v>17762</v>
      </c>
      <c r="F1595" s="1"/>
      <c r="G1595" s="1"/>
      <c r="H1595" s="1"/>
      <c r="I1595" s="1"/>
      <c r="J1595" s="1"/>
      <c r="K1595" s="1" t="s">
        <v>11217</v>
      </c>
    </row>
    <row r="1596" ht="14.25" customHeight="1">
      <c r="A1596" s="3" t="s">
        <v>1359</v>
      </c>
      <c r="B1596" s="1">
        <v>4.1</v>
      </c>
      <c r="C1596" s="1" t="s">
        <v>1885</v>
      </c>
      <c r="D1596" s="1" t="s">
        <v>3238</v>
      </c>
      <c r="E1596" s="1" t="s">
        <v>17762</v>
      </c>
      <c r="F1596" s="1"/>
      <c r="G1596" s="1"/>
      <c r="H1596" s="1"/>
      <c r="I1596" s="1"/>
      <c r="J1596" s="1"/>
      <c r="K1596" s="1" t="s">
        <v>11283</v>
      </c>
    </row>
    <row r="1597" ht="14.25" customHeight="1">
      <c r="A1597" s="3" t="s">
        <v>1359</v>
      </c>
      <c r="B1597" s="1">
        <v>5.5</v>
      </c>
      <c r="C1597" s="1" t="s">
        <v>1885</v>
      </c>
      <c r="D1597" s="1" t="s">
        <v>3238</v>
      </c>
      <c r="E1597" s="1" t="s">
        <v>17762</v>
      </c>
      <c r="F1597" s="1"/>
      <c r="G1597" s="1"/>
      <c r="H1597" s="1"/>
      <c r="I1597" s="1"/>
      <c r="J1597" s="1"/>
      <c r="K1597" s="1" t="s">
        <v>11311</v>
      </c>
    </row>
    <row r="1598" ht="14.25" customHeight="1">
      <c r="A1598" s="3" t="s">
        <v>1359</v>
      </c>
      <c r="B1598" s="1">
        <v>2.7</v>
      </c>
      <c r="C1598" s="1" t="s">
        <v>1885</v>
      </c>
      <c r="D1598" s="1" t="s">
        <v>3238</v>
      </c>
      <c r="E1598" s="1" t="s">
        <v>17762</v>
      </c>
      <c r="F1598" s="1"/>
      <c r="G1598" s="1"/>
      <c r="H1598" s="1"/>
      <c r="I1598" s="1"/>
      <c r="J1598" s="1"/>
      <c r="K1598" s="1" t="s">
        <v>11419</v>
      </c>
    </row>
    <row r="1599" ht="14.25" customHeight="1">
      <c r="A1599" s="3" t="s">
        <v>1359</v>
      </c>
      <c r="B1599" s="1">
        <v>6.4</v>
      </c>
      <c r="C1599" s="1" t="s">
        <v>1885</v>
      </c>
      <c r="D1599" s="1" t="s">
        <v>3238</v>
      </c>
      <c r="E1599" s="1" t="s">
        <v>17762</v>
      </c>
      <c r="F1599" s="1"/>
      <c r="G1599" s="1"/>
      <c r="H1599" s="1"/>
      <c r="I1599" s="1"/>
      <c r="J1599" s="1"/>
      <c r="K1599" s="1" t="s">
        <v>6754</v>
      </c>
    </row>
    <row r="1600" ht="14.25" customHeight="1">
      <c r="A1600" s="3" t="s">
        <v>1359</v>
      </c>
      <c r="B1600" s="1">
        <v>4.8</v>
      </c>
      <c r="C1600" s="1" t="s">
        <v>1885</v>
      </c>
      <c r="D1600" s="1" t="s">
        <v>3238</v>
      </c>
      <c r="E1600" s="1" t="s">
        <v>17762</v>
      </c>
      <c r="F1600" s="1"/>
      <c r="G1600" s="1"/>
      <c r="H1600" s="1"/>
      <c r="I1600" s="1"/>
      <c r="J1600" s="1"/>
      <c r="K1600" s="1" t="s">
        <v>11553</v>
      </c>
    </row>
    <row r="1601" ht="14.25" customHeight="1">
      <c r="A1601" s="3" t="s">
        <v>1359</v>
      </c>
      <c r="B1601" s="1">
        <v>6.1</v>
      </c>
      <c r="C1601" s="1" t="s">
        <v>1885</v>
      </c>
      <c r="D1601" s="1" t="s">
        <v>3238</v>
      </c>
      <c r="E1601" s="1" t="s">
        <v>17762</v>
      </c>
      <c r="F1601" s="1"/>
      <c r="G1601" s="1"/>
      <c r="H1601" s="1"/>
      <c r="I1601" s="1"/>
      <c r="J1601" s="1"/>
      <c r="K1601" s="1" t="s">
        <v>11598</v>
      </c>
    </row>
    <row r="1602" ht="14.25" customHeight="1">
      <c r="A1602" s="3" t="s">
        <v>1359</v>
      </c>
      <c r="B1602" s="1">
        <v>4.8</v>
      </c>
      <c r="C1602" s="1" t="s">
        <v>1885</v>
      </c>
      <c r="D1602" s="1" t="s">
        <v>3238</v>
      </c>
      <c r="E1602" s="1" t="s">
        <v>17762</v>
      </c>
      <c r="F1602" s="1"/>
      <c r="G1602" s="1"/>
      <c r="H1602" s="1"/>
      <c r="I1602" s="1"/>
      <c r="J1602" s="1"/>
      <c r="K1602" s="1" t="s">
        <v>11772</v>
      </c>
    </row>
    <row r="1603" ht="14.25" customHeight="1">
      <c r="A1603" s="3" t="s">
        <v>1359</v>
      </c>
      <c r="B1603" s="1">
        <v>7.0</v>
      </c>
      <c r="C1603" s="1" t="s">
        <v>1885</v>
      </c>
      <c r="D1603" s="1" t="s">
        <v>3238</v>
      </c>
      <c r="E1603" s="1" t="s">
        <v>17762</v>
      </c>
      <c r="F1603" s="1"/>
      <c r="G1603" s="1"/>
      <c r="H1603" s="1"/>
      <c r="I1603" s="1"/>
      <c r="J1603" s="1"/>
      <c r="K1603" s="1" t="s">
        <v>11786</v>
      </c>
    </row>
    <row r="1604" ht="14.25" customHeight="1">
      <c r="A1604" s="3" t="s">
        <v>1359</v>
      </c>
      <c r="B1604" s="1">
        <v>6.8</v>
      </c>
      <c r="C1604" s="1" t="s">
        <v>1885</v>
      </c>
      <c r="D1604" s="1" t="s">
        <v>3238</v>
      </c>
      <c r="E1604" s="1" t="s">
        <v>17762</v>
      </c>
      <c r="F1604" s="1"/>
      <c r="G1604" s="1"/>
      <c r="H1604" s="1"/>
      <c r="I1604" s="1"/>
      <c r="J1604" s="1"/>
      <c r="K1604" s="1" t="s">
        <v>11821</v>
      </c>
    </row>
    <row r="1605" ht="14.25" customHeight="1">
      <c r="A1605" s="3" t="s">
        <v>1359</v>
      </c>
      <c r="B1605" s="1">
        <v>5.6</v>
      </c>
      <c r="C1605" s="1" t="s">
        <v>1885</v>
      </c>
      <c r="D1605" s="1" t="s">
        <v>3238</v>
      </c>
      <c r="E1605" s="1" t="s">
        <v>17762</v>
      </c>
      <c r="F1605" s="1"/>
      <c r="G1605" s="1"/>
      <c r="H1605" s="1"/>
      <c r="I1605" s="1"/>
      <c r="J1605" s="1"/>
      <c r="K1605" s="1" t="s">
        <v>11830</v>
      </c>
    </row>
    <row r="1606" ht="14.25" customHeight="1">
      <c r="A1606" s="3" t="s">
        <v>1359</v>
      </c>
      <c r="B1606" s="1">
        <v>6.1</v>
      </c>
      <c r="C1606" s="1" t="s">
        <v>1885</v>
      </c>
      <c r="D1606" s="1" t="s">
        <v>3238</v>
      </c>
      <c r="E1606" s="1" t="s">
        <v>17762</v>
      </c>
      <c r="F1606" s="1"/>
      <c r="G1606" s="1"/>
      <c r="H1606" s="1"/>
      <c r="I1606" s="1"/>
      <c r="J1606" s="1"/>
      <c r="K1606" s="1" t="s">
        <v>11890</v>
      </c>
    </row>
    <row r="1607" ht="14.25" customHeight="1">
      <c r="A1607" s="3" t="s">
        <v>1359</v>
      </c>
      <c r="B1607" s="1">
        <v>7.9</v>
      </c>
      <c r="C1607" s="1" t="s">
        <v>1885</v>
      </c>
      <c r="D1607" s="1" t="s">
        <v>3238</v>
      </c>
      <c r="E1607" s="1" t="s">
        <v>17762</v>
      </c>
      <c r="F1607" s="1"/>
      <c r="G1607" s="1"/>
      <c r="H1607" s="1"/>
      <c r="I1607" s="1"/>
      <c r="J1607" s="1"/>
      <c r="K1607" s="1" t="s">
        <v>12173</v>
      </c>
    </row>
    <row r="1608" ht="14.25" customHeight="1">
      <c r="A1608" s="3" t="s">
        <v>1359</v>
      </c>
      <c r="B1608" s="1">
        <v>8.4</v>
      </c>
      <c r="C1608" s="1" t="s">
        <v>1885</v>
      </c>
      <c r="D1608" s="1" t="s">
        <v>3238</v>
      </c>
      <c r="E1608" s="1" t="s">
        <v>17762</v>
      </c>
      <c r="F1608" s="1"/>
      <c r="G1608" s="1"/>
      <c r="H1608" s="1"/>
      <c r="I1608" s="1"/>
      <c r="J1608" s="1"/>
      <c r="K1608" s="1" t="s">
        <v>12257</v>
      </c>
    </row>
    <row r="1609" ht="14.25" customHeight="1">
      <c r="A1609" s="3" t="s">
        <v>1359</v>
      </c>
      <c r="B1609" s="1">
        <v>6.5</v>
      </c>
      <c r="C1609" s="1" t="s">
        <v>1885</v>
      </c>
      <c r="D1609" s="1" t="s">
        <v>3238</v>
      </c>
      <c r="E1609" s="1" t="s">
        <v>17762</v>
      </c>
      <c r="F1609" s="1"/>
      <c r="G1609" s="1"/>
      <c r="H1609" s="1"/>
      <c r="I1609" s="1"/>
      <c r="J1609" s="1"/>
      <c r="K1609" s="1" t="s">
        <v>12282</v>
      </c>
    </row>
    <row r="1610" ht="14.25" customHeight="1">
      <c r="A1610" s="3" t="s">
        <v>1359</v>
      </c>
      <c r="B1610" s="1">
        <v>7.1</v>
      </c>
      <c r="C1610" s="1" t="s">
        <v>1885</v>
      </c>
      <c r="D1610" s="1" t="s">
        <v>3238</v>
      </c>
      <c r="E1610" s="1" t="s">
        <v>17762</v>
      </c>
      <c r="F1610" s="1"/>
      <c r="G1610" s="1"/>
      <c r="H1610" s="1"/>
      <c r="I1610" s="1"/>
      <c r="J1610" s="1"/>
      <c r="K1610" s="1" t="s">
        <v>12389</v>
      </c>
    </row>
    <row r="1611" ht="14.25" customHeight="1">
      <c r="A1611" s="3" t="s">
        <v>1359</v>
      </c>
      <c r="B1611" s="1">
        <v>6.6</v>
      </c>
      <c r="C1611" s="1" t="s">
        <v>1885</v>
      </c>
      <c r="D1611" s="1" t="s">
        <v>3238</v>
      </c>
      <c r="E1611" s="1" t="s">
        <v>17762</v>
      </c>
      <c r="F1611" s="1"/>
      <c r="G1611" s="1"/>
      <c r="H1611" s="1"/>
      <c r="I1611" s="1"/>
      <c r="J1611" s="1"/>
      <c r="K1611" s="1" t="s">
        <v>12397</v>
      </c>
    </row>
    <row r="1612" ht="14.25" customHeight="1">
      <c r="A1612" s="3" t="s">
        <v>1359</v>
      </c>
      <c r="B1612" s="1">
        <v>7.0</v>
      </c>
      <c r="C1612" s="1" t="s">
        <v>1885</v>
      </c>
      <c r="D1612" s="1" t="s">
        <v>3238</v>
      </c>
      <c r="E1612" s="1" t="s">
        <v>17762</v>
      </c>
      <c r="F1612" s="1"/>
      <c r="G1612" s="1"/>
      <c r="H1612" s="1"/>
      <c r="I1612" s="1"/>
      <c r="J1612" s="1"/>
      <c r="K1612" s="1" t="s">
        <v>12493</v>
      </c>
    </row>
    <row r="1613" ht="14.25" customHeight="1">
      <c r="A1613" s="3" t="s">
        <v>1359</v>
      </c>
      <c r="B1613" s="1">
        <v>5.6</v>
      </c>
      <c r="C1613" s="1" t="s">
        <v>1885</v>
      </c>
      <c r="D1613" s="1" t="s">
        <v>3238</v>
      </c>
      <c r="E1613" s="1" t="s">
        <v>17762</v>
      </c>
      <c r="F1613" s="1"/>
      <c r="G1613" s="1"/>
      <c r="H1613" s="1"/>
      <c r="I1613" s="1"/>
      <c r="J1613" s="1"/>
      <c r="K1613" s="1" t="s">
        <v>12517</v>
      </c>
    </row>
    <row r="1614" ht="14.25" customHeight="1">
      <c r="A1614" s="3" t="s">
        <v>1359</v>
      </c>
      <c r="B1614" s="1">
        <v>4.8</v>
      </c>
      <c r="C1614" s="1" t="s">
        <v>1885</v>
      </c>
      <c r="D1614" s="1" t="s">
        <v>3238</v>
      </c>
      <c r="E1614" s="1" t="s">
        <v>17762</v>
      </c>
      <c r="F1614" s="1"/>
      <c r="G1614" s="1"/>
      <c r="H1614" s="1"/>
      <c r="I1614" s="1"/>
      <c r="J1614" s="1"/>
      <c r="K1614" s="1" t="s">
        <v>12729</v>
      </c>
    </row>
    <row r="1615" ht="14.25" customHeight="1">
      <c r="A1615" s="3" t="s">
        <v>1359</v>
      </c>
      <c r="B1615" s="1">
        <v>7.5</v>
      </c>
      <c r="C1615" s="1" t="s">
        <v>1885</v>
      </c>
      <c r="D1615" s="1" t="s">
        <v>3238</v>
      </c>
      <c r="E1615" s="1" t="s">
        <v>17762</v>
      </c>
      <c r="F1615" s="1"/>
      <c r="G1615" s="1"/>
      <c r="H1615" s="1"/>
      <c r="I1615" s="1"/>
      <c r="J1615" s="1"/>
      <c r="K1615" s="1" t="s">
        <v>12821</v>
      </c>
    </row>
    <row r="1616" ht="14.25" customHeight="1">
      <c r="A1616" s="3" t="s">
        <v>1359</v>
      </c>
      <c r="B1616" s="1">
        <v>6.0</v>
      </c>
      <c r="C1616" s="1" t="s">
        <v>1885</v>
      </c>
      <c r="D1616" s="1" t="s">
        <v>3238</v>
      </c>
      <c r="E1616" s="1" t="s">
        <v>17762</v>
      </c>
      <c r="F1616" s="1"/>
      <c r="G1616" s="1"/>
      <c r="H1616" s="1"/>
      <c r="I1616" s="1"/>
      <c r="J1616" s="1"/>
      <c r="K1616" s="1" t="s">
        <v>13050</v>
      </c>
    </row>
    <row r="1617" ht="14.25" customHeight="1">
      <c r="A1617" s="3" t="s">
        <v>1359</v>
      </c>
      <c r="B1617" s="1">
        <v>6.8</v>
      </c>
      <c r="C1617" s="1" t="s">
        <v>1885</v>
      </c>
      <c r="D1617" s="1" t="s">
        <v>3238</v>
      </c>
      <c r="E1617" s="1" t="s">
        <v>17762</v>
      </c>
      <c r="F1617" s="1"/>
      <c r="G1617" s="1"/>
      <c r="H1617" s="1"/>
      <c r="I1617" s="1"/>
      <c r="J1617" s="1"/>
      <c r="K1617" s="1" t="s">
        <v>13119</v>
      </c>
    </row>
    <row r="1618" ht="14.25" customHeight="1">
      <c r="A1618" s="3" t="s">
        <v>1359</v>
      </c>
      <c r="B1618" s="1">
        <v>6.5</v>
      </c>
      <c r="C1618" s="1" t="s">
        <v>1885</v>
      </c>
      <c r="D1618" s="1" t="s">
        <v>3238</v>
      </c>
      <c r="E1618" s="1" t="s">
        <v>17762</v>
      </c>
      <c r="F1618" s="1"/>
      <c r="G1618" s="1"/>
      <c r="H1618" s="1"/>
      <c r="I1618" s="1"/>
      <c r="J1618" s="1"/>
      <c r="K1618" s="1" t="s">
        <v>13158</v>
      </c>
    </row>
    <row r="1619" ht="14.25" customHeight="1">
      <c r="A1619" s="3" t="s">
        <v>1359</v>
      </c>
      <c r="B1619" s="1">
        <v>7.9</v>
      </c>
      <c r="C1619" s="1" t="s">
        <v>1885</v>
      </c>
      <c r="D1619" s="1" t="s">
        <v>3238</v>
      </c>
      <c r="E1619" s="1" t="s">
        <v>17762</v>
      </c>
      <c r="F1619" s="1"/>
      <c r="G1619" s="1"/>
      <c r="H1619" s="1"/>
      <c r="I1619" s="1"/>
      <c r="J1619" s="1"/>
      <c r="K1619" s="1" t="s">
        <v>13750</v>
      </c>
    </row>
    <row r="1620" ht="14.25" customHeight="1">
      <c r="A1620" s="3" t="s">
        <v>1359</v>
      </c>
      <c r="B1620" s="1">
        <v>6.4</v>
      </c>
      <c r="C1620" s="1" t="s">
        <v>1885</v>
      </c>
      <c r="D1620" s="1" t="s">
        <v>3238</v>
      </c>
      <c r="E1620" s="1" t="s">
        <v>17762</v>
      </c>
      <c r="F1620" s="1"/>
      <c r="G1620" s="1"/>
      <c r="H1620" s="1"/>
      <c r="I1620" s="1"/>
      <c r="J1620" s="1"/>
      <c r="K1620" s="1" t="s">
        <v>13790</v>
      </c>
    </row>
    <row r="1621" ht="14.25" customHeight="1">
      <c r="A1621" s="3" t="s">
        <v>1359</v>
      </c>
      <c r="B1621" s="1">
        <v>5.8</v>
      </c>
      <c r="C1621" s="1" t="s">
        <v>1885</v>
      </c>
      <c r="D1621" s="1" t="s">
        <v>3238</v>
      </c>
      <c r="E1621" s="1" t="s">
        <v>17762</v>
      </c>
      <c r="F1621" s="1"/>
      <c r="G1621" s="1"/>
      <c r="H1621" s="1"/>
      <c r="I1621" s="1"/>
      <c r="J1621" s="1"/>
      <c r="K1621" s="1" t="s">
        <v>13960</v>
      </c>
    </row>
    <row r="1622" ht="14.25" customHeight="1">
      <c r="A1622" s="3" t="s">
        <v>1359</v>
      </c>
      <c r="B1622" s="1">
        <v>7.7</v>
      </c>
      <c r="C1622" s="1" t="s">
        <v>1885</v>
      </c>
      <c r="D1622" s="1" t="s">
        <v>3238</v>
      </c>
      <c r="E1622" s="1" t="s">
        <v>17762</v>
      </c>
      <c r="F1622" s="1"/>
      <c r="G1622" s="1"/>
      <c r="H1622" s="1"/>
      <c r="I1622" s="1"/>
      <c r="J1622" s="1"/>
      <c r="K1622" s="1" t="s">
        <v>13977</v>
      </c>
    </row>
    <row r="1623" ht="14.25" customHeight="1">
      <c r="A1623" s="3" t="s">
        <v>1359</v>
      </c>
      <c r="B1623" s="1">
        <v>5.3</v>
      </c>
      <c r="C1623" s="1" t="s">
        <v>1885</v>
      </c>
      <c r="D1623" s="1" t="s">
        <v>3238</v>
      </c>
      <c r="E1623" s="1" t="s">
        <v>17762</v>
      </c>
      <c r="F1623" s="1"/>
      <c r="G1623" s="1"/>
      <c r="H1623" s="1"/>
      <c r="I1623" s="1"/>
      <c r="J1623" s="1"/>
      <c r="K1623" s="1" t="s">
        <v>13992</v>
      </c>
    </row>
    <row r="1624" ht="14.25" customHeight="1">
      <c r="A1624" s="3" t="s">
        <v>1359</v>
      </c>
      <c r="B1624" s="1">
        <v>5.3</v>
      </c>
      <c r="C1624" s="1" t="s">
        <v>1885</v>
      </c>
      <c r="D1624" s="1" t="s">
        <v>3238</v>
      </c>
      <c r="E1624" s="1" t="s">
        <v>17762</v>
      </c>
      <c r="F1624" s="1"/>
      <c r="G1624" s="1"/>
      <c r="H1624" s="1"/>
      <c r="I1624" s="1"/>
      <c r="J1624" s="1"/>
      <c r="K1624" s="1" t="s">
        <v>14015</v>
      </c>
    </row>
    <row r="1625" ht="14.25" customHeight="1">
      <c r="A1625" s="3" t="s">
        <v>1359</v>
      </c>
      <c r="B1625" s="1">
        <v>7.5</v>
      </c>
      <c r="C1625" s="1" t="s">
        <v>1885</v>
      </c>
      <c r="D1625" s="1" t="s">
        <v>3238</v>
      </c>
      <c r="E1625" s="1" t="s">
        <v>17762</v>
      </c>
      <c r="F1625" s="1"/>
      <c r="G1625" s="1"/>
      <c r="H1625" s="1"/>
      <c r="I1625" s="1"/>
      <c r="J1625" s="1"/>
      <c r="K1625" s="1" t="s">
        <v>14063</v>
      </c>
    </row>
    <row r="1626" ht="14.25" customHeight="1">
      <c r="A1626" s="3" t="s">
        <v>1359</v>
      </c>
      <c r="B1626" s="1">
        <v>6.9</v>
      </c>
      <c r="C1626" s="1" t="s">
        <v>1885</v>
      </c>
      <c r="D1626" s="1" t="s">
        <v>3238</v>
      </c>
      <c r="E1626" s="1" t="s">
        <v>17762</v>
      </c>
      <c r="F1626" s="1"/>
      <c r="G1626" s="1"/>
      <c r="H1626" s="1"/>
      <c r="I1626" s="1"/>
      <c r="J1626" s="1"/>
      <c r="K1626" s="1" t="s">
        <v>14114</v>
      </c>
    </row>
    <row r="1627" ht="14.25" customHeight="1">
      <c r="A1627" s="3" t="s">
        <v>1359</v>
      </c>
      <c r="B1627" s="1">
        <v>4.9</v>
      </c>
      <c r="C1627" s="1" t="s">
        <v>1885</v>
      </c>
      <c r="D1627" s="1" t="s">
        <v>3238</v>
      </c>
      <c r="E1627" s="1" t="s">
        <v>17762</v>
      </c>
      <c r="F1627" s="1"/>
      <c r="G1627" s="1"/>
      <c r="H1627" s="1"/>
      <c r="I1627" s="1"/>
      <c r="J1627" s="1"/>
      <c r="K1627" s="1" t="s">
        <v>14143</v>
      </c>
    </row>
    <row r="1628" ht="14.25" customHeight="1">
      <c r="A1628" s="3" t="s">
        <v>1359</v>
      </c>
      <c r="B1628" s="1">
        <v>7.1</v>
      </c>
      <c r="C1628" s="1" t="s">
        <v>1885</v>
      </c>
      <c r="D1628" s="1" t="s">
        <v>3238</v>
      </c>
      <c r="E1628" s="1" t="s">
        <v>17762</v>
      </c>
      <c r="F1628" s="1"/>
      <c r="G1628" s="1"/>
      <c r="H1628" s="1"/>
      <c r="I1628" s="1"/>
      <c r="J1628" s="1"/>
      <c r="K1628" s="1" t="s">
        <v>14181</v>
      </c>
    </row>
    <row r="1629" ht="14.25" customHeight="1">
      <c r="A1629" s="3" t="s">
        <v>1359</v>
      </c>
      <c r="B1629" s="1">
        <v>8.0</v>
      </c>
      <c r="C1629" s="1" t="s">
        <v>1885</v>
      </c>
      <c r="D1629" s="1" t="s">
        <v>3238</v>
      </c>
      <c r="E1629" s="1" t="s">
        <v>17762</v>
      </c>
      <c r="F1629" s="1"/>
      <c r="G1629" s="1"/>
      <c r="H1629" s="1"/>
      <c r="I1629" s="1"/>
      <c r="J1629" s="1"/>
      <c r="K1629" s="1" t="s">
        <v>14231</v>
      </c>
    </row>
    <row r="1630" ht="14.25" customHeight="1">
      <c r="A1630" s="3" t="s">
        <v>1359</v>
      </c>
      <c r="B1630" s="1">
        <v>7.9</v>
      </c>
      <c r="C1630" s="1" t="s">
        <v>1885</v>
      </c>
      <c r="D1630" s="1" t="s">
        <v>3238</v>
      </c>
      <c r="E1630" s="1" t="s">
        <v>17762</v>
      </c>
      <c r="F1630" s="1"/>
      <c r="G1630" s="1"/>
      <c r="H1630" s="1"/>
      <c r="I1630" s="1"/>
      <c r="J1630" s="1"/>
      <c r="K1630" s="1" t="s">
        <v>14248</v>
      </c>
    </row>
    <row r="1631" ht="14.25" customHeight="1">
      <c r="A1631" s="3" t="s">
        <v>1359</v>
      </c>
      <c r="B1631" s="1">
        <v>7.6</v>
      </c>
      <c r="C1631" s="1" t="s">
        <v>1885</v>
      </c>
      <c r="D1631" s="1" t="s">
        <v>3238</v>
      </c>
      <c r="E1631" s="1" t="s">
        <v>17762</v>
      </c>
      <c r="F1631" s="1"/>
      <c r="G1631" s="1"/>
      <c r="H1631" s="1"/>
      <c r="I1631" s="1"/>
      <c r="J1631" s="1"/>
      <c r="K1631" s="1" t="s">
        <v>14353</v>
      </c>
    </row>
    <row r="1632" ht="14.25" customHeight="1">
      <c r="A1632" s="3" t="s">
        <v>1359</v>
      </c>
      <c r="B1632" s="1">
        <v>5.9</v>
      </c>
      <c r="C1632" s="1" t="s">
        <v>1885</v>
      </c>
      <c r="D1632" s="1" t="s">
        <v>3238</v>
      </c>
      <c r="E1632" s="1" t="s">
        <v>17762</v>
      </c>
      <c r="F1632" s="1"/>
      <c r="G1632" s="1"/>
      <c r="H1632" s="1"/>
      <c r="I1632" s="1"/>
      <c r="J1632" s="1"/>
      <c r="K1632" s="1" t="s">
        <v>14390</v>
      </c>
    </row>
    <row r="1633" ht="14.25" customHeight="1">
      <c r="A1633" s="3" t="s">
        <v>1359</v>
      </c>
      <c r="B1633" s="1">
        <v>6.3</v>
      </c>
      <c r="C1633" s="1" t="s">
        <v>1885</v>
      </c>
      <c r="D1633" s="1" t="s">
        <v>3238</v>
      </c>
      <c r="E1633" s="1" t="s">
        <v>17762</v>
      </c>
      <c r="F1633" s="1"/>
      <c r="G1633" s="1"/>
      <c r="H1633" s="1"/>
      <c r="I1633" s="1"/>
      <c r="J1633" s="1"/>
      <c r="K1633" s="1" t="s">
        <v>14493</v>
      </c>
    </row>
    <row r="1634" ht="14.25" customHeight="1">
      <c r="A1634" s="3" t="s">
        <v>1359</v>
      </c>
      <c r="B1634" s="1">
        <v>6.4</v>
      </c>
      <c r="C1634" s="1" t="s">
        <v>1885</v>
      </c>
      <c r="D1634" s="1" t="s">
        <v>3238</v>
      </c>
      <c r="E1634" s="1" t="s">
        <v>17762</v>
      </c>
      <c r="F1634" s="1"/>
      <c r="G1634" s="1"/>
      <c r="H1634" s="1"/>
      <c r="I1634" s="1"/>
      <c r="J1634" s="1"/>
      <c r="K1634" s="1" t="s">
        <v>14543</v>
      </c>
    </row>
    <row r="1635" ht="14.25" customHeight="1">
      <c r="A1635" s="3" t="s">
        <v>1359</v>
      </c>
      <c r="B1635" s="1">
        <v>8.2</v>
      </c>
      <c r="C1635" s="1" t="s">
        <v>1885</v>
      </c>
      <c r="D1635" s="1" t="s">
        <v>3238</v>
      </c>
      <c r="E1635" s="1" t="s">
        <v>17762</v>
      </c>
      <c r="F1635" s="1"/>
      <c r="G1635" s="1"/>
      <c r="H1635" s="1"/>
      <c r="I1635" s="1"/>
      <c r="J1635" s="1"/>
      <c r="K1635" s="1" t="s">
        <v>14653</v>
      </c>
    </row>
    <row r="1636" ht="14.25" customHeight="1">
      <c r="A1636" s="3" t="s">
        <v>1359</v>
      </c>
      <c r="B1636" s="1">
        <v>6.9</v>
      </c>
      <c r="C1636" s="1" t="s">
        <v>1885</v>
      </c>
      <c r="D1636" s="1" t="s">
        <v>3238</v>
      </c>
      <c r="E1636" s="1" t="s">
        <v>17762</v>
      </c>
      <c r="F1636" s="1"/>
      <c r="G1636" s="1"/>
      <c r="H1636" s="1"/>
      <c r="I1636" s="1"/>
      <c r="J1636" s="1"/>
      <c r="K1636" s="1" t="s">
        <v>14696</v>
      </c>
    </row>
    <row r="1637" ht="14.25" customHeight="1">
      <c r="A1637" s="3" t="s">
        <v>1359</v>
      </c>
      <c r="B1637" s="1">
        <v>7.8</v>
      </c>
      <c r="C1637" s="1" t="s">
        <v>1885</v>
      </c>
      <c r="D1637" s="1" t="s">
        <v>3238</v>
      </c>
      <c r="E1637" s="1" t="s">
        <v>17762</v>
      </c>
      <c r="F1637" s="1"/>
      <c r="G1637" s="1"/>
      <c r="H1637" s="1"/>
      <c r="I1637" s="1"/>
      <c r="J1637" s="1"/>
      <c r="K1637" s="1" t="s">
        <v>14729</v>
      </c>
    </row>
    <row r="1638" ht="14.25" customHeight="1">
      <c r="A1638" s="3" t="s">
        <v>1359</v>
      </c>
      <c r="B1638" s="1">
        <v>6.7</v>
      </c>
      <c r="C1638" s="1" t="s">
        <v>1885</v>
      </c>
      <c r="D1638" s="1" t="s">
        <v>3238</v>
      </c>
      <c r="E1638" s="1" t="s">
        <v>17762</v>
      </c>
      <c r="F1638" s="1"/>
      <c r="G1638" s="1"/>
      <c r="H1638" s="1"/>
      <c r="I1638" s="1"/>
      <c r="J1638" s="1"/>
      <c r="K1638" s="1" t="s">
        <v>14795</v>
      </c>
    </row>
    <row r="1639" ht="14.25" customHeight="1">
      <c r="A1639" s="3" t="s">
        <v>1359</v>
      </c>
      <c r="B1639" s="1">
        <v>7.5</v>
      </c>
      <c r="C1639" s="1" t="s">
        <v>1885</v>
      </c>
      <c r="D1639" s="1" t="s">
        <v>3238</v>
      </c>
      <c r="E1639" s="1" t="s">
        <v>17762</v>
      </c>
      <c r="F1639" s="1"/>
      <c r="G1639" s="1"/>
      <c r="H1639" s="1"/>
      <c r="I1639" s="1"/>
      <c r="J1639" s="1"/>
      <c r="K1639" s="1" t="s">
        <v>14877</v>
      </c>
    </row>
    <row r="1640" ht="14.25" customHeight="1">
      <c r="A1640" s="3" t="s">
        <v>1359</v>
      </c>
      <c r="B1640" s="1">
        <v>7.4</v>
      </c>
      <c r="C1640" s="1" t="s">
        <v>1885</v>
      </c>
      <c r="D1640" s="1" t="s">
        <v>3238</v>
      </c>
      <c r="E1640" s="1" t="s">
        <v>17762</v>
      </c>
      <c r="F1640" s="1"/>
      <c r="G1640" s="1"/>
      <c r="H1640" s="1"/>
      <c r="I1640" s="1"/>
      <c r="J1640" s="1"/>
      <c r="K1640" s="1" t="s">
        <v>14885</v>
      </c>
    </row>
    <row r="1641" ht="14.25" customHeight="1">
      <c r="A1641" s="3" t="s">
        <v>1359</v>
      </c>
      <c r="B1641" s="1">
        <v>5.2</v>
      </c>
      <c r="C1641" s="1" t="s">
        <v>1885</v>
      </c>
      <c r="D1641" s="1" t="s">
        <v>3238</v>
      </c>
      <c r="E1641" s="1" t="s">
        <v>17762</v>
      </c>
      <c r="F1641" s="1"/>
      <c r="G1641" s="1"/>
      <c r="H1641" s="1"/>
      <c r="I1641" s="1"/>
      <c r="J1641" s="1"/>
      <c r="K1641" s="1" t="s">
        <v>15343</v>
      </c>
    </row>
    <row r="1642" ht="14.25" customHeight="1">
      <c r="A1642" s="3" t="s">
        <v>1359</v>
      </c>
      <c r="B1642" s="1">
        <v>7.6</v>
      </c>
      <c r="C1642" s="1" t="s">
        <v>1885</v>
      </c>
      <c r="D1642" s="1" t="s">
        <v>3238</v>
      </c>
      <c r="E1642" s="1" t="s">
        <v>17762</v>
      </c>
      <c r="F1642" s="1"/>
      <c r="G1642" s="1"/>
      <c r="H1642" s="1"/>
      <c r="I1642" s="1"/>
      <c r="J1642" s="1"/>
      <c r="K1642" s="1" t="s">
        <v>15357</v>
      </c>
    </row>
    <row r="1643" ht="14.25" customHeight="1">
      <c r="A1643" s="3" t="s">
        <v>1359</v>
      </c>
      <c r="B1643" s="1">
        <v>7.3</v>
      </c>
      <c r="C1643" s="1" t="s">
        <v>1885</v>
      </c>
      <c r="D1643" s="1" t="s">
        <v>3238</v>
      </c>
      <c r="E1643" s="1" t="s">
        <v>17762</v>
      </c>
      <c r="F1643" s="1"/>
      <c r="G1643" s="1"/>
      <c r="H1643" s="1"/>
      <c r="I1643" s="1"/>
      <c r="J1643" s="1"/>
      <c r="K1643" s="1" t="s">
        <v>15530</v>
      </c>
    </row>
    <row r="1644" ht="14.25" customHeight="1">
      <c r="A1644" s="3" t="s">
        <v>1359</v>
      </c>
      <c r="B1644" s="1">
        <v>6.6</v>
      </c>
      <c r="C1644" s="1" t="s">
        <v>1885</v>
      </c>
      <c r="D1644" s="1" t="s">
        <v>3238</v>
      </c>
      <c r="E1644" s="1" t="s">
        <v>17762</v>
      </c>
      <c r="F1644" s="1"/>
      <c r="G1644" s="1"/>
      <c r="H1644" s="1"/>
      <c r="I1644" s="1"/>
      <c r="J1644" s="1"/>
      <c r="K1644" s="1" t="s">
        <v>15537</v>
      </c>
    </row>
    <row r="1645" ht="14.25" customHeight="1">
      <c r="A1645" s="3" t="s">
        <v>1359</v>
      </c>
      <c r="B1645" s="1">
        <v>6.8</v>
      </c>
      <c r="C1645" s="1" t="s">
        <v>1885</v>
      </c>
      <c r="D1645" s="1" t="s">
        <v>3238</v>
      </c>
      <c r="E1645" s="1" t="s">
        <v>17762</v>
      </c>
      <c r="F1645" s="1"/>
      <c r="G1645" s="1"/>
      <c r="H1645" s="1"/>
      <c r="I1645" s="1"/>
      <c r="J1645" s="1"/>
      <c r="K1645" s="1" t="s">
        <v>15730</v>
      </c>
    </row>
    <row r="1646" ht="14.25" customHeight="1">
      <c r="A1646" s="3" t="s">
        <v>1359</v>
      </c>
      <c r="B1646" s="1">
        <v>6.9</v>
      </c>
      <c r="C1646" s="1" t="s">
        <v>1885</v>
      </c>
      <c r="D1646" s="1" t="s">
        <v>3238</v>
      </c>
      <c r="E1646" s="1" t="s">
        <v>17762</v>
      </c>
      <c r="F1646" s="1"/>
      <c r="G1646" s="1"/>
      <c r="H1646" s="1"/>
      <c r="I1646" s="1"/>
      <c r="J1646" s="1"/>
      <c r="K1646" s="1" t="s">
        <v>15825</v>
      </c>
    </row>
    <row r="1647" ht="14.25" customHeight="1">
      <c r="A1647" s="3" t="s">
        <v>1359</v>
      </c>
      <c r="B1647" s="1">
        <v>5.8</v>
      </c>
      <c r="C1647" s="1" t="s">
        <v>1885</v>
      </c>
      <c r="D1647" s="1" t="s">
        <v>3238</v>
      </c>
      <c r="E1647" s="1" t="s">
        <v>17762</v>
      </c>
      <c r="F1647" s="1"/>
      <c r="G1647" s="1"/>
      <c r="H1647" s="1"/>
      <c r="I1647" s="1"/>
      <c r="J1647" s="1"/>
      <c r="K1647" s="1" t="s">
        <v>16144</v>
      </c>
    </row>
    <row r="1648" ht="14.25" customHeight="1">
      <c r="A1648" s="3" t="s">
        <v>1359</v>
      </c>
      <c r="B1648" s="1">
        <v>6.6</v>
      </c>
      <c r="C1648" s="1" t="s">
        <v>1885</v>
      </c>
      <c r="D1648" s="1" t="s">
        <v>3238</v>
      </c>
      <c r="E1648" s="1" t="s">
        <v>17762</v>
      </c>
      <c r="F1648" s="1"/>
      <c r="G1648" s="1"/>
      <c r="H1648" s="1"/>
      <c r="I1648" s="1"/>
      <c r="J1648" s="1"/>
      <c r="K1648" s="1" t="s">
        <v>16170</v>
      </c>
    </row>
    <row r="1649" ht="14.25" customHeight="1">
      <c r="A1649" s="3" t="s">
        <v>1359</v>
      </c>
      <c r="B1649" s="1">
        <v>6.7</v>
      </c>
      <c r="C1649" s="1" t="s">
        <v>1885</v>
      </c>
      <c r="D1649" s="1" t="s">
        <v>3238</v>
      </c>
      <c r="E1649" s="1" t="s">
        <v>17762</v>
      </c>
      <c r="F1649" s="1"/>
      <c r="G1649" s="1"/>
      <c r="H1649" s="1"/>
      <c r="I1649" s="1"/>
      <c r="J1649" s="1"/>
      <c r="K1649" s="1" t="s">
        <v>16199</v>
      </c>
    </row>
    <row r="1650" ht="14.25" customHeight="1">
      <c r="A1650" s="3" t="s">
        <v>1359</v>
      </c>
      <c r="B1650" s="1">
        <v>6.7</v>
      </c>
      <c r="C1650" s="1" t="s">
        <v>1885</v>
      </c>
      <c r="D1650" s="1" t="s">
        <v>3238</v>
      </c>
      <c r="E1650" s="1" t="s">
        <v>17762</v>
      </c>
      <c r="F1650" s="1"/>
      <c r="G1650" s="1"/>
      <c r="H1650" s="1"/>
      <c r="I1650" s="1"/>
      <c r="J1650" s="1"/>
      <c r="K1650" s="1" t="s">
        <v>16375</v>
      </c>
    </row>
    <row r="1651" ht="14.25" customHeight="1">
      <c r="A1651" s="3" t="s">
        <v>1359</v>
      </c>
      <c r="B1651" s="1">
        <v>6.3</v>
      </c>
      <c r="C1651" s="1" t="s">
        <v>1885</v>
      </c>
      <c r="D1651" s="1" t="s">
        <v>3238</v>
      </c>
      <c r="E1651" s="1" t="s">
        <v>17762</v>
      </c>
      <c r="F1651" s="1"/>
      <c r="G1651" s="1"/>
      <c r="H1651" s="1"/>
      <c r="I1651" s="1"/>
      <c r="J1651" s="1"/>
      <c r="K1651" s="1" t="s">
        <v>16565</v>
      </c>
    </row>
    <row r="1652" ht="14.25" customHeight="1">
      <c r="A1652" s="3" t="s">
        <v>1359</v>
      </c>
      <c r="B1652" s="1">
        <v>7.7</v>
      </c>
      <c r="C1652" s="1" t="s">
        <v>1885</v>
      </c>
      <c r="D1652" s="1" t="s">
        <v>3238</v>
      </c>
      <c r="E1652" s="1" t="s">
        <v>17762</v>
      </c>
      <c r="F1652" s="1"/>
      <c r="G1652" s="1"/>
      <c r="H1652" s="1"/>
      <c r="I1652" s="1"/>
      <c r="J1652" s="1"/>
      <c r="K1652" s="1" t="s">
        <v>16582</v>
      </c>
    </row>
    <row r="1653" ht="14.25" customHeight="1">
      <c r="A1653" s="3" t="s">
        <v>1359</v>
      </c>
      <c r="B1653" s="1">
        <v>6.1</v>
      </c>
      <c r="C1653" s="1" t="s">
        <v>1885</v>
      </c>
      <c r="D1653" s="1" t="s">
        <v>3238</v>
      </c>
      <c r="E1653" s="1" t="s">
        <v>17762</v>
      </c>
      <c r="F1653" s="1"/>
      <c r="G1653" s="1"/>
      <c r="H1653" s="1"/>
      <c r="I1653" s="1"/>
      <c r="J1653" s="1"/>
      <c r="K1653" s="1" t="s">
        <v>16597</v>
      </c>
    </row>
    <row r="1654" ht="14.25" customHeight="1">
      <c r="A1654" s="3" t="s">
        <v>1359</v>
      </c>
      <c r="B1654" s="1">
        <v>4.9</v>
      </c>
      <c r="C1654" s="1" t="s">
        <v>1885</v>
      </c>
      <c r="D1654" s="1" t="s">
        <v>3238</v>
      </c>
      <c r="E1654" s="1" t="s">
        <v>17762</v>
      </c>
      <c r="F1654" s="1"/>
      <c r="G1654" s="1"/>
      <c r="H1654" s="1"/>
      <c r="I1654" s="1"/>
      <c r="J1654" s="1"/>
      <c r="K1654" s="1" t="s">
        <v>16738</v>
      </c>
    </row>
    <row r="1655" ht="14.25" customHeight="1">
      <c r="A1655" s="3" t="s">
        <v>1359</v>
      </c>
      <c r="B1655" s="1">
        <v>6.2</v>
      </c>
      <c r="C1655" s="1" t="s">
        <v>1885</v>
      </c>
      <c r="D1655" s="1" t="s">
        <v>3238</v>
      </c>
      <c r="E1655" s="1" t="s">
        <v>17762</v>
      </c>
      <c r="F1655" s="1"/>
      <c r="G1655" s="1"/>
      <c r="H1655" s="1"/>
      <c r="I1655" s="1"/>
      <c r="J1655" s="1"/>
      <c r="K1655" s="1" t="s">
        <v>16886</v>
      </c>
    </row>
    <row r="1656" ht="14.25" customHeight="1">
      <c r="A1656" s="3" t="s">
        <v>1359</v>
      </c>
      <c r="B1656" s="1">
        <v>7.8</v>
      </c>
      <c r="C1656" s="1" t="s">
        <v>1885</v>
      </c>
      <c r="D1656" s="1" t="s">
        <v>3238</v>
      </c>
      <c r="E1656" s="1" t="s">
        <v>17762</v>
      </c>
      <c r="F1656" s="1"/>
      <c r="G1656" s="1"/>
      <c r="H1656" s="1"/>
      <c r="I1656" s="1"/>
      <c r="J1656" s="1"/>
      <c r="K1656" s="1" t="s">
        <v>14231</v>
      </c>
    </row>
    <row r="1657" ht="14.25" customHeight="1">
      <c r="A1657" s="3" t="s">
        <v>1359</v>
      </c>
      <c r="B1657" s="1">
        <v>8.2</v>
      </c>
      <c r="C1657" s="1" t="s">
        <v>1885</v>
      </c>
      <c r="D1657" s="1" t="s">
        <v>3238</v>
      </c>
      <c r="E1657" s="1" t="s">
        <v>17762</v>
      </c>
      <c r="F1657" s="1"/>
      <c r="G1657" s="1"/>
      <c r="H1657" s="1"/>
      <c r="I1657" s="1"/>
      <c r="J1657" s="1"/>
      <c r="K1657" s="1" t="s">
        <v>16906</v>
      </c>
    </row>
    <row r="1658" ht="14.25" customHeight="1">
      <c r="A1658" s="3" t="s">
        <v>1359</v>
      </c>
      <c r="B1658" s="1">
        <v>6.9</v>
      </c>
      <c r="C1658" s="1" t="s">
        <v>1885</v>
      </c>
      <c r="D1658" s="1" t="s">
        <v>3238</v>
      </c>
      <c r="E1658" s="1" t="s">
        <v>17762</v>
      </c>
      <c r="F1658" s="1"/>
      <c r="G1658" s="1"/>
      <c r="H1658" s="1"/>
      <c r="I1658" s="1"/>
      <c r="J1658" s="1"/>
      <c r="K1658" s="1" t="s">
        <v>16952</v>
      </c>
    </row>
    <row r="1659" ht="14.25" customHeight="1">
      <c r="A1659" s="3" t="s">
        <v>1359</v>
      </c>
      <c r="B1659" s="1">
        <v>6.2</v>
      </c>
      <c r="C1659" s="1" t="s">
        <v>1885</v>
      </c>
      <c r="D1659" s="1" t="s">
        <v>3238</v>
      </c>
      <c r="E1659" s="1" t="s">
        <v>17762</v>
      </c>
      <c r="F1659" s="1"/>
      <c r="G1659" s="1"/>
      <c r="H1659" s="1"/>
      <c r="I1659" s="1"/>
      <c r="J1659" s="1"/>
      <c r="K1659" s="1" t="s">
        <v>17070</v>
      </c>
    </row>
    <row r="1660" ht="14.25" customHeight="1">
      <c r="A1660" s="3" t="s">
        <v>1359</v>
      </c>
      <c r="B1660" s="1">
        <v>6.9</v>
      </c>
      <c r="C1660" s="1" t="s">
        <v>1885</v>
      </c>
      <c r="D1660" s="1" t="s">
        <v>3238</v>
      </c>
      <c r="E1660" s="1" t="s">
        <v>17762</v>
      </c>
      <c r="F1660" s="1"/>
      <c r="G1660" s="1"/>
      <c r="H1660" s="1"/>
      <c r="I1660" s="1"/>
      <c r="J1660" s="1"/>
      <c r="K1660" s="1" t="s">
        <v>17127</v>
      </c>
    </row>
    <row r="1661" ht="14.25" customHeight="1">
      <c r="A1661" s="3" t="s">
        <v>1359</v>
      </c>
      <c r="B1661" s="1">
        <v>4.8</v>
      </c>
      <c r="C1661" s="1" t="s">
        <v>1885</v>
      </c>
      <c r="D1661" s="1" t="s">
        <v>3238</v>
      </c>
      <c r="E1661" s="1" t="s">
        <v>17762</v>
      </c>
      <c r="F1661" s="1"/>
      <c r="G1661" s="1"/>
      <c r="H1661" s="1"/>
      <c r="I1661" s="1"/>
      <c r="J1661" s="1"/>
      <c r="K1661" s="1" t="s">
        <v>17343</v>
      </c>
    </row>
    <row r="1662" ht="14.25" customHeight="1">
      <c r="A1662" s="3" t="s">
        <v>1359</v>
      </c>
      <c r="B1662" s="1">
        <v>5.3</v>
      </c>
      <c r="C1662" s="1" t="s">
        <v>1885</v>
      </c>
      <c r="D1662" s="1" t="s">
        <v>3238</v>
      </c>
      <c r="E1662" s="1" t="s">
        <v>17762</v>
      </c>
      <c r="F1662" s="1"/>
      <c r="G1662" s="1"/>
      <c r="H1662" s="1"/>
      <c r="I1662" s="1"/>
      <c r="J1662" s="1"/>
      <c r="K1662" s="1" t="s">
        <v>17360</v>
      </c>
    </row>
    <row r="1663" ht="14.25" customHeight="1">
      <c r="A1663" s="3" t="s">
        <v>1359</v>
      </c>
      <c r="B1663" s="1">
        <v>6.7</v>
      </c>
      <c r="C1663" s="1" t="s">
        <v>1885</v>
      </c>
      <c r="D1663" s="1" t="s">
        <v>3238</v>
      </c>
      <c r="E1663" s="1" t="s">
        <v>17762</v>
      </c>
      <c r="F1663" s="1"/>
      <c r="G1663" s="1"/>
      <c r="H1663" s="1"/>
      <c r="I1663" s="1"/>
      <c r="J1663" s="1"/>
      <c r="K1663" s="1" t="s">
        <v>17479</v>
      </c>
    </row>
    <row r="1664" ht="14.25" customHeight="1">
      <c r="A1664" s="3" t="s">
        <v>1359</v>
      </c>
      <c r="B1664" s="1">
        <v>5.4</v>
      </c>
      <c r="C1664" s="1" t="s">
        <v>1885</v>
      </c>
      <c r="D1664" s="1" t="s">
        <v>3238</v>
      </c>
      <c r="E1664" s="1" t="s">
        <v>17762</v>
      </c>
      <c r="F1664" s="1"/>
      <c r="G1664" s="1"/>
      <c r="H1664" s="1"/>
      <c r="I1664" s="1"/>
      <c r="J1664" s="1"/>
      <c r="K1664" s="1" t="s">
        <v>17482</v>
      </c>
    </row>
    <row r="1665" ht="14.25" customHeight="1">
      <c r="A1665" s="3" t="s">
        <v>1359</v>
      </c>
      <c r="B1665" s="1">
        <v>5.4</v>
      </c>
      <c r="C1665" s="1" t="s">
        <v>1885</v>
      </c>
      <c r="D1665" s="1" t="s">
        <v>3238</v>
      </c>
      <c r="E1665" s="1" t="s">
        <v>17762</v>
      </c>
      <c r="F1665" s="1"/>
      <c r="G1665" s="1"/>
      <c r="H1665" s="1"/>
      <c r="I1665" s="1"/>
      <c r="J1665" s="1"/>
      <c r="K1665" s="1" t="s">
        <v>17493</v>
      </c>
    </row>
    <row r="1666" ht="14.25" customHeight="1">
      <c r="A1666" s="3" t="s">
        <v>1359</v>
      </c>
      <c r="B1666" s="1">
        <v>4.9</v>
      </c>
      <c r="C1666" s="1" t="s">
        <v>1885</v>
      </c>
      <c r="D1666" s="1" t="s">
        <v>3238</v>
      </c>
      <c r="E1666" s="1" t="s">
        <v>17762</v>
      </c>
      <c r="F1666" s="1"/>
      <c r="G1666" s="1"/>
      <c r="H1666" s="1"/>
      <c r="I1666" s="1"/>
      <c r="J1666" s="1"/>
      <c r="K1666" s="1" t="s">
        <v>17501</v>
      </c>
    </row>
    <row r="1667" ht="14.25" customHeight="1">
      <c r="A1667" s="3" t="s">
        <v>1359</v>
      </c>
      <c r="B1667" s="1">
        <v>6.1</v>
      </c>
      <c r="C1667" s="1" t="s">
        <v>1885</v>
      </c>
      <c r="D1667" s="1" t="s">
        <v>3238</v>
      </c>
      <c r="E1667" s="1" t="s">
        <v>17762</v>
      </c>
      <c r="F1667" s="1"/>
      <c r="G1667" s="1"/>
      <c r="H1667" s="1"/>
      <c r="I1667" s="1"/>
      <c r="J1667" s="1"/>
      <c r="K1667" s="1" t="s">
        <v>17599</v>
      </c>
    </row>
    <row r="1668" ht="14.25" customHeight="1">
      <c r="A1668" s="3" t="s">
        <v>1359</v>
      </c>
      <c r="B1668" s="1">
        <v>5.8</v>
      </c>
      <c r="C1668" s="1" t="s">
        <v>1885</v>
      </c>
      <c r="D1668" s="1" t="s">
        <v>3238</v>
      </c>
      <c r="E1668" s="1" t="s">
        <v>17762</v>
      </c>
      <c r="F1668" s="1"/>
      <c r="G1668" s="1"/>
      <c r="H1668" s="1"/>
      <c r="I1668" s="1"/>
      <c r="J1668" s="1"/>
      <c r="K1668" s="1" t="s">
        <v>17675</v>
      </c>
    </row>
    <row r="1669" ht="14.25" customHeight="1">
      <c r="A1669" s="3" t="s">
        <v>1359</v>
      </c>
      <c r="B1669" s="1">
        <v>7.0</v>
      </c>
      <c r="C1669" s="1" t="s">
        <v>1885</v>
      </c>
      <c r="D1669" s="1" t="s">
        <v>3238</v>
      </c>
      <c r="E1669" s="1" t="s">
        <v>17762</v>
      </c>
      <c r="F1669" s="1"/>
      <c r="G1669" s="1"/>
      <c r="H1669" s="1"/>
      <c r="I1669" s="1"/>
      <c r="J1669" s="1"/>
      <c r="K1669" s="1" t="s">
        <v>17680</v>
      </c>
    </row>
    <row r="1670" ht="14.25" customHeight="1">
      <c r="A1670" s="3" t="s">
        <v>12847</v>
      </c>
      <c r="B1670" s="1">
        <v>6.5</v>
      </c>
      <c r="C1670" s="1" t="s">
        <v>17763</v>
      </c>
      <c r="D1670" s="1" t="s">
        <v>3238</v>
      </c>
      <c r="E1670" s="1" t="s">
        <v>17762</v>
      </c>
      <c r="F1670" s="1"/>
      <c r="G1670" s="1"/>
      <c r="H1670" s="1"/>
      <c r="I1670" s="1"/>
      <c r="J1670" s="1"/>
      <c r="K1670" s="1" t="s">
        <v>12846</v>
      </c>
    </row>
    <row r="1671" ht="14.25" customHeight="1">
      <c r="A1671" s="3" t="s">
        <v>12847</v>
      </c>
      <c r="B1671" s="1">
        <v>6.6</v>
      </c>
      <c r="C1671" s="1" t="s">
        <v>17763</v>
      </c>
      <c r="D1671" s="1" t="s">
        <v>3238</v>
      </c>
      <c r="E1671" s="1" t="s">
        <v>17762</v>
      </c>
      <c r="F1671" s="1"/>
      <c r="G1671" s="1"/>
      <c r="H1671" s="1"/>
      <c r="I1671" s="1"/>
      <c r="J1671" s="1"/>
      <c r="K1671" s="1" t="s">
        <v>16572</v>
      </c>
    </row>
    <row r="1672" ht="14.25" customHeight="1">
      <c r="A1672" s="3" t="s">
        <v>12847</v>
      </c>
      <c r="B1672" s="1">
        <v>5.7</v>
      </c>
      <c r="C1672" s="1" t="s">
        <v>17763</v>
      </c>
      <c r="D1672" s="1" t="s">
        <v>3238</v>
      </c>
      <c r="E1672" s="1" t="s">
        <v>17762</v>
      </c>
      <c r="F1672" s="1"/>
      <c r="G1672" s="1"/>
      <c r="H1672" s="1"/>
      <c r="I1672" s="1"/>
      <c r="J1672" s="1"/>
      <c r="K1672" s="1" t="s">
        <v>17033</v>
      </c>
    </row>
    <row r="1673" ht="14.25" customHeight="1">
      <c r="A1673" s="3" t="s">
        <v>12847</v>
      </c>
      <c r="B1673" s="1">
        <v>6.6</v>
      </c>
      <c r="C1673" s="1" t="s">
        <v>17763</v>
      </c>
      <c r="D1673" s="1" t="s">
        <v>3238</v>
      </c>
      <c r="E1673" s="1" t="s">
        <v>17762</v>
      </c>
      <c r="F1673" s="1"/>
      <c r="G1673" s="1"/>
      <c r="H1673" s="1"/>
      <c r="I1673" s="1"/>
      <c r="J1673" s="1"/>
      <c r="K1673" s="1" t="s">
        <v>17277</v>
      </c>
    </row>
    <row r="1674" ht="14.25" customHeight="1">
      <c r="A1674" s="3" t="s">
        <v>12847</v>
      </c>
      <c r="B1674" s="1">
        <v>7.0</v>
      </c>
      <c r="C1674" s="1" t="s">
        <v>17763</v>
      </c>
      <c r="D1674" s="1" t="s">
        <v>3238</v>
      </c>
      <c r="E1674" s="1" t="s">
        <v>17762</v>
      </c>
      <c r="F1674" s="1"/>
      <c r="G1674" s="1"/>
      <c r="H1674" s="1"/>
      <c r="I1674" s="1"/>
      <c r="J1674" s="1"/>
      <c r="K1674" s="1" t="s">
        <v>17486</v>
      </c>
    </row>
    <row r="1675" ht="14.25" customHeight="1">
      <c r="A1675" s="3" t="s">
        <v>17213</v>
      </c>
      <c r="B1675" s="1">
        <v>7.4</v>
      </c>
      <c r="C1675" s="1" t="s">
        <v>917</v>
      </c>
      <c r="D1675" s="1" t="s">
        <v>17758</v>
      </c>
      <c r="E1675" s="1" t="s">
        <v>17762</v>
      </c>
      <c r="F1675" s="1"/>
      <c r="G1675" s="1"/>
      <c r="H1675" s="1"/>
      <c r="I1675" s="1"/>
      <c r="J1675" s="1"/>
      <c r="K1675" s="1" t="s">
        <v>17212</v>
      </c>
    </row>
    <row r="1676" ht="14.25" customHeight="1">
      <c r="A1676" s="3" t="s">
        <v>2599</v>
      </c>
      <c r="B1676" s="1">
        <v>5.3</v>
      </c>
      <c r="C1676" s="1" t="s">
        <v>1885</v>
      </c>
      <c r="D1676" s="1" t="s">
        <v>17758</v>
      </c>
      <c r="E1676" s="1" t="s">
        <v>17762</v>
      </c>
      <c r="F1676" s="1"/>
      <c r="G1676" s="1"/>
      <c r="H1676" s="1"/>
      <c r="I1676" s="1"/>
      <c r="J1676" s="1"/>
      <c r="K1676" s="1" t="s">
        <v>2598</v>
      </c>
    </row>
    <row r="1677" ht="14.25" customHeight="1">
      <c r="A1677" s="3" t="s">
        <v>2599</v>
      </c>
      <c r="B1677" s="1">
        <v>7.4</v>
      </c>
      <c r="C1677" s="1" t="s">
        <v>1885</v>
      </c>
      <c r="D1677" s="1" t="s">
        <v>17758</v>
      </c>
      <c r="E1677" s="1" t="s">
        <v>17762</v>
      </c>
      <c r="F1677" s="1"/>
      <c r="G1677" s="1"/>
      <c r="H1677" s="1"/>
      <c r="I1677" s="1"/>
      <c r="J1677" s="1"/>
      <c r="K1677" s="1" t="s">
        <v>5361</v>
      </c>
    </row>
    <row r="1678" ht="14.25" customHeight="1">
      <c r="A1678" s="3" t="s">
        <v>2599</v>
      </c>
      <c r="B1678" s="1">
        <v>7.4</v>
      </c>
      <c r="C1678" s="1" t="s">
        <v>1885</v>
      </c>
      <c r="D1678" s="1" t="s">
        <v>17758</v>
      </c>
      <c r="E1678" s="1" t="s">
        <v>17762</v>
      </c>
      <c r="F1678" s="1"/>
      <c r="G1678" s="1"/>
      <c r="H1678" s="1"/>
      <c r="I1678" s="1"/>
      <c r="J1678" s="1"/>
      <c r="K1678" s="1" t="s">
        <v>7611</v>
      </c>
    </row>
    <row r="1679" ht="14.25" customHeight="1">
      <c r="A1679" s="3" t="s">
        <v>2599</v>
      </c>
      <c r="B1679" s="1">
        <v>6.8</v>
      </c>
      <c r="C1679" s="1" t="s">
        <v>1885</v>
      </c>
      <c r="D1679" s="1" t="s">
        <v>17758</v>
      </c>
      <c r="E1679" s="1" t="s">
        <v>17762</v>
      </c>
      <c r="F1679" s="1"/>
      <c r="G1679" s="1"/>
      <c r="H1679" s="1"/>
      <c r="I1679" s="1"/>
      <c r="J1679" s="1"/>
      <c r="K1679" s="1" t="s">
        <v>9635</v>
      </c>
    </row>
    <row r="1680" ht="14.25" customHeight="1">
      <c r="A1680" s="3" t="s">
        <v>2599</v>
      </c>
      <c r="B1680" s="1">
        <v>7.2</v>
      </c>
      <c r="C1680" s="1" t="s">
        <v>1885</v>
      </c>
      <c r="D1680" s="1" t="s">
        <v>17758</v>
      </c>
      <c r="E1680" s="1" t="s">
        <v>17762</v>
      </c>
      <c r="F1680" s="1"/>
      <c r="G1680" s="1"/>
      <c r="H1680" s="1"/>
      <c r="I1680" s="1"/>
      <c r="J1680" s="1"/>
      <c r="K1680" s="1" t="s">
        <v>10050</v>
      </c>
    </row>
    <row r="1681" ht="14.25" customHeight="1">
      <c r="A1681" s="3" t="s">
        <v>2599</v>
      </c>
      <c r="B1681" s="1">
        <v>6.0</v>
      </c>
      <c r="C1681" s="1" t="s">
        <v>1885</v>
      </c>
      <c r="D1681" s="1" t="s">
        <v>17758</v>
      </c>
      <c r="E1681" s="1" t="s">
        <v>17762</v>
      </c>
      <c r="F1681" s="1"/>
      <c r="G1681" s="1"/>
      <c r="H1681" s="1"/>
      <c r="I1681" s="1"/>
      <c r="J1681" s="1"/>
      <c r="K1681" s="1" t="s">
        <v>10538</v>
      </c>
    </row>
    <row r="1682" ht="14.25" customHeight="1">
      <c r="A1682" s="3" t="s">
        <v>2599</v>
      </c>
      <c r="B1682" s="1">
        <v>7.8</v>
      </c>
      <c r="C1682" s="1" t="s">
        <v>1885</v>
      </c>
      <c r="D1682" s="1" t="s">
        <v>17758</v>
      </c>
      <c r="E1682" s="1" t="s">
        <v>17762</v>
      </c>
      <c r="F1682" s="1"/>
      <c r="G1682" s="1"/>
      <c r="H1682" s="1"/>
      <c r="I1682" s="1"/>
      <c r="J1682" s="1"/>
      <c r="K1682" s="1" t="s">
        <v>10699</v>
      </c>
    </row>
    <row r="1683" ht="14.25" customHeight="1">
      <c r="A1683" s="3" t="s">
        <v>2599</v>
      </c>
      <c r="B1683" s="1">
        <v>6.6</v>
      </c>
      <c r="C1683" s="1" t="s">
        <v>1885</v>
      </c>
      <c r="D1683" s="1" t="s">
        <v>17758</v>
      </c>
      <c r="E1683" s="1" t="s">
        <v>17762</v>
      </c>
      <c r="F1683" s="1"/>
      <c r="G1683" s="1"/>
      <c r="H1683" s="1"/>
      <c r="I1683" s="1"/>
      <c r="J1683" s="1"/>
      <c r="K1683" s="1" t="s">
        <v>13312</v>
      </c>
    </row>
    <row r="1684" ht="14.25" customHeight="1">
      <c r="A1684" s="3" t="s">
        <v>2599</v>
      </c>
      <c r="B1684" s="1">
        <v>7.9</v>
      </c>
      <c r="C1684" s="1" t="s">
        <v>1885</v>
      </c>
      <c r="D1684" s="1" t="s">
        <v>17758</v>
      </c>
      <c r="E1684" s="1" t="s">
        <v>17762</v>
      </c>
      <c r="F1684" s="1"/>
      <c r="G1684" s="1"/>
      <c r="H1684" s="1"/>
      <c r="I1684" s="1"/>
      <c r="J1684" s="1"/>
      <c r="K1684" s="1" t="s">
        <v>13461</v>
      </c>
    </row>
    <row r="1685" ht="14.25" customHeight="1">
      <c r="A1685" s="3" t="s">
        <v>2599</v>
      </c>
      <c r="B1685" s="1">
        <v>5.7</v>
      </c>
      <c r="C1685" s="1" t="s">
        <v>1885</v>
      </c>
      <c r="D1685" s="1" t="s">
        <v>17758</v>
      </c>
      <c r="E1685" s="1" t="s">
        <v>17762</v>
      </c>
      <c r="F1685" s="1"/>
      <c r="G1685" s="1"/>
      <c r="H1685" s="1"/>
      <c r="I1685" s="1"/>
      <c r="J1685" s="1"/>
      <c r="K1685" s="1" t="s">
        <v>15107</v>
      </c>
    </row>
    <row r="1686" ht="14.25" customHeight="1">
      <c r="A1686" s="3" t="s">
        <v>11492</v>
      </c>
      <c r="B1686" s="1">
        <v>7.1</v>
      </c>
      <c r="C1686" s="1" t="s">
        <v>3238</v>
      </c>
      <c r="D1686" s="1" t="s">
        <v>17758</v>
      </c>
      <c r="E1686" s="1" t="s">
        <v>17762</v>
      </c>
      <c r="F1686" s="1"/>
      <c r="G1686" s="1"/>
      <c r="H1686" s="1"/>
      <c r="I1686" s="1"/>
      <c r="J1686" s="1"/>
      <c r="K1686" s="1" t="s">
        <v>11491</v>
      </c>
    </row>
    <row r="1687" ht="14.25" customHeight="1">
      <c r="A1687" s="3" t="s">
        <v>11492</v>
      </c>
      <c r="B1687" s="1">
        <v>5.6</v>
      </c>
      <c r="C1687" s="1" t="s">
        <v>3238</v>
      </c>
      <c r="D1687" s="1" t="s">
        <v>17758</v>
      </c>
      <c r="E1687" s="1" t="s">
        <v>17762</v>
      </c>
      <c r="F1687" s="1"/>
      <c r="G1687" s="1"/>
      <c r="H1687" s="1"/>
      <c r="I1687" s="1"/>
      <c r="J1687" s="1"/>
      <c r="K1687" s="1" t="s">
        <v>15457</v>
      </c>
    </row>
    <row r="1688" ht="14.25" customHeight="1">
      <c r="A1688" s="3" t="s">
        <v>3439</v>
      </c>
      <c r="B1688" s="1">
        <v>7.8</v>
      </c>
      <c r="C1688" s="1" t="s">
        <v>1885</v>
      </c>
      <c r="D1688" s="1" t="s">
        <v>17759</v>
      </c>
      <c r="E1688" s="1" t="s">
        <v>17762</v>
      </c>
      <c r="F1688" s="1"/>
      <c r="G1688" s="1"/>
      <c r="H1688" s="1"/>
      <c r="I1688" s="1"/>
      <c r="J1688" s="1"/>
      <c r="K1688" s="1" t="s">
        <v>3438</v>
      </c>
    </row>
    <row r="1689" ht="14.25" customHeight="1">
      <c r="A1689" s="3" t="s">
        <v>3439</v>
      </c>
      <c r="B1689" s="1">
        <v>7.9</v>
      </c>
      <c r="C1689" s="1" t="s">
        <v>1885</v>
      </c>
      <c r="D1689" s="1" t="s">
        <v>17759</v>
      </c>
      <c r="E1689" s="1" t="s">
        <v>17762</v>
      </c>
      <c r="F1689" s="1"/>
      <c r="G1689" s="1"/>
      <c r="H1689" s="1"/>
      <c r="I1689" s="1"/>
      <c r="J1689" s="1"/>
      <c r="K1689" s="1" t="s">
        <v>4224</v>
      </c>
    </row>
    <row r="1690" ht="14.25" customHeight="1">
      <c r="A1690" s="3" t="s">
        <v>3439</v>
      </c>
      <c r="B1690" s="1">
        <v>6.9</v>
      </c>
      <c r="C1690" s="1" t="s">
        <v>1885</v>
      </c>
      <c r="D1690" s="1" t="s">
        <v>17759</v>
      </c>
      <c r="E1690" s="1" t="s">
        <v>17762</v>
      </c>
      <c r="F1690" s="1"/>
      <c r="G1690" s="1"/>
      <c r="H1690" s="1"/>
      <c r="I1690" s="1"/>
      <c r="J1690" s="1"/>
      <c r="K1690" s="1" t="s">
        <v>5246</v>
      </c>
    </row>
    <row r="1691" ht="14.25" customHeight="1">
      <c r="A1691" s="3" t="s">
        <v>3439</v>
      </c>
      <c r="B1691" s="1">
        <v>7.7</v>
      </c>
      <c r="C1691" s="1" t="s">
        <v>1885</v>
      </c>
      <c r="D1691" s="1" t="s">
        <v>17759</v>
      </c>
      <c r="E1691" s="1" t="s">
        <v>17762</v>
      </c>
      <c r="F1691" s="1"/>
      <c r="G1691" s="1"/>
      <c r="H1691" s="1"/>
      <c r="I1691" s="1"/>
      <c r="J1691" s="1"/>
      <c r="K1691" s="1" t="s">
        <v>5250</v>
      </c>
    </row>
    <row r="1692" ht="14.25" customHeight="1">
      <c r="A1692" s="3" t="s">
        <v>3439</v>
      </c>
      <c r="B1692" s="1">
        <v>6.9</v>
      </c>
      <c r="C1692" s="1" t="s">
        <v>1885</v>
      </c>
      <c r="D1692" s="1" t="s">
        <v>17759</v>
      </c>
      <c r="E1692" s="1" t="s">
        <v>17762</v>
      </c>
      <c r="F1692" s="1"/>
      <c r="G1692" s="1"/>
      <c r="H1692" s="1"/>
      <c r="I1692" s="1"/>
      <c r="J1692" s="1"/>
      <c r="K1692" s="1" t="s">
        <v>5330</v>
      </c>
    </row>
    <row r="1693" ht="14.25" customHeight="1">
      <c r="A1693" s="3" t="s">
        <v>3439</v>
      </c>
      <c r="B1693" s="1">
        <v>6.0</v>
      </c>
      <c r="C1693" s="1" t="s">
        <v>1885</v>
      </c>
      <c r="D1693" s="1" t="s">
        <v>17759</v>
      </c>
      <c r="E1693" s="1" t="s">
        <v>17762</v>
      </c>
      <c r="F1693" s="1"/>
      <c r="G1693" s="1"/>
      <c r="H1693" s="1"/>
      <c r="I1693" s="1"/>
      <c r="J1693" s="1"/>
      <c r="K1693" s="1" t="s">
        <v>7729</v>
      </c>
    </row>
    <row r="1694" ht="14.25" customHeight="1">
      <c r="A1694" s="3" t="s">
        <v>3439</v>
      </c>
      <c r="B1694" s="1">
        <v>6.2</v>
      </c>
      <c r="C1694" s="1" t="s">
        <v>1885</v>
      </c>
      <c r="D1694" s="1" t="s">
        <v>17759</v>
      </c>
      <c r="E1694" s="1" t="s">
        <v>17762</v>
      </c>
      <c r="F1694" s="1"/>
      <c r="G1694" s="1"/>
      <c r="H1694" s="1"/>
      <c r="I1694" s="1"/>
      <c r="J1694" s="1"/>
      <c r="K1694" s="1" t="s">
        <v>7733</v>
      </c>
    </row>
    <row r="1695" ht="14.25" customHeight="1">
      <c r="A1695" s="3" t="s">
        <v>3439</v>
      </c>
      <c r="B1695" s="1">
        <v>5.9</v>
      </c>
      <c r="C1695" s="1" t="s">
        <v>1885</v>
      </c>
      <c r="D1695" s="1" t="s">
        <v>17759</v>
      </c>
      <c r="E1695" s="1" t="s">
        <v>17762</v>
      </c>
      <c r="F1695" s="1"/>
      <c r="G1695" s="1"/>
      <c r="H1695" s="1"/>
      <c r="I1695" s="1"/>
      <c r="J1695" s="1"/>
      <c r="K1695" s="1" t="s">
        <v>8349</v>
      </c>
    </row>
    <row r="1696" ht="14.25" customHeight="1">
      <c r="A1696" s="3" t="s">
        <v>3439</v>
      </c>
      <c r="B1696" s="1">
        <v>6.8</v>
      </c>
      <c r="C1696" s="1" t="s">
        <v>1885</v>
      </c>
      <c r="D1696" s="1" t="s">
        <v>17759</v>
      </c>
      <c r="E1696" s="1" t="s">
        <v>17762</v>
      </c>
      <c r="F1696" s="1"/>
      <c r="G1696" s="1"/>
      <c r="H1696" s="1"/>
      <c r="I1696" s="1"/>
      <c r="J1696" s="1"/>
      <c r="K1696" s="1" t="s">
        <v>10643</v>
      </c>
    </row>
    <row r="1697" ht="14.25" customHeight="1">
      <c r="A1697" s="3" t="s">
        <v>3439</v>
      </c>
      <c r="B1697" s="1">
        <v>3.6</v>
      </c>
      <c r="C1697" s="1" t="s">
        <v>1885</v>
      </c>
      <c r="D1697" s="1" t="s">
        <v>17759</v>
      </c>
      <c r="E1697" s="1" t="s">
        <v>17762</v>
      </c>
      <c r="F1697" s="1"/>
      <c r="G1697" s="1"/>
      <c r="H1697" s="1"/>
      <c r="I1697" s="1"/>
      <c r="J1697" s="1"/>
      <c r="K1697" s="1" t="s">
        <v>11969</v>
      </c>
    </row>
    <row r="1698" ht="14.25" customHeight="1">
      <c r="A1698" s="3" t="s">
        <v>3439</v>
      </c>
      <c r="B1698" s="1">
        <v>6.7</v>
      </c>
      <c r="C1698" s="1" t="s">
        <v>1885</v>
      </c>
      <c r="D1698" s="1" t="s">
        <v>17759</v>
      </c>
      <c r="E1698" s="1" t="s">
        <v>17762</v>
      </c>
      <c r="F1698" s="1"/>
      <c r="G1698" s="1"/>
      <c r="H1698" s="1"/>
      <c r="I1698" s="1"/>
      <c r="J1698" s="1"/>
      <c r="K1698" s="1" t="s">
        <v>13412</v>
      </c>
    </row>
    <row r="1699" ht="14.25" customHeight="1">
      <c r="A1699" s="3" t="s">
        <v>3439</v>
      </c>
      <c r="B1699" s="1">
        <v>6.3</v>
      </c>
      <c r="C1699" s="1" t="s">
        <v>1885</v>
      </c>
      <c r="D1699" s="1" t="s">
        <v>17759</v>
      </c>
      <c r="E1699" s="1" t="s">
        <v>17762</v>
      </c>
      <c r="F1699" s="1"/>
      <c r="G1699" s="1"/>
      <c r="H1699" s="1"/>
      <c r="I1699" s="1"/>
      <c r="J1699" s="1"/>
      <c r="K1699" s="1" t="s">
        <v>13920</v>
      </c>
    </row>
    <row r="1700" ht="14.25" customHeight="1">
      <c r="A1700" s="3" t="s">
        <v>3439</v>
      </c>
      <c r="B1700" s="1">
        <v>6.4</v>
      </c>
      <c r="C1700" s="1" t="s">
        <v>1885</v>
      </c>
      <c r="D1700" s="1" t="s">
        <v>17759</v>
      </c>
      <c r="E1700" s="1" t="s">
        <v>17762</v>
      </c>
      <c r="F1700" s="1"/>
      <c r="G1700" s="1"/>
      <c r="H1700" s="1"/>
      <c r="I1700" s="1"/>
      <c r="J1700" s="1"/>
      <c r="K1700" s="1" t="s">
        <v>14035</v>
      </c>
    </row>
    <row r="1701" ht="14.25" customHeight="1">
      <c r="A1701" s="3" t="s">
        <v>650</v>
      </c>
      <c r="B1701" s="1">
        <v>6.4</v>
      </c>
      <c r="C1701" s="1" t="s">
        <v>3238</v>
      </c>
      <c r="D1701" s="1" t="s">
        <v>17759</v>
      </c>
      <c r="E1701" s="1" t="s">
        <v>17762</v>
      </c>
      <c r="F1701" s="1"/>
      <c r="G1701" s="1"/>
      <c r="H1701" s="1"/>
      <c r="I1701" s="1"/>
      <c r="J1701" s="1"/>
      <c r="K1701" s="1" t="s">
        <v>649</v>
      </c>
    </row>
    <row r="1702" ht="14.25" customHeight="1">
      <c r="A1702" s="3" t="s">
        <v>650</v>
      </c>
      <c r="B1702" s="1">
        <v>5.7</v>
      </c>
      <c r="C1702" s="1" t="s">
        <v>3238</v>
      </c>
      <c r="D1702" s="1" t="s">
        <v>17759</v>
      </c>
      <c r="E1702" s="1" t="s">
        <v>17762</v>
      </c>
      <c r="F1702" s="1"/>
      <c r="G1702" s="1"/>
      <c r="H1702" s="1"/>
      <c r="I1702" s="1"/>
      <c r="J1702" s="1"/>
      <c r="K1702" s="1" t="s">
        <v>2339</v>
      </c>
    </row>
    <row r="1703" ht="14.25" customHeight="1">
      <c r="A1703" s="3" t="s">
        <v>650</v>
      </c>
      <c r="B1703" s="1">
        <v>6.2</v>
      </c>
      <c r="C1703" s="1" t="s">
        <v>3238</v>
      </c>
      <c r="D1703" s="1" t="s">
        <v>17759</v>
      </c>
      <c r="E1703" s="1" t="s">
        <v>17762</v>
      </c>
      <c r="F1703" s="1"/>
      <c r="G1703" s="1"/>
      <c r="H1703" s="1"/>
      <c r="I1703" s="1"/>
      <c r="J1703" s="1"/>
      <c r="K1703" s="1" t="s">
        <v>2650</v>
      </c>
    </row>
    <row r="1704" ht="14.25" customHeight="1">
      <c r="A1704" s="3" t="s">
        <v>650</v>
      </c>
      <c r="B1704" s="1">
        <v>5.2</v>
      </c>
      <c r="C1704" s="1" t="s">
        <v>3238</v>
      </c>
      <c r="D1704" s="1" t="s">
        <v>17759</v>
      </c>
      <c r="E1704" s="1" t="s">
        <v>17762</v>
      </c>
      <c r="F1704" s="1"/>
      <c r="G1704" s="1"/>
      <c r="H1704" s="1"/>
      <c r="I1704" s="1"/>
      <c r="J1704" s="1"/>
      <c r="K1704" s="1" t="s">
        <v>4391</v>
      </c>
    </row>
    <row r="1705" ht="14.25" customHeight="1">
      <c r="A1705" s="3" t="s">
        <v>650</v>
      </c>
      <c r="B1705" s="1">
        <v>6.1</v>
      </c>
      <c r="C1705" s="1" t="s">
        <v>3238</v>
      </c>
      <c r="D1705" s="1" t="s">
        <v>17759</v>
      </c>
      <c r="E1705" s="1" t="s">
        <v>17762</v>
      </c>
      <c r="F1705" s="1"/>
      <c r="G1705" s="1"/>
      <c r="H1705" s="1"/>
      <c r="I1705" s="1"/>
      <c r="J1705" s="1"/>
      <c r="K1705" s="1" t="s">
        <v>5161</v>
      </c>
    </row>
    <row r="1706" ht="14.25" customHeight="1">
      <c r="A1706" s="3" t="s">
        <v>650</v>
      </c>
      <c r="B1706" s="1">
        <v>7.1</v>
      </c>
      <c r="C1706" s="1" t="s">
        <v>3238</v>
      </c>
      <c r="D1706" s="1" t="s">
        <v>17759</v>
      </c>
      <c r="E1706" s="1" t="s">
        <v>17762</v>
      </c>
      <c r="F1706" s="1"/>
      <c r="G1706" s="1"/>
      <c r="H1706" s="1"/>
      <c r="I1706" s="1"/>
      <c r="J1706" s="1"/>
      <c r="K1706" s="1" t="s">
        <v>5700</v>
      </c>
    </row>
    <row r="1707" ht="14.25" customHeight="1">
      <c r="A1707" s="3" t="s">
        <v>650</v>
      </c>
      <c r="B1707" s="1">
        <v>7.2</v>
      </c>
      <c r="C1707" s="1" t="s">
        <v>3238</v>
      </c>
      <c r="D1707" s="1" t="s">
        <v>17759</v>
      </c>
      <c r="E1707" s="1" t="s">
        <v>17762</v>
      </c>
      <c r="F1707" s="1"/>
      <c r="G1707" s="1"/>
      <c r="H1707" s="1"/>
      <c r="I1707" s="1"/>
      <c r="J1707" s="1"/>
      <c r="K1707" s="1" t="s">
        <v>6096</v>
      </c>
    </row>
    <row r="1708" ht="14.25" customHeight="1">
      <c r="A1708" s="3" t="s">
        <v>650</v>
      </c>
      <c r="B1708" s="1">
        <v>6.5</v>
      </c>
      <c r="C1708" s="1" t="s">
        <v>3238</v>
      </c>
      <c r="D1708" s="1" t="s">
        <v>17759</v>
      </c>
      <c r="E1708" s="1" t="s">
        <v>17762</v>
      </c>
      <c r="F1708" s="1"/>
      <c r="G1708" s="1"/>
      <c r="H1708" s="1"/>
      <c r="I1708" s="1"/>
      <c r="J1708" s="1"/>
      <c r="K1708" s="1" t="s">
        <v>6711</v>
      </c>
    </row>
    <row r="1709" ht="14.25" customHeight="1">
      <c r="A1709" s="3" t="s">
        <v>650</v>
      </c>
      <c r="B1709" s="1">
        <v>6.0</v>
      </c>
      <c r="C1709" s="1" t="s">
        <v>3238</v>
      </c>
      <c r="D1709" s="1" t="s">
        <v>17759</v>
      </c>
      <c r="E1709" s="1" t="s">
        <v>17762</v>
      </c>
      <c r="F1709" s="1"/>
      <c r="G1709" s="1"/>
      <c r="H1709" s="1"/>
      <c r="I1709" s="1"/>
      <c r="J1709" s="1"/>
      <c r="K1709" s="1" t="s">
        <v>7814</v>
      </c>
    </row>
    <row r="1710" ht="14.25" customHeight="1">
      <c r="A1710" s="3" t="s">
        <v>650</v>
      </c>
      <c r="B1710" s="1">
        <v>7.0</v>
      </c>
      <c r="C1710" s="1" t="s">
        <v>3238</v>
      </c>
      <c r="D1710" s="1" t="s">
        <v>17759</v>
      </c>
      <c r="E1710" s="1" t="s">
        <v>17762</v>
      </c>
      <c r="F1710" s="1"/>
      <c r="G1710" s="1"/>
      <c r="H1710" s="1"/>
      <c r="I1710" s="1"/>
      <c r="J1710" s="1"/>
      <c r="K1710" s="1" t="s">
        <v>6711</v>
      </c>
    </row>
    <row r="1711" ht="14.25" customHeight="1">
      <c r="A1711" s="3" t="s">
        <v>650</v>
      </c>
      <c r="B1711" s="1">
        <v>7.0</v>
      </c>
      <c r="C1711" s="1" t="s">
        <v>3238</v>
      </c>
      <c r="D1711" s="1" t="s">
        <v>17759</v>
      </c>
      <c r="E1711" s="1" t="s">
        <v>17762</v>
      </c>
      <c r="F1711" s="1"/>
      <c r="G1711" s="1"/>
      <c r="H1711" s="1"/>
      <c r="I1711" s="1"/>
      <c r="J1711" s="1"/>
      <c r="K1711" s="1" t="s">
        <v>11055</v>
      </c>
    </row>
    <row r="1712" ht="14.25" customHeight="1">
      <c r="A1712" s="3" t="s">
        <v>650</v>
      </c>
      <c r="B1712" s="1">
        <v>7.5</v>
      </c>
      <c r="C1712" s="1" t="s">
        <v>3238</v>
      </c>
      <c r="D1712" s="1" t="s">
        <v>17759</v>
      </c>
      <c r="E1712" s="1" t="s">
        <v>17762</v>
      </c>
      <c r="F1712" s="1"/>
      <c r="G1712" s="1"/>
      <c r="H1712" s="1"/>
      <c r="I1712" s="1"/>
      <c r="J1712" s="1"/>
      <c r="K1712" s="1" t="s">
        <v>12743</v>
      </c>
    </row>
    <row r="1713" ht="14.25" customHeight="1">
      <c r="A1713" s="3" t="s">
        <v>2978</v>
      </c>
      <c r="B1713" s="1">
        <v>6.6</v>
      </c>
      <c r="C1713" s="1" t="s">
        <v>3238</v>
      </c>
      <c r="D1713" s="1" t="s">
        <v>17772</v>
      </c>
      <c r="E1713" s="1" t="s">
        <v>17762</v>
      </c>
      <c r="F1713" s="1"/>
      <c r="G1713" s="1"/>
      <c r="H1713" s="1"/>
      <c r="I1713" s="1"/>
      <c r="J1713" s="1"/>
      <c r="K1713" s="1" t="s">
        <v>2977</v>
      </c>
    </row>
    <row r="1714" ht="14.25" customHeight="1">
      <c r="A1714" s="3" t="s">
        <v>8377</v>
      </c>
      <c r="B1714" s="1">
        <v>7.4</v>
      </c>
      <c r="C1714" s="1" t="s">
        <v>1270</v>
      </c>
      <c r="D1714" s="1" t="s">
        <v>6019</v>
      </c>
      <c r="E1714" s="1" t="s">
        <v>17762</v>
      </c>
      <c r="F1714" s="1"/>
      <c r="G1714" s="1"/>
      <c r="H1714" s="1"/>
      <c r="I1714" s="1"/>
      <c r="J1714" s="1"/>
      <c r="K1714" s="1" t="s">
        <v>8376</v>
      </c>
    </row>
    <row r="1715" ht="14.25" customHeight="1">
      <c r="A1715" s="3" t="s">
        <v>7679</v>
      </c>
      <c r="B1715" s="1">
        <v>6.5</v>
      </c>
      <c r="C1715" s="1" t="s">
        <v>1885</v>
      </c>
      <c r="D1715" s="1" t="s">
        <v>6019</v>
      </c>
      <c r="E1715" s="1" t="s">
        <v>17762</v>
      </c>
      <c r="F1715" s="1"/>
      <c r="G1715" s="1"/>
      <c r="H1715" s="1"/>
      <c r="I1715" s="1"/>
      <c r="J1715" s="1"/>
      <c r="K1715" s="1" t="s">
        <v>7678</v>
      </c>
    </row>
    <row r="1716" ht="14.25" customHeight="1">
      <c r="A1716" s="3" t="s">
        <v>7679</v>
      </c>
      <c r="B1716" s="1">
        <v>6.2</v>
      </c>
      <c r="C1716" s="1" t="s">
        <v>1885</v>
      </c>
      <c r="D1716" s="1" t="s">
        <v>6019</v>
      </c>
      <c r="E1716" s="1" t="s">
        <v>17762</v>
      </c>
      <c r="F1716" s="1"/>
      <c r="G1716" s="1"/>
      <c r="H1716" s="1"/>
      <c r="I1716" s="1"/>
      <c r="J1716" s="1"/>
      <c r="K1716" s="1" t="s">
        <v>11381</v>
      </c>
    </row>
    <row r="1717" ht="14.25" customHeight="1">
      <c r="A1717" s="3" t="s">
        <v>5938</v>
      </c>
      <c r="B1717" s="1">
        <v>7.8</v>
      </c>
      <c r="C1717" s="1" t="s">
        <v>17759</v>
      </c>
      <c r="D1717" s="1" t="s">
        <v>6019</v>
      </c>
      <c r="E1717" s="1" t="s">
        <v>17762</v>
      </c>
      <c r="F1717" s="1"/>
      <c r="G1717" s="1"/>
      <c r="H1717" s="1"/>
      <c r="I1717" s="1"/>
      <c r="J1717" s="1"/>
      <c r="K1717" s="1" t="s">
        <v>5937</v>
      </c>
    </row>
    <row r="1718" ht="14.25" customHeight="1">
      <c r="A1718" s="3" t="s">
        <v>11050</v>
      </c>
      <c r="B1718" s="1">
        <v>5.2</v>
      </c>
      <c r="C1718" s="1" t="s">
        <v>1885</v>
      </c>
      <c r="D1718" s="1" t="s">
        <v>17774</v>
      </c>
      <c r="E1718" s="1" t="s">
        <v>17762</v>
      </c>
      <c r="F1718" s="1"/>
      <c r="G1718" s="1"/>
      <c r="H1718" s="1"/>
      <c r="I1718" s="1"/>
      <c r="J1718" s="1"/>
      <c r="K1718" s="1" t="s">
        <v>11049</v>
      </c>
    </row>
    <row r="1719" ht="14.25" customHeight="1">
      <c r="A1719" s="3" t="s">
        <v>11050</v>
      </c>
      <c r="B1719" s="1">
        <v>6.5</v>
      </c>
      <c r="C1719" s="1" t="s">
        <v>1885</v>
      </c>
      <c r="D1719" s="1" t="s">
        <v>17774</v>
      </c>
      <c r="E1719" s="1" t="s">
        <v>17762</v>
      </c>
      <c r="F1719" s="1"/>
      <c r="G1719" s="1"/>
      <c r="H1719" s="1"/>
      <c r="I1719" s="1"/>
      <c r="J1719" s="1"/>
      <c r="K1719" s="1" t="s">
        <v>11073</v>
      </c>
    </row>
    <row r="1720" ht="14.25" customHeight="1">
      <c r="A1720" s="3" t="s">
        <v>11050</v>
      </c>
      <c r="B1720" s="1">
        <v>6.5</v>
      </c>
      <c r="C1720" s="1" t="s">
        <v>1885</v>
      </c>
      <c r="D1720" s="1" t="s">
        <v>17774</v>
      </c>
      <c r="E1720" s="1" t="s">
        <v>17762</v>
      </c>
      <c r="F1720" s="1"/>
      <c r="G1720" s="1"/>
      <c r="H1720" s="1"/>
      <c r="I1720" s="1"/>
      <c r="J1720" s="1"/>
      <c r="K1720" s="1" t="s">
        <v>13046</v>
      </c>
    </row>
    <row r="1721" ht="14.25" customHeight="1">
      <c r="A1721" s="3" t="s">
        <v>11050</v>
      </c>
      <c r="B1721" s="1">
        <v>5.2</v>
      </c>
      <c r="C1721" s="1" t="s">
        <v>1885</v>
      </c>
      <c r="D1721" s="1" t="s">
        <v>17774</v>
      </c>
      <c r="E1721" s="1" t="s">
        <v>17762</v>
      </c>
      <c r="F1721" s="1"/>
      <c r="G1721" s="1"/>
      <c r="H1721" s="1"/>
      <c r="I1721" s="1"/>
      <c r="J1721" s="1"/>
      <c r="K1721" s="1" t="s">
        <v>13836</v>
      </c>
    </row>
    <row r="1722" ht="14.25" customHeight="1">
      <c r="A1722" s="3" t="s">
        <v>11050</v>
      </c>
      <c r="B1722" s="1">
        <v>7.2</v>
      </c>
      <c r="C1722" s="1" t="s">
        <v>1885</v>
      </c>
      <c r="D1722" s="1" t="s">
        <v>17774</v>
      </c>
      <c r="E1722" s="1" t="s">
        <v>17762</v>
      </c>
      <c r="F1722" s="1"/>
      <c r="G1722" s="1"/>
      <c r="H1722" s="1"/>
      <c r="I1722" s="1"/>
      <c r="J1722" s="1"/>
      <c r="K1722" s="1" t="s">
        <v>16065</v>
      </c>
    </row>
    <row r="1723" ht="14.25" customHeight="1">
      <c r="A1723" s="3" t="s">
        <v>7326</v>
      </c>
      <c r="B1723" s="1">
        <v>7.1</v>
      </c>
      <c r="C1723" s="1" t="s">
        <v>3238</v>
      </c>
      <c r="D1723" s="1" t="s">
        <v>17774</v>
      </c>
      <c r="E1723" s="1" t="s">
        <v>17762</v>
      </c>
      <c r="F1723" s="1"/>
      <c r="G1723" s="1"/>
      <c r="H1723" s="1"/>
      <c r="I1723" s="1"/>
      <c r="J1723" s="1"/>
      <c r="K1723" s="1" t="s">
        <v>7325</v>
      </c>
    </row>
    <row r="1724" ht="14.25" customHeight="1">
      <c r="A1724" s="3" t="s">
        <v>7326</v>
      </c>
      <c r="B1724" s="1">
        <v>4.5</v>
      </c>
      <c r="C1724" s="1" t="s">
        <v>3238</v>
      </c>
      <c r="D1724" s="1" t="s">
        <v>17774</v>
      </c>
      <c r="E1724" s="1" t="s">
        <v>17762</v>
      </c>
      <c r="F1724" s="1"/>
      <c r="G1724" s="1"/>
      <c r="H1724" s="1"/>
      <c r="I1724" s="1"/>
      <c r="J1724" s="1"/>
      <c r="K1724" s="1" t="s">
        <v>7822</v>
      </c>
    </row>
    <row r="1725" ht="14.25" customHeight="1">
      <c r="A1725" s="3" t="s">
        <v>7326</v>
      </c>
      <c r="B1725" s="1">
        <v>5.7</v>
      </c>
      <c r="C1725" s="1" t="s">
        <v>3238</v>
      </c>
      <c r="D1725" s="1" t="s">
        <v>17774</v>
      </c>
      <c r="E1725" s="1" t="s">
        <v>17762</v>
      </c>
      <c r="F1725" s="1"/>
      <c r="G1725" s="1"/>
      <c r="H1725" s="1"/>
      <c r="I1725" s="1"/>
      <c r="J1725" s="1"/>
      <c r="K1725" s="1" t="s">
        <v>9288</v>
      </c>
    </row>
    <row r="1726" ht="14.25" customHeight="1">
      <c r="A1726" s="3" t="s">
        <v>7326</v>
      </c>
      <c r="B1726" s="1">
        <v>6.0</v>
      </c>
      <c r="C1726" s="1" t="s">
        <v>3238</v>
      </c>
      <c r="D1726" s="1" t="s">
        <v>17774</v>
      </c>
      <c r="E1726" s="1" t="s">
        <v>17762</v>
      </c>
      <c r="F1726" s="1"/>
      <c r="G1726" s="1"/>
      <c r="H1726" s="1"/>
      <c r="I1726" s="1"/>
      <c r="J1726" s="1"/>
      <c r="K1726" s="1" t="s">
        <v>10750</v>
      </c>
    </row>
    <row r="1727" ht="14.25" customHeight="1">
      <c r="A1727" s="3" t="s">
        <v>7326</v>
      </c>
      <c r="B1727" s="1">
        <v>6.4</v>
      </c>
      <c r="C1727" s="1" t="s">
        <v>3238</v>
      </c>
      <c r="D1727" s="1" t="s">
        <v>17774</v>
      </c>
      <c r="E1727" s="1" t="s">
        <v>17762</v>
      </c>
      <c r="F1727" s="1"/>
      <c r="G1727" s="1"/>
      <c r="H1727" s="1"/>
      <c r="I1727" s="1"/>
      <c r="J1727" s="1"/>
      <c r="K1727" s="1" t="s">
        <v>10807</v>
      </c>
    </row>
    <row r="1728" ht="14.25" customHeight="1">
      <c r="A1728" s="3" t="s">
        <v>7326</v>
      </c>
      <c r="B1728" s="1">
        <v>5.2</v>
      </c>
      <c r="C1728" s="1" t="s">
        <v>3238</v>
      </c>
      <c r="D1728" s="1" t="s">
        <v>17774</v>
      </c>
      <c r="E1728" s="1" t="s">
        <v>17762</v>
      </c>
      <c r="F1728" s="1"/>
      <c r="G1728" s="1"/>
      <c r="H1728" s="1"/>
      <c r="I1728" s="1"/>
      <c r="J1728" s="1"/>
      <c r="K1728" s="1" t="s">
        <v>12022</v>
      </c>
    </row>
    <row r="1729" ht="14.25" customHeight="1">
      <c r="A1729" s="3" t="s">
        <v>7326</v>
      </c>
      <c r="B1729" s="1">
        <v>4.3</v>
      </c>
      <c r="C1729" s="1" t="s">
        <v>3238</v>
      </c>
      <c r="D1729" s="1" t="s">
        <v>17774</v>
      </c>
      <c r="E1729" s="1" t="s">
        <v>17762</v>
      </c>
      <c r="F1729" s="1"/>
      <c r="G1729" s="1"/>
      <c r="H1729" s="1"/>
      <c r="I1729" s="1"/>
      <c r="J1729" s="1"/>
      <c r="K1729" s="1" t="s">
        <v>12226</v>
      </c>
    </row>
    <row r="1730" ht="14.25" customHeight="1">
      <c r="A1730" s="3" t="s">
        <v>7326</v>
      </c>
      <c r="B1730" s="1">
        <v>6.1</v>
      </c>
      <c r="C1730" s="1" t="s">
        <v>3238</v>
      </c>
      <c r="D1730" s="1" t="s">
        <v>17774</v>
      </c>
      <c r="E1730" s="1" t="s">
        <v>17762</v>
      </c>
      <c r="F1730" s="1"/>
      <c r="G1730" s="1"/>
      <c r="H1730" s="1"/>
      <c r="I1730" s="1"/>
      <c r="J1730" s="1"/>
      <c r="K1730" s="1" t="s">
        <v>13316</v>
      </c>
    </row>
    <row r="1731" ht="14.25" customHeight="1">
      <c r="A1731" s="3" t="s">
        <v>7326</v>
      </c>
      <c r="B1731" s="1">
        <v>6.8</v>
      </c>
      <c r="C1731" s="1" t="s">
        <v>3238</v>
      </c>
      <c r="D1731" s="1" t="s">
        <v>17774</v>
      </c>
      <c r="E1731" s="1" t="s">
        <v>17762</v>
      </c>
      <c r="F1731" s="1"/>
      <c r="G1731" s="1"/>
      <c r="H1731" s="1"/>
      <c r="I1731" s="1"/>
      <c r="J1731" s="1"/>
      <c r="K1731" s="1" t="s">
        <v>13854</v>
      </c>
    </row>
    <row r="1732" ht="14.25" customHeight="1">
      <c r="A1732" s="3" t="s">
        <v>7326</v>
      </c>
      <c r="B1732" s="1">
        <v>5.2</v>
      </c>
      <c r="C1732" s="1" t="s">
        <v>3238</v>
      </c>
      <c r="D1732" s="1" t="s">
        <v>17774</v>
      </c>
      <c r="E1732" s="1" t="s">
        <v>17762</v>
      </c>
      <c r="F1732" s="1"/>
      <c r="G1732" s="1"/>
      <c r="H1732" s="1"/>
      <c r="I1732" s="1"/>
      <c r="J1732" s="1"/>
      <c r="K1732" s="1" t="s">
        <v>13859</v>
      </c>
    </row>
    <row r="1733" ht="14.25" customHeight="1">
      <c r="A1733" s="3" t="s">
        <v>7326</v>
      </c>
      <c r="B1733" s="1">
        <v>6.5</v>
      </c>
      <c r="C1733" s="1" t="s">
        <v>3238</v>
      </c>
      <c r="D1733" s="1" t="s">
        <v>17774</v>
      </c>
      <c r="E1733" s="1" t="s">
        <v>17762</v>
      </c>
      <c r="F1733" s="1"/>
      <c r="G1733" s="1"/>
      <c r="H1733" s="1"/>
      <c r="I1733" s="1"/>
      <c r="J1733" s="1"/>
      <c r="K1733" s="1" t="s">
        <v>13877</v>
      </c>
    </row>
    <row r="1734" ht="14.25" customHeight="1">
      <c r="A1734" s="3" t="s">
        <v>7326</v>
      </c>
      <c r="B1734" s="1">
        <v>7.5</v>
      </c>
      <c r="C1734" s="1" t="s">
        <v>3238</v>
      </c>
      <c r="D1734" s="1" t="s">
        <v>17774</v>
      </c>
      <c r="E1734" s="1" t="s">
        <v>17762</v>
      </c>
      <c r="F1734" s="1"/>
      <c r="G1734" s="1"/>
      <c r="H1734" s="1"/>
      <c r="I1734" s="1"/>
      <c r="J1734" s="1"/>
      <c r="K1734" s="1" t="s">
        <v>9288</v>
      </c>
    </row>
    <row r="1735" ht="14.25" customHeight="1">
      <c r="A1735" s="3" t="s">
        <v>7326</v>
      </c>
      <c r="B1735" s="1">
        <v>7.1</v>
      </c>
      <c r="C1735" s="1" t="s">
        <v>3238</v>
      </c>
      <c r="D1735" s="1" t="s">
        <v>17774</v>
      </c>
      <c r="E1735" s="1" t="s">
        <v>17762</v>
      </c>
      <c r="F1735" s="1"/>
      <c r="G1735" s="1"/>
      <c r="H1735" s="1"/>
      <c r="I1735" s="1"/>
      <c r="J1735" s="1"/>
      <c r="K1735" s="1" t="s">
        <v>14243</v>
      </c>
    </row>
    <row r="1736" ht="14.25" customHeight="1">
      <c r="A1736" s="3" t="s">
        <v>7326</v>
      </c>
      <c r="B1736" s="1">
        <v>6.9</v>
      </c>
      <c r="C1736" s="1" t="s">
        <v>3238</v>
      </c>
      <c r="D1736" s="1" t="s">
        <v>17774</v>
      </c>
      <c r="E1736" s="1" t="s">
        <v>17762</v>
      </c>
      <c r="F1736" s="1"/>
      <c r="G1736" s="1"/>
      <c r="H1736" s="1"/>
      <c r="I1736" s="1"/>
      <c r="J1736" s="1"/>
      <c r="K1736" s="1" t="s">
        <v>14251</v>
      </c>
    </row>
    <row r="1737" ht="14.25" customHeight="1">
      <c r="A1737" s="3" t="s">
        <v>7326</v>
      </c>
      <c r="B1737" s="1">
        <v>8.0</v>
      </c>
      <c r="C1737" s="1" t="s">
        <v>3238</v>
      </c>
      <c r="D1737" s="1" t="s">
        <v>17774</v>
      </c>
      <c r="E1737" s="1" t="s">
        <v>17762</v>
      </c>
      <c r="F1737" s="1"/>
      <c r="G1737" s="1"/>
      <c r="H1737" s="1"/>
      <c r="I1737" s="1"/>
      <c r="J1737" s="1"/>
      <c r="K1737" s="1" t="s">
        <v>16356</v>
      </c>
    </row>
    <row r="1738" ht="14.25" customHeight="1">
      <c r="A1738" s="3" t="s">
        <v>7326</v>
      </c>
      <c r="B1738" s="1">
        <v>8.2</v>
      </c>
      <c r="C1738" s="1" t="s">
        <v>3238</v>
      </c>
      <c r="D1738" s="1" t="s">
        <v>17774</v>
      </c>
      <c r="E1738" s="1" t="s">
        <v>17762</v>
      </c>
      <c r="F1738" s="1"/>
      <c r="G1738" s="1"/>
      <c r="H1738" s="1"/>
      <c r="I1738" s="1"/>
      <c r="J1738" s="1"/>
      <c r="K1738" s="1" t="s">
        <v>17602</v>
      </c>
    </row>
    <row r="1739" ht="14.25" customHeight="1">
      <c r="A1739" s="3" t="s">
        <v>7326</v>
      </c>
      <c r="B1739" s="1">
        <v>6.4</v>
      </c>
      <c r="C1739" s="1" t="s">
        <v>3238</v>
      </c>
      <c r="D1739" s="1" t="s">
        <v>17774</v>
      </c>
      <c r="E1739" s="1" t="s">
        <v>17762</v>
      </c>
      <c r="F1739" s="1"/>
      <c r="G1739" s="1"/>
      <c r="H1739" s="1"/>
      <c r="I1739" s="1"/>
      <c r="J1739" s="1"/>
      <c r="K1739" s="1" t="s">
        <v>17715</v>
      </c>
    </row>
    <row r="1740" ht="14.25" customHeight="1">
      <c r="A1740" s="3" t="s">
        <v>11798</v>
      </c>
      <c r="B1740" s="1">
        <v>7.9</v>
      </c>
      <c r="C1740" s="1" t="s">
        <v>17758</v>
      </c>
      <c r="D1740" s="1" t="s">
        <v>17774</v>
      </c>
      <c r="E1740" s="1" t="s">
        <v>17762</v>
      </c>
      <c r="F1740" s="1"/>
      <c r="G1740" s="1"/>
      <c r="H1740" s="1"/>
      <c r="I1740" s="1"/>
      <c r="J1740" s="1"/>
      <c r="K1740" s="1" t="s">
        <v>11797</v>
      </c>
    </row>
    <row r="1741" ht="14.25" customHeight="1">
      <c r="A1741" s="3" t="s">
        <v>10315</v>
      </c>
      <c r="B1741" s="1">
        <v>6.7</v>
      </c>
      <c r="C1741" s="1" t="s">
        <v>1885</v>
      </c>
      <c r="D1741" s="1" t="s">
        <v>17760</v>
      </c>
      <c r="E1741" s="1" t="s">
        <v>17762</v>
      </c>
      <c r="F1741" s="1"/>
      <c r="G1741" s="1"/>
      <c r="H1741" s="1"/>
      <c r="I1741" s="1"/>
      <c r="J1741" s="1"/>
      <c r="K1741" s="1" t="s">
        <v>10314</v>
      </c>
    </row>
    <row r="1742" ht="14.25" customHeight="1">
      <c r="A1742" s="3" t="s">
        <v>10315</v>
      </c>
      <c r="B1742" s="1">
        <v>6.1</v>
      </c>
      <c r="C1742" s="1" t="s">
        <v>1885</v>
      </c>
      <c r="D1742" s="1" t="s">
        <v>17760</v>
      </c>
      <c r="E1742" s="1" t="s">
        <v>17762</v>
      </c>
      <c r="F1742" s="1"/>
      <c r="G1742" s="1"/>
      <c r="H1742" s="1"/>
      <c r="I1742" s="1"/>
      <c r="J1742" s="1"/>
      <c r="K1742" s="1" t="s">
        <v>12788</v>
      </c>
    </row>
    <row r="1743" ht="14.25" customHeight="1">
      <c r="A1743" s="3" t="s">
        <v>10315</v>
      </c>
      <c r="B1743" s="1">
        <v>8.9</v>
      </c>
      <c r="C1743" s="1" t="s">
        <v>1885</v>
      </c>
      <c r="D1743" s="1" t="s">
        <v>17760</v>
      </c>
      <c r="E1743" s="1" t="s">
        <v>17762</v>
      </c>
      <c r="F1743" s="1"/>
      <c r="G1743" s="1"/>
      <c r="H1743" s="1"/>
      <c r="I1743" s="1"/>
      <c r="J1743" s="1"/>
      <c r="K1743" s="1" t="s">
        <v>17167</v>
      </c>
    </row>
    <row r="1744" ht="14.25" customHeight="1">
      <c r="A1744" s="3" t="s">
        <v>10315</v>
      </c>
      <c r="B1744" s="1">
        <v>8.1</v>
      </c>
      <c r="C1744" s="1" t="s">
        <v>1885</v>
      </c>
      <c r="D1744" s="1" t="s">
        <v>17760</v>
      </c>
      <c r="E1744" s="1" t="s">
        <v>17762</v>
      </c>
      <c r="F1744" s="1"/>
      <c r="G1744" s="1"/>
      <c r="H1744" s="1"/>
      <c r="I1744" s="1"/>
      <c r="J1744" s="1"/>
      <c r="K1744" s="1" t="s">
        <v>17354</v>
      </c>
    </row>
    <row r="1745" ht="14.25" customHeight="1">
      <c r="A1745" s="3" t="s">
        <v>2707</v>
      </c>
      <c r="B1745" s="1">
        <v>6.2</v>
      </c>
      <c r="C1745" s="1" t="s">
        <v>3238</v>
      </c>
      <c r="D1745" s="1" t="s">
        <v>17760</v>
      </c>
      <c r="E1745" s="1" t="s">
        <v>17762</v>
      </c>
      <c r="F1745" s="1"/>
      <c r="G1745" s="1"/>
      <c r="H1745" s="1"/>
      <c r="I1745" s="1"/>
      <c r="J1745" s="1"/>
      <c r="K1745" s="1" t="s">
        <v>2706</v>
      </c>
    </row>
    <row r="1746" ht="14.25" customHeight="1">
      <c r="A1746" s="3" t="s">
        <v>2707</v>
      </c>
      <c r="B1746" s="1">
        <v>4.9</v>
      </c>
      <c r="C1746" s="1" t="s">
        <v>3238</v>
      </c>
      <c r="D1746" s="1" t="s">
        <v>17760</v>
      </c>
      <c r="E1746" s="1" t="s">
        <v>17762</v>
      </c>
      <c r="F1746" s="1"/>
      <c r="G1746" s="1"/>
      <c r="H1746" s="1"/>
      <c r="I1746" s="1"/>
      <c r="J1746" s="1"/>
      <c r="K1746" s="1" t="s">
        <v>3474</v>
      </c>
    </row>
    <row r="1747" ht="14.25" customHeight="1">
      <c r="A1747" s="3" t="s">
        <v>2707</v>
      </c>
      <c r="B1747" s="1">
        <v>5.8</v>
      </c>
      <c r="C1747" s="1" t="s">
        <v>3238</v>
      </c>
      <c r="D1747" s="1" t="s">
        <v>17760</v>
      </c>
      <c r="E1747" s="1" t="s">
        <v>17762</v>
      </c>
      <c r="F1747" s="1"/>
      <c r="G1747" s="1"/>
      <c r="H1747" s="1"/>
      <c r="I1747" s="1"/>
      <c r="J1747" s="1"/>
      <c r="K1747" s="1" t="s">
        <v>4614</v>
      </c>
    </row>
    <row r="1748" ht="14.25" customHeight="1">
      <c r="A1748" s="3" t="s">
        <v>2707</v>
      </c>
      <c r="B1748" s="1">
        <v>6.0</v>
      </c>
      <c r="C1748" s="1" t="s">
        <v>3238</v>
      </c>
      <c r="D1748" s="1" t="s">
        <v>17760</v>
      </c>
      <c r="E1748" s="1" t="s">
        <v>17762</v>
      </c>
      <c r="F1748" s="1"/>
      <c r="G1748" s="1"/>
      <c r="H1748" s="1"/>
      <c r="I1748" s="1"/>
      <c r="J1748" s="1"/>
      <c r="K1748" s="1" t="s">
        <v>6243</v>
      </c>
    </row>
    <row r="1749" ht="14.25" customHeight="1">
      <c r="A1749" s="3" t="s">
        <v>2707</v>
      </c>
      <c r="B1749" s="1">
        <v>7.0</v>
      </c>
      <c r="C1749" s="1" t="s">
        <v>3238</v>
      </c>
      <c r="D1749" s="1" t="s">
        <v>17760</v>
      </c>
      <c r="E1749" s="1" t="s">
        <v>17762</v>
      </c>
      <c r="F1749" s="1"/>
      <c r="G1749" s="1"/>
      <c r="H1749" s="1"/>
      <c r="I1749" s="1"/>
      <c r="J1749" s="1"/>
      <c r="K1749" s="1" t="s">
        <v>12619</v>
      </c>
    </row>
    <row r="1750" ht="14.25" customHeight="1">
      <c r="A1750" s="3" t="s">
        <v>12108</v>
      </c>
      <c r="B1750" s="1">
        <v>6.0</v>
      </c>
      <c r="C1750" s="1" t="s">
        <v>1885</v>
      </c>
      <c r="D1750" s="1" t="s">
        <v>17761</v>
      </c>
      <c r="E1750" s="1" t="s">
        <v>17762</v>
      </c>
      <c r="F1750" s="1"/>
      <c r="G1750" s="1"/>
      <c r="H1750" s="1"/>
      <c r="I1750" s="1"/>
      <c r="J1750" s="1"/>
      <c r="K1750" s="1" t="s">
        <v>12107</v>
      </c>
    </row>
    <row r="1751" ht="14.25" customHeight="1">
      <c r="A1751" s="3" t="s">
        <v>3632</v>
      </c>
      <c r="B1751" s="1">
        <v>7.9</v>
      </c>
      <c r="C1751" s="1" t="s">
        <v>3238</v>
      </c>
      <c r="D1751" s="1" t="s">
        <v>17761</v>
      </c>
      <c r="E1751" s="1" t="s">
        <v>17762</v>
      </c>
      <c r="F1751" s="1"/>
      <c r="G1751" s="1"/>
      <c r="H1751" s="1"/>
      <c r="I1751" s="1"/>
      <c r="J1751" s="1"/>
      <c r="K1751" s="1" t="s">
        <v>3631</v>
      </c>
    </row>
    <row r="1752" ht="14.25" customHeight="1">
      <c r="A1752" s="3" t="s">
        <v>3632</v>
      </c>
      <c r="B1752" s="1">
        <v>8.1</v>
      </c>
      <c r="C1752" s="1" t="s">
        <v>3238</v>
      </c>
      <c r="D1752" s="1" t="s">
        <v>17761</v>
      </c>
      <c r="E1752" s="1" t="s">
        <v>17762</v>
      </c>
      <c r="F1752" s="1"/>
      <c r="G1752" s="1"/>
      <c r="H1752" s="1"/>
      <c r="I1752" s="1"/>
      <c r="J1752" s="1"/>
      <c r="K1752" s="1" t="s">
        <v>12708</v>
      </c>
    </row>
    <row r="1753" ht="14.25" customHeight="1">
      <c r="A1753" s="3" t="s">
        <v>3632</v>
      </c>
      <c r="B1753" s="1">
        <v>6.2</v>
      </c>
      <c r="C1753" s="1" t="s">
        <v>3238</v>
      </c>
      <c r="D1753" s="1" t="s">
        <v>17761</v>
      </c>
      <c r="E1753" s="1" t="s">
        <v>17762</v>
      </c>
      <c r="F1753" s="1"/>
      <c r="G1753" s="1"/>
      <c r="H1753" s="1"/>
      <c r="I1753" s="1"/>
      <c r="J1753" s="1"/>
      <c r="K1753" s="1" t="s">
        <v>12858</v>
      </c>
    </row>
    <row r="1754" ht="14.25" customHeight="1">
      <c r="A1754" s="3" t="s">
        <v>3632</v>
      </c>
      <c r="B1754" s="1">
        <v>6.7</v>
      </c>
      <c r="C1754" s="1" t="s">
        <v>3238</v>
      </c>
      <c r="D1754" s="1" t="s">
        <v>17761</v>
      </c>
      <c r="E1754" s="1" t="s">
        <v>17762</v>
      </c>
      <c r="F1754" s="1"/>
      <c r="G1754" s="1"/>
      <c r="H1754" s="1"/>
      <c r="I1754" s="1"/>
      <c r="J1754" s="1"/>
      <c r="K1754" s="1" t="s">
        <v>16603</v>
      </c>
    </row>
    <row r="1755" ht="14.25" customHeight="1">
      <c r="A1755" s="3" t="s">
        <v>65</v>
      </c>
      <c r="B1755" s="1">
        <v>7.3</v>
      </c>
      <c r="C1755" s="1" t="s">
        <v>1270</v>
      </c>
      <c r="D1755" s="1" t="s">
        <v>917</v>
      </c>
      <c r="E1755" s="1" t="s">
        <v>17764</v>
      </c>
      <c r="F1755" s="1"/>
      <c r="G1755" s="1"/>
      <c r="H1755" s="1"/>
      <c r="I1755" s="1"/>
      <c r="J1755" s="1"/>
      <c r="K1755" s="1" t="s">
        <v>64</v>
      </c>
    </row>
    <row r="1756" ht="14.25" customHeight="1">
      <c r="A1756" s="3" t="s">
        <v>65</v>
      </c>
      <c r="B1756" s="1">
        <v>4.6</v>
      </c>
      <c r="C1756" s="1" t="s">
        <v>1270</v>
      </c>
      <c r="D1756" s="1" t="s">
        <v>917</v>
      </c>
      <c r="E1756" s="1" t="s">
        <v>17764</v>
      </c>
      <c r="F1756" s="1"/>
      <c r="G1756" s="1"/>
      <c r="H1756" s="1"/>
      <c r="I1756" s="1"/>
      <c r="J1756" s="1"/>
      <c r="K1756" s="1" t="s">
        <v>89</v>
      </c>
    </row>
    <row r="1757" ht="14.25" customHeight="1">
      <c r="A1757" s="3" t="s">
        <v>65</v>
      </c>
      <c r="B1757" s="1">
        <v>6.1</v>
      </c>
      <c r="C1757" s="1" t="s">
        <v>1270</v>
      </c>
      <c r="D1757" s="1" t="s">
        <v>917</v>
      </c>
      <c r="E1757" s="1" t="s">
        <v>17764</v>
      </c>
      <c r="F1757" s="1"/>
      <c r="G1757" s="1"/>
      <c r="H1757" s="1"/>
      <c r="I1757" s="1"/>
      <c r="J1757" s="1"/>
      <c r="K1757" s="1" t="s">
        <v>104</v>
      </c>
    </row>
    <row r="1758" ht="14.25" customHeight="1">
      <c r="A1758" s="3" t="s">
        <v>65</v>
      </c>
      <c r="B1758" s="1">
        <v>6.2</v>
      </c>
      <c r="C1758" s="1" t="s">
        <v>1270</v>
      </c>
      <c r="D1758" s="1" t="s">
        <v>917</v>
      </c>
      <c r="E1758" s="1" t="s">
        <v>17764</v>
      </c>
      <c r="F1758" s="1"/>
      <c r="G1758" s="1"/>
      <c r="H1758" s="1"/>
      <c r="I1758" s="1"/>
      <c r="J1758" s="1"/>
      <c r="K1758" s="1" t="s">
        <v>111</v>
      </c>
    </row>
    <row r="1759" ht="14.25" customHeight="1">
      <c r="A1759" s="3" t="s">
        <v>65</v>
      </c>
      <c r="B1759" s="1">
        <v>7.8</v>
      </c>
      <c r="C1759" s="1" t="s">
        <v>1270</v>
      </c>
      <c r="D1759" s="1" t="s">
        <v>917</v>
      </c>
      <c r="E1759" s="1" t="s">
        <v>17764</v>
      </c>
      <c r="F1759" s="1"/>
      <c r="G1759" s="1"/>
      <c r="H1759" s="1"/>
      <c r="I1759" s="1"/>
      <c r="J1759" s="1"/>
      <c r="K1759" s="1" t="s">
        <v>146</v>
      </c>
    </row>
    <row r="1760" ht="14.25" customHeight="1">
      <c r="A1760" s="3" t="s">
        <v>65</v>
      </c>
      <c r="B1760" s="1">
        <v>6.1</v>
      </c>
      <c r="C1760" s="1" t="s">
        <v>1270</v>
      </c>
      <c r="D1760" s="1" t="s">
        <v>917</v>
      </c>
      <c r="E1760" s="1" t="s">
        <v>17764</v>
      </c>
      <c r="F1760" s="1"/>
      <c r="G1760" s="1"/>
      <c r="H1760" s="1"/>
      <c r="I1760" s="1"/>
      <c r="J1760" s="1"/>
      <c r="K1760" s="1" t="s">
        <v>213</v>
      </c>
    </row>
    <row r="1761" ht="14.25" customHeight="1">
      <c r="A1761" s="3" t="s">
        <v>65</v>
      </c>
      <c r="B1761" s="1">
        <v>5.8</v>
      </c>
      <c r="C1761" s="1" t="s">
        <v>1270</v>
      </c>
      <c r="D1761" s="1" t="s">
        <v>917</v>
      </c>
      <c r="E1761" s="1" t="s">
        <v>17764</v>
      </c>
      <c r="F1761" s="1"/>
      <c r="G1761" s="1"/>
      <c r="H1761" s="1"/>
      <c r="I1761" s="1"/>
      <c r="J1761" s="1"/>
      <c r="K1761" s="1" t="s">
        <v>242</v>
      </c>
    </row>
    <row r="1762" ht="14.25" customHeight="1">
      <c r="A1762" s="3" t="s">
        <v>65</v>
      </c>
      <c r="B1762" s="1">
        <v>6.5</v>
      </c>
      <c r="C1762" s="1" t="s">
        <v>1270</v>
      </c>
      <c r="D1762" s="1" t="s">
        <v>917</v>
      </c>
      <c r="E1762" s="1" t="s">
        <v>17764</v>
      </c>
      <c r="F1762" s="1"/>
      <c r="G1762" s="1"/>
      <c r="H1762" s="1"/>
      <c r="I1762" s="1"/>
      <c r="J1762" s="1"/>
      <c r="K1762" s="1" t="s">
        <v>271</v>
      </c>
    </row>
    <row r="1763" ht="14.25" customHeight="1">
      <c r="A1763" s="3" t="s">
        <v>65</v>
      </c>
      <c r="B1763" s="1">
        <v>7.2</v>
      </c>
      <c r="C1763" s="1" t="s">
        <v>1270</v>
      </c>
      <c r="D1763" s="1" t="s">
        <v>917</v>
      </c>
      <c r="E1763" s="1" t="s">
        <v>17764</v>
      </c>
      <c r="F1763" s="1"/>
      <c r="G1763" s="1"/>
      <c r="H1763" s="1"/>
      <c r="I1763" s="1"/>
      <c r="J1763" s="1"/>
      <c r="K1763" s="1" t="s">
        <v>277</v>
      </c>
    </row>
    <row r="1764" ht="14.25" customHeight="1">
      <c r="A1764" s="3" t="s">
        <v>65</v>
      </c>
      <c r="B1764" s="1">
        <v>7.8</v>
      </c>
      <c r="C1764" s="1" t="s">
        <v>1270</v>
      </c>
      <c r="D1764" s="1" t="s">
        <v>917</v>
      </c>
      <c r="E1764" s="1" t="s">
        <v>17764</v>
      </c>
      <c r="F1764" s="1"/>
      <c r="G1764" s="1"/>
      <c r="H1764" s="1"/>
      <c r="I1764" s="1"/>
      <c r="J1764" s="1"/>
      <c r="K1764" s="1" t="s">
        <v>292</v>
      </c>
    </row>
    <row r="1765" ht="14.25" customHeight="1">
      <c r="A1765" s="3" t="s">
        <v>65</v>
      </c>
      <c r="B1765" s="1">
        <v>4.7</v>
      </c>
      <c r="C1765" s="1" t="s">
        <v>1270</v>
      </c>
      <c r="D1765" s="1" t="s">
        <v>917</v>
      </c>
      <c r="E1765" s="1" t="s">
        <v>17764</v>
      </c>
      <c r="F1765" s="1"/>
      <c r="G1765" s="1"/>
      <c r="H1765" s="1"/>
      <c r="I1765" s="1"/>
      <c r="J1765" s="1"/>
      <c r="K1765" s="1" t="s">
        <v>306</v>
      </c>
    </row>
    <row r="1766" ht="14.25" customHeight="1">
      <c r="A1766" s="3" t="s">
        <v>65</v>
      </c>
      <c r="B1766" s="1">
        <v>6.8</v>
      </c>
      <c r="C1766" s="1" t="s">
        <v>1270</v>
      </c>
      <c r="D1766" s="1" t="s">
        <v>917</v>
      </c>
      <c r="E1766" s="1" t="s">
        <v>17764</v>
      </c>
      <c r="F1766" s="1"/>
      <c r="G1766" s="1"/>
      <c r="H1766" s="1"/>
      <c r="I1766" s="1"/>
      <c r="J1766" s="1"/>
      <c r="K1766" s="1" t="s">
        <v>320</v>
      </c>
    </row>
    <row r="1767" ht="14.25" customHeight="1">
      <c r="A1767" s="3" t="s">
        <v>65</v>
      </c>
      <c r="B1767" s="1">
        <v>5.9</v>
      </c>
      <c r="C1767" s="1" t="s">
        <v>1270</v>
      </c>
      <c r="D1767" s="1" t="s">
        <v>917</v>
      </c>
      <c r="E1767" s="1" t="s">
        <v>17764</v>
      </c>
      <c r="F1767" s="1"/>
      <c r="G1767" s="1"/>
      <c r="H1767" s="1"/>
      <c r="I1767" s="1"/>
      <c r="J1767" s="1"/>
      <c r="K1767" s="1" t="s">
        <v>344</v>
      </c>
    </row>
    <row r="1768" ht="14.25" customHeight="1">
      <c r="A1768" s="3" t="s">
        <v>65</v>
      </c>
      <c r="B1768" s="1">
        <v>7.2</v>
      </c>
      <c r="C1768" s="1" t="s">
        <v>1270</v>
      </c>
      <c r="D1768" s="1" t="s">
        <v>917</v>
      </c>
      <c r="E1768" s="1" t="s">
        <v>17764</v>
      </c>
      <c r="F1768" s="1"/>
      <c r="G1768" s="1"/>
      <c r="H1768" s="1"/>
      <c r="I1768" s="1"/>
      <c r="J1768" s="1"/>
      <c r="K1768" s="1" t="s">
        <v>371</v>
      </c>
    </row>
    <row r="1769" ht="14.25" customHeight="1">
      <c r="A1769" s="3" t="s">
        <v>65</v>
      </c>
      <c r="B1769" s="1">
        <v>8.7</v>
      </c>
      <c r="C1769" s="1" t="s">
        <v>1270</v>
      </c>
      <c r="D1769" s="1" t="s">
        <v>917</v>
      </c>
      <c r="E1769" s="1" t="s">
        <v>17764</v>
      </c>
      <c r="F1769" s="1"/>
      <c r="G1769" s="1"/>
      <c r="H1769" s="1"/>
      <c r="I1769" s="1"/>
      <c r="J1769" s="1"/>
      <c r="K1769" s="1" t="s">
        <v>377</v>
      </c>
    </row>
    <row r="1770" ht="14.25" customHeight="1">
      <c r="A1770" s="3" t="s">
        <v>65</v>
      </c>
      <c r="B1770" s="1">
        <v>5.0</v>
      </c>
      <c r="C1770" s="1" t="s">
        <v>1270</v>
      </c>
      <c r="D1770" s="1" t="s">
        <v>917</v>
      </c>
      <c r="E1770" s="1" t="s">
        <v>17764</v>
      </c>
      <c r="F1770" s="1"/>
      <c r="G1770" s="1"/>
      <c r="H1770" s="1"/>
      <c r="I1770" s="1"/>
      <c r="J1770" s="1"/>
      <c r="K1770" s="1">
        <v>2012.0</v>
      </c>
    </row>
    <row r="1771" ht="14.25" customHeight="1">
      <c r="A1771" s="3" t="s">
        <v>65</v>
      </c>
      <c r="B1771" s="1">
        <v>6.6</v>
      </c>
      <c r="C1771" s="1" t="s">
        <v>1270</v>
      </c>
      <c r="D1771" s="1" t="s">
        <v>917</v>
      </c>
      <c r="E1771" s="1" t="s">
        <v>17764</v>
      </c>
      <c r="F1771" s="1"/>
      <c r="G1771" s="1"/>
      <c r="H1771" s="1"/>
      <c r="I1771" s="1"/>
      <c r="J1771" s="1"/>
      <c r="K1771" s="1" t="s">
        <v>429</v>
      </c>
    </row>
    <row r="1772" ht="14.25" customHeight="1">
      <c r="A1772" s="3" t="s">
        <v>65</v>
      </c>
      <c r="B1772" s="1">
        <v>8.3</v>
      </c>
      <c r="C1772" s="1" t="s">
        <v>1270</v>
      </c>
      <c r="D1772" s="1" t="s">
        <v>917</v>
      </c>
      <c r="E1772" s="1" t="s">
        <v>17764</v>
      </c>
      <c r="F1772" s="1"/>
      <c r="G1772" s="1"/>
      <c r="H1772" s="1"/>
      <c r="I1772" s="1"/>
      <c r="J1772" s="1"/>
      <c r="K1772" s="1" t="s">
        <v>443</v>
      </c>
    </row>
    <row r="1773" ht="14.25" customHeight="1">
      <c r="A1773" s="3" t="s">
        <v>65</v>
      </c>
      <c r="B1773" s="1">
        <v>6.7</v>
      </c>
      <c r="C1773" s="1" t="s">
        <v>1270</v>
      </c>
      <c r="D1773" s="1" t="s">
        <v>917</v>
      </c>
      <c r="E1773" s="1" t="s">
        <v>17764</v>
      </c>
      <c r="F1773" s="1"/>
      <c r="G1773" s="1"/>
      <c r="H1773" s="1"/>
      <c r="I1773" s="1"/>
      <c r="J1773" s="1"/>
      <c r="K1773" s="1" t="s">
        <v>469</v>
      </c>
    </row>
    <row r="1774" ht="14.25" customHeight="1">
      <c r="A1774" s="3" t="s">
        <v>65</v>
      </c>
      <c r="B1774" s="1">
        <v>7.8</v>
      </c>
      <c r="C1774" s="1" t="s">
        <v>1270</v>
      </c>
      <c r="D1774" s="1" t="s">
        <v>917</v>
      </c>
      <c r="E1774" s="1" t="s">
        <v>17764</v>
      </c>
      <c r="F1774" s="1"/>
      <c r="G1774" s="1"/>
      <c r="H1774" s="1"/>
      <c r="I1774" s="1"/>
      <c r="J1774" s="1"/>
      <c r="K1774" s="1" t="s">
        <v>507</v>
      </c>
    </row>
    <row r="1775" ht="14.25" customHeight="1">
      <c r="A1775" s="3" t="s">
        <v>65</v>
      </c>
      <c r="B1775" s="1">
        <v>6.5</v>
      </c>
      <c r="C1775" s="1" t="s">
        <v>1270</v>
      </c>
      <c r="D1775" s="1" t="s">
        <v>917</v>
      </c>
      <c r="E1775" s="1" t="s">
        <v>17764</v>
      </c>
      <c r="F1775" s="1"/>
      <c r="G1775" s="1"/>
      <c r="H1775" s="1"/>
      <c r="I1775" s="1"/>
      <c r="J1775" s="1"/>
      <c r="K1775" s="1" t="s">
        <v>538</v>
      </c>
    </row>
    <row r="1776" ht="14.25" customHeight="1">
      <c r="A1776" s="3" t="s">
        <v>65</v>
      </c>
      <c r="B1776" s="1">
        <v>6.1</v>
      </c>
      <c r="C1776" s="1" t="s">
        <v>1270</v>
      </c>
      <c r="D1776" s="1" t="s">
        <v>917</v>
      </c>
      <c r="E1776" s="1" t="s">
        <v>17764</v>
      </c>
      <c r="F1776" s="1"/>
      <c r="G1776" s="1"/>
      <c r="H1776" s="1"/>
      <c r="I1776" s="1"/>
      <c r="J1776" s="1"/>
      <c r="K1776" s="1" t="s">
        <v>568</v>
      </c>
    </row>
    <row r="1777" ht="14.25" customHeight="1">
      <c r="A1777" s="3" t="s">
        <v>65</v>
      </c>
      <c r="B1777" s="1">
        <v>8.1</v>
      </c>
      <c r="C1777" s="1" t="s">
        <v>1270</v>
      </c>
      <c r="D1777" s="1" t="s">
        <v>917</v>
      </c>
      <c r="E1777" s="1" t="s">
        <v>17764</v>
      </c>
      <c r="F1777" s="1"/>
      <c r="G1777" s="1"/>
      <c r="H1777" s="1"/>
      <c r="I1777" s="1"/>
      <c r="J1777" s="1"/>
      <c r="K1777" s="1" t="s">
        <v>608</v>
      </c>
    </row>
    <row r="1778" ht="14.25" customHeight="1">
      <c r="A1778" s="3" t="s">
        <v>65</v>
      </c>
      <c r="B1778" s="1">
        <v>5.2</v>
      </c>
      <c r="C1778" s="1" t="s">
        <v>1270</v>
      </c>
      <c r="D1778" s="1" t="s">
        <v>917</v>
      </c>
      <c r="E1778" s="1" t="s">
        <v>17764</v>
      </c>
      <c r="F1778" s="1"/>
      <c r="G1778" s="1"/>
      <c r="H1778" s="1"/>
      <c r="I1778" s="1"/>
      <c r="J1778" s="1"/>
      <c r="K1778" s="1" t="s">
        <v>630</v>
      </c>
    </row>
    <row r="1779" ht="14.25" customHeight="1">
      <c r="A1779" s="3" t="s">
        <v>65</v>
      </c>
      <c r="B1779" s="1">
        <v>5.6</v>
      </c>
      <c r="C1779" s="1" t="s">
        <v>1270</v>
      </c>
      <c r="D1779" s="1" t="s">
        <v>917</v>
      </c>
      <c r="E1779" s="1" t="s">
        <v>17764</v>
      </c>
      <c r="F1779" s="1"/>
      <c r="G1779" s="1"/>
      <c r="H1779" s="1"/>
      <c r="I1779" s="1"/>
      <c r="J1779" s="1"/>
      <c r="K1779" s="1" t="s">
        <v>656</v>
      </c>
    </row>
    <row r="1780" ht="14.25" customHeight="1">
      <c r="A1780" s="3" t="s">
        <v>65</v>
      </c>
      <c r="B1780" s="1">
        <v>5.8</v>
      </c>
      <c r="C1780" s="1" t="s">
        <v>1270</v>
      </c>
      <c r="D1780" s="1" t="s">
        <v>917</v>
      </c>
      <c r="E1780" s="1" t="s">
        <v>17764</v>
      </c>
      <c r="F1780" s="1"/>
      <c r="G1780" s="1"/>
      <c r="H1780" s="1"/>
      <c r="I1780" s="1"/>
      <c r="J1780" s="1"/>
      <c r="K1780" s="1" t="s">
        <v>699</v>
      </c>
    </row>
    <row r="1781" ht="14.25" customHeight="1">
      <c r="A1781" s="3" t="s">
        <v>65</v>
      </c>
      <c r="B1781" s="1">
        <v>6.6</v>
      </c>
      <c r="C1781" s="1" t="s">
        <v>1270</v>
      </c>
      <c r="D1781" s="1" t="s">
        <v>917</v>
      </c>
      <c r="E1781" s="1" t="s">
        <v>17764</v>
      </c>
      <c r="F1781" s="1"/>
      <c r="G1781" s="1"/>
      <c r="H1781" s="1"/>
      <c r="I1781" s="1"/>
      <c r="J1781" s="1"/>
      <c r="K1781" s="1" t="s">
        <v>718</v>
      </c>
    </row>
    <row r="1782" ht="14.25" customHeight="1">
      <c r="A1782" s="3" t="s">
        <v>65</v>
      </c>
      <c r="B1782" s="1">
        <v>6.6</v>
      </c>
      <c r="C1782" s="1" t="s">
        <v>1270</v>
      </c>
      <c r="D1782" s="1" t="s">
        <v>917</v>
      </c>
      <c r="E1782" s="1" t="s">
        <v>17764</v>
      </c>
      <c r="F1782" s="1"/>
      <c r="G1782" s="1"/>
      <c r="H1782" s="1"/>
      <c r="I1782" s="1"/>
      <c r="J1782" s="1"/>
      <c r="K1782" s="1" t="s">
        <v>991</v>
      </c>
    </row>
    <row r="1783" ht="14.25" customHeight="1">
      <c r="A1783" s="3" t="s">
        <v>65</v>
      </c>
      <c r="B1783" s="1">
        <v>5.5</v>
      </c>
      <c r="C1783" s="1" t="s">
        <v>1270</v>
      </c>
      <c r="D1783" s="1" t="s">
        <v>917</v>
      </c>
      <c r="E1783" s="1" t="s">
        <v>17764</v>
      </c>
      <c r="F1783" s="1"/>
      <c r="G1783" s="1"/>
      <c r="H1783" s="1"/>
      <c r="I1783" s="1"/>
      <c r="J1783" s="1"/>
      <c r="K1783" s="1" t="s">
        <v>1051</v>
      </c>
    </row>
    <row r="1784" ht="14.25" customHeight="1">
      <c r="A1784" s="3" t="s">
        <v>65</v>
      </c>
      <c r="B1784" s="1">
        <v>7.0</v>
      </c>
      <c r="C1784" s="1" t="s">
        <v>1270</v>
      </c>
      <c r="D1784" s="1" t="s">
        <v>917</v>
      </c>
      <c r="E1784" s="1" t="s">
        <v>17764</v>
      </c>
      <c r="F1784" s="1"/>
      <c r="G1784" s="1"/>
      <c r="H1784" s="1"/>
      <c r="I1784" s="1"/>
      <c r="J1784" s="1"/>
      <c r="K1784" s="1" t="s">
        <v>1078</v>
      </c>
    </row>
    <row r="1785" ht="14.25" customHeight="1">
      <c r="A1785" s="3" t="s">
        <v>65</v>
      </c>
      <c r="B1785" s="1">
        <v>6.5</v>
      </c>
      <c r="C1785" s="1" t="s">
        <v>1270</v>
      </c>
      <c r="D1785" s="1" t="s">
        <v>917</v>
      </c>
      <c r="E1785" s="1" t="s">
        <v>17764</v>
      </c>
      <c r="F1785" s="1"/>
      <c r="G1785" s="1"/>
      <c r="H1785" s="1"/>
      <c r="I1785" s="1"/>
      <c r="J1785" s="1"/>
      <c r="K1785" s="1" t="s">
        <v>1180</v>
      </c>
    </row>
    <row r="1786" ht="14.25" customHeight="1">
      <c r="A1786" s="3" t="s">
        <v>65</v>
      </c>
      <c r="B1786" s="1">
        <v>5.8</v>
      </c>
      <c r="C1786" s="1" t="s">
        <v>1270</v>
      </c>
      <c r="D1786" s="1" t="s">
        <v>917</v>
      </c>
      <c r="E1786" s="1" t="s">
        <v>17764</v>
      </c>
      <c r="F1786" s="1"/>
      <c r="G1786" s="1"/>
      <c r="H1786" s="1"/>
      <c r="I1786" s="1"/>
      <c r="J1786" s="1"/>
      <c r="K1786" s="1" t="s">
        <v>1431</v>
      </c>
    </row>
    <row r="1787" ht="14.25" customHeight="1">
      <c r="A1787" s="3" t="s">
        <v>65</v>
      </c>
      <c r="B1787" s="1">
        <v>5.6</v>
      </c>
      <c r="C1787" s="1" t="s">
        <v>1270</v>
      </c>
      <c r="D1787" s="1" t="s">
        <v>917</v>
      </c>
      <c r="E1787" s="1" t="s">
        <v>17764</v>
      </c>
      <c r="F1787" s="1"/>
      <c r="G1787" s="1"/>
      <c r="H1787" s="1"/>
      <c r="I1787" s="1"/>
      <c r="J1787" s="1"/>
      <c r="K1787" s="1" t="s">
        <v>1891</v>
      </c>
    </row>
    <row r="1788" ht="14.25" customHeight="1">
      <c r="A1788" s="3" t="s">
        <v>65</v>
      </c>
      <c r="B1788" s="1">
        <v>5.6</v>
      </c>
      <c r="C1788" s="1" t="s">
        <v>1270</v>
      </c>
      <c r="D1788" s="1" t="s">
        <v>917</v>
      </c>
      <c r="E1788" s="1" t="s">
        <v>17764</v>
      </c>
      <c r="F1788" s="1"/>
      <c r="G1788" s="1"/>
      <c r="H1788" s="1"/>
      <c r="I1788" s="1"/>
      <c r="J1788" s="1"/>
      <c r="K1788" s="1" t="s">
        <v>1431</v>
      </c>
    </row>
    <row r="1789" ht="14.25" customHeight="1">
      <c r="A1789" s="3" t="s">
        <v>65</v>
      </c>
      <c r="B1789" s="1">
        <v>5.8</v>
      </c>
      <c r="C1789" s="1" t="s">
        <v>1270</v>
      </c>
      <c r="D1789" s="1" t="s">
        <v>917</v>
      </c>
      <c r="E1789" s="1" t="s">
        <v>17764</v>
      </c>
      <c r="F1789" s="1"/>
      <c r="G1789" s="1"/>
      <c r="H1789" s="1"/>
      <c r="I1789" s="1"/>
      <c r="J1789" s="1"/>
      <c r="K1789" s="1" t="s">
        <v>2628</v>
      </c>
    </row>
    <row r="1790" ht="14.25" customHeight="1">
      <c r="A1790" s="3" t="s">
        <v>65</v>
      </c>
      <c r="B1790" s="1">
        <v>7.6</v>
      </c>
      <c r="C1790" s="1" t="s">
        <v>1270</v>
      </c>
      <c r="D1790" s="1" t="s">
        <v>917</v>
      </c>
      <c r="E1790" s="1" t="s">
        <v>17764</v>
      </c>
      <c r="F1790" s="1"/>
      <c r="G1790" s="1"/>
      <c r="H1790" s="1"/>
      <c r="I1790" s="1"/>
      <c r="J1790" s="1"/>
      <c r="K1790" s="1" t="s">
        <v>2695</v>
      </c>
    </row>
    <row r="1791" ht="14.25" customHeight="1">
      <c r="A1791" s="3" t="s">
        <v>65</v>
      </c>
      <c r="B1791" s="1">
        <v>6.4</v>
      </c>
      <c r="C1791" s="1" t="s">
        <v>1270</v>
      </c>
      <c r="D1791" s="1" t="s">
        <v>917</v>
      </c>
      <c r="E1791" s="1" t="s">
        <v>17764</v>
      </c>
      <c r="F1791" s="1"/>
      <c r="G1791" s="1"/>
      <c r="H1791" s="1"/>
      <c r="I1791" s="1"/>
      <c r="J1791" s="1"/>
      <c r="K1791" s="1" t="s">
        <v>2713</v>
      </c>
    </row>
    <row r="1792" ht="14.25" customHeight="1">
      <c r="A1792" s="3" t="s">
        <v>65</v>
      </c>
      <c r="B1792" s="1">
        <v>6.3</v>
      </c>
      <c r="C1792" s="1" t="s">
        <v>1270</v>
      </c>
      <c r="D1792" s="1" t="s">
        <v>917</v>
      </c>
      <c r="E1792" s="1" t="s">
        <v>17764</v>
      </c>
      <c r="F1792" s="1"/>
      <c r="G1792" s="1"/>
      <c r="H1792" s="1"/>
      <c r="I1792" s="1"/>
      <c r="J1792" s="1"/>
      <c r="K1792" s="1" t="s">
        <v>2832</v>
      </c>
    </row>
    <row r="1793" ht="14.25" customHeight="1">
      <c r="A1793" s="3" t="s">
        <v>65</v>
      </c>
      <c r="B1793" s="1">
        <v>4.6</v>
      </c>
      <c r="C1793" s="1" t="s">
        <v>1270</v>
      </c>
      <c r="D1793" s="1" t="s">
        <v>917</v>
      </c>
      <c r="E1793" s="1" t="s">
        <v>17764</v>
      </c>
      <c r="F1793" s="1"/>
      <c r="G1793" s="1"/>
      <c r="H1793" s="1"/>
      <c r="I1793" s="1"/>
      <c r="J1793" s="1"/>
      <c r="K1793" s="1" t="s">
        <v>2836</v>
      </c>
    </row>
    <row r="1794" ht="14.25" customHeight="1">
      <c r="A1794" s="3" t="s">
        <v>65</v>
      </c>
      <c r="B1794" s="1">
        <v>6.5</v>
      </c>
      <c r="C1794" s="1" t="s">
        <v>1270</v>
      </c>
      <c r="D1794" s="1" t="s">
        <v>917</v>
      </c>
      <c r="E1794" s="1" t="s">
        <v>17764</v>
      </c>
      <c r="F1794" s="1"/>
      <c r="G1794" s="1"/>
      <c r="H1794" s="1"/>
      <c r="I1794" s="1"/>
      <c r="J1794" s="1"/>
      <c r="K1794" s="1" t="s">
        <v>2850</v>
      </c>
    </row>
    <row r="1795" ht="14.25" customHeight="1">
      <c r="A1795" s="3" t="s">
        <v>65</v>
      </c>
      <c r="B1795" s="1">
        <v>7.5</v>
      </c>
      <c r="C1795" s="1" t="s">
        <v>1270</v>
      </c>
      <c r="D1795" s="1" t="s">
        <v>917</v>
      </c>
      <c r="E1795" s="1" t="s">
        <v>17764</v>
      </c>
      <c r="F1795" s="1"/>
      <c r="G1795" s="1"/>
      <c r="H1795" s="1"/>
      <c r="I1795" s="1"/>
      <c r="J1795" s="1"/>
      <c r="K1795" s="1" t="s">
        <v>146</v>
      </c>
    </row>
    <row r="1796" ht="14.25" customHeight="1">
      <c r="A1796" s="3" t="s">
        <v>65</v>
      </c>
      <c r="B1796" s="1">
        <v>7.5</v>
      </c>
      <c r="C1796" s="1" t="s">
        <v>1270</v>
      </c>
      <c r="D1796" s="1" t="s">
        <v>917</v>
      </c>
      <c r="E1796" s="1" t="s">
        <v>17764</v>
      </c>
      <c r="F1796" s="1"/>
      <c r="G1796" s="1"/>
      <c r="H1796" s="1"/>
      <c r="I1796" s="1"/>
      <c r="J1796" s="1"/>
      <c r="K1796" s="1" t="s">
        <v>5515</v>
      </c>
    </row>
    <row r="1797" ht="14.25" customHeight="1">
      <c r="A1797" s="3" t="s">
        <v>65</v>
      </c>
      <c r="B1797" s="1">
        <v>5.3</v>
      </c>
      <c r="C1797" s="1" t="s">
        <v>1270</v>
      </c>
      <c r="D1797" s="1" t="s">
        <v>917</v>
      </c>
      <c r="E1797" s="1" t="s">
        <v>17764</v>
      </c>
      <c r="F1797" s="1"/>
      <c r="G1797" s="1"/>
      <c r="H1797" s="1"/>
      <c r="I1797" s="1"/>
      <c r="J1797" s="1"/>
      <c r="K1797" s="1" t="s">
        <v>8049</v>
      </c>
    </row>
    <row r="1798" ht="14.25" customHeight="1">
      <c r="A1798" s="3" t="s">
        <v>65</v>
      </c>
      <c r="B1798" s="1">
        <v>7.5</v>
      </c>
      <c r="C1798" s="1" t="s">
        <v>1270</v>
      </c>
      <c r="D1798" s="1" t="s">
        <v>917</v>
      </c>
      <c r="E1798" s="1" t="s">
        <v>17764</v>
      </c>
      <c r="F1798" s="1"/>
      <c r="G1798" s="1"/>
      <c r="H1798" s="1"/>
      <c r="I1798" s="1"/>
      <c r="J1798" s="1"/>
      <c r="K1798" s="1" t="s">
        <v>10668</v>
      </c>
    </row>
    <row r="1799" ht="14.25" customHeight="1">
      <c r="A1799" s="3" t="s">
        <v>65</v>
      </c>
      <c r="B1799" s="1">
        <v>3.3</v>
      </c>
      <c r="C1799" s="1" t="s">
        <v>1270</v>
      </c>
      <c r="D1799" s="1" t="s">
        <v>917</v>
      </c>
      <c r="E1799" s="1" t="s">
        <v>17764</v>
      </c>
      <c r="F1799" s="1"/>
      <c r="G1799" s="1"/>
      <c r="H1799" s="1"/>
      <c r="I1799" s="1"/>
      <c r="J1799" s="1"/>
      <c r="K1799" s="1" t="s">
        <v>10997</v>
      </c>
    </row>
    <row r="1800" ht="14.25" customHeight="1">
      <c r="A1800" s="3" t="s">
        <v>65</v>
      </c>
      <c r="B1800" s="1">
        <v>3.5</v>
      </c>
      <c r="C1800" s="1" t="s">
        <v>1270</v>
      </c>
      <c r="D1800" s="1" t="s">
        <v>917</v>
      </c>
      <c r="E1800" s="1" t="s">
        <v>17764</v>
      </c>
      <c r="F1800" s="1"/>
      <c r="G1800" s="1"/>
      <c r="H1800" s="1"/>
      <c r="I1800" s="1"/>
      <c r="J1800" s="1"/>
      <c r="K1800" s="1" t="s">
        <v>292</v>
      </c>
    </row>
    <row r="1801" ht="14.25" customHeight="1">
      <c r="A1801" s="3" t="s">
        <v>65</v>
      </c>
      <c r="B1801" s="1">
        <v>9.3</v>
      </c>
      <c r="C1801" s="1" t="s">
        <v>1270</v>
      </c>
      <c r="D1801" s="1" t="s">
        <v>917</v>
      </c>
      <c r="E1801" s="1" t="s">
        <v>17764</v>
      </c>
      <c r="F1801" s="1"/>
      <c r="G1801" s="1"/>
      <c r="H1801" s="1"/>
      <c r="I1801" s="1"/>
      <c r="J1801" s="1"/>
      <c r="K1801" s="1" t="s">
        <v>12575</v>
      </c>
    </row>
    <row r="1802" ht="14.25" customHeight="1">
      <c r="A1802" s="3" t="s">
        <v>65</v>
      </c>
      <c r="B1802" s="1">
        <v>4.8</v>
      </c>
      <c r="C1802" s="1" t="s">
        <v>1270</v>
      </c>
      <c r="D1802" s="1" t="s">
        <v>917</v>
      </c>
      <c r="E1802" s="1" t="s">
        <v>17764</v>
      </c>
      <c r="F1802" s="1"/>
      <c r="G1802" s="1"/>
      <c r="H1802" s="1"/>
      <c r="I1802" s="1"/>
      <c r="J1802" s="1"/>
      <c r="K1802" s="1" t="s">
        <v>14287</v>
      </c>
    </row>
    <row r="1803" ht="14.25" customHeight="1">
      <c r="A1803" s="3" t="s">
        <v>14136</v>
      </c>
      <c r="B1803" s="1">
        <v>6.9</v>
      </c>
      <c r="C1803" s="1" t="s">
        <v>1270</v>
      </c>
      <c r="D1803" s="1" t="s">
        <v>17757</v>
      </c>
      <c r="E1803" s="1" t="s">
        <v>17764</v>
      </c>
      <c r="F1803" s="1"/>
      <c r="G1803" s="1"/>
      <c r="H1803" s="1"/>
      <c r="I1803" s="1"/>
      <c r="J1803" s="1"/>
      <c r="K1803" s="1" t="s">
        <v>14135</v>
      </c>
    </row>
    <row r="1804" ht="14.25" customHeight="1">
      <c r="A1804" s="3" t="s">
        <v>1821</v>
      </c>
      <c r="B1804" s="1">
        <v>6.0</v>
      </c>
      <c r="C1804" s="1" t="s">
        <v>1270</v>
      </c>
      <c r="D1804" s="1" t="s">
        <v>1885</v>
      </c>
      <c r="E1804" s="1" t="s">
        <v>17764</v>
      </c>
      <c r="F1804" s="1"/>
      <c r="G1804" s="1"/>
      <c r="H1804" s="1"/>
      <c r="I1804" s="1"/>
      <c r="J1804" s="1"/>
      <c r="K1804" s="1" t="s">
        <v>1820</v>
      </c>
    </row>
    <row r="1805" ht="14.25" customHeight="1">
      <c r="A1805" s="3" t="s">
        <v>1821</v>
      </c>
      <c r="B1805" s="1">
        <v>7.3</v>
      </c>
      <c r="C1805" s="1" t="s">
        <v>1270</v>
      </c>
      <c r="D1805" s="1" t="s">
        <v>1885</v>
      </c>
      <c r="E1805" s="1" t="s">
        <v>17764</v>
      </c>
      <c r="F1805" s="1"/>
      <c r="G1805" s="1"/>
      <c r="H1805" s="1"/>
      <c r="I1805" s="1"/>
      <c r="J1805" s="1"/>
      <c r="K1805" s="1" t="s">
        <v>2666</v>
      </c>
    </row>
    <row r="1806" ht="14.25" customHeight="1">
      <c r="A1806" s="3" t="s">
        <v>1821</v>
      </c>
      <c r="B1806" s="1">
        <v>6.6</v>
      </c>
      <c r="C1806" s="1" t="s">
        <v>1270</v>
      </c>
      <c r="D1806" s="1" t="s">
        <v>1885</v>
      </c>
      <c r="E1806" s="1" t="s">
        <v>17764</v>
      </c>
      <c r="F1806" s="1"/>
      <c r="G1806" s="1"/>
      <c r="H1806" s="1"/>
      <c r="I1806" s="1"/>
      <c r="J1806" s="1"/>
      <c r="K1806" s="1" t="s">
        <v>3938</v>
      </c>
    </row>
    <row r="1807" ht="14.25" customHeight="1">
      <c r="A1807" s="3" t="s">
        <v>1821</v>
      </c>
      <c r="B1807" s="1">
        <v>7.5</v>
      </c>
      <c r="C1807" s="1" t="s">
        <v>1270</v>
      </c>
      <c r="D1807" s="1" t="s">
        <v>1885</v>
      </c>
      <c r="E1807" s="1" t="s">
        <v>17764</v>
      </c>
      <c r="F1807" s="1"/>
      <c r="G1807" s="1"/>
      <c r="H1807" s="1"/>
      <c r="I1807" s="1"/>
      <c r="J1807" s="1"/>
      <c r="K1807" s="1" t="s">
        <v>4471</v>
      </c>
    </row>
    <row r="1808" ht="14.25" customHeight="1">
      <c r="A1808" s="3" t="s">
        <v>1821</v>
      </c>
      <c r="B1808" s="1">
        <v>6.9</v>
      </c>
      <c r="C1808" s="1" t="s">
        <v>1270</v>
      </c>
      <c r="D1808" s="1" t="s">
        <v>1885</v>
      </c>
      <c r="E1808" s="1" t="s">
        <v>17764</v>
      </c>
      <c r="F1808" s="1"/>
      <c r="G1808" s="1"/>
      <c r="H1808" s="1"/>
      <c r="I1808" s="1"/>
      <c r="J1808" s="1"/>
      <c r="K1808" s="1" t="s">
        <v>6523</v>
      </c>
    </row>
    <row r="1809" ht="14.25" customHeight="1">
      <c r="A1809" s="3" t="s">
        <v>1821</v>
      </c>
      <c r="B1809" s="1">
        <v>6.8</v>
      </c>
      <c r="C1809" s="1" t="s">
        <v>1270</v>
      </c>
      <c r="D1809" s="1" t="s">
        <v>1885</v>
      </c>
      <c r="E1809" s="1" t="s">
        <v>17764</v>
      </c>
      <c r="F1809" s="1"/>
      <c r="G1809" s="1"/>
      <c r="H1809" s="1"/>
      <c r="I1809" s="1"/>
      <c r="J1809" s="1"/>
      <c r="K1809" s="1" t="s">
        <v>9203</v>
      </c>
    </row>
    <row r="1810" ht="14.25" customHeight="1">
      <c r="A1810" s="3" t="s">
        <v>1821</v>
      </c>
      <c r="B1810" s="1">
        <v>6.4</v>
      </c>
      <c r="C1810" s="1" t="s">
        <v>1270</v>
      </c>
      <c r="D1810" s="1" t="s">
        <v>1885</v>
      </c>
      <c r="E1810" s="1" t="s">
        <v>17764</v>
      </c>
      <c r="F1810" s="1"/>
      <c r="G1810" s="1"/>
      <c r="H1810" s="1"/>
      <c r="I1810" s="1"/>
      <c r="J1810" s="1"/>
      <c r="K1810" s="1" t="s">
        <v>10058</v>
      </c>
    </row>
    <row r="1811" ht="14.25" customHeight="1">
      <c r="A1811" s="3" t="s">
        <v>1821</v>
      </c>
      <c r="B1811" s="1">
        <v>5.6</v>
      </c>
      <c r="C1811" s="1" t="s">
        <v>1270</v>
      </c>
      <c r="D1811" s="1" t="s">
        <v>1885</v>
      </c>
      <c r="E1811" s="1" t="s">
        <v>17764</v>
      </c>
      <c r="F1811" s="1"/>
      <c r="G1811" s="1"/>
      <c r="H1811" s="1"/>
      <c r="I1811" s="1"/>
      <c r="J1811" s="1"/>
      <c r="K1811" s="1" t="s">
        <v>4471</v>
      </c>
    </row>
    <row r="1812" ht="14.25" customHeight="1">
      <c r="A1812" s="3" t="s">
        <v>1792</v>
      </c>
      <c r="B1812" s="1">
        <v>6.3</v>
      </c>
      <c r="C1812" s="1" t="s">
        <v>917</v>
      </c>
      <c r="D1812" s="1" t="s">
        <v>1885</v>
      </c>
      <c r="E1812" s="1" t="s">
        <v>17764</v>
      </c>
      <c r="F1812" s="1"/>
      <c r="G1812" s="1"/>
      <c r="H1812" s="1"/>
      <c r="I1812" s="1"/>
      <c r="J1812" s="1"/>
      <c r="K1812" s="1" t="s">
        <v>1791</v>
      </c>
    </row>
    <row r="1813" ht="14.25" customHeight="1">
      <c r="A1813" s="3" t="s">
        <v>1792</v>
      </c>
      <c r="B1813" s="1">
        <v>7.3</v>
      </c>
      <c r="C1813" s="1" t="s">
        <v>917</v>
      </c>
      <c r="D1813" s="1" t="s">
        <v>1885</v>
      </c>
      <c r="E1813" s="1" t="s">
        <v>17764</v>
      </c>
      <c r="F1813" s="1"/>
      <c r="G1813" s="1"/>
      <c r="H1813" s="1"/>
      <c r="I1813" s="1"/>
      <c r="J1813" s="1"/>
      <c r="K1813" s="1" t="s">
        <v>5391</v>
      </c>
    </row>
    <row r="1814" ht="14.25" customHeight="1">
      <c r="A1814" s="3" t="s">
        <v>1792</v>
      </c>
      <c r="B1814" s="1">
        <v>6.6</v>
      </c>
      <c r="C1814" s="1" t="s">
        <v>917</v>
      </c>
      <c r="D1814" s="1" t="s">
        <v>1885</v>
      </c>
      <c r="E1814" s="1" t="s">
        <v>17764</v>
      </c>
      <c r="F1814" s="1"/>
      <c r="G1814" s="1"/>
      <c r="H1814" s="1"/>
      <c r="I1814" s="1"/>
      <c r="J1814" s="1"/>
      <c r="K1814" s="1" t="s">
        <v>5463</v>
      </c>
    </row>
    <row r="1815" ht="14.25" customHeight="1">
      <c r="A1815" s="3" t="s">
        <v>1792</v>
      </c>
      <c r="B1815" s="1">
        <v>4.6</v>
      </c>
      <c r="C1815" s="1" t="s">
        <v>917</v>
      </c>
      <c r="D1815" s="1" t="s">
        <v>1885</v>
      </c>
      <c r="E1815" s="1" t="s">
        <v>17764</v>
      </c>
      <c r="F1815" s="1"/>
      <c r="G1815" s="1"/>
      <c r="H1815" s="1"/>
      <c r="I1815" s="1"/>
      <c r="J1815" s="1"/>
      <c r="K1815" s="1" t="s">
        <v>5867</v>
      </c>
    </row>
    <row r="1816" ht="14.25" customHeight="1">
      <c r="A1816" s="3" t="s">
        <v>1792</v>
      </c>
      <c r="B1816" s="1">
        <v>5.1</v>
      </c>
      <c r="C1816" s="1" t="s">
        <v>917</v>
      </c>
      <c r="D1816" s="1" t="s">
        <v>1885</v>
      </c>
      <c r="E1816" s="1" t="s">
        <v>17764</v>
      </c>
      <c r="F1816" s="1"/>
      <c r="G1816" s="1"/>
      <c r="H1816" s="1"/>
      <c r="I1816" s="1"/>
      <c r="J1816" s="1"/>
      <c r="K1816" s="1" t="s">
        <v>6156</v>
      </c>
    </row>
    <row r="1817" ht="14.25" customHeight="1">
      <c r="A1817" s="3" t="s">
        <v>1792</v>
      </c>
      <c r="B1817" s="1">
        <v>5.6</v>
      </c>
      <c r="C1817" s="1" t="s">
        <v>917</v>
      </c>
      <c r="D1817" s="1" t="s">
        <v>1885</v>
      </c>
      <c r="E1817" s="1" t="s">
        <v>17764</v>
      </c>
      <c r="F1817" s="1"/>
      <c r="G1817" s="1"/>
      <c r="H1817" s="1"/>
      <c r="I1817" s="1"/>
      <c r="J1817" s="1"/>
      <c r="K1817" s="1" t="s">
        <v>9267</v>
      </c>
    </row>
    <row r="1818" ht="14.25" customHeight="1">
      <c r="A1818" s="3" t="s">
        <v>1792</v>
      </c>
      <c r="B1818" s="1">
        <v>5.3</v>
      </c>
      <c r="C1818" s="1" t="s">
        <v>917</v>
      </c>
      <c r="D1818" s="1" t="s">
        <v>1885</v>
      </c>
      <c r="E1818" s="1" t="s">
        <v>17764</v>
      </c>
      <c r="F1818" s="1"/>
      <c r="G1818" s="1"/>
      <c r="H1818" s="1"/>
      <c r="I1818" s="1"/>
      <c r="J1818" s="1"/>
      <c r="K1818" s="1" t="s">
        <v>9495</v>
      </c>
    </row>
    <row r="1819" ht="14.25" customHeight="1">
      <c r="A1819" s="3" t="s">
        <v>1792</v>
      </c>
      <c r="B1819" s="1">
        <v>5.6</v>
      </c>
      <c r="C1819" s="1" t="s">
        <v>917</v>
      </c>
      <c r="D1819" s="1" t="s">
        <v>1885</v>
      </c>
      <c r="E1819" s="1" t="s">
        <v>17764</v>
      </c>
      <c r="F1819" s="1"/>
      <c r="G1819" s="1"/>
      <c r="H1819" s="1"/>
      <c r="I1819" s="1"/>
      <c r="J1819" s="1"/>
      <c r="K1819" s="1" t="s">
        <v>10549</v>
      </c>
    </row>
    <row r="1820" ht="14.25" customHeight="1">
      <c r="A1820" s="3" t="s">
        <v>1792</v>
      </c>
      <c r="B1820" s="1">
        <v>5.9</v>
      </c>
      <c r="C1820" s="1" t="s">
        <v>917</v>
      </c>
      <c r="D1820" s="1" t="s">
        <v>1885</v>
      </c>
      <c r="E1820" s="1" t="s">
        <v>17764</v>
      </c>
      <c r="F1820" s="1"/>
      <c r="G1820" s="1"/>
      <c r="H1820" s="1"/>
      <c r="I1820" s="1"/>
      <c r="J1820" s="1"/>
      <c r="K1820" s="1" t="s">
        <v>15895</v>
      </c>
    </row>
    <row r="1821" ht="14.25" customHeight="1">
      <c r="A1821" s="3" t="s">
        <v>11350</v>
      </c>
      <c r="B1821" s="1">
        <v>4.7</v>
      </c>
      <c r="C1821" s="1" t="s">
        <v>1270</v>
      </c>
      <c r="D1821" s="1" t="s">
        <v>17763</v>
      </c>
      <c r="E1821" s="1" t="s">
        <v>17764</v>
      </c>
      <c r="F1821" s="1"/>
      <c r="G1821" s="1"/>
      <c r="H1821" s="1"/>
      <c r="I1821" s="1"/>
      <c r="J1821" s="1"/>
      <c r="K1821" s="1" t="s">
        <v>11349</v>
      </c>
    </row>
    <row r="1822" ht="14.25" customHeight="1">
      <c r="A1822" s="3" t="s">
        <v>3005</v>
      </c>
      <c r="B1822" s="1">
        <v>4.8</v>
      </c>
      <c r="C1822" s="1" t="s">
        <v>1270</v>
      </c>
      <c r="D1822" s="1" t="s">
        <v>3238</v>
      </c>
      <c r="E1822" s="1" t="s">
        <v>17764</v>
      </c>
      <c r="F1822" s="1"/>
      <c r="G1822" s="1"/>
      <c r="H1822" s="1"/>
      <c r="I1822" s="1"/>
      <c r="J1822" s="1"/>
      <c r="K1822" s="1" t="s">
        <v>3004</v>
      </c>
    </row>
    <row r="1823" ht="14.25" customHeight="1">
      <c r="A1823" s="3" t="s">
        <v>636</v>
      </c>
      <c r="B1823" s="1">
        <v>6.8</v>
      </c>
      <c r="C1823" s="1" t="s">
        <v>917</v>
      </c>
      <c r="D1823" s="1" t="s">
        <v>3238</v>
      </c>
      <c r="E1823" s="1" t="s">
        <v>17764</v>
      </c>
      <c r="F1823" s="1"/>
      <c r="G1823" s="1"/>
      <c r="H1823" s="1"/>
      <c r="I1823" s="1"/>
      <c r="J1823" s="1"/>
      <c r="K1823" s="1" t="s">
        <v>635</v>
      </c>
    </row>
    <row r="1824" ht="14.25" customHeight="1">
      <c r="A1824" s="3" t="s">
        <v>636</v>
      </c>
      <c r="B1824" s="1">
        <v>5.4</v>
      </c>
      <c r="C1824" s="1" t="s">
        <v>917</v>
      </c>
      <c r="D1824" s="1" t="s">
        <v>3238</v>
      </c>
      <c r="E1824" s="1" t="s">
        <v>17764</v>
      </c>
      <c r="F1824" s="1"/>
      <c r="G1824" s="1"/>
      <c r="H1824" s="1"/>
      <c r="I1824" s="1"/>
      <c r="J1824" s="1"/>
      <c r="K1824" s="1" t="s">
        <v>1587</v>
      </c>
    </row>
    <row r="1825" ht="14.25" customHeight="1">
      <c r="A1825" s="3" t="s">
        <v>636</v>
      </c>
      <c r="B1825" s="1">
        <v>5.1</v>
      </c>
      <c r="C1825" s="1" t="s">
        <v>917</v>
      </c>
      <c r="D1825" s="1" t="s">
        <v>3238</v>
      </c>
      <c r="E1825" s="1" t="s">
        <v>17764</v>
      </c>
      <c r="F1825" s="1"/>
      <c r="G1825" s="1"/>
      <c r="H1825" s="1"/>
      <c r="I1825" s="1"/>
      <c r="J1825" s="1"/>
      <c r="K1825" s="1" t="s">
        <v>2104</v>
      </c>
    </row>
    <row r="1826" ht="14.25" customHeight="1">
      <c r="A1826" s="3" t="s">
        <v>636</v>
      </c>
      <c r="B1826" s="1">
        <v>7.0</v>
      </c>
      <c r="C1826" s="1" t="s">
        <v>917</v>
      </c>
      <c r="D1826" s="1" t="s">
        <v>3238</v>
      </c>
      <c r="E1826" s="1" t="s">
        <v>17764</v>
      </c>
      <c r="F1826" s="1"/>
      <c r="G1826" s="1"/>
      <c r="H1826" s="1"/>
      <c r="I1826" s="1"/>
      <c r="J1826" s="1"/>
      <c r="K1826" s="1" t="s">
        <v>12348</v>
      </c>
    </row>
    <row r="1827" ht="14.25" customHeight="1">
      <c r="A1827" s="3" t="s">
        <v>2172</v>
      </c>
      <c r="B1827" s="1">
        <v>4.0</v>
      </c>
      <c r="C1827" s="1" t="s">
        <v>1885</v>
      </c>
      <c r="D1827" s="1" t="s">
        <v>3238</v>
      </c>
      <c r="E1827" s="1" t="s">
        <v>17764</v>
      </c>
      <c r="F1827" s="1"/>
      <c r="G1827" s="1"/>
      <c r="H1827" s="1"/>
      <c r="I1827" s="1"/>
      <c r="J1827" s="1"/>
      <c r="K1827" s="1" t="s">
        <v>2171</v>
      </c>
    </row>
    <row r="1828" ht="14.25" customHeight="1">
      <c r="A1828" s="3" t="s">
        <v>2172</v>
      </c>
      <c r="B1828" s="1">
        <v>7.3</v>
      </c>
      <c r="C1828" s="1" t="s">
        <v>1885</v>
      </c>
      <c r="D1828" s="1" t="s">
        <v>3238</v>
      </c>
      <c r="E1828" s="1" t="s">
        <v>17764</v>
      </c>
      <c r="F1828" s="1"/>
      <c r="G1828" s="1"/>
      <c r="H1828" s="1"/>
      <c r="I1828" s="1"/>
      <c r="J1828" s="1"/>
      <c r="K1828" s="1" t="s">
        <v>3762</v>
      </c>
    </row>
    <row r="1829" ht="14.25" customHeight="1">
      <c r="A1829" s="3" t="s">
        <v>2172</v>
      </c>
      <c r="B1829" s="1">
        <v>6.8</v>
      </c>
      <c r="C1829" s="1" t="s">
        <v>1885</v>
      </c>
      <c r="D1829" s="1" t="s">
        <v>3238</v>
      </c>
      <c r="E1829" s="1" t="s">
        <v>17764</v>
      </c>
      <c r="F1829" s="1"/>
      <c r="G1829" s="1"/>
      <c r="H1829" s="1"/>
      <c r="I1829" s="1"/>
      <c r="J1829" s="1"/>
      <c r="K1829" s="1" t="s">
        <v>17018</v>
      </c>
    </row>
    <row r="1830" ht="14.25" customHeight="1">
      <c r="A1830" s="3" t="s">
        <v>12331</v>
      </c>
      <c r="B1830" s="1">
        <v>7.0</v>
      </c>
      <c r="C1830" s="1" t="s">
        <v>917</v>
      </c>
      <c r="D1830" s="1" t="s">
        <v>17758</v>
      </c>
      <c r="E1830" s="1" t="s">
        <v>17764</v>
      </c>
      <c r="F1830" s="1"/>
      <c r="G1830" s="1"/>
      <c r="H1830" s="1"/>
      <c r="I1830" s="1"/>
      <c r="J1830" s="1"/>
      <c r="K1830" s="1" t="s">
        <v>12330</v>
      </c>
    </row>
    <row r="1831" ht="14.25" customHeight="1">
      <c r="A1831" s="3" t="s">
        <v>2540</v>
      </c>
      <c r="B1831" s="1">
        <v>7.1</v>
      </c>
      <c r="C1831" s="1" t="s">
        <v>1885</v>
      </c>
      <c r="D1831" s="1" t="s">
        <v>17758</v>
      </c>
      <c r="E1831" s="1" t="s">
        <v>17764</v>
      </c>
      <c r="F1831" s="1"/>
      <c r="G1831" s="1"/>
      <c r="H1831" s="1"/>
      <c r="I1831" s="1"/>
      <c r="J1831" s="1"/>
      <c r="K1831" s="1" t="s">
        <v>2539</v>
      </c>
    </row>
    <row r="1832" ht="14.25" customHeight="1">
      <c r="A1832" s="3" t="s">
        <v>2540</v>
      </c>
      <c r="B1832" s="1">
        <v>6.9</v>
      </c>
      <c r="C1832" s="1" t="s">
        <v>1885</v>
      </c>
      <c r="D1832" s="1" t="s">
        <v>17758</v>
      </c>
      <c r="E1832" s="1" t="s">
        <v>17764</v>
      </c>
      <c r="F1832" s="1"/>
      <c r="G1832" s="1"/>
      <c r="H1832" s="1"/>
      <c r="I1832" s="1"/>
      <c r="J1832" s="1"/>
      <c r="K1832" s="1" t="s">
        <v>4023</v>
      </c>
    </row>
    <row r="1833" ht="14.25" customHeight="1">
      <c r="A1833" s="3" t="s">
        <v>2540</v>
      </c>
      <c r="B1833" s="1">
        <v>7.3</v>
      </c>
      <c r="C1833" s="1" t="s">
        <v>1885</v>
      </c>
      <c r="D1833" s="1" t="s">
        <v>17758</v>
      </c>
      <c r="E1833" s="1" t="s">
        <v>17764</v>
      </c>
      <c r="F1833" s="1"/>
      <c r="G1833" s="1"/>
      <c r="H1833" s="1"/>
      <c r="I1833" s="1"/>
      <c r="J1833" s="1"/>
      <c r="K1833" s="1" t="s">
        <v>10328</v>
      </c>
    </row>
    <row r="1834" ht="14.25" customHeight="1">
      <c r="A1834" s="3" t="s">
        <v>6430</v>
      </c>
      <c r="B1834" s="1">
        <v>8.2</v>
      </c>
      <c r="C1834" s="1" t="s">
        <v>1885</v>
      </c>
      <c r="D1834" s="1" t="s">
        <v>17759</v>
      </c>
      <c r="E1834" s="1" t="s">
        <v>17764</v>
      </c>
      <c r="F1834" s="1"/>
      <c r="G1834" s="1"/>
      <c r="H1834" s="1"/>
      <c r="I1834" s="1"/>
      <c r="J1834" s="1"/>
      <c r="K1834" s="1" t="s">
        <v>6429</v>
      </c>
    </row>
    <row r="1835" ht="14.25" customHeight="1">
      <c r="A1835" s="3" t="s">
        <v>6430</v>
      </c>
      <c r="B1835" s="1">
        <v>7.1</v>
      </c>
      <c r="C1835" s="1" t="s">
        <v>1885</v>
      </c>
      <c r="D1835" s="1" t="s">
        <v>17759</v>
      </c>
      <c r="E1835" s="1" t="s">
        <v>17764</v>
      </c>
      <c r="F1835" s="1"/>
      <c r="G1835" s="1"/>
      <c r="H1835" s="1"/>
      <c r="I1835" s="1"/>
      <c r="J1835" s="1"/>
      <c r="K1835" s="1" t="s">
        <v>14425</v>
      </c>
    </row>
    <row r="1836" ht="14.25" customHeight="1">
      <c r="A1836" s="3" t="s">
        <v>17079</v>
      </c>
      <c r="B1836" s="1">
        <v>7.7</v>
      </c>
      <c r="C1836" s="1" t="s">
        <v>3238</v>
      </c>
      <c r="D1836" s="1" t="s">
        <v>17759</v>
      </c>
      <c r="E1836" s="1" t="s">
        <v>17764</v>
      </c>
      <c r="F1836" s="1"/>
      <c r="G1836" s="1"/>
      <c r="H1836" s="1"/>
      <c r="I1836" s="1"/>
      <c r="J1836" s="1"/>
      <c r="K1836" s="1" t="s">
        <v>17078</v>
      </c>
    </row>
    <row r="1837" ht="14.25" customHeight="1">
      <c r="A1837" s="3" t="s">
        <v>3966</v>
      </c>
      <c r="B1837" s="1">
        <v>6.5</v>
      </c>
      <c r="C1837" s="1" t="s">
        <v>1270</v>
      </c>
      <c r="D1837" s="1" t="s">
        <v>6019</v>
      </c>
      <c r="E1837" s="1" t="s">
        <v>17764</v>
      </c>
      <c r="F1837" s="1"/>
      <c r="G1837" s="1"/>
      <c r="H1837" s="1"/>
      <c r="I1837" s="1"/>
      <c r="J1837" s="1"/>
      <c r="K1837" s="1" t="s">
        <v>3965</v>
      </c>
    </row>
    <row r="1838" ht="14.25" customHeight="1">
      <c r="A1838" s="3" t="s">
        <v>3966</v>
      </c>
      <c r="B1838" s="1">
        <v>4.9</v>
      </c>
      <c r="C1838" s="1" t="s">
        <v>1270</v>
      </c>
      <c r="D1838" s="1" t="s">
        <v>6019</v>
      </c>
      <c r="E1838" s="1" t="s">
        <v>17764</v>
      </c>
      <c r="F1838" s="1"/>
      <c r="G1838" s="1"/>
      <c r="H1838" s="1"/>
      <c r="I1838" s="1"/>
      <c r="J1838" s="1"/>
      <c r="K1838" s="1" t="s">
        <v>4440</v>
      </c>
    </row>
    <row r="1839" ht="14.25" customHeight="1">
      <c r="A1839" s="3" t="s">
        <v>3966</v>
      </c>
      <c r="B1839" s="1">
        <v>6.4</v>
      </c>
      <c r="C1839" s="1" t="s">
        <v>1270</v>
      </c>
      <c r="D1839" s="1" t="s">
        <v>6019</v>
      </c>
      <c r="E1839" s="1" t="s">
        <v>17764</v>
      </c>
      <c r="F1839" s="1"/>
      <c r="G1839" s="1"/>
      <c r="H1839" s="1"/>
      <c r="I1839" s="1"/>
      <c r="J1839" s="1"/>
      <c r="K1839" s="1" t="s">
        <v>6953</v>
      </c>
    </row>
    <row r="1840" ht="14.25" customHeight="1">
      <c r="A1840" s="3" t="s">
        <v>3966</v>
      </c>
      <c r="B1840" s="1">
        <v>5.9</v>
      </c>
      <c r="C1840" s="1" t="s">
        <v>1270</v>
      </c>
      <c r="D1840" s="1" t="s">
        <v>6019</v>
      </c>
      <c r="E1840" s="1" t="s">
        <v>17764</v>
      </c>
      <c r="F1840" s="1"/>
      <c r="G1840" s="1"/>
      <c r="H1840" s="1"/>
      <c r="I1840" s="1"/>
      <c r="J1840" s="1"/>
      <c r="K1840" s="1" t="s">
        <v>7032</v>
      </c>
    </row>
    <row r="1841" ht="14.25" customHeight="1">
      <c r="A1841" s="3" t="s">
        <v>3966</v>
      </c>
      <c r="B1841" s="1">
        <v>6.2</v>
      </c>
      <c r="C1841" s="1" t="s">
        <v>1270</v>
      </c>
      <c r="D1841" s="1" t="s">
        <v>6019</v>
      </c>
      <c r="E1841" s="1" t="s">
        <v>17764</v>
      </c>
      <c r="F1841" s="1"/>
      <c r="G1841" s="1"/>
      <c r="H1841" s="1"/>
      <c r="I1841" s="1"/>
      <c r="J1841" s="1"/>
      <c r="K1841" s="1" t="s">
        <v>8369</v>
      </c>
    </row>
    <row r="1842" ht="14.25" customHeight="1">
      <c r="A1842" s="3" t="s">
        <v>3966</v>
      </c>
      <c r="B1842" s="1">
        <v>5.8</v>
      </c>
      <c r="C1842" s="1" t="s">
        <v>1270</v>
      </c>
      <c r="D1842" s="1" t="s">
        <v>6019</v>
      </c>
      <c r="E1842" s="1" t="s">
        <v>17764</v>
      </c>
      <c r="F1842" s="1"/>
      <c r="G1842" s="1"/>
      <c r="H1842" s="1"/>
      <c r="I1842" s="1"/>
      <c r="J1842" s="1"/>
      <c r="K1842" s="1" t="s">
        <v>10708</v>
      </c>
    </row>
    <row r="1843" ht="14.25" customHeight="1">
      <c r="A1843" s="3" t="s">
        <v>17547</v>
      </c>
      <c r="B1843" s="1">
        <v>6.7</v>
      </c>
      <c r="C1843" s="1" t="s">
        <v>917</v>
      </c>
      <c r="D1843" s="1" t="s">
        <v>6019</v>
      </c>
      <c r="E1843" s="1" t="s">
        <v>17764</v>
      </c>
      <c r="F1843" s="1"/>
      <c r="G1843" s="1"/>
      <c r="H1843" s="1"/>
      <c r="I1843" s="1"/>
      <c r="J1843" s="1"/>
      <c r="K1843" s="1" t="s">
        <v>17546</v>
      </c>
    </row>
    <row r="1844" ht="14.25" customHeight="1">
      <c r="A1844" s="3" t="s">
        <v>11406</v>
      </c>
      <c r="B1844" s="1">
        <v>5.9</v>
      </c>
      <c r="C1844" s="1" t="s">
        <v>1885</v>
      </c>
      <c r="D1844" s="1" t="s">
        <v>6019</v>
      </c>
      <c r="E1844" s="1" t="s">
        <v>17764</v>
      </c>
      <c r="F1844" s="1"/>
      <c r="G1844" s="1"/>
      <c r="H1844" s="1"/>
      <c r="I1844" s="1"/>
      <c r="J1844" s="1"/>
      <c r="K1844" s="1" t="s">
        <v>11405</v>
      </c>
    </row>
    <row r="1845" ht="14.25" customHeight="1">
      <c r="A1845" s="3" t="s">
        <v>11406</v>
      </c>
      <c r="B1845" s="1">
        <v>7.3</v>
      </c>
      <c r="C1845" s="1" t="s">
        <v>1885</v>
      </c>
      <c r="D1845" s="1" t="s">
        <v>6019</v>
      </c>
      <c r="E1845" s="1" t="s">
        <v>17764</v>
      </c>
      <c r="F1845" s="1"/>
      <c r="G1845" s="1"/>
      <c r="H1845" s="1"/>
      <c r="I1845" s="1"/>
      <c r="J1845" s="1"/>
      <c r="K1845" s="1" t="s">
        <v>13325</v>
      </c>
    </row>
    <row r="1846" ht="14.25" customHeight="1">
      <c r="A1846" s="3" t="s">
        <v>11406</v>
      </c>
      <c r="B1846" s="1">
        <v>4.1</v>
      </c>
      <c r="C1846" s="1" t="s">
        <v>1885</v>
      </c>
      <c r="D1846" s="1" t="s">
        <v>6019</v>
      </c>
      <c r="E1846" s="1" t="s">
        <v>17764</v>
      </c>
      <c r="F1846" s="1"/>
      <c r="G1846" s="1"/>
      <c r="H1846" s="1"/>
      <c r="I1846" s="1"/>
      <c r="J1846" s="1"/>
      <c r="K1846" s="1" t="s">
        <v>17636</v>
      </c>
    </row>
    <row r="1847" ht="14.25" customHeight="1">
      <c r="A1847" s="3" t="s">
        <v>745</v>
      </c>
      <c r="B1847" s="1">
        <v>4.9</v>
      </c>
      <c r="C1847" s="1" t="s">
        <v>3238</v>
      </c>
      <c r="D1847" s="1" t="s">
        <v>6019</v>
      </c>
      <c r="E1847" s="1" t="s">
        <v>17764</v>
      </c>
      <c r="F1847" s="1"/>
      <c r="G1847" s="1"/>
      <c r="H1847" s="1"/>
      <c r="I1847" s="1"/>
      <c r="J1847" s="1"/>
      <c r="K1847" s="1" t="s">
        <v>744</v>
      </c>
    </row>
    <row r="1848" ht="14.25" customHeight="1">
      <c r="A1848" s="3" t="s">
        <v>745</v>
      </c>
      <c r="B1848" s="1">
        <v>7.9</v>
      </c>
      <c r="C1848" s="1" t="s">
        <v>3238</v>
      </c>
      <c r="D1848" s="1" t="s">
        <v>6019</v>
      </c>
      <c r="E1848" s="1" t="s">
        <v>17764</v>
      </c>
      <c r="F1848" s="1"/>
      <c r="G1848" s="1"/>
      <c r="H1848" s="1"/>
      <c r="I1848" s="1"/>
      <c r="J1848" s="1"/>
      <c r="K1848" s="1" t="s">
        <v>8005</v>
      </c>
    </row>
    <row r="1849" ht="14.25" customHeight="1">
      <c r="A1849" s="3" t="s">
        <v>745</v>
      </c>
      <c r="B1849" s="1">
        <v>5.6</v>
      </c>
      <c r="C1849" s="1" t="s">
        <v>3238</v>
      </c>
      <c r="D1849" s="1" t="s">
        <v>6019</v>
      </c>
      <c r="E1849" s="1" t="s">
        <v>17764</v>
      </c>
      <c r="F1849" s="1"/>
      <c r="G1849" s="1"/>
      <c r="H1849" s="1"/>
      <c r="I1849" s="1"/>
      <c r="J1849" s="1"/>
      <c r="K1849" s="1" t="s">
        <v>11603</v>
      </c>
    </row>
    <row r="1850" ht="14.25" customHeight="1">
      <c r="A1850" s="3" t="s">
        <v>745</v>
      </c>
      <c r="B1850" s="1">
        <v>5.2</v>
      </c>
      <c r="C1850" s="1" t="s">
        <v>3238</v>
      </c>
      <c r="D1850" s="1" t="s">
        <v>6019</v>
      </c>
      <c r="E1850" s="1" t="s">
        <v>17764</v>
      </c>
      <c r="F1850" s="1"/>
      <c r="G1850" s="1"/>
      <c r="H1850" s="1"/>
      <c r="I1850" s="1"/>
      <c r="J1850" s="1"/>
      <c r="K1850" s="1" t="s">
        <v>15634</v>
      </c>
    </row>
    <row r="1851" ht="14.25" customHeight="1">
      <c r="A1851" s="3" t="s">
        <v>13246</v>
      </c>
      <c r="B1851" s="1">
        <v>4.1</v>
      </c>
      <c r="C1851" s="1" t="s">
        <v>17759</v>
      </c>
      <c r="D1851" s="1" t="s">
        <v>6019</v>
      </c>
      <c r="E1851" s="1" t="s">
        <v>17764</v>
      </c>
      <c r="F1851" s="1"/>
      <c r="G1851" s="1"/>
      <c r="H1851" s="1"/>
      <c r="I1851" s="1"/>
      <c r="J1851" s="1"/>
      <c r="K1851" s="1" t="s">
        <v>13245</v>
      </c>
    </row>
    <row r="1852" ht="14.25" customHeight="1">
      <c r="A1852" s="3" t="s">
        <v>13898</v>
      </c>
      <c r="B1852" s="1">
        <v>6.6</v>
      </c>
      <c r="C1852" s="1" t="s">
        <v>6019</v>
      </c>
      <c r="D1852" s="1" t="s">
        <v>17760</v>
      </c>
      <c r="E1852" s="1" t="s">
        <v>17764</v>
      </c>
      <c r="F1852" s="1"/>
      <c r="G1852" s="1"/>
      <c r="H1852" s="1"/>
      <c r="I1852" s="1"/>
      <c r="J1852" s="1"/>
      <c r="K1852" s="1" t="s">
        <v>13897</v>
      </c>
    </row>
    <row r="1853" ht="14.25" customHeight="1">
      <c r="A1853" s="3" t="s">
        <v>1325</v>
      </c>
      <c r="B1853" s="1">
        <v>2.9</v>
      </c>
      <c r="C1853" s="1" t="s">
        <v>917</v>
      </c>
      <c r="D1853" s="1" t="s">
        <v>17761</v>
      </c>
      <c r="E1853" s="1" t="s">
        <v>17764</v>
      </c>
      <c r="F1853" s="1"/>
      <c r="G1853" s="1"/>
      <c r="H1853" s="1"/>
      <c r="I1853" s="1"/>
      <c r="J1853" s="1"/>
      <c r="K1853" s="1" t="s">
        <v>1324</v>
      </c>
    </row>
    <row r="1854" ht="14.25" customHeight="1">
      <c r="A1854" s="3" t="s">
        <v>1325</v>
      </c>
      <c r="B1854" s="1">
        <v>6.5</v>
      </c>
      <c r="C1854" s="1" t="s">
        <v>917</v>
      </c>
      <c r="D1854" s="1" t="s">
        <v>17761</v>
      </c>
      <c r="E1854" s="1" t="s">
        <v>17764</v>
      </c>
      <c r="F1854" s="1"/>
      <c r="G1854" s="1"/>
      <c r="H1854" s="1"/>
      <c r="I1854" s="1"/>
      <c r="J1854" s="1"/>
      <c r="K1854" s="1" t="s">
        <v>2302</v>
      </c>
    </row>
    <row r="1855" ht="14.25" customHeight="1">
      <c r="A1855" s="3" t="s">
        <v>1325</v>
      </c>
      <c r="B1855" s="1">
        <v>7.2</v>
      </c>
      <c r="C1855" s="1" t="s">
        <v>917</v>
      </c>
      <c r="D1855" s="1" t="s">
        <v>17761</v>
      </c>
      <c r="E1855" s="1" t="s">
        <v>17764</v>
      </c>
      <c r="F1855" s="1"/>
      <c r="G1855" s="1"/>
      <c r="H1855" s="1"/>
      <c r="I1855" s="1"/>
      <c r="J1855" s="1"/>
      <c r="K1855" s="1" t="s">
        <v>6834</v>
      </c>
    </row>
    <row r="1856" ht="14.25" customHeight="1">
      <c r="A1856" s="3" t="s">
        <v>1325</v>
      </c>
      <c r="B1856" s="1">
        <v>6.8</v>
      </c>
      <c r="C1856" s="1" t="s">
        <v>917</v>
      </c>
      <c r="D1856" s="1" t="s">
        <v>17761</v>
      </c>
      <c r="E1856" s="1" t="s">
        <v>17764</v>
      </c>
      <c r="F1856" s="1"/>
      <c r="G1856" s="1"/>
      <c r="H1856" s="1"/>
      <c r="I1856" s="1"/>
      <c r="J1856" s="1"/>
      <c r="K1856" s="1" t="s">
        <v>13107</v>
      </c>
    </row>
    <row r="1857" ht="14.25" customHeight="1">
      <c r="A1857" s="3" t="s">
        <v>5243</v>
      </c>
      <c r="B1857" s="1">
        <v>7.8</v>
      </c>
      <c r="C1857" s="1" t="s">
        <v>3238</v>
      </c>
      <c r="D1857" s="1" t="s">
        <v>17761</v>
      </c>
      <c r="E1857" s="1" t="s">
        <v>17764</v>
      </c>
      <c r="F1857" s="1"/>
      <c r="G1857" s="1"/>
      <c r="H1857" s="1"/>
      <c r="I1857" s="1"/>
      <c r="J1857" s="1"/>
      <c r="K1857" s="1" t="s">
        <v>5242</v>
      </c>
    </row>
    <row r="1858" ht="14.25" customHeight="1">
      <c r="A1858" s="3" t="s">
        <v>5243</v>
      </c>
      <c r="B1858" s="1">
        <v>6.7</v>
      </c>
      <c r="C1858" s="1" t="s">
        <v>3238</v>
      </c>
      <c r="D1858" s="1" t="s">
        <v>17761</v>
      </c>
      <c r="E1858" s="1" t="s">
        <v>17764</v>
      </c>
      <c r="F1858" s="1"/>
      <c r="G1858" s="1"/>
      <c r="H1858" s="1"/>
      <c r="I1858" s="1"/>
      <c r="J1858" s="1"/>
      <c r="K1858" s="1" t="s">
        <v>13483</v>
      </c>
    </row>
    <row r="1859" ht="14.25" customHeight="1">
      <c r="A1859" s="3" t="s">
        <v>5243</v>
      </c>
      <c r="B1859" s="1">
        <v>7.1</v>
      </c>
      <c r="C1859" s="1" t="s">
        <v>3238</v>
      </c>
      <c r="D1859" s="1" t="s">
        <v>17761</v>
      </c>
      <c r="E1859" s="1" t="s">
        <v>17764</v>
      </c>
      <c r="F1859" s="1"/>
      <c r="G1859" s="1"/>
      <c r="H1859" s="1"/>
      <c r="I1859" s="1"/>
      <c r="J1859" s="1"/>
      <c r="K1859" s="1" t="s">
        <v>15213</v>
      </c>
    </row>
    <row r="1860" ht="14.25" customHeight="1">
      <c r="A1860" s="3" t="s">
        <v>6618</v>
      </c>
      <c r="B1860" s="1">
        <v>5.7</v>
      </c>
      <c r="C1860" s="1" t="s">
        <v>6019</v>
      </c>
      <c r="D1860" s="1" t="s">
        <v>17761</v>
      </c>
      <c r="E1860" s="1" t="s">
        <v>17764</v>
      </c>
      <c r="F1860" s="1"/>
      <c r="G1860" s="1"/>
      <c r="H1860" s="1"/>
      <c r="I1860" s="1"/>
      <c r="J1860" s="1"/>
      <c r="K1860" s="1" t="s">
        <v>6617</v>
      </c>
    </row>
    <row r="1861" ht="14.25" customHeight="1">
      <c r="A1861" s="3" t="s">
        <v>6618</v>
      </c>
      <c r="B1861" s="1">
        <v>5.3</v>
      </c>
      <c r="C1861" s="1" t="s">
        <v>6019</v>
      </c>
      <c r="D1861" s="1" t="s">
        <v>17761</v>
      </c>
      <c r="E1861" s="1" t="s">
        <v>17764</v>
      </c>
      <c r="F1861" s="1"/>
      <c r="G1861" s="1"/>
      <c r="H1861" s="1"/>
      <c r="I1861" s="1"/>
      <c r="J1861" s="1"/>
      <c r="K1861" s="1" t="s">
        <v>11527</v>
      </c>
    </row>
    <row r="1862" ht="14.25" customHeight="1">
      <c r="A1862" s="3" t="s">
        <v>6618</v>
      </c>
      <c r="B1862" s="1">
        <v>7.7</v>
      </c>
      <c r="C1862" s="1" t="s">
        <v>6019</v>
      </c>
      <c r="D1862" s="1" t="s">
        <v>17761</v>
      </c>
      <c r="E1862" s="1" t="s">
        <v>17764</v>
      </c>
      <c r="F1862" s="1"/>
      <c r="G1862" s="1"/>
      <c r="H1862" s="1"/>
      <c r="I1862" s="1"/>
      <c r="J1862" s="1"/>
      <c r="K1862" s="1" t="s">
        <v>16129</v>
      </c>
    </row>
    <row r="1863" ht="14.25" customHeight="1">
      <c r="A1863" s="3" t="s">
        <v>2370</v>
      </c>
      <c r="B1863" s="1">
        <v>6.1</v>
      </c>
      <c r="C1863" s="1" t="s">
        <v>1885</v>
      </c>
      <c r="D1863" s="1" t="s">
        <v>17762</v>
      </c>
      <c r="E1863" s="1" t="s">
        <v>17764</v>
      </c>
      <c r="F1863" s="1"/>
      <c r="G1863" s="1"/>
      <c r="H1863" s="1"/>
      <c r="I1863" s="1"/>
      <c r="J1863" s="1"/>
      <c r="K1863" s="1" t="s">
        <v>2369</v>
      </c>
    </row>
    <row r="1864" ht="14.25" customHeight="1">
      <c r="A1864" s="3" t="s">
        <v>2370</v>
      </c>
      <c r="B1864" s="1">
        <v>7.3</v>
      </c>
      <c r="C1864" s="1" t="s">
        <v>1885</v>
      </c>
      <c r="D1864" s="1" t="s">
        <v>17762</v>
      </c>
      <c r="E1864" s="1" t="s">
        <v>17764</v>
      </c>
      <c r="F1864" s="1"/>
      <c r="G1864" s="1"/>
      <c r="H1864" s="1"/>
      <c r="I1864" s="1"/>
      <c r="J1864" s="1"/>
      <c r="K1864" s="1" t="s">
        <v>4333</v>
      </c>
    </row>
    <row r="1865" ht="14.25" customHeight="1">
      <c r="A1865" s="3" t="s">
        <v>2370</v>
      </c>
      <c r="B1865" s="1">
        <v>7.2</v>
      </c>
      <c r="C1865" s="1" t="s">
        <v>1885</v>
      </c>
      <c r="D1865" s="1" t="s">
        <v>17762</v>
      </c>
      <c r="E1865" s="1" t="s">
        <v>17764</v>
      </c>
      <c r="F1865" s="1"/>
      <c r="G1865" s="1"/>
      <c r="H1865" s="1"/>
      <c r="I1865" s="1"/>
      <c r="J1865" s="1"/>
      <c r="K1865" s="1" t="s">
        <v>5543</v>
      </c>
    </row>
    <row r="1866" ht="14.25" customHeight="1">
      <c r="A1866" s="3" t="s">
        <v>2370</v>
      </c>
      <c r="B1866" s="1">
        <v>5.3</v>
      </c>
      <c r="C1866" s="1" t="s">
        <v>1885</v>
      </c>
      <c r="D1866" s="1" t="s">
        <v>17762</v>
      </c>
      <c r="E1866" s="1" t="s">
        <v>17764</v>
      </c>
      <c r="F1866" s="1"/>
      <c r="G1866" s="1"/>
      <c r="H1866" s="1"/>
      <c r="I1866" s="1"/>
      <c r="J1866" s="1"/>
      <c r="K1866" s="1" t="s">
        <v>7935</v>
      </c>
    </row>
    <row r="1867" ht="14.25" customHeight="1">
      <c r="A1867" s="3" t="s">
        <v>2370</v>
      </c>
      <c r="B1867" s="1">
        <v>6.1</v>
      </c>
      <c r="C1867" s="1" t="s">
        <v>1885</v>
      </c>
      <c r="D1867" s="1" t="s">
        <v>17762</v>
      </c>
      <c r="E1867" s="1" t="s">
        <v>17764</v>
      </c>
      <c r="F1867" s="1"/>
      <c r="G1867" s="1"/>
      <c r="H1867" s="1"/>
      <c r="I1867" s="1"/>
      <c r="J1867" s="1"/>
      <c r="K1867" s="1" t="s">
        <v>11316</v>
      </c>
    </row>
    <row r="1868" ht="14.25" customHeight="1">
      <c r="A1868" s="3" t="s">
        <v>8891</v>
      </c>
      <c r="B1868" s="1">
        <v>5.8</v>
      </c>
      <c r="C1868" s="1" t="s">
        <v>3238</v>
      </c>
      <c r="D1868" s="1" t="s">
        <v>17762</v>
      </c>
      <c r="E1868" s="1" t="s">
        <v>17764</v>
      </c>
      <c r="F1868" s="1"/>
      <c r="G1868" s="1"/>
      <c r="H1868" s="1"/>
      <c r="I1868" s="1"/>
      <c r="J1868" s="1"/>
      <c r="K1868" s="1" t="s">
        <v>8890</v>
      </c>
    </row>
    <row r="1869" ht="14.25" customHeight="1">
      <c r="A1869" s="3" t="s">
        <v>8891</v>
      </c>
      <c r="B1869" s="1">
        <v>5.7</v>
      </c>
      <c r="C1869" s="1" t="s">
        <v>3238</v>
      </c>
      <c r="D1869" s="1" t="s">
        <v>17762</v>
      </c>
      <c r="E1869" s="1" t="s">
        <v>17764</v>
      </c>
      <c r="F1869" s="1"/>
      <c r="G1869" s="1"/>
      <c r="H1869" s="1"/>
      <c r="I1869" s="1"/>
      <c r="J1869" s="1"/>
      <c r="K1869" s="1" t="s">
        <v>9416</v>
      </c>
    </row>
    <row r="1870" ht="14.25" customHeight="1">
      <c r="A1870" s="3" t="s">
        <v>8891</v>
      </c>
      <c r="B1870" s="1">
        <v>6.7</v>
      </c>
      <c r="C1870" s="1" t="s">
        <v>3238</v>
      </c>
      <c r="D1870" s="1" t="s">
        <v>17762</v>
      </c>
      <c r="E1870" s="1" t="s">
        <v>17764</v>
      </c>
      <c r="F1870" s="1"/>
      <c r="G1870" s="1"/>
      <c r="H1870" s="1"/>
      <c r="I1870" s="1"/>
      <c r="J1870" s="1"/>
      <c r="K1870" s="1" t="s">
        <v>11894</v>
      </c>
    </row>
    <row r="1871" ht="14.25" customHeight="1">
      <c r="A1871" s="3" t="s">
        <v>8891</v>
      </c>
      <c r="B1871" s="1">
        <v>6.5</v>
      </c>
      <c r="C1871" s="1" t="s">
        <v>3238</v>
      </c>
      <c r="D1871" s="1" t="s">
        <v>17762</v>
      </c>
      <c r="E1871" s="1" t="s">
        <v>17764</v>
      </c>
      <c r="F1871" s="1"/>
      <c r="G1871" s="1"/>
      <c r="H1871" s="1"/>
      <c r="I1871" s="1"/>
      <c r="J1871" s="1"/>
      <c r="K1871" s="1">
        <v>2046.0</v>
      </c>
    </row>
    <row r="1872" ht="14.25" customHeight="1">
      <c r="A1872" s="3" t="s">
        <v>8891</v>
      </c>
      <c r="B1872" s="1">
        <v>7.2</v>
      </c>
      <c r="C1872" s="1" t="s">
        <v>3238</v>
      </c>
      <c r="D1872" s="1" t="s">
        <v>17762</v>
      </c>
      <c r="E1872" s="1" t="s">
        <v>17764</v>
      </c>
      <c r="F1872" s="1"/>
      <c r="G1872" s="1"/>
      <c r="H1872" s="1"/>
      <c r="I1872" s="1"/>
      <c r="J1872" s="1"/>
      <c r="K1872" s="1" t="s">
        <v>17590</v>
      </c>
    </row>
    <row r="1873" ht="14.25" customHeight="1">
      <c r="A1873" s="3" t="s">
        <v>3063</v>
      </c>
      <c r="B1873" s="1">
        <v>7.6</v>
      </c>
      <c r="C1873" s="1" t="s">
        <v>1270</v>
      </c>
      <c r="D1873" s="1" t="s">
        <v>1885</v>
      </c>
      <c r="E1873" s="1" t="s">
        <v>17773</v>
      </c>
      <c r="F1873" s="1"/>
      <c r="G1873" s="1"/>
      <c r="H1873" s="1"/>
      <c r="I1873" s="1"/>
      <c r="J1873" s="1"/>
      <c r="K1873" s="1" t="s">
        <v>3062</v>
      </c>
    </row>
    <row r="1874" ht="14.25" customHeight="1">
      <c r="A1874" s="3" t="s">
        <v>3063</v>
      </c>
      <c r="B1874" s="1">
        <v>4.6</v>
      </c>
      <c r="C1874" s="1" t="s">
        <v>1270</v>
      </c>
      <c r="D1874" s="1" t="s">
        <v>1885</v>
      </c>
      <c r="E1874" s="1" t="s">
        <v>17773</v>
      </c>
      <c r="F1874" s="1"/>
      <c r="G1874" s="1"/>
      <c r="H1874" s="1"/>
      <c r="I1874" s="1"/>
      <c r="J1874" s="1"/>
      <c r="K1874" s="1" t="s">
        <v>5743</v>
      </c>
    </row>
    <row r="1875" ht="14.25" customHeight="1">
      <c r="A1875" s="3" t="s">
        <v>3063</v>
      </c>
      <c r="B1875" s="1">
        <v>6.9</v>
      </c>
      <c r="C1875" s="1" t="s">
        <v>1270</v>
      </c>
      <c r="D1875" s="1" t="s">
        <v>1885</v>
      </c>
      <c r="E1875" s="1" t="s">
        <v>17773</v>
      </c>
      <c r="F1875" s="1"/>
      <c r="G1875" s="1"/>
      <c r="H1875" s="1"/>
      <c r="I1875" s="1"/>
      <c r="J1875" s="1"/>
      <c r="K1875" s="1" t="s">
        <v>13587</v>
      </c>
    </row>
    <row r="1876" ht="14.25" customHeight="1">
      <c r="A1876" s="3" t="s">
        <v>16783</v>
      </c>
      <c r="B1876" s="1">
        <v>6.6</v>
      </c>
      <c r="C1876" s="1" t="s">
        <v>917</v>
      </c>
      <c r="D1876" s="1" t="s">
        <v>1885</v>
      </c>
      <c r="E1876" s="1" t="s">
        <v>17773</v>
      </c>
      <c r="F1876" s="1"/>
      <c r="G1876" s="1"/>
      <c r="H1876" s="1"/>
      <c r="I1876" s="1"/>
      <c r="J1876" s="1"/>
      <c r="K1876" s="1" t="s">
        <v>16782</v>
      </c>
    </row>
    <row r="1877" ht="14.25" customHeight="1">
      <c r="A1877" s="3" t="s">
        <v>2465</v>
      </c>
      <c r="B1877" s="1">
        <v>6.3</v>
      </c>
      <c r="C1877" s="1" t="s">
        <v>1885</v>
      </c>
      <c r="D1877" s="1" t="s">
        <v>17763</v>
      </c>
      <c r="E1877" s="1" t="s">
        <v>17773</v>
      </c>
      <c r="F1877" s="1"/>
      <c r="G1877" s="1"/>
      <c r="H1877" s="1"/>
      <c r="I1877" s="1"/>
      <c r="J1877" s="1"/>
      <c r="K1877" s="1" t="s">
        <v>2464</v>
      </c>
    </row>
    <row r="1878" ht="14.25" customHeight="1">
      <c r="A1878" s="3" t="s">
        <v>17243</v>
      </c>
      <c r="B1878" s="1">
        <v>6.2</v>
      </c>
      <c r="C1878" s="1" t="s">
        <v>17765</v>
      </c>
      <c r="D1878" s="1" t="s">
        <v>15542</v>
      </c>
      <c r="E1878" s="1" t="s">
        <v>17773</v>
      </c>
      <c r="F1878" s="1"/>
      <c r="G1878" s="1"/>
      <c r="H1878" s="1"/>
      <c r="I1878" s="1"/>
      <c r="J1878" s="1"/>
      <c r="K1878" s="1" t="s">
        <v>17242</v>
      </c>
    </row>
    <row r="1879" ht="14.25" customHeight="1">
      <c r="A1879" s="3" t="s">
        <v>3101</v>
      </c>
      <c r="B1879" s="1">
        <v>5.3</v>
      </c>
      <c r="C1879" s="1" t="s">
        <v>1270</v>
      </c>
      <c r="D1879" s="1" t="s">
        <v>3238</v>
      </c>
      <c r="E1879" s="1" t="s">
        <v>17773</v>
      </c>
      <c r="F1879" s="1"/>
      <c r="G1879" s="1"/>
      <c r="H1879" s="1"/>
      <c r="I1879" s="1"/>
      <c r="J1879" s="1"/>
      <c r="K1879" s="1" t="s">
        <v>3100</v>
      </c>
    </row>
    <row r="1880" ht="14.25" customHeight="1">
      <c r="A1880" s="3" t="s">
        <v>3101</v>
      </c>
      <c r="B1880" s="1">
        <v>7.3</v>
      </c>
      <c r="C1880" s="1" t="s">
        <v>1270</v>
      </c>
      <c r="D1880" s="1" t="s">
        <v>3238</v>
      </c>
      <c r="E1880" s="1" t="s">
        <v>17773</v>
      </c>
      <c r="F1880" s="1"/>
      <c r="G1880" s="1"/>
      <c r="H1880" s="1"/>
      <c r="I1880" s="1"/>
      <c r="J1880" s="1"/>
      <c r="K1880" s="1" t="s">
        <v>3806</v>
      </c>
    </row>
    <row r="1881" ht="14.25" customHeight="1">
      <c r="A1881" s="3" t="s">
        <v>3101</v>
      </c>
      <c r="B1881" s="1">
        <v>5.6</v>
      </c>
      <c r="C1881" s="1" t="s">
        <v>1270</v>
      </c>
      <c r="D1881" s="1" t="s">
        <v>3238</v>
      </c>
      <c r="E1881" s="1" t="s">
        <v>17773</v>
      </c>
      <c r="F1881" s="1"/>
      <c r="G1881" s="1"/>
      <c r="H1881" s="1"/>
      <c r="I1881" s="1"/>
      <c r="J1881" s="1"/>
      <c r="K1881" s="1" t="s">
        <v>9730</v>
      </c>
    </row>
    <row r="1882" ht="14.25" customHeight="1">
      <c r="A1882" s="3" t="s">
        <v>1557</v>
      </c>
      <c r="B1882" s="1">
        <v>6.2</v>
      </c>
      <c r="C1882" s="1" t="s">
        <v>17765</v>
      </c>
      <c r="D1882" s="1" t="s">
        <v>3238</v>
      </c>
      <c r="E1882" s="1" t="s">
        <v>17773</v>
      </c>
      <c r="F1882" s="1"/>
      <c r="G1882" s="1"/>
      <c r="H1882" s="1"/>
      <c r="I1882" s="1"/>
      <c r="J1882" s="1"/>
      <c r="K1882" s="1" t="s">
        <v>1556</v>
      </c>
    </row>
    <row r="1883" ht="14.25" customHeight="1">
      <c r="A1883" s="3" t="s">
        <v>1557</v>
      </c>
      <c r="B1883" s="1">
        <v>5.2</v>
      </c>
      <c r="C1883" s="1" t="s">
        <v>17765</v>
      </c>
      <c r="D1883" s="1" t="s">
        <v>3238</v>
      </c>
      <c r="E1883" s="1" t="s">
        <v>17773</v>
      </c>
      <c r="F1883" s="1"/>
      <c r="G1883" s="1"/>
      <c r="H1883" s="1"/>
      <c r="I1883" s="1"/>
      <c r="J1883" s="1"/>
      <c r="K1883" s="1" t="s">
        <v>2198</v>
      </c>
    </row>
    <row r="1884" ht="14.25" customHeight="1">
      <c r="A1884" s="3" t="s">
        <v>1557</v>
      </c>
      <c r="B1884" s="1">
        <v>5.3</v>
      </c>
      <c r="C1884" s="1" t="s">
        <v>17765</v>
      </c>
      <c r="D1884" s="1" t="s">
        <v>3238</v>
      </c>
      <c r="E1884" s="1" t="s">
        <v>17773</v>
      </c>
      <c r="F1884" s="1"/>
      <c r="G1884" s="1"/>
      <c r="H1884" s="1"/>
      <c r="I1884" s="1"/>
      <c r="J1884" s="1"/>
      <c r="K1884" s="1" t="s">
        <v>4838</v>
      </c>
    </row>
    <row r="1885" ht="14.25" customHeight="1">
      <c r="A1885" s="3" t="s">
        <v>1557</v>
      </c>
      <c r="B1885" s="1">
        <v>5.4</v>
      </c>
      <c r="C1885" s="1" t="s">
        <v>17765</v>
      </c>
      <c r="D1885" s="1" t="s">
        <v>3238</v>
      </c>
      <c r="E1885" s="1" t="s">
        <v>17773</v>
      </c>
      <c r="F1885" s="1"/>
      <c r="G1885" s="1"/>
      <c r="H1885" s="1"/>
      <c r="I1885" s="1"/>
      <c r="J1885" s="1"/>
      <c r="K1885" s="1">
        <v>42.0</v>
      </c>
    </row>
    <row r="1886" ht="14.25" customHeight="1">
      <c r="A1886" s="3" t="s">
        <v>1557</v>
      </c>
      <c r="B1886" s="1">
        <v>4.9</v>
      </c>
      <c r="C1886" s="1" t="s">
        <v>17765</v>
      </c>
      <c r="D1886" s="1" t="s">
        <v>3238</v>
      </c>
      <c r="E1886" s="1" t="s">
        <v>17773</v>
      </c>
      <c r="F1886" s="1"/>
      <c r="G1886" s="1"/>
      <c r="H1886" s="1"/>
      <c r="I1886" s="1"/>
      <c r="J1886" s="1"/>
      <c r="K1886" s="1" t="s">
        <v>6568</v>
      </c>
    </row>
    <row r="1887" ht="14.25" customHeight="1">
      <c r="A1887" s="3" t="s">
        <v>1557</v>
      </c>
      <c r="B1887" s="1">
        <v>5.5</v>
      </c>
      <c r="C1887" s="1" t="s">
        <v>17765</v>
      </c>
      <c r="D1887" s="1" t="s">
        <v>3238</v>
      </c>
      <c r="E1887" s="1" t="s">
        <v>17773</v>
      </c>
      <c r="F1887" s="1"/>
      <c r="G1887" s="1"/>
      <c r="H1887" s="1"/>
      <c r="I1887" s="1"/>
      <c r="J1887" s="1"/>
      <c r="K1887" s="1" t="s">
        <v>6653</v>
      </c>
    </row>
    <row r="1888" ht="14.25" customHeight="1">
      <c r="A1888" s="3" t="s">
        <v>1557</v>
      </c>
      <c r="B1888" s="1">
        <v>6.7</v>
      </c>
      <c r="C1888" s="1" t="s">
        <v>17765</v>
      </c>
      <c r="D1888" s="1" t="s">
        <v>3238</v>
      </c>
      <c r="E1888" s="1" t="s">
        <v>17773</v>
      </c>
      <c r="F1888" s="1"/>
      <c r="G1888" s="1"/>
      <c r="H1888" s="1"/>
      <c r="I1888" s="1"/>
      <c r="J1888" s="1"/>
      <c r="K1888" s="1" t="s">
        <v>6813</v>
      </c>
    </row>
    <row r="1889" ht="14.25" customHeight="1">
      <c r="A1889" s="3" t="s">
        <v>1557</v>
      </c>
      <c r="B1889" s="1">
        <v>7.2</v>
      </c>
      <c r="C1889" s="1" t="s">
        <v>17765</v>
      </c>
      <c r="D1889" s="1" t="s">
        <v>3238</v>
      </c>
      <c r="E1889" s="1" t="s">
        <v>17773</v>
      </c>
      <c r="F1889" s="1"/>
      <c r="G1889" s="1"/>
      <c r="H1889" s="1"/>
      <c r="I1889" s="1"/>
      <c r="J1889" s="1"/>
      <c r="K1889" s="1" t="s">
        <v>6905</v>
      </c>
    </row>
    <row r="1890" ht="14.25" customHeight="1">
      <c r="A1890" s="3" t="s">
        <v>1557</v>
      </c>
      <c r="B1890" s="1">
        <v>5.1</v>
      </c>
      <c r="C1890" s="1" t="s">
        <v>17765</v>
      </c>
      <c r="D1890" s="1" t="s">
        <v>3238</v>
      </c>
      <c r="E1890" s="1" t="s">
        <v>17773</v>
      </c>
      <c r="F1890" s="1"/>
      <c r="G1890" s="1"/>
      <c r="H1890" s="1"/>
      <c r="I1890" s="1"/>
      <c r="J1890" s="1"/>
      <c r="K1890" s="1" t="s">
        <v>7081</v>
      </c>
    </row>
    <row r="1891" ht="14.25" customHeight="1">
      <c r="A1891" s="3" t="s">
        <v>1557</v>
      </c>
      <c r="B1891" s="1">
        <v>6.5</v>
      </c>
      <c r="C1891" s="1" t="s">
        <v>17765</v>
      </c>
      <c r="D1891" s="1" t="s">
        <v>3238</v>
      </c>
      <c r="E1891" s="1" t="s">
        <v>17773</v>
      </c>
      <c r="F1891" s="1"/>
      <c r="G1891" s="1"/>
      <c r="H1891" s="1"/>
      <c r="I1891" s="1"/>
      <c r="J1891" s="1"/>
      <c r="K1891" s="1" t="s">
        <v>7592</v>
      </c>
    </row>
    <row r="1892" ht="14.25" customHeight="1">
      <c r="A1892" s="3" t="s">
        <v>1557</v>
      </c>
      <c r="B1892" s="1">
        <v>8.2</v>
      </c>
      <c r="C1892" s="1" t="s">
        <v>17765</v>
      </c>
      <c r="D1892" s="1" t="s">
        <v>3238</v>
      </c>
      <c r="E1892" s="1" t="s">
        <v>17773</v>
      </c>
      <c r="F1892" s="1"/>
      <c r="G1892" s="1"/>
      <c r="H1892" s="1"/>
      <c r="I1892" s="1"/>
      <c r="J1892" s="1"/>
      <c r="K1892" s="1" t="s">
        <v>8886</v>
      </c>
    </row>
    <row r="1893" ht="14.25" customHeight="1">
      <c r="A1893" s="3" t="s">
        <v>1557</v>
      </c>
      <c r="B1893" s="1">
        <v>7.7</v>
      </c>
      <c r="C1893" s="1" t="s">
        <v>17765</v>
      </c>
      <c r="D1893" s="1" t="s">
        <v>3238</v>
      </c>
      <c r="E1893" s="1" t="s">
        <v>17773</v>
      </c>
      <c r="F1893" s="1"/>
      <c r="G1893" s="1"/>
      <c r="H1893" s="1"/>
      <c r="I1893" s="1"/>
      <c r="J1893" s="1"/>
      <c r="K1893" s="1" t="s">
        <v>9119</v>
      </c>
    </row>
    <row r="1894" ht="14.25" customHeight="1">
      <c r="A1894" s="3" t="s">
        <v>1557</v>
      </c>
      <c r="B1894" s="1">
        <v>7.2</v>
      </c>
      <c r="C1894" s="1" t="s">
        <v>17765</v>
      </c>
      <c r="D1894" s="1" t="s">
        <v>3238</v>
      </c>
      <c r="E1894" s="1" t="s">
        <v>17773</v>
      </c>
      <c r="F1894" s="1"/>
      <c r="G1894" s="1"/>
      <c r="H1894" s="1"/>
      <c r="I1894" s="1"/>
      <c r="J1894" s="1"/>
      <c r="K1894" s="1" t="s">
        <v>9198</v>
      </c>
    </row>
    <row r="1895" ht="14.25" customHeight="1">
      <c r="A1895" s="3" t="s">
        <v>1557</v>
      </c>
      <c r="B1895" s="1">
        <v>6.1</v>
      </c>
      <c r="C1895" s="1" t="s">
        <v>17765</v>
      </c>
      <c r="D1895" s="1" t="s">
        <v>3238</v>
      </c>
      <c r="E1895" s="1" t="s">
        <v>17773</v>
      </c>
      <c r="F1895" s="1"/>
      <c r="G1895" s="1"/>
      <c r="H1895" s="1"/>
      <c r="I1895" s="1"/>
      <c r="J1895" s="1"/>
      <c r="K1895" s="1" t="s">
        <v>9226</v>
      </c>
    </row>
    <row r="1896" ht="14.25" customHeight="1">
      <c r="A1896" s="3" t="s">
        <v>1557</v>
      </c>
      <c r="B1896" s="1">
        <v>8.8</v>
      </c>
      <c r="C1896" s="1" t="s">
        <v>17765</v>
      </c>
      <c r="D1896" s="1" t="s">
        <v>3238</v>
      </c>
      <c r="E1896" s="1" t="s">
        <v>17773</v>
      </c>
      <c r="F1896" s="1"/>
      <c r="G1896" s="1"/>
      <c r="H1896" s="1"/>
      <c r="I1896" s="1"/>
      <c r="J1896" s="1"/>
      <c r="K1896" s="1" t="s">
        <v>10396</v>
      </c>
    </row>
    <row r="1897" ht="14.25" customHeight="1">
      <c r="A1897" s="3" t="s">
        <v>1557</v>
      </c>
      <c r="B1897" s="1">
        <v>6.8</v>
      </c>
      <c r="C1897" s="1" t="s">
        <v>17765</v>
      </c>
      <c r="D1897" s="1" t="s">
        <v>3238</v>
      </c>
      <c r="E1897" s="1" t="s">
        <v>17773</v>
      </c>
      <c r="F1897" s="1"/>
      <c r="G1897" s="1"/>
      <c r="H1897" s="1"/>
      <c r="I1897" s="1"/>
      <c r="J1897" s="1"/>
      <c r="K1897" s="1" t="s">
        <v>10464</v>
      </c>
    </row>
    <row r="1898" ht="14.25" customHeight="1">
      <c r="A1898" s="3" t="s">
        <v>1557</v>
      </c>
      <c r="B1898" s="1">
        <v>6.8</v>
      </c>
      <c r="C1898" s="1" t="s">
        <v>17765</v>
      </c>
      <c r="D1898" s="1" t="s">
        <v>3238</v>
      </c>
      <c r="E1898" s="1" t="s">
        <v>17773</v>
      </c>
      <c r="F1898" s="1"/>
      <c r="G1898" s="1"/>
      <c r="H1898" s="1"/>
      <c r="I1898" s="1"/>
      <c r="J1898" s="1"/>
      <c r="K1898" s="1" t="s">
        <v>10780</v>
      </c>
    </row>
    <row r="1899" ht="14.25" customHeight="1">
      <c r="A1899" s="3" t="s">
        <v>1557</v>
      </c>
      <c r="B1899" s="1">
        <v>6.7</v>
      </c>
      <c r="C1899" s="1" t="s">
        <v>17765</v>
      </c>
      <c r="D1899" s="1" t="s">
        <v>3238</v>
      </c>
      <c r="E1899" s="1" t="s">
        <v>17773</v>
      </c>
      <c r="F1899" s="1"/>
      <c r="G1899" s="1"/>
      <c r="H1899" s="1"/>
      <c r="I1899" s="1"/>
      <c r="J1899" s="1"/>
      <c r="K1899" s="1" t="s">
        <v>11066</v>
      </c>
    </row>
    <row r="1900" ht="14.25" customHeight="1">
      <c r="A1900" s="3" t="s">
        <v>1557</v>
      </c>
      <c r="B1900" s="1">
        <v>7.1</v>
      </c>
      <c r="C1900" s="1" t="s">
        <v>17765</v>
      </c>
      <c r="D1900" s="1" t="s">
        <v>3238</v>
      </c>
      <c r="E1900" s="1" t="s">
        <v>17773</v>
      </c>
      <c r="F1900" s="1"/>
      <c r="G1900" s="1"/>
      <c r="H1900" s="1"/>
      <c r="I1900" s="1"/>
      <c r="J1900" s="1"/>
      <c r="K1900" s="1" t="s">
        <v>12933</v>
      </c>
    </row>
    <row r="1901" ht="14.25" customHeight="1">
      <c r="A1901" s="3" t="s">
        <v>1557</v>
      </c>
      <c r="B1901" s="1">
        <v>7.1</v>
      </c>
      <c r="C1901" s="1" t="s">
        <v>17765</v>
      </c>
      <c r="D1901" s="1" t="s">
        <v>3238</v>
      </c>
      <c r="E1901" s="1" t="s">
        <v>17773</v>
      </c>
      <c r="F1901" s="1"/>
      <c r="G1901" s="1"/>
      <c r="H1901" s="1"/>
      <c r="I1901" s="1"/>
      <c r="J1901" s="1"/>
      <c r="K1901" s="1" t="s">
        <v>13786</v>
      </c>
    </row>
    <row r="1902" ht="14.25" customHeight="1">
      <c r="A1902" s="3" t="s">
        <v>1557</v>
      </c>
      <c r="B1902" s="1">
        <v>6.1</v>
      </c>
      <c r="C1902" s="1" t="s">
        <v>17765</v>
      </c>
      <c r="D1902" s="1" t="s">
        <v>3238</v>
      </c>
      <c r="E1902" s="1" t="s">
        <v>17773</v>
      </c>
      <c r="F1902" s="1"/>
      <c r="G1902" s="1"/>
      <c r="H1902" s="1"/>
      <c r="I1902" s="1"/>
      <c r="J1902" s="1"/>
      <c r="K1902" s="1" t="s">
        <v>14595</v>
      </c>
    </row>
    <row r="1903" ht="14.25" customHeight="1">
      <c r="A1903" s="3" t="s">
        <v>1557</v>
      </c>
      <c r="B1903" s="1">
        <v>8.0</v>
      </c>
      <c r="C1903" s="1" t="s">
        <v>17765</v>
      </c>
      <c r="D1903" s="1" t="s">
        <v>3238</v>
      </c>
      <c r="E1903" s="1" t="s">
        <v>17773</v>
      </c>
      <c r="F1903" s="1"/>
      <c r="G1903" s="1"/>
      <c r="H1903" s="1"/>
      <c r="I1903" s="1"/>
      <c r="J1903" s="1"/>
      <c r="K1903" s="1" t="s">
        <v>14805</v>
      </c>
    </row>
    <row r="1904" ht="14.25" customHeight="1">
      <c r="A1904" s="3" t="s">
        <v>1557</v>
      </c>
      <c r="B1904" s="1">
        <v>7.5</v>
      </c>
      <c r="C1904" s="1" t="s">
        <v>17765</v>
      </c>
      <c r="D1904" s="1" t="s">
        <v>3238</v>
      </c>
      <c r="E1904" s="1" t="s">
        <v>17773</v>
      </c>
      <c r="F1904" s="1"/>
      <c r="G1904" s="1"/>
      <c r="H1904" s="1"/>
      <c r="I1904" s="1"/>
      <c r="J1904" s="1"/>
      <c r="K1904" s="1" t="s">
        <v>14873</v>
      </c>
    </row>
    <row r="1905" ht="14.25" customHeight="1">
      <c r="A1905" s="3" t="s">
        <v>5897</v>
      </c>
      <c r="B1905" s="1">
        <v>6.6</v>
      </c>
      <c r="C1905" s="1" t="s">
        <v>1885</v>
      </c>
      <c r="D1905" s="1" t="s">
        <v>3238</v>
      </c>
      <c r="E1905" s="1" t="s">
        <v>17773</v>
      </c>
      <c r="F1905" s="1"/>
      <c r="G1905" s="1"/>
      <c r="H1905" s="1"/>
      <c r="I1905" s="1"/>
      <c r="J1905" s="1"/>
      <c r="K1905" s="1" t="s">
        <v>5896</v>
      </c>
    </row>
    <row r="1906" ht="14.25" customHeight="1">
      <c r="A1906" s="3" t="s">
        <v>5897</v>
      </c>
      <c r="B1906" s="1">
        <v>5.4</v>
      </c>
      <c r="C1906" s="1" t="s">
        <v>1885</v>
      </c>
      <c r="D1906" s="1" t="s">
        <v>3238</v>
      </c>
      <c r="E1906" s="1" t="s">
        <v>17773</v>
      </c>
      <c r="F1906" s="1"/>
      <c r="G1906" s="1"/>
      <c r="H1906" s="1"/>
      <c r="I1906" s="1"/>
      <c r="J1906" s="1"/>
      <c r="K1906" s="1" t="s">
        <v>8353</v>
      </c>
    </row>
    <row r="1907" ht="14.25" customHeight="1">
      <c r="A1907" s="3" t="s">
        <v>5897</v>
      </c>
      <c r="B1907" s="1">
        <v>6.1</v>
      </c>
      <c r="C1907" s="1" t="s">
        <v>1885</v>
      </c>
      <c r="D1907" s="1" t="s">
        <v>3238</v>
      </c>
      <c r="E1907" s="1" t="s">
        <v>17773</v>
      </c>
      <c r="F1907" s="1"/>
      <c r="G1907" s="1"/>
      <c r="H1907" s="1"/>
      <c r="I1907" s="1"/>
      <c r="J1907" s="1"/>
      <c r="K1907" s="1" t="s">
        <v>9347</v>
      </c>
    </row>
    <row r="1908" ht="14.25" customHeight="1">
      <c r="A1908" s="3" t="s">
        <v>5897</v>
      </c>
      <c r="B1908" s="1">
        <v>6.1</v>
      </c>
      <c r="C1908" s="1" t="s">
        <v>1885</v>
      </c>
      <c r="D1908" s="1" t="s">
        <v>3238</v>
      </c>
      <c r="E1908" s="1" t="s">
        <v>17773</v>
      </c>
      <c r="F1908" s="1"/>
      <c r="G1908" s="1"/>
      <c r="H1908" s="1"/>
      <c r="I1908" s="1"/>
      <c r="J1908" s="1"/>
      <c r="K1908" s="1" t="s">
        <v>14955</v>
      </c>
    </row>
    <row r="1909" ht="14.25" customHeight="1">
      <c r="A1909" s="3" t="s">
        <v>5897</v>
      </c>
      <c r="B1909" s="1">
        <v>5.6</v>
      </c>
      <c r="C1909" s="1" t="s">
        <v>1885</v>
      </c>
      <c r="D1909" s="1" t="s">
        <v>3238</v>
      </c>
      <c r="E1909" s="1" t="s">
        <v>17773</v>
      </c>
      <c r="F1909" s="1"/>
      <c r="G1909" s="1"/>
      <c r="H1909" s="1"/>
      <c r="I1909" s="1"/>
      <c r="J1909" s="1"/>
      <c r="K1909" s="1" t="s">
        <v>15403</v>
      </c>
    </row>
    <row r="1910" ht="14.25" customHeight="1">
      <c r="A1910" s="3" t="s">
        <v>7888</v>
      </c>
      <c r="B1910" s="1">
        <v>5.8</v>
      </c>
      <c r="C1910" s="1" t="s">
        <v>17763</v>
      </c>
      <c r="D1910" s="1" t="s">
        <v>3238</v>
      </c>
      <c r="E1910" s="1" t="s">
        <v>17773</v>
      </c>
      <c r="F1910" s="1"/>
      <c r="G1910" s="1"/>
      <c r="H1910" s="1"/>
      <c r="I1910" s="1"/>
      <c r="J1910" s="1"/>
      <c r="K1910" s="1" t="s">
        <v>7887</v>
      </c>
    </row>
    <row r="1911" ht="14.25" customHeight="1">
      <c r="A1911" s="3" t="s">
        <v>17151</v>
      </c>
      <c r="B1911" s="1">
        <v>2.8</v>
      </c>
      <c r="C1911" s="1" t="s">
        <v>15542</v>
      </c>
      <c r="D1911" s="1" t="s">
        <v>3238</v>
      </c>
      <c r="E1911" s="1" t="s">
        <v>17773</v>
      </c>
      <c r="F1911" s="1"/>
      <c r="G1911" s="1"/>
      <c r="H1911" s="1"/>
      <c r="I1911" s="1"/>
      <c r="J1911" s="1"/>
      <c r="K1911" s="1" t="s">
        <v>17150</v>
      </c>
    </row>
    <row r="1912" ht="14.25" customHeight="1">
      <c r="A1912" s="3" t="s">
        <v>1351</v>
      </c>
      <c r="B1912" s="1">
        <v>6.7</v>
      </c>
      <c r="C1912" s="1" t="s">
        <v>1270</v>
      </c>
      <c r="D1912" s="1" t="s">
        <v>17758</v>
      </c>
      <c r="E1912" s="1" t="s">
        <v>17773</v>
      </c>
      <c r="F1912" s="1"/>
      <c r="G1912" s="1"/>
      <c r="H1912" s="1"/>
      <c r="I1912" s="1"/>
      <c r="J1912" s="1"/>
      <c r="K1912" s="1" t="s">
        <v>1350</v>
      </c>
    </row>
    <row r="1913" ht="14.25" customHeight="1">
      <c r="A1913" s="3" t="s">
        <v>7393</v>
      </c>
      <c r="B1913" s="1">
        <v>5.1</v>
      </c>
      <c r="C1913" s="1" t="s">
        <v>1885</v>
      </c>
      <c r="D1913" s="1" t="s">
        <v>17758</v>
      </c>
      <c r="E1913" s="1" t="s">
        <v>17773</v>
      </c>
      <c r="F1913" s="1"/>
      <c r="G1913" s="1"/>
      <c r="H1913" s="1"/>
      <c r="I1913" s="1"/>
      <c r="J1913" s="1"/>
      <c r="K1913" s="1" t="s">
        <v>7392</v>
      </c>
    </row>
    <row r="1914" ht="14.25" customHeight="1">
      <c r="A1914" s="3" t="s">
        <v>7393</v>
      </c>
      <c r="B1914" s="1">
        <v>7.2</v>
      </c>
      <c r="C1914" s="1" t="s">
        <v>1885</v>
      </c>
      <c r="D1914" s="1" t="s">
        <v>17758</v>
      </c>
      <c r="E1914" s="1" t="s">
        <v>17773</v>
      </c>
      <c r="F1914" s="1"/>
      <c r="G1914" s="1"/>
      <c r="H1914" s="1"/>
      <c r="I1914" s="1"/>
      <c r="J1914" s="1"/>
      <c r="K1914" s="1" t="s">
        <v>9521</v>
      </c>
    </row>
    <row r="1915" ht="14.25" customHeight="1">
      <c r="A1915" s="3" t="s">
        <v>7446</v>
      </c>
      <c r="B1915" s="1">
        <v>6.0</v>
      </c>
      <c r="C1915" s="1" t="s">
        <v>3238</v>
      </c>
      <c r="D1915" s="1" t="s">
        <v>17758</v>
      </c>
      <c r="E1915" s="1" t="s">
        <v>17773</v>
      </c>
      <c r="F1915" s="1"/>
      <c r="G1915" s="1"/>
      <c r="H1915" s="1"/>
      <c r="I1915" s="1"/>
      <c r="J1915" s="1"/>
      <c r="K1915" s="1" t="s">
        <v>7445</v>
      </c>
    </row>
    <row r="1916" ht="14.25" customHeight="1">
      <c r="A1916" s="3" t="s">
        <v>7446</v>
      </c>
      <c r="B1916" s="1">
        <v>6.7</v>
      </c>
      <c r="C1916" s="1" t="s">
        <v>3238</v>
      </c>
      <c r="D1916" s="1" t="s">
        <v>17758</v>
      </c>
      <c r="E1916" s="1" t="s">
        <v>17773</v>
      </c>
      <c r="F1916" s="1"/>
      <c r="G1916" s="1"/>
      <c r="H1916" s="1"/>
      <c r="I1916" s="1"/>
      <c r="J1916" s="1"/>
      <c r="K1916" s="1" t="s">
        <v>9517</v>
      </c>
    </row>
    <row r="1917" ht="14.25" customHeight="1">
      <c r="A1917" s="3" t="s">
        <v>7446</v>
      </c>
      <c r="B1917" s="1">
        <v>6.2</v>
      </c>
      <c r="C1917" s="1" t="s">
        <v>3238</v>
      </c>
      <c r="D1917" s="1" t="s">
        <v>17758</v>
      </c>
      <c r="E1917" s="1" t="s">
        <v>17773</v>
      </c>
      <c r="F1917" s="1"/>
      <c r="G1917" s="1"/>
      <c r="H1917" s="1"/>
      <c r="I1917" s="1"/>
      <c r="J1917" s="1"/>
      <c r="K1917" s="1" t="s">
        <v>11606</v>
      </c>
    </row>
    <row r="1918" ht="14.25" customHeight="1">
      <c r="A1918" s="3" t="s">
        <v>7446</v>
      </c>
      <c r="B1918" s="1">
        <v>6.2</v>
      </c>
      <c r="C1918" s="1" t="s">
        <v>3238</v>
      </c>
      <c r="D1918" s="1" t="s">
        <v>17758</v>
      </c>
      <c r="E1918" s="1" t="s">
        <v>17773</v>
      </c>
      <c r="F1918" s="1"/>
      <c r="G1918" s="1"/>
      <c r="H1918" s="1"/>
      <c r="I1918" s="1"/>
      <c r="J1918" s="1"/>
      <c r="K1918" s="1" t="s">
        <v>14268</v>
      </c>
    </row>
    <row r="1919" ht="14.25" customHeight="1">
      <c r="A1919" s="3" t="s">
        <v>4079</v>
      </c>
      <c r="B1919" s="1">
        <v>6.8</v>
      </c>
      <c r="C1919" s="1" t="s">
        <v>3238</v>
      </c>
      <c r="D1919" s="1" t="s">
        <v>17759</v>
      </c>
      <c r="E1919" s="1" t="s">
        <v>17773</v>
      </c>
      <c r="F1919" s="1"/>
      <c r="G1919" s="1"/>
      <c r="H1919" s="1"/>
      <c r="I1919" s="1"/>
      <c r="J1919" s="1"/>
      <c r="K1919" s="1" t="s">
        <v>4078</v>
      </c>
    </row>
    <row r="1920" ht="14.25" customHeight="1">
      <c r="A1920" s="3" t="s">
        <v>2213</v>
      </c>
      <c r="B1920" s="1">
        <v>7.1</v>
      </c>
      <c r="C1920" s="1" t="s">
        <v>3238</v>
      </c>
      <c r="D1920" s="1" t="s">
        <v>17772</v>
      </c>
      <c r="E1920" s="1" t="s">
        <v>17773</v>
      </c>
      <c r="F1920" s="1"/>
      <c r="G1920" s="1"/>
      <c r="H1920" s="1"/>
      <c r="I1920" s="1"/>
      <c r="J1920" s="1"/>
      <c r="K1920" s="1" t="s">
        <v>2212</v>
      </c>
    </row>
    <row r="1921" ht="14.25" customHeight="1">
      <c r="A1921" s="3" t="s">
        <v>2213</v>
      </c>
      <c r="B1921" s="1">
        <v>7.1</v>
      </c>
      <c r="C1921" s="1" t="s">
        <v>3238</v>
      </c>
      <c r="D1921" s="1" t="s">
        <v>17772</v>
      </c>
      <c r="E1921" s="1" t="s">
        <v>17773</v>
      </c>
      <c r="F1921" s="1"/>
      <c r="G1921" s="1"/>
      <c r="H1921" s="1"/>
      <c r="I1921" s="1"/>
      <c r="J1921" s="1"/>
      <c r="K1921" s="1" t="s">
        <v>10495</v>
      </c>
    </row>
    <row r="1922" ht="14.25" customHeight="1">
      <c r="A1922" s="3" t="s">
        <v>3698</v>
      </c>
      <c r="B1922" s="1">
        <v>7.0</v>
      </c>
      <c r="C1922" s="1" t="s">
        <v>1885</v>
      </c>
      <c r="D1922" s="1" t="s">
        <v>17762</v>
      </c>
      <c r="E1922" s="1" t="s">
        <v>17773</v>
      </c>
      <c r="F1922" s="1"/>
      <c r="G1922" s="1"/>
      <c r="H1922" s="1"/>
      <c r="I1922" s="1"/>
      <c r="J1922" s="1"/>
      <c r="K1922" s="1" t="s">
        <v>3697</v>
      </c>
    </row>
    <row r="1923" ht="14.25" customHeight="1">
      <c r="A1923" s="3" t="s">
        <v>3698</v>
      </c>
      <c r="B1923" s="1">
        <v>7.1</v>
      </c>
      <c r="C1923" s="1" t="s">
        <v>1885</v>
      </c>
      <c r="D1923" s="1" t="s">
        <v>17762</v>
      </c>
      <c r="E1923" s="1" t="s">
        <v>17773</v>
      </c>
      <c r="F1923" s="1"/>
      <c r="G1923" s="1"/>
      <c r="H1923" s="1"/>
      <c r="I1923" s="1"/>
      <c r="J1923" s="1"/>
      <c r="K1923" s="1" t="s">
        <v>6942</v>
      </c>
    </row>
    <row r="1924" ht="14.25" customHeight="1">
      <c r="A1924" s="3" t="s">
        <v>3698</v>
      </c>
      <c r="B1924" s="1">
        <v>6.4</v>
      </c>
      <c r="C1924" s="1" t="s">
        <v>1885</v>
      </c>
      <c r="D1924" s="1" t="s">
        <v>17762</v>
      </c>
      <c r="E1924" s="1" t="s">
        <v>17773</v>
      </c>
      <c r="F1924" s="1"/>
      <c r="G1924" s="1"/>
      <c r="H1924" s="1"/>
      <c r="I1924" s="1"/>
      <c r="J1924" s="1"/>
      <c r="K1924" s="1" t="s">
        <v>7137</v>
      </c>
    </row>
    <row r="1925" ht="14.25" customHeight="1">
      <c r="A1925" s="3" t="s">
        <v>3698</v>
      </c>
      <c r="B1925" s="1">
        <v>7.0</v>
      </c>
      <c r="C1925" s="1" t="s">
        <v>1885</v>
      </c>
      <c r="D1925" s="1" t="s">
        <v>17762</v>
      </c>
      <c r="E1925" s="1" t="s">
        <v>17773</v>
      </c>
      <c r="F1925" s="1"/>
      <c r="G1925" s="1"/>
      <c r="H1925" s="1"/>
      <c r="I1925" s="1"/>
      <c r="J1925" s="1"/>
      <c r="K1925" s="1" t="s">
        <v>7299</v>
      </c>
    </row>
    <row r="1926" ht="14.25" customHeight="1">
      <c r="A1926" s="3" t="s">
        <v>4645</v>
      </c>
      <c r="B1926" s="1">
        <v>6.2</v>
      </c>
      <c r="C1926" s="1" t="s">
        <v>3238</v>
      </c>
      <c r="D1926" s="1" t="s">
        <v>17762</v>
      </c>
      <c r="E1926" s="1" t="s">
        <v>17773</v>
      </c>
      <c r="F1926" s="1"/>
      <c r="G1926" s="1"/>
      <c r="H1926" s="1"/>
      <c r="I1926" s="1"/>
      <c r="J1926" s="1"/>
      <c r="K1926" s="1" t="s">
        <v>4644</v>
      </c>
    </row>
    <row r="1927" ht="14.25" customHeight="1">
      <c r="A1927" s="3" t="s">
        <v>4645</v>
      </c>
      <c r="B1927" s="1">
        <v>7.5</v>
      </c>
      <c r="C1927" s="1" t="s">
        <v>3238</v>
      </c>
      <c r="D1927" s="1" t="s">
        <v>17762</v>
      </c>
      <c r="E1927" s="1" t="s">
        <v>17773</v>
      </c>
      <c r="F1927" s="1"/>
      <c r="G1927" s="1"/>
      <c r="H1927" s="1"/>
      <c r="I1927" s="1"/>
      <c r="J1927" s="1"/>
      <c r="K1927" s="1" t="s">
        <v>5016</v>
      </c>
    </row>
    <row r="1928" ht="14.25" customHeight="1">
      <c r="A1928" s="3" t="s">
        <v>4645</v>
      </c>
      <c r="B1928" s="1">
        <v>4.8</v>
      </c>
      <c r="C1928" s="1" t="s">
        <v>3238</v>
      </c>
      <c r="D1928" s="1" t="s">
        <v>17762</v>
      </c>
      <c r="E1928" s="1" t="s">
        <v>17773</v>
      </c>
      <c r="F1928" s="1"/>
      <c r="G1928" s="1"/>
      <c r="H1928" s="1"/>
      <c r="I1928" s="1"/>
      <c r="J1928" s="1"/>
      <c r="K1928" s="1" t="s">
        <v>7349</v>
      </c>
    </row>
    <row r="1929" ht="14.25" customHeight="1">
      <c r="A1929" s="3" t="s">
        <v>4645</v>
      </c>
      <c r="B1929" s="1">
        <v>7.3</v>
      </c>
      <c r="C1929" s="1" t="s">
        <v>3238</v>
      </c>
      <c r="D1929" s="1" t="s">
        <v>17762</v>
      </c>
      <c r="E1929" s="1" t="s">
        <v>17773</v>
      </c>
      <c r="F1929" s="1"/>
      <c r="G1929" s="1"/>
      <c r="H1929" s="1"/>
      <c r="I1929" s="1"/>
      <c r="J1929" s="1"/>
      <c r="K1929" s="1" t="s">
        <v>7826</v>
      </c>
    </row>
    <row r="1930" ht="14.25" customHeight="1">
      <c r="A1930" s="3" t="s">
        <v>4645</v>
      </c>
      <c r="B1930" s="1">
        <v>5.8</v>
      </c>
      <c r="C1930" s="1" t="s">
        <v>3238</v>
      </c>
      <c r="D1930" s="1" t="s">
        <v>17762</v>
      </c>
      <c r="E1930" s="1" t="s">
        <v>17773</v>
      </c>
      <c r="F1930" s="1"/>
      <c r="G1930" s="1"/>
      <c r="H1930" s="1"/>
      <c r="I1930" s="1"/>
      <c r="J1930" s="1"/>
      <c r="K1930" s="1" t="s">
        <v>11616</v>
      </c>
    </row>
    <row r="1931" ht="14.25" customHeight="1">
      <c r="A1931" s="3" t="s">
        <v>4645</v>
      </c>
      <c r="B1931" s="1">
        <v>7.6</v>
      </c>
      <c r="C1931" s="1" t="s">
        <v>3238</v>
      </c>
      <c r="D1931" s="1" t="s">
        <v>17762</v>
      </c>
      <c r="E1931" s="1" t="s">
        <v>17773</v>
      </c>
      <c r="F1931" s="1"/>
      <c r="G1931" s="1"/>
      <c r="H1931" s="1"/>
      <c r="I1931" s="1"/>
      <c r="J1931" s="1"/>
      <c r="K1931" s="1" t="s">
        <v>13506</v>
      </c>
    </row>
    <row r="1932" ht="14.25" customHeight="1">
      <c r="A1932" s="3" t="s">
        <v>3308</v>
      </c>
      <c r="B1932" s="1">
        <v>5.6</v>
      </c>
      <c r="C1932" s="1" t="s">
        <v>1270</v>
      </c>
      <c r="D1932" s="1" t="s">
        <v>17764</v>
      </c>
      <c r="E1932" s="1" t="s">
        <v>17773</v>
      </c>
      <c r="F1932" s="1"/>
      <c r="G1932" s="1"/>
      <c r="H1932" s="1"/>
      <c r="I1932" s="1"/>
      <c r="J1932" s="1"/>
      <c r="K1932" s="1" t="s">
        <v>3307</v>
      </c>
    </row>
    <row r="1933" ht="14.25" customHeight="1">
      <c r="A1933" s="3" t="s">
        <v>3308</v>
      </c>
      <c r="B1933" s="1">
        <v>7.0</v>
      </c>
      <c r="C1933" s="1" t="s">
        <v>1270</v>
      </c>
      <c r="D1933" s="1" t="s">
        <v>17764</v>
      </c>
      <c r="E1933" s="1" t="s">
        <v>17773</v>
      </c>
      <c r="F1933" s="1"/>
      <c r="G1933" s="1"/>
      <c r="H1933" s="1"/>
      <c r="I1933" s="1"/>
      <c r="J1933" s="1"/>
      <c r="K1933" s="1" t="s">
        <v>14148</v>
      </c>
    </row>
    <row r="1934" ht="14.25" customHeight="1">
      <c r="A1934" s="3" t="s">
        <v>48</v>
      </c>
      <c r="B1934" s="1">
        <v>6.6</v>
      </c>
      <c r="C1934" s="1" t="s">
        <v>1270</v>
      </c>
      <c r="D1934" s="1" t="s">
        <v>917</v>
      </c>
      <c r="E1934" s="1" t="s">
        <v>17471</v>
      </c>
      <c r="F1934" s="1"/>
      <c r="G1934" s="1"/>
      <c r="H1934" s="1"/>
      <c r="I1934" s="1"/>
      <c r="J1934" s="1"/>
      <c r="K1934" s="1" t="s">
        <v>47</v>
      </c>
    </row>
    <row r="1935" ht="14.25" customHeight="1">
      <c r="A1935" s="3" t="s">
        <v>48</v>
      </c>
      <c r="B1935" s="1">
        <v>6.5</v>
      </c>
      <c r="C1935" s="1" t="s">
        <v>1270</v>
      </c>
      <c r="D1935" s="1" t="s">
        <v>917</v>
      </c>
      <c r="E1935" s="1" t="s">
        <v>17471</v>
      </c>
      <c r="F1935" s="1"/>
      <c r="G1935" s="1"/>
      <c r="H1935" s="1"/>
      <c r="I1935" s="1"/>
      <c r="J1935" s="1"/>
      <c r="K1935" s="1" t="s">
        <v>232</v>
      </c>
    </row>
    <row r="1936" ht="14.25" customHeight="1">
      <c r="A1936" s="3" t="s">
        <v>48</v>
      </c>
      <c r="B1936" s="1">
        <v>7.4</v>
      </c>
      <c r="C1936" s="1" t="s">
        <v>1270</v>
      </c>
      <c r="D1936" s="1" t="s">
        <v>917</v>
      </c>
      <c r="E1936" s="1" t="s">
        <v>17471</v>
      </c>
      <c r="F1936" s="1"/>
      <c r="G1936" s="1"/>
      <c r="H1936" s="1"/>
      <c r="I1936" s="1"/>
      <c r="J1936" s="1"/>
      <c r="K1936" s="1" t="s">
        <v>850</v>
      </c>
    </row>
    <row r="1937" ht="14.25" customHeight="1">
      <c r="A1937" s="3" t="s">
        <v>48</v>
      </c>
      <c r="B1937" s="1">
        <v>4.6</v>
      </c>
      <c r="C1937" s="1" t="s">
        <v>1270</v>
      </c>
      <c r="D1937" s="1" t="s">
        <v>917</v>
      </c>
      <c r="E1937" s="1" t="s">
        <v>17471</v>
      </c>
      <c r="F1937" s="1"/>
      <c r="G1937" s="1"/>
      <c r="H1937" s="1"/>
      <c r="I1937" s="1"/>
      <c r="J1937" s="1"/>
      <c r="K1937" s="1" t="s">
        <v>882</v>
      </c>
    </row>
    <row r="1938" ht="14.25" customHeight="1">
      <c r="A1938" s="3" t="s">
        <v>48</v>
      </c>
      <c r="B1938" s="1">
        <v>6.4</v>
      </c>
      <c r="C1938" s="1" t="s">
        <v>1270</v>
      </c>
      <c r="D1938" s="1" t="s">
        <v>917</v>
      </c>
      <c r="E1938" s="1" t="s">
        <v>17471</v>
      </c>
      <c r="F1938" s="1"/>
      <c r="G1938" s="1"/>
      <c r="H1938" s="1"/>
      <c r="I1938" s="1"/>
      <c r="J1938" s="1"/>
      <c r="K1938" s="1" t="s">
        <v>926</v>
      </c>
    </row>
    <row r="1939" ht="14.25" customHeight="1">
      <c r="A1939" s="3" t="s">
        <v>48</v>
      </c>
      <c r="B1939" s="1">
        <v>6.0</v>
      </c>
      <c r="C1939" s="1" t="s">
        <v>1270</v>
      </c>
      <c r="D1939" s="1" t="s">
        <v>917</v>
      </c>
      <c r="E1939" s="1" t="s">
        <v>17471</v>
      </c>
      <c r="F1939" s="1"/>
      <c r="G1939" s="1"/>
      <c r="H1939" s="1"/>
      <c r="I1939" s="1"/>
      <c r="J1939" s="1"/>
      <c r="K1939" s="1" t="s">
        <v>960</v>
      </c>
    </row>
    <row r="1940" ht="14.25" customHeight="1">
      <c r="A1940" s="3" t="s">
        <v>48</v>
      </c>
      <c r="B1940" s="1">
        <v>5.9</v>
      </c>
      <c r="C1940" s="1" t="s">
        <v>1270</v>
      </c>
      <c r="D1940" s="1" t="s">
        <v>917</v>
      </c>
      <c r="E1940" s="1" t="s">
        <v>17471</v>
      </c>
      <c r="F1940" s="1"/>
      <c r="G1940" s="1"/>
      <c r="H1940" s="1"/>
      <c r="I1940" s="1"/>
      <c r="J1940" s="1"/>
      <c r="K1940" s="1" t="s">
        <v>1054</v>
      </c>
    </row>
    <row r="1941" ht="14.25" customHeight="1">
      <c r="A1941" s="3" t="s">
        <v>48</v>
      </c>
      <c r="B1941" s="1">
        <v>6.4</v>
      </c>
      <c r="C1941" s="1" t="s">
        <v>1270</v>
      </c>
      <c r="D1941" s="1" t="s">
        <v>917</v>
      </c>
      <c r="E1941" s="1" t="s">
        <v>17471</v>
      </c>
      <c r="F1941" s="1"/>
      <c r="G1941" s="1"/>
      <c r="H1941" s="1"/>
      <c r="I1941" s="1"/>
      <c r="J1941" s="1"/>
      <c r="K1941" s="1" t="s">
        <v>1263</v>
      </c>
    </row>
    <row r="1942" ht="14.25" customHeight="1">
      <c r="A1942" s="3" t="s">
        <v>48</v>
      </c>
      <c r="B1942" s="1">
        <v>6.6</v>
      </c>
      <c r="C1942" s="1" t="s">
        <v>1270</v>
      </c>
      <c r="D1942" s="1" t="s">
        <v>917</v>
      </c>
      <c r="E1942" s="1" t="s">
        <v>17471</v>
      </c>
      <c r="F1942" s="1"/>
      <c r="G1942" s="1"/>
      <c r="H1942" s="1"/>
      <c r="I1942" s="1"/>
      <c r="J1942" s="1"/>
      <c r="K1942" s="1" t="s">
        <v>1285</v>
      </c>
    </row>
    <row r="1943" ht="14.25" customHeight="1">
      <c r="A1943" s="3" t="s">
        <v>48</v>
      </c>
      <c r="B1943" s="1">
        <v>6.9</v>
      </c>
      <c r="C1943" s="1" t="s">
        <v>1270</v>
      </c>
      <c r="D1943" s="1" t="s">
        <v>917</v>
      </c>
      <c r="E1943" s="1" t="s">
        <v>17471</v>
      </c>
      <c r="F1943" s="1"/>
      <c r="G1943" s="1"/>
      <c r="H1943" s="1"/>
      <c r="I1943" s="1"/>
      <c r="J1943" s="1"/>
      <c r="K1943" s="1" t="s">
        <v>1425</v>
      </c>
    </row>
    <row r="1944" ht="14.25" customHeight="1">
      <c r="A1944" s="3" t="s">
        <v>48</v>
      </c>
      <c r="B1944" s="1">
        <v>6.9</v>
      </c>
      <c r="C1944" s="1" t="s">
        <v>1270</v>
      </c>
      <c r="D1944" s="1" t="s">
        <v>917</v>
      </c>
      <c r="E1944" s="1" t="s">
        <v>17471</v>
      </c>
      <c r="F1944" s="1"/>
      <c r="G1944" s="1"/>
      <c r="H1944" s="1"/>
      <c r="I1944" s="1"/>
      <c r="J1944" s="1"/>
      <c r="K1944" s="1" t="s">
        <v>1447</v>
      </c>
    </row>
    <row r="1945" ht="14.25" customHeight="1">
      <c r="A1945" s="3" t="s">
        <v>48</v>
      </c>
      <c r="B1945" s="1">
        <v>5.8</v>
      </c>
      <c r="C1945" s="1" t="s">
        <v>1270</v>
      </c>
      <c r="D1945" s="1" t="s">
        <v>917</v>
      </c>
      <c r="E1945" s="1" t="s">
        <v>17471</v>
      </c>
      <c r="F1945" s="1"/>
      <c r="G1945" s="1"/>
      <c r="H1945" s="1"/>
      <c r="I1945" s="1"/>
      <c r="J1945" s="1"/>
      <c r="K1945" s="1" t="s">
        <v>1540</v>
      </c>
    </row>
    <row r="1946" ht="14.25" customHeight="1">
      <c r="A1946" s="3" t="s">
        <v>48</v>
      </c>
      <c r="B1946" s="1">
        <v>6.4</v>
      </c>
      <c r="C1946" s="1" t="s">
        <v>1270</v>
      </c>
      <c r="D1946" s="1" t="s">
        <v>917</v>
      </c>
      <c r="E1946" s="1" t="s">
        <v>17471</v>
      </c>
      <c r="F1946" s="1"/>
      <c r="G1946" s="1"/>
      <c r="H1946" s="1"/>
      <c r="I1946" s="1"/>
      <c r="J1946" s="1"/>
      <c r="K1946" s="1" t="s">
        <v>1623</v>
      </c>
    </row>
    <row r="1947" ht="14.25" customHeight="1">
      <c r="A1947" s="3" t="s">
        <v>48</v>
      </c>
      <c r="B1947" s="1">
        <v>5.3</v>
      </c>
      <c r="C1947" s="1" t="s">
        <v>1270</v>
      </c>
      <c r="D1947" s="1" t="s">
        <v>917</v>
      </c>
      <c r="E1947" s="1" t="s">
        <v>17471</v>
      </c>
      <c r="F1947" s="1"/>
      <c r="G1947" s="1"/>
      <c r="H1947" s="1"/>
      <c r="I1947" s="1"/>
      <c r="J1947" s="1"/>
      <c r="K1947" s="1" t="s">
        <v>1701</v>
      </c>
    </row>
    <row r="1948" ht="14.25" customHeight="1">
      <c r="A1948" s="3" t="s">
        <v>48</v>
      </c>
      <c r="B1948" s="1">
        <v>6.5</v>
      </c>
      <c r="C1948" s="1" t="s">
        <v>1270</v>
      </c>
      <c r="D1948" s="1" t="s">
        <v>917</v>
      </c>
      <c r="E1948" s="1" t="s">
        <v>17471</v>
      </c>
      <c r="F1948" s="1"/>
      <c r="G1948" s="1"/>
      <c r="H1948" s="1"/>
      <c r="I1948" s="1"/>
      <c r="J1948" s="1"/>
      <c r="K1948" s="1" t="s">
        <v>1798</v>
      </c>
    </row>
    <row r="1949" ht="14.25" customHeight="1">
      <c r="A1949" s="3" t="s">
        <v>48</v>
      </c>
      <c r="B1949" s="1">
        <v>5.7</v>
      </c>
      <c r="C1949" s="1" t="s">
        <v>1270</v>
      </c>
      <c r="D1949" s="1" t="s">
        <v>917</v>
      </c>
      <c r="E1949" s="1" t="s">
        <v>17471</v>
      </c>
      <c r="F1949" s="1"/>
      <c r="G1949" s="1"/>
      <c r="H1949" s="1"/>
      <c r="I1949" s="1"/>
      <c r="J1949" s="1"/>
      <c r="K1949" s="1" t="s">
        <v>2066</v>
      </c>
    </row>
    <row r="1950" ht="14.25" customHeight="1">
      <c r="A1950" s="3" t="s">
        <v>48</v>
      </c>
      <c r="B1950" s="1">
        <v>6.7</v>
      </c>
      <c r="C1950" s="1" t="s">
        <v>1270</v>
      </c>
      <c r="D1950" s="1" t="s">
        <v>917</v>
      </c>
      <c r="E1950" s="1" t="s">
        <v>17471</v>
      </c>
      <c r="F1950" s="1"/>
      <c r="G1950" s="1"/>
      <c r="H1950" s="1"/>
      <c r="I1950" s="1"/>
      <c r="J1950" s="1"/>
      <c r="K1950" s="1" t="s">
        <v>2425</v>
      </c>
    </row>
    <row r="1951" ht="14.25" customHeight="1">
      <c r="A1951" s="3" t="s">
        <v>48</v>
      </c>
      <c r="B1951" s="1">
        <v>3.9</v>
      </c>
      <c r="C1951" s="1" t="s">
        <v>1270</v>
      </c>
      <c r="D1951" s="1" t="s">
        <v>917</v>
      </c>
      <c r="E1951" s="1" t="s">
        <v>17471</v>
      </c>
      <c r="F1951" s="1"/>
      <c r="G1951" s="1"/>
      <c r="H1951" s="1"/>
      <c r="I1951" s="1"/>
      <c r="J1951" s="1"/>
      <c r="K1951" s="1" t="s">
        <v>2428</v>
      </c>
    </row>
    <row r="1952" ht="14.25" customHeight="1">
      <c r="A1952" s="3" t="s">
        <v>48</v>
      </c>
      <c r="B1952" s="1">
        <v>4.1</v>
      </c>
      <c r="C1952" s="1" t="s">
        <v>1270</v>
      </c>
      <c r="D1952" s="1" t="s">
        <v>917</v>
      </c>
      <c r="E1952" s="1" t="s">
        <v>17471</v>
      </c>
      <c r="F1952" s="1"/>
      <c r="G1952" s="1"/>
      <c r="H1952" s="1"/>
      <c r="I1952" s="1"/>
      <c r="J1952" s="1"/>
      <c r="K1952" s="1" t="s">
        <v>2859</v>
      </c>
    </row>
    <row r="1953" ht="14.25" customHeight="1">
      <c r="A1953" s="3" t="s">
        <v>48</v>
      </c>
      <c r="B1953" s="1">
        <v>6.2</v>
      </c>
      <c r="C1953" s="1" t="s">
        <v>1270</v>
      </c>
      <c r="D1953" s="1" t="s">
        <v>917</v>
      </c>
      <c r="E1953" s="1" t="s">
        <v>17471</v>
      </c>
      <c r="F1953" s="1"/>
      <c r="G1953" s="1"/>
      <c r="H1953" s="1"/>
      <c r="I1953" s="1"/>
      <c r="J1953" s="1"/>
      <c r="K1953" s="1" t="s">
        <v>3143</v>
      </c>
    </row>
    <row r="1954" ht="14.25" customHeight="1">
      <c r="A1954" s="3" t="s">
        <v>48</v>
      </c>
      <c r="B1954" s="1">
        <v>3.8</v>
      </c>
      <c r="C1954" s="1" t="s">
        <v>1270</v>
      </c>
      <c r="D1954" s="1" t="s">
        <v>917</v>
      </c>
      <c r="E1954" s="1" t="s">
        <v>17471</v>
      </c>
      <c r="F1954" s="1"/>
      <c r="G1954" s="1"/>
      <c r="H1954" s="1"/>
      <c r="I1954" s="1"/>
      <c r="J1954" s="1"/>
      <c r="K1954" s="1" t="s">
        <v>3504</v>
      </c>
    </row>
    <row r="1955" ht="14.25" customHeight="1">
      <c r="A1955" s="3" t="s">
        <v>48</v>
      </c>
      <c r="B1955" s="1">
        <v>5.1</v>
      </c>
      <c r="C1955" s="1" t="s">
        <v>1270</v>
      </c>
      <c r="D1955" s="1" t="s">
        <v>917</v>
      </c>
      <c r="E1955" s="1" t="s">
        <v>17471</v>
      </c>
      <c r="F1955" s="1"/>
      <c r="G1955" s="1"/>
      <c r="H1955" s="1"/>
      <c r="I1955" s="1"/>
      <c r="J1955" s="1"/>
      <c r="K1955" s="1" t="s">
        <v>3509</v>
      </c>
    </row>
    <row r="1956" ht="14.25" customHeight="1">
      <c r="A1956" s="3" t="s">
        <v>48</v>
      </c>
      <c r="B1956" s="1">
        <v>7.8</v>
      </c>
      <c r="C1956" s="1" t="s">
        <v>1270</v>
      </c>
      <c r="D1956" s="1" t="s">
        <v>917</v>
      </c>
      <c r="E1956" s="1" t="s">
        <v>17471</v>
      </c>
      <c r="F1956" s="1"/>
      <c r="G1956" s="1"/>
      <c r="H1956" s="1"/>
      <c r="I1956" s="1"/>
      <c r="J1956" s="1"/>
      <c r="K1956" s="1" t="s">
        <v>3754</v>
      </c>
    </row>
    <row r="1957" ht="14.25" customHeight="1">
      <c r="A1957" s="3" t="s">
        <v>48</v>
      </c>
      <c r="B1957" s="1">
        <v>7.8</v>
      </c>
      <c r="C1957" s="1" t="s">
        <v>1270</v>
      </c>
      <c r="D1957" s="1" t="s">
        <v>917</v>
      </c>
      <c r="E1957" s="1" t="s">
        <v>17471</v>
      </c>
      <c r="F1957" s="1"/>
      <c r="G1957" s="1"/>
      <c r="H1957" s="1"/>
      <c r="I1957" s="1"/>
      <c r="J1957" s="1"/>
      <c r="K1957" s="1" t="s">
        <v>4422</v>
      </c>
    </row>
    <row r="1958" ht="14.25" customHeight="1">
      <c r="A1958" s="3" t="s">
        <v>48</v>
      </c>
      <c r="B1958" s="1">
        <v>6.1</v>
      </c>
      <c r="C1958" s="1" t="s">
        <v>1270</v>
      </c>
      <c r="D1958" s="1" t="s">
        <v>917</v>
      </c>
      <c r="E1958" s="1" t="s">
        <v>17471</v>
      </c>
      <c r="F1958" s="1"/>
      <c r="G1958" s="1"/>
      <c r="H1958" s="1"/>
      <c r="I1958" s="1"/>
      <c r="J1958" s="1"/>
      <c r="K1958" s="1" t="s">
        <v>4992</v>
      </c>
    </row>
    <row r="1959" ht="14.25" customHeight="1">
      <c r="A1959" s="3" t="s">
        <v>48</v>
      </c>
      <c r="B1959" s="1">
        <v>5.8</v>
      </c>
      <c r="C1959" s="1" t="s">
        <v>1270</v>
      </c>
      <c r="D1959" s="1" t="s">
        <v>917</v>
      </c>
      <c r="E1959" s="1" t="s">
        <v>17471</v>
      </c>
      <c r="F1959" s="1"/>
      <c r="G1959" s="1"/>
      <c r="H1959" s="1"/>
      <c r="I1959" s="1"/>
      <c r="J1959" s="1"/>
      <c r="K1959" s="1" t="s">
        <v>5768</v>
      </c>
    </row>
    <row r="1960" ht="14.25" customHeight="1">
      <c r="A1960" s="3" t="s">
        <v>48</v>
      </c>
      <c r="B1960" s="1">
        <v>6.3</v>
      </c>
      <c r="C1960" s="1" t="s">
        <v>1270</v>
      </c>
      <c r="D1960" s="1" t="s">
        <v>917</v>
      </c>
      <c r="E1960" s="1" t="s">
        <v>17471</v>
      </c>
      <c r="F1960" s="1"/>
      <c r="G1960" s="1"/>
      <c r="H1960" s="1"/>
      <c r="I1960" s="1"/>
      <c r="J1960" s="1"/>
      <c r="K1960" s="1" t="s">
        <v>6079</v>
      </c>
    </row>
    <row r="1961" ht="14.25" customHeight="1">
      <c r="A1961" s="3" t="s">
        <v>48</v>
      </c>
      <c r="B1961" s="1">
        <v>5.4</v>
      </c>
      <c r="C1961" s="1" t="s">
        <v>1270</v>
      </c>
      <c r="D1961" s="1" t="s">
        <v>917</v>
      </c>
      <c r="E1961" s="1" t="s">
        <v>17471</v>
      </c>
      <c r="F1961" s="1"/>
      <c r="G1961" s="1"/>
      <c r="H1961" s="1"/>
      <c r="I1961" s="1"/>
      <c r="J1961" s="1"/>
      <c r="K1961" s="1" t="s">
        <v>6424</v>
      </c>
    </row>
    <row r="1962" ht="14.25" customHeight="1">
      <c r="A1962" s="3" t="s">
        <v>48</v>
      </c>
      <c r="B1962" s="1">
        <v>7.3</v>
      </c>
      <c r="C1962" s="1" t="s">
        <v>1270</v>
      </c>
      <c r="D1962" s="1" t="s">
        <v>917</v>
      </c>
      <c r="E1962" s="1" t="s">
        <v>17471</v>
      </c>
      <c r="F1962" s="1"/>
      <c r="G1962" s="1"/>
      <c r="H1962" s="1"/>
      <c r="I1962" s="1"/>
      <c r="J1962" s="1"/>
      <c r="K1962" s="1" t="s">
        <v>6731</v>
      </c>
    </row>
    <row r="1963" ht="14.25" customHeight="1">
      <c r="A1963" s="3" t="s">
        <v>48</v>
      </c>
      <c r="B1963" s="1">
        <v>6.8</v>
      </c>
      <c r="C1963" s="1" t="s">
        <v>1270</v>
      </c>
      <c r="D1963" s="1" t="s">
        <v>917</v>
      </c>
      <c r="E1963" s="1" t="s">
        <v>17471</v>
      </c>
      <c r="F1963" s="1"/>
      <c r="G1963" s="1"/>
      <c r="H1963" s="1"/>
      <c r="I1963" s="1"/>
      <c r="J1963" s="1"/>
      <c r="K1963" s="1" t="s">
        <v>7595</v>
      </c>
    </row>
    <row r="1964" ht="14.25" customHeight="1">
      <c r="A1964" s="3" t="s">
        <v>48</v>
      </c>
      <c r="B1964" s="1">
        <v>7.3</v>
      </c>
      <c r="C1964" s="1" t="s">
        <v>1270</v>
      </c>
      <c r="D1964" s="1" t="s">
        <v>917</v>
      </c>
      <c r="E1964" s="1" t="s">
        <v>17471</v>
      </c>
      <c r="F1964" s="1"/>
      <c r="G1964" s="1"/>
      <c r="H1964" s="1"/>
      <c r="I1964" s="1"/>
      <c r="J1964" s="1"/>
      <c r="K1964" s="1" t="s">
        <v>7765</v>
      </c>
    </row>
    <row r="1965" ht="14.25" customHeight="1">
      <c r="A1965" s="3" t="s">
        <v>48</v>
      </c>
      <c r="B1965" s="1">
        <v>6.5</v>
      </c>
      <c r="C1965" s="1" t="s">
        <v>1270</v>
      </c>
      <c r="D1965" s="1" t="s">
        <v>917</v>
      </c>
      <c r="E1965" s="1" t="s">
        <v>17471</v>
      </c>
      <c r="F1965" s="1"/>
      <c r="G1965" s="1"/>
      <c r="H1965" s="1"/>
      <c r="I1965" s="1"/>
      <c r="J1965" s="1"/>
      <c r="K1965" s="1" t="s">
        <v>8266</v>
      </c>
    </row>
    <row r="1966" ht="14.25" customHeight="1">
      <c r="A1966" s="3" t="s">
        <v>48</v>
      </c>
      <c r="B1966" s="1">
        <v>7.2</v>
      </c>
      <c r="C1966" s="1" t="s">
        <v>1270</v>
      </c>
      <c r="D1966" s="1" t="s">
        <v>917</v>
      </c>
      <c r="E1966" s="1" t="s">
        <v>17471</v>
      </c>
      <c r="F1966" s="1"/>
      <c r="G1966" s="1"/>
      <c r="H1966" s="1"/>
      <c r="I1966" s="1"/>
      <c r="J1966" s="1"/>
      <c r="K1966" s="1" t="s">
        <v>8402</v>
      </c>
    </row>
    <row r="1967" ht="14.25" customHeight="1">
      <c r="A1967" s="3" t="s">
        <v>48</v>
      </c>
      <c r="B1967" s="1">
        <v>6.3</v>
      </c>
      <c r="C1967" s="1" t="s">
        <v>1270</v>
      </c>
      <c r="D1967" s="1" t="s">
        <v>917</v>
      </c>
      <c r="E1967" s="1" t="s">
        <v>17471</v>
      </c>
      <c r="F1967" s="1"/>
      <c r="G1967" s="1"/>
      <c r="H1967" s="1"/>
      <c r="I1967" s="1"/>
      <c r="J1967" s="1"/>
      <c r="K1967" s="1" t="s">
        <v>9697</v>
      </c>
    </row>
    <row r="1968" ht="14.25" customHeight="1">
      <c r="A1968" s="3" t="s">
        <v>48</v>
      </c>
      <c r="B1968" s="1">
        <v>5.9</v>
      </c>
      <c r="C1968" s="1" t="s">
        <v>1270</v>
      </c>
      <c r="D1968" s="1" t="s">
        <v>917</v>
      </c>
      <c r="E1968" s="1" t="s">
        <v>17471</v>
      </c>
      <c r="F1968" s="1"/>
      <c r="G1968" s="1"/>
      <c r="H1968" s="1"/>
      <c r="I1968" s="1"/>
      <c r="J1968" s="1"/>
      <c r="K1968" s="1" t="s">
        <v>1623</v>
      </c>
    </row>
    <row r="1969" ht="14.25" customHeight="1">
      <c r="A1969" s="3" t="s">
        <v>48</v>
      </c>
      <c r="B1969" s="1">
        <v>7.8</v>
      </c>
      <c r="C1969" s="1" t="s">
        <v>1270</v>
      </c>
      <c r="D1969" s="1" t="s">
        <v>917</v>
      </c>
      <c r="E1969" s="1" t="s">
        <v>17471</v>
      </c>
      <c r="F1969" s="1"/>
      <c r="G1969" s="1"/>
      <c r="H1969" s="1"/>
      <c r="I1969" s="1"/>
      <c r="J1969" s="1"/>
      <c r="K1969" s="1" t="s">
        <v>13674</v>
      </c>
    </row>
    <row r="1970" ht="14.25" customHeight="1">
      <c r="A1970" s="3" t="s">
        <v>48</v>
      </c>
      <c r="B1970" s="1">
        <v>7.4</v>
      </c>
      <c r="C1970" s="1" t="s">
        <v>1270</v>
      </c>
      <c r="D1970" s="1" t="s">
        <v>917</v>
      </c>
      <c r="E1970" s="1" t="s">
        <v>17471</v>
      </c>
      <c r="F1970" s="1"/>
      <c r="G1970" s="1"/>
      <c r="H1970" s="1"/>
      <c r="I1970" s="1"/>
      <c r="J1970" s="1"/>
      <c r="K1970" s="1" t="s">
        <v>13723</v>
      </c>
    </row>
    <row r="1971" ht="14.25" customHeight="1">
      <c r="A1971" s="3" t="s">
        <v>48</v>
      </c>
      <c r="B1971" s="1">
        <v>4.8</v>
      </c>
      <c r="C1971" s="1" t="s">
        <v>1270</v>
      </c>
      <c r="D1971" s="1" t="s">
        <v>917</v>
      </c>
      <c r="E1971" s="1" t="s">
        <v>17471</v>
      </c>
      <c r="F1971" s="1"/>
      <c r="G1971" s="1"/>
      <c r="H1971" s="1"/>
      <c r="I1971" s="1"/>
      <c r="J1971" s="1"/>
      <c r="K1971" s="1" t="s">
        <v>13981</v>
      </c>
    </row>
    <row r="1972" ht="14.25" customHeight="1">
      <c r="A1972" s="3" t="s">
        <v>48</v>
      </c>
      <c r="B1972" s="1">
        <v>6.3</v>
      </c>
      <c r="C1972" s="1" t="s">
        <v>1270</v>
      </c>
      <c r="D1972" s="1" t="s">
        <v>917</v>
      </c>
      <c r="E1972" s="1" t="s">
        <v>17471</v>
      </c>
      <c r="F1972" s="1"/>
      <c r="G1972" s="1"/>
      <c r="H1972" s="1"/>
      <c r="I1972" s="1"/>
      <c r="J1972" s="1"/>
      <c r="K1972" s="1" t="s">
        <v>14235</v>
      </c>
    </row>
    <row r="1973" ht="14.25" customHeight="1">
      <c r="A1973" s="3" t="s">
        <v>48</v>
      </c>
      <c r="B1973" s="1">
        <v>7.8</v>
      </c>
      <c r="C1973" s="1" t="s">
        <v>1270</v>
      </c>
      <c r="D1973" s="1" t="s">
        <v>917</v>
      </c>
      <c r="E1973" s="1" t="s">
        <v>17471</v>
      </c>
      <c r="F1973" s="1"/>
      <c r="G1973" s="1"/>
      <c r="H1973" s="1"/>
      <c r="I1973" s="1"/>
      <c r="J1973" s="1"/>
      <c r="K1973" s="1" t="s">
        <v>14264</v>
      </c>
    </row>
    <row r="1974" ht="14.25" customHeight="1">
      <c r="A1974" s="3" t="s">
        <v>48</v>
      </c>
      <c r="B1974" s="1">
        <v>7.5</v>
      </c>
      <c r="C1974" s="1" t="s">
        <v>1270</v>
      </c>
      <c r="D1974" s="1" t="s">
        <v>917</v>
      </c>
      <c r="E1974" s="1" t="s">
        <v>17471</v>
      </c>
      <c r="F1974" s="1"/>
      <c r="G1974" s="1"/>
      <c r="H1974" s="1"/>
      <c r="I1974" s="1"/>
      <c r="J1974" s="1"/>
      <c r="K1974" s="1" t="s">
        <v>14292</v>
      </c>
    </row>
    <row r="1975" ht="14.25" customHeight="1">
      <c r="A1975" s="3" t="s">
        <v>48</v>
      </c>
      <c r="B1975" s="1">
        <v>6.8</v>
      </c>
      <c r="C1975" s="1" t="s">
        <v>1270</v>
      </c>
      <c r="D1975" s="1" t="s">
        <v>917</v>
      </c>
      <c r="E1975" s="1" t="s">
        <v>17471</v>
      </c>
      <c r="F1975" s="1"/>
      <c r="G1975" s="1"/>
      <c r="H1975" s="1"/>
      <c r="I1975" s="1"/>
      <c r="J1975" s="1"/>
      <c r="K1975" s="1" t="s">
        <v>232</v>
      </c>
    </row>
    <row r="1976" ht="14.25" customHeight="1">
      <c r="A1976" s="3" t="s">
        <v>48</v>
      </c>
      <c r="B1976" s="1">
        <v>6.6</v>
      </c>
      <c r="C1976" s="1" t="s">
        <v>1270</v>
      </c>
      <c r="D1976" s="1" t="s">
        <v>917</v>
      </c>
      <c r="E1976" s="1" t="s">
        <v>17471</v>
      </c>
      <c r="F1976" s="1"/>
      <c r="G1976" s="1"/>
      <c r="H1976" s="1"/>
      <c r="I1976" s="1"/>
      <c r="J1976" s="1"/>
      <c r="K1976" s="1" t="s">
        <v>15832</v>
      </c>
    </row>
    <row r="1977" ht="14.25" customHeight="1">
      <c r="A1977" s="3" t="s">
        <v>48</v>
      </c>
      <c r="B1977" s="1">
        <v>4.6</v>
      </c>
      <c r="C1977" s="1" t="s">
        <v>1270</v>
      </c>
      <c r="D1977" s="1" t="s">
        <v>917</v>
      </c>
      <c r="E1977" s="1" t="s">
        <v>17471</v>
      </c>
      <c r="F1977" s="1"/>
      <c r="G1977" s="1"/>
      <c r="H1977" s="1"/>
      <c r="I1977" s="1"/>
      <c r="J1977" s="1"/>
      <c r="K1977" s="1" t="s">
        <v>16267</v>
      </c>
    </row>
    <row r="1978" ht="14.25" customHeight="1">
      <c r="A1978" s="3" t="s">
        <v>48</v>
      </c>
      <c r="B1978" s="1">
        <v>7.1</v>
      </c>
      <c r="C1978" s="1" t="s">
        <v>1270</v>
      </c>
      <c r="D1978" s="1" t="s">
        <v>917</v>
      </c>
      <c r="E1978" s="1" t="s">
        <v>17471</v>
      </c>
      <c r="F1978" s="1"/>
      <c r="G1978" s="1"/>
      <c r="H1978" s="1"/>
      <c r="I1978" s="1"/>
      <c r="J1978" s="1"/>
      <c r="K1978" s="1" t="s">
        <v>16825</v>
      </c>
    </row>
    <row r="1979" ht="14.25" customHeight="1">
      <c r="A1979" s="3" t="s">
        <v>1650</v>
      </c>
      <c r="B1979" s="1">
        <v>6.1</v>
      </c>
      <c r="C1979" s="1" t="s">
        <v>1270</v>
      </c>
      <c r="D1979" s="1" t="s">
        <v>1885</v>
      </c>
      <c r="E1979" s="1" t="s">
        <v>17471</v>
      </c>
      <c r="F1979" s="1"/>
      <c r="G1979" s="1"/>
      <c r="H1979" s="1"/>
      <c r="I1979" s="1"/>
      <c r="J1979" s="1"/>
      <c r="K1979" s="1" t="s">
        <v>1649</v>
      </c>
    </row>
    <row r="1980" ht="14.25" customHeight="1">
      <c r="A1980" s="3" t="s">
        <v>1650</v>
      </c>
      <c r="B1980" s="1">
        <v>6.7</v>
      </c>
      <c r="C1980" s="1" t="s">
        <v>1270</v>
      </c>
      <c r="D1980" s="1" t="s">
        <v>1885</v>
      </c>
      <c r="E1980" s="1" t="s">
        <v>17471</v>
      </c>
      <c r="F1980" s="1"/>
      <c r="G1980" s="1"/>
      <c r="H1980" s="1"/>
      <c r="I1980" s="1"/>
      <c r="J1980" s="1"/>
      <c r="K1980" s="1" t="s">
        <v>7183</v>
      </c>
    </row>
    <row r="1981" ht="14.25" customHeight="1">
      <c r="A1981" s="3" t="s">
        <v>1650</v>
      </c>
      <c r="B1981" s="1">
        <v>7.1</v>
      </c>
      <c r="C1981" s="1" t="s">
        <v>1270</v>
      </c>
      <c r="D1981" s="1" t="s">
        <v>1885</v>
      </c>
      <c r="E1981" s="1" t="s">
        <v>17471</v>
      </c>
      <c r="F1981" s="1"/>
      <c r="G1981" s="1"/>
      <c r="H1981" s="1"/>
      <c r="I1981" s="1"/>
      <c r="J1981" s="1"/>
      <c r="K1981" s="1" t="s">
        <v>13583</v>
      </c>
    </row>
    <row r="1982" ht="14.25" customHeight="1">
      <c r="A1982" s="3" t="s">
        <v>1650</v>
      </c>
      <c r="B1982" s="1">
        <v>5.8</v>
      </c>
      <c r="C1982" s="1" t="s">
        <v>1270</v>
      </c>
      <c r="D1982" s="1" t="s">
        <v>1885</v>
      </c>
      <c r="E1982" s="1" t="s">
        <v>17471</v>
      </c>
      <c r="F1982" s="1"/>
      <c r="G1982" s="1"/>
      <c r="H1982" s="1"/>
      <c r="I1982" s="1"/>
      <c r="J1982" s="1"/>
      <c r="K1982" s="1" t="s">
        <v>16010</v>
      </c>
    </row>
    <row r="1983" ht="14.25" customHeight="1">
      <c r="A1983" s="3" t="s">
        <v>326</v>
      </c>
      <c r="B1983" s="1">
        <v>6.7</v>
      </c>
      <c r="C1983" s="1" t="s">
        <v>1270</v>
      </c>
      <c r="D1983" s="1" t="s">
        <v>17763</v>
      </c>
      <c r="E1983" s="1" t="s">
        <v>17471</v>
      </c>
      <c r="F1983" s="1"/>
      <c r="G1983" s="1"/>
      <c r="H1983" s="1"/>
      <c r="I1983" s="1"/>
      <c r="J1983" s="1"/>
      <c r="K1983" s="1" t="s">
        <v>325</v>
      </c>
    </row>
    <row r="1984" ht="14.25" customHeight="1">
      <c r="A1984" s="3" t="s">
        <v>326</v>
      </c>
      <c r="B1984" s="1">
        <v>5.8</v>
      </c>
      <c r="C1984" s="1" t="s">
        <v>1270</v>
      </c>
      <c r="D1984" s="1" t="s">
        <v>17763</v>
      </c>
      <c r="E1984" s="1" t="s">
        <v>17471</v>
      </c>
      <c r="F1984" s="1"/>
      <c r="G1984" s="1"/>
      <c r="H1984" s="1"/>
      <c r="I1984" s="1"/>
      <c r="J1984" s="1"/>
      <c r="K1984" s="1" t="s">
        <v>644</v>
      </c>
    </row>
    <row r="1985" ht="14.25" customHeight="1">
      <c r="A1985" s="3" t="s">
        <v>326</v>
      </c>
      <c r="B1985" s="1">
        <v>6.8</v>
      </c>
      <c r="C1985" s="1" t="s">
        <v>1270</v>
      </c>
      <c r="D1985" s="1" t="s">
        <v>17763</v>
      </c>
      <c r="E1985" s="1" t="s">
        <v>17471</v>
      </c>
      <c r="F1985" s="1"/>
      <c r="G1985" s="1"/>
      <c r="H1985" s="1"/>
      <c r="I1985" s="1"/>
      <c r="J1985" s="1"/>
      <c r="K1985" s="1" t="s">
        <v>1022</v>
      </c>
    </row>
    <row r="1986" ht="14.25" customHeight="1">
      <c r="A1986" s="3" t="s">
        <v>326</v>
      </c>
      <c r="B1986" s="1">
        <v>8.5</v>
      </c>
      <c r="C1986" s="1" t="s">
        <v>1270</v>
      </c>
      <c r="D1986" s="1" t="s">
        <v>17763</v>
      </c>
      <c r="E1986" s="1" t="s">
        <v>17471</v>
      </c>
      <c r="F1986" s="1"/>
      <c r="G1986" s="1"/>
      <c r="H1986" s="1"/>
      <c r="I1986" s="1"/>
      <c r="J1986" s="1"/>
      <c r="K1986" s="1" t="s">
        <v>1235</v>
      </c>
    </row>
    <row r="1987" ht="14.25" customHeight="1">
      <c r="A1987" s="3" t="s">
        <v>326</v>
      </c>
      <c r="B1987" s="1">
        <v>6.6</v>
      </c>
      <c r="C1987" s="1" t="s">
        <v>1270</v>
      </c>
      <c r="D1987" s="1" t="s">
        <v>17763</v>
      </c>
      <c r="E1987" s="1" t="s">
        <v>17471</v>
      </c>
      <c r="F1987" s="1"/>
      <c r="G1987" s="1"/>
      <c r="H1987" s="1"/>
      <c r="I1987" s="1"/>
      <c r="J1987" s="1"/>
      <c r="K1987" s="1" t="s">
        <v>1605</v>
      </c>
    </row>
    <row r="1988" ht="14.25" customHeight="1">
      <c r="A1988" s="3" t="s">
        <v>326</v>
      </c>
      <c r="B1988" s="1">
        <v>7.7</v>
      </c>
      <c r="C1988" s="1" t="s">
        <v>1270</v>
      </c>
      <c r="D1988" s="1" t="s">
        <v>17763</v>
      </c>
      <c r="E1988" s="1" t="s">
        <v>17471</v>
      </c>
      <c r="F1988" s="1"/>
      <c r="G1988" s="1"/>
      <c r="H1988" s="1"/>
      <c r="I1988" s="1"/>
      <c r="J1988" s="1"/>
      <c r="K1988" s="1" t="s">
        <v>1657</v>
      </c>
    </row>
    <row r="1989" ht="14.25" customHeight="1">
      <c r="A1989" s="3" t="s">
        <v>326</v>
      </c>
      <c r="B1989" s="1">
        <v>4.7</v>
      </c>
      <c r="C1989" s="1" t="s">
        <v>1270</v>
      </c>
      <c r="D1989" s="1" t="s">
        <v>17763</v>
      </c>
      <c r="E1989" s="1" t="s">
        <v>17471</v>
      </c>
      <c r="F1989" s="1"/>
      <c r="G1989" s="1"/>
      <c r="H1989" s="1"/>
      <c r="I1989" s="1"/>
      <c r="J1989" s="1"/>
      <c r="K1989" s="1" t="s">
        <v>2156</v>
      </c>
    </row>
    <row r="1990" ht="14.25" customHeight="1">
      <c r="A1990" s="3" t="s">
        <v>326</v>
      </c>
      <c r="B1990" s="1">
        <v>6.4</v>
      </c>
      <c r="C1990" s="1" t="s">
        <v>1270</v>
      </c>
      <c r="D1990" s="1" t="s">
        <v>17763</v>
      </c>
      <c r="E1990" s="1" t="s">
        <v>17471</v>
      </c>
      <c r="F1990" s="1"/>
      <c r="G1990" s="1"/>
      <c r="H1990" s="1"/>
      <c r="I1990" s="1"/>
      <c r="J1990" s="1"/>
      <c r="K1990" s="1" t="s">
        <v>644</v>
      </c>
    </row>
    <row r="1991" ht="14.25" customHeight="1">
      <c r="A1991" s="3" t="s">
        <v>326</v>
      </c>
      <c r="B1991" s="1">
        <v>5.5</v>
      </c>
      <c r="C1991" s="1" t="s">
        <v>1270</v>
      </c>
      <c r="D1991" s="1" t="s">
        <v>17763</v>
      </c>
      <c r="E1991" s="1" t="s">
        <v>17471</v>
      </c>
      <c r="F1991" s="1"/>
      <c r="G1991" s="1"/>
      <c r="H1991" s="1"/>
      <c r="I1991" s="1"/>
      <c r="J1991" s="1"/>
      <c r="K1991" s="1" t="s">
        <v>2326</v>
      </c>
    </row>
    <row r="1992" ht="14.25" customHeight="1">
      <c r="A1992" s="3" t="s">
        <v>326</v>
      </c>
      <c r="B1992" s="1">
        <v>8.6</v>
      </c>
      <c r="C1992" s="1" t="s">
        <v>1270</v>
      </c>
      <c r="D1992" s="1" t="s">
        <v>17763</v>
      </c>
      <c r="E1992" s="1" t="s">
        <v>17471</v>
      </c>
      <c r="F1992" s="1"/>
      <c r="G1992" s="1"/>
      <c r="H1992" s="1"/>
      <c r="I1992" s="1"/>
      <c r="J1992" s="1"/>
      <c r="K1992" s="1" t="s">
        <v>2518</v>
      </c>
    </row>
    <row r="1993" ht="14.25" customHeight="1">
      <c r="A1993" s="3" t="s">
        <v>326</v>
      </c>
      <c r="B1993" s="1">
        <v>7.0</v>
      </c>
      <c r="C1993" s="1" t="s">
        <v>1270</v>
      </c>
      <c r="D1993" s="1" t="s">
        <v>17763</v>
      </c>
      <c r="E1993" s="1" t="s">
        <v>17471</v>
      </c>
      <c r="F1993" s="1"/>
      <c r="G1993" s="1"/>
      <c r="H1993" s="1"/>
      <c r="I1993" s="1"/>
      <c r="J1993" s="1"/>
      <c r="K1993" s="1" t="s">
        <v>2639</v>
      </c>
    </row>
    <row r="1994" ht="14.25" customHeight="1">
      <c r="A1994" s="3" t="s">
        <v>326</v>
      </c>
      <c r="B1994" s="1">
        <v>7.1</v>
      </c>
      <c r="C1994" s="1" t="s">
        <v>1270</v>
      </c>
      <c r="D1994" s="1" t="s">
        <v>17763</v>
      </c>
      <c r="E1994" s="1" t="s">
        <v>17471</v>
      </c>
      <c r="F1994" s="1"/>
      <c r="G1994" s="1"/>
      <c r="H1994" s="1"/>
      <c r="I1994" s="1"/>
      <c r="J1994" s="1"/>
      <c r="K1994" s="1" t="s">
        <v>2794</v>
      </c>
    </row>
    <row r="1995" ht="14.25" customHeight="1">
      <c r="A1995" s="3" t="s">
        <v>326</v>
      </c>
      <c r="B1995" s="1">
        <v>5.7</v>
      </c>
      <c r="C1995" s="1" t="s">
        <v>1270</v>
      </c>
      <c r="D1995" s="1" t="s">
        <v>17763</v>
      </c>
      <c r="E1995" s="1" t="s">
        <v>17471</v>
      </c>
      <c r="F1995" s="1"/>
      <c r="G1995" s="1"/>
      <c r="H1995" s="1"/>
      <c r="I1995" s="1"/>
      <c r="J1995" s="1"/>
      <c r="K1995" s="1" t="s">
        <v>3304</v>
      </c>
    </row>
    <row r="1996" ht="14.25" customHeight="1">
      <c r="A1996" s="3" t="s">
        <v>326</v>
      </c>
      <c r="B1996" s="1">
        <v>3.7</v>
      </c>
      <c r="C1996" s="1" t="s">
        <v>1270</v>
      </c>
      <c r="D1996" s="1" t="s">
        <v>17763</v>
      </c>
      <c r="E1996" s="1" t="s">
        <v>17471</v>
      </c>
      <c r="F1996" s="1"/>
      <c r="G1996" s="1"/>
      <c r="H1996" s="1"/>
      <c r="I1996" s="1"/>
      <c r="J1996" s="1"/>
      <c r="K1996" s="1" t="s">
        <v>3514</v>
      </c>
    </row>
    <row r="1997" ht="14.25" customHeight="1">
      <c r="A1997" s="3" t="s">
        <v>326</v>
      </c>
      <c r="B1997" s="1">
        <v>7.5</v>
      </c>
      <c r="C1997" s="1" t="s">
        <v>1270</v>
      </c>
      <c r="D1997" s="1" t="s">
        <v>17763</v>
      </c>
      <c r="E1997" s="1" t="s">
        <v>17471</v>
      </c>
      <c r="F1997" s="1"/>
      <c r="G1997" s="1"/>
      <c r="H1997" s="1"/>
      <c r="I1997" s="1"/>
      <c r="J1997" s="1"/>
      <c r="K1997" s="1" t="s">
        <v>3628</v>
      </c>
    </row>
    <row r="1998" ht="14.25" customHeight="1">
      <c r="A1998" s="3" t="s">
        <v>326</v>
      </c>
      <c r="B1998" s="1">
        <v>4.6</v>
      </c>
      <c r="C1998" s="1" t="s">
        <v>1270</v>
      </c>
      <c r="D1998" s="1" t="s">
        <v>17763</v>
      </c>
      <c r="E1998" s="1" t="s">
        <v>17471</v>
      </c>
      <c r="F1998" s="1"/>
      <c r="G1998" s="1"/>
      <c r="H1998" s="1"/>
      <c r="I1998" s="1"/>
      <c r="J1998" s="1"/>
      <c r="K1998" s="1" t="s">
        <v>3787</v>
      </c>
    </row>
    <row r="1999" ht="14.25" customHeight="1">
      <c r="A1999" s="3" t="s">
        <v>326</v>
      </c>
      <c r="B1999" s="1">
        <v>4.9</v>
      </c>
      <c r="C1999" s="1" t="s">
        <v>1270</v>
      </c>
      <c r="D1999" s="1" t="s">
        <v>17763</v>
      </c>
      <c r="E1999" s="1" t="s">
        <v>17471</v>
      </c>
      <c r="F1999" s="1"/>
      <c r="G1999" s="1"/>
      <c r="H1999" s="1"/>
      <c r="I1999" s="1"/>
      <c r="J1999" s="1"/>
      <c r="K1999" s="1" t="s">
        <v>4029</v>
      </c>
    </row>
    <row r="2000" ht="14.25" customHeight="1">
      <c r="A2000" s="3" t="s">
        <v>326</v>
      </c>
      <c r="B2000" s="1">
        <v>6.9</v>
      </c>
      <c r="C2000" s="1" t="s">
        <v>1270</v>
      </c>
      <c r="D2000" s="1" t="s">
        <v>17763</v>
      </c>
      <c r="E2000" s="1" t="s">
        <v>17471</v>
      </c>
      <c r="F2000" s="1"/>
      <c r="G2000" s="1"/>
      <c r="H2000" s="1"/>
      <c r="I2000" s="1"/>
      <c r="J2000" s="1"/>
      <c r="K2000" s="1" t="s">
        <v>4363</v>
      </c>
    </row>
    <row r="2001" ht="14.25" customHeight="1">
      <c r="A2001" s="3" t="s">
        <v>326</v>
      </c>
      <c r="B2001" s="1">
        <v>7.1</v>
      </c>
      <c r="C2001" s="1" t="s">
        <v>1270</v>
      </c>
      <c r="D2001" s="1" t="s">
        <v>17763</v>
      </c>
      <c r="E2001" s="1" t="s">
        <v>17471</v>
      </c>
      <c r="F2001" s="1"/>
      <c r="G2001" s="1"/>
      <c r="H2001" s="1"/>
      <c r="I2001" s="1"/>
      <c r="J2001" s="1"/>
      <c r="K2001" s="1" t="s">
        <v>4606</v>
      </c>
    </row>
    <row r="2002" ht="14.25" customHeight="1">
      <c r="A2002" s="3" t="s">
        <v>326</v>
      </c>
      <c r="B2002" s="1">
        <v>5.8</v>
      </c>
      <c r="C2002" s="1" t="s">
        <v>1270</v>
      </c>
      <c r="D2002" s="1" t="s">
        <v>17763</v>
      </c>
      <c r="E2002" s="1" t="s">
        <v>17471</v>
      </c>
      <c r="F2002" s="1"/>
      <c r="G2002" s="1"/>
      <c r="H2002" s="1"/>
      <c r="I2002" s="1"/>
      <c r="J2002" s="1"/>
      <c r="K2002" s="1" t="s">
        <v>5010</v>
      </c>
    </row>
    <row r="2003" ht="14.25" customHeight="1">
      <c r="A2003" s="3" t="s">
        <v>326</v>
      </c>
      <c r="B2003" s="1">
        <v>7.0</v>
      </c>
      <c r="C2003" s="1" t="s">
        <v>1270</v>
      </c>
      <c r="D2003" s="1" t="s">
        <v>17763</v>
      </c>
      <c r="E2003" s="1" t="s">
        <v>17471</v>
      </c>
      <c r="F2003" s="1"/>
      <c r="G2003" s="1"/>
      <c r="H2003" s="1"/>
      <c r="I2003" s="1"/>
      <c r="J2003" s="1"/>
      <c r="K2003" s="1" t="s">
        <v>5039</v>
      </c>
    </row>
    <row r="2004" ht="14.25" customHeight="1">
      <c r="A2004" s="3" t="s">
        <v>326</v>
      </c>
      <c r="B2004" s="1">
        <v>5.4</v>
      </c>
      <c r="C2004" s="1" t="s">
        <v>1270</v>
      </c>
      <c r="D2004" s="1" t="s">
        <v>17763</v>
      </c>
      <c r="E2004" s="1" t="s">
        <v>17471</v>
      </c>
      <c r="F2004" s="1"/>
      <c r="G2004" s="1"/>
      <c r="H2004" s="1"/>
      <c r="I2004" s="1"/>
      <c r="J2004" s="1"/>
      <c r="K2004" s="1" t="s">
        <v>5338</v>
      </c>
    </row>
    <row r="2005" ht="14.25" customHeight="1">
      <c r="A2005" s="3" t="s">
        <v>326</v>
      </c>
      <c r="B2005" s="1">
        <v>7.3</v>
      </c>
      <c r="C2005" s="1" t="s">
        <v>1270</v>
      </c>
      <c r="D2005" s="1" t="s">
        <v>17763</v>
      </c>
      <c r="E2005" s="1" t="s">
        <v>17471</v>
      </c>
      <c r="F2005" s="1"/>
      <c r="G2005" s="1"/>
      <c r="H2005" s="1"/>
      <c r="I2005" s="1"/>
      <c r="J2005" s="1"/>
      <c r="K2005" s="1" t="s">
        <v>5499</v>
      </c>
    </row>
    <row r="2006" ht="14.25" customHeight="1">
      <c r="A2006" s="3" t="s">
        <v>326</v>
      </c>
      <c r="B2006" s="1">
        <v>7.1</v>
      </c>
      <c r="C2006" s="1" t="s">
        <v>1270</v>
      </c>
      <c r="D2006" s="1" t="s">
        <v>17763</v>
      </c>
      <c r="E2006" s="1" t="s">
        <v>17471</v>
      </c>
      <c r="F2006" s="1"/>
      <c r="G2006" s="1"/>
      <c r="H2006" s="1"/>
      <c r="I2006" s="1"/>
      <c r="J2006" s="1"/>
      <c r="K2006" s="1" t="s">
        <v>5599</v>
      </c>
    </row>
    <row r="2007" ht="14.25" customHeight="1">
      <c r="A2007" s="3" t="s">
        <v>326</v>
      </c>
      <c r="B2007" s="1">
        <v>5.8</v>
      </c>
      <c r="C2007" s="1" t="s">
        <v>1270</v>
      </c>
      <c r="D2007" s="1" t="s">
        <v>17763</v>
      </c>
      <c r="E2007" s="1" t="s">
        <v>17471</v>
      </c>
      <c r="F2007" s="1"/>
      <c r="G2007" s="1"/>
      <c r="H2007" s="1"/>
      <c r="I2007" s="1"/>
      <c r="J2007" s="1"/>
      <c r="K2007" s="1" t="s">
        <v>5706</v>
      </c>
    </row>
    <row r="2008" ht="14.25" customHeight="1">
      <c r="A2008" s="3" t="s">
        <v>326</v>
      </c>
      <c r="B2008" s="1">
        <v>8.1</v>
      </c>
      <c r="C2008" s="1" t="s">
        <v>1270</v>
      </c>
      <c r="D2008" s="1" t="s">
        <v>17763</v>
      </c>
      <c r="E2008" s="1" t="s">
        <v>17471</v>
      </c>
      <c r="F2008" s="1"/>
      <c r="G2008" s="1"/>
      <c r="H2008" s="1"/>
      <c r="I2008" s="1"/>
      <c r="J2008" s="1"/>
      <c r="K2008" s="1" t="s">
        <v>5838</v>
      </c>
    </row>
    <row r="2009" ht="14.25" customHeight="1">
      <c r="A2009" s="3" t="s">
        <v>326</v>
      </c>
      <c r="B2009" s="1">
        <v>5.7</v>
      </c>
      <c r="C2009" s="1" t="s">
        <v>1270</v>
      </c>
      <c r="D2009" s="1" t="s">
        <v>17763</v>
      </c>
      <c r="E2009" s="1" t="s">
        <v>17471</v>
      </c>
      <c r="F2009" s="1"/>
      <c r="G2009" s="1"/>
      <c r="H2009" s="1"/>
      <c r="I2009" s="1"/>
      <c r="J2009" s="1"/>
      <c r="K2009" s="1" t="s">
        <v>6331</v>
      </c>
    </row>
    <row r="2010" ht="14.25" customHeight="1">
      <c r="A2010" s="3" t="s">
        <v>326</v>
      </c>
      <c r="B2010" s="1">
        <v>4.4</v>
      </c>
      <c r="C2010" s="1" t="s">
        <v>1270</v>
      </c>
      <c r="D2010" s="1" t="s">
        <v>17763</v>
      </c>
      <c r="E2010" s="1" t="s">
        <v>17471</v>
      </c>
      <c r="F2010" s="1"/>
      <c r="G2010" s="1"/>
      <c r="H2010" s="1"/>
      <c r="I2010" s="1"/>
      <c r="J2010" s="1"/>
      <c r="K2010" s="1" t="s">
        <v>644</v>
      </c>
    </row>
    <row r="2011" ht="14.25" customHeight="1">
      <c r="A2011" s="3" t="s">
        <v>326</v>
      </c>
      <c r="B2011" s="1">
        <v>7.9</v>
      </c>
      <c r="C2011" s="1" t="s">
        <v>1270</v>
      </c>
      <c r="D2011" s="1" t="s">
        <v>17763</v>
      </c>
      <c r="E2011" s="1" t="s">
        <v>17471</v>
      </c>
      <c r="F2011" s="1"/>
      <c r="G2011" s="1"/>
      <c r="H2011" s="1"/>
      <c r="I2011" s="1"/>
      <c r="J2011" s="1"/>
      <c r="K2011" s="1" t="s">
        <v>6810</v>
      </c>
    </row>
    <row r="2012" ht="14.25" customHeight="1">
      <c r="A2012" s="3" t="s">
        <v>326</v>
      </c>
      <c r="B2012" s="1">
        <v>7.6</v>
      </c>
      <c r="C2012" s="1" t="s">
        <v>1270</v>
      </c>
      <c r="D2012" s="1" t="s">
        <v>17763</v>
      </c>
      <c r="E2012" s="1" t="s">
        <v>17471</v>
      </c>
      <c r="F2012" s="1"/>
      <c r="G2012" s="1"/>
      <c r="H2012" s="1"/>
      <c r="I2012" s="1"/>
      <c r="J2012" s="1"/>
      <c r="K2012" s="1" t="s">
        <v>7119</v>
      </c>
    </row>
    <row r="2013" ht="14.25" customHeight="1">
      <c r="A2013" s="3" t="s">
        <v>326</v>
      </c>
      <c r="B2013" s="1">
        <v>4.8</v>
      </c>
      <c r="C2013" s="1" t="s">
        <v>1270</v>
      </c>
      <c r="D2013" s="1" t="s">
        <v>17763</v>
      </c>
      <c r="E2013" s="1" t="s">
        <v>17471</v>
      </c>
      <c r="F2013" s="1"/>
      <c r="G2013" s="1"/>
      <c r="H2013" s="1"/>
      <c r="I2013" s="1"/>
      <c r="J2013" s="1"/>
      <c r="K2013" s="1" t="s">
        <v>7353</v>
      </c>
    </row>
    <row r="2014" ht="14.25" customHeight="1">
      <c r="A2014" s="3" t="s">
        <v>326</v>
      </c>
      <c r="B2014" s="1">
        <v>2.7</v>
      </c>
      <c r="C2014" s="1" t="s">
        <v>1270</v>
      </c>
      <c r="D2014" s="1" t="s">
        <v>17763</v>
      </c>
      <c r="E2014" s="1" t="s">
        <v>17471</v>
      </c>
      <c r="F2014" s="1"/>
      <c r="G2014" s="1"/>
      <c r="H2014" s="1"/>
      <c r="I2014" s="1"/>
      <c r="J2014" s="1"/>
      <c r="K2014" s="1" t="s">
        <v>7413</v>
      </c>
    </row>
    <row r="2015" ht="14.25" customHeight="1">
      <c r="A2015" s="3" t="s">
        <v>326</v>
      </c>
      <c r="B2015" s="1">
        <v>5.8</v>
      </c>
      <c r="C2015" s="1" t="s">
        <v>1270</v>
      </c>
      <c r="D2015" s="1" t="s">
        <v>17763</v>
      </c>
      <c r="E2015" s="1" t="s">
        <v>17471</v>
      </c>
      <c r="F2015" s="1"/>
      <c r="G2015" s="1"/>
      <c r="H2015" s="1"/>
      <c r="I2015" s="1"/>
      <c r="J2015" s="1"/>
      <c r="K2015" s="1" t="s">
        <v>7455</v>
      </c>
    </row>
    <row r="2016" ht="14.25" customHeight="1">
      <c r="A2016" s="3" t="s">
        <v>326</v>
      </c>
      <c r="B2016" s="1">
        <v>7.5</v>
      </c>
      <c r="C2016" s="1" t="s">
        <v>1270</v>
      </c>
      <c r="D2016" s="1" t="s">
        <v>17763</v>
      </c>
      <c r="E2016" s="1" t="s">
        <v>17471</v>
      </c>
      <c r="F2016" s="1"/>
      <c r="G2016" s="1"/>
      <c r="H2016" s="1"/>
      <c r="I2016" s="1"/>
      <c r="J2016" s="1"/>
      <c r="K2016" s="1" t="s">
        <v>7792</v>
      </c>
    </row>
    <row r="2017" ht="14.25" customHeight="1">
      <c r="A2017" s="3" t="s">
        <v>326</v>
      </c>
      <c r="B2017" s="1">
        <v>5.4</v>
      </c>
      <c r="C2017" s="1" t="s">
        <v>1270</v>
      </c>
      <c r="D2017" s="1" t="s">
        <v>17763</v>
      </c>
      <c r="E2017" s="1" t="s">
        <v>17471</v>
      </c>
      <c r="F2017" s="1"/>
      <c r="G2017" s="1"/>
      <c r="H2017" s="1"/>
      <c r="I2017" s="1"/>
      <c r="J2017" s="1"/>
      <c r="K2017" s="1" t="s">
        <v>7976</v>
      </c>
    </row>
    <row r="2018" ht="14.25" customHeight="1">
      <c r="A2018" s="3" t="s">
        <v>326</v>
      </c>
      <c r="B2018" s="1">
        <v>4.1</v>
      </c>
      <c r="C2018" s="1" t="s">
        <v>1270</v>
      </c>
      <c r="D2018" s="1" t="s">
        <v>17763</v>
      </c>
      <c r="E2018" s="1" t="s">
        <v>17471</v>
      </c>
      <c r="F2018" s="1"/>
      <c r="G2018" s="1"/>
      <c r="H2018" s="1"/>
      <c r="I2018" s="1"/>
      <c r="J2018" s="1"/>
      <c r="K2018" s="1" t="s">
        <v>8060</v>
      </c>
    </row>
    <row r="2019" ht="14.25" customHeight="1">
      <c r="A2019" s="3" t="s">
        <v>326</v>
      </c>
      <c r="B2019" s="1">
        <v>5.9</v>
      </c>
      <c r="C2019" s="1" t="s">
        <v>1270</v>
      </c>
      <c r="D2019" s="1" t="s">
        <v>17763</v>
      </c>
      <c r="E2019" s="1" t="s">
        <v>17471</v>
      </c>
      <c r="F2019" s="1"/>
      <c r="G2019" s="1"/>
      <c r="H2019" s="1"/>
      <c r="I2019" s="1"/>
      <c r="J2019" s="1"/>
      <c r="K2019" s="1" t="s">
        <v>8223</v>
      </c>
    </row>
    <row r="2020" ht="14.25" customHeight="1">
      <c r="A2020" s="3" t="s">
        <v>326</v>
      </c>
      <c r="B2020" s="1">
        <v>6.3</v>
      </c>
      <c r="C2020" s="1" t="s">
        <v>1270</v>
      </c>
      <c r="D2020" s="1" t="s">
        <v>17763</v>
      </c>
      <c r="E2020" s="1" t="s">
        <v>17471</v>
      </c>
      <c r="F2020" s="1"/>
      <c r="G2020" s="1"/>
      <c r="H2020" s="1"/>
      <c r="I2020" s="1"/>
      <c r="J2020" s="1"/>
      <c r="K2020" s="1" t="s">
        <v>8788</v>
      </c>
    </row>
    <row r="2021" ht="14.25" customHeight="1">
      <c r="A2021" s="3" t="s">
        <v>326</v>
      </c>
      <c r="B2021" s="1">
        <v>6.8</v>
      </c>
      <c r="C2021" s="1" t="s">
        <v>1270</v>
      </c>
      <c r="D2021" s="1" t="s">
        <v>17763</v>
      </c>
      <c r="E2021" s="1" t="s">
        <v>17471</v>
      </c>
      <c r="F2021" s="1"/>
      <c r="G2021" s="1"/>
      <c r="H2021" s="1"/>
      <c r="I2021" s="1"/>
      <c r="J2021" s="1"/>
      <c r="K2021" s="1" t="s">
        <v>9025</v>
      </c>
    </row>
    <row r="2022" ht="14.25" customHeight="1">
      <c r="A2022" s="3" t="s">
        <v>326</v>
      </c>
      <c r="B2022" s="1">
        <v>2.3</v>
      </c>
      <c r="C2022" s="1" t="s">
        <v>1270</v>
      </c>
      <c r="D2022" s="1" t="s">
        <v>17763</v>
      </c>
      <c r="E2022" s="1" t="s">
        <v>17471</v>
      </c>
      <c r="F2022" s="1"/>
      <c r="G2022" s="1"/>
      <c r="H2022" s="1"/>
      <c r="I2022" s="1"/>
      <c r="J2022" s="1"/>
      <c r="K2022" s="1" t="s">
        <v>9040</v>
      </c>
    </row>
    <row r="2023" ht="14.25" customHeight="1">
      <c r="A2023" s="3" t="s">
        <v>326</v>
      </c>
      <c r="B2023" s="1">
        <v>6.9</v>
      </c>
      <c r="C2023" s="1" t="s">
        <v>1270</v>
      </c>
      <c r="D2023" s="1" t="s">
        <v>17763</v>
      </c>
      <c r="E2023" s="1" t="s">
        <v>17471</v>
      </c>
      <c r="F2023" s="1"/>
      <c r="G2023" s="1"/>
      <c r="H2023" s="1"/>
      <c r="I2023" s="1"/>
      <c r="J2023" s="1"/>
      <c r="K2023" s="1" t="s">
        <v>9638</v>
      </c>
    </row>
    <row r="2024" ht="14.25" customHeight="1">
      <c r="A2024" s="3" t="s">
        <v>326</v>
      </c>
      <c r="B2024" s="1">
        <v>8.1</v>
      </c>
      <c r="C2024" s="1" t="s">
        <v>1270</v>
      </c>
      <c r="D2024" s="1" t="s">
        <v>17763</v>
      </c>
      <c r="E2024" s="1" t="s">
        <v>17471</v>
      </c>
      <c r="F2024" s="1"/>
      <c r="G2024" s="1"/>
      <c r="H2024" s="1"/>
      <c r="I2024" s="1"/>
      <c r="J2024" s="1"/>
      <c r="K2024" s="1" t="s">
        <v>9725</v>
      </c>
    </row>
    <row r="2025" ht="14.25" customHeight="1">
      <c r="A2025" s="3" t="s">
        <v>326</v>
      </c>
      <c r="B2025" s="1">
        <v>6.1</v>
      </c>
      <c r="C2025" s="1" t="s">
        <v>1270</v>
      </c>
      <c r="D2025" s="1" t="s">
        <v>17763</v>
      </c>
      <c r="E2025" s="1" t="s">
        <v>17471</v>
      </c>
      <c r="F2025" s="1"/>
      <c r="G2025" s="1"/>
      <c r="H2025" s="1"/>
      <c r="I2025" s="1"/>
      <c r="J2025" s="1"/>
      <c r="K2025" s="1" t="s">
        <v>10218</v>
      </c>
    </row>
    <row r="2026" ht="14.25" customHeight="1">
      <c r="A2026" s="3" t="s">
        <v>326</v>
      </c>
      <c r="B2026" s="1">
        <v>5.0</v>
      </c>
      <c r="C2026" s="1" t="s">
        <v>1270</v>
      </c>
      <c r="D2026" s="1" t="s">
        <v>17763</v>
      </c>
      <c r="E2026" s="1" t="s">
        <v>17471</v>
      </c>
      <c r="F2026" s="1"/>
      <c r="G2026" s="1"/>
      <c r="H2026" s="1"/>
      <c r="I2026" s="1"/>
      <c r="J2026" s="1"/>
      <c r="K2026" s="1" t="s">
        <v>10269</v>
      </c>
    </row>
    <row r="2027" ht="14.25" customHeight="1">
      <c r="A2027" s="3" t="s">
        <v>326</v>
      </c>
      <c r="B2027" s="1">
        <v>5.5</v>
      </c>
      <c r="C2027" s="1" t="s">
        <v>1270</v>
      </c>
      <c r="D2027" s="1" t="s">
        <v>17763</v>
      </c>
      <c r="E2027" s="1" t="s">
        <v>17471</v>
      </c>
      <c r="F2027" s="1"/>
      <c r="G2027" s="1"/>
      <c r="H2027" s="1"/>
      <c r="I2027" s="1"/>
      <c r="J2027" s="1"/>
      <c r="K2027" s="1" t="s">
        <v>10319</v>
      </c>
    </row>
    <row r="2028" ht="14.25" customHeight="1">
      <c r="A2028" s="3" t="s">
        <v>326</v>
      </c>
      <c r="B2028" s="1">
        <v>6.2</v>
      </c>
      <c r="C2028" s="1" t="s">
        <v>1270</v>
      </c>
      <c r="D2028" s="1" t="s">
        <v>17763</v>
      </c>
      <c r="E2028" s="1" t="s">
        <v>17471</v>
      </c>
      <c r="F2028" s="1"/>
      <c r="G2028" s="1"/>
      <c r="H2028" s="1"/>
      <c r="I2028" s="1"/>
      <c r="J2028" s="1"/>
      <c r="K2028" s="1" t="s">
        <v>10847</v>
      </c>
    </row>
    <row r="2029" ht="14.25" customHeight="1">
      <c r="A2029" s="3" t="s">
        <v>326</v>
      </c>
      <c r="B2029" s="1">
        <v>6.2</v>
      </c>
      <c r="C2029" s="1" t="s">
        <v>1270</v>
      </c>
      <c r="D2029" s="1" t="s">
        <v>17763</v>
      </c>
      <c r="E2029" s="1" t="s">
        <v>17471</v>
      </c>
      <c r="F2029" s="1"/>
      <c r="G2029" s="1"/>
      <c r="H2029" s="1"/>
      <c r="I2029" s="1"/>
      <c r="J2029" s="1"/>
      <c r="K2029" s="1" t="s">
        <v>10900</v>
      </c>
    </row>
    <row r="2030" ht="14.25" customHeight="1">
      <c r="A2030" s="3" t="s">
        <v>326</v>
      </c>
      <c r="B2030" s="1">
        <v>6.3</v>
      </c>
      <c r="C2030" s="1" t="s">
        <v>1270</v>
      </c>
      <c r="D2030" s="1" t="s">
        <v>17763</v>
      </c>
      <c r="E2030" s="1" t="s">
        <v>17471</v>
      </c>
      <c r="F2030" s="1"/>
      <c r="G2030" s="1"/>
      <c r="H2030" s="1"/>
      <c r="I2030" s="1"/>
      <c r="J2030" s="1"/>
      <c r="K2030" s="1" t="s">
        <v>11703</v>
      </c>
    </row>
    <row r="2031" ht="14.25" customHeight="1">
      <c r="A2031" s="3" t="s">
        <v>326</v>
      </c>
      <c r="B2031" s="1">
        <v>6.7</v>
      </c>
      <c r="C2031" s="1" t="s">
        <v>1270</v>
      </c>
      <c r="D2031" s="1" t="s">
        <v>17763</v>
      </c>
      <c r="E2031" s="1" t="s">
        <v>17471</v>
      </c>
      <c r="F2031" s="1"/>
      <c r="G2031" s="1"/>
      <c r="H2031" s="1"/>
      <c r="I2031" s="1"/>
      <c r="J2031" s="1"/>
      <c r="K2031" s="1" t="s">
        <v>11922</v>
      </c>
    </row>
    <row r="2032" ht="14.25" customHeight="1">
      <c r="A2032" s="3" t="s">
        <v>326</v>
      </c>
      <c r="B2032" s="1">
        <v>3.5</v>
      </c>
      <c r="C2032" s="1" t="s">
        <v>1270</v>
      </c>
      <c r="D2032" s="1" t="s">
        <v>17763</v>
      </c>
      <c r="E2032" s="1" t="s">
        <v>17471</v>
      </c>
      <c r="F2032" s="1"/>
      <c r="G2032" s="1"/>
      <c r="H2032" s="1"/>
      <c r="I2032" s="1"/>
      <c r="J2032" s="1"/>
      <c r="K2032" s="1" t="s">
        <v>12521</v>
      </c>
    </row>
    <row r="2033" ht="14.25" customHeight="1">
      <c r="A2033" s="3" t="s">
        <v>326</v>
      </c>
      <c r="B2033" s="1">
        <v>7.5</v>
      </c>
      <c r="C2033" s="1" t="s">
        <v>1270</v>
      </c>
      <c r="D2033" s="1" t="s">
        <v>17763</v>
      </c>
      <c r="E2033" s="1" t="s">
        <v>17471</v>
      </c>
      <c r="F2033" s="1"/>
      <c r="G2033" s="1"/>
      <c r="H2033" s="1"/>
      <c r="I2033" s="1"/>
      <c r="J2033" s="1"/>
      <c r="K2033" s="1" t="s">
        <v>12726</v>
      </c>
    </row>
    <row r="2034" ht="14.25" customHeight="1">
      <c r="A2034" s="3" t="s">
        <v>326</v>
      </c>
      <c r="B2034" s="1">
        <v>6.6</v>
      </c>
      <c r="C2034" s="1" t="s">
        <v>1270</v>
      </c>
      <c r="D2034" s="1" t="s">
        <v>17763</v>
      </c>
      <c r="E2034" s="1" t="s">
        <v>17471</v>
      </c>
      <c r="F2034" s="1"/>
      <c r="G2034" s="1"/>
      <c r="H2034" s="1"/>
      <c r="I2034" s="1"/>
      <c r="J2034" s="1"/>
      <c r="K2034" s="1" t="s">
        <v>13850</v>
      </c>
    </row>
    <row r="2035" ht="14.25" customHeight="1">
      <c r="A2035" s="3" t="s">
        <v>326</v>
      </c>
      <c r="B2035" s="1">
        <v>7.5</v>
      </c>
      <c r="C2035" s="1" t="s">
        <v>1270</v>
      </c>
      <c r="D2035" s="1" t="s">
        <v>17763</v>
      </c>
      <c r="E2035" s="1" t="s">
        <v>17471</v>
      </c>
      <c r="F2035" s="1"/>
      <c r="G2035" s="1"/>
      <c r="H2035" s="1"/>
      <c r="I2035" s="1"/>
      <c r="J2035" s="1"/>
      <c r="K2035" s="1" t="s">
        <v>14011</v>
      </c>
    </row>
    <row r="2036" ht="14.25" customHeight="1">
      <c r="A2036" s="3" t="s">
        <v>326</v>
      </c>
      <c r="B2036" s="1">
        <v>7.2</v>
      </c>
      <c r="C2036" s="1" t="s">
        <v>1270</v>
      </c>
      <c r="D2036" s="1" t="s">
        <v>17763</v>
      </c>
      <c r="E2036" s="1" t="s">
        <v>17471</v>
      </c>
      <c r="F2036" s="1"/>
      <c r="G2036" s="1"/>
      <c r="H2036" s="1"/>
      <c r="I2036" s="1"/>
      <c r="J2036" s="1"/>
      <c r="K2036" s="1" t="s">
        <v>14283</v>
      </c>
    </row>
    <row r="2037" ht="14.25" customHeight="1">
      <c r="A2037" s="3" t="s">
        <v>326</v>
      </c>
      <c r="B2037" s="1">
        <v>4.8</v>
      </c>
      <c r="C2037" s="1" t="s">
        <v>1270</v>
      </c>
      <c r="D2037" s="1" t="s">
        <v>17763</v>
      </c>
      <c r="E2037" s="1" t="s">
        <v>17471</v>
      </c>
      <c r="F2037" s="1"/>
      <c r="G2037" s="1"/>
      <c r="H2037" s="1"/>
      <c r="I2037" s="1"/>
      <c r="J2037" s="1"/>
      <c r="K2037" s="1" t="s">
        <v>15407</v>
      </c>
    </row>
    <row r="2038" ht="14.25" customHeight="1">
      <c r="A2038" s="3" t="s">
        <v>326</v>
      </c>
      <c r="B2038" s="1">
        <v>6.6</v>
      </c>
      <c r="C2038" s="1" t="s">
        <v>1270</v>
      </c>
      <c r="D2038" s="1" t="s">
        <v>17763</v>
      </c>
      <c r="E2038" s="1" t="s">
        <v>17471</v>
      </c>
      <c r="F2038" s="1"/>
      <c r="G2038" s="1"/>
      <c r="H2038" s="1"/>
      <c r="I2038" s="1"/>
      <c r="J2038" s="1"/>
      <c r="K2038" s="1" t="s">
        <v>16804</v>
      </c>
    </row>
    <row r="2039" ht="14.25" customHeight="1">
      <c r="A2039" s="3" t="s">
        <v>5605</v>
      </c>
      <c r="B2039" s="1">
        <v>3.5</v>
      </c>
      <c r="C2039" s="1" t="s">
        <v>1885</v>
      </c>
      <c r="D2039" s="1" t="s">
        <v>17763</v>
      </c>
      <c r="E2039" s="1" t="s">
        <v>17471</v>
      </c>
      <c r="F2039" s="1"/>
      <c r="G2039" s="1"/>
      <c r="H2039" s="1"/>
      <c r="I2039" s="1"/>
      <c r="J2039" s="1"/>
      <c r="K2039" s="1" t="s">
        <v>5604</v>
      </c>
    </row>
    <row r="2040" ht="14.25" customHeight="1">
      <c r="A2040" s="3" t="s">
        <v>5605</v>
      </c>
      <c r="B2040" s="1">
        <v>7.6</v>
      </c>
      <c r="C2040" s="1" t="s">
        <v>1885</v>
      </c>
      <c r="D2040" s="1" t="s">
        <v>17763</v>
      </c>
      <c r="E2040" s="1" t="s">
        <v>17471</v>
      </c>
      <c r="F2040" s="1"/>
      <c r="G2040" s="1"/>
      <c r="H2040" s="1"/>
      <c r="I2040" s="1"/>
      <c r="J2040" s="1"/>
      <c r="K2040" s="1" t="s">
        <v>6964</v>
      </c>
    </row>
    <row r="2041" ht="14.25" customHeight="1">
      <c r="A2041" s="3" t="s">
        <v>5605</v>
      </c>
      <c r="B2041" s="1">
        <v>6.3</v>
      </c>
      <c r="C2041" s="1" t="s">
        <v>1885</v>
      </c>
      <c r="D2041" s="1" t="s">
        <v>17763</v>
      </c>
      <c r="E2041" s="1" t="s">
        <v>17471</v>
      </c>
      <c r="F2041" s="1"/>
      <c r="G2041" s="1"/>
      <c r="H2041" s="1"/>
      <c r="I2041" s="1"/>
      <c r="J2041" s="1"/>
      <c r="K2041" s="1" t="s">
        <v>7559</v>
      </c>
    </row>
    <row r="2042" ht="14.25" customHeight="1">
      <c r="A2042" s="3" t="s">
        <v>5605</v>
      </c>
      <c r="B2042" s="1">
        <v>5.5</v>
      </c>
      <c r="C2042" s="1" t="s">
        <v>1885</v>
      </c>
      <c r="D2042" s="1" t="s">
        <v>17763</v>
      </c>
      <c r="E2042" s="1" t="s">
        <v>17471</v>
      </c>
      <c r="F2042" s="1"/>
      <c r="G2042" s="1"/>
      <c r="H2042" s="1"/>
      <c r="I2042" s="1"/>
      <c r="J2042" s="1"/>
      <c r="K2042" s="1" t="s">
        <v>8001</v>
      </c>
    </row>
    <row r="2043" ht="14.25" customHeight="1">
      <c r="A2043" s="3" t="s">
        <v>5605</v>
      </c>
      <c r="B2043" s="1">
        <v>6.3</v>
      </c>
      <c r="C2043" s="1" t="s">
        <v>1885</v>
      </c>
      <c r="D2043" s="1" t="s">
        <v>17763</v>
      </c>
      <c r="E2043" s="1" t="s">
        <v>17471</v>
      </c>
      <c r="F2043" s="1"/>
      <c r="G2043" s="1"/>
      <c r="H2043" s="1"/>
      <c r="I2043" s="1"/>
      <c r="J2043" s="1"/>
      <c r="K2043" s="1" t="s">
        <v>9657</v>
      </c>
    </row>
    <row r="2044" ht="14.25" customHeight="1">
      <c r="A2044" s="3" t="s">
        <v>5605</v>
      </c>
      <c r="B2044" s="1">
        <v>6.5</v>
      </c>
      <c r="C2044" s="1" t="s">
        <v>1885</v>
      </c>
      <c r="D2044" s="1" t="s">
        <v>17763</v>
      </c>
      <c r="E2044" s="1" t="s">
        <v>17471</v>
      </c>
      <c r="F2044" s="1"/>
      <c r="G2044" s="1"/>
      <c r="H2044" s="1"/>
      <c r="I2044" s="1"/>
      <c r="J2044" s="1"/>
      <c r="K2044" s="1" t="s">
        <v>12359</v>
      </c>
    </row>
    <row r="2045" ht="14.25" customHeight="1">
      <c r="A2045" s="3" t="s">
        <v>5605</v>
      </c>
      <c r="B2045" s="1">
        <v>6.9</v>
      </c>
      <c r="C2045" s="1" t="s">
        <v>1885</v>
      </c>
      <c r="D2045" s="1" t="s">
        <v>17763</v>
      </c>
      <c r="E2045" s="1" t="s">
        <v>17471</v>
      </c>
      <c r="F2045" s="1"/>
      <c r="G2045" s="1"/>
      <c r="H2045" s="1"/>
      <c r="I2045" s="1"/>
      <c r="J2045" s="1"/>
      <c r="K2045" s="1" t="s">
        <v>12378</v>
      </c>
    </row>
    <row r="2046" ht="14.25" customHeight="1">
      <c r="A2046" s="3" t="s">
        <v>5605</v>
      </c>
      <c r="B2046" s="1">
        <v>7.6</v>
      </c>
      <c r="C2046" s="1" t="s">
        <v>1885</v>
      </c>
      <c r="D2046" s="1" t="s">
        <v>17763</v>
      </c>
      <c r="E2046" s="1" t="s">
        <v>17471</v>
      </c>
      <c r="F2046" s="1"/>
      <c r="G2046" s="1"/>
      <c r="H2046" s="1"/>
      <c r="I2046" s="1"/>
      <c r="J2046" s="1"/>
      <c r="K2046" s="1" t="s">
        <v>13394</v>
      </c>
    </row>
    <row r="2047" ht="14.25" customHeight="1">
      <c r="A2047" s="3" t="s">
        <v>5605</v>
      </c>
      <c r="B2047" s="1">
        <v>3.9</v>
      </c>
      <c r="C2047" s="1" t="s">
        <v>1885</v>
      </c>
      <c r="D2047" s="1" t="s">
        <v>17763</v>
      </c>
      <c r="E2047" s="1" t="s">
        <v>17471</v>
      </c>
      <c r="F2047" s="1"/>
      <c r="G2047" s="1"/>
      <c r="H2047" s="1"/>
      <c r="I2047" s="1"/>
      <c r="J2047" s="1"/>
      <c r="K2047" s="1" t="s">
        <v>13553</v>
      </c>
    </row>
    <row r="2048" ht="14.25" customHeight="1">
      <c r="A2048" s="3" t="s">
        <v>5605</v>
      </c>
      <c r="B2048" s="1">
        <v>6.1</v>
      </c>
      <c r="C2048" s="1" t="s">
        <v>1885</v>
      </c>
      <c r="D2048" s="1" t="s">
        <v>17763</v>
      </c>
      <c r="E2048" s="1" t="s">
        <v>17471</v>
      </c>
      <c r="F2048" s="1"/>
      <c r="G2048" s="1"/>
      <c r="H2048" s="1"/>
      <c r="I2048" s="1"/>
      <c r="J2048" s="1"/>
      <c r="K2048" s="1" t="s">
        <v>14456</v>
      </c>
    </row>
    <row r="2049" ht="14.25" customHeight="1">
      <c r="A2049" s="3" t="s">
        <v>5605</v>
      </c>
      <c r="B2049" s="1">
        <v>7.3</v>
      </c>
      <c r="C2049" s="1" t="s">
        <v>1885</v>
      </c>
      <c r="D2049" s="1" t="s">
        <v>17763</v>
      </c>
      <c r="E2049" s="1" t="s">
        <v>17471</v>
      </c>
      <c r="F2049" s="1"/>
      <c r="G2049" s="1"/>
      <c r="H2049" s="1"/>
      <c r="I2049" s="1"/>
      <c r="J2049" s="1"/>
      <c r="K2049" s="1" t="s">
        <v>14747</v>
      </c>
    </row>
    <row r="2050" ht="14.25" customHeight="1">
      <c r="A2050" s="3" t="s">
        <v>5605</v>
      </c>
      <c r="B2050" s="1">
        <v>8.3</v>
      </c>
      <c r="C2050" s="1" t="s">
        <v>1885</v>
      </c>
      <c r="D2050" s="1" t="s">
        <v>17763</v>
      </c>
      <c r="E2050" s="1" t="s">
        <v>17471</v>
      </c>
      <c r="F2050" s="1"/>
      <c r="G2050" s="1"/>
      <c r="H2050" s="1"/>
      <c r="I2050" s="1"/>
      <c r="J2050" s="1"/>
      <c r="K2050" s="1" t="s">
        <v>15974</v>
      </c>
    </row>
    <row r="2051" ht="14.25" customHeight="1">
      <c r="A2051" s="3" t="s">
        <v>5605</v>
      </c>
      <c r="B2051" s="1">
        <v>5.8</v>
      </c>
      <c r="C2051" s="1" t="s">
        <v>1885</v>
      </c>
      <c r="D2051" s="1" t="s">
        <v>17763</v>
      </c>
      <c r="E2051" s="1" t="s">
        <v>17471</v>
      </c>
      <c r="F2051" s="1"/>
      <c r="G2051" s="1"/>
      <c r="H2051" s="1"/>
      <c r="I2051" s="1"/>
      <c r="J2051" s="1"/>
      <c r="K2051" s="1" t="s">
        <v>16996</v>
      </c>
    </row>
    <row r="2052" ht="14.25" customHeight="1">
      <c r="A2052" s="3" t="s">
        <v>886</v>
      </c>
      <c r="B2052" s="1">
        <v>6.8</v>
      </c>
      <c r="C2052" s="1" t="s">
        <v>1270</v>
      </c>
      <c r="D2052" s="1" t="s">
        <v>3238</v>
      </c>
      <c r="E2052" s="1" t="s">
        <v>17471</v>
      </c>
      <c r="F2052" s="1"/>
      <c r="G2052" s="1"/>
      <c r="H2052" s="1"/>
      <c r="I2052" s="1"/>
      <c r="J2052" s="1"/>
      <c r="K2052" s="1" t="s">
        <v>885</v>
      </c>
    </row>
    <row r="2053" ht="14.25" customHeight="1">
      <c r="A2053" s="3" t="s">
        <v>886</v>
      </c>
      <c r="B2053" s="1">
        <v>7.0</v>
      </c>
      <c r="C2053" s="1" t="s">
        <v>1270</v>
      </c>
      <c r="D2053" s="1" t="s">
        <v>3238</v>
      </c>
      <c r="E2053" s="1" t="s">
        <v>17471</v>
      </c>
      <c r="F2053" s="1"/>
      <c r="G2053" s="1"/>
      <c r="H2053" s="1"/>
      <c r="I2053" s="1"/>
      <c r="J2053" s="1"/>
      <c r="K2053" s="1" t="s">
        <v>2343</v>
      </c>
    </row>
    <row r="2054" ht="14.25" customHeight="1">
      <c r="A2054" s="3" t="s">
        <v>886</v>
      </c>
      <c r="B2054" s="1">
        <v>5.9</v>
      </c>
      <c r="C2054" s="1" t="s">
        <v>1270</v>
      </c>
      <c r="D2054" s="1" t="s">
        <v>3238</v>
      </c>
      <c r="E2054" s="1" t="s">
        <v>17471</v>
      </c>
      <c r="F2054" s="1"/>
      <c r="G2054" s="1"/>
      <c r="H2054" s="1"/>
      <c r="I2054" s="1"/>
      <c r="J2054" s="1"/>
      <c r="K2054" s="1" t="s">
        <v>3057</v>
      </c>
    </row>
    <row r="2055" ht="14.25" customHeight="1">
      <c r="A2055" s="3" t="s">
        <v>886</v>
      </c>
      <c r="B2055" s="1">
        <v>6.5</v>
      </c>
      <c r="C2055" s="1" t="s">
        <v>1270</v>
      </c>
      <c r="D2055" s="1" t="s">
        <v>3238</v>
      </c>
      <c r="E2055" s="1" t="s">
        <v>17471</v>
      </c>
      <c r="F2055" s="1"/>
      <c r="G2055" s="1"/>
      <c r="H2055" s="1"/>
      <c r="I2055" s="1"/>
      <c r="J2055" s="1"/>
      <c r="K2055" s="1" t="s">
        <v>3359</v>
      </c>
    </row>
    <row r="2056" ht="14.25" customHeight="1">
      <c r="A2056" s="3" t="s">
        <v>886</v>
      </c>
      <c r="B2056" s="1">
        <v>6.4</v>
      </c>
      <c r="C2056" s="1" t="s">
        <v>1270</v>
      </c>
      <c r="D2056" s="1" t="s">
        <v>3238</v>
      </c>
      <c r="E2056" s="1" t="s">
        <v>17471</v>
      </c>
      <c r="F2056" s="1"/>
      <c r="G2056" s="1"/>
      <c r="H2056" s="1"/>
      <c r="I2056" s="1"/>
      <c r="J2056" s="1"/>
      <c r="K2056" s="1" t="s">
        <v>3407</v>
      </c>
    </row>
    <row r="2057" ht="14.25" customHeight="1">
      <c r="A2057" s="3" t="s">
        <v>886</v>
      </c>
      <c r="B2057" s="1">
        <v>5.8</v>
      </c>
      <c r="C2057" s="1" t="s">
        <v>1270</v>
      </c>
      <c r="D2057" s="1" t="s">
        <v>3238</v>
      </c>
      <c r="E2057" s="1" t="s">
        <v>17471</v>
      </c>
      <c r="F2057" s="1"/>
      <c r="G2057" s="1"/>
      <c r="H2057" s="1"/>
      <c r="I2057" s="1"/>
      <c r="J2057" s="1"/>
      <c r="K2057" s="1" t="s">
        <v>3583</v>
      </c>
    </row>
    <row r="2058" ht="14.25" customHeight="1">
      <c r="A2058" s="3" t="s">
        <v>886</v>
      </c>
      <c r="B2058" s="1">
        <v>5.1</v>
      </c>
      <c r="C2058" s="1" t="s">
        <v>1270</v>
      </c>
      <c r="D2058" s="1" t="s">
        <v>3238</v>
      </c>
      <c r="E2058" s="1" t="s">
        <v>17471</v>
      </c>
      <c r="F2058" s="1"/>
      <c r="G2058" s="1"/>
      <c r="H2058" s="1"/>
      <c r="I2058" s="1"/>
      <c r="J2058" s="1"/>
      <c r="K2058" s="1" t="s">
        <v>3847</v>
      </c>
    </row>
    <row r="2059" ht="14.25" customHeight="1">
      <c r="A2059" s="3" t="s">
        <v>886</v>
      </c>
      <c r="B2059" s="1">
        <v>6.8</v>
      </c>
      <c r="C2059" s="1" t="s">
        <v>1270</v>
      </c>
      <c r="D2059" s="1" t="s">
        <v>3238</v>
      </c>
      <c r="E2059" s="1" t="s">
        <v>17471</v>
      </c>
      <c r="F2059" s="1"/>
      <c r="G2059" s="1"/>
      <c r="H2059" s="1"/>
      <c r="I2059" s="1"/>
      <c r="J2059" s="1"/>
      <c r="K2059" s="1" t="s">
        <v>3949</v>
      </c>
    </row>
    <row r="2060" ht="14.25" customHeight="1">
      <c r="A2060" s="3" t="s">
        <v>886</v>
      </c>
      <c r="B2060" s="1">
        <v>5.3</v>
      </c>
      <c r="C2060" s="1" t="s">
        <v>1270</v>
      </c>
      <c r="D2060" s="1" t="s">
        <v>3238</v>
      </c>
      <c r="E2060" s="1" t="s">
        <v>17471</v>
      </c>
      <c r="F2060" s="1"/>
      <c r="G2060" s="1"/>
      <c r="H2060" s="1"/>
      <c r="I2060" s="1"/>
      <c r="J2060" s="1"/>
      <c r="K2060" s="1" t="s">
        <v>4126</v>
      </c>
    </row>
    <row r="2061" ht="14.25" customHeight="1">
      <c r="A2061" s="3" t="s">
        <v>886</v>
      </c>
      <c r="B2061" s="1">
        <v>5.3</v>
      </c>
      <c r="C2061" s="1" t="s">
        <v>1270</v>
      </c>
      <c r="D2061" s="1" t="s">
        <v>3238</v>
      </c>
      <c r="E2061" s="1" t="s">
        <v>17471</v>
      </c>
      <c r="F2061" s="1"/>
      <c r="G2061" s="1"/>
      <c r="H2061" s="1"/>
      <c r="I2061" s="1"/>
      <c r="J2061" s="1"/>
      <c r="K2061" s="1" t="s">
        <v>4841</v>
      </c>
    </row>
    <row r="2062" ht="14.25" customHeight="1">
      <c r="A2062" s="3" t="s">
        <v>886</v>
      </c>
      <c r="B2062" s="1">
        <v>4.9</v>
      </c>
      <c r="C2062" s="1" t="s">
        <v>1270</v>
      </c>
      <c r="D2062" s="1" t="s">
        <v>3238</v>
      </c>
      <c r="E2062" s="1" t="s">
        <v>17471</v>
      </c>
      <c r="F2062" s="1"/>
      <c r="G2062" s="1"/>
      <c r="H2062" s="1"/>
      <c r="I2062" s="1"/>
      <c r="J2062" s="1"/>
      <c r="K2062" s="1" t="s">
        <v>4856</v>
      </c>
    </row>
    <row r="2063" ht="14.25" customHeight="1">
      <c r="A2063" s="3" t="s">
        <v>886</v>
      </c>
      <c r="B2063" s="1">
        <v>6.8</v>
      </c>
      <c r="C2063" s="1" t="s">
        <v>1270</v>
      </c>
      <c r="D2063" s="1" t="s">
        <v>3238</v>
      </c>
      <c r="E2063" s="1" t="s">
        <v>17471</v>
      </c>
      <c r="F2063" s="1"/>
      <c r="G2063" s="1"/>
      <c r="H2063" s="1"/>
      <c r="I2063" s="1"/>
      <c r="J2063" s="1"/>
      <c r="K2063" s="1" t="s">
        <v>7863</v>
      </c>
    </row>
    <row r="2064" ht="14.25" customHeight="1">
      <c r="A2064" s="3" t="s">
        <v>886</v>
      </c>
      <c r="B2064" s="1">
        <v>6.1</v>
      </c>
      <c r="C2064" s="1" t="s">
        <v>1270</v>
      </c>
      <c r="D2064" s="1" t="s">
        <v>3238</v>
      </c>
      <c r="E2064" s="1" t="s">
        <v>17471</v>
      </c>
      <c r="F2064" s="1"/>
      <c r="G2064" s="1"/>
      <c r="H2064" s="1"/>
      <c r="I2064" s="1"/>
      <c r="J2064" s="1"/>
      <c r="K2064" s="1" t="s">
        <v>8332</v>
      </c>
    </row>
    <row r="2065" ht="14.25" customHeight="1">
      <c r="A2065" s="3" t="s">
        <v>886</v>
      </c>
      <c r="B2065" s="1">
        <v>8.5</v>
      </c>
      <c r="C2065" s="1" t="s">
        <v>1270</v>
      </c>
      <c r="D2065" s="1" t="s">
        <v>3238</v>
      </c>
      <c r="E2065" s="1" t="s">
        <v>17471</v>
      </c>
      <c r="F2065" s="1"/>
      <c r="G2065" s="1"/>
      <c r="H2065" s="1"/>
      <c r="I2065" s="1"/>
      <c r="J2065" s="1"/>
      <c r="K2065" s="1" t="s">
        <v>9170</v>
      </c>
    </row>
    <row r="2066" ht="14.25" customHeight="1">
      <c r="A2066" s="3" t="s">
        <v>886</v>
      </c>
      <c r="B2066" s="1">
        <v>5.9</v>
      </c>
      <c r="C2066" s="1" t="s">
        <v>1270</v>
      </c>
      <c r="D2066" s="1" t="s">
        <v>3238</v>
      </c>
      <c r="E2066" s="1" t="s">
        <v>17471</v>
      </c>
      <c r="F2066" s="1"/>
      <c r="G2066" s="1"/>
      <c r="H2066" s="1"/>
      <c r="I2066" s="1"/>
      <c r="J2066" s="1"/>
      <c r="K2066" s="1" t="s">
        <v>11519</v>
      </c>
    </row>
    <row r="2067" ht="14.25" customHeight="1">
      <c r="A2067" s="3" t="s">
        <v>886</v>
      </c>
      <c r="B2067" s="1">
        <v>6.3</v>
      </c>
      <c r="C2067" s="1" t="s">
        <v>1270</v>
      </c>
      <c r="D2067" s="1" t="s">
        <v>3238</v>
      </c>
      <c r="E2067" s="1" t="s">
        <v>17471</v>
      </c>
      <c r="F2067" s="1"/>
      <c r="G2067" s="1"/>
      <c r="H2067" s="1"/>
      <c r="I2067" s="1"/>
      <c r="J2067" s="1"/>
      <c r="K2067" s="1" t="s">
        <v>11681</v>
      </c>
    </row>
    <row r="2068" ht="14.25" customHeight="1">
      <c r="A2068" s="3" t="s">
        <v>886</v>
      </c>
      <c r="B2068" s="1">
        <v>5.9</v>
      </c>
      <c r="C2068" s="1" t="s">
        <v>1270</v>
      </c>
      <c r="D2068" s="1" t="s">
        <v>3238</v>
      </c>
      <c r="E2068" s="1" t="s">
        <v>17471</v>
      </c>
      <c r="F2068" s="1"/>
      <c r="G2068" s="1"/>
      <c r="H2068" s="1"/>
      <c r="I2068" s="1"/>
      <c r="J2068" s="1"/>
      <c r="K2068" s="1" t="s">
        <v>13502</v>
      </c>
    </row>
    <row r="2069" ht="14.25" customHeight="1">
      <c r="A2069" s="3" t="s">
        <v>886</v>
      </c>
      <c r="B2069" s="1">
        <v>5.4</v>
      </c>
      <c r="C2069" s="1" t="s">
        <v>1270</v>
      </c>
      <c r="D2069" s="1" t="s">
        <v>3238</v>
      </c>
      <c r="E2069" s="1" t="s">
        <v>17471</v>
      </c>
      <c r="F2069" s="1"/>
      <c r="G2069" s="1"/>
      <c r="H2069" s="1"/>
      <c r="I2069" s="1"/>
      <c r="J2069" s="1"/>
      <c r="K2069" s="1" t="s">
        <v>11519</v>
      </c>
    </row>
    <row r="2070" ht="14.25" customHeight="1">
      <c r="A2070" s="3" t="s">
        <v>1744</v>
      </c>
      <c r="B2070" s="1">
        <v>6.9</v>
      </c>
      <c r="C2070" s="1" t="s">
        <v>917</v>
      </c>
      <c r="D2070" s="1" t="s">
        <v>3238</v>
      </c>
      <c r="E2070" s="1" t="s">
        <v>17471</v>
      </c>
      <c r="F2070" s="1"/>
      <c r="G2070" s="1"/>
      <c r="H2070" s="1"/>
      <c r="I2070" s="1"/>
      <c r="J2070" s="1"/>
      <c r="K2070" s="1" t="s">
        <v>1743</v>
      </c>
    </row>
    <row r="2071" ht="14.25" customHeight="1">
      <c r="A2071" s="3" t="s">
        <v>1744</v>
      </c>
      <c r="B2071" s="1">
        <v>7.5</v>
      </c>
      <c r="C2071" s="1" t="s">
        <v>917</v>
      </c>
      <c r="D2071" s="1" t="s">
        <v>3238</v>
      </c>
      <c r="E2071" s="1" t="s">
        <v>17471</v>
      </c>
      <c r="F2071" s="1"/>
      <c r="G2071" s="1"/>
      <c r="H2071" s="1"/>
      <c r="I2071" s="1"/>
      <c r="J2071" s="1"/>
      <c r="K2071" s="1" t="s">
        <v>5002</v>
      </c>
    </row>
    <row r="2072" ht="14.25" customHeight="1">
      <c r="A2072" s="3" t="s">
        <v>1744</v>
      </c>
      <c r="B2072" s="1">
        <v>8.2</v>
      </c>
      <c r="C2072" s="1" t="s">
        <v>917</v>
      </c>
      <c r="D2072" s="1" t="s">
        <v>3238</v>
      </c>
      <c r="E2072" s="1" t="s">
        <v>17471</v>
      </c>
      <c r="F2072" s="1"/>
      <c r="G2072" s="1"/>
      <c r="H2072" s="1"/>
      <c r="I2072" s="1"/>
      <c r="J2072" s="1"/>
      <c r="K2072" s="1" t="s">
        <v>7942</v>
      </c>
    </row>
    <row r="2073" ht="14.25" customHeight="1">
      <c r="A2073" s="3" t="s">
        <v>1744</v>
      </c>
      <c r="B2073" s="1">
        <v>5.9</v>
      </c>
      <c r="C2073" s="1" t="s">
        <v>917</v>
      </c>
      <c r="D2073" s="1" t="s">
        <v>3238</v>
      </c>
      <c r="E2073" s="1" t="s">
        <v>17471</v>
      </c>
      <c r="F2073" s="1"/>
      <c r="G2073" s="1"/>
      <c r="H2073" s="1"/>
      <c r="I2073" s="1"/>
      <c r="J2073" s="1"/>
      <c r="K2073" s="1" t="s">
        <v>12551</v>
      </c>
    </row>
    <row r="2074" ht="14.25" customHeight="1">
      <c r="A2074" s="3" t="s">
        <v>1744</v>
      </c>
      <c r="B2074" s="1">
        <v>5.0</v>
      </c>
      <c r="C2074" s="1" t="s">
        <v>917</v>
      </c>
      <c r="D2074" s="1" t="s">
        <v>3238</v>
      </c>
      <c r="E2074" s="1" t="s">
        <v>17471</v>
      </c>
      <c r="F2074" s="1"/>
      <c r="G2074" s="1"/>
      <c r="H2074" s="1"/>
      <c r="I2074" s="1"/>
      <c r="J2074" s="1"/>
      <c r="K2074" s="1" t="s">
        <v>13886</v>
      </c>
    </row>
    <row r="2075" ht="14.25" customHeight="1">
      <c r="A2075" s="3" t="s">
        <v>1744</v>
      </c>
      <c r="B2075" s="1">
        <v>7.3</v>
      </c>
      <c r="C2075" s="1" t="s">
        <v>917</v>
      </c>
      <c r="D2075" s="1" t="s">
        <v>3238</v>
      </c>
      <c r="E2075" s="1" t="s">
        <v>17471</v>
      </c>
      <c r="F2075" s="1"/>
      <c r="G2075" s="1"/>
      <c r="H2075" s="1"/>
      <c r="I2075" s="1"/>
      <c r="J2075" s="1"/>
      <c r="K2075" s="1" t="s">
        <v>13892</v>
      </c>
    </row>
    <row r="2076" ht="14.25" customHeight="1">
      <c r="A2076" s="3" t="s">
        <v>3404</v>
      </c>
      <c r="B2076" s="1">
        <v>6.4</v>
      </c>
      <c r="C2076" s="1" t="s">
        <v>17765</v>
      </c>
      <c r="D2076" s="1" t="s">
        <v>3238</v>
      </c>
      <c r="E2076" s="1" t="s">
        <v>17471</v>
      </c>
      <c r="F2076" s="1"/>
      <c r="G2076" s="1"/>
      <c r="H2076" s="1"/>
      <c r="I2076" s="1"/>
      <c r="J2076" s="1"/>
      <c r="K2076" s="1" t="s">
        <v>3403</v>
      </c>
    </row>
    <row r="2077" ht="14.25" customHeight="1">
      <c r="A2077" s="3" t="s">
        <v>3404</v>
      </c>
      <c r="B2077" s="1">
        <v>6.6</v>
      </c>
      <c r="C2077" s="1" t="s">
        <v>17765</v>
      </c>
      <c r="D2077" s="1" t="s">
        <v>3238</v>
      </c>
      <c r="E2077" s="1" t="s">
        <v>17471</v>
      </c>
      <c r="F2077" s="1"/>
      <c r="G2077" s="1"/>
      <c r="H2077" s="1"/>
      <c r="I2077" s="1"/>
      <c r="J2077" s="1"/>
      <c r="K2077" s="1" t="s">
        <v>4351</v>
      </c>
    </row>
    <row r="2078" ht="14.25" customHeight="1">
      <c r="A2078" s="3" t="s">
        <v>3404</v>
      </c>
      <c r="B2078" s="1">
        <v>7.8</v>
      </c>
      <c r="C2078" s="1" t="s">
        <v>17765</v>
      </c>
      <c r="D2078" s="1" t="s">
        <v>3238</v>
      </c>
      <c r="E2078" s="1" t="s">
        <v>17471</v>
      </c>
      <c r="F2078" s="1"/>
      <c r="G2078" s="1"/>
      <c r="H2078" s="1"/>
      <c r="I2078" s="1"/>
      <c r="J2078" s="1"/>
      <c r="K2078" s="1" t="s">
        <v>5145</v>
      </c>
    </row>
    <row r="2079" ht="14.25" customHeight="1">
      <c r="A2079" s="3" t="s">
        <v>3404</v>
      </c>
      <c r="B2079" s="1">
        <v>4.0</v>
      </c>
      <c r="C2079" s="1" t="s">
        <v>17765</v>
      </c>
      <c r="D2079" s="1" t="s">
        <v>3238</v>
      </c>
      <c r="E2079" s="1" t="s">
        <v>17471</v>
      </c>
      <c r="F2079" s="1"/>
      <c r="G2079" s="1"/>
      <c r="H2079" s="1"/>
      <c r="I2079" s="1"/>
      <c r="J2079" s="1"/>
      <c r="K2079" s="1" t="s">
        <v>8721</v>
      </c>
    </row>
    <row r="2080" ht="14.25" customHeight="1">
      <c r="A2080" s="3" t="s">
        <v>3404</v>
      </c>
      <c r="B2080" s="1">
        <v>7.6</v>
      </c>
      <c r="C2080" s="1" t="s">
        <v>17765</v>
      </c>
      <c r="D2080" s="1" t="s">
        <v>3238</v>
      </c>
      <c r="E2080" s="1" t="s">
        <v>17471</v>
      </c>
      <c r="F2080" s="1"/>
      <c r="G2080" s="1"/>
      <c r="H2080" s="1"/>
      <c r="I2080" s="1"/>
      <c r="J2080" s="1"/>
      <c r="K2080" s="1" t="s">
        <v>10389</v>
      </c>
    </row>
    <row r="2081" ht="14.25" customHeight="1">
      <c r="A2081" s="3" t="s">
        <v>3404</v>
      </c>
      <c r="B2081" s="1">
        <v>7.7</v>
      </c>
      <c r="C2081" s="1" t="s">
        <v>17765</v>
      </c>
      <c r="D2081" s="1" t="s">
        <v>3238</v>
      </c>
      <c r="E2081" s="1" t="s">
        <v>17471</v>
      </c>
      <c r="F2081" s="1"/>
      <c r="G2081" s="1"/>
      <c r="H2081" s="1"/>
      <c r="I2081" s="1"/>
      <c r="J2081" s="1"/>
      <c r="K2081" s="1" t="s">
        <v>10572</v>
      </c>
    </row>
    <row r="2082" ht="14.25" customHeight="1">
      <c r="A2082" s="3" t="s">
        <v>3404</v>
      </c>
      <c r="B2082" s="1">
        <v>5.8</v>
      </c>
      <c r="C2082" s="1" t="s">
        <v>17765</v>
      </c>
      <c r="D2082" s="1" t="s">
        <v>3238</v>
      </c>
      <c r="E2082" s="1" t="s">
        <v>17471</v>
      </c>
      <c r="F2082" s="1"/>
      <c r="G2082" s="1"/>
      <c r="H2082" s="1"/>
      <c r="I2082" s="1"/>
      <c r="J2082" s="1"/>
      <c r="K2082" s="1" t="s">
        <v>15787</v>
      </c>
    </row>
    <row r="2083" ht="14.25" customHeight="1">
      <c r="A2083" s="3" t="s">
        <v>5275</v>
      </c>
      <c r="B2083" s="1">
        <v>5.2</v>
      </c>
      <c r="C2083" s="1" t="s">
        <v>1885</v>
      </c>
      <c r="D2083" s="1" t="s">
        <v>3238</v>
      </c>
      <c r="E2083" s="1" t="s">
        <v>17471</v>
      </c>
      <c r="F2083" s="1"/>
      <c r="G2083" s="1"/>
      <c r="H2083" s="1"/>
      <c r="I2083" s="1"/>
      <c r="J2083" s="1"/>
      <c r="K2083" s="1" t="s">
        <v>5274</v>
      </c>
    </row>
    <row r="2084" ht="14.25" customHeight="1">
      <c r="A2084" s="3" t="s">
        <v>2045</v>
      </c>
      <c r="B2084" s="1">
        <v>5.6</v>
      </c>
      <c r="C2084" s="1" t="s">
        <v>17763</v>
      </c>
      <c r="D2084" s="1" t="s">
        <v>3238</v>
      </c>
      <c r="E2084" s="1" t="s">
        <v>17471</v>
      </c>
      <c r="F2084" s="1"/>
      <c r="G2084" s="1"/>
      <c r="H2084" s="1"/>
      <c r="I2084" s="1"/>
      <c r="J2084" s="1"/>
      <c r="K2084" s="1" t="s">
        <v>2044</v>
      </c>
    </row>
    <row r="2085" ht="14.25" customHeight="1">
      <c r="A2085" s="3" t="s">
        <v>2045</v>
      </c>
      <c r="B2085" s="1">
        <v>5.3</v>
      </c>
      <c r="C2085" s="1" t="s">
        <v>17763</v>
      </c>
      <c r="D2085" s="1" t="s">
        <v>3238</v>
      </c>
      <c r="E2085" s="1" t="s">
        <v>17471</v>
      </c>
      <c r="F2085" s="1"/>
      <c r="G2085" s="1"/>
      <c r="H2085" s="1"/>
      <c r="I2085" s="1"/>
      <c r="J2085" s="1"/>
      <c r="K2085" s="1" t="s">
        <v>2509</v>
      </c>
    </row>
    <row r="2086" ht="14.25" customHeight="1">
      <c r="A2086" s="3" t="s">
        <v>2045</v>
      </c>
      <c r="B2086" s="1">
        <v>6.6</v>
      </c>
      <c r="C2086" s="1" t="s">
        <v>17763</v>
      </c>
      <c r="D2086" s="1" t="s">
        <v>3238</v>
      </c>
      <c r="E2086" s="1" t="s">
        <v>17471</v>
      </c>
      <c r="F2086" s="1"/>
      <c r="G2086" s="1"/>
      <c r="H2086" s="1"/>
      <c r="I2086" s="1"/>
      <c r="J2086" s="1"/>
      <c r="K2086" s="1" t="s">
        <v>2782</v>
      </c>
    </row>
    <row r="2087" ht="14.25" customHeight="1">
      <c r="A2087" s="3" t="s">
        <v>2045</v>
      </c>
      <c r="B2087" s="1">
        <v>1.9</v>
      </c>
      <c r="C2087" s="1" t="s">
        <v>17763</v>
      </c>
      <c r="D2087" s="1" t="s">
        <v>3238</v>
      </c>
      <c r="E2087" s="1" t="s">
        <v>17471</v>
      </c>
      <c r="F2087" s="1"/>
      <c r="G2087" s="1"/>
      <c r="H2087" s="1"/>
      <c r="I2087" s="1"/>
      <c r="J2087" s="1"/>
      <c r="K2087" s="1" t="s">
        <v>3367</v>
      </c>
    </row>
    <row r="2088" ht="14.25" customHeight="1">
      <c r="A2088" s="3" t="s">
        <v>2045</v>
      </c>
      <c r="B2088" s="1">
        <v>5.7</v>
      </c>
      <c r="C2088" s="1" t="s">
        <v>17763</v>
      </c>
      <c r="D2088" s="1" t="s">
        <v>3238</v>
      </c>
      <c r="E2088" s="1" t="s">
        <v>17471</v>
      </c>
      <c r="F2088" s="1"/>
      <c r="G2088" s="1"/>
      <c r="H2088" s="1"/>
      <c r="I2088" s="1"/>
      <c r="J2088" s="1"/>
      <c r="K2088" s="1" t="s">
        <v>3840</v>
      </c>
    </row>
    <row r="2089" ht="14.25" customHeight="1">
      <c r="A2089" s="3" t="s">
        <v>2045</v>
      </c>
      <c r="B2089" s="1">
        <v>6.6</v>
      </c>
      <c r="C2089" s="1" t="s">
        <v>17763</v>
      </c>
      <c r="D2089" s="1" t="s">
        <v>3238</v>
      </c>
      <c r="E2089" s="1" t="s">
        <v>17471</v>
      </c>
      <c r="F2089" s="1"/>
      <c r="G2089" s="1"/>
      <c r="H2089" s="1"/>
      <c r="I2089" s="1"/>
      <c r="J2089" s="1"/>
      <c r="K2089" s="1" t="s">
        <v>4629</v>
      </c>
    </row>
    <row r="2090" ht="14.25" customHeight="1">
      <c r="A2090" s="3" t="s">
        <v>2045</v>
      </c>
      <c r="B2090" s="1">
        <v>6.0</v>
      </c>
      <c r="C2090" s="1" t="s">
        <v>17763</v>
      </c>
      <c r="D2090" s="1" t="s">
        <v>3238</v>
      </c>
      <c r="E2090" s="1" t="s">
        <v>17471</v>
      </c>
      <c r="F2090" s="1"/>
      <c r="G2090" s="1"/>
      <c r="H2090" s="1"/>
      <c r="I2090" s="1"/>
      <c r="J2090" s="1"/>
      <c r="K2090" s="1" t="s">
        <v>5045</v>
      </c>
    </row>
    <row r="2091" ht="14.25" customHeight="1">
      <c r="A2091" s="3" t="s">
        <v>2045</v>
      </c>
      <c r="B2091" s="1">
        <v>6.1</v>
      </c>
      <c r="C2091" s="1" t="s">
        <v>17763</v>
      </c>
      <c r="D2091" s="1" t="s">
        <v>3238</v>
      </c>
      <c r="E2091" s="1" t="s">
        <v>17471</v>
      </c>
      <c r="F2091" s="1"/>
      <c r="G2091" s="1"/>
      <c r="H2091" s="1"/>
      <c r="I2091" s="1"/>
      <c r="J2091" s="1"/>
      <c r="K2091" s="1" t="s">
        <v>5094</v>
      </c>
    </row>
    <row r="2092" ht="14.25" customHeight="1">
      <c r="A2092" s="3" t="s">
        <v>2045</v>
      </c>
      <c r="B2092" s="1">
        <v>4.8</v>
      </c>
      <c r="C2092" s="1" t="s">
        <v>17763</v>
      </c>
      <c r="D2092" s="1" t="s">
        <v>3238</v>
      </c>
      <c r="E2092" s="1" t="s">
        <v>17471</v>
      </c>
      <c r="F2092" s="1"/>
      <c r="G2092" s="1"/>
      <c r="H2092" s="1"/>
      <c r="I2092" s="1"/>
      <c r="J2092" s="1"/>
      <c r="K2092" s="1" t="s">
        <v>5130</v>
      </c>
    </row>
    <row r="2093" ht="14.25" customHeight="1">
      <c r="A2093" s="3" t="s">
        <v>2045</v>
      </c>
      <c r="B2093" s="1">
        <v>6.2</v>
      </c>
      <c r="C2093" s="1" t="s">
        <v>17763</v>
      </c>
      <c r="D2093" s="1" t="s">
        <v>3238</v>
      </c>
      <c r="E2093" s="1" t="s">
        <v>17471</v>
      </c>
      <c r="F2093" s="1"/>
      <c r="G2093" s="1"/>
      <c r="H2093" s="1"/>
      <c r="I2093" s="1"/>
      <c r="J2093" s="1"/>
      <c r="K2093" s="1" t="s">
        <v>5154</v>
      </c>
    </row>
    <row r="2094" ht="14.25" customHeight="1">
      <c r="A2094" s="3" t="s">
        <v>2045</v>
      </c>
      <c r="B2094" s="1">
        <v>7.5</v>
      </c>
      <c r="C2094" s="1" t="s">
        <v>17763</v>
      </c>
      <c r="D2094" s="1" t="s">
        <v>3238</v>
      </c>
      <c r="E2094" s="1" t="s">
        <v>17471</v>
      </c>
      <c r="F2094" s="1"/>
      <c r="G2094" s="1"/>
      <c r="H2094" s="1"/>
      <c r="I2094" s="1"/>
      <c r="J2094" s="1"/>
      <c r="K2094" s="1" t="s">
        <v>5203</v>
      </c>
    </row>
    <row r="2095" ht="14.25" customHeight="1">
      <c r="A2095" s="3" t="s">
        <v>2045</v>
      </c>
      <c r="B2095" s="1">
        <v>6.3</v>
      </c>
      <c r="C2095" s="1" t="s">
        <v>17763</v>
      </c>
      <c r="D2095" s="1" t="s">
        <v>3238</v>
      </c>
      <c r="E2095" s="1" t="s">
        <v>17471</v>
      </c>
      <c r="F2095" s="1"/>
      <c r="G2095" s="1"/>
      <c r="H2095" s="1"/>
      <c r="I2095" s="1"/>
      <c r="J2095" s="1"/>
      <c r="K2095" s="1" t="s">
        <v>5220</v>
      </c>
    </row>
    <row r="2096" ht="14.25" customHeight="1">
      <c r="A2096" s="3" t="s">
        <v>2045</v>
      </c>
      <c r="B2096" s="1">
        <v>7.1</v>
      </c>
      <c r="C2096" s="1" t="s">
        <v>17763</v>
      </c>
      <c r="D2096" s="1" t="s">
        <v>3238</v>
      </c>
      <c r="E2096" s="1" t="s">
        <v>17471</v>
      </c>
      <c r="F2096" s="1"/>
      <c r="G2096" s="1"/>
      <c r="H2096" s="1"/>
      <c r="I2096" s="1"/>
      <c r="J2096" s="1"/>
      <c r="K2096" s="1" t="s">
        <v>5230</v>
      </c>
    </row>
    <row r="2097" ht="14.25" customHeight="1">
      <c r="A2097" s="3" t="s">
        <v>2045</v>
      </c>
      <c r="B2097" s="1">
        <v>6.6</v>
      </c>
      <c r="C2097" s="1" t="s">
        <v>17763</v>
      </c>
      <c r="D2097" s="1" t="s">
        <v>3238</v>
      </c>
      <c r="E2097" s="1" t="s">
        <v>17471</v>
      </c>
      <c r="F2097" s="1"/>
      <c r="G2097" s="1"/>
      <c r="H2097" s="1"/>
      <c r="I2097" s="1"/>
      <c r="J2097" s="1"/>
      <c r="K2097" s="1" t="s">
        <v>5387</v>
      </c>
    </row>
    <row r="2098" ht="14.25" customHeight="1">
      <c r="A2098" s="3" t="s">
        <v>2045</v>
      </c>
      <c r="B2098" s="1">
        <v>6.1</v>
      </c>
      <c r="C2098" s="1" t="s">
        <v>17763</v>
      </c>
      <c r="D2098" s="1" t="s">
        <v>3238</v>
      </c>
      <c r="E2098" s="1" t="s">
        <v>17471</v>
      </c>
      <c r="F2098" s="1"/>
      <c r="G2098" s="1"/>
      <c r="H2098" s="1"/>
      <c r="I2098" s="1"/>
      <c r="J2098" s="1"/>
      <c r="K2098" s="1" t="s">
        <v>5492</v>
      </c>
    </row>
    <row r="2099" ht="14.25" customHeight="1">
      <c r="A2099" s="3" t="s">
        <v>2045</v>
      </c>
      <c r="B2099" s="1">
        <v>6.7</v>
      </c>
      <c r="C2099" s="1" t="s">
        <v>17763</v>
      </c>
      <c r="D2099" s="1" t="s">
        <v>3238</v>
      </c>
      <c r="E2099" s="1" t="s">
        <v>17471</v>
      </c>
      <c r="F2099" s="1"/>
      <c r="G2099" s="1"/>
      <c r="H2099" s="1"/>
      <c r="I2099" s="1"/>
      <c r="J2099" s="1"/>
      <c r="K2099" s="1" t="s">
        <v>5641</v>
      </c>
    </row>
    <row r="2100" ht="14.25" customHeight="1">
      <c r="A2100" s="3" t="s">
        <v>2045</v>
      </c>
      <c r="B2100" s="1">
        <v>5.6</v>
      </c>
      <c r="C2100" s="1" t="s">
        <v>17763</v>
      </c>
      <c r="D2100" s="1" t="s">
        <v>3238</v>
      </c>
      <c r="E2100" s="1" t="s">
        <v>17471</v>
      </c>
      <c r="F2100" s="1"/>
      <c r="G2100" s="1"/>
      <c r="H2100" s="1"/>
      <c r="I2100" s="1"/>
      <c r="J2100" s="1"/>
      <c r="K2100" s="1" t="s">
        <v>5786</v>
      </c>
    </row>
    <row r="2101" ht="14.25" customHeight="1">
      <c r="A2101" s="3" t="s">
        <v>2045</v>
      </c>
      <c r="B2101" s="1">
        <v>7.2</v>
      </c>
      <c r="C2101" s="1" t="s">
        <v>17763</v>
      </c>
      <c r="D2101" s="1" t="s">
        <v>3238</v>
      </c>
      <c r="E2101" s="1" t="s">
        <v>17471</v>
      </c>
      <c r="F2101" s="1"/>
      <c r="G2101" s="1"/>
      <c r="H2101" s="1"/>
      <c r="I2101" s="1"/>
      <c r="J2101" s="1"/>
      <c r="K2101" s="1" t="s">
        <v>5883</v>
      </c>
    </row>
    <row r="2102" ht="14.25" customHeight="1">
      <c r="A2102" s="3" t="s">
        <v>2045</v>
      </c>
      <c r="B2102" s="1">
        <v>4.3</v>
      </c>
      <c r="C2102" s="1" t="s">
        <v>17763</v>
      </c>
      <c r="D2102" s="1" t="s">
        <v>3238</v>
      </c>
      <c r="E2102" s="1" t="s">
        <v>17471</v>
      </c>
      <c r="F2102" s="1"/>
      <c r="G2102" s="1"/>
      <c r="H2102" s="1"/>
      <c r="I2102" s="1"/>
      <c r="J2102" s="1"/>
      <c r="K2102" s="1" t="s">
        <v>5948</v>
      </c>
    </row>
    <row r="2103" ht="14.25" customHeight="1">
      <c r="A2103" s="3" t="s">
        <v>2045</v>
      </c>
      <c r="B2103" s="1">
        <v>6.4</v>
      </c>
      <c r="C2103" s="1" t="s">
        <v>17763</v>
      </c>
      <c r="D2103" s="1" t="s">
        <v>3238</v>
      </c>
      <c r="E2103" s="1" t="s">
        <v>17471</v>
      </c>
      <c r="F2103" s="1"/>
      <c r="G2103" s="1"/>
      <c r="H2103" s="1"/>
      <c r="I2103" s="1"/>
      <c r="J2103" s="1"/>
      <c r="K2103" s="1" t="s">
        <v>6051</v>
      </c>
    </row>
    <row r="2104" ht="14.25" customHeight="1">
      <c r="A2104" s="3" t="s">
        <v>2045</v>
      </c>
      <c r="B2104" s="1">
        <v>7.1</v>
      </c>
      <c r="C2104" s="1" t="s">
        <v>17763</v>
      </c>
      <c r="D2104" s="1" t="s">
        <v>3238</v>
      </c>
      <c r="E2104" s="1" t="s">
        <v>17471</v>
      </c>
      <c r="F2104" s="1"/>
      <c r="G2104" s="1"/>
      <c r="H2104" s="1"/>
      <c r="I2104" s="1"/>
      <c r="J2104" s="1"/>
      <c r="K2104" s="1" t="s">
        <v>6123</v>
      </c>
    </row>
    <row r="2105" ht="14.25" customHeight="1">
      <c r="A2105" s="3" t="s">
        <v>2045</v>
      </c>
      <c r="B2105" s="1">
        <v>6.3</v>
      </c>
      <c r="C2105" s="1" t="s">
        <v>17763</v>
      </c>
      <c r="D2105" s="1" t="s">
        <v>3238</v>
      </c>
      <c r="E2105" s="1" t="s">
        <v>17471</v>
      </c>
      <c r="F2105" s="1"/>
      <c r="G2105" s="1"/>
      <c r="H2105" s="1"/>
      <c r="I2105" s="1"/>
      <c r="J2105" s="1"/>
      <c r="K2105" s="1" t="s">
        <v>6571</v>
      </c>
    </row>
    <row r="2106" ht="14.25" customHeight="1">
      <c r="A2106" s="3" t="s">
        <v>2045</v>
      </c>
      <c r="B2106" s="1">
        <v>7.4</v>
      </c>
      <c r="C2106" s="1" t="s">
        <v>17763</v>
      </c>
      <c r="D2106" s="1" t="s">
        <v>3238</v>
      </c>
      <c r="E2106" s="1" t="s">
        <v>17471</v>
      </c>
      <c r="F2106" s="1"/>
      <c r="G2106" s="1"/>
      <c r="H2106" s="1"/>
      <c r="I2106" s="1"/>
      <c r="J2106" s="1"/>
      <c r="K2106" s="1" t="s">
        <v>6668</v>
      </c>
    </row>
    <row r="2107" ht="14.25" customHeight="1">
      <c r="A2107" s="3" t="s">
        <v>2045</v>
      </c>
      <c r="B2107" s="1">
        <v>6.1</v>
      </c>
      <c r="C2107" s="1" t="s">
        <v>17763</v>
      </c>
      <c r="D2107" s="1" t="s">
        <v>3238</v>
      </c>
      <c r="E2107" s="1" t="s">
        <v>17471</v>
      </c>
      <c r="F2107" s="1"/>
      <c r="G2107" s="1"/>
      <c r="H2107" s="1"/>
      <c r="I2107" s="1"/>
      <c r="J2107" s="1"/>
      <c r="K2107" s="1" t="s">
        <v>6714</v>
      </c>
    </row>
    <row r="2108" ht="14.25" customHeight="1">
      <c r="A2108" s="3" t="s">
        <v>2045</v>
      </c>
      <c r="B2108" s="1">
        <v>6.6</v>
      </c>
      <c r="C2108" s="1" t="s">
        <v>17763</v>
      </c>
      <c r="D2108" s="1" t="s">
        <v>3238</v>
      </c>
      <c r="E2108" s="1" t="s">
        <v>17471</v>
      </c>
      <c r="F2108" s="1"/>
      <c r="G2108" s="1"/>
      <c r="H2108" s="1"/>
      <c r="I2108" s="1"/>
      <c r="J2108" s="1"/>
      <c r="K2108" s="1">
        <v>21.0</v>
      </c>
    </row>
    <row r="2109" ht="14.25" customHeight="1">
      <c r="A2109" s="3" t="s">
        <v>2045</v>
      </c>
      <c r="B2109" s="1">
        <v>6.0</v>
      </c>
      <c r="C2109" s="1" t="s">
        <v>17763</v>
      </c>
      <c r="D2109" s="1" t="s">
        <v>3238</v>
      </c>
      <c r="E2109" s="1" t="s">
        <v>17471</v>
      </c>
      <c r="F2109" s="1"/>
      <c r="G2109" s="1"/>
      <c r="H2109" s="1"/>
      <c r="I2109" s="1"/>
      <c r="J2109" s="1"/>
      <c r="K2109" s="1" t="s">
        <v>7036</v>
      </c>
    </row>
    <row r="2110" ht="14.25" customHeight="1">
      <c r="A2110" s="3" t="s">
        <v>2045</v>
      </c>
      <c r="B2110" s="1">
        <v>6.8</v>
      </c>
      <c r="C2110" s="1" t="s">
        <v>17763</v>
      </c>
      <c r="D2110" s="1" t="s">
        <v>3238</v>
      </c>
      <c r="E2110" s="1" t="s">
        <v>17471</v>
      </c>
      <c r="F2110" s="1"/>
      <c r="G2110" s="1"/>
      <c r="H2110" s="1"/>
      <c r="I2110" s="1"/>
      <c r="J2110" s="1"/>
      <c r="K2110" s="1" t="s">
        <v>7108</v>
      </c>
    </row>
    <row r="2111" ht="14.25" customHeight="1">
      <c r="A2111" s="3" t="s">
        <v>2045</v>
      </c>
      <c r="B2111" s="1">
        <v>7.4</v>
      </c>
      <c r="C2111" s="1" t="s">
        <v>17763</v>
      </c>
      <c r="D2111" s="1" t="s">
        <v>3238</v>
      </c>
      <c r="E2111" s="1" t="s">
        <v>17471</v>
      </c>
      <c r="F2111" s="1"/>
      <c r="G2111" s="1"/>
      <c r="H2111" s="1"/>
      <c r="I2111" s="1"/>
      <c r="J2111" s="1"/>
      <c r="K2111" s="1" t="s">
        <v>7451</v>
      </c>
    </row>
    <row r="2112" ht="14.25" customHeight="1">
      <c r="A2112" s="3" t="s">
        <v>2045</v>
      </c>
      <c r="B2112" s="1">
        <v>6.8</v>
      </c>
      <c r="C2112" s="1" t="s">
        <v>17763</v>
      </c>
      <c r="D2112" s="1" t="s">
        <v>3238</v>
      </c>
      <c r="E2112" s="1" t="s">
        <v>17471</v>
      </c>
      <c r="F2112" s="1"/>
      <c r="G2112" s="1"/>
      <c r="H2112" s="1"/>
      <c r="I2112" s="1"/>
      <c r="J2112" s="1"/>
      <c r="K2112" s="1" t="s">
        <v>7901</v>
      </c>
    </row>
    <row r="2113" ht="14.25" customHeight="1">
      <c r="A2113" s="3" t="s">
        <v>2045</v>
      </c>
      <c r="B2113" s="1">
        <v>7.2</v>
      </c>
      <c r="C2113" s="1" t="s">
        <v>17763</v>
      </c>
      <c r="D2113" s="1" t="s">
        <v>3238</v>
      </c>
      <c r="E2113" s="1" t="s">
        <v>17471</v>
      </c>
      <c r="F2113" s="1"/>
      <c r="G2113" s="1"/>
      <c r="H2113" s="1"/>
      <c r="I2113" s="1"/>
      <c r="J2113" s="1"/>
      <c r="K2113" s="1" t="s">
        <v>8017</v>
      </c>
    </row>
    <row r="2114" ht="14.25" customHeight="1">
      <c r="A2114" s="3" t="s">
        <v>2045</v>
      </c>
      <c r="B2114" s="1">
        <v>1.9</v>
      </c>
      <c r="C2114" s="1" t="s">
        <v>17763</v>
      </c>
      <c r="D2114" s="1" t="s">
        <v>3238</v>
      </c>
      <c r="E2114" s="1" t="s">
        <v>17471</v>
      </c>
      <c r="F2114" s="1"/>
      <c r="G2114" s="1"/>
      <c r="H2114" s="1"/>
      <c r="I2114" s="1"/>
      <c r="J2114" s="1"/>
      <c r="K2114" s="1" t="s">
        <v>8220</v>
      </c>
    </row>
    <row r="2115" ht="14.25" customHeight="1">
      <c r="A2115" s="3" t="s">
        <v>2045</v>
      </c>
      <c r="B2115" s="1">
        <v>5.5</v>
      </c>
      <c r="C2115" s="1" t="s">
        <v>17763</v>
      </c>
      <c r="D2115" s="1" t="s">
        <v>3238</v>
      </c>
      <c r="E2115" s="1" t="s">
        <v>17471</v>
      </c>
      <c r="F2115" s="1"/>
      <c r="G2115" s="1"/>
      <c r="H2115" s="1"/>
      <c r="I2115" s="1"/>
      <c r="J2115" s="1"/>
      <c r="K2115" s="1" t="s">
        <v>8338</v>
      </c>
    </row>
    <row r="2116" ht="14.25" customHeight="1">
      <c r="A2116" s="3" t="s">
        <v>2045</v>
      </c>
      <c r="B2116" s="1">
        <v>4.5</v>
      </c>
      <c r="C2116" s="1" t="s">
        <v>17763</v>
      </c>
      <c r="D2116" s="1" t="s">
        <v>3238</v>
      </c>
      <c r="E2116" s="1" t="s">
        <v>17471</v>
      </c>
      <c r="F2116" s="1"/>
      <c r="G2116" s="1"/>
      <c r="H2116" s="1"/>
      <c r="I2116" s="1"/>
      <c r="J2116" s="1"/>
      <c r="K2116" s="1" t="s">
        <v>8512</v>
      </c>
    </row>
    <row r="2117" ht="14.25" customHeight="1">
      <c r="A2117" s="3" t="s">
        <v>2045</v>
      </c>
      <c r="B2117" s="1">
        <v>6.3</v>
      </c>
      <c r="C2117" s="1" t="s">
        <v>17763</v>
      </c>
      <c r="D2117" s="1" t="s">
        <v>3238</v>
      </c>
      <c r="E2117" s="1" t="s">
        <v>17471</v>
      </c>
      <c r="F2117" s="1"/>
      <c r="G2117" s="1"/>
      <c r="H2117" s="1"/>
      <c r="I2117" s="1"/>
      <c r="J2117" s="1"/>
      <c r="K2117" s="1" t="s">
        <v>8653</v>
      </c>
    </row>
    <row r="2118" ht="14.25" customHeight="1">
      <c r="A2118" s="3" t="s">
        <v>2045</v>
      </c>
      <c r="B2118" s="1">
        <v>6.7</v>
      </c>
      <c r="C2118" s="1" t="s">
        <v>17763</v>
      </c>
      <c r="D2118" s="1" t="s">
        <v>3238</v>
      </c>
      <c r="E2118" s="1" t="s">
        <v>17471</v>
      </c>
      <c r="F2118" s="1"/>
      <c r="G2118" s="1"/>
      <c r="H2118" s="1"/>
      <c r="I2118" s="1"/>
      <c r="J2118" s="1"/>
      <c r="K2118" s="1" t="s">
        <v>8749</v>
      </c>
    </row>
    <row r="2119" ht="14.25" customHeight="1">
      <c r="A2119" s="3" t="s">
        <v>2045</v>
      </c>
      <c r="B2119" s="1">
        <v>2.8</v>
      </c>
      <c r="C2119" s="1" t="s">
        <v>17763</v>
      </c>
      <c r="D2119" s="1" t="s">
        <v>3238</v>
      </c>
      <c r="E2119" s="1" t="s">
        <v>17471</v>
      </c>
      <c r="F2119" s="1"/>
      <c r="G2119" s="1"/>
      <c r="H2119" s="1"/>
      <c r="I2119" s="1"/>
      <c r="J2119" s="1"/>
      <c r="K2119" s="1" t="s">
        <v>8753</v>
      </c>
    </row>
    <row r="2120" ht="14.25" customHeight="1">
      <c r="A2120" s="3" t="s">
        <v>2045</v>
      </c>
      <c r="B2120" s="1">
        <v>5.0</v>
      </c>
      <c r="C2120" s="1" t="s">
        <v>17763</v>
      </c>
      <c r="D2120" s="1" t="s">
        <v>3238</v>
      </c>
      <c r="E2120" s="1" t="s">
        <v>17471</v>
      </c>
      <c r="F2120" s="1"/>
      <c r="G2120" s="1"/>
      <c r="H2120" s="1"/>
      <c r="I2120" s="1"/>
      <c r="J2120" s="1"/>
      <c r="K2120" s="1" t="s">
        <v>8935</v>
      </c>
    </row>
    <row r="2121" ht="14.25" customHeight="1">
      <c r="A2121" s="3" t="s">
        <v>2045</v>
      </c>
      <c r="B2121" s="1">
        <v>4.3</v>
      </c>
      <c r="C2121" s="1" t="s">
        <v>17763</v>
      </c>
      <c r="D2121" s="1" t="s">
        <v>3238</v>
      </c>
      <c r="E2121" s="1" t="s">
        <v>17471</v>
      </c>
      <c r="F2121" s="1"/>
      <c r="G2121" s="1"/>
      <c r="H2121" s="1"/>
      <c r="I2121" s="1"/>
      <c r="J2121" s="1"/>
      <c r="K2121" s="1" t="s">
        <v>8987</v>
      </c>
    </row>
    <row r="2122" ht="14.25" customHeight="1">
      <c r="A2122" s="3" t="s">
        <v>2045</v>
      </c>
      <c r="B2122" s="1">
        <v>5.6</v>
      </c>
      <c r="C2122" s="1" t="s">
        <v>17763</v>
      </c>
      <c r="D2122" s="1" t="s">
        <v>3238</v>
      </c>
      <c r="E2122" s="1" t="s">
        <v>17471</v>
      </c>
      <c r="F2122" s="1"/>
      <c r="G2122" s="1"/>
      <c r="H2122" s="1"/>
      <c r="I2122" s="1"/>
      <c r="J2122" s="1"/>
      <c r="K2122" s="1" t="s">
        <v>9258</v>
      </c>
    </row>
    <row r="2123" ht="14.25" customHeight="1">
      <c r="A2123" s="3" t="s">
        <v>2045</v>
      </c>
      <c r="B2123" s="1">
        <v>6.2</v>
      </c>
      <c r="C2123" s="1" t="s">
        <v>17763</v>
      </c>
      <c r="D2123" s="1" t="s">
        <v>3238</v>
      </c>
      <c r="E2123" s="1" t="s">
        <v>17471</v>
      </c>
      <c r="F2123" s="1"/>
      <c r="G2123" s="1"/>
      <c r="H2123" s="1"/>
      <c r="I2123" s="1"/>
      <c r="J2123" s="1"/>
      <c r="K2123" s="1" t="s">
        <v>9679</v>
      </c>
    </row>
    <row r="2124" ht="14.25" customHeight="1">
      <c r="A2124" s="3" t="s">
        <v>2045</v>
      </c>
      <c r="B2124" s="1">
        <v>5.3</v>
      </c>
      <c r="C2124" s="1" t="s">
        <v>17763</v>
      </c>
      <c r="D2124" s="1" t="s">
        <v>3238</v>
      </c>
      <c r="E2124" s="1" t="s">
        <v>17471</v>
      </c>
      <c r="F2124" s="1"/>
      <c r="G2124" s="1"/>
      <c r="H2124" s="1"/>
      <c r="I2124" s="1"/>
      <c r="J2124" s="1"/>
      <c r="K2124" s="1" t="s">
        <v>9689</v>
      </c>
    </row>
    <row r="2125" ht="14.25" customHeight="1">
      <c r="A2125" s="3" t="s">
        <v>2045</v>
      </c>
      <c r="B2125" s="1">
        <v>7.4</v>
      </c>
      <c r="C2125" s="1" t="s">
        <v>17763</v>
      </c>
      <c r="D2125" s="1" t="s">
        <v>3238</v>
      </c>
      <c r="E2125" s="1" t="s">
        <v>17471</v>
      </c>
      <c r="F2125" s="1"/>
      <c r="G2125" s="1"/>
      <c r="H2125" s="1"/>
      <c r="I2125" s="1"/>
      <c r="J2125" s="1"/>
      <c r="K2125" s="1" t="s">
        <v>9935</v>
      </c>
    </row>
    <row r="2126" ht="14.25" customHeight="1">
      <c r="A2126" s="3" t="s">
        <v>2045</v>
      </c>
      <c r="B2126" s="1">
        <v>6.5</v>
      </c>
      <c r="C2126" s="1" t="s">
        <v>17763</v>
      </c>
      <c r="D2126" s="1" t="s">
        <v>3238</v>
      </c>
      <c r="E2126" s="1" t="s">
        <v>17471</v>
      </c>
      <c r="F2126" s="1"/>
      <c r="G2126" s="1"/>
      <c r="H2126" s="1"/>
      <c r="I2126" s="1"/>
      <c r="J2126" s="1"/>
      <c r="K2126" s="1" t="s">
        <v>9956</v>
      </c>
    </row>
    <row r="2127" ht="14.25" customHeight="1">
      <c r="A2127" s="3" t="s">
        <v>2045</v>
      </c>
      <c r="B2127" s="1">
        <v>7.1</v>
      </c>
      <c r="C2127" s="1" t="s">
        <v>17763</v>
      </c>
      <c r="D2127" s="1" t="s">
        <v>3238</v>
      </c>
      <c r="E2127" s="1" t="s">
        <v>17471</v>
      </c>
      <c r="F2127" s="1"/>
      <c r="G2127" s="1"/>
      <c r="H2127" s="1"/>
      <c r="I2127" s="1"/>
      <c r="J2127" s="1"/>
      <c r="K2127" s="1" t="s">
        <v>10041</v>
      </c>
    </row>
    <row r="2128" ht="14.25" customHeight="1">
      <c r="A2128" s="3" t="s">
        <v>2045</v>
      </c>
      <c r="B2128" s="1">
        <v>7.2</v>
      </c>
      <c r="C2128" s="1" t="s">
        <v>17763</v>
      </c>
      <c r="D2128" s="1" t="s">
        <v>3238</v>
      </c>
      <c r="E2128" s="1" t="s">
        <v>17471</v>
      </c>
      <c r="F2128" s="1"/>
      <c r="G2128" s="1"/>
      <c r="H2128" s="1"/>
      <c r="I2128" s="1"/>
      <c r="J2128" s="1"/>
      <c r="K2128" s="1" t="s">
        <v>10986</v>
      </c>
    </row>
    <row r="2129" ht="14.25" customHeight="1">
      <c r="A2129" s="3" t="s">
        <v>2045</v>
      </c>
      <c r="B2129" s="1">
        <v>2.3</v>
      </c>
      <c r="C2129" s="1" t="s">
        <v>17763</v>
      </c>
      <c r="D2129" s="1" t="s">
        <v>3238</v>
      </c>
      <c r="E2129" s="1" t="s">
        <v>17471</v>
      </c>
      <c r="F2129" s="1"/>
      <c r="G2129" s="1"/>
      <c r="H2129" s="1"/>
      <c r="I2129" s="1"/>
      <c r="J2129" s="1"/>
      <c r="K2129" s="1" t="s">
        <v>11080</v>
      </c>
    </row>
    <row r="2130" ht="14.25" customHeight="1">
      <c r="A2130" s="3" t="s">
        <v>2045</v>
      </c>
      <c r="B2130" s="1">
        <v>6.4</v>
      </c>
      <c r="C2130" s="1" t="s">
        <v>17763</v>
      </c>
      <c r="D2130" s="1" t="s">
        <v>3238</v>
      </c>
      <c r="E2130" s="1" t="s">
        <v>17471</v>
      </c>
      <c r="F2130" s="1"/>
      <c r="G2130" s="1"/>
      <c r="H2130" s="1"/>
      <c r="I2130" s="1"/>
      <c r="J2130" s="1"/>
      <c r="K2130" s="1" t="s">
        <v>11099</v>
      </c>
    </row>
    <row r="2131" ht="14.25" customHeight="1">
      <c r="A2131" s="3" t="s">
        <v>2045</v>
      </c>
      <c r="B2131" s="1">
        <v>6.1</v>
      </c>
      <c r="C2131" s="1" t="s">
        <v>17763</v>
      </c>
      <c r="D2131" s="1" t="s">
        <v>3238</v>
      </c>
      <c r="E2131" s="1" t="s">
        <v>17471</v>
      </c>
      <c r="F2131" s="1"/>
      <c r="G2131" s="1"/>
      <c r="H2131" s="1"/>
      <c r="I2131" s="1"/>
      <c r="J2131" s="1"/>
      <c r="K2131" s="1" t="s">
        <v>11530</v>
      </c>
    </row>
    <row r="2132" ht="14.25" customHeight="1">
      <c r="A2132" s="3" t="s">
        <v>2045</v>
      </c>
      <c r="B2132" s="1">
        <v>7.0</v>
      </c>
      <c r="C2132" s="1" t="s">
        <v>17763</v>
      </c>
      <c r="D2132" s="1" t="s">
        <v>3238</v>
      </c>
      <c r="E2132" s="1" t="s">
        <v>17471</v>
      </c>
      <c r="F2132" s="1"/>
      <c r="G2132" s="1"/>
      <c r="H2132" s="1"/>
      <c r="I2132" s="1"/>
      <c r="J2132" s="1"/>
      <c r="K2132" s="1" t="s">
        <v>11538</v>
      </c>
    </row>
    <row r="2133" ht="14.25" customHeight="1">
      <c r="A2133" s="3" t="s">
        <v>2045</v>
      </c>
      <c r="B2133" s="1">
        <v>7.0</v>
      </c>
      <c r="C2133" s="1" t="s">
        <v>17763</v>
      </c>
      <c r="D2133" s="1" t="s">
        <v>3238</v>
      </c>
      <c r="E2133" s="1" t="s">
        <v>17471</v>
      </c>
      <c r="F2133" s="1"/>
      <c r="G2133" s="1"/>
      <c r="H2133" s="1"/>
      <c r="I2133" s="1"/>
      <c r="J2133" s="1"/>
      <c r="K2133" s="1" t="s">
        <v>11699</v>
      </c>
    </row>
    <row r="2134" ht="14.25" customHeight="1">
      <c r="A2134" s="3" t="s">
        <v>2045</v>
      </c>
      <c r="B2134" s="1">
        <v>7.0</v>
      </c>
      <c r="C2134" s="1" t="s">
        <v>17763</v>
      </c>
      <c r="D2134" s="1" t="s">
        <v>3238</v>
      </c>
      <c r="E2134" s="1" t="s">
        <v>17471</v>
      </c>
      <c r="F2134" s="1"/>
      <c r="G2134" s="1"/>
      <c r="H2134" s="1"/>
      <c r="I2134" s="1"/>
      <c r="J2134" s="1"/>
      <c r="K2134" s="1" t="s">
        <v>11724</v>
      </c>
    </row>
    <row r="2135" ht="14.25" customHeight="1">
      <c r="A2135" s="3" t="s">
        <v>2045</v>
      </c>
      <c r="B2135" s="1">
        <v>4.9</v>
      </c>
      <c r="C2135" s="1" t="s">
        <v>17763</v>
      </c>
      <c r="D2135" s="1" t="s">
        <v>3238</v>
      </c>
      <c r="E2135" s="1" t="s">
        <v>17471</v>
      </c>
      <c r="F2135" s="1"/>
      <c r="G2135" s="1"/>
      <c r="H2135" s="1"/>
      <c r="I2135" s="1"/>
      <c r="J2135" s="1"/>
      <c r="K2135" s="1" t="s">
        <v>11954</v>
      </c>
    </row>
    <row r="2136" ht="14.25" customHeight="1">
      <c r="A2136" s="3" t="s">
        <v>2045</v>
      </c>
      <c r="B2136" s="1">
        <v>6.9</v>
      </c>
      <c r="C2136" s="1" t="s">
        <v>17763</v>
      </c>
      <c r="D2136" s="1" t="s">
        <v>3238</v>
      </c>
      <c r="E2136" s="1" t="s">
        <v>17471</v>
      </c>
      <c r="F2136" s="1"/>
      <c r="G2136" s="1"/>
      <c r="H2136" s="1"/>
      <c r="I2136" s="1"/>
      <c r="J2136" s="1"/>
      <c r="K2136" s="1" t="s">
        <v>12484</v>
      </c>
    </row>
    <row r="2137" ht="14.25" customHeight="1">
      <c r="A2137" s="3" t="s">
        <v>2045</v>
      </c>
      <c r="B2137" s="1">
        <v>7.5</v>
      </c>
      <c r="C2137" s="1" t="s">
        <v>17763</v>
      </c>
      <c r="D2137" s="1" t="s">
        <v>3238</v>
      </c>
      <c r="E2137" s="1" t="s">
        <v>17471</v>
      </c>
      <c r="F2137" s="1"/>
      <c r="G2137" s="1"/>
      <c r="H2137" s="1"/>
      <c r="I2137" s="1"/>
      <c r="J2137" s="1"/>
      <c r="K2137" s="1" t="s">
        <v>12863</v>
      </c>
    </row>
    <row r="2138" ht="14.25" customHeight="1">
      <c r="A2138" s="3" t="s">
        <v>2045</v>
      </c>
      <c r="B2138" s="1">
        <v>8.4</v>
      </c>
      <c r="C2138" s="1" t="s">
        <v>17763</v>
      </c>
      <c r="D2138" s="1" t="s">
        <v>3238</v>
      </c>
      <c r="E2138" s="1" t="s">
        <v>17471</v>
      </c>
      <c r="F2138" s="1"/>
      <c r="G2138" s="1"/>
      <c r="H2138" s="1"/>
      <c r="I2138" s="1"/>
      <c r="J2138" s="1"/>
      <c r="K2138" s="1" t="s">
        <v>12878</v>
      </c>
    </row>
    <row r="2139" ht="14.25" customHeight="1">
      <c r="A2139" s="3" t="s">
        <v>2045</v>
      </c>
      <c r="B2139" s="1">
        <v>6.9</v>
      </c>
      <c r="C2139" s="1" t="s">
        <v>17763</v>
      </c>
      <c r="D2139" s="1" t="s">
        <v>3238</v>
      </c>
      <c r="E2139" s="1" t="s">
        <v>17471</v>
      </c>
      <c r="F2139" s="1"/>
      <c r="G2139" s="1"/>
      <c r="H2139" s="1"/>
      <c r="I2139" s="1"/>
      <c r="J2139" s="1"/>
      <c r="K2139" s="1" t="s">
        <v>12979</v>
      </c>
    </row>
    <row r="2140" ht="14.25" customHeight="1">
      <c r="A2140" s="3" t="s">
        <v>2045</v>
      </c>
      <c r="B2140" s="1">
        <v>4.5</v>
      </c>
      <c r="C2140" s="1" t="s">
        <v>17763</v>
      </c>
      <c r="D2140" s="1" t="s">
        <v>3238</v>
      </c>
      <c r="E2140" s="1" t="s">
        <v>17471</v>
      </c>
      <c r="F2140" s="1"/>
      <c r="G2140" s="1"/>
      <c r="H2140" s="1"/>
      <c r="I2140" s="1"/>
      <c r="J2140" s="1"/>
      <c r="K2140" s="1" t="s">
        <v>13013</v>
      </c>
    </row>
    <row r="2141" ht="14.25" customHeight="1">
      <c r="A2141" s="3" t="s">
        <v>2045</v>
      </c>
      <c r="B2141" s="1">
        <v>7.4</v>
      </c>
      <c r="C2141" s="1" t="s">
        <v>17763</v>
      </c>
      <c r="D2141" s="1" t="s">
        <v>3238</v>
      </c>
      <c r="E2141" s="1" t="s">
        <v>17471</v>
      </c>
      <c r="F2141" s="1"/>
      <c r="G2141" s="1"/>
      <c r="H2141" s="1"/>
      <c r="I2141" s="1"/>
      <c r="J2141" s="1"/>
      <c r="K2141" s="1" t="s">
        <v>13405</v>
      </c>
    </row>
    <row r="2142" ht="14.25" customHeight="1">
      <c r="A2142" s="3" t="s">
        <v>2045</v>
      </c>
      <c r="B2142" s="1">
        <v>7.0</v>
      </c>
      <c r="C2142" s="1" t="s">
        <v>17763</v>
      </c>
      <c r="D2142" s="1" t="s">
        <v>3238</v>
      </c>
      <c r="E2142" s="1" t="s">
        <v>17471</v>
      </c>
      <c r="F2142" s="1"/>
      <c r="G2142" s="1"/>
      <c r="H2142" s="1"/>
      <c r="I2142" s="1"/>
      <c r="J2142" s="1"/>
      <c r="K2142" s="1" t="s">
        <v>13494</v>
      </c>
    </row>
    <row r="2143" ht="14.25" customHeight="1">
      <c r="A2143" s="3" t="s">
        <v>2045</v>
      </c>
      <c r="B2143" s="1">
        <v>2.8</v>
      </c>
      <c r="C2143" s="1" t="s">
        <v>17763</v>
      </c>
      <c r="D2143" s="1" t="s">
        <v>3238</v>
      </c>
      <c r="E2143" s="1" t="s">
        <v>17471</v>
      </c>
      <c r="F2143" s="1"/>
      <c r="G2143" s="1"/>
      <c r="H2143" s="1"/>
      <c r="I2143" s="1"/>
      <c r="J2143" s="1"/>
      <c r="K2143" s="1" t="s">
        <v>13567</v>
      </c>
    </row>
    <row r="2144" ht="14.25" customHeight="1">
      <c r="A2144" s="3" t="s">
        <v>2045</v>
      </c>
      <c r="B2144" s="1">
        <v>7.5</v>
      </c>
      <c r="C2144" s="1" t="s">
        <v>17763</v>
      </c>
      <c r="D2144" s="1" t="s">
        <v>3238</v>
      </c>
      <c r="E2144" s="1" t="s">
        <v>17471</v>
      </c>
      <c r="F2144" s="1"/>
      <c r="G2144" s="1"/>
      <c r="H2144" s="1"/>
      <c r="I2144" s="1"/>
      <c r="J2144" s="1"/>
      <c r="K2144" s="1" t="s">
        <v>13760</v>
      </c>
    </row>
    <row r="2145" ht="14.25" customHeight="1">
      <c r="A2145" s="3" t="s">
        <v>2045</v>
      </c>
      <c r="B2145" s="1">
        <v>7.1</v>
      </c>
      <c r="C2145" s="1" t="s">
        <v>17763</v>
      </c>
      <c r="D2145" s="1" t="s">
        <v>3238</v>
      </c>
      <c r="E2145" s="1" t="s">
        <v>17471</v>
      </c>
      <c r="F2145" s="1"/>
      <c r="G2145" s="1"/>
      <c r="H2145" s="1"/>
      <c r="I2145" s="1"/>
      <c r="J2145" s="1"/>
      <c r="K2145" s="1" t="s">
        <v>13905</v>
      </c>
    </row>
    <row r="2146" ht="14.25" customHeight="1">
      <c r="A2146" s="3" t="s">
        <v>2045</v>
      </c>
      <c r="B2146" s="1">
        <v>6.4</v>
      </c>
      <c r="C2146" s="1" t="s">
        <v>17763</v>
      </c>
      <c r="D2146" s="1" t="s">
        <v>3238</v>
      </c>
      <c r="E2146" s="1" t="s">
        <v>17471</v>
      </c>
      <c r="F2146" s="1"/>
      <c r="G2146" s="1"/>
      <c r="H2146" s="1"/>
      <c r="I2146" s="1"/>
      <c r="J2146" s="1"/>
      <c r="K2146" s="1" t="s">
        <v>14127</v>
      </c>
    </row>
    <row r="2147" ht="14.25" customHeight="1">
      <c r="A2147" s="3" t="s">
        <v>2045</v>
      </c>
      <c r="B2147" s="1">
        <v>5.3</v>
      </c>
      <c r="C2147" s="1" t="s">
        <v>17763</v>
      </c>
      <c r="D2147" s="1" t="s">
        <v>3238</v>
      </c>
      <c r="E2147" s="1" t="s">
        <v>17471</v>
      </c>
      <c r="F2147" s="1"/>
      <c r="G2147" s="1"/>
      <c r="H2147" s="1"/>
      <c r="I2147" s="1"/>
      <c r="J2147" s="1"/>
      <c r="K2147" s="1" t="s">
        <v>13494</v>
      </c>
    </row>
    <row r="2148" ht="14.25" customHeight="1">
      <c r="A2148" s="3" t="s">
        <v>2045</v>
      </c>
      <c r="B2148" s="1">
        <v>6.9</v>
      </c>
      <c r="C2148" s="1" t="s">
        <v>17763</v>
      </c>
      <c r="D2148" s="1" t="s">
        <v>3238</v>
      </c>
      <c r="E2148" s="1" t="s">
        <v>17471</v>
      </c>
      <c r="F2148" s="1"/>
      <c r="G2148" s="1"/>
      <c r="H2148" s="1"/>
      <c r="I2148" s="1"/>
      <c r="J2148" s="1"/>
      <c r="K2148" s="1" t="s">
        <v>14324</v>
      </c>
    </row>
    <row r="2149" ht="14.25" customHeight="1">
      <c r="A2149" s="3" t="s">
        <v>2045</v>
      </c>
      <c r="B2149" s="1">
        <v>6.2</v>
      </c>
      <c r="C2149" s="1" t="s">
        <v>17763</v>
      </c>
      <c r="D2149" s="1" t="s">
        <v>3238</v>
      </c>
      <c r="E2149" s="1" t="s">
        <v>17471</v>
      </c>
      <c r="F2149" s="1"/>
      <c r="G2149" s="1"/>
      <c r="H2149" s="1"/>
      <c r="I2149" s="1"/>
      <c r="J2149" s="1"/>
      <c r="K2149" s="1" t="s">
        <v>14562</v>
      </c>
    </row>
    <row r="2150" ht="14.25" customHeight="1">
      <c r="A2150" s="3" t="s">
        <v>2045</v>
      </c>
      <c r="B2150" s="1">
        <v>6.4</v>
      </c>
      <c r="C2150" s="1" t="s">
        <v>17763</v>
      </c>
      <c r="D2150" s="1" t="s">
        <v>3238</v>
      </c>
      <c r="E2150" s="1" t="s">
        <v>17471</v>
      </c>
      <c r="F2150" s="1"/>
      <c r="G2150" s="1"/>
      <c r="H2150" s="1"/>
      <c r="I2150" s="1"/>
      <c r="J2150" s="1"/>
      <c r="K2150" s="1" t="s">
        <v>14827</v>
      </c>
    </row>
    <row r="2151" ht="14.25" customHeight="1">
      <c r="A2151" s="3" t="s">
        <v>2045</v>
      </c>
      <c r="B2151" s="1">
        <v>5.1</v>
      </c>
      <c r="C2151" s="1" t="s">
        <v>17763</v>
      </c>
      <c r="D2151" s="1" t="s">
        <v>3238</v>
      </c>
      <c r="E2151" s="1" t="s">
        <v>17471</v>
      </c>
      <c r="F2151" s="1"/>
      <c r="G2151" s="1"/>
      <c r="H2151" s="1"/>
      <c r="I2151" s="1"/>
      <c r="J2151" s="1"/>
      <c r="K2151" s="1" t="s">
        <v>14946</v>
      </c>
    </row>
    <row r="2152" ht="14.25" customHeight="1">
      <c r="A2152" s="3" t="s">
        <v>2045</v>
      </c>
      <c r="B2152" s="1">
        <v>5.5</v>
      </c>
      <c r="C2152" s="1" t="s">
        <v>17763</v>
      </c>
      <c r="D2152" s="1" t="s">
        <v>3238</v>
      </c>
      <c r="E2152" s="1" t="s">
        <v>17471</v>
      </c>
      <c r="F2152" s="1"/>
      <c r="G2152" s="1"/>
      <c r="H2152" s="1"/>
      <c r="I2152" s="1"/>
      <c r="J2152" s="1"/>
      <c r="K2152" s="1" t="s">
        <v>15279</v>
      </c>
    </row>
    <row r="2153" ht="14.25" customHeight="1">
      <c r="A2153" s="3" t="s">
        <v>2045</v>
      </c>
      <c r="B2153" s="1">
        <v>5.4</v>
      </c>
      <c r="C2153" s="1" t="s">
        <v>17763</v>
      </c>
      <c r="D2153" s="1" t="s">
        <v>3238</v>
      </c>
      <c r="E2153" s="1" t="s">
        <v>17471</v>
      </c>
      <c r="F2153" s="1"/>
      <c r="G2153" s="1"/>
      <c r="H2153" s="1"/>
      <c r="I2153" s="1"/>
      <c r="J2153" s="1"/>
      <c r="K2153" s="1" t="s">
        <v>15615</v>
      </c>
    </row>
    <row r="2154" ht="14.25" customHeight="1">
      <c r="A2154" s="3" t="s">
        <v>2045</v>
      </c>
      <c r="B2154" s="1">
        <v>7.5</v>
      </c>
      <c r="C2154" s="1" t="s">
        <v>17763</v>
      </c>
      <c r="D2154" s="1" t="s">
        <v>3238</v>
      </c>
      <c r="E2154" s="1" t="s">
        <v>17471</v>
      </c>
      <c r="F2154" s="1"/>
      <c r="G2154" s="1"/>
      <c r="H2154" s="1"/>
      <c r="I2154" s="1"/>
      <c r="J2154" s="1"/>
      <c r="K2154" s="1" t="s">
        <v>15710</v>
      </c>
    </row>
    <row r="2155" ht="14.25" customHeight="1">
      <c r="A2155" s="3" t="s">
        <v>2045</v>
      </c>
      <c r="B2155" s="1">
        <v>7.4</v>
      </c>
      <c r="C2155" s="1" t="s">
        <v>17763</v>
      </c>
      <c r="D2155" s="1" t="s">
        <v>3238</v>
      </c>
      <c r="E2155" s="1" t="s">
        <v>17471</v>
      </c>
      <c r="F2155" s="1"/>
      <c r="G2155" s="1"/>
      <c r="H2155" s="1"/>
      <c r="I2155" s="1"/>
      <c r="J2155" s="1"/>
      <c r="K2155" s="1" t="s">
        <v>8987</v>
      </c>
    </row>
    <row r="2156" ht="14.25" customHeight="1">
      <c r="A2156" s="3" t="s">
        <v>2045</v>
      </c>
      <c r="B2156" s="1">
        <v>8.0</v>
      </c>
      <c r="C2156" s="1" t="s">
        <v>17763</v>
      </c>
      <c r="D2156" s="1" t="s">
        <v>3238</v>
      </c>
      <c r="E2156" s="1" t="s">
        <v>17471</v>
      </c>
      <c r="F2156" s="1"/>
      <c r="G2156" s="1"/>
      <c r="H2156" s="1"/>
      <c r="I2156" s="1"/>
      <c r="J2156" s="1"/>
      <c r="K2156" s="1" t="s">
        <v>16362</v>
      </c>
    </row>
    <row r="2157" ht="14.25" customHeight="1">
      <c r="A2157" s="3" t="s">
        <v>2045</v>
      </c>
      <c r="B2157" s="1">
        <v>5.7</v>
      </c>
      <c r="C2157" s="1" t="s">
        <v>17763</v>
      </c>
      <c r="D2157" s="1" t="s">
        <v>3238</v>
      </c>
      <c r="E2157" s="1" t="s">
        <v>17471</v>
      </c>
      <c r="F2157" s="1"/>
      <c r="G2157" s="1"/>
      <c r="H2157" s="1"/>
      <c r="I2157" s="1"/>
      <c r="J2157" s="1"/>
      <c r="K2157" s="1" t="s">
        <v>16615</v>
      </c>
    </row>
    <row r="2158" ht="14.25" customHeight="1">
      <c r="A2158" s="3" t="s">
        <v>2045</v>
      </c>
      <c r="B2158" s="1">
        <v>6.8</v>
      </c>
      <c r="C2158" s="1" t="s">
        <v>17763</v>
      </c>
      <c r="D2158" s="1" t="s">
        <v>3238</v>
      </c>
      <c r="E2158" s="1" t="s">
        <v>17471</v>
      </c>
      <c r="F2158" s="1"/>
      <c r="G2158" s="1"/>
      <c r="H2158" s="1"/>
      <c r="I2158" s="1"/>
      <c r="J2158" s="1"/>
      <c r="K2158" s="1" t="s">
        <v>16629</v>
      </c>
    </row>
    <row r="2159" ht="14.25" customHeight="1">
      <c r="A2159" s="3" t="s">
        <v>2045</v>
      </c>
      <c r="B2159" s="1">
        <v>5.9</v>
      </c>
      <c r="C2159" s="1" t="s">
        <v>17763</v>
      </c>
      <c r="D2159" s="1" t="s">
        <v>3238</v>
      </c>
      <c r="E2159" s="1" t="s">
        <v>17471</v>
      </c>
      <c r="F2159" s="1"/>
      <c r="G2159" s="1"/>
      <c r="H2159" s="1"/>
      <c r="I2159" s="1"/>
      <c r="J2159" s="1"/>
      <c r="K2159" s="1" t="s">
        <v>16754</v>
      </c>
    </row>
    <row r="2160" ht="14.25" customHeight="1">
      <c r="A2160" s="3" t="s">
        <v>2045</v>
      </c>
      <c r="B2160" s="1">
        <v>7.2</v>
      </c>
      <c r="C2160" s="1" t="s">
        <v>17763</v>
      </c>
      <c r="D2160" s="1" t="s">
        <v>3238</v>
      </c>
      <c r="E2160" s="1" t="s">
        <v>17471</v>
      </c>
      <c r="F2160" s="1"/>
      <c r="G2160" s="1"/>
      <c r="H2160" s="1"/>
      <c r="I2160" s="1"/>
      <c r="J2160" s="1"/>
      <c r="K2160" s="1" t="s">
        <v>17006</v>
      </c>
    </row>
    <row r="2161" ht="14.25" customHeight="1">
      <c r="A2161" s="3" t="s">
        <v>2045</v>
      </c>
      <c r="B2161" s="1">
        <v>5.5</v>
      </c>
      <c r="C2161" s="1" t="s">
        <v>17763</v>
      </c>
      <c r="D2161" s="1" t="s">
        <v>3238</v>
      </c>
      <c r="E2161" s="1" t="s">
        <v>17471</v>
      </c>
      <c r="F2161" s="1"/>
      <c r="G2161" s="1"/>
      <c r="H2161" s="1"/>
      <c r="I2161" s="1"/>
      <c r="J2161" s="1"/>
      <c r="K2161" s="1" t="s">
        <v>17050</v>
      </c>
    </row>
    <row r="2162" ht="14.25" customHeight="1">
      <c r="A2162" s="3" t="s">
        <v>2045</v>
      </c>
      <c r="B2162" s="1">
        <v>8.5</v>
      </c>
      <c r="C2162" s="1" t="s">
        <v>17763</v>
      </c>
      <c r="D2162" s="1" t="s">
        <v>3238</v>
      </c>
      <c r="E2162" s="1" t="s">
        <v>17471</v>
      </c>
      <c r="F2162" s="1"/>
      <c r="G2162" s="1"/>
      <c r="H2162" s="1"/>
      <c r="I2162" s="1"/>
      <c r="J2162" s="1"/>
      <c r="K2162" s="1" t="s">
        <v>17285</v>
      </c>
    </row>
    <row r="2163" ht="14.25" customHeight="1">
      <c r="A2163" s="3" t="s">
        <v>2045</v>
      </c>
      <c r="B2163" s="1">
        <v>5.6</v>
      </c>
      <c r="C2163" s="1" t="s">
        <v>17763</v>
      </c>
      <c r="D2163" s="1" t="s">
        <v>3238</v>
      </c>
      <c r="E2163" s="1" t="s">
        <v>17471</v>
      </c>
      <c r="F2163" s="1"/>
      <c r="G2163" s="1"/>
      <c r="H2163" s="1"/>
      <c r="I2163" s="1"/>
      <c r="J2163" s="1"/>
      <c r="K2163" s="1" t="s">
        <v>17369</v>
      </c>
    </row>
    <row r="2164" ht="14.25" customHeight="1">
      <c r="A2164" s="3" t="s">
        <v>2045</v>
      </c>
      <c r="B2164" s="1">
        <v>4.1</v>
      </c>
      <c r="C2164" s="1" t="s">
        <v>17763</v>
      </c>
      <c r="D2164" s="1" t="s">
        <v>3238</v>
      </c>
      <c r="E2164" s="1" t="s">
        <v>17471</v>
      </c>
      <c r="F2164" s="1"/>
      <c r="G2164" s="1"/>
      <c r="H2164" s="1"/>
      <c r="I2164" s="1"/>
      <c r="J2164" s="1"/>
      <c r="K2164" s="1" t="s">
        <v>7901</v>
      </c>
    </row>
    <row r="2165" ht="14.25" customHeight="1">
      <c r="A2165" s="3" t="s">
        <v>2045</v>
      </c>
      <c r="B2165" s="1">
        <v>6.1</v>
      </c>
      <c r="C2165" s="1" t="s">
        <v>17763</v>
      </c>
      <c r="D2165" s="1" t="s">
        <v>3238</v>
      </c>
      <c r="E2165" s="1" t="s">
        <v>17471</v>
      </c>
      <c r="F2165" s="1"/>
      <c r="G2165" s="1"/>
      <c r="H2165" s="1"/>
      <c r="I2165" s="1"/>
      <c r="J2165" s="1"/>
      <c r="K2165" s="1" t="s">
        <v>17596</v>
      </c>
    </row>
    <row r="2166" ht="14.25" customHeight="1">
      <c r="A2166" s="3" t="s">
        <v>1308</v>
      </c>
      <c r="B2166" s="1">
        <v>5.4</v>
      </c>
      <c r="C2166" s="1" t="s">
        <v>1270</v>
      </c>
      <c r="D2166" s="1" t="s">
        <v>17759</v>
      </c>
      <c r="E2166" s="1" t="s">
        <v>17471</v>
      </c>
      <c r="F2166" s="1"/>
      <c r="G2166" s="1"/>
      <c r="H2166" s="1"/>
      <c r="I2166" s="1"/>
      <c r="J2166" s="1"/>
      <c r="K2166" s="1" t="s">
        <v>1307</v>
      </c>
    </row>
    <row r="2167" ht="14.25" customHeight="1">
      <c r="A2167" s="3" t="s">
        <v>1308</v>
      </c>
      <c r="B2167" s="1">
        <v>7.1</v>
      </c>
      <c r="C2167" s="1" t="s">
        <v>1270</v>
      </c>
      <c r="D2167" s="1" t="s">
        <v>17759</v>
      </c>
      <c r="E2167" s="1" t="s">
        <v>17471</v>
      </c>
      <c r="F2167" s="1"/>
      <c r="G2167" s="1"/>
      <c r="H2167" s="1"/>
      <c r="I2167" s="1"/>
      <c r="J2167" s="1"/>
      <c r="K2167" s="1" t="s">
        <v>4286</v>
      </c>
    </row>
    <row r="2168" ht="14.25" customHeight="1">
      <c r="A2168" s="3" t="s">
        <v>1308</v>
      </c>
      <c r="B2168" s="1">
        <v>3.6</v>
      </c>
      <c r="C2168" s="1" t="s">
        <v>1270</v>
      </c>
      <c r="D2168" s="1" t="s">
        <v>17759</v>
      </c>
      <c r="E2168" s="1" t="s">
        <v>17471</v>
      </c>
      <c r="F2168" s="1"/>
      <c r="G2168" s="1"/>
      <c r="H2168" s="1"/>
      <c r="I2168" s="1"/>
      <c r="J2168" s="1"/>
      <c r="K2168" s="1" t="s">
        <v>5185</v>
      </c>
    </row>
    <row r="2169" ht="14.25" customHeight="1">
      <c r="A2169" s="3" t="s">
        <v>1308</v>
      </c>
      <c r="B2169" s="1">
        <v>6.5</v>
      </c>
      <c r="C2169" s="1" t="s">
        <v>1270</v>
      </c>
      <c r="D2169" s="1" t="s">
        <v>17759</v>
      </c>
      <c r="E2169" s="1" t="s">
        <v>17471</v>
      </c>
      <c r="F2169" s="1"/>
      <c r="G2169" s="1"/>
      <c r="H2169" s="1"/>
      <c r="I2169" s="1"/>
      <c r="J2169" s="1"/>
      <c r="K2169" s="1" t="s">
        <v>9553</v>
      </c>
    </row>
    <row r="2170" ht="14.25" customHeight="1">
      <c r="A2170" s="3" t="s">
        <v>17066</v>
      </c>
      <c r="B2170" s="1">
        <v>8.6</v>
      </c>
      <c r="C2170" s="1" t="s">
        <v>1885</v>
      </c>
      <c r="D2170" s="1" t="s">
        <v>17759</v>
      </c>
      <c r="E2170" s="1" t="s">
        <v>17471</v>
      </c>
      <c r="F2170" s="1"/>
      <c r="G2170" s="1"/>
      <c r="H2170" s="1"/>
      <c r="I2170" s="1"/>
      <c r="J2170" s="1"/>
      <c r="K2170" s="1" t="s">
        <v>17065</v>
      </c>
    </row>
    <row r="2171" ht="14.25" customHeight="1">
      <c r="A2171" s="3" t="s">
        <v>1920</v>
      </c>
      <c r="B2171" s="1">
        <v>7.0</v>
      </c>
      <c r="C2171" s="1" t="s">
        <v>3238</v>
      </c>
      <c r="D2171" s="1" t="s">
        <v>17759</v>
      </c>
      <c r="E2171" s="1" t="s">
        <v>17471</v>
      </c>
      <c r="F2171" s="1"/>
      <c r="G2171" s="1"/>
      <c r="H2171" s="1"/>
      <c r="I2171" s="1"/>
      <c r="J2171" s="1"/>
      <c r="K2171" s="1" t="s">
        <v>1919</v>
      </c>
    </row>
    <row r="2172" ht="14.25" customHeight="1">
      <c r="A2172" s="3" t="s">
        <v>1920</v>
      </c>
      <c r="B2172" s="1">
        <v>7.6</v>
      </c>
      <c r="C2172" s="1" t="s">
        <v>3238</v>
      </c>
      <c r="D2172" s="1" t="s">
        <v>17759</v>
      </c>
      <c r="E2172" s="1" t="s">
        <v>17471</v>
      </c>
      <c r="F2172" s="1"/>
      <c r="G2172" s="1"/>
      <c r="H2172" s="1"/>
      <c r="I2172" s="1"/>
      <c r="J2172" s="1"/>
      <c r="K2172" s="1" t="s">
        <v>8052</v>
      </c>
    </row>
    <row r="2173" ht="14.25" customHeight="1">
      <c r="A2173" s="3" t="s">
        <v>1920</v>
      </c>
      <c r="B2173" s="1">
        <v>6.5</v>
      </c>
      <c r="C2173" s="1" t="s">
        <v>3238</v>
      </c>
      <c r="D2173" s="1" t="s">
        <v>17759</v>
      </c>
      <c r="E2173" s="1" t="s">
        <v>17471</v>
      </c>
      <c r="F2173" s="1"/>
      <c r="G2173" s="1"/>
      <c r="H2173" s="1"/>
      <c r="I2173" s="1"/>
      <c r="J2173" s="1"/>
      <c r="K2173" s="1" t="s">
        <v>1919</v>
      </c>
    </row>
    <row r="2174" ht="14.25" customHeight="1">
      <c r="A2174" s="3" t="s">
        <v>2676</v>
      </c>
      <c r="B2174" s="1">
        <v>6.4</v>
      </c>
      <c r="C2174" s="1" t="s">
        <v>3238</v>
      </c>
      <c r="D2174" s="1" t="s">
        <v>17772</v>
      </c>
      <c r="E2174" s="1" t="s">
        <v>17471</v>
      </c>
      <c r="F2174" s="1"/>
      <c r="G2174" s="1"/>
      <c r="H2174" s="1"/>
      <c r="I2174" s="1"/>
      <c r="J2174" s="1"/>
      <c r="K2174" s="1" t="s">
        <v>2675</v>
      </c>
    </row>
    <row r="2175" ht="14.25" customHeight="1">
      <c r="A2175" s="3" t="s">
        <v>2676</v>
      </c>
      <c r="B2175" s="1">
        <v>6.3</v>
      </c>
      <c r="C2175" s="1" t="s">
        <v>3238</v>
      </c>
      <c r="D2175" s="1" t="s">
        <v>17772</v>
      </c>
      <c r="E2175" s="1" t="s">
        <v>17471</v>
      </c>
      <c r="F2175" s="1"/>
      <c r="G2175" s="1"/>
      <c r="H2175" s="1"/>
      <c r="I2175" s="1"/>
      <c r="J2175" s="1"/>
      <c r="K2175" s="1" t="s">
        <v>2934</v>
      </c>
    </row>
    <row r="2176" ht="14.25" customHeight="1">
      <c r="A2176" s="3" t="s">
        <v>2676</v>
      </c>
      <c r="B2176" s="1">
        <v>5.7</v>
      </c>
      <c r="C2176" s="1" t="s">
        <v>3238</v>
      </c>
      <c r="D2176" s="1" t="s">
        <v>17772</v>
      </c>
      <c r="E2176" s="1" t="s">
        <v>17471</v>
      </c>
      <c r="F2176" s="1"/>
      <c r="G2176" s="1"/>
      <c r="H2176" s="1"/>
      <c r="I2176" s="1"/>
      <c r="J2176" s="1"/>
      <c r="K2176" s="1" t="s">
        <v>3523</v>
      </c>
    </row>
    <row r="2177" ht="14.25" customHeight="1">
      <c r="A2177" s="3" t="s">
        <v>2676</v>
      </c>
      <c r="B2177" s="1">
        <v>6.3</v>
      </c>
      <c r="C2177" s="1" t="s">
        <v>3238</v>
      </c>
      <c r="D2177" s="1" t="s">
        <v>17772</v>
      </c>
      <c r="E2177" s="1" t="s">
        <v>17471</v>
      </c>
      <c r="F2177" s="1"/>
      <c r="G2177" s="1"/>
      <c r="H2177" s="1"/>
      <c r="I2177" s="1"/>
      <c r="J2177" s="1"/>
      <c r="K2177" s="1" t="s">
        <v>4652</v>
      </c>
    </row>
    <row r="2178" ht="14.25" customHeight="1">
      <c r="A2178" s="3" t="s">
        <v>2676</v>
      </c>
      <c r="B2178" s="1">
        <v>6.0</v>
      </c>
      <c r="C2178" s="1" t="s">
        <v>3238</v>
      </c>
      <c r="D2178" s="1" t="s">
        <v>17772</v>
      </c>
      <c r="E2178" s="1" t="s">
        <v>17471</v>
      </c>
      <c r="F2178" s="1"/>
      <c r="G2178" s="1"/>
      <c r="H2178" s="1"/>
      <c r="I2178" s="1"/>
      <c r="J2178" s="1"/>
      <c r="K2178" s="1" t="s">
        <v>5991</v>
      </c>
    </row>
    <row r="2179" ht="14.25" customHeight="1">
      <c r="A2179" s="3" t="s">
        <v>2676</v>
      </c>
      <c r="B2179" s="1">
        <v>7.7</v>
      </c>
      <c r="C2179" s="1" t="s">
        <v>3238</v>
      </c>
      <c r="D2179" s="1" t="s">
        <v>17772</v>
      </c>
      <c r="E2179" s="1" t="s">
        <v>17471</v>
      </c>
      <c r="F2179" s="1"/>
      <c r="G2179" s="1"/>
      <c r="H2179" s="1"/>
      <c r="I2179" s="1"/>
      <c r="J2179" s="1"/>
      <c r="K2179" s="1" t="s">
        <v>6025</v>
      </c>
    </row>
    <row r="2180" ht="14.25" customHeight="1">
      <c r="A2180" s="3" t="s">
        <v>2676</v>
      </c>
      <c r="B2180" s="1">
        <v>6.2</v>
      </c>
      <c r="C2180" s="1" t="s">
        <v>3238</v>
      </c>
      <c r="D2180" s="1" t="s">
        <v>17772</v>
      </c>
      <c r="E2180" s="1" t="s">
        <v>17471</v>
      </c>
      <c r="F2180" s="1"/>
      <c r="G2180" s="1"/>
      <c r="H2180" s="1"/>
      <c r="I2180" s="1"/>
      <c r="J2180" s="1"/>
      <c r="K2180" s="1" t="s">
        <v>8478</v>
      </c>
    </row>
    <row r="2181" ht="14.25" customHeight="1">
      <c r="A2181" s="3" t="s">
        <v>2676</v>
      </c>
      <c r="B2181" s="1">
        <v>7.7</v>
      </c>
      <c r="C2181" s="1" t="s">
        <v>3238</v>
      </c>
      <c r="D2181" s="1" t="s">
        <v>17772</v>
      </c>
      <c r="E2181" s="1" t="s">
        <v>17471</v>
      </c>
      <c r="F2181" s="1"/>
      <c r="G2181" s="1"/>
      <c r="H2181" s="1"/>
      <c r="I2181" s="1"/>
      <c r="J2181" s="1"/>
      <c r="K2181" s="1" t="s">
        <v>10743</v>
      </c>
    </row>
    <row r="2182" ht="14.25" customHeight="1">
      <c r="A2182" s="3" t="s">
        <v>4634</v>
      </c>
      <c r="B2182" s="1">
        <v>6.4</v>
      </c>
      <c r="C2182" s="1" t="s">
        <v>1270</v>
      </c>
      <c r="D2182" s="1" t="s">
        <v>6019</v>
      </c>
      <c r="E2182" s="1" t="s">
        <v>17471</v>
      </c>
      <c r="F2182" s="1"/>
      <c r="G2182" s="1"/>
      <c r="H2182" s="1"/>
      <c r="I2182" s="1"/>
      <c r="J2182" s="1"/>
      <c r="K2182" s="1" t="s">
        <v>4633</v>
      </c>
    </row>
    <row r="2183" ht="14.25" customHeight="1">
      <c r="A2183" s="3" t="s">
        <v>4634</v>
      </c>
      <c r="B2183" s="1">
        <v>6.4</v>
      </c>
      <c r="C2183" s="1" t="s">
        <v>1270</v>
      </c>
      <c r="D2183" s="1" t="s">
        <v>6019</v>
      </c>
      <c r="E2183" s="1" t="s">
        <v>17471</v>
      </c>
      <c r="F2183" s="1"/>
      <c r="G2183" s="1"/>
      <c r="H2183" s="1"/>
      <c r="I2183" s="1"/>
      <c r="J2183" s="1"/>
      <c r="K2183" s="1" t="s">
        <v>8249</v>
      </c>
    </row>
    <row r="2184" ht="14.25" customHeight="1">
      <c r="A2184" s="3" t="s">
        <v>4634</v>
      </c>
      <c r="B2184" s="1">
        <v>6.9</v>
      </c>
      <c r="C2184" s="1" t="s">
        <v>1270</v>
      </c>
      <c r="D2184" s="1" t="s">
        <v>6019</v>
      </c>
      <c r="E2184" s="1" t="s">
        <v>17471</v>
      </c>
      <c r="F2184" s="1"/>
      <c r="G2184" s="1"/>
      <c r="H2184" s="1"/>
      <c r="I2184" s="1"/>
      <c r="J2184" s="1"/>
      <c r="K2184" s="1" t="s">
        <v>8729</v>
      </c>
    </row>
    <row r="2185" ht="14.25" customHeight="1">
      <c r="A2185" s="3" t="s">
        <v>4634</v>
      </c>
      <c r="B2185" s="1">
        <v>7.3</v>
      </c>
      <c r="C2185" s="1" t="s">
        <v>1270</v>
      </c>
      <c r="D2185" s="1" t="s">
        <v>6019</v>
      </c>
      <c r="E2185" s="1" t="s">
        <v>17471</v>
      </c>
      <c r="F2185" s="1"/>
      <c r="G2185" s="1"/>
      <c r="H2185" s="1"/>
      <c r="I2185" s="1"/>
      <c r="J2185" s="1"/>
      <c r="K2185" s="1" t="s">
        <v>10110</v>
      </c>
    </row>
    <row r="2186" ht="14.25" customHeight="1">
      <c r="A2186" s="3" t="s">
        <v>4634</v>
      </c>
      <c r="B2186" s="1">
        <v>7.3</v>
      </c>
      <c r="C2186" s="1" t="s">
        <v>1270</v>
      </c>
      <c r="D2186" s="1" t="s">
        <v>6019</v>
      </c>
      <c r="E2186" s="1" t="s">
        <v>17471</v>
      </c>
      <c r="F2186" s="1"/>
      <c r="G2186" s="1"/>
      <c r="H2186" s="1"/>
      <c r="I2186" s="1"/>
      <c r="J2186" s="1"/>
      <c r="K2186" s="1" t="s">
        <v>13426</v>
      </c>
    </row>
    <row r="2187" ht="14.25" customHeight="1">
      <c r="A2187" s="3" t="s">
        <v>4634</v>
      </c>
      <c r="B2187" s="1">
        <v>6.2</v>
      </c>
      <c r="C2187" s="1" t="s">
        <v>1270</v>
      </c>
      <c r="D2187" s="1" t="s">
        <v>6019</v>
      </c>
      <c r="E2187" s="1" t="s">
        <v>17471</v>
      </c>
      <c r="F2187" s="1"/>
      <c r="G2187" s="1"/>
      <c r="H2187" s="1"/>
      <c r="I2187" s="1"/>
      <c r="J2187" s="1"/>
      <c r="K2187" s="1" t="s">
        <v>8249</v>
      </c>
    </row>
    <row r="2188" ht="14.25" customHeight="1">
      <c r="A2188" s="3" t="s">
        <v>8022</v>
      </c>
      <c r="B2188" s="1">
        <v>6.6</v>
      </c>
      <c r="C2188" s="1" t="s">
        <v>917</v>
      </c>
      <c r="D2188" s="1" t="s">
        <v>6019</v>
      </c>
      <c r="E2188" s="1" t="s">
        <v>17471</v>
      </c>
      <c r="F2188" s="1"/>
      <c r="G2188" s="1"/>
      <c r="H2188" s="1"/>
      <c r="I2188" s="1"/>
      <c r="J2188" s="1"/>
      <c r="K2188" s="1" t="s">
        <v>8021</v>
      </c>
    </row>
    <row r="2189" ht="14.25" customHeight="1">
      <c r="A2189" s="3" t="s">
        <v>8022</v>
      </c>
      <c r="B2189" s="1">
        <v>6.7</v>
      </c>
      <c r="C2189" s="1" t="s">
        <v>917</v>
      </c>
      <c r="D2189" s="1" t="s">
        <v>6019</v>
      </c>
      <c r="E2189" s="1" t="s">
        <v>17471</v>
      </c>
      <c r="F2189" s="1"/>
      <c r="G2189" s="1"/>
      <c r="H2189" s="1"/>
      <c r="I2189" s="1"/>
      <c r="J2189" s="1"/>
      <c r="K2189" s="1" t="s">
        <v>9446</v>
      </c>
    </row>
    <row r="2190" ht="14.25" customHeight="1">
      <c r="A2190" s="3" t="s">
        <v>8022</v>
      </c>
      <c r="B2190" s="1">
        <v>5.7</v>
      </c>
      <c r="C2190" s="1" t="s">
        <v>917</v>
      </c>
      <c r="D2190" s="1" t="s">
        <v>6019</v>
      </c>
      <c r="E2190" s="1" t="s">
        <v>17471</v>
      </c>
      <c r="F2190" s="1"/>
      <c r="G2190" s="1"/>
      <c r="H2190" s="1"/>
      <c r="I2190" s="1"/>
      <c r="J2190" s="1"/>
      <c r="K2190" s="1" t="s">
        <v>9811</v>
      </c>
    </row>
    <row r="2191" ht="14.25" customHeight="1">
      <c r="A2191" s="3" t="s">
        <v>8022</v>
      </c>
      <c r="B2191" s="1">
        <v>3.1</v>
      </c>
      <c r="C2191" s="1" t="s">
        <v>917</v>
      </c>
      <c r="D2191" s="1" t="s">
        <v>6019</v>
      </c>
      <c r="E2191" s="1" t="s">
        <v>17471</v>
      </c>
      <c r="F2191" s="1"/>
      <c r="G2191" s="1"/>
      <c r="H2191" s="1"/>
      <c r="I2191" s="1"/>
      <c r="J2191" s="1"/>
      <c r="K2191" s="1" t="s">
        <v>11136</v>
      </c>
    </row>
    <row r="2192" ht="14.25" customHeight="1">
      <c r="A2192" s="3" t="s">
        <v>8022</v>
      </c>
      <c r="B2192" s="1">
        <v>6.3</v>
      </c>
      <c r="C2192" s="1" t="s">
        <v>917</v>
      </c>
      <c r="D2192" s="1" t="s">
        <v>6019</v>
      </c>
      <c r="E2192" s="1" t="s">
        <v>17471</v>
      </c>
      <c r="F2192" s="1"/>
      <c r="G2192" s="1"/>
      <c r="H2192" s="1"/>
      <c r="I2192" s="1"/>
      <c r="J2192" s="1"/>
      <c r="K2192" s="1" t="s">
        <v>14299</v>
      </c>
    </row>
    <row r="2193" ht="14.25" customHeight="1">
      <c r="A2193" s="3" t="s">
        <v>11578</v>
      </c>
      <c r="B2193" s="1">
        <v>5.7</v>
      </c>
      <c r="C2193" s="1" t="s">
        <v>1885</v>
      </c>
      <c r="D2193" s="1" t="s">
        <v>6019</v>
      </c>
      <c r="E2193" s="1" t="s">
        <v>17471</v>
      </c>
      <c r="F2193" s="1"/>
      <c r="G2193" s="1"/>
      <c r="H2193" s="1"/>
      <c r="I2193" s="1"/>
      <c r="J2193" s="1"/>
      <c r="K2193" s="1" t="s">
        <v>11577</v>
      </c>
    </row>
    <row r="2194" ht="14.25" customHeight="1">
      <c r="A2194" s="3" t="s">
        <v>11578</v>
      </c>
      <c r="B2194" s="1">
        <v>7.1</v>
      </c>
      <c r="C2194" s="1" t="s">
        <v>1885</v>
      </c>
      <c r="D2194" s="1" t="s">
        <v>6019</v>
      </c>
      <c r="E2194" s="1" t="s">
        <v>17471</v>
      </c>
      <c r="F2194" s="1"/>
      <c r="G2194" s="1"/>
      <c r="H2194" s="1"/>
      <c r="I2194" s="1"/>
      <c r="J2194" s="1"/>
      <c r="K2194" s="1" t="s">
        <v>13615</v>
      </c>
    </row>
    <row r="2195" ht="14.25" customHeight="1">
      <c r="A2195" s="3" t="s">
        <v>11578</v>
      </c>
      <c r="B2195" s="1">
        <v>7.0</v>
      </c>
      <c r="C2195" s="1" t="s">
        <v>1885</v>
      </c>
      <c r="D2195" s="1" t="s">
        <v>6019</v>
      </c>
      <c r="E2195" s="1" t="s">
        <v>17471</v>
      </c>
      <c r="F2195" s="1"/>
      <c r="G2195" s="1"/>
      <c r="H2195" s="1"/>
      <c r="I2195" s="1"/>
      <c r="J2195" s="1"/>
      <c r="K2195" s="1" t="s">
        <v>13909</v>
      </c>
    </row>
    <row r="2196" ht="14.25" customHeight="1">
      <c r="A2196" s="3" t="s">
        <v>11578</v>
      </c>
      <c r="B2196" s="1">
        <v>6.1</v>
      </c>
      <c r="C2196" s="1" t="s">
        <v>1885</v>
      </c>
      <c r="D2196" s="1" t="s">
        <v>6019</v>
      </c>
      <c r="E2196" s="1" t="s">
        <v>17471</v>
      </c>
      <c r="F2196" s="1"/>
      <c r="G2196" s="1"/>
      <c r="H2196" s="1"/>
      <c r="I2196" s="1"/>
      <c r="J2196" s="1"/>
      <c r="K2196" s="1" t="s">
        <v>14704</v>
      </c>
    </row>
    <row r="2197" ht="14.25" customHeight="1">
      <c r="A2197" s="3" t="s">
        <v>6395</v>
      </c>
      <c r="B2197" s="1">
        <v>6.6</v>
      </c>
      <c r="C2197" s="1" t="s">
        <v>17763</v>
      </c>
      <c r="D2197" s="1" t="s">
        <v>6019</v>
      </c>
      <c r="E2197" s="1" t="s">
        <v>17471</v>
      </c>
      <c r="F2197" s="1"/>
      <c r="G2197" s="1"/>
      <c r="H2197" s="1"/>
      <c r="I2197" s="1"/>
      <c r="J2197" s="1"/>
      <c r="K2197" s="1" t="s">
        <v>6394</v>
      </c>
    </row>
    <row r="2198" ht="14.25" customHeight="1">
      <c r="A2198" s="3" t="s">
        <v>6395</v>
      </c>
      <c r="B2198" s="1">
        <v>7.8</v>
      </c>
      <c r="C2198" s="1" t="s">
        <v>17763</v>
      </c>
      <c r="D2198" s="1" t="s">
        <v>6019</v>
      </c>
      <c r="E2198" s="1" t="s">
        <v>17471</v>
      </c>
      <c r="F2198" s="1"/>
      <c r="G2198" s="1"/>
      <c r="H2198" s="1"/>
      <c r="I2198" s="1"/>
      <c r="J2198" s="1"/>
      <c r="K2198" s="1" t="s">
        <v>11569</v>
      </c>
    </row>
    <row r="2199" ht="14.25" customHeight="1">
      <c r="A2199" s="3" t="s">
        <v>6395</v>
      </c>
      <c r="B2199" s="1">
        <v>8.3</v>
      </c>
      <c r="C2199" s="1" t="s">
        <v>17763</v>
      </c>
      <c r="D2199" s="1" t="s">
        <v>6019</v>
      </c>
      <c r="E2199" s="1" t="s">
        <v>17471</v>
      </c>
      <c r="F2199" s="1"/>
      <c r="G2199" s="1"/>
      <c r="H2199" s="1"/>
      <c r="I2199" s="1"/>
      <c r="J2199" s="1"/>
      <c r="K2199" s="1" t="s">
        <v>14122</v>
      </c>
    </row>
    <row r="2200" ht="14.25" customHeight="1">
      <c r="A2200" s="3" t="s">
        <v>6395</v>
      </c>
      <c r="B2200" s="1">
        <v>3.9</v>
      </c>
      <c r="C2200" s="1" t="s">
        <v>17763</v>
      </c>
      <c r="D2200" s="1" t="s">
        <v>6019</v>
      </c>
      <c r="E2200" s="1" t="s">
        <v>17471</v>
      </c>
      <c r="F2200" s="1"/>
      <c r="G2200" s="1"/>
      <c r="H2200" s="1"/>
      <c r="I2200" s="1"/>
      <c r="J2200" s="1"/>
      <c r="K2200" s="1" t="s">
        <v>17131</v>
      </c>
    </row>
    <row r="2201" ht="14.25" customHeight="1">
      <c r="A2201" s="3" t="s">
        <v>6395</v>
      </c>
      <c r="B2201" s="1">
        <v>7.0</v>
      </c>
      <c r="C2201" s="1" t="s">
        <v>17763</v>
      </c>
      <c r="D2201" s="1" t="s">
        <v>6019</v>
      </c>
      <c r="E2201" s="1" t="s">
        <v>17471</v>
      </c>
      <c r="F2201" s="1"/>
      <c r="G2201" s="1"/>
      <c r="H2201" s="1"/>
      <c r="I2201" s="1"/>
      <c r="J2201" s="1"/>
      <c r="K2201" s="1" t="s">
        <v>11569</v>
      </c>
    </row>
    <row r="2202" ht="14.25" customHeight="1">
      <c r="A2202" s="3" t="s">
        <v>4158</v>
      </c>
      <c r="B2202" s="1">
        <v>6.7</v>
      </c>
      <c r="C2202" s="1" t="s">
        <v>3238</v>
      </c>
      <c r="D2202" s="1" t="s">
        <v>6019</v>
      </c>
      <c r="E2202" s="1" t="s">
        <v>17471</v>
      </c>
      <c r="F2202" s="1"/>
      <c r="G2202" s="1"/>
      <c r="H2202" s="1"/>
      <c r="I2202" s="1"/>
      <c r="J2202" s="1"/>
      <c r="K2202" s="1" t="s">
        <v>4157</v>
      </c>
    </row>
    <row r="2203" ht="14.25" customHeight="1">
      <c r="A2203" s="3" t="s">
        <v>4158</v>
      </c>
      <c r="B2203" s="1">
        <v>7.3</v>
      </c>
      <c r="C2203" s="1" t="s">
        <v>3238</v>
      </c>
      <c r="D2203" s="1" t="s">
        <v>6019</v>
      </c>
      <c r="E2203" s="1" t="s">
        <v>17471</v>
      </c>
      <c r="F2203" s="1"/>
      <c r="G2203" s="1"/>
      <c r="H2203" s="1"/>
      <c r="I2203" s="1"/>
      <c r="J2203" s="1"/>
      <c r="K2203" s="1" t="s">
        <v>8344</v>
      </c>
    </row>
    <row r="2204" ht="14.25" customHeight="1">
      <c r="A2204" s="3" t="s">
        <v>4158</v>
      </c>
      <c r="B2204" s="1">
        <v>6.3</v>
      </c>
      <c r="C2204" s="1" t="s">
        <v>3238</v>
      </c>
      <c r="D2204" s="1" t="s">
        <v>6019</v>
      </c>
      <c r="E2204" s="1" t="s">
        <v>17471</v>
      </c>
      <c r="F2204" s="1"/>
      <c r="G2204" s="1"/>
      <c r="H2204" s="1"/>
      <c r="I2204" s="1"/>
      <c r="J2204" s="1"/>
      <c r="K2204" s="1" t="s">
        <v>10671</v>
      </c>
    </row>
    <row r="2205" ht="14.25" customHeight="1">
      <c r="A2205" s="3" t="s">
        <v>4158</v>
      </c>
      <c r="B2205" s="1">
        <v>7.8</v>
      </c>
      <c r="C2205" s="1" t="s">
        <v>3238</v>
      </c>
      <c r="D2205" s="1" t="s">
        <v>6019</v>
      </c>
      <c r="E2205" s="1" t="s">
        <v>17471</v>
      </c>
      <c r="F2205" s="1"/>
      <c r="G2205" s="1"/>
      <c r="H2205" s="1"/>
      <c r="I2205" s="1"/>
      <c r="J2205" s="1"/>
      <c r="K2205" s="1" t="s">
        <v>11256</v>
      </c>
    </row>
    <row r="2206" ht="14.25" customHeight="1">
      <c r="A2206" s="3" t="s">
        <v>4158</v>
      </c>
      <c r="B2206" s="1">
        <v>7.3</v>
      </c>
      <c r="C2206" s="1" t="s">
        <v>3238</v>
      </c>
      <c r="D2206" s="1" t="s">
        <v>6019</v>
      </c>
      <c r="E2206" s="1" t="s">
        <v>17471</v>
      </c>
      <c r="F2206" s="1"/>
      <c r="G2206" s="1"/>
      <c r="H2206" s="1"/>
      <c r="I2206" s="1"/>
      <c r="J2206" s="1"/>
      <c r="K2206" s="1" t="s">
        <v>12270</v>
      </c>
    </row>
    <row r="2207" ht="14.25" customHeight="1">
      <c r="A2207" s="3" t="s">
        <v>4158</v>
      </c>
      <c r="B2207" s="1">
        <v>7.6</v>
      </c>
      <c r="C2207" s="1" t="s">
        <v>3238</v>
      </c>
      <c r="D2207" s="1" t="s">
        <v>6019</v>
      </c>
      <c r="E2207" s="1" t="s">
        <v>17471</v>
      </c>
      <c r="F2207" s="1"/>
      <c r="G2207" s="1"/>
      <c r="H2207" s="1"/>
      <c r="I2207" s="1"/>
      <c r="J2207" s="1"/>
      <c r="K2207" s="1" t="s">
        <v>14482</v>
      </c>
    </row>
    <row r="2208" ht="14.25" customHeight="1">
      <c r="A2208" s="3" t="s">
        <v>4158</v>
      </c>
      <c r="B2208" s="1">
        <v>5.3</v>
      </c>
      <c r="C2208" s="1" t="s">
        <v>3238</v>
      </c>
      <c r="D2208" s="1" t="s">
        <v>6019</v>
      </c>
      <c r="E2208" s="1" t="s">
        <v>17471</v>
      </c>
      <c r="F2208" s="1"/>
      <c r="G2208" s="1"/>
      <c r="H2208" s="1"/>
      <c r="I2208" s="1"/>
      <c r="J2208" s="1"/>
      <c r="K2208" s="1" t="s">
        <v>15129</v>
      </c>
    </row>
    <row r="2209" ht="14.25" customHeight="1">
      <c r="A2209" s="3" t="s">
        <v>4158</v>
      </c>
      <c r="B2209" s="1">
        <v>7.9</v>
      </c>
      <c r="C2209" s="1" t="s">
        <v>3238</v>
      </c>
      <c r="D2209" s="1" t="s">
        <v>6019</v>
      </c>
      <c r="E2209" s="1" t="s">
        <v>17471</v>
      </c>
      <c r="F2209" s="1"/>
      <c r="G2209" s="1"/>
      <c r="H2209" s="1"/>
      <c r="I2209" s="1"/>
      <c r="J2209" s="1"/>
      <c r="K2209" s="1" t="s">
        <v>15490</v>
      </c>
    </row>
    <row r="2210" ht="14.25" customHeight="1">
      <c r="A2210" s="3" t="s">
        <v>4158</v>
      </c>
      <c r="B2210" s="1">
        <v>5.3</v>
      </c>
      <c r="C2210" s="1" t="s">
        <v>3238</v>
      </c>
      <c r="D2210" s="1" t="s">
        <v>6019</v>
      </c>
      <c r="E2210" s="1" t="s">
        <v>17471</v>
      </c>
      <c r="F2210" s="1"/>
      <c r="G2210" s="1"/>
      <c r="H2210" s="1"/>
      <c r="I2210" s="1"/>
      <c r="J2210" s="1"/>
      <c r="K2210" s="1" t="s">
        <v>16506</v>
      </c>
    </row>
    <row r="2211" ht="14.25" customHeight="1">
      <c r="A2211" s="3" t="s">
        <v>9021</v>
      </c>
      <c r="B2211" s="1">
        <v>6.8</v>
      </c>
      <c r="C2211" s="1" t="s">
        <v>17759</v>
      </c>
      <c r="D2211" s="1" t="s">
        <v>6019</v>
      </c>
      <c r="E2211" s="1" t="s">
        <v>17471</v>
      </c>
      <c r="F2211" s="1"/>
      <c r="G2211" s="1"/>
      <c r="H2211" s="1"/>
      <c r="I2211" s="1"/>
      <c r="J2211" s="1"/>
      <c r="K2211" s="1" t="s">
        <v>9020</v>
      </c>
    </row>
    <row r="2212" ht="14.25" customHeight="1">
      <c r="A2212" s="3" t="s">
        <v>9021</v>
      </c>
      <c r="B2212" s="1">
        <v>7.1</v>
      </c>
      <c r="C2212" s="1" t="s">
        <v>17759</v>
      </c>
      <c r="D2212" s="1" t="s">
        <v>6019</v>
      </c>
      <c r="E2212" s="1" t="s">
        <v>17471</v>
      </c>
      <c r="F2212" s="1"/>
      <c r="G2212" s="1"/>
      <c r="H2212" s="1"/>
      <c r="I2212" s="1"/>
      <c r="J2212" s="1"/>
      <c r="K2212" s="1" t="s">
        <v>10992</v>
      </c>
    </row>
    <row r="2213" ht="14.25" customHeight="1">
      <c r="A2213" s="3" t="s">
        <v>9021</v>
      </c>
      <c r="B2213" s="1">
        <v>5.8</v>
      </c>
      <c r="C2213" s="1" t="s">
        <v>17759</v>
      </c>
      <c r="D2213" s="1" t="s">
        <v>6019</v>
      </c>
      <c r="E2213" s="1" t="s">
        <v>17471</v>
      </c>
      <c r="F2213" s="1"/>
      <c r="G2213" s="1"/>
      <c r="H2213" s="1"/>
      <c r="I2213" s="1"/>
      <c r="J2213" s="1"/>
      <c r="K2213" s="1" t="s">
        <v>12230</v>
      </c>
    </row>
    <row r="2214" ht="14.25" customHeight="1">
      <c r="A2214" s="3" t="s">
        <v>9021</v>
      </c>
      <c r="B2214" s="1">
        <v>5.8</v>
      </c>
      <c r="C2214" s="1" t="s">
        <v>17759</v>
      </c>
      <c r="D2214" s="1" t="s">
        <v>6019</v>
      </c>
      <c r="E2214" s="1" t="s">
        <v>17471</v>
      </c>
      <c r="F2214" s="1"/>
      <c r="G2214" s="1"/>
      <c r="H2214" s="1"/>
      <c r="I2214" s="1"/>
      <c r="J2214" s="1"/>
      <c r="K2214" s="1" t="s">
        <v>12817</v>
      </c>
    </row>
    <row r="2215" ht="14.25" customHeight="1">
      <c r="A2215" s="3" t="s">
        <v>9021</v>
      </c>
      <c r="B2215" s="1">
        <v>8.3</v>
      </c>
      <c r="C2215" s="1" t="s">
        <v>17759</v>
      </c>
      <c r="D2215" s="1" t="s">
        <v>6019</v>
      </c>
      <c r="E2215" s="1" t="s">
        <v>17471</v>
      </c>
      <c r="F2215" s="1"/>
      <c r="G2215" s="1"/>
      <c r="H2215" s="1"/>
      <c r="I2215" s="1"/>
      <c r="J2215" s="1"/>
      <c r="K2215" s="1" t="s">
        <v>13216</v>
      </c>
    </row>
    <row r="2216" ht="14.25" customHeight="1">
      <c r="A2216" s="3" t="s">
        <v>9021</v>
      </c>
      <c r="B2216" s="1">
        <v>5.6</v>
      </c>
      <c r="C2216" s="1" t="s">
        <v>17759</v>
      </c>
      <c r="D2216" s="1" t="s">
        <v>6019</v>
      </c>
      <c r="E2216" s="1" t="s">
        <v>17471</v>
      </c>
      <c r="F2216" s="1"/>
      <c r="G2216" s="1"/>
      <c r="H2216" s="1"/>
      <c r="I2216" s="1"/>
      <c r="J2216" s="1"/>
      <c r="K2216" s="1" t="s">
        <v>14960</v>
      </c>
    </row>
    <row r="2217" ht="14.25" customHeight="1">
      <c r="A2217" s="3" t="s">
        <v>9021</v>
      </c>
      <c r="B2217" s="1">
        <v>6.8</v>
      </c>
      <c r="C2217" s="1" t="s">
        <v>17759</v>
      </c>
      <c r="D2217" s="1" t="s">
        <v>6019</v>
      </c>
      <c r="E2217" s="1" t="s">
        <v>17471</v>
      </c>
      <c r="F2217" s="1"/>
      <c r="G2217" s="1"/>
      <c r="H2217" s="1"/>
      <c r="I2217" s="1"/>
      <c r="J2217" s="1"/>
      <c r="K2217" s="1" t="s">
        <v>15022</v>
      </c>
    </row>
    <row r="2218" ht="14.25" customHeight="1">
      <c r="A2218" s="3" t="s">
        <v>9021</v>
      </c>
      <c r="B2218" s="1">
        <v>5.0</v>
      </c>
      <c r="C2218" s="1" t="s">
        <v>17759</v>
      </c>
      <c r="D2218" s="1" t="s">
        <v>6019</v>
      </c>
      <c r="E2218" s="1" t="s">
        <v>17471</v>
      </c>
      <c r="F2218" s="1"/>
      <c r="G2218" s="1"/>
      <c r="H2218" s="1"/>
      <c r="I2218" s="1"/>
      <c r="J2218" s="1"/>
      <c r="K2218" s="1" t="s">
        <v>15901</v>
      </c>
    </row>
    <row r="2219" ht="14.25" customHeight="1">
      <c r="A2219" s="3" t="s">
        <v>1112</v>
      </c>
      <c r="B2219" s="1">
        <v>7.6</v>
      </c>
      <c r="C2219" s="1" t="s">
        <v>1270</v>
      </c>
      <c r="D2219" s="1" t="s">
        <v>17761</v>
      </c>
      <c r="E2219" s="1" t="s">
        <v>17471</v>
      </c>
      <c r="F2219" s="1"/>
      <c r="G2219" s="1"/>
      <c r="H2219" s="1"/>
      <c r="I2219" s="1"/>
      <c r="J2219" s="1"/>
      <c r="K2219" s="1" t="s">
        <v>1111</v>
      </c>
    </row>
    <row r="2220" ht="14.25" customHeight="1">
      <c r="A2220" s="3" t="s">
        <v>1112</v>
      </c>
      <c r="B2220" s="1">
        <v>6.7</v>
      </c>
      <c r="C2220" s="1" t="s">
        <v>1270</v>
      </c>
      <c r="D2220" s="1" t="s">
        <v>17761</v>
      </c>
      <c r="E2220" s="1" t="s">
        <v>17471</v>
      </c>
      <c r="F2220" s="1"/>
      <c r="G2220" s="1"/>
      <c r="H2220" s="1"/>
      <c r="I2220" s="1"/>
      <c r="J2220" s="1"/>
      <c r="K2220" s="1" t="s">
        <v>2233</v>
      </c>
    </row>
    <row r="2221" ht="14.25" customHeight="1">
      <c r="A2221" s="3" t="s">
        <v>1112</v>
      </c>
      <c r="B2221" s="1">
        <v>6.7</v>
      </c>
      <c r="C2221" s="1" t="s">
        <v>1270</v>
      </c>
      <c r="D2221" s="1" t="s">
        <v>17761</v>
      </c>
      <c r="E2221" s="1" t="s">
        <v>17471</v>
      </c>
      <c r="F2221" s="1"/>
      <c r="G2221" s="1"/>
      <c r="H2221" s="1"/>
      <c r="I2221" s="1"/>
      <c r="J2221" s="1"/>
      <c r="K2221" s="1" t="s">
        <v>2524</v>
      </c>
    </row>
    <row r="2222" ht="14.25" customHeight="1">
      <c r="A2222" s="3" t="s">
        <v>1112</v>
      </c>
      <c r="B2222" s="1">
        <v>5.7</v>
      </c>
      <c r="C2222" s="1" t="s">
        <v>1270</v>
      </c>
      <c r="D2222" s="1" t="s">
        <v>17761</v>
      </c>
      <c r="E2222" s="1" t="s">
        <v>17471</v>
      </c>
      <c r="F2222" s="1"/>
      <c r="G2222" s="1"/>
      <c r="H2222" s="1"/>
      <c r="I2222" s="1"/>
      <c r="J2222" s="1"/>
      <c r="K2222" s="1" t="s">
        <v>3749</v>
      </c>
    </row>
    <row r="2223" ht="14.25" customHeight="1">
      <c r="A2223" s="3" t="s">
        <v>1112</v>
      </c>
      <c r="B2223" s="1">
        <v>5.2</v>
      </c>
      <c r="C2223" s="1" t="s">
        <v>1270</v>
      </c>
      <c r="D2223" s="1" t="s">
        <v>17761</v>
      </c>
      <c r="E2223" s="1" t="s">
        <v>17471</v>
      </c>
      <c r="F2223" s="1"/>
      <c r="G2223" s="1"/>
      <c r="H2223" s="1"/>
      <c r="I2223" s="1"/>
      <c r="J2223" s="1"/>
      <c r="K2223" s="1" t="s">
        <v>4845</v>
      </c>
    </row>
    <row r="2224" ht="14.25" customHeight="1">
      <c r="A2224" s="3" t="s">
        <v>1112</v>
      </c>
      <c r="B2224" s="1">
        <v>7.5</v>
      </c>
      <c r="C2224" s="1" t="s">
        <v>1270</v>
      </c>
      <c r="D2224" s="1" t="s">
        <v>17761</v>
      </c>
      <c r="E2224" s="1" t="s">
        <v>17471</v>
      </c>
      <c r="F2224" s="1"/>
      <c r="G2224" s="1"/>
      <c r="H2224" s="1"/>
      <c r="I2224" s="1"/>
      <c r="J2224" s="1"/>
      <c r="K2224" s="1" t="s">
        <v>6055</v>
      </c>
    </row>
    <row r="2225" ht="14.25" customHeight="1">
      <c r="A2225" s="3" t="s">
        <v>1112</v>
      </c>
      <c r="B2225" s="1">
        <v>7.2</v>
      </c>
      <c r="C2225" s="1" t="s">
        <v>1270</v>
      </c>
      <c r="D2225" s="1" t="s">
        <v>17761</v>
      </c>
      <c r="E2225" s="1" t="s">
        <v>17471</v>
      </c>
      <c r="F2225" s="1"/>
      <c r="G2225" s="1"/>
      <c r="H2225" s="1"/>
      <c r="I2225" s="1"/>
      <c r="J2225" s="1"/>
      <c r="K2225" s="1" t="s">
        <v>7084</v>
      </c>
    </row>
    <row r="2226" ht="14.25" customHeight="1">
      <c r="A2226" s="3" t="s">
        <v>1112</v>
      </c>
      <c r="B2226" s="1">
        <v>5.3</v>
      </c>
      <c r="C2226" s="1" t="s">
        <v>1270</v>
      </c>
      <c r="D2226" s="1" t="s">
        <v>17761</v>
      </c>
      <c r="E2226" s="1" t="s">
        <v>17471</v>
      </c>
      <c r="F2226" s="1"/>
      <c r="G2226" s="1"/>
      <c r="H2226" s="1"/>
      <c r="I2226" s="1"/>
      <c r="J2226" s="1"/>
      <c r="K2226" s="1" t="s">
        <v>7194</v>
      </c>
    </row>
    <row r="2227" ht="14.25" customHeight="1">
      <c r="A2227" s="3" t="s">
        <v>1112</v>
      </c>
      <c r="B2227" s="1">
        <v>6.5</v>
      </c>
      <c r="C2227" s="1" t="s">
        <v>1270</v>
      </c>
      <c r="D2227" s="1" t="s">
        <v>17761</v>
      </c>
      <c r="E2227" s="1" t="s">
        <v>17471</v>
      </c>
      <c r="F2227" s="1"/>
      <c r="G2227" s="1"/>
      <c r="H2227" s="1"/>
      <c r="I2227" s="1"/>
      <c r="J2227" s="1"/>
      <c r="K2227" s="1" t="s">
        <v>6055</v>
      </c>
    </row>
    <row r="2228" ht="14.25" customHeight="1">
      <c r="A2228" s="3" t="s">
        <v>12070</v>
      </c>
      <c r="B2228" s="1">
        <v>5.0</v>
      </c>
      <c r="C2228" s="1" t="s">
        <v>917</v>
      </c>
      <c r="D2228" s="1" t="s">
        <v>17761</v>
      </c>
      <c r="E2228" s="1" t="s">
        <v>17471</v>
      </c>
      <c r="F2228" s="1"/>
      <c r="G2228" s="1"/>
      <c r="H2228" s="1"/>
      <c r="I2228" s="1"/>
      <c r="J2228" s="1"/>
      <c r="K2228" s="1" t="s">
        <v>12069</v>
      </c>
    </row>
    <row r="2229" ht="14.25" customHeight="1">
      <c r="A2229" s="3" t="s">
        <v>12070</v>
      </c>
      <c r="B2229" s="1">
        <v>6.1</v>
      </c>
      <c r="C2229" s="1" t="s">
        <v>917</v>
      </c>
      <c r="D2229" s="1" t="s">
        <v>17761</v>
      </c>
      <c r="E2229" s="1" t="s">
        <v>17471</v>
      </c>
      <c r="F2229" s="1"/>
      <c r="G2229" s="1"/>
      <c r="H2229" s="1"/>
      <c r="I2229" s="1"/>
      <c r="J2229" s="1"/>
      <c r="K2229" s="1" t="s">
        <v>13526</v>
      </c>
    </row>
    <row r="2230" ht="14.25" customHeight="1">
      <c r="A2230" s="3" t="s">
        <v>2130</v>
      </c>
      <c r="B2230" s="1">
        <v>4.4</v>
      </c>
      <c r="C2230" s="1" t="s">
        <v>17763</v>
      </c>
      <c r="D2230" s="1" t="s">
        <v>17761</v>
      </c>
      <c r="E2230" s="1" t="s">
        <v>17471</v>
      </c>
      <c r="F2230" s="1"/>
      <c r="G2230" s="1"/>
      <c r="H2230" s="1"/>
      <c r="I2230" s="1"/>
      <c r="J2230" s="1"/>
      <c r="K2230" s="1" t="s">
        <v>2129</v>
      </c>
    </row>
    <row r="2231" ht="14.25" customHeight="1">
      <c r="A2231" s="3" t="s">
        <v>2130</v>
      </c>
      <c r="B2231" s="1">
        <v>7.5</v>
      </c>
      <c r="C2231" s="1" t="s">
        <v>17763</v>
      </c>
      <c r="D2231" s="1" t="s">
        <v>17761</v>
      </c>
      <c r="E2231" s="1" t="s">
        <v>17471</v>
      </c>
      <c r="F2231" s="1"/>
      <c r="G2231" s="1"/>
      <c r="H2231" s="1"/>
      <c r="I2231" s="1"/>
      <c r="J2231" s="1"/>
      <c r="K2231" s="1" t="s">
        <v>2892</v>
      </c>
    </row>
    <row r="2232" ht="14.25" customHeight="1">
      <c r="A2232" s="3" t="s">
        <v>2130</v>
      </c>
      <c r="B2232" s="1">
        <v>5.7</v>
      </c>
      <c r="C2232" s="1" t="s">
        <v>17763</v>
      </c>
      <c r="D2232" s="1" t="s">
        <v>17761</v>
      </c>
      <c r="E2232" s="1" t="s">
        <v>17471</v>
      </c>
      <c r="F2232" s="1"/>
      <c r="G2232" s="1"/>
      <c r="H2232" s="1"/>
      <c r="I2232" s="1"/>
      <c r="J2232" s="1"/>
      <c r="K2232" s="1" t="s">
        <v>3030</v>
      </c>
    </row>
    <row r="2233" ht="14.25" customHeight="1">
      <c r="A2233" s="3" t="s">
        <v>2130</v>
      </c>
      <c r="B2233" s="1">
        <v>5.5</v>
      </c>
      <c r="C2233" s="1" t="s">
        <v>17763</v>
      </c>
      <c r="D2233" s="1" t="s">
        <v>17761</v>
      </c>
      <c r="E2233" s="1" t="s">
        <v>17471</v>
      </c>
      <c r="F2233" s="1"/>
      <c r="G2233" s="1"/>
      <c r="H2233" s="1"/>
      <c r="I2233" s="1"/>
      <c r="J2233" s="1"/>
      <c r="K2233" s="1" t="s">
        <v>3339</v>
      </c>
    </row>
    <row r="2234" ht="14.25" customHeight="1">
      <c r="A2234" s="3" t="s">
        <v>2130</v>
      </c>
      <c r="B2234" s="1">
        <v>7.1</v>
      </c>
      <c r="C2234" s="1" t="s">
        <v>17763</v>
      </c>
      <c r="D2234" s="1" t="s">
        <v>17761</v>
      </c>
      <c r="E2234" s="1" t="s">
        <v>17471</v>
      </c>
      <c r="F2234" s="1"/>
      <c r="G2234" s="1"/>
      <c r="H2234" s="1"/>
      <c r="I2234" s="1"/>
      <c r="J2234" s="1"/>
      <c r="K2234" s="1" t="s">
        <v>4618</v>
      </c>
    </row>
    <row r="2235" ht="14.25" customHeight="1">
      <c r="A2235" s="3" t="s">
        <v>2130</v>
      </c>
      <c r="B2235" s="1">
        <v>5.9</v>
      </c>
      <c r="C2235" s="1" t="s">
        <v>17763</v>
      </c>
      <c r="D2235" s="1" t="s">
        <v>17761</v>
      </c>
      <c r="E2235" s="1" t="s">
        <v>17471</v>
      </c>
      <c r="F2235" s="1"/>
      <c r="G2235" s="1"/>
      <c r="H2235" s="1"/>
      <c r="I2235" s="1"/>
      <c r="J2235" s="1"/>
      <c r="K2235" s="1" t="s">
        <v>5035</v>
      </c>
    </row>
    <row r="2236" ht="14.25" customHeight="1">
      <c r="A2236" s="3" t="s">
        <v>2130</v>
      </c>
      <c r="B2236" s="1">
        <v>6.7</v>
      </c>
      <c r="C2236" s="1" t="s">
        <v>17763</v>
      </c>
      <c r="D2236" s="1" t="s">
        <v>17761</v>
      </c>
      <c r="E2236" s="1" t="s">
        <v>17471</v>
      </c>
      <c r="F2236" s="1"/>
      <c r="G2236" s="1"/>
      <c r="H2236" s="1"/>
      <c r="I2236" s="1"/>
      <c r="J2236" s="1"/>
      <c r="K2236" s="1" t="s">
        <v>5105</v>
      </c>
    </row>
    <row r="2237" ht="14.25" customHeight="1">
      <c r="A2237" s="3" t="s">
        <v>2130</v>
      </c>
      <c r="B2237" s="1">
        <v>7.0</v>
      </c>
      <c r="C2237" s="1" t="s">
        <v>17763</v>
      </c>
      <c r="D2237" s="1" t="s">
        <v>17761</v>
      </c>
      <c r="E2237" s="1" t="s">
        <v>17471</v>
      </c>
      <c r="F2237" s="1"/>
      <c r="G2237" s="1"/>
      <c r="H2237" s="1"/>
      <c r="I2237" s="1"/>
      <c r="J2237" s="1"/>
      <c r="K2237" s="1" t="s">
        <v>5862</v>
      </c>
    </row>
    <row r="2238" ht="14.25" customHeight="1">
      <c r="A2238" s="3" t="s">
        <v>2130</v>
      </c>
      <c r="B2238" s="1">
        <v>7.9</v>
      </c>
      <c r="C2238" s="1" t="s">
        <v>17763</v>
      </c>
      <c r="D2238" s="1" t="s">
        <v>17761</v>
      </c>
      <c r="E2238" s="1" t="s">
        <v>17471</v>
      </c>
      <c r="F2238" s="1"/>
      <c r="G2238" s="1"/>
      <c r="H2238" s="1"/>
      <c r="I2238" s="1"/>
      <c r="J2238" s="1"/>
      <c r="K2238" s="1" t="s">
        <v>6628</v>
      </c>
    </row>
    <row r="2239" ht="14.25" customHeight="1">
      <c r="A2239" s="3" t="s">
        <v>2130</v>
      </c>
      <c r="B2239" s="1">
        <v>6.9</v>
      </c>
      <c r="C2239" s="1" t="s">
        <v>17763</v>
      </c>
      <c r="D2239" s="1" t="s">
        <v>17761</v>
      </c>
      <c r="E2239" s="1" t="s">
        <v>17471</v>
      </c>
      <c r="F2239" s="1"/>
      <c r="G2239" s="1"/>
      <c r="H2239" s="1"/>
      <c r="I2239" s="1"/>
      <c r="J2239" s="1"/>
      <c r="K2239" s="1" t="s">
        <v>8638</v>
      </c>
    </row>
    <row r="2240" ht="14.25" customHeight="1">
      <c r="A2240" s="3" t="s">
        <v>2130</v>
      </c>
      <c r="B2240" s="1">
        <v>7.3</v>
      </c>
      <c r="C2240" s="1" t="s">
        <v>17763</v>
      </c>
      <c r="D2240" s="1" t="s">
        <v>17761</v>
      </c>
      <c r="E2240" s="1" t="s">
        <v>17471</v>
      </c>
      <c r="F2240" s="1"/>
      <c r="G2240" s="1"/>
      <c r="H2240" s="1"/>
      <c r="I2240" s="1"/>
      <c r="J2240" s="1"/>
      <c r="K2240" s="1" t="s">
        <v>13651</v>
      </c>
    </row>
    <row r="2241" ht="14.25" customHeight="1">
      <c r="A2241" s="3" t="s">
        <v>2130</v>
      </c>
      <c r="B2241" s="1">
        <v>7.3</v>
      </c>
      <c r="C2241" s="1" t="s">
        <v>17763</v>
      </c>
      <c r="D2241" s="1" t="s">
        <v>17761</v>
      </c>
      <c r="E2241" s="1" t="s">
        <v>17471</v>
      </c>
      <c r="F2241" s="1"/>
      <c r="G2241" s="1"/>
      <c r="H2241" s="1"/>
      <c r="I2241" s="1"/>
      <c r="J2241" s="1"/>
      <c r="K2241" s="1" t="s">
        <v>13846</v>
      </c>
    </row>
    <row r="2242" ht="14.25" customHeight="1">
      <c r="A2242" s="3" t="s">
        <v>2130</v>
      </c>
      <c r="B2242" s="1">
        <v>3.5</v>
      </c>
      <c r="C2242" s="1" t="s">
        <v>17763</v>
      </c>
      <c r="D2242" s="1" t="s">
        <v>17761</v>
      </c>
      <c r="E2242" s="1" t="s">
        <v>17471</v>
      </c>
      <c r="F2242" s="1"/>
      <c r="G2242" s="1"/>
      <c r="H2242" s="1"/>
      <c r="I2242" s="1"/>
      <c r="J2242" s="1"/>
      <c r="K2242" s="1" t="s">
        <v>5035</v>
      </c>
    </row>
    <row r="2243" ht="14.25" customHeight="1">
      <c r="A2243" s="3" t="s">
        <v>2130</v>
      </c>
      <c r="B2243" s="1">
        <v>7.8</v>
      </c>
      <c r="C2243" s="1" t="s">
        <v>17763</v>
      </c>
      <c r="D2243" s="1" t="s">
        <v>17761</v>
      </c>
      <c r="E2243" s="1" t="s">
        <v>17471</v>
      </c>
      <c r="F2243" s="1"/>
      <c r="G2243" s="1"/>
      <c r="H2243" s="1"/>
      <c r="I2243" s="1"/>
      <c r="J2243" s="1"/>
      <c r="K2243" s="1" t="s">
        <v>15516</v>
      </c>
    </row>
    <row r="2244" ht="14.25" customHeight="1">
      <c r="A2244" s="3" t="s">
        <v>1842</v>
      </c>
      <c r="B2244" s="1">
        <v>6.7</v>
      </c>
      <c r="C2244" s="1" t="s">
        <v>3238</v>
      </c>
      <c r="D2244" s="1" t="s">
        <v>17761</v>
      </c>
      <c r="E2244" s="1" t="s">
        <v>17471</v>
      </c>
      <c r="F2244" s="1"/>
      <c r="G2244" s="1"/>
      <c r="H2244" s="1"/>
      <c r="I2244" s="1"/>
      <c r="J2244" s="1"/>
      <c r="K2244" s="1" t="s">
        <v>1841</v>
      </c>
    </row>
    <row r="2245" ht="14.25" customHeight="1">
      <c r="A2245" s="3" t="s">
        <v>1842</v>
      </c>
      <c r="B2245" s="1">
        <v>6.4</v>
      </c>
      <c r="C2245" s="1" t="s">
        <v>3238</v>
      </c>
      <c r="D2245" s="1" t="s">
        <v>17761</v>
      </c>
      <c r="E2245" s="1" t="s">
        <v>17471</v>
      </c>
      <c r="F2245" s="1"/>
      <c r="G2245" s="1"/>
      <c r="H2245" s="1"/>
      <c r="I2245" s="1"/>
      <c r="J2245" s="1"/>
      <c r="K2245" s="1" t="s">
        <v>3537</v>
      </c>
    </row>
    <row r="2246" ht="14.25" customHeight="1">
      <c r="A2246" s="3" t="s">
        <v>1842</v>
      </c>
      <c r="B2246" s="1">
        <v>7.1</v>
      </c>
      <c r="C2246" s="1" t="s">
        <v>3238</v>
      </c>
      <c r="D2246" s="1" t="s">
        <v>17761</v>
      </c>
      <c r="E2246" s="1" t="s">
        <v>17471</v>
      </c>
      <c r="F2246" s="1"/>
      <c r="G2246" s="1"/>
      <c r="H2246" s="1"/>
      <c r="I2246" s="1"/>
      <c r="J2246" s="1"/>
      <c r="K2246" s="1" t="s">
        <v>3757</v>
      </c>
    </row>
    <row r="2247" ht="14.25" customHeight="1">
      <c r="A2247" s="3" t="s">
        <v>1842</v>
      </c>
      <c r="B2247" s="1">
        <v>7.8</v>
      </c>
      <c r="C2247" s="1" t="s">
        <v>3238</v>
      </c>
      <c r="D2247" s="1" t="s">
        <v>17761</v>
      </c>
      <c r="E2247" s="1" t="s">
        <v>17471</v>
      </c>
      <c r="F2247" s="1"/>
      <c r="G2247" s="1"/>
      <c r="H2247" s="1"/>
      <c r="I2247" s="1"/>
      <c r="J2247" s="1"/>
      <c r="K2247" s="1" t="s">
        <v>4267</v>
      </c>
    </row>
    <row r="2248" ht="14.25" customHeight="1">
      <c r="A2248" s="3" t="s">
        <v>1842</v>
      </c>
      <c r="B2248" s="1">
        <v>5.9</v>
      </c>
      <c r="C2248" s="1" t="s">
        <v>3238</v>
      </c>
      <c r="D2248" s="1" t="s">
        <v>17761</v>
      </c>
      <c r="E2248" s="1" t="s">
        <v>17471</v>
      </c>
      <c r="F2248" s="1"/>
      <c r="G2248" s="1"/>
      <c r="H2248" s="1"/>
      <c r="I2248" s="1"/>
      <c r="J2248" s="1"/>
      <c r="K2248" s="1" t="s">
        <v>4382</v>
      </c>
    </row>
    <row r="2249" ht="14.25" customHeight="1">
      <c r="A2249" s="3" t="s">
        <v>1842</v>
      </c>
      <c r="B2249" s="1">
        <v>7.2</v>
      </c>
      <c r="C2249" s="1" t="s">
        <v>3238</v>
      </c>
      <c r="D2249" s="1" t="s">
        <v>17761</v>
      </c>
      <c r="E2249" s="1" t="s">
        <v>17471</v>
      </c>
      <c r="F2249" s="1"/>
      <c r="G2249" s="1"/>
      <c r="H2249" s="1"/>
      <c r="I2249" s="1"/>
      <c r="J2249" s="1"/>
      <c r="K2249" s="1" t="s">
        <v>4927</v>
      </c>
    </row>
    <row r="2250" ht="14.25" customHeight="1">
      <c r="A2250" s="3" t="s">
        <v>1842</v>
      </c>
      <c r="B2250" s="1">
        <v>6.2</v>
      </c>
      <c r="C2250" s="1" t="s">
        <v>3238</v>
      </c>
      <c r="D2250" s="1" t="s">
        <v>17761</v>
      </c>
      <c r="E2250" s="1" t="s">
        <v>17471</v>
      </c>
      <c r="F2250" s="1"/>
      <c r="G2250" s="1"/>
      <c r="H2250" s="1"/>
      <c r="I2250" s="1"/>
      <c r="J2250" s="1"/>
      <c r="K2250" s="1" t="s">
        <v>5125</v>
      </c>
    </row>
    <row r="2251" ht="14.25" customHeight="1">
      <c r="A2251" s="3" t="s">
        <v>1842</v>
      </c>
      <c r="B2251" s="1">
        <v>6.7</v>
      </c>
      <c r="C2251" s="1" t="s">
        <v>3238</v>
      </c>
      <c r="D2251" s="1" t="s">
        <v>17761</v>
      </c>
      <c r="E2251" s="1" t="s">
        <v>17471</v>
      </c>
      <c r="F2251" s="1"/>
      <c r="G2251" s="1"/>
      <c r="H2251" s="1"/>
      <c r="I2251" s="1"/>
      <c r="J2251" s="1"/>
      <c r="K2251" s="1" t="s">
        <v>5312</v>
      </c>
    </row>
    <row r="2252" ht="14.25" customHeight="1">
      <c r="A2252" s="3" t="s">
        <v>1842</v>
      </c>
      <c r="B2252" s="1">
        <v>7.6</v>
      </c>
      <c r="C2252" s="1" t="s">
        <v>3238</v>
      </c>
      <c r="D2252" s="1" t="s">
        <v>17761</v>
      </c>
      <c r="E2252" s="1" t="s">
        <v>17471</v>
      </c>
      <c r="F2252" s="1"/>
      <c r="G2252" s="1"/>
      <c r="H2252" s="1"/>
      <c r="I2252" s="1"/>
      <c r="J2252" s="1"/>
      <c r="K2252" s="1" t="s">
        <v>5695</v>
      </c>
    </row>
    <row r="2253" ht="14.25" customHeight="1">
      <c r="A2253" s="3" t="s">
        <v>1842</v>
      </c>
      <c r="B2253" s="1">
        <v>6.2</v>
      </c>
      <c r="C2253" s="1" t="s">
        <v>3238</v>
      </c>
      <c r="D2253" s="1" t="s">
        <v>17761</v>
      </c>
      <c r="E2253" s="1" t="s">
        <v>17471</v>
      </c>
      <c r="F2253" s="1"/>
      <c r="G2253" s="1"/>
      <c r="H2253" s="1"/>
      <c r="I2253" s="1"/>
      <c r="J2253" s="1"/>
      <c r="K2253" s="1" t="s">
        <v>5834</v>
      </c>
    </row>
    <row r="2254" ht="14.25" customHeight="1">
      <c r="A2254" s="3" t="s">
        <v>1842</v>
      </c>
      <c r="B2254" s="1">
        <v>6.5</v>
      </c>
      <c r="C2254" s="1" t="s">
        <v>3238</v>
      </c>
      <c r="D2254" s="1" t="s">
        <v>17761</v>
      </c>
      <c r="E2254" s="1" t="s">
        <v>17471</v>
      </c>
      <c r="F2254" s="1"/>
      <c r="G2254" s="1"/>
      <c r="H2254" s="1"/>
      <c r="I2254" s="1"/>
      <c r="J2254" s="1"/>
      <c r="K2254" s="1" t="s">
        <v>6461</v>
      </c>
    </row>
    <row r="2255" ht="14.25" customHeight="1">
      <c r="A2255" s="3" t="s">
        <v>1842</v>
      </c>
      <c r="B2255" s="1">
        <v>8.1</v>
      </c>
      <c r="C2255" s="1" t="s">
        <v>3238</v>
      </c>
      <c r="D2255" s="1" t="s">
        <v>17761</v>
      </c>
      <c r="E2255" s="1" t="s">
        <v>17471</v>
      </c>
      <c r="F2255" s="1"/>
      <c r="G2255" s="1"/>
      <c r="H2255" s="1"/>
      <c r="I2255" s="1"/>
      <c r="J2255" s="1"/>
      <c r="K2255" s="1" t="s">
        <v>7503</v>
      </c>
    </row>
    <row r="2256" ht="14.25" customHeight="1">
      <c r="A2256" s="3" t="s">
        <v>1842</v>
      </c>
      <c r="B2256" s="1">
        <v>6.3</v>
      </c>
      <c r="C2256" s="1" t="s">
        <v>3238</v>
      </c>
      <c r="D2256" s="1" t="s">
        <v>17761</v>
      </c>
      <c r="E2256" s="1" t="s">
        <v>17471</v>
      </c>
      <c r="F2256" s="1"/>
      <c r="G2256" s="1"/>
      <c r="H2256" s="1"/>
      <c r="I2256" s="1"/>
      <c r="J2256" s="1"/>
      <c r="K2256" s="1" t="s">
        <v>9153</v>
      </c>
    </row>
    <row r="2257" ht="14.25" customHeight="1">
      <c r="A2257" s="3" t="s">
        <v>1842</v>
      </c>
      <c r="B2257" s="1">
        <v>4.4</v>
      </c>
      <c r="C2257" s="1" t="s">
        <v>3238</v>
      </c>
      <c r="D2257" s="1" t="s">
        <v>17761</v>
      </c>
      <c r="E2257" s="1" t="s">
        <v>17471</v>
      </c>
      <c r="F2257" s="1"/>
      <c r="G2257" s="1"/>
      <c r="H2257" s="1"/>
      <c r="I2257" s="1"/>
      <c r="J2257" s="1"/>
      <c r="K2257" s="1" t="s">
        <v>9662</v>
      </c>
    </row>
    <row r="2258" ht="14.25" customHeight="1">
      <c r="A2258" s="3" t="s">
        <v>1842</v>
      </c>
      <c r="B2258" s="1">
        <v>6.0</v>
      </c>
      <c r="C2258" s="1" t="s">
        <v>3238</v>
      </c>
      <c r="D2258" s="1" t="s">
        <v>17761</v>
      </c>
      <c r="E2258" s="1" t="s">
        <v>17471</v>
      </c>
      <c r="F2258" s="1"/>
      <c r="G2258" s="1"/>
      <c r="H2258" s="1"/>
      <c r="I2258" s="1"/>
      <c r="J2258" s="1"/>
      <c r="K2258" s="1" t="s">
        <v>9751</v>
      </c>
    </row>
    <row r="2259" ht="14.25" customHeight="1">
      <c r="A2259" s="3" t="s">
        <v>1842</v>
      </c>
      <c r="B2259" s="1">
        <v>7.6</v>
      </c>
      <c r="C2259" s="1" t="s">
        <v>3238</v>
      </c>
      <c r="D2259" s="1" t="s">
        <v>17761</v>
      </c>
      <c r="E2259" s="1" t="s">
        <v>17471</v>
      </c>
      <c r="F2259" s="1"/>
      <c r="G2259" s="1"/>
      <c r="H2259" s="1"/>
      <c r="I2259" s="1"/>
      <c r="J2259" s="1"/>
      <c r="K2259" s="1" t="s">
        <v>6461</v>
      </c>
    </row>
    <row r="2260" ht="14.25" customHeight="1">
      <c r="A2260" s="3" t="s">
        <v>1842</v>
      </c>
      <c r="B2260" s="1">
        <v>8.4</v>
      </c>
      <c r="C2260" s="1" t="s">
        <v>3238</v>
      </c>
      <c r="D2260" s="1" t="s">
        <v>17761</v>
      </c>
      <c r="E2260" s="1" t="s">
        <v>17471</v>
      </c>
      <c r="F2260" s="1"/>
      <c r="G2260" s="1"/>
      <c r="H2260" s="1"/>
      <c r="I2260" s="1"/>
      <c r="J2260" s="1"/>
      <c r="K2260" s="1" t="s">
        <v>9911</v>
      </c>
    </row>
    <row r="2261" ht="14.25" customHeight="1">
      <c r="A2261" s="3" t="s">
        <v>1842</v>
      </c>
      <c r="B2261" s="1">
        <v>7.9</v>
      </c>
      <c r="C2261" s="1" t="s">
        <v>3238</v>
      </c>
      <c r="D2261" s="1" t="s">
        <v>17761</v>
      </c>
      <c r="E2261" s="1" t="s">
        <v>17471</v>
      </c>
      <c r="F2261" s="1"/>
      <c r="G2261" s="1"/>
      <c r="H2261" s="1"/>
      <c r="I2261" s="1"/>
      <c r="J2261" s="1"/>
      <c r="K2261" s="1" t="s">
        <v>11395</v>
      </c>
    </row>
    <row r="2262" ht="14.25" customHeight="1">
      <c r="A2262" s="3" t="s">
        <v>1842</v>
      </c>
      <c r="B2262" s="1">
        <v>5.6</v>
      </c>
      <c r="C2262" s="1" t="s">
        <v>3238</v>
      </c>
      <c r="D2262" s="1" t="s">
        <v>17761</v>
      </c>
      <c r="E2262" s="1" t="s">
        <v>17471</v>
      </c>
      <c r="F2262" s="1"/>
      <c r="G2262" s="1"/>
      <c r="H2262" s="1"/>
      <c r="I2262" s="1"/>
      <c r="J2262" s="1"/>
      <c r="K2262" s="1" t="s">
        <v>11708</v>
      </c>
    </row>
    <row r="2263" ht="14.25" customHeight="1">
      <c r="A2263" s="3" t="s">
        <v>1842</v>
      </c>
      <c r="B2263" s="1">
        <v>6.5</v>
      </c>
      <c r="C2263" s="1" t="s">
        <v>3238</v>
      </c>
      <c r="D2263" s="1" t="s">
        <v>17761</v>
      </c>
      <c r="E2263" s="1" t="s">
        <v>17471</v>
      </c>
      <c r="F2263" s="1"/>
      <c r="G2263" s="1"/>
      <c r="H2263" s="1"/>
      <c r="I2263" s="1"/>
      <c r="J2263" s="1"/>
      <c r="K2263" s="1" t="s">
        <v>11865</v>
      </c>
    </row>
    <row r="2264" ht="14.25" customHeight="1">
      <c r="A2264" s="3" t="s">
        <v>1842</v>
      </c>
      <c r="B2264" s="1">
        <v>7.5</v>
      </c>
      <c r="C2264" s="1" t="s">
        <v>3238</v>
      </c>
      <c r="D2264" s="1" t="s">
        <v>17761</v>
      </c>
      <c r="E2264" s="1" t="s">
        <v>17471</v>
      </c>
      <c r="F2264" s="1"/>
      <c r="G2264" s="1"/>
      <c r="H2264" s="1"/>
      <c r="I2264" s="1"/>
      <c r="J2264" s="1"/>
      <c r="K2264" s="1" t="s">
        <v>11887</v>
      </c>
    </row>
    <row r="2265" ht="14.25" customHeight="1">
      <c r="A2265" s="3" t="s">
        <v>1842</v>
      </c>
      <c r="B2265" s="1">
        <v>6.3</v>
      </c>
      <c r="C2265" s="1" t="s">
        <v>3238</v>
      </c>
      <c r="D2265" s="1" t="s">
        <v>17761</v>
      </c>
      <c r="E2265" s="1" t="s">
        <v>17471</v>
      </c>
      <c r="F2265" s="1"/>
      <c r="G2265" s="1"/>
      <c r="H2265" s="1"/>
      <c r="I2265" s="1"/>
      <c r="J2265" s="1"/>
      <c r="K2265" s="1" t="s">
        <v>12123</v>
      </c>
    </row>
    <row r="2266" ht="14.25" customHeight="1">
      <c r="A2266" s="3" t="s">
        <v>1842</v>
      </c>
      <c r="B2266" s="1">
        <v>7.9</v>
      </c>
      <c r="C2266" s="1" t="s">
        <v>3238</v>
      </c>
      <c r="D2266" s="1" t="s">
        <v>17761</v>
      </c>
      <c r="E2266" s="1" t="s">
        <v>17471</v>
      </c>
      <c r="F2266" s="1"/>
      <c r="G2266" s="1"/>
      <c r="H2266" s="1"/>
      <c r="I2266" s="1"/>
      <c r="J2266" s="1"/>
      <c r="K2266" s="1" t="s">
        <v>12874</v>
      </c>
    </row>
    <row r="2267" ht="14.25" customHeight="1">
      <c r="A2267" s="3" t="s">
        <v>1842</v>
      </c>
      <c r="B2267" s="1">
        <v>7.9</v>
      </c>
      <c r="C2267" s="1" t="s">
        <v>3238</v>
      </c>
      <c r="D2267" s="1" t="s">
        <v>17761</v>
      </c>
      <c r="E2267" s="1" t="s">
        <v>17471</v>
      </c>
      <c r="F2267" s="1"/>
      <c r="G2267" s="1"/>
      <c r="H2267" s="1"/>
      <c r="I2267" s="1"/>
      <c r="J2267" s="1"/>
      <c r="K2267" s="1" t="s">
        <v>13540</v>
      </c>
    </row>
    <row r="2268" ht="14.25" customHeight="1">
      <c r="A2268" s="3" t="s">
        <v>1842</v>
      </c>
      <c r="B2268" s="1">
        <v>5.1</v>
      </c>
      <c r="C2268" s="1" t="s">
        <v>3238</v>
      </c>
      <c r="D2268" s="1" t="s">
        <v>17761</v>
      </c>
      <c r="E2268" s="1" t="s">
        <v>17471</v>
      </c>
      <c r="F2268" s="1"/>
      <c r="G2268" s="1"/>
      <c r="H2268" s="1"/>
      <c r="I2268" s="1"/>
      <c r="J2268" s="1"/>
      <c r="K2268" s="1" t="s">
        <v>15519</v>
      </c>
    </row>
    <row r="2269" ht="14.25" customHeight="1">
      <c r="A2269" s="3" t="s">
        <v>1842</v>
      </c>
      <c r="B2269" s="1">
        <v>6.7</v>
      </c>
      <c r="C2269" s="1" t="s">
        <v>3238</v>
      </c>
      <c r="D2269" s="1" t="s">
        <v>17761</v>
      </c>
      <c r="E2269" s="1" t="s">
        <v>17471</v>
      </c>
      <c r="F2269" s="1"/>
      <c r="G2269" s="1"/>
      <c r="H2269" s="1"/>
      <c r="I2269" s="1"/>
      <c r="J2269" s="1"/>
      <c r="K2269" s="1" t="s">
        <v>15738</v>
      </c>
    </row>
    <row r="2270" ht="14.25" customHeight="1">
      <c r="A2270" s="3" t="s">
        <v>1842</v>
      </c>
      <c r="B2270" s="1">
        <v>6.7</v>
      </c>
      <c r="C2270" s="1" t="s">
        <v>3238</v>
      </c>
      <c r="D2270" s="1" t="s">
        <v>17761</v>
      </c>
      <c r="E2270" s="1" t="s">
        <v>17471</v>
      </c>
      <c r="F2270" s="1"/>
      <c r="G2270" s="1"/>
      <c r="H2270" s="1"/>
      <c r="I2270" s="1"/>
      <c r="J2270" s="1"/>
      <c r="K2270" s="1" t="s">
        <v>15998</v>
      </c>
    </row>
    <row r="2271" ht="14.25" customHeight="1">
      <c r="A2271" s="3" t="s">
        <v>1842</v>
      </c>
      <c r="B2271" s="1">
        <v>5.6</v>
      </c>
      <c r="C2271" s="1" t="s">
        <v>3238</v>
      </c>
      <c r="D2271" s="1" t="s">
        <v>17761</v>
      </c>
      <c r="E2271" s="1" t="s">
        <v>17471</v>
      </c>
      <c r="F2271" s="1"/>
      <c r="G2271" s="1"/>
      <c r="H2271" s="1"/>
      <c r="I2271" s="1"/>
      <c r="J2271" s="1"/>
      <c r="K2271" s="1" t="s">
        <v>16481</v>
      </c>
    </row>
    <row r="2272" ht="14.25" customHeight="1">
      <c r="A2272" s="3" t="s">
        <v>1842</v>
      </c>
      <c r="B2272" s="1">
        <v>5.6</v>
      </c>
      <c r="C2272" s="1" t="s">
        <v>3238</v>
      </c>
      <c r="D2272" s="1" t="s">
        <v>17761</v>
      </c>
      <c r="E2272" s="1" t="s">
        <v>17471</v>
      </c>
      <c r="F2272" s="1"/>
      <c r="G2272" s="1"/>
      <c r="H2272" s="1"/>
      <c r="I2272" s="1"/>
      <c r="J2272" s="1"/>
      <c r="K2272" s="1" t="s">
        <v>17519</v>
      </c>
    </row>
    <row r="2273" ht="14.25" customHeight="1">
      <c r="A2273" s="3" t="s">
        <v>1842</v>
      </c>
      <c r="B2273" s="1">
        <v>6.8</v>
      </c>
      <c r="C2273" s="1" t="s">
        <v>3238</v>
      </c>
      <c r="D2273" s="1" t="s">
        <v>17761</v>
      </c>
      <c r="E2273" s="1" t="s">
        <v>17471</v>
      </c>
      <c r="F2273" s="1"/>
      <c r="G2273" s="1"/>
      <c r="H2273" s="1"/>
      <c r="I2273" s="1"/>
      <c r="J2273" s="1"/>
      <c r="K2273" s="1" t="s">
        <v>17647</v>
      </c>
    </row>
    <row r="2274" ht="14.25" customHeight="1">
      <c r="A2274" s="3" t="s">
        <v>2882</v>
      </c>
      <c r="B2274" s="1">
        <v>6.2</v>
      </c>
      <c r="C2274" s="1" t="s">
        <v>6019</v>
      </c>
      <c r="D2274" s="1" t="s">
        <v>17761</v>
      </c>
      <c r="E2274" s="1" t="s">
        <v>17471</v>
      </c>
      <c r="F2274" s="1"/>
      <c r="G2274" s="1"/>
      <c r="H2274" s="1"/>
      <c r="I2274" s="1"/>
      <c r="J2274" s="1"/>
      <c r="K2274" s="1" t="s">
        <v>2881</v>
      </c>
    </row>
    <row r="2275" ht="14.25" customHeight="1">
      <c r="A2275" s="3" t="s">
        <v>2882</v>
      </c>
      <c r="B2275" s="1">
        <v>5.6</v>
      </c>
      <c r="C2275" s="1" t="s">
        <v>6019</v>
      </c>
      <c r="D2275" s="1" t="s">
        <v>17761</v>
      </c>
      <c r="E2275" s="1" t="s">
        <v>17471</v>
      </c>
      <c r="F2275" s="1"/>
      <c r="G2275" s="1"/>
      <c r="H2275" s="1"/>
      <c r="I2275" s="1"/>
      <c r="J2275" s="1"/>
      <c r="K2275" s="1" t="s">
        <v>5443</v>
      </c>
    </row>
    <row r="2276" ht="14.25" customHeight="1">
      <c r="A2276" s="3" t="s">
        <v>2882</v>
      </c>
      <c r="B2276" s="1">
        <v>6.4</v>
      </c>
      <c r="C2276" s="1" t="s">
        <v>6019</v>
      </c>
      <c r="D2276" s="1" t="s">
        <v>17761</v>
      </c>
      <c r="E2276" s="1" t="s">
        <v>17471</v>
      </c>
      <c r="F2276" s="1"/>
      <c r="G2276" s="1"/>
      <c r="H2276" s="1"/>
      <c r="I2276" s="1"/>
      <c r="J2276" s="1"/>
      <c r="K2276" s="1" t="s">
        <v>5902</v>
      </c>
    </row>
    <row r="2277" ht="14.25" customHeight="1">
      <c r="A2277" s="3" t="s">
        <v>2882</v>
      </c>
      <c r="B2277" s="1">
        <v>5.6</v>
      </c>
      <c r="C2277" s="1" t="s">
        <v>6019</v>
      </c>
      <c r="D2277" s="1" t="s">
        <v>17761</v>
      </c>
      <c r="E2277" s="1" t="s">
        <v>17471</v>
      </c>
      <c r="F2277" s="1"/>
      <c r="G2277" s="1"/>
      <c r="H2277" s="1"/>
      <c r="I2277" s="1"/>
      <c r="J2277" s="1"/>
      <c r="K2277" s="1" t="s">
        <v>6100</v>
      </c>
    </row>
    <row r="2278" ht="14.25" customHeight="1">
      <c r="A2278" s="3" t="s">
        <v>2882</v>
      </c>
      <c r="B2278" s="1">
        <v>7.4</v>
      </c>
      <c r="C2278" s="1" t="s">
        <v>6019</v>
      </c>
      <c r="D2278" s="1" t="s">
        <v>17761</v>
      </c>
      <c r="E2278" s="1" t="s">
        <v>17471</v>
      </c>
      <c r="F2278" s="1"/>
      <c r="G2278" s="1"/>
      <c r="H2278" s="1"/>
      <c r="I2278" s="1"/>
      <c r="J2278" s="1"/>
      <c r="K2278" s="1" t="s">
        <v>6126</v>
      </c>
    </row>
    <row r="2279" ht="14.25" customHeight="1">
      <c r="A2279" s="3" t="s">
        <v>2882</v>
      </c>
      <c r="B2279" s="1">
        <v>7.2</v>
      </c>
      <c r="C2279" s="1" t="s">
        <v>6019</v>
      </c>
      <c r="D2279" s="1" t="s">
        <v>17761</v>
      </c>
      <c r="E2279" s="1" t="s">
        <v>17471</v>
      </c>
      <c r="F2279" s="1"/>
      <c r="G2279" s="1"/>
      <c r="H2279" s="1"/>
      <c r="I2279" s="1"/>
      <c r="J2279" s="1"/>
      <c r="K2279" s="1" t="s">
        <v>5443</v>
      </c>
    </row>
    <row r="2280" ht="14.25" customHeight="1">
      <c r="A2280" s="3" t="s">
        <v>2882</v>
      </c>
      <c r="B2280" s="1">
        <v>4.9</v>
      </c>
      <c r="C2280" s="1" t="s">
        <v>6019</v>
      </c>
      <c r="D2280" s="1" t="s">
        <v>17761</v>
      </c>
      <c r="E2280" s="1" t="s">
        <v>17471</v>
      </c>
      <c r="F2280" s="1"/>
      <c r="G2280" s="1"/>
      <c r="H2280" s="1"/>
      <c r="I2280" s="1"/>
      <c r="J2280" s="1"/>
      <c r="K2280" s="1" t="s">
        <v>7938</v>
      </c>
    </row>
    <row r="2281" ht="14.25" customHeight="1">
      <c r="A2281" s="3" t="s">
        <v>2882</v>
      </c>
      <c r="B2281" s="1">
        <v>7.5</v>
      </c>
      <c r="C2281" s="1" t="s">
        <v>6019</v>
      </c>
      <c r="D2281" s="1" t="s">
        <v>17761</v>
      </c>
      <c r="E2281" s="1" t="s">
        <v>17471</v>
      </c>
      <c r="F2281" s="1"/>
      <c r="G2281" s="1"/>
      <c r="H2281" s="1"/>
      <c r="I2281" s="1"/>
      <c r="J2281" s="1"/>
      <c r="K2281" s="1" t="s">
        <v>8495</v>
      </c>
    </row>
    <row r="2282" ht="14.25" customHeight="1">
      <c r="A2282" s="3" t="s">
        <v>2882</v>
      </c>
      <c r="B2282" s="1">
        <v>4.8</v>
      </c>
      <c r="C2282" s="1" t="s">
        <v>6019</v>
      </c>
      <c r="D2282" s="1" t="s">
        <v>17761</v>
      </c>
      <c r="E2282" s="1" t="s">
        <v>17471</v>
      </c>
      <c r="F2282" s="1"/>
      <c r="G2282" s="1"/>
      <c r="H2282" s="1"/>
      <c r="I2282" s="1"/>
      <c r="J2282" s="1"/>
      <c r="K2282" s="1" t="s">
        <v>9077</v>
      </c>
    </row>
    <row r="2283" ht="14.25" customHeight="1">
      <c r="A2283" s="3" t="s">
        <v>2882</v>
      </c>
      <c r="B2283" s="1">
        <v>3.1</v>
      </c>
      <c r="C2283" s="1" t="s">
        <v>6019</v>
      </c>
      <c r="D2283" s="1" t="s">
        <v>17761</v>
      </c>
      <c r="E2283" s="1" t="s">
        <v>17471</v>
      </c>
      <c r="F2283" s="1"/>
      <c r="G2283" s="1"/>
      <c r="H2283" s="1"/>
      <c r="I2283" s="1"/>
      <c r="J2283" s="1"/>
      <c r="K2283" s="1" t="s">
        <v>9822</v>
      </c>
    </row>
    <row r="2284" ht="14.25" customHeight="1">
      <c r="A2284" s="3" t="s">
        <v>2882</v>
      </c>
      <c r="B2284" s="1">
        <v>5.8</v>
      </c>
      <c r="C2284" s="1" t="s">
        <v>6019</v>
      </c>
      <c r="D2284" s="1" t="s">
        <v>17761</v>
      </c>
      <c r="E2284" s="1" t="s">
        <v>17471</v>
      </c>
      <c r="F2284" s="1"/>
      <c r="G2284" s="1"/>
      <c r="H2284" s="1"/>
      <c r="I2284" s="1"/>
      <c r="J2284" s="1"/>
      <c r="K2284" s="1" t="s">
        <v>10116</v>
      </c>
    </row>
    <row r="2285" ht="14.25" customHeight="1">
      <c r="A2285" s="3" t="s">
        <v>2882</v>
      </c>
      <c r="B2285" s="1">
        <v>6.7</v>
      </c>
      <c r="C2285" s="1" t="s">
        <v>6019</v>
      </c>
      <c r="D2285" s="1" t="s">
        <v>17761</v>
      </c>
      <c r="E2285" s="1" t="s">
        <v>17471</v>
      </c>
      <c r="F2285" s="1"/>
      <c r="G2285" s="1"/>
      <c r="H2285" s="1"/>
      <c r="I2285" s="1"/>
      <c r="J2285" s="1"/>
      <c r="K2285" s="1" t="s">
        <v>10553</v>
      </c>
    </row>
    <row r="2286" ht="14.25" customHeight="1">
      <c r="A2286" s="3" t="s">
        <v>2882</v>
      </c>
      <c r="B2286" s="1">
        <v>6.5</v>
      </c>
      <c r="C2286" s="1" t="s">
        <v>6019</v>
      </c>
      <c r="D2286" s="1" t="s">
        <v>17761</v>
      </c>
      <c r="E2286" s="1" t="s">
        <v>17471</v>
      </c>
      <c r="F2286" s="1"/>
      <c r="G2286" s="1"/>
      <c r="H2286" s="1"/>
      <c r="I2286" s="1"/>
      <c r="J2286" s="1"/>
      <c r="K2286" s="1" t="s">
        <v>11010</v>
      </c>
    </row>
    <row r="2287" ht="14.25" customHeight="1">
      <c r="A2287" s="3" t="s">
        <v>2882</v>
      </c>
      <c r="B2287" s="1">
        <v>5.9</v>
      </c>
      <c r="C2287" s="1" t="s">
        <v>6019</v>
      </c>
      <c r="D2287" s="1" t="s">
        <v>17761</v>
      </c>
      <c r="E2287" s="1" t="s">
        <v>17471</v>
      </c>
      <c r="F2287" s="1"/>
      <c r="G2287" s="1"/>
      <c r="H2287" s="1"/>
      <c r="I2287" s="1"/>
      <c r="J2287" s="1"/>
      <c r="K2287" s="1" t="s">
        <v>11084</v>
      </c>
    </row>
    <row r="2288" ht="14.25" customHeight="1">
      <c r="A2288" s="3" t="s">
        <v>2882</v>
      </c>
      <c r="B2288" s="1">
        <v>5.5</v>
      </c>
      <c r="C2288" s="1" t="s">
        <v>6019</v>
      </c>
      <c r="D2288" s="1" t="s">
        <v>17761</v>
      </c>
      <c r="E2288" s="1" t="s">
        <v>17471</v>
      </c>
      <c r="F2288" s="1"/>
      <c r="G2288" s="1"/>
      <c r="H2288" s="1"/>
      <c r="I2288" s="1"/>
      <c r="J2288" s="1"/>
      <c r="K2288" s="1" t="s">
        <v>11673</v>
      </c>
    </row>
    <row r="2289" ht="14.25" customHeight="1">
      <c r="A2289" s="3" t="s">
        <v>2882</v>
      </c>
      <c r="B2289" s="1">
        <v>3.6</v>
      </c>
      <c r="C2289" s="1" t="s">
        <v>6019</v>
      </c>
      <c r="D2289" s="1" t="s">
        <v>17761</v>
      </c>
      <c r="E2289" s="1" t="s">
        <v>17471</v>
      </c>
      <c r="F2289" s="1"/>
      <c r="G2289" s="1"/>
      <c r="H2289" s="1"/>
      <c r="I2289" s="1"/>
      <c r="J2289" s="1"/>
      <c r="K2289" s="1" t="s">
        <v>12031</v>
      </c>
    </row>
    <row r="2290" ht="14.25" customHeight="1">
      <c r="A2290" s="3" t="s">
        <v>2882</v>
      </c>
      <c r="B2290" s="1">
        <v>7.4</v>
      </c>
      <c r="C2290" s="1" t="s">
        <v>6019</v>
      </c>
      <c r="D2290" s="1" t="s">
        <v>17761</v>
      </c>
      <c r="E2290" s="1" t="s">
        <v>17471</v>
      </c>
      <c r="F2290" s="1"/>
      <c r="G2290" s="1"/>
      <c r="H2290" s="1"/>
      <c r="I2290" s="1"/>
      <c r="J2290" s="1"/>
      <c r="K2290" s="1" t="s">
        <v>12063</v>
      </c>
    </row>
    <row r="2291" ht="14.25" customHeight="1">
      <c r="A2291" s="3" t="s">
        <v>2882</v>
      </c>
      <c r="B2291" s="1">
        <v>3.0</v>
      </c>
      <c r="C2291" s="1" t="s">
        <v>6019</v>
      </c>
      <c r="D2291" s="1" t="s">
        <v>17761</v>
      </c>
      <c r="E2291" s="1" t="s">
        <v>17471</v>
      </c>
      <c r="F2291" s="1"/>
      <c r="G2291" s="1"/>
      <c r="H2291" s="1"/>
      <c r="I2291" s="1"/>
      <c r="J2291" s="1"/>
      <c r="K2291" s="1" t="s">
        <v>12688</v>
      </c>
    </row>
    <row r="2292" ht="14.25" customHeight="1">
      <c r="A2292" s="3" t="s">
        <v>2882</v>
      </c>
      <c r="B2292" s="1">
        <v>7.6</v>
      </c>
      <c r="C2292" s="1" t="s">
        <v>6019</v>
      </c>
      <c r="D2292" s="1" t="s">
        <v>17761</v>
      </c>
      <c r="E2292" s="1" t="s">
        <v>17471</v>
      </c>
      <c r="F2292" s="1"/>
      <c r="G2292" s="1"/>
      <c r="H2292" s="1"/>
      <c r="I2292" s="1"/>
      <c r="J2292" s="1"/>
      <c r="K2292" s="1" t="s">
        <v>13167</v>
      </c>
    </row>
    <row r="2293" ht="14.25" customHeight="1">
      <c r="A2293" s="3" t="s">
        <v>2882</v>
      </c>
      <c r="B2293" s="1">
        <v>6.4</v>
      </c>
      <c r="C2293" s="1" t="s">
        <v>6019</v>
      </c>
      <c r="D2293" s="1" t="s">
        <v>17761</v>
      </c>
      <c r="E2293" s="1" t="s">
        <v>17471</v>
      </c>
      <c r="F2293" s="1"/>
      <c r="G2293" s="1"/>
      <c r="H2293" s="1"/>
      <c r="I2293" s="1"/>
      <c r="J2293" s="1"/>
      <c r="K2293" s="1" t="s">
        <v>13205</v>
      </c>
    </row>
    <row r="2294" ht="14.25" customHeight="1">
      <c r="A2294" s="3" t="s">
        <v>2882</v>
      </c>
      <c r="B2294" s="1">
        <v>6.9</v>
      </c>
      <c r="C2294" s="1" t="s">
        <v>6019</v>
      </c>
      <c r="D2294" s="1" t="s">
        <v>17761</v>
      </c>
      <c r="E2294" s="1" t="s">
        <v>17471</v>
      </c>
      <c r="F2294" s="1"/>
      <c r="G2294" s="1"/>
      <c r="H2294" s="1"/>
      <c r="I2294" s="1"/>
      <c r="J2294" s="1"/>
      <c r="K2294" s="1" t="s">
        <v>13209</v>
      </c>
    </row>
    <row r="2295" ht="14.25" customHeight="1">
      <c r="A2295" s="3" t="s">
        <v>2882</v>
      </c>
      <c r="B2295" s="1">
        <v>5.5</v>
      </c>
      <c r="C2295" s="1" t="s">
        <v>6019</v>
      </c>
      <c r="D2295" s="1" t="s">
        <v>17761</v>
      </c>
      <c r="E2295" s="1" t="s">
        <v>17471</v>
      </c>
      <c r="F2295" s="1"/>
      <c r="G2295" s="1"/>
      <c r="H2295" s="1"/>
      <c r="I2295" s="1"/>
      <c r="J2295" s="1"/>
      <c r="K2295" s="1" t="s">
        <v>13273</v>
      </c>
    </row>
    <row r="2296" ht="14.25" customHeight="1">
      <c r="A2296" s="3" t="s">
        <v>2882</v>
      </c>
      <c r="B2296" s="1">
        <v>4.1</v>
      </c>
      <c r="C2296" s="1" t="s">
        <v>6019</v>
      </c>
      <c r="D2296" s="1" t="s">
        <v>17761</v>
      </c>
      <c r="E2296" s="1" t="s">
        <v>17471</v>
      </c>
      <c r="F2296" s="1"/>
      <c r="G2296" s="1"/>
      <c r="H2296" s="1"/>
      <c r="I2296" s="1"/>
      <c r="J2296" s="1"/>
      <c r="K2296" s="1" t="s">
        <v>13282</v>
      </c>
    </row>
    <row r="2297" ht="14.25" customHeight="1">
      <c r="A2297" s="3" t="s">
        <v>2882</v>
      </c>
      <c r="B2297" s="1">
        <v>6.8</v>
      </c>
      <c r="C2297" s="1" t="s">
        <v>6019</v>
      </c>
      <c r="D2297" s="1" t="s">
        <v>17761</v>
      </c>
      <c r="E2297" s="1" t="s">
        <v>17471</v>
      </c>
      <c r="F2297" s="1"/>
      <c r="G2297" s="1"/>
      <c r="H2297" s="1"/>
      <c r="I2297" s="1"/>
      <c r="J2297" s="1"/>
      <c r="K2297" s="1" t="s">
        <v>13519</v>
      </c>
    </row>
    <row r="2298" ht="14.25" customHeight="1">
      <c r="A2298" s="3" t="s">
        <v>2882</v>
      </c>
      <c r="B2298" s="1">
        <v>6.5</v>
      </c>
      <c r="C2298" s="1" t="s">
        <v>6019</v>
      </c>
      <c r="D2298" s="1" t="s">
        <v>17761</v>
      </c>
      <c r="E2298" s="1" t="s">
        <v>17471</v>
      </c>
      <c r="F2298" s="1"/>
      <c r="G2298" s="1"/>
      <c r="H2298" s="1"/>
      <c r="I2298" s="1"/>
      <c r="J2298" s="1"/>
      <c r="K2298" s="1" t="s">
        <v>13964</v>
      </c>
    </row>
    <row r="2299" ht="14.25" customHeight="1">
      <c r="A2299" s="3" t="s">
        <v>2882</v>
      </c>
      <c r="B2299" s="1">
        <v>7.6</v>
      </c>
      <c r="C2299" s="1" t="s">
        <v>6019</v>
      </c>
      <c r="D2299" s="1" t="s">
        <v>17761</v>
      </c>
      <c r="E2299" s="1" t="s">
        <v>17471</v>
      </c>
      <c r="F2299" s="1"/>
      <c r="G2299" s="1"/>
      <c r="H2299" s="1"/>
      <c r="I2299" s="1"/>
      <c r="J2299" s="1"/>
      <c r="K2299" s="1" t="s">
        <v>14259</v>
      </c>
    </row>
    <row r="2300" ht="14.25" customHeight="1">
      <c r="A2300" s="3" t="s">
        <v>2882</v>
      </c>
      <c r="B2300" s="1">
        <v>7.4</v>
      </c>
      <c r="C2300" s="1" t="s">
        <v>6019</v>
      </c>
      <c r="D2300" s="1" t="s">
        <v>17761</v>
      </c>
      <c r="E2300" s="1" t="s">
        <v>17471</v>
      </c>
      <c r="F2300" s="1"/>
      <c r="G2300" s="1"/>
      <c r="H2300" s="1"/>
      <c r="I2300" s="1"/>
      <c r="J2300" s="1"/>
      <c r="K2300" s="1" t="s">
        <v>15083</v>
      </c>
    </row>
    <row r="2301" ht="14.25" customHeight="1">
      <c r="A2301" s="3" t="s">
        <v>2882</v>
      </c>
      <c r="B2301" s="1">
        <v>7.7</v>
      </c>
      <c r="C2301" s="1" t="s">
        <v>6019</v>
      </c>
      <c r="D2301" s="1" t="s">
        <v>17761</v>
      </c>
      <c r="E2301" s="1" t="s">
        <v>17471</v>
      </c>
      <c r="F2301" s="1"/>
      <c r="G2301" s="1"/>
      <c r="H2301" s="1"/>
      <c r="I2301" s="1"/>
      <c r="J2301" s="1"/>
      <c r="K2301" s="1" t="s">
        <v>9077</v>
      </c>
    </row>
    <row r="2302" ht="14.25" customHeight="1">
      <c r="A2302" s="3" t="s">
        <v>2882</v>
      </c>
      <c r="B2302" s="1">
        <v>7.1</v>
      </c>
      <c r="C2302" s="1" t="s">
        <v>6019</v>
      </c>
      <c r="D2302" s="1" t="s">
        <v>17761</v>
      </c>
      <c r="E2302" s="1" t="s">
        <v>17471</v>
      </c>
      <c r="F2302" s="1"/>
      <c r="G2302" s="1"/>
      <c r="H2302" s="1"/>
      <c r="I2302" s="1"/>
      <c r="J2302" s="1"/>
      <c r="K2302" s="1" t="s">
        <v>16243</v>
      </c>
    </row>
    <row r="2303" ht="14.25" customHeight="1">
      <c r="A2303" s="3" t="s">
        <v>2882</v>
      </c>
      <c r="B2303" s="1">
        <v>6.3</v>
      </c>
      <c r="C2303" s="1" t="s">
        <v>6019</v>
      </c>
      <c r="D2303" s="1" t="s">
        <v>17761</v>
      </c>
      <c r="E2303" s="1" t="s">
        <v>17471</v>
      </c>
      <c r="F2303" s="1"/>
      <c r="G2303" s="1"/>
      <c r="H2303" s="1"/>
      <c r="I2303" s="1"/>
      <c r="J2303" s="1"/>
      <c r="K2303" s="1" t="s">
        <v>16370</v>
      </c>
    </row>
    <row r="2304" ht="14.25" customHeight="1">
      <c r="A2304" s="3" t="s">
        <v>2882</v>
      </c>
      <c r="B2304" s="1">
        <v>7.6</v>
      </c>
      <c r="C2304" s="1" t="s">
        <v>6019</v>
      </c>
      <c r="D2304" s="1" t="s">
        <v>17761</v>
      </c>
      <c r="E2304" s="1" t="s">
        <v>17471</v>
      </c>
      <c r="F2304" s="1"/>
      <c r="G2304" s="1"/>
      <c r="H2304" s="1"/>
      <c r="I2304" s="1"/>
      <c r="J2304" s="1"/>
      <c r="K2304" s="1" t="s">
        <v>16722</v>
      </c>
    </row>
    <row r="2305" ht="14.25" customHeight="1">
      <c r="A2305" s="3" t="s">
        <v>2882</v>
      </c>
      <c r="B2305" s="1">
        <v>8.0</v>
      </c>
      <c r="C2305" s="1" t="s">
        <v>6019</v>
      </c>
      <c r="D2305" s="1" t="s">
        <v>17761</v>
      </c>
      <c r="E2305" s="1" t="s">
        <v>17471</v>
      </c>
      <c r="F2305" s="1"/>
      <c r="G2305" s="1"/>
      <c r="H2305" s="1"/>
      <c r="I2305" s="1"/>
      <c r="J2305" s="1"/>
      <c r="K2305" s="1" t="s">
        <v>16732</v>
      </c>
    </row>
    <row r="2306" ht="14.25" customHeight="1">
      <c r="A2306" s="3" t="s">
        <v>2882</v>
      </c>
      <c r="B2306" s="1">
        <v>7.3</v>
      </c>
      <c r="C2306" s="1" t="s">
        <v>6019</v>
      </c>
      <c r="D2306" s="1" t="s">
        <v>17761</v>
      </c>
      <c r="E2306" s="1" t="s">
        <v>17471</v>
      </c>
      <c r="F2306" s="1"/>
      <c r="G2306" s="1"/>
      <c r="H2306" s="1"/>
      <c r="I2306" s="1"/>
      <c r="J2306" s="1"/>
      <c r="K2306" s="1" t="s">
        <v>16817</v>
      </c>
    </row>
    <row r="2307" ht="14.25" customHeight="1">
      <c r="A2307" s="3" t="s">
        <v>1732</v>
      </c>
      <c r="B2307" s="1">
        <v>7.6</v>
      </c>
      <c r="C2307" s="1" t="s">
        <v>1270</v>
      </c>
      <c r="D2307" s="1" t="s">
        <v>17762</v>
      </c>
      <c r="E2307" s="1" t="s">
        <v>17471</v>
      </c>
      <c r="F2307" s="1"/>
      <c r="G2307" s="1"/>
      <c r="H2307" s="1"/>
      <c r="I2307" s="1"/>
      <c r="J2307" s="1"/>
      <c r="K2307" s="1" t="s">
        <v>1731</v>
      </c>
    </row>
    <row r="2308" ht="14.25" customHeight="1">
      <c r="A2308" s="3" t="s">
        <v>1732</v>
      </c>
      <c r="B2308" s="1">
        <v>7.8</v>
      </c>
      <c r="C2308" s="1" t="s">
        <v>1270</v>
      </c>
      <c r="D2308" s="1" t="s">
        <v>17762</v>
      </c>
      <c r="E2308" s="1" t="s">
        <v>17471</v>
      </c>
      <c r="F2308" s="1"/>
      <c r="G2308" s="1"/>
      <c r="H2308" s="1"/>
      <c r="I2308" s="1"/>
      <c r="J2308" s="1"/>
      <c r="K2308" s="1" t="s">
        <v>1731</v>
      </c>
    </row>
    <row r="2309" ht="14.25" customHeight="1">
      <c r="A2309" s="3" t="s">
        <v>13387</v>
      </c>
      <c r="B2309" s="1">
        <v>6.5</v>
      </c>
      <c r="C2309" s="1" t="s">
        <v>1885</v>
      </c>
      <c r="D2309" s="1" t="s">
        <v>17762</v>
      </c>
      <c r="E2309" s="1" t="s">
        <v>17471</v>
      </c>
      <c r="F2309" s="1"/>
      <c r="G2309" s="1"/>
      <c r="H2309" s="1"/>
      <c r="I2309" s="1"/>
      <c r="J2309" s="1"/>
      <c r="K2309" s="1" t="s">
        <v>13386</v>
      </c>
    </row>
    <row r="2310" ht="14.25" customHeight="1">
      <c r="A2310" s="3" t="s">
        <v>5285</v>
      </c>
      <c r="B2310" s="1">
        <v>6.4</v>
      </c>
      <c r="C2310" s="1" t="s">
        <v>17763</v>
      </c>
      <c r="D2310" s="1" t="s">
        <v>17762</v>
      </c>
      <c r="E2310" s="1" t="s">
        <v>17471</v>
      </c>
      <c r="F2310" s="1"/>
      <c r="G2310" s="1"/>
      <c r="H2310" s="1"/>
      <c r="I2310" s="1"/>
      <c r="J2310" s="1"/>
      <c r="K2310" s="1" t="s">
        <v>5284</v>
      </c>
    </row>
    <row r="2311" ht="14.25" customHeight="1">
      <c r="A2311" s="3" t="s">
        <v>8285</v>
      </c>
      <c r="B2311" s="1">
        <v>8.0</v>
      </c>
      <c r="C2311" s="1" t="s">
        <v>3238</v>
      </c>
      <c r="D2311" s="1" t="s">
        <v>17762</v>
      </c>
      <c r="E2311" s="1" t="s">
        <v>17471</v>
      </c>
      <c r="F2311" s="1"/>
      <c r="G2311" s="1"/>
      <c r="H2311" s="1"/>
      <c r="I2311" s="1"/>
      <c r="J2311" s="1"/>
      <c r="K2311" s="1" t="s">
        <v>8284</v>
      </c>
    </row>
    <row r="2312" ht="14.25" customHeight="1">
      <c r="A2312" s="3" t="s">
        <v>8285</v>
      </c>
      <c r="B2312" s="1">
        <v>4.8</v>
      </c>
      <c r="C2312" s="1" t="s">
        <v>3238</v>
      </c>
      <c r="D2312" s="1" t="s">
        <v>17762</v>
      </c>
      <c r="E2312" s="1" t="s">
        <v>17471</v>
      </c>
      <c r="F2312" s="1"/>
      <c r="G2312" s="1"/>
      <c r="H2312" s="1"/>
      <c r="I2312" s="1"/>
      <c r="J2312" s="1"/>
      <c r="K2312" s="1" t="s">
        <v>11640</v>
      </c>
    </row>
    <row r="2313" ht="14.25" customHeight="1">
      <c r="A2313" s="3" t="s">
        <v>8285</v>
      </c>
      <c r="B2313" s="1">
        <v>7.8</v>
      </c>
      <c r="C2313" s="1" t="s">
        <v>3238</v>
      </c>
      <c r="D2313" s="1" t="s">
        <v>17762</v>
      </c>
      <c r="E2313" s="1" t="s">
        <v>17471</v>
      </c>
      <c r="F2313" s="1"/>
      <c r="G2313" s="1"/>
      <c r="H2313" s="1"/>
      <c r="I2313" s="1"/>
      <c r="J2313" s="1"/>
      <c r="K2313" s="1" t="s">
        <v>11999</v>
      </c>
    </row>
    <row r="2314" ht="14.25" customHeight="1">
      <c r="A2314" s="3" t="s">
        <v>8285</v>
      </c>
      <c r="B2314" s="1">
        <v>5.9</v>
      </c>
      <c r="C2314" s="1" t="s">
        <v>3238</v>
      </c>
      <c r="D2314" s="1" t="s">
        <v>17762</v>
      </c>
      <c r="E2314" s="1" t="s">
        <v>17471</v>
      </c>
      <c r="F2314" s="1"/>
      <c r="G2314" s="1"/>
      <c r="H2314" s="1"/>
      <c r="I2314" s="1"/>
      <c r="J2314" s="1"/>
      <c r="K2314" s="1" t="s">
        <v>13057</v>
      </c>
    </row>
    <row r="2315" ht="14.25" customHeight="1">
      <c r="A2315" s="3" t="s">
        <v>8285</v>
      </c>
      <c r="B2315" s="1">
        <v>5.4</v>
      </c>
      <c r="C2315" s="1" t="s">
        <v>3238</v>
      </c>
      <c r="D2315" s="1" t="s">
        <v>17762</v>
      </c>
      <c r="E2315" s="1" t="s">
        <v>17471</v>
      </c>
      <c r="F2315" s="1"/>
      <c r="G2315" s="1"/>
      <c r="H2315" s="1"/>
      <c r="I2315" s="1"/>
      <c r="J2315" s="1"/>
      <c r="K2315" s="1" t="s">
        <v>14094</v>
      </c>
    </row>
    <row r="2316" ht="14.25" customHeight="1">
      <c r="A2316" s="3" t="s">
        <v>8285</v>
      </c>
      <c r="B2316" s="1">
        <v>3.3</v>
      </c>
      <c r="C2316" s="1" t="s">
        <v>3238</v>
      </c>
      <c r="D2316" s="1" t="s">
        <v>17762</v>
      </c>
      <c r="E2316" s="1" t="s">
        <v>17471</v>
      </c>
      <c r="F2316" s="1"/>
      <c r="G2316" s="1"/>
      <c r="H2316" s="1"/>
      <c r="I2316" s="1"/>
      <c r="J2316" s="1"/>
      <c r="K2316" s="1" t="s">
        <v>13057</v>
      </c>
    </row>
    <row r="2317" ht="14.25" customHeight="1">
      <c r="A2317" s="3" t="s">
        <v>14531</v>
      </c>
      <c r="B2317" s="1">
        <v>8.2</v>
      </c>
      <c r="C2317" s="1" t="s">
        <v>17761</v>
      </c>
      <c r="D2317" s="1" t="s">
        <v>17762</v>
      </c>
      <c r="E2317" s="1" t="s">
        <v>17471</v>
      </c>
      <c r="F2317" s="1"/>
      <c r="G2317" s="1"/>
      <c r="H2317" s="1"/>
      <c r="I2317" s="1"/>
      <c r="J2317" s="1"/>
      <c r="K2317" s="1" t="s">
        <v>14530</v>
      </c>
    </row>
    <row r="2318" ht="14.25" customHeight="1">
      <c r="A2318" s="3" t="s">
        <v>14531</v>
      </c>
      <c r="B2318" s="1">
        <v>5.4</v>
      </c>
      <c r="C2318" s="1" t="s">
        <v>17761</v>
      </c>
      <c r="D2318" s="1" t="s">
        <v>17762</v>
      </c>
      <c r="E2318" s="1" t="s">
        <v>17471</v>
      </c>
      <c r="F2318" s="1"/>
      <c r="G2318" s="1"/>
      <c r="H2318" s="1"/>
      <c r="I2318" s="1"/>
      <c r="J2318" s="1"/>
      <c r="K2318" s="1" t="s">
        <v>15299</v>
      </c>
    </row>
    <row r="2319" ht="14.25" customHeight="1">
      <c r="A2319" s="3" t="s">
        <v>2670</v>
      </c>
      <c r="B2319" s="1">
        <v>6.4</v>
      </c>
      <c r="C2319" s="1" t="s">
        <v>1270</v>
      </c>
      <c r="D2319" s="1" t="s">
        <v>17764</v>
      </c>
      <c r="E2319" s="1" t="s">
        <v>17471</v>
      </c>
      <c r="F2319" s="1"/>
      <c r="G2319" s="1"/>
      <c r="H2319" s="1"/>
      <c r="I2319" s="1"/>
      <c r="J2319" s="1"/>
      <c r="K2319" s="1" t="s">
        <v>2669</v>
      </c>
    </row>
    <row r="2320" ht="14.25" customHeight="1">
      <c r="A2320" s="3" t="s">
        <v>2670</v>
      </c>
      <c r="B2320" s="1">
        <v>4.8</v>
      </c>
      <c r="C2320" s="1" t="s">
        <v>1270</v>
      </c>
      <c r="D2320" s="1" t="s">
        <v>17764</v>
      </c>
      <c r="E2320" s="1" t="s">
        <v>17471</v>
      </c>
      <c r="F2320" s="1"/>
      <c r="G2320" s="1"/>
      <c r="H2320" s="1"/>
      <c r="I2320" s="1"/>
      <c r="J2320" s="1"/>
      <c r="K2320" s="1" t="s">
        <v>2733</v>
      </c>
    </row>
    <row r="2321" ht="14.25" customHeight="1">
      <c r="A2321" s="3" t="s">
        <v>2670</v>
      </c>
      <c r="B2321" s="1">
        <v>5.9</v>
      </c>
      <c r="C2321" s="1" t="s">
        <v>1270</v>
      </c>
      <c r="D2321" s="1" t="s">
        <v>17764</v>
      </c>
      <c r="E2321" s="1" t="s">
        <v>17471</v>
      </c>
      <c r="F2321" s="1"/>
      <c r="G2321" s="1"/>
      <c r="H2321" s="1"/>
      <c r="I2321" s="1"/>
      <c r="J2321" s="1"/>
      <c r="K2321" s="1" t="s">
        <v>3573</v>
      </c>
    </row>
    <row r="2322" ht="14.25" customHeight="1">
      <c r="A2322" s="3" t="s">
        <v>2670</v>
      </c>
      <c r="B2322" s="1">
        <v>5.5</v>
      </c>
      <c r="C2322" s="1" t="s">
        <v>1270</v>
      </c>
      <c r="D2322" s="1" t="s">
        <v>17764</v>
      </c>
      <c r="E2322" s="1" t="s">
        <v>17471</v>
      </c>
      <c r="F2322" s="1"/>
      <c r="G2322" s="1"/>
      <c r="H2322" s="1"/>
      <c r="I2322" s="1"/>
      <c r="J2322" s="1"/>
      <c r="K2322" s="1" t="s">
        <v>3815</v>
      </c>
    </row>
    <row r="2323" ht="14.25" customHeight="1">
      <c r="A2323" s="3" t="s">
        <v>2670</v>
      </c>
      <c r="B2323" s="1">
        <v>7.9</v>
      </c>
      <c r="C2323" s="1" t="s">
        <v>1270</v>
      </c>
      <c r="D2323" s="1" t="s">
        <v>17764</v>
      </c>
      <c r="E2323" s="1" t="s">
        <v>17471</v>
      </c>
      <c r="F2323" s="1"/>
      <c r="G2323" s="1"/>
      <c r="H2323" s="1"/>
      <c r="I2323" s="1"/>
      <c r="J2323" s="1"/>
      <c r="K2323" s="1" t="s">
        <v>3855</v>
      </c>
    </row>
    <row r="2324" ht="14.25" customHeight="1">
      <c r="A2324" s="3" t="s">
        <v>2670</v>
      </c>
      <c r="B2324" s="1">
        <v>4.9</v>
      </c>
      <c r="C2324" s="1" t="s">
        <v>1270</v>
      </c>
      <c r="D2324" s="1" t="s">
        <v>17764</v>
      </c>
      <c r="E2324" s="1" t="s">
        <v>17471</v>
      </c>
      <c r="F2324" s="1"/>
      <c r="G2324" s="1"/>
      <c r="H2324" s="1"/>
      <c r="I2324" s="1"/>
      <c r="J2324" s="1"/>
      <c r="K2324" s="1" t="s">
        <v>5157</v>
      </c>
    </row>
    <row r="2325" ht="14.25" customHeight="1">
      <c r="A2325" s="3" t="s">
        <v>2670</v>
      </c>
      <c r="B2325" s="1">
        <v>7.2</v>
      </c>
      <c r="C2325" s="1" t="s">
        <v>1270</v>
      </c>
      <c r="D2325" s="1" t="s">
        <v>17764</v>
      </c>
      <c r="E2325" s="1" t="s">
        <v>17471</v>
      </c>
      <c r="F2325" s="1"/>
      <c r="G2325" s="1"/>
      <c r="H2325" s="1"/>
      <c r="I2325" s="1"/>
      <c r="J2325" s="1"/>
      <c r="K2325" s="1" t="s">
        <v>5194</v>
      </c>
    </row>
    <row r="2326" ht="14.25" customHeight="1">
      <c r="A2326" s="3" t="s">
        <v>2670</v>
      </c>
      <c r="B2326" s="1">
        <v>5.3</v>
      </c>
      <c r="C2326" s="1" t="s">
        <v>1270</v>
      </c>
      <c r="D2326" s="1" t="s">
        <v>17764</v>
      </c>
      <c r="E2326" s="1" t="s">
        <v>17471</v>
      </c>
      <c r="F2326" s="1"/>
      <c r="G2326" s="1"/>
      <c r="H2326" s="1"/>
      <c r="I2326" s="1"/>
      <c r="J2326" s="1"/>
      <c r="K2326" s="1" t="s">
        <v>5873</v>
      </c>
    </row>
    <row r="2327" ht="14.25" customHeight="1">
      <c r="A2327" s="3" t="s">
        <v>2670</v>
      </c>
      <c r="B2327" s="1">
        <v>7.2</v>
      </c>
      <c r="C2327" s="1" t="s">
        <v>1270</v>
      </c>
      <c r="D2327" s="1" t="s">
        <v>17764</v>
      </c>
      <c r="E2327" s="1" t="s">
        <v>17471</v>
      </c>
      <c r="F2327" s="1"/>
      <c r="G2327" s="1"/>
      <c r="H2327" s="1"/>
      <c r="I2327" s="1"/>
      <c r="J2327" s="1"/>
      <c r="K2327" s="1" t="s">
        <v>6623</v>
      </c>
    </row>
    <row r="2328" ht="14.25" customHeight="1">
      <c r="A2328" s="3" t="s">
        <v>2670</v>
      </c>
      <c r="B2328" s="1">
        <v>5.1</v>
      </c>
      <c r="C2328" s="1" t="s">
        <v>1270</v>
      </c>
      <c r="D2328" s="1" t="s">
        <v>17764</v>
      </c>
      <c r="E2328" s="1" t="s">
        <v>17471</v>
      </c>
      <c r="F2328" s="1"/>
      <c r="G2328" s="1"/>
      <c r="H2328" s="1"/>
      <c r="I2328" s="1"/>
      <c r="J2328" s="1"/>
      <c r="K2328" s="1" t="s">
        <v>6972</v>
      </c>
    </row>
    <row r="2329" ht="14.25" customHeight="1">
      <c r="A2329" s="3" t="s">
        <v>2670</v>
      </c>
      <c r="B2329" s="1">
        <v>5.6</v>
      </c>
      <c r="C2329" s="1" t="s">
        <v>1270</v>
      </c>
      <c r="D2329" s="1" t="s">
        <v>17764</v>
      </c>
      <c r="E2329" s="1" t="s">
        <v>17471</v>
      </c>
      <c r="F2329" s="1"/>
      <c r="G2329" s="1"/>
      <c r="H2329" s="1"/>
      <c r="I2329" s="1"/>
      <c r="J2329" s="1"/>
      <c r="K2329" s="1" t="s">
        <v>7366</v>
      </c>
    </row>
    <row r="2330" ht="14.25" customHeight="1">
      <c r="A2330" s="3" t="s">
        <v>2670</v>
      </c>
      <c r="B2330" s="1">
        <v>7.6</v>
      </c>
      <c r="C2330" s="1" t="s">
        <v>1270</v>
      </c>
      <c r="D2330" s="1" t="s">
        <v>17764</v>
      </c>
      <c r="E2330" s="1" t="s">
        <v>17471</v>
      </c>
      <c r="F2330" s="1"/>
      <c r="G2330" s="1"/>
      <c r="H2330" s="1"/>
      <c r="I2330" s="1"/>
      <c r="J2330" s="1"/>
      <c r="K2330" s="1" t="s">
        <v>7621</v>
      </c>
    </row>
    <row r="2331" ht="14.25" customHeight="1">
      <c r="A2331" s="3" t="s">
        <v>2670</v>
      </c>
      <c r="B2331" s="1">
        <v>3.1</v>
      </c>
      <c r="C2331" s="1" t="s">
        <v>1270</v>
      </c>
      <c r="D2331" s="1" t="s">
        <v>17764</v>
      </c>
      <c r="E2331" s="1" t="s">
        <v>17471</v>
      </c>
      <c r="F2331" s="1"/>
      <c r="G2331" s="1"/>
      <c r="H2331" s="1"/>
      <c r="I2331" s="1"/>
      <c r="J2331" s="1"/>
      <c r="K2331" s="1" t="s">
        <v>13300</v>
      </c>
    </row>
    <row r="2332" ht="14.25" customHeight="1">
      <c r="A2332" s="3" t="s">
        <v>1126</v>
      </c>
      <c r="B2332" s="1">
        <v>7.2</v>
      </c>
      <c r="C2332" s="1" t="s">
        <v>917</v>
      </c>
      <c r="D2332" s="1" t="s">
        <v>17764</v>
      </c>
      <c r="E2332" s="1" t="s">
        <v>17471</v>
      </c>
      <c r="F2332" s="1"/>
      <c r="G2332" s="1"/>
      <c r="H2332" s="1"/>
      <c r="I2332" s="1"/>
      <c r="J2332" s="1"/>
      <c r="K2332" s="1" t="s">
        <v>1125</v>
      </c>
    </row>
    <row r="2333" ht="14.25" customHeight="1">
      <c r="A2333" s="3" t="s">
        <v>1126</v>
      </c>
      <c r="B2333" s="1">
        <v>5.7</v>
      </c>
      <c r="C2333" s="1" t="s">
        <v>917</v>
      </c>
      <c r="D2333" s="1" t="s">
        <v>17764</v>
      </c>
      <c r="E2333" s="1" t="s">
        <v>17471</v>
      </c>
      <c r="F2333" s="1"/>
      <c r="G2333" s="1"/>
      <c r="H2333" s="1"/>
      <c r="I2333" s="1"/>
      <c r="J2333" s="1"/>
      <c r="K2333" s="1" t="s">
        <v>1138</v>
      </c>
    </row>
    <row r="2334" ht="14.25" customHeight="1">
      <c r="A2334" s="3" t="s">
        <v>1126</v>
      </c>
      <c r="B2334" s="1">
        <v>5.2</v>
      </c>
      <c r="C2334" s="1" t="s">
        <v>917</v>
      </c>
      <c r="D2334" s="1" t="s">
        <v>17764</v>
      </c>
      <c r="E2334" s="1" t="s">
        <v>17471</v>
      </c>
      <c r="F2334" s="1"/>
      <c r="G2334" s="1"/>
      <c r="H2334" s="1"/>
      <c r="I2334" s="1"/>
      <c r="J2334" s="1"/>
      <c r="K2334" s="1" t="s">
        <v>1214</v>
      </c>
    </row>
    <row r="2335" ht="14.25" customHeight="1">
      <c r="A2335" s="3" t="s">
        <v>1126</v>
      </c>
      <c r="B2335" s="1">
        <v>7.7</v>
      </c>
      <c r="C2335" s="1" t="s">
        <v>917</v>
      </c>
      <c r="D2335" s="1" t="s">
        <v>17764</v>
      </c>
      <c r="E2335" s="1" t="s">
        <v>17471</v>
      </c>
      <c r="F2335" s="1"/>
      <c r="G2335" s="1"/>
      <c r="H2335" s="1"/>
      <c r="I2335" s="1"/>
      <c r="J2335" s="1"/>
      <c r="K2335" s="1" t="s">
        <v>1468</v>
      </c>
    </row>
    <row r="2336" ht="14.25" customHeight="1">
      <c r="A2336" s="3" t="s">
        <v>1126</v>
      </c>
      <c r="B2336" s="1">
        <v>7.0</v>
      </c>
      <c r="C2336" s="1" t="s">
        <v>917</v>
      </c>
      <c r="D2336" s="1" t="s">
        <v>17764</v>
      </c>
      <c r="E2336" s="1" t="s">
        <v>17471</v>
      </c>
      <c r="F2336" s="1"/>
      <c r="G2336" s="1"/>
      <c r="H2336" s="1"/>
      <c r="I2336" s="1"/>
      <c r="J2336" s="1"/>
      <c r="K2336" s="1" t="s">
        <v>2162</v>
      </c>
    </row>
    <row r="2337" ht="14.25" customHeight="1">
      <c r="A2337" s="3" t="s">
        <v>1126</v>
      </c>
      <c r="B2337" s="1">
        <v>6.0</v>
      </c>
      <c r="C2337" s="1" t="s">
        <v>917</v>
      </c>
      <c r="D2337" s="1" t="s">
        <v>17764</v>
      </c>
      <c r="E2337" s="1" t="s">
        <v>17471</v>
      </c>
      <c r="F2337" s="1"/>
      <c r="G2337" s="1"/>
      <c r="H2337" s="1"/>
      <c r="I2337" s="1"/>
      <c r="J2337" s="1"/>
      <c r="K2337" s="1" t="s">
        <v>3660</v>
      </c>
    </row>
    <row r="2338" ht="14.25" customHeight="1">
      <c r="A2338" s="3" t="s">
        <v>1126</v>
      </c>
      <c r="B2338" s="1">
        <v>6.6</v>
      </c>
      <c r="C2338" s="1" t="s">
        <v>917</v>
      </c>
      <c r="D2338" s="1" t="s">
        <v>17764</v>
      </c>
      <c r="E2338" s="1" t="s">
        <v>17471</v>
      </c>
      <c r="F2338" s="1"/>
      <c r="G2338" s="1"/>
      <c r="H2338" s="1"/>
      <c r="I2338" s="1"/>
      <c r="J2338" s="1"/>
      <c r="K2338" s="1" t="s">
        <v>6435</v>
      </c>
    </row>
    <row r="2339" ht="14.25" customHeight="1">
      <c r="A2339" s="3" t="s">
        <v>1874</v>
      </c>
      <c r="B2339" s="1">
        <v>6.8</v>
      </c>
      <c r="C2339" s="1" t="s">
        <v>1885</v>
      </c>
      <c r="D2339" s="1" t="s">
        <v>17764</v>
      </c>
      <c r="E2339" s="1" t="s">
        <v>17471</v>
      </c>
      <c r="F2339" s="1"/>
      <c r="G2339" s="1"/>
      <c r="H2339" s="1"/>
      <c r="I2339" s="1"/>
      <c r="J2339" s="1"/>
      <c r="K2339" s="1" t="s">
        <v>1873</v>
      </c>
    </row>
    <row r="2340" ht="14.25" customHeight="1">
      <c r="A2340" s="3" t="s">
        <v>2566</v>
      </c>
      <c r="B2340" s="1">
        <v>7.2</v>
      </c>
      <c r="C2340" s="1" t="s">
        <v>3238</v>
      </c>
      <c r="D2340" s="1" t="s">
        <v>17764</v>
      </c>
      <c r="E2340" s="1" t="s">
        <v>17471</v>
      </c>
      <c r="F2340" s="1"/>
      <c r="G2340" s="1"/>
      <c r="H2340" s="1"/>
      <c r="I2340" s="1"/>
      <c r="J2340" s="1"/>
      <c r="K2340" s="1" t="s">
        <v>2565</v>
      </c>
    </row>
    <row r="2341" ht="14.25" customHeight="1">
      <c r="A2341" s="3" t="s">
        <v>2566</v>
      </c>
      <c r="B2341" s="1">
        <v>7.2</v>
      </c>
      <c r="C2341" s="1" t="s">
        <v>3238</v>
      </c>
      <c r="D2341" s="1" t="s">
        <v>17764</v>
      </c>
      <c r="E2341" s="1" t="s">
        <v>17471</v>
      </c>
      <c r="F2341" s="1"/>
      <c r="G2341" s="1"/>
      <c r="H2341" s="1"/>
      <c r="I2341" s="1"/>
      <c r="J2341" s="1"/>
      <c r="K2341" s="1" t="s">
        <v>2845</v>
      </c>
    </row>
    <row r="2342" ht="14.25" customHeight="1">
      <c r="A2342" s="3" t="s">
        <v>2566</v>
      </c>
      <c r="B2342" s="1">
        <v>2.8</v>
      </c>
      <c r="C2342" s="1" t="s">
        <v>3238</v>
      </c>
      <c r="D2342" s="1" t="s">
        <v>17764</v>
      </c>
      <c r="E2342" s="1" t="s">
        <v>17471</v>
      </c>
      <c r="F2342" s="1"/>
      <c r="G2342" s="1"/>
      <c r="H2342" s="1"/>
      <c r="I2342" s="1"/>
      <c r="J2342" s="1"/>
      <c r="K2342" s="1" t="s">
        <v>3121</v>
      </c>
    </row>
    <row r="2343" ht="14.25" customHeight="1">
      <c r="A2343" s="3" t="s">
        <v>2566</v>
      </c>
      <c r="B2343" s="1">
        <v>6.6</v>
      </c>
      <c r="C2343" s="1" t="s">
        <v>3238</v>
      </c>
      <c r="D2343" s="1" t="s">
        <v>17764</v>
      </c>
      <c r="E2343" s="1" t="s">
        <v>17471</v>
      </c>
      <c r="F2343" s="1"/>
      <c r="G2343" s="1"/>
      <c r="H2343" s="1"/>
      <c r="I2343" s="1"/>
      <c r="J2343" s="1"/>
      <c r="K2343" s="1" t="s">
        <v>6769</v>
      </c>
    </row>
    <row r="2344" ht="14.25" customHeight="1">
      <c r="A2344" s="3" t="s">
        <v>2566</v>
      </c>
      <c r="B2344" s="1">
        <v>6.7</v>
      </c>
      <c r="C2344" s="1" t="s">
        <v>3238</v>
      </c>
      <c r="D2344" s="1" t="s">
        <v>17764</v>
      </c>
      <c r="E2344" s="1" t="s">
        <v>17471</v>
      </c>
      <c r="F2344" s="1"/>
      <c r="G2344" s="1"/>
      <c r="H2344" s="1"/>
      <c r="I2344" s="1"/>
      <c r="J2344" s="1"/>
      <c r="K2344" s="1" t="s">
        <v>7290</v>
      </c>
    </row>
    <row r="2345" ht="14.25" customHeight="1">
      <c r="A2345" s="3" t="s">
        <v>2566</v>
      </c>
      <c r="B2345" s="1">
        <v>7.0</v>
      </c>
      <c r="C2345" s="1" t="s">
        <v>3238</v>
      </c>
      <c r="D2345" s="1" t="s">
        <v>17764</v>
      </c>
      <c r="E2345" s="1" t="s">
        <v>17471</v>
      </c>
      <c r="F2345" s="1"/>
      <c r="G2345" s="1"/>
      <c r="H2345" s="1"/>
      <c r="I2345" s="1"/>
      <c r="J2345" s="1"/>
      <c r="K2345" s="1" t="s">
        <v>12615</v>
      </c>
    </row>
    <row r="2346" ht="14.25" customHeight="1">
      <c r="A2346" s="3" t="s">
        <v>2566</v>
      </c>
      <c r="B2346" s="1">
        <v>4.4</v>
      </c>
      <c r="C2346" s="1" t="s">
        <v>3238</v>
      </c>
      <c r="D2346" s="1" t="s">
        <v>17764</v>
      </c>
      <c r="E2346" s="1" t="s">
        <v>17471</v>
      </c>
      <c r="F2346" s="1"/>
      <c r="G2346" s="1"/>
      <c r="H2346" s="1"/>
      <c r="I2346" s="1"/>
      <c r="J2346" s="1"/>
      <c r="K2346" s="1" t="s">
        <v>15381</v>
      </c>
    </row>
    <row r="2347" ht="14.25" customHeight="1">
      <c r="A2347" s="3" t="s">
        <v>2566</v>
      </c>
      <c r="B2347" s="1">
        <v>6.2</v>
      </c>
      <c r="C2347" s="1" t="s">
        <v>3238</v>
      </c>
      <c r="D2347" s="1" t="s">
        <v>17764</v>
      </c>
      <c r="E2347" s="1" t="s">
        <v>17471</v>
      </c>
      <c r="F2347" s="1"/>
      <c r="G2347" s="1"/>
      <c r="H2347" s="1"/>
      <c r="I2347" s="1"/>
      <c r="J2347" s="1"/>
      <c r="K2347" s="1" t="s">
        <v>16039</v>
      </c>
    </row>
    <row r="2348" ht="14.25" customHeight="1">
      <c r="A2348" s="3" t="s">
        <v>2566</v>
      </c>
      <c r="B2348" s="1">
        <v>7.3</v>
      </c>
      <c r="C2348" s="1" t="s">
        <v>3238</v>
      </c>
      <c r="D2348" s="1" t="s">
        <v>17764</v>
      </c>
      <c r="E2348" s="1" t="s">
        <v>17471</v>
      </c>
      <c r="F2348" s="1"/>
      <c r="G2348" s="1"/>
      <c r="H2348" s="1"/>
      <c r="I2348" s="1"/>
      <c r="J2348" s="1"/>
      <c r="K2348" s="1" t="s">
        <v>7290</v>
      </c>
    </row>
    <row r="2349" ht="14.25" customHeight="1">
      <c r="A2349" s="3" t="s">
        <v>2566</v>
      </c>
      <c r="B2349" s="1">
        <v>5.1</v>
      </c>
      <c r="C2349" s="1" t="s">
        <v>3238</v>
      </c>
      <c r="D2349" s="1" t="s">
        <v>17764</v>
      </c>
      <c r="E2349" s="1" t="s">
        <v>17471</v>
      </c>
      <c r="F2349" s="1"/>
      <c r="G2349" s="1"/>
      <c r="H2349" s="1"/>
      <c r="I2349" s="1"/>
      <c r="J2349" s="1"/>
      <c r="K2349" s="1" t="s">
        <v>2565</v>
      </c>
    </row>
    <row r="2350" ht="14.25" customHeight="1">
      <c r="A2350" s="3" t="s">
        <v>2566</v>
      </c>
      <c r="B2350" s="1">
        <v>6.6</v>
      </c>
      <c r="C2350" s="1" t="s">
        <v>3238</v>
      </c>
      <c r="D2350" s="1" t="s">
        <v>17764</v>
      </c>
      <c r="E2350" s="1" t="s">
        <v>17471</v>
      </c>
      <c r="F2350" s="1"/>
      <c r="G2350" s="1"/>
      <c r="H2350" s="1"/>
      <c r="I2350" s="1"/>
      <c r="J2350" s="1"/>
      <c r="K2350" s="1" t="s">
        <v>17322</v>
      </c>
    </row>
    <row r="2351" ht="14.25" customHeight="1">
      <c r="A2351" s="3" t="s">
        <v>2566</v>
      </c>
      <c r="B2351" s="1">
        <v>4.5</v>
      </c>
      <c r="C2351" s="1" t="s">
        <v>3238</v>
      </c>
      <c r="D2351" s="1" t="s">
        <v>17764</v>
      </c>
      <c r="E2351" s="1" t="s">
        <v>17471</v>
      </c>
      <c r="F2351" s="1"/>
      <c r="G2351" s="1"/>
      <c r="H2351" s="1"/>
      <c r="I2351" s="1"/>
      <c r="J2351" s="1"/>
      <c r="K2351" s="1" t="s">
        <v>17727</v>
      </c>
    </row>
    <row r="2352" ht="14.25" customHeight="1">
      <c r="A2352" s="3" t="s">
        <v>4107</v>
      </c>
      <c r="B2352" s="1">
        <v>5.9</v>
      </c>
      <c r="C2352" s="1" t="s">
        <v>6019</v>
      </c>
      <c r="D2352" s="1" t="s">
        <v>17764</v>
      </c>
      <c r="E2352" s="1" t="s">
        <v>17471</v>
      </c>
      <c r="F2352" s="1"/>
      <c r="G2352" s="1"/>
      <c r="H2352" s="1"/>
      <c r="I2352" s="1"/>
      <c r="J2352" s="1"/>
      <c r="K2352" s="1" t="s">
        <v>4106</v>
      </c>
    </row>
    <row r="2353" ht="14.25" customHeight="1">
      <c r="A2353" s="3" t="s">
        <v>4107</v>
      </c>
      <c r="B2353" s="1">
        <v>6.6</v>
      </c>
      <c r="C2353" s="1" t="s">
        <v>6019</v>
      </c>
      <c r="D2353" s="1" t="s">
        <v>17764</v>
      </c>
      <c r="E2353" s="1" t="s">
        <v>17471</v>
      </c>
      <c r="F2353" s="1"/>
      <c r="G2353" s="1"/>
      <c r="H2353" s="1"/>
      <c r="I2353" s="1"/>
      <c r="J2353" s="1"/>
      <c r="K2353" s="1" t="s">
        <v>4131</v>
      </c>
    </row>
    <row r="2354" ht="14.25" customHeight="1">
      <c r="A2354" s="3" t="s">
        <v>4107</v>
      </c>
      <c r="B2354" s="1">
        <v>6.5</v>
      </c>
      <c r="C2354" s="1" t="s">
        <v>6019</v>
      </c>
      <c r="D2354" s="1" t="s">
        <v>17764</v>
      </c>
      <c r="E2354" s="1" t="s">
        <v>17471</v>
      </c>
      <c r="F2354" s="1"/>
      <c r="G2354" s="1"/>
      <c r="H2354" s="1"/>
      <c r="I2354" s="1"/>
      <c r="J2354" s="1"/>
      <c r="K2354" s="1" t="s">
        <v>6260</v>
      </c>
    </row>
    <row r="2355" ht="14.25" customHeight="1">
      <c r="A2355" s="3" t="s">
        <v>4107</v>
      </c>
      <c r="B2355" s="1">
        <v>7.3</v>
      </c>
      <c r="C2355" s="1" t="s">
        <v>6019</v>
      </c>
      <c r="D2355" s="1" t="s">
        <v>17764</v>
      </c>
      <c r="E2355" s="1" t="s">
        <v>17471</v>
      </c>
      <c r="F2355" s="1"/>
      <c r="G2355" s="1"/>
      <c r="H2355" s="1"/>
      <c r="I2355" s="1"/>
      <c r="J2355" s="1"/>
      <c r="K2355" s="1" t="s">
        <v>6887</v>
      </c>
    </row>
    <row r="2356" ht="14.25" customHeight="1">
      <c r="A2356" s="3" t="s">
        <v>4107</v>
      </c>
      <c r="B2356" s="1">
        <v>7.5</v>
      </c>
      <c r="C2356" s="1" t="s">
        <v>6019</v>
      </c>
      <c r="D2356" s="1" t="s">
        <v>17764</v>
      </c>
      <c r="E2356" s="1" t="s">
        <v>17471</v>
      </c>
      <c r="F2356" s="1"/>
      <c r="G2356" s="1"/>
      <c r="H2356" s="1"/>
      <c r="I2356" s="1"/>
      <c r="J2356" s="1"/>
      <c r="K2356" s="1" t="s">
        <v>9735</v>
      </c>
    </row>
    <row r="2357" ht="14.25" customHeight="1">
      <c r="A2357" s="3" t="s">
        <v>4107</v>
      </c>
      <c r="B2357" s="1">
        <v>5.9</v>
      </c>
      <c r="C2357" s="1" t="s">
        <v>6019</v>
      </c>
      <c r="D2357" s="1" t="s">
        <v>17764</v>
      </c>
      <c r="E2357" s="1" t="s">
        <v>17471</v>
      </c>
      <c r="F2357" s="1"/>
      <c r="G2357" s="1"/>
      <c r="H2357" s="1"/>
      <c r="I2357" s="1"/>
      <c r="J2357" s="1"/>
      <c r="K2357" s="1" t="s">
        <v>9769</v>
      </c>
    </row>
    <row r="2358" ht="14.25" customHeight="1">
      <c r="A2358" s="3" t="s">
        <v>4107</v>
      </c>
      <c r="B2358" s="1">
        <v>7.4</v>
      </c>
      <c r="C2358" s="1" t="s">
        <v>6019</v>
      </c>
      <c r="D2358" s="1" t="s">
        <v>17764</v>
      </c>
      <c r="E2358" s="1" t="s">
        <v>17471</v>
      </c>
      <c r="F2358" s="1"/>
      <c r="G2358" s="1"/>
      <c r="H2358" s="1"/>
      <c r="I2358" s="1"/>
      <c r="J2358" s="1"/>
      <c r="K2358" s="1" t="s">
        <v>12645</v>
      </c>
    </row>
    <row r="2359" ht="14.25" customHeight="1">
      <c r="A2359" s="3" t="s">
        <v>4107</v>
      </c>
      <c r="B2359" s="1">
        <v>6.9</v>
      </c>
      <c r="C2359" s="1" t="s">
        <v>6019</v>
      </c>
      <c r="D2359" s="1" t="s">
        <v>17764</v>
      </c>
      <c r="E2359" s="1" t="s">
        <v>17471</v>
      </c>
      <c r="F2359" s="1"/>
      <c r="G2359" s="1"/>
      <c r="H2359" s="1"/>
      <c r="I2359" s="1"/>
      <c r="J2359" s="1"/>
      <c r="K2359" s="1" t="s">
        <v>13098</v>
      </c>
    </row>
    <row r="2360" ht="14.25" customHeight="1">
      <c r="A2360" s="3" t="s">
        <v>4107</v>
      </c>
      <c r="B2360" s="1">
        <v>7.9</v>
      </c>
      <c r="C2360" s="1" t="s">
        <v>6019</v>
      </c>
      <c r="D2360" s="1" t="s">
        <v>17764</v>
      </c>
      <c r="E2360" s="1" t="s">
        <v>17471</v>
      </c>
      <c r="F2360" s="1"/>
      <c r="G2360" s="1"/>
      <c r="H2360" s="1"/>
      <c r="I2360" s="1"/>
      <c r="J2360" s="1"/>
      <c r="K2360" s="1" t="s">
        <v>14549</v>
      </c>
    </row>
    <row r="2361" ht="14.25" customHeight="1">
      <c r="A2361" s="3" t="s">
        <v>4107</v>
      </c>
      <c r="B2361" s="1">
        <v>8.4</v>
      </c>
      <c r="C2361" s="1" t="s">
        <v>6019</v>
      </c>
      <c r="D2361" s="1" t="s">
        <v>17764</v>
      </c>
      <c r="E2361" s="1" t="s">
        <v>17471</v>
      </c>
      <c r="F2361" s="1"/>
      <c r="G2361" s="1"/>
      <c r="H2361" s="1"/>
      <c r="I2361" s="1"/>
      <c r="J2361" s="1"/>
      <c r="K2361" s="1" t="s">
        <v>15032</v>
      </c>
    </row>
    <row r="2362" ht="14.25" customHeight="1">
      <c r="A2362" s="3" t="s">
        <v>4107</v>
      </c>
      <c r="B2362" s="1">
        <v>8.0</v>
      </c>
      <c r="C2362" s="1" t="s">
        <v>6019</v>
      </c>
      <c r="D2362" s="1" t="s">
        <v>17764</v>
      </c>
      <c r="E2362" s="1" t="s">
        <v>17471</v>
      </c>
      <c r="F2362" s="1"/>
      <c r="G2362" s="1"/>
      <c r="H2362" s="1"/>
      <c r="I2362" s="1"/>
      <c r="J2362" s="1"/>
      <c r="K2362" s="1" t="s">
        <v>15484</v>
      </c>
    </row>
    <row r="2363" ht="14.25" customHeight="1">
      <c r="A2363" s="3" t="s">
        <v>4107</v>
      </c>
      <c r="B2363" s="1">
        <v>6.0</v>
      </c>
      <c r="C2363" s="1" t="s">
        <v>6019</v>
      </c>
      <c r="D2363" s="1" t="s">
        <v>17764</v>
      </c>
      <c r="E2363" s="1" t="s">
        <v>17471</v>
      </c>
      <c r="F2363" s="1"/>
      <c r="G2363" s="1"/>
      <c r="H2363" s="1"/>
      <c r="I2363" s="1"/>
      <c r="J2363" s="1"/>
      <c r="K2363" s="1" t="s">
        <v>15866</v>
      </c>
    </row>
    <row r="2364" ht="14.25" customHeight="1">
      <c r="A2364" s="3" t="s">
        <v>4758</v>
      </c>
      <c r="B2364" s="1">
        <v>6.8</v>
      </c>
      <c r="C2364" s="1" t="s">
        <v>17761</v>
      </c>
      <c r="D2364" s="1" t="s">
        <v>17764</v>
      </c>
      <c r="E2364" s="1" t="s">
        <v>17471</v>
      </c>
      <c r="F2364" s="1"/>
      <c r="G2364" s="1"/>
      <c r="H2364" s="1"/>
      <c r="I2364" s="1"/>
      <c r="J2364" s="1"/>
      <c r="K2364" s="1" t="s">
        <v>4757</v>
      </c>
    </row>
    <row r="2365" ht="14.25" customHeight="1">
      <c r="A2365" s="3" t="s">
        <v>4758</v>
      </c>
      <c r="B2365" s="1">
        <v>7.8</v>
      </c>
      <c r="C2365" s="1" t="s">
        <v>17761</v>
      </c>
      <c r="D2365" s="1" t="s">
        <v>17764</v>
      </c>
      <c r="E2365" s="1" t="s">
        <v>17471</v>
      </c>
      <c r="F2365" s="1"/>
      <c r="G2365" s="1"/>
      <c r="H2365" s="1"/>
      <c r="I2365" s="1"/>
      <c r="J2365" s="1"/>
      <c r="K2365" s="1" t="s">
        <v>7424</v>
      </c>
    </row>
    <row r="2366" ht="14.25" customHeight="1">
      <c r="A2366" s="3" t="s">
        <v>4758</v>
      </c>
      <c r="B2366" s="1">
        <v>8.1</v>
      </c>
      <c r="C2366" s="1" t="s">
        <v>17761</v>
      </c>
      <c r="D2366" s="1" t="s">
        <v>17764</v>
      </c>
      <c r="E2366" s="1" t="s">
        <v>17471</v>
      </c>
      <c r="F2366" s="1"/>
      <c r="G2366" s="1"/>
      <c r="H2366" s="1"/>
      <c r="I2366" s="1"/>
      <c r="J2366" s="1"/>
      <c r="K2366" s="1" t="s">
        <v>11323</v>
      </c>
    </row>
    <row r="2367" ht="14.25" customHeight="1">
      <c r="A2367" s="3" t="s">
        <v>4758</v>
      </c>
      <c r="B2367" s="1">
        <v>6.1</v>
      </c>
      <c r="C2367" s="1" t="s">
        <v>17761</v>
      </c>
      <c r="D2367" s="1" t="s">
        <v>17764</v>
      </c>
      <c r="E2367" s="1" t="s">
        <v>17471</v>
      </c>
      <c r="F2367" s="1"/>
      <c r="G2367" s="1"/>
      <c r="H2367" s="1"/>
      <c r="I2367" s="1"/>
      <c r="J2367" s="1"/>
      <c r="K2367" s="1" t="s">
        <v>13287</v>
      </c>
    </row>
    <row r="2368" ht="14.25" customHeight="1">
      <c r="A2368" s="3" t="s">
        <v>4758</v>
      </c>
      <c r="B2368" s="1">
        <v>6.2</v>
      </c>
      <c r="C2368" s="1" t="s">
        <v>17761</v>
      </c>
      <c r="D2368" s="1" t="s">
        <v>17764</v>
      </c>
      <c r="E2368" s="1" t="s">
        <v>17471</v>
      </c>
      <c r="F2368" s="1"/>
      <c r="G2368" s="1"/>
      <c r="H2368" s="1"/>
      <c r="I2368" s="1"/>
      <c r="J2368" s="1"/>
      <c r="K2368" s="1" t="s">
        <v>17507</v>
      </c>
    </row>
    <row r="2369" ht="14.25" customHeight="1">
      <c r="A2369" s="3" t="s">
        <v>4728</v>
      </c>
      <c r="B2369" s="1">
        <v>6.2</v>
      </c>
      <c r="C2369" s="1" t="s">
        <v>17762</v>
      </c>
      <c r="D2369" s="1" t="s">
        <v>17764</v>
      </c>
      <c r="E2369" s="1" t="s">
        <v>17471</v>
      </c>
      <c r="F2369" s="1"/>
      <c r="G2369" s="1"/>
      <c r="H2369" s="1"/>
      <c r="I2369" s="1"/>
      <c r="J2369" s="1"/>
      <c r="K2369" s="1" t="s">
        <v>4727</v>
      </c>
    </row>
    <row r="2370" ht="14.25" customHeight="1">
      <c r="A2370" s="3" t="s">
        <v>13138</v>
      </c>
      <c r="B2370" s="1">
        <v>7.9</v>
      </c>
      <c r="C2370" s="1" t="s">
        <v>1270</v>
      </c>
      <c r="D2370" s="1" t="s">
        <v>1885</v>
      </c>
      <c r="E2370" s="1" t="s">
        <v>9025</v>
      </c>
      <c r="F2370" s="1"/>
      <c r="G2370" s="1"/>
      <c r="H2370" s="1"/>
      <c r="I2370" s="1"/>
      <c r="J2370" s="1"/>
      <c r="K2370" s="1" t="s">
        <v>13137</v>
      </c>
    </row>
    <row r="2371" ht="14.25" customHeight="1">
      <c r="A2371" s="3" t="s">
        <v>16175</v>
      </c>
      <c r="B2371" s="1">
        <v>7.4</v>
      </c>
      <c r="C2371" s="1" t="s">
        <v>1885</v>
      </c>
      <c r="D2371" s="1" t="s">
        <v>15542</v>
      </c>
      <c r="E2371" s="1" t="s">
        <v>9025</v>
      </c>
      <c r="F2371" s="1"/>
      <c r="G2371" s="1"/>
      <c r="H2371" s="1"/>
      <c r="I2371" s="1"/>
      <c r="J2371" s="1"/>
      <c r="K2371" s="1" t="s">
        <v>16174</v>
      </c>
    </row>
    <row r="2372" ht="14.25" customHeight="1">
      <c r="A2372" s="3" t="s">
        <v>16965</v>
      </c>
      <c r="B2372" s="1">
        <v>6.6</v>
      </c>
      <c r="C2372" s="1" t="s">
        <v>17763</v>
      </c>
      <c r="D2372" s="1" t="s">
        <v>15542</v>
      </c>
      <c r="E2372" s="1" t="s">
        <v>9025</v>
      </c>
      <c r="F2372" s="1"/>
      <c r="G2372" s="1"/>
      <c r="H2372" s="1"/>
      <c r="I2372" s="1"/>
      <c r="J2372" s="1"/>
      <c r="K2372" s="1" t="s">
        <v>16964</v>
      </c>
    </row>
    <row r="2373" ht="14.25" customHeight="1">
      <c r="A2373" s="3" t="s">
        <v>1402</v>
      </c>
      <c r="B2373" s="1">
        <v>7.3</v>
      </c>
      <c r="C2373" s="1" t="s">
        <v>1270</v>
      </c>
      <c r="D2373" s="1" t="s">
        <v>3238</v>
      </c>
      <c r="E2373" s="1" t="s">
        <v>9025</v>
      </c>
      <c r="F2373" s="1"/>
      <c r="G2373" s="1"/>
      <c r="H2373" s="1"/>
      <c r="I2373" s="1"/>
      <c r="J2373" s="1"/>
      <c r="K2373" s="1" t="s">
        <v>1401</v>
      </c>
    </row>
    <row r="2374" ht="14.25" customHeight="1">
      <c r="A2374" s="3" t="s">
        <v>1402</v>
      </c>
      <c r="B2374" s="1">
        <v>7.5</v>
      </c>
      <c r="C2374" s="1" t="s">
        <v>1270</v>
      </c>
      <c r="D2374" s="1" t="s">
        <v>3238</v>
      </c>
      <c r="E2374" s="1" t="s">
        <v>9025</v>
      </c>
      <c r="F2374" s="1"/>
      <c r="G2374" s="1"/>
      <c r="H2374" s="1"/>
      <c r="I2374" s="1"/>
      <c r="J2374" s="1"/>
      <c r="K2374" s="1" t="s">
        <v>2576</v>
      </c>
    </row>
    <row r="2375" ht="14.25" customHeight="1">
      <c r="A2375" s="3" t="s">
        <v>1402</v>
      </c>
      <c r="B2375" s="1">
        <v>5.6</v>
      </c>
      <c r="C2375" s="1" t="s">
        <v>1270</v>
      </c>
      <c r="D2375" s="1" t="s">
        <v>3238</v>
      </c>
      <c r="E2375" s="1" t="s">
        <v>9025</v>
      </c>
      <c r="F2375" s="1"/>
      <c r="G2375" s="1"/>
      <c r="H2375" s="1"/>
      <c r="I2375" s="1"/>
      <c r="J2375" s="1"/>
      <c r="K2375" s="1" t="s">
        <v>3081</v>
      </c>
    </row>
    <row r="2376" ht="14.25" customHeight="1">
      <c r="A2376" s="3" t="s">
        <v>1402</v>
      </c>
      <c r="B2376" s="1">
        <v>7.3</v>
      </c>
      <c r="C2376" s="1" t="s">
        <v>1270</v>
      </c>
      <c r="D2376" s="1" t="s">
        <v>3238</v>
      </c>
      <c r="E2376" s="1" t="s">
        <v>9025</v>
      </c>
      <c r="F2376" s="1"/>
      <c r="G2376" s="1"/>
      <c r="H2376" s="1"/>
      <c r="I2376" s="1"/>
      <c r="J2376" s="1"/>
      <c r="K2376" s="1" t="s">
        <v>3431</v>
      </c>
    </row>
    <row r="2377" ht="14.25" customHeight="1">
      <c r="A2377" s="3" t="s">
        <v>1402</v>
      </c>
      <c r="B2377" s="1">
        <v>6.4</v>
      </c>
      <c r="C2377" s="1" t="s">
        <v>1270</v>
      </c>
      <c r="D2377" s="1" t="s">
        <v>3238</v>
      </c>
      <c r="E2377" s="1" t="s">
        <v>9025</v>
      </c>
      <c r="F2377" s="1"/>
      <c r="G2377" s="1"/>
      <c r="H2377" s="1"/>
      <c r="I2377" s="1"/>
      <c r="J2377" s="1"/>
      <c r="K2377" s="1" t="s">
        <v>4192</v>
      </c>
    </row>
    <row r="2378" ht="14.25" customHeight="1">
      <c r="A2378" s="3" t="s">
        <v>1402</v>
      </c>
      <c r="B2378" s="1">
        <v>5.0</v>
      </c>
      <c r="C2378" s="1" t="s">
        <v>1270</v>
      </c>
      <c r="D2378" s="1" t="s">
        <v>3238</v>
      </c>
      <c r="E2378" s="1" t="s">
        <v>9025</v>
      </c>
      <c r="F2378" s="1"/>
      <c r="G2378" s="1"/>
      <c r="H2378" s="1"/>
      <c r="I2378" s="1"/>
      <c r="J2378" s="1"/>
      <c r="K2378" s="1" t="s">
        <v>4924</v>
      </c>
    </row>
    <row r="2379" ht="14.25" customHeight="1">
      <c r="A2379" s="3" t="s">
        <v>1402</v>
      </c>
      <c r="B2379" s="1">
        <v>5.4</v>
      </c>
      <c r="C2379" s="1" t="s">
        <v>1270</v>
      </c>
      <c r="D2379" s="1" t="s">
        <v>3238</v>
      </c>
      <c r="E2379" s="1" t="s">
        <v>9025</v>
      </c>
      <c r="F2379" s="1"/>
      <c r="G2379" s="1"/>
      <c r="H2379" s="1"/>
      <c r="I2379" s="1"/>
      <c r="J2379" s="1"/>
      <c r="K2379" s="1" t="s">
        <v>12535</v>
      </c>
    </row>
    <row r="2380" ht="14.25" customHeight="1">
      <c r="A2380" s="3" t="s">
        <v>1402</v>
      </c>
      <c r="B2380" s="1">
        <v>7.1</v>
      </c>
      <c r="C2380" s="1" t="s">
        <v>1270</v>
      </c>
      <c r="D2380" s="1" t="s">
        <v>3238</v>
      </c>
      <c r="E2380" s="1" t="s">
        <v>9025</v>
      </c>
      <c r="F2380" s="1"/>
      <c r="G2380" s="1"/>
      <c r="H2380" s="1"/>
      <c r="I2380" s="1"/>
      <c r="J2380" s="1"/>
      <c r="K2380" s="1" t="s">
        <v>12899</v>
      </c>
    </row>
    <row r="2381" ht="14.25" customHeight="1">
      <c r="A2381" s="3" t="s">
        <v>3158</v>
      </c>
      <c r="B2381" s="1">
        <v>5.3</v>
      </c>
      <c r="C2381" s="1" t="s">
        <v>917</v>
      </c>
      <c r="D2381" s="1" t="s">
        <v>3238</v>
      </c>
      <c r="E2381" s="1" t="s">
        <v>9025</v>
      </c>
      <c r="F2381" s="1"/>
      <c r="G2381" s="1"/>
      <c r="H2381" s="1"/>
      <c r="I2381" s="1"/>
      <c r="J2381" s="1"/>
      <c r="K2381" s="1" t="s">
        <v>3157</v>
      </c>
    </row>
    <row r="2382" ht="14.25" customHeight="1">
      <c r="A2382" s="3" t="s">
        <v>3158</v>
      </c>
      <c r="B2382" s="1">
        <v>6.5</v>
      </c>
      <c r="C2382" s="1" t="s">
        <v>917</v>
      </c>
      <c r="D2382" s="1" t="s">
        <v>3238</v>
      </c>
      <c r="E2382" s="1" t="s">
        <v>9025</v>
      </c>
      <c r="F2382" s="1"/>
      <c r="G2382" s="1"/>
      <c r="H2382" s="1"/>
      <c r="I2382" s="1"/>
      <c r="J2382" s="1"/>
      <c r="K2382" s="1" t="s">
        <v>15890</v>
      </c>
    </row>
    <row r="2383" ht="14.25" customHeight="1">
      <c r="A2383" s="3" t="s">
        <v>6806</v>
      </c>
      <c r="B2383" s="1">
        <v>6.2</v>
      </c>
      <c r="C2383" s="1" t="s">
        <v>17765</v>
      </c>
      <c r="D2383" s="1" t="s">
        <v>3238</v>
      </c>
      <c r="E2383" s="1" t="s">
        <v>9025</v>
      </c>
      <c r="F2383" s="1"/>
      <c r="G2383" s="1"/>
      <c r="H2383" s="1"/>
      <c r="I2383" s="1"/>
      <c r="J2383" s="1"/>
      <c r="K2383" s="1" t="s">
        <v>6805</v>
      </c>
    </row>
    <row r="2384" ht="14.25" customHeight="1">
      <c r="A2384" s="3" t="s">
        <v>6806</v>
      </c>
      <c r="B2384" s="1">
        <v>6.4</v>
      </c>
      <c r="C2384" s="1" t="s">
        <v>17765</v>
      </c>
      <c r="D2384" s="1" t="s">
        <v>3238</v>
      </c>
      <c r="E2384" s="1" t="s">
        <v>9025</v>
      </c>
      <c r="F2384" s="1"/>
      <c r="G2384" s="1"/>
      <c r="H2384" s="1"/>
      <c r="I2384" s="1"/>
      <c r="J2384" s="1"/>
      <c r="K2384" s="1" t="s">
        <v>6998</v>
      </c>
    </row>
    <row r="2385" ht="14.25" customHeight="1">
      <c r="A2385" s="3" t="s">
        <v>6806</v>
      </c>
      <c r="B2385" s="1">
        <v>6.9</v>
      </c>
      <c r="C2385" s="1" t="s">
        <v>17765</v>
      </c>
      <c r="D2385" s="1" t="s">
        <v>3238</v>
      </c>
      <c r="E2385" s="1" t="s">
        <v>9025</v>
      </c>
      <c r="F2385" s="1"/>
      <c r="G2385" s="1"/>
      <c r="H2385" s="1"/>
      <c r="I2385" s="1"/>
      <c r="J2385" s="1"/>
      <c r="K2385" s="1" t="s">
        <v>12011</v>
      </c>
    </row>
    <row r="2386" ht="14.25" customHeight="1">
      <c r="A2386" s="3" t="s">
        <v>12085</v>
      </c>
      <c r="B2386" s="1">
        <v>5.7</v>
      </c>
      <c r="C2386" s="1" t="s">
        <v>1885</v>
      </c>
      <c r="D2386" s="1" t="s">
        <v>3238</v>
      </c>
      <c r="E2386" s="1" t="s">
        <v>9025</v>
      </c>
      <c r="F2386" s="1"/>
      <c r="G2386" s="1"/>
      <c r="H2386" s="1"/>
      <c r="I2386" s="1"/>
      <c r="J2386" s="1"/>
      <c r="K2386" s="1" t="s">
        <v>12084</v>
      </c>
    </row>
    <row r="2387" ht="14.25" customHeight="1">
      <c r="A2387" s="3" t="s">
        <v>12085</v>
      </c>
      <c r="B2387" s="1">
        <v>7.7</v>
      </c>
      <c r="C2387" s="1" t="s">
        <v>1885</v>
      </c>
      <c r="D2387" s="1" t="s">
        <v>3238</v>
      </c>
      <c r="E2387" s="1" t="s">
        <v>9025</v>
      </c>
      <c r="F2387" s="1"/>
      <c r="G2387" s="1"/>
      <c r="H2387" s="1"/>
      <c r="I2387" s="1"/>
      <c r="J2387" s="1"/>
      <c r="K2387" s="1" t="s">
        <v>12165</v>
      </c>
    </row>
    <row r="2388" ht="14.25" customHeight="1">
      <c r="A2388" s="3" t="s">
        <v>14612</v>
      </c>
      <c r="B2388" s="1">
        <v>5.4</v>
      </c>
      <c r="C2388" s="1" t="s">
        <v>15542</v>
      </c>
      <c r="D2388" s="1" t="s">
        <v>3238</v>
      </c>
      <c r="E2388" s="1" t="s">
        <v>9025</v>
      </c>
      <c r="F2388" s="1"/>
      <c r="G2388" s="1"/>
      <c r="H2388" s="1"/>
      <c r="I2388" s="1"/>
      <c r="J2388" s="1"/>
      <c r="K2388" s="1" t="s">
        <v>14611</v>
      </c>
    </row>
    <row r="2389" ht="14.25" customHeight="1">
      <c r="A2389" s="3" t="s">
        <v>11241</v>
      </c>
      <c r="B2389" s="1">
        <v>5.6</v>
      </c>
      <c r="C2389" s="1" t="s">
        <v>3238</v>
      </c>
      <c r="D2389" s="1" t="s">
        <v>17759</v>
      </c>
      <c r="E2389" s="1" t="s">
        <v>9025</v>
      </c>
      <c r="F2389" s="1"/>
      <c r="G2389" s="1"/>
      <c r="H2389" s="1"/>
      <c r="I2389" s="1"/>
      <c r="J2389" s="1"/>
      <c r="K2389" s="1" t="s">
        <v>11240</v>
      </c>
    </row>
    <row r="2390" ht="14.25" customHeight="1">
      <c r="A2390" s="3" t="s">
        <v>1880</v>
      </c>
      <c r="B2390" s="1">
        <v>7.7</v>
      </c>
      <c r="C2390" s="1" t="s">
        <v>3238</v>
      </c>
      <c r="D2390" s="1" t="s">
        <v>17772</v>
      </c>
      <c r="E2390" s="1" t="s">
        <v>9025</v>
      </c>
      <c r="F2390" s="1"/>
      <c r="G2390" s="1"/>
      <c r="H2390" s="1"/>
      <c r="I2390" s="1"/>
      <c r="J2390" s="1"/>
      <c r="K2390" s="1" t="s">
        <v>1879</v>
      </c>
    </row>
    <row r="2391" ht="14.25" customHeight="1">
      <c r="A2391" s="3" t="s">
        <v>1880</v>
      </c>
      <c r="B2391" s="1">
        <v>5.1</v>
      </c>
      <c r="C2391" s="1" t="s">
        <v>3238</v>
      </c>
      <c r="D2391" s="1" t="s">
        <v>17772</v>
      </c>
      <c r="E2391" s="1" t="s">
        <v>9025</v>
      </c>
      <c r="F2391" s="1"/>
      <c r="G2391" s="1"/>
      <c r="H2391" s="1"/>
      <c r="I2391" s="1"/>
      <c r="J2391" s="1"/>
      <c r="K2391" s="1" t="s">
        <v>2306</v>
      </c>
    </row>
    <row r="2392" ht="14.25" customHeight="1">
      <c r="A2392" s="3" t="s">
        <v>1880</v>
      </c>
      <c r="B2392" s="1">
        <v>6.8</v>
      </c>
      <c r="C2392" s="1" t="s">
        <v>3238</v>
      </c>
      <c r="D2392" s="1" t="s">
        <v>17772</v>
      </c>
      <c r="E2392" s="1" t="s">
        <v>9025</v>
      </c>
      <c r="F2392" s="1"/>
      <c r="G2392" s="1"/>
      <c r="H2392" s="1"/>
      <c r="I2392" s="1"/>
      <c r="J2392" s="1"/>
      <c r="K2392" s="1" t="s">
        <v>4525</v>
      </c>
    </row>
    <row r="2393" ht="14.25" customHeight="1">
      <c r="A2393" s="3" t="s">
        <v>1880</v>
      </c>
      <c r="B2393" s="1">
        <v>8.4</v>
      </c>
      <c r="C2393" s="1" t="s">
        <v>3238</v>
      </c>
      <c r="D2393" s="1" t="s">
        <v>17772</v>
      </c>
      <c r="E2393" s="1" t="s">
        <v>9025</v>
      </c>
      <c r="F2393" s="1"/>
      <c r="G2393" s="1"/>
      <c r="H2393" s="1"/>
      <c r="I2393" s="1"/>
      <c r="J2393" s="1"/>
      <c r="K2393" s="1" t="s">
        <v>4626</v>
      </c>
    </row>
    <row r="2394" ht="14.25" customHeight="1">
      <c r="A2394" s="3" t="s">
        <v>1880</v>
      </c>
      <c r="B2394" s="1">
        <v>4.9</v>
      </c>
      <c r="C2394" s="1" t="s">
        <v>3238</v>
      </c>
      <c r="D2394" s="1" t="s">
        <v>17772</v>
      </c>
      <c r="E2394" s="1" t="s">
        <v>9025</v>
      </c>
      <c r="F2394" s="1"/>
      <c r="G2394" s="1"/>
      <c r="H2394" s="1"/>
      <c r="I2394" s="1"/>
      <c r="J2394" s="1"/>
      <c r="K2394" s="1" t="s">
        <v>6487</v>
      </c>
    </row>
    <row r="2395" ht="14.25" customHeight="1">
      <c r="A2395" s="3" t="s">
        <v>1880</v>
      </c>
      <c r="B2395" s="1">
        <v>7.1</v>
      </c>
      <c r="C2395" s="1" t="s">
        <v>3238</v>
      </c>
      <c r="D2395" s="1" t="s">
        <v>17772</v>
      </c>
      <c r="E2395" s="1" t="s">
        <v>9025</v>
      </c>
      <c r="F2395" s="1"/>
      <c r="G2395" s="1"/>
      <c r="H2395" s="1"/>
      <c r="I2395" s="1"/>
      <c r="J2395" s="1"/>
      <c r="K2395" s="1" t="s">
        <v>8098</v>
      </c>
    </row>
    <row r="2396" ht="14.25" customHeight="1">
      <c r="A2396" s="3" t="s">
        <v>1880</v>
      </c>
      <c r="B2396" s="1">
        <v>6.6</v>
      </c>
      <c r="C2396" s="1" t="s">
        <v>3238</v>
      </c>
      <c r="D2396" s="1" t="s">
        <v>17772</v>
      </c>
      <c r="E2396" s="1" t="s">
        <v>9025</v>
      </c>
      <c r="F2396" s="1"/>
      <c r="G2396" s="1"/>
      <c r="H2396" s="1"/>
      <c r="I2396" s="1"/>
      <c r="J2396" s="1"/>
      <c r="K2396" s="1" t="s">
        <v>8575</v>
      </c>
    </row>
    <row r="2397" ht="14.25" customHeight="1">
      <c r="A2397" s="3" t="s">
        <v>1880</v>
      </c>
      <c r="B2397" s="1">
        <v>6.1</v>
      </c>
      <c r="C2397" s="1" t="s">
        <v>3238</v>
      </c>
      <c r="D2397" s="1" t="s">
        <v>17772</v>
      </c>
      <c r="E2397" s="1" t="s">
        <v>9025</v>
      </c>
      <c r="F2397" s="1"/>
      <c r="G2397" s="1"/>
      <c r="H2397" s="1"/>
      <c r="I2397" s="1"/>
      <c r="J2397" s="1"/>
      <c r="K2397" s="1" t="s">
        <v>9140</v>
      </c>
    </row>
    <row r="2398" ht="14.25" customHeight="1">
      <c r="A2398" s="3" t="s">
        <v>1880</v>
      </c>
      <c r="B2398" s="1">
        <v>4.1</v>
      </c>
      <c r="C2398" s="1" t="s">
        <v>3238</v>
      </c>
      <c r="D2398" s="1" t="s">
        <v>17772</v>
      </c>
      <c r="E2398" s="1" t="s">
        <v>9025</v>
      </c>
      <c r="F2398" s="1"/>
      <c r="G2398" s="1"/>
      <c r="H2398" s="1"/>
      <c r="I2398" s="1"/>
      <c r="J2398" s="1"/>
      <c r="K2398" s="1" t="s">
        <v>8098</v>
      </c>
    </row>
    <row r="2399" ht="14.25" customHeight="1">
      <c r="A2399" s="3" t="s">
        <v>1880</v>
      </c>
      <c r="B2399" s="1">
        <v>5.8</v>
      </c>
      <c r="C2399" s="1" t="s">
        <v>3238</v>
      </c>
      <c r="D2399" s="1" t="s">
        <v>17772</v>
      </c>
      <c r="E2399" s="1" t="s">
        <v>9025</v>
      </c>
      <c r="F2399" s="1"/>
      <c r="G2399" s="1"/>
      <c r="H2399" s="1"/>
      <c r="I2399" s="1"/>
      <c r="J2399" s="1"/>
      <c r="K2399" s="1" t="s">
        <v>10970</v>
      </c>
    </row>
    <row r="2400" ht="14.25" customHeight="1">
      <c r="A2400" s="3" t="s">
        <v>1880</v>
      </c>
      <c r="B2400" s="1">
        <v>8.1</v>
      </c>
      <c r="C2400" s="1" t="s">
        <v>3238</v>
      </c>
      <c r="D2400" s="1" t="s">
        <v>17772</v>
      </c>
      <c r="E2400" s="1" t="s">
        <v>9025</v>
      </c>
      <c r="F2400" s="1"/>
      <c r="G2400" s="1"/>
      <c r="H2400" s="1"/>
      <c r="I2400" s="1"/>
      <c r="J2400" s="1"/>
      <c r="K2400" s="1" t="s">
        <v>12341</v>
      </c>
    </row>
    <row r="2401" ht="14.25" customHeight="1">
      <c r="A2401" s="3" t="s">
        <v>1880</v>
      </c>
      <c r="B2401" s="1">
        <v>7.6</v>
      </c>
      <c r="C2401" s="1" t="s">
        <v>3238</v>
      </c>
      <c r="D2401" s="1" t="s">
        <v>17772</v>
      </c>
      <c r="E2401" s="1" t="s">
        <v>9025</v>
      </c>
      <c r="F2401" s="1"/>
      <c r="G2401" s="1"/>
      <c r="H2401" s="1"/>
      <c r="I2401" s="1"/>
      <c r="J2401" s="1"/>
      <c r="K2401" s="1" t="s">
        <v>12894</v>
      </c>
    </row>
    <row r="2402" ht="14.25" customHeight="1">
      <c r="A2402" s="3" t="s">
        <v>1880</v>
      </c>
      <c r="B2402" s="1">
        <v>7.8</v>
      </c>
      <c r="C2402" s="1" t="s">
        <v>3238</v>
      </c>
      <c r="D2402" s="1" t="s">
        <v>17772</v>
      </c>
      <c r="E2402" s="1" t="s">
        <v>9025</v>
      </c>
      <c r="F2402" s="1"/>
      <c r="G2402" s="1"/>
      <c r="H2402" s="1"/>
      <c r="I2402" s="1"/>
      <c r="J2402" s="1"/>
      <c r="K2402" s="1" t="s">
        <v>13124</v>
      </c>
    </row>
    <row r="2403" ht="14.25" customHeight="1">
      <c r="A2403" s="3" t="s">
        <v>1880</v>
      </c>
      <c r="B2403" s="1">
        <v>4.6</v>
      </c>
      <c r="C2403" s="1" t="s">
        <v>3238</v>
      </c>
      <c r="D2403" s="1" t="s">
        <v>17772</v>
      </c>
      <c r="E2403" s="1" t="s">
        <v>9025</v>
      </c>
      <c r="F2403" s="1"/>
      <c r="G2403" s="1"/>
      <c r="H2403" s="1"/>
      <c r="I2403" s="1"/>
      <c r="J2403" s="1"/>
      <c r="K2403" s="1" t="s">
        <v>14836</v>
      </c>
    </row>
    <row r="2404" ht="14.25" customHeight="1">
      <c r="A2404" s="3" t="s">
        <v>1880</v>
      </c>
      <c r="B2404" s="1">
        <v>6.0</v>
      </c>
      <c r="C2404" s="1" t="s">
        <v>3238</v>
      </c>
      <c r="D2404" s="1" t="s">
        <v>17772</v>
      </c>
      <c r="E2404" s="1" t="s">
        <v>9025</v>
      </c>
      <c r="F2404" s="1"/>
      <c r="G2404" s="1"/>
      <c r="H2404" s="1"/>
      <c r="I2404" s="1"/>
      <c r="J2404" s="1"/>
      <c r="K2404" s="1" t="s">
        <v>17337</v>
      </c>
    </row>
    <row r="2405" ht="14.25" customHeight="1">
      <c r="A2405" s="3" t="s">
        <v>14487</v>
      </c>
      <c r="B2405" s="1">
        <v>7.0</v>
      </c>
      <c r="C2405" s="1" t="s">
        <v>3238</v>
      </c>
      <c r="D2405" s="1" t="s">
        <v>17761</v>
      </c>
      <c r="E2405" s="1" t="s">
        <v>9025</v>
      </c>
      <c r="F2405" s="1"/>
      <c r="G2405" s="1"/>
      <c r="H2405" s="1"/>
      <c r="I2405" s="1"/>
      <c r="J2405" s="1"/>
      <c r="K2405" s="1" t="s">
        <v>14486</v>
      </c>
    </row>
    <row r="2406" ht="14.25" customHeight="1">
      <c r="A2406" s="3" t="s">
        <v>6860</v>
      </c>
      <c r="B2406" s="1">
        <v>6.7</v>
      </c>
      <c r="C2406" s="1" t="s">
        <v>3238</v>
      </c>
      <c r="D2406" s="1" t="s">
        <v>17762</v>
      </c>
      <c r="E2406" s="1" t="s">
        <v>9025</v>
      </c>
      <c r="F2406" s="1"/>
      <c r="G2406" s="1"/>
      <c r="H2406" s="1"/>
      <c r="I2406" s="1"/>
      <c r="J2406" s="1"/>
      <c r="K2406" s="1" t="s">
        <v>6859</v>
      </c>
    </row>
    <row r="2407" ht="14.25" customHeight="1">
      <c r="A2407" s="3" t="s">
        <v>6860</v>
      </c>
      <c r="B2407" s="1">
        <v>6.4</v>
      </c>
      <c r="C2407" s="1" t="s">
        <v>3238</v>
      </c>
      <c r="D2407" s="1" t="s">
        <v>17762</v>
      </c>
      <c r="E2407" s="1" t="s">
        <v>9025</v>
      </c>
      <c r="F2407" s="1"/>
      <c r="G2407" s="1"/>
      <c r="H2407" s="1"/>
      <c r="I2407" s="1"/>
      <c r="J2407" s="1"/>
      <c r="K2407" s="1" t="s">
        <v>11371</v>
      </c>
    </row>
    <row r="2408" ht="14.25" customHeight="1">
      <c r="A2408" s="3" t="s">
        <v>6860</v>
      </c>
      <c r="B2408" s="1">
        <v>7.2</v>
      </c>
      <c r="C2408" s="1" t="s">
        <v>3238</v>
      </c>
      <c r="D2408" s="1" t="s">
        <v>17762</v>
      </c>
      <c r="E2408" s="1" t="s">
        <v>9025</v>
      </c>
      <c r="F2408" s="1"/>
      <c r="G2408" s="1"/>
      <c r="H2408" s="1"/>
      <c r="I2408" s="1"/>
      <c r="J2408" s="1"/>
      <c r="K2408" s="1" t="s">
        <v>12444</v>
      </c>
    </row>
    <row r="2409" ht="14.25" customHeight="1">
      <c r="A2409" s="3" t="s">
        <v>6860</v>
      </c>
      <c r="B2409" s="1">
        <v>7.4</v>
      </c>
      <c r="C2409" s="1" t="s">
        <v>3238</v>
      </c>
      <c r="D2409" s="1" t="s">
        <v>17762</v>
      </c>
      <c r="E2409" s="1" t="s">
        <v>9025</v>
      </c>
      <c r="F2409" s="1"/>
      <c r="G2409" s="1"/>
      <c r="H2409" s="1"/>
      <c r="I2409" s="1"/>
      <c r="J2409" s="1"/>
      <c r="K2409" s="1" t="s">
        <v>12882</v>
      </c>
    </row>
    <row r="2410" ht="14.25" customHeight="1">
      <c r="A2410" s="3" t="s">
        <v>6860</v>
      </c>
      <c r="B2410" s="1">
        <v>4.8</v>
      </c>
      <c r="C2410" s="1" t="s">
        <v>3238</v>
      </c>
      <c r="D2410" s="1" t="s">
        <v>17762</v>
      </c>
      <c r="E2410" s="1" t="s">
        <v>9025</v>
      </c>
      <c r="F2410" s="1"/>
      <c r="G2410" s="1"/>
      <c r="H2410" s="1"/>
      <c r="I2410" s="1"/>
      <c r="J2410" s="1"/>
      <c r="K2410" s="1" t="s">
        <v>12926</v>
      </c>
    </row>
    <row r="2411" ht="14.25" customHeight="1">
      <c r="A2411" s="3" t="s">
        <v>6860</v>
      </c>
      <c r="B2411" s="1">
        <v>4.0</v>
      </c>
      <c r="C2411" s="1" t="s">
        <v>3238</v>
      </c>
      <c r="D2411" s="1" t="s">
        <v>17762</v>
      </c>
      <c r="E2411" s="1" t="s">
        <v>9025</v>
      </c>
      <c r="F2411" s="1"/>
      <c r="G2411" s="1"/>
      <c r="H2411" s="1"/>
      <c r="I2411" s="1"/>
      <c r="J2411" s="1"/>
      <c r="K2411" s="1" t="s">
        <v>14579</v>
      </c>
    </row>
    <row r="2412" ht="14.25" customHeight="1">
      <c r="A2412" s="3" t="s">
        <v>6860</v>
      </c>
      <c r="B2412" s="1">
        <v>6.2</v>
      </c>
      <c r="C2412" s="1" t="s">
        <v>3238</v>
      </c>
      <c r="D2412" s="1" t="s">
        <v>17762</v>
      </c>
      <c r="E2412" s="1" t="s">
        <v>9025</v>
      </c>
      <c r="F2412" s="1"/>
      <c r="G2412" s="1"/>
      <c r="H2412" s="1"/>
      <c r="I2412" s="1"/>
      <c r="J2412" s="1"/>
      <c r="K2412" s="1" t="s">
        <v>16254</v>
      </c>
    </row>
    <row r="2413" ht="14.25" customHeight="1">
      <c r="A2413" s="3" t="s">
        <v>1758</v>
      </c>
      <c r="B2413" s="1">
        <v>7.7</v>
      </c>
      <c r="C2413" s="1" t="s">
        <v>1270</v>
      </c>
      <c r="D2413" s="1" t="s">
        <v>17764</v>
      </c>
      <c r="E2413" s="1" t="s">
        <v>9025</v>
      </c>
      <c r="F2413" s="1"/>
      <c r="G2413" s="1"/>
      <c r="H2413" s="1"/>
      <c r="I2413" s="1"/>
      <c r="J2413" s="1"/>
      <c r="K2413" s="1" t="s">
        <v>1757</v>
      </c>
    </row>
    <row r="2414" ht="14.25" customHeight="1">
      <c r="A2414" s="3" t="s">
        <v>15292</v>
      </c>
      <c r="B2414" s="1">
        <v>6.7</v>
      </c>
      <c r="C2414" s="1" t="s">
        <v>17763</v>
      </c>
      <c r="D2414" s="1" t="s">
        <v>17471</v>
      </c>
      <c r="E2414" s="1" t="s">
        <v>9025</v>
      </c>
      <c r="F2414" s="1"/>
      <c r="G2414" s="1"/>
      <c r="H2414" s="1"/>
      <c r="I2414" s="1"/>
      <c r="J2414" s="1"/>
      <c r="K2414" s="1" t="s">
        <v>15291</v>
      </c>
    </row>
    <row r="2415" ht="14.25" customHeight="1">
      <c r="A2415" s="3" t="s">
        <v>7147</v>
      </c>
      <c r="B2415" s="1">
        <v>7.9</v>
      </c>
      <c r="C2415" s="1" t="s">
        <v>3238</v>
      </c>
      <c r="D2415" s="1" t="s">
        <v>17471</v>
      </c>
      <c r="E2415" s="1" t="s">
        <v>9025</v>
      </c>
      <c r="F2415" s="1"/>
      <c r="G2415" s="1"/>
      <c r="H2415" s="1"/>
      <c r="I2415" s="1"/>
      <c r="J2415" s="1"/>
      <c r="K2415" s="1" t="s">
        <v>7146</v>
      </c>
    </row>
    <row r="2416" ht="14.25" customHeight="1">
      <c r="A2416" s="3" t="s">
        <v>7147</v>
      </c>
      <c r="B2416" s="1">
        <v>7.9</v>
      </c>
      <c r="C2416" s="1" t="s">
        <v>3238</v>
      </c>
      <c r="D2416" s="1" t="s">
        <v>17471</v>
      </c>
      <c r="E2416" s="1" t="s">
        <v>9025</v>
      </c>
      <c r="F2416" s="1"/>
      <c r="G2416" s="1"/>
      <c r="H2416" s="1"/>
      <c r="I2416" s="1"/>
      <c r="J2416" s="1"/>
      <c r="K2416" s="1" t="s">
        <v>9642</v>
      </c>
    </row>
    <row r="2417" ht="14.25" customHeight="1">
      <c r="A2417" s="3" t="s">
        <v>128</v>
      </c>
      <c r="B2417" s="1">
        <v>5.5</v>
      </c>
      <c r="C2417" s="1" t="s">
        <v>1270</v>
      </c>
      <c r="D2417" s="1" t="s">
        <v>917</v>
      </c>
      <c r="E2417" s="1" t="s">
        <v>14463</v>
      </c>
      <c r="F2417" s="1"/>
      <c r="G2417" s="1"/>
      <c r="H2417" s="1"/>
      <c r="I2417" s="1"/>
      <c r="J2417" s="1"/>
      <c r="K2417" s="1" t="s">
        <v>127</v>
      </c>
    </row>
    <row r="2418" ht="14.25" customHeight="1">
      <c r="A2418" s="3" t="s">
        <v>128</v>
      </c>
      <c r="B2418" s="1">
        <v>6.2</v>
      </c>
      <c r="C2418" s="1" t="s">
        <v>1270</v>
      </c>
      <c r="D2418" s="1" t="s">
        <v>917</v>
      </c>
      <c r="E2418" s="1" t="s">
        <v>14463</v>
      </c>
      <c r="F2418" s="1"/>
      <c r="G2418" s="1"/>
      <c r="H2418" s="1"/>
      <c r="I2418" s="1"/>
      <c r="J2418" s="1"/>
      <c r="K2418" s="1" t="s">
        <v>2642</v>
      </c>
    </row>
    <row r="2419" ht="14.25" customHeight="1">
      <c r="A2419" s="3" t="s">
        <v>128</v>
      </c>
      <c r="B2419" s="1">
        <v>5.1</v>
      </c>
      <c r="C2419" s="1" t="s">
        <v>1270</v>
      </c>
      <c r="D2419" s="1" t="s">
        <v>917</v>
      </c>
      <c r="E2419" s="1" t="s">
        <v>14463</v>
      </c>
      <c r="F2419" s="1"/>
      <c r="G2419" s="1"/>
      <c r="H2419" s="1"/>
      <c r="I2419" s="1"/>
      <c r="J2419" s="1"/>
      <c r="K2419" s="1" t="s">
        <v>2786</v>
      </c>
    </row>
    <row r="2420" ht="14.25" customHeight="1">
      <c r="A2420" s="3" t="s">
        <v>128</v>
      </c>
      <c r="B2420" s="1">
        <v>4.1</v>
      </c>
      <c r="C2420" s="1" t="s">
        <v>1270</v>
      </c>
      <c r="D2420" s="1" t="s">
        <v>917</v>
      </c>
      <c r="E2420" s="1" t="s">
        <v>14463</v>
      </c>
      <c r="F2420" s="1"/>
      <c r="G2420" s="1"/>
      <c r="H2420" s="1"/>
      <c r="I2420" s="1"/>
      <c r="J2420" s="1"/>
      <c r="K2420" s="1" t="s">
        <v>10837</v>
      </c>
    </row>
    <row r="2421" ht="14.25" customHeight="1">
      <c r="A2421" s="3" t="s">
        <v>9278</v>
      </c>
      <c r="B2421" s="1">
        <v>6.7</v>
      </c>
      <c r="C2421" s="1" t="s">
        <v>1270</v>
      </c>
      <c r="D2421" s="1" t="s">
        <v>3238</v>
      </c>
      <c r="E2421" s="1" t="s">
        <v>14463</v>
      </c>
      <c r="F2421" s="1"/>
      <c r="G2421" s="1"/>
      <c r="H2421" s="1"/>
      <c r="I2421" s="1"/>
      <c r="J2421" s="1"/>
      <c r="K2421" s="1" t="s">
        <v>9277</v>
      </c>
    </row>
    <row r="2422" ht="14.25" customHeight="1">
      <c r="A2422" s="3" t="s">
        <v>9278</v>
      </c>
      <c r="B2422" s="1">
        <v>4.7</v>
      </c>
      <c r="C2422" s="1" t="s">
        <v>1270</v>
      </c>
      <c r="D2422" s="1" t="s">
        <v>3238</v>
      </c>
      <c r="E2422" s="1" t="s">
        <v>14463</v>
      </c>
      <c r="F2422" s="1"/>
      <c r="G2422" s="1"/>
      <c r="H2422" s="1"/>
      <c r="I2422" s="1"/>
      <c r="J2422" s="1"/>
      <c r="K2422" s="1" t="s">
        <v>17558</v>
      </c>
    </row>
    <row r="2423" ht="14.25" customHeight="1">
      <c r="A2423" s="3" t="s">
        <v>5664</v>
      </c>
      <c r="B2423" s="1">
        <v>6.4</v>
      </c>
      <c r="C2423" s="1" t="s">
        <v>917</v>
      </c>
      <c r="D2423" s="1" t="s">
        <v>3238</v>
      </c>
      <c r="E2423" s="1" t="s">
        <v>14463</v>
      </c>
      <c r="F2423" s="1"/>
      <c r="G2423" s="1"/>
      <c r="H2423" s="1"/>
      <c r="I2423" s="1"/>
      <c r="J2423" s="1"/>
      <c r="K2423" s="1" t="s">
        <v>5663</v>
      </c>
    </row>
    <row r="2424" ht="14.25" customHeight="1">
      <c r="A2424" s="3" t="s">
        <v>5664</v>
      </c>
      <c r="B2424" s="1">
        <v>6.3</v>
      </c>
      <c r="C2424" s="1" t="s">
        <v>917</v>
      </c>
      <c r="D2424" s="1" t="s">
        <v>3238</v>
      </c>
      <c r="E2424" s="1" t="s">
        <v>14463</v>
      </c>
      <c r="F2424" s="1"/>
      <c r="G2424" s="1"/>
      <c r="H2424" s="1"/>
      <c r="I2424" s="1"/>
      <c r="J2424" s="1"/>
      <c r="K2424" s="1" t="s">
        <v>6825</v>
      </c>
    </row>
    <row r="2425" ht="14.25" customHeight="1">
      <c r="A2425" s="3" t="s">
        <v>5664</v>
      </c>
      <c r="B2425" s="1">
        <v>5.5</v>
      </c>
      <c r="C2425" s="1" t="s">
        <v>917</v>
      </c>
      <c r="D2425" s="1" t="s">
        <v>3238</v>
      </c>
      <c r="E2425" s="1" t="s">
        <v>14463</v>
      </c>
      <c r="F2425" s="1"/>
      <c r="G2425" s="1"/>
      <c r="H2425" s="1"/>
      <c r="I2425" s="1"/>
      <c r="J2425" s="1"/>
      <c r="K2425" s="1" t="s">
        <v>10527</v>
      </c>
    </row>
    <row r="2426" ht="14.25" customHeight="1">
      <c r="A2426" s="3" t="s">
        <v>10460</v>
      </c>
      <c r="B2426" s="1">
        <v>7.3</v>
      </c>
      <c r="C2426" s="1" t="s">
        <v>17763</v>
      </c>
      <c r="D2426" s="1" t="s">
        <v>3238</v>
      </c>
      <c r="E2426" s="1" t="s">
        <v>14463</v>
      </c>
      <c r="F2426" s="1"/>
      <c r="G2426" s="1"/>
      <c r="H2426" s="1"/>
      <c r="I2426" s="1"/>
      <c r="J2426" s="1"/>
      <c r="K2426" s="1" t="s">
        <v>10459</v>
      </c>
    </row>
    <row r="2427" ht="14.25" customHeight="1">
      <c r="A2427" s="3" t="s">
        <v>5809</v>
      </c>
      <c r="B2427" s="1">
        <v>6.3</v>
      </c>
      <c r="C2427" s="1" t="s">
        <v>1270</v>
      </c>
      <c r="D2427" s="1" t="s">
        <v>17759</v>
      </c>
      <c r="E2427" s="1" t="s">
        <v>14463</v>
      </c>
      <c r="F2427" s="1"/>
      <c r="G2427" s="1"/>
      <c r="H2427" s="1"/>
      <c r="I2427" s="1"/>
      <c r="J2427" s="1"/>
      <c r="K2427" s="1" t="s">
        <v>5808</v>
      </c>
    </row>
    <row r="2428" ht="14.25" customHeight="1">
      <c r="A2428" s="3" t="s">
        <v>3836</v>
      </c>
      <c r="B2428" s="1">
        <v>4.9</v>
      </c>
      <c r="C2428" s="1" t="s">
        <v>3238</v>
      </c>
      <c r="D2428" s="1" t="s">
        <v>17762</v>
      </c>
      <c r="E2428" s="1" t="s">
        <v>14463</v>
      </c>
      <c r="F2428" s="1"/>
      <c r="G2428" s="1"/>
      <c r="H2428" s="1"/>
      <c r="I2428" s="1"/>
      <c r="J2428" s="1"/>
      <c r="K2428" s="1" t="s">
        <v>3835</v>
      </c>
    </row>
    <row r="2429" ht="14.25" customHeight="1">
      <c r="A2429" s="3" t="s">
        <v>3836</v>
      </c>
      <c r="B2429" s="1">
        <v>7.6</v>
      </c>
      <c r="C2429" s="1" t="s">
        <v>3238</v>
      </c>
      <c r="D2429" s="1" t="s">
        <v>17762</v>
      </c>
      <c r="E2429" s="1" t="s">
        <v>14463</v>
      </c>
      <c r="F2429" s="1"/>
      <c r="G2429" s="1"/>
      <c r="H2429" s="1"/>
      <c r="I2429" s="1"/>
      <c r="J2429" s="1"/>
      <c r="K2429" s="1" t="s">
        <v>5573</v>
      </c>
    </row>
    <row r="2430" ht="14.25" customHeight="1">
      <c r="A2430" s="3" t="s">
        <v>3836</v>
      </c>
      <c r="B2430" s="1">
        <v>6.0</v>
      </c>
      <c r="C2430" s="1" t="s">
        <v>3238</v>
      </c>
      <c r="D2430" s="1" t="s">
        <v>17762</v>
      </c>
      <c r="E2430" s="1" t="s">
        <v>14463</v>
      </c>
      <c r="F2430" s="1"/>
      <c r="G2430" s="1"/>
      <c r="H2430" s="1"/>
      <c r="I2430" s="1"/>
      <c r="J2430" s="1"/>
      <c r="K2430" s="1" t="s">
        <v>8569</v>
      </c>
    </row>
    <row r="2431" ht="14.25" customHeight="1">
      <c r="A2431" s="3" t="s">
        <v>3836</v>
      </c>
      <c r="B2431" s="1">
        <v>6.2</v>
      </c>
      <c r="C2431" s="1" t="s">
        <v>3238</v>
      </c>
      <c r="D2431" s="1" t="s">
        <v>17762</v>
      </c>
      <c r="E2431" s="1" t="s">
        <v>14463</v>
      </c>
      <c r="F2431" s="1"/>
      <c r="G2431" s="1"/>
      <c r="H2431" s="1"/>
      <c r="I2431" s="1"/>
      <c r="J2431" s="1"/>
      <c r="K2431" s="1" t="s">
        <v>12433</v>
      </c>
    </row>
    <row r="2432" ht="14.25" customHeight="1">
      <c r="A2432" s="3" t="s">
        <v>3836</v>
      </c>
      <c r="B2432" s="1">
        <v>6.8</v>
      </c>
      <c r="C2432" s="1" t="s">
        <v>3238</v>
      </c>
      <c r="D2432" s="1" t="s">
        <v>17762</v>
      </c>
      <c r="E2432" s="1" t="s">
        <v>14463</v>
      </c>
      <c r="F2432" s="1"/>
      <c r="G2432" s="1"/>
      <c r="H2432" s="1"/>
      <c r="I2432" s="1"/>
      <c r="J2432" s="1"/>
      <c r="K2432" s="1" t="s">
        <v>12433</v>
      </c>
    </row>
    <row r="2433" ht="14.25" customHeight="1">
      <c r="A2433" s="3" t="s">
        <v>3836</v>
      </c>
      <c r="B2433" s="1">
        <v>4.5</v>
      </c>
      <c r="C2433" s="1" t="s">
        <v>3238</v>
      </c>
      <c r="D2433" s="1" t="s">
        <v>17762</v>
      </c>
      <c r="E2433" s="1" t="s">
        <v>14463</v>
      </c>
      <c r="F2433" s="1"/>
      <c r="G2433" s="1"/>
      <c r="H2433" s="1"/>
      <c r="I2433" s="1"/>
      <c r="J2433" s="1"/>
      <c r="K2433" s="1" t="s">
        <v>14676</v>
      </c>
    </row>
    <row r="2434" ht="14.25" customHeight="1">
      <c r="A2434" s="3" t="s">
        <v>7459</v>
      </c>
      <c r="B2434" s="1">
        <v>5.7</v>
      </c>
      <c r="C2434" s="1" t="s">
        <v>1270</v>
      </c>
      <c r="D2434" s="1" t="s">
        <v>17471</v>
      </c>
      <c r="E2434" s="1" t="s">
        <v>14463</v>
      </c>
      <c r="F2434" s="1"/>
      <c r="G2434" s="1"/>
      <c r="H2434" s="1"/>
      <c r="I2434" s="1"/>
      <c r="J2434" s="1"/>
      <c r="K2434" s="1" t="s">
        <v>7458</v>
      </c>
    </row>
    <row r="2435" ht="14.25" customHeight="1">
      <c r="A2435" s="3" t="s">
        <v>15661</v>
      </c>
      <c r="B2435" s="1">
        <v>4.6</v>
      </c>
      <c r="C2435" s="1" t="s">
        <v>917</v>
      </c>
      <c r="D2435" s="1" t="s">
        <v>9025</v>
      </c>
      <c r="E2435" s="1" t="s">
        <v>14463</v>
      </c>
      <c r="F2435" s="1"/>
      <c r="G2435" s="1"/>
      <c r="H2435" s="1"/>
      <c r="I2435" s="1"/>
      <c r="J2435" s="1"/>
      <c r="K2435" s="1" t="s">
        <v>15660</v>
      </c>
    </row>
    <row r="2436" ht="14.25" customHeight="1">
      <c r="A2436" s="3" t="s">
        <v>119</v>
      </c>
      <c r="B2436" s="1">
        <v>6.2</v>
      </c>
      <c r="C2436" s="1" t="s">
        <v>1270</v>
      </c>
      <c r="D2436" s="1" t="s">
        <v>917</v>
      </c>
      <c r="E2436" s="1"/>
      <c r="F2436" s="1"/>
      <c r="G2436" s="1"/>
      <c r="H2436" s="1"/>
      <c r="I2436" s="1"/>
      <c r="J2436" s="1"/>
      <c r="K2436" s="1" t="s">
        <v>118</v>
      </c>
    </row>
    <row r="2437" ht="14.25" customHeight="1">
      <c r="A2437" s="3" t="s">
        <v>119</v>
      </c>
      <c r="B2437" s="1">
        <v>7.0</v>
      </c>
      <c r="C2437" s="1" t="s">
        <v>1270</v>
      </c>
      <c r="D2437" s="1" t="s">
        <v>917</v>
      </c>
      <c r="E2437" s="1"/>
      <c r="F2437" s="1"/>
      <c r="G2437" s="1"/>
      <c r="H2437" s="1"/>
      <c r="I2437" s="1"/>
      <c r="J2437" s="1"/>
      <c r="K2437" s="1" t="s">
        <v>761</v>
      </c>
    </row>
    <row r="2438" ht="14.25" customHeight="1">
      <c r="A2438" s="3" t="s">
        <v>119</v>
      </c>
      <c r="B2438" s="1">
        <v>6.9</v>
      </c>
      <c r="C2438" s="1" t="s">
        <v>1270</v>
      </c>
      <c r="D2438" s="1" t="s">
        <v>917</v>
      </c>
      <c r="E2438" s="1"/>
      <c r="F2438" s="1"/>
      <c r="G2438" s="1"/>
      <c r="H2438" s="1"/>
      <c r="I2438" s="1"/>
      <c r="J2438" s="1"/>
      <c r="K2438" s="1" t="s">
        <v>1782</v>
      </c>
    </row>
    <row r="2439" ht="14.25" customHeight="1">
      <c r="A2439" s="3" t="s">
        <v>119</v>
      </c>
      <c r="B2439" s="1">
        <v>6.7</v>
      </c>
      <c r="C2439" s="1" t="s">
        <v>1270</v>
      </c>
      <c r="D2439" s="1" t="s">
        <v>917</v>
      </c>
      <c r="E2439" s="1"/>
      <c r="F2439" s="1"/>
      <c r="G2439" s="1"/>
      <c r="H2439" s="1"/>
      <c r="I2439" s="1"/>
      <c r="J2439" s="1"/>
      <c r="K2439" s="1" t="s">
        <v>1782</v>
      </c>
    </row>
    <row r="2440" ht="14.25" customHeight="1">
      <c r="A2440" s="3" t="s">
        <v>119</v>
      </c>
      <c r="B2440" s="1">
        <v>5.6</v>
      </c>
      <c r="C2440" s="1" t="s">
        <v>1270</v>
      </c>
      <c r="D2440" s="1" t="s">
        <v>917</v>
      </c>
      <c r="E2440" s="1"/>
      <c r="F2440" s="1"/>
      <c r="G2440" s="1"/>
      <c r="H2440" s="1"/>
      <c r="I2440" s="1"/>
      <c r="J2440" s="1"/>
      <c r="K2440" s="1" t="s">
        <v>6801</v>
      </c>
    </row>
    <row r="2441" ht="14.25" customHeight="1">
      <c r="A2441" s="3" t="s">
        <v>119</v>
      </c>
      <c r="B2441" s="1">
        <v>6.6</v>
      </c>
      <c r="C2441" s="1" t="s">
        <v>1270</v>
      </c>
      <c r="D2441" s="1" t="s">
        <v>917</v>
      </c>
      <c r="E2441" s="1"/>
      <c r="F2441" s="1"/>
      <c r="G2441" s="1"/>
      <c r="H2441" s="1"/>
      <c r="I2441" s="1"/>
      <c r="J2441" s="1"/>
      <c r="K2441" s="1" t="s">
        <v>6890</v>
      </c>
    </row>
    <row r="2442" ht="14.25" customHeight="1">
      <c r="A2442" s="3" t="s">
        <v>119</v>
      </c>
      <c r="B2442" s="1">
        <v>6.4</v>
      </c>
      <c r="C2442" s="1" t="s">
        <v>1270</v>
      </c>
      <c r="D2442" s="1" t="s">
        <v>917</v>
      </c>
      <c r="E2442" s="1"/>
      <c r="F2442" s="1"/>
      <c r="G2442" s="1"/>
      <c r="H2442" s="1"/>
      <c r="I2442" s="1"/>
      <c r="J2442" s="1"/>
      <c r="K2442" s="1" t="s">
        <v>8132</v>
      </c>
    </row>
    <row r="2443" ht="14.25" customHeight="1">
      <c r="A2443" s="3" t="s">
        <v>119</v>
      </c>
      <c r="B2443" s="1">
        <v>2.8</v>
      </c>
      <c r="C2443" s="1" t="s">
        <v>1270</v>
      </c>
      <c r="D2443" s="1" t="s">
        <v>917</v>
      </c>
      <c r="E2443" s="1"/>
      <c r="F2443" s="1"/>
      <c r="G2443" s="1"/>
      <c r="H2443" s="1"/>
      <c r="I2443" s="1"/>
      <c r="J2443" s="1"/>
      <c r="K2443" s="1" t="s">
        <v>8211</v>
      </c>
    </row>
    <row r="2444" ht="14.25" customHeight="1">
      <c r="A2444" s="3" t="s">
        <v>119</v>
      </c>
      <c r="B2444" s="1">
        <v>5.4</v>
      </c>
      <c r="C2444" s="1" t="s">
        <v>1270</v>
      </c>
      <c r="D2444" s="1" t="s">
        <v>917</v>
      </c>
      <c r="E2444" s="1"/>
      <c r="F2444" s="1"/>
      <c r="G2444" s="1"/>
      <c r="H2444" s="1"/>
      <c r="I2444" s="1"/>
      <c r="J2444" s="1"/>
      <c r="K2444" s="1" t="s">
        <v>9772</v>
      </c>
    </row>
    <row r="2445" ht="14.25" customHeight="1">
      <c r="A2445" s="3" t="s">
        <v>8329</v>
      </c>
      <c r="B2445" s="1">
        <v>5.0</v>
      </c>
      <c r="C2445" s="1" t="s">
        <v>917</v>
      </c>
      <c r="D2445" s="1" t="s">
        <v>17765</v>
      </c>
      <c r="E2445" s="1"/>
      <c r="F2445" s="1"/>
      <c r="G2445" s="1"/>
      <c r="H2445" s="1"/>
      <c r="I2445" s="1"/>
      <c r="J2445" s="1"/>
      <c r="K2445" s="1" t="s">
        <v>8328</v>
      </c>
    </row>
    <row r="2446" ht="14.25" customHeight="1">
      <c r="A2446" s="3" t="s">
        <v>2056</v>
      </c>
      <c r="B2446" s="1">
        <v>5.1</v>
      </c>
      <c r="C2446" s="1" t="s">
        <v>1270</v>
      </c>
      <c r="D2446" s="1" t="s">
        <v>1885</v>
      </c>
      <c r="E2446" s="1"/>
      <c r="F2446" s="1"/>
      <c r="G2446" s="1"/>
      <c r="H2446" s="1"/>
      <c r="I2446" s="1"/>
      <c r="J2446" s="1"/>
      <c r="K2446" s="1" t="s">
        <v>2055</v>
      </c>
    </row>
    <row r="2447" ht="14.25" customHeight="1">
      <c r="A2447" s="3" t="s">
        <v>2056</v>
      </c>
      <c r="B2447" s="1">
        <v>8.0</v>
      </c>
      <c r="C2447" s="1" t="s">
        <v>1270</v>
      </c>
      <c r="D2447" s="1" t="s">
        <v>1885</v>
      </c>
      <c r="E2447" s="1"/>
      <c r="F2447" s="1"/>
      <c r="G2447" s="1"/>
      <c r="H2447" s="1"/>
      <c r="I2447" s="1"/>
      <c r="J2447" s="1"/>
      <c r="K2447" s="1" t="s">
        <v>2094</v>
      </c>
    </row>
    <row r="2448" ht="14.25" customHeight="1">
      <c r="A2448" s="3" t="s">
        <v>2056</v>
      </c>
      <c r="B2448" s="1">
        <v>5.9</v>
      </c>
      <c r="C2448" s="1" t="s">
        <v>1270</v>
      </c>
      <c r="D2448" s="1" t="s">
        <v>1885</v>
      </c>
      <c r="E2448" s="1"/>
      <c r="F2448" s="1"/>
      <c r="G2448" s="1"/>
      <c r="H2448" s="1"/>
      <c r="I2448" s="1"/>
      <c r="J2448" s="1"/>
      <c r="K2448" s="1" t="s">
        <v>5097</v>
      </c>
    </row>
    <row r="2449" ht="14.25" customHeight="1">
      <c r="A2449" s="3" t="s">
        <v>2056</v>
      </c>
      <c r="B2449" s="1">
        <v>8.2</v>
      </c>
      <c r="C2449" s="1" t="s">
        <v>1270</v>
      </c>
      <c r="D2449" s="1" t="s">
        <v>1885</v>
      </c>
      <c r="E2449" s="1"/>
      <c r="F2449" s="1"/>
      <c r="G2449" s="1"/>
      <c r="H2449" s="1"/>
      <c r="I2449" s="1"/>
      <c r="J2449" s="1"/>
      <c r="K2449" s="1" t="s">
        <v>5961</v>
      </c>
    </row>
    <row r="2450" ht="14.25" customHeight="1">
      <c r="A2450" s="3" t="s">
        <v>2056</v>
      </c>
      <c r="B2450" s="1">
        <v>7.0</v>
      </c>
      <c r="C2450" s="1" t="s">
        <v>1270</v>
      </c>
      <c r="D2450" s="1" t="s">
        <v>1885</v>
      </c>
      <c r="E2450" s="1"/>
      <c r="F2450" s="1"/>
      <c r="G2450" s="1"/>
      <c r="H2450" s="1"/>
      <c r="I2450" s="1"/>
      <c r="J2450" s="1"/>
      <c r="K2450" s="1" t="s">
        <v>8300</v>
      </c>
    </row>
    <row r="2451" ht="14.25" customHeight="1">
      <c r="A2451" s="3" t="s">
        <v>2056</v>
      </c>
      <c r="B2451" s="1">
        <v>6.6</v>
      </c>
      <c r="C2451" s="1" t="s">
        <v>1270</v>
      </c>
      <c r="D2451" s="1" t="s">
        <v>1885</v>
      </c>
      <c r="E2451" s="1"/>
      <c r="F2451" s="1"/>
      <c r="G2451" s="1"/>
      <c r="H2451" s="1"/>
      <c r="I2451" s="1"/>
      <c r="J2451" s="1"/>
      <c r="K2451" s="1" t="s">
        <v>8870</v>
      </c>
    </row>
    <row r="2452" ht="14.25" customHeight="1">
      <c r="A2452" s="3" t="s">
        <v>2056</v>
      </c>
      <c r="B2452" s="1">
        <v>6.7</v>
      </c>
      <c r="C2452" s="1" t="s">
        <v>1270</v>
      </c>
      <c r="D2452" s="1" t="s">
        <v>1885</v>
      </c>
      <c r="E2452" s="1"/>
      <c r="F2452" s="1"/>
      <c r="G2452" s="1"/>
      <c r="H2452" s="1"/>
      <c r="I2452" s="1"/>
      <c r="J2452" s="1"/>
      <c r="K2452" s="1" t="s">
        <v>9983</v>
      </c>
    </row>
    <row r="2453" ht="14.25" customHeight="1">
      <c r="A2453" s="3" t="s">
        <v>2056</v>
      </c>
      <c r="B2453" s="1">
        <v>5.5</v>
      </c>
      <c r="C2453" s="1" t="s">
        <v>1270</v>
      </c>
      <c r="D2453" s="1" t="s">
        <v>1885</v>
      </c>
      <c r="E2453" s="1"/>
      <c r="F2453" s="1"/>
      <c r="G2453" s="1"/>
      <c r="H2453" s="1"/>
      <c r="I2453" s="1"/>
      <c r="J2453" s="1"/>
      <c r="K2453" s="1" t="s">
        <v>10755</v>
      </c>
    </row>
    <row r="2454" ht="14.25" customHeight="1">
      <c r="A2454" s="3" t="s">
        <v>2056</v>
      </c>
      <c r="B2454" s="1">
        <v>4.9</v>
      </c>
      <c r="C2454" s="1" t="s">
        <v>1270</v>
      </c>
      <c r="D2454" s="1" t="s">
        <v>1885</v>
      </c>
      <c r="E2454" s="1"/>
      <c r="F2454" s="1"/>
      <c r="G2454" s="1"/>
      <c r="H2454" s="1"/>
      <c r="I2454" s="1"/>
      <c r="J2454" s="1"/>
      <c r="K2454" s="1" t="s">
        <v>11686</v>
      </c>
    </row>
    <row r="2455" ht="14.25" customHeight="1">
      <c r="A2455" s="3" t="s">
        <v>2056</v>
      </c>
      <c r="B2455" s="1">
        <v>6.9</v>
      </c>
      <c r="C2455" s="1" t="s">
        <v>1270</v>
      </c>
      <c r="D2455" s="1" t="s">
        <v>1885</v>
      </c>
      <c r="E2455" s="1"/>
      <c r="F2455" s="1"/>
      <c r="G2455" s="1"/>
      <c r="H2455" s="1"/>
      <c r="I2455" s="1"/>
      <c r="J2455" s="1"/>
      <c r="K2455" s="1" t="s">
        <v>13320</v>
      </c>
    </row>
    <row r="2456" ht="14.25" customHeight="1">
      <c r="A2456" s="3" t="s">
        <v>2056</v>
      </c>
      <c r="B2456" s="1">
        <v>5.6</v>
      </c>
      <c r="C2456" s="1" t="s">
        <v>1270</v>
      </c>
      <c r="D2456" s="1" t="s">
        <v>1885</v>
      </c>
      <c r="E2456" s="1"/>
      <c r="F2456" s="1"/>
      <c r="G2456" s="1"/>
      <c r="H2456" s="1"/>
      <c r="I2456" s="1"/>
      <c r="J2456" s="1"/>
      <c r="K2456" s="1" t="s">
        <v>14161</v>
      </c>
    </row>
    <row r="2457" ht="14.25" customHeight="1">
      <c r="A2457" s="3" t="s">
        <v>2056</v>
      </c>
      <c r="B2457" s="1">
        <v>8.0</v>
      </c>
      <c r="C2457" s="1" t="s">
        <v>1270</v>
      </c>
      <c r="D2457" s="1" t="s">
        <v>1885</v>
      </c>
      <c r="E2457" s="1"/>
      <c r="F2457" s="1"/>
      <c r="G2457" s="1"/>
      <c r="H2457" s="1"/>
      <c r="I2457" s="1"/>
      <c r="J2457" s="1"/>
      <c r="K2457" s="1" t="s">
        <v>16292</v>
      </c>
    </row>
    <row r="2458" ht="14.25" customHeight="1">
      <c r="A2458" s="3" t="s">
        <v>4008</v>
      </c>
      <c r="B2458" s="1">
        <v>5.3</v>
      </c>
      <c r="C2458" s="1" t="s">
        <v>917</v>
      </c>
      <c r="D2458" s="1" t="s">
        <v>1885</v>
      </c>
      <c r="E2458" s="1"/>
      <c r="F2458" s="1"/>
      <c r="G2458" s="1"/>
      <c r="H2458" s="1"/>
      <c r="I2458" s="1"/>
      <c r="J2458" s="1"/>
      <c r="K2458" s="1" t="s">
        <v>4007</v>
      </c>
    </row>
    <row r="2459" ht="14.25" customHeight="1">
      <c r="A2459" s="3" t="s">
        <v>4008</v>
      </c>
      <c r="B2459" s="1">
        <v>6.2</v>
      </c>
      <c r="C2459" s="1" t="s">
        <v>917</v>
      </c>
      <c r="D2459" s="1" t="s">
        <v>1885</v>
      </c>
      <c r="E2459" s="1"/>
      <c r="F2459" s="1"/>
      <c r="G2459" s="1"/>
      <c r="H2459" s="1"/>
      <c r="I2459" s="1"/>
      <c r="J2459" s="1"/>
      <c r="K2459" s="1" t="s">
        <v>5236</v>
      </c>
    </row>
    <row r="2460" ht="14.25" customHeight="1">
      <c r="A2460" s="3" t="s">
        <v>4008</v>
      </c>
      <c r="B2460" s="1">
        <v>5.3</v>
      </c>
      <c r="C2460" s="1" t="s">
        <v>917</v>
      </c>
      <c r="D2460" s="1" t="s">
        <v>1885</v>
      </c>
      <c r="E2460" s="1"/>
      <c r="F2460" s="1"/>
      <c r="G2460" s="1"/>
      <c r="H2460" s="1"/>
      <c r="I2460" s="1"/>
      <c r="J2460" s="1"/>
      <c r="K2460" s="1" t="s">
        <v>7555</v>
      </c>
    </row>
    <row r="2461" ht="14.25" customHeight="1">
      <c r="A2461" s="3" t="s">
        <v>4008</v>
      </c>
      <c r="B2461" s="1">
        <v>6.6</v>
      </c>
      <c r="C2461" s="1" t="s">
        <v>917</v>
      </c>
      <c r="D2461" s="1" t="s">
        <v>1885</v>
      </c>
      <c r="E2461" s="1"/>
      <c r="F2461" s="1"/>
      <c r="G2461" s="1"/>
      <c r="H2461" s="1"/>
      <c r="I2461" s="1"/>
      <c r="J2461" s="1"/>
      <c r="K2461" s="1" t="s">
        <v>7608</v>
      </c>
    </row>
    <row r="2462" ht="14.25" customHeight="1">
      <c r="A2462" s="3" t="s">
        <v>4008</v>
      </c>
      <c r="B2462" s="1">
        <v>7.2</v>
      </c>
      <c r="C2462" s="1" t="s">
        <v>917</v>
      </c>
      <c r="D2462" s="1" t="s">
        <v>1885</v>
      </c>
      <c r="E2462" s="1"/>
      <c r="F2462" s="1"/>
      <c r="G2462" s="1"/>
      <c r="H2462" s="1"/>
      <c r="I2462" s="1"/>
      <c r="J2462" s="1"/>
      <c r="K2462" s="1" t="s">
        <v>9686</v>
      </c>
    </row>
    <row r="2463" ht="14.25" customHeight="1">
      <c r="A2463" s="3" t="s">
        <v>4008</v>
      </c>
      <c r="B2463" s="1">
        <v>4.6</v>
      </c>
      <c r="C2463" s="1" t="s">
        <v>917</v>
      </c>
      <c r="D2463" s="1" t="s">
        <v>1885</v>
      </c>
      <c r="E2463" s="1"/>
      <c r="F2463" s="1"/>
      <c r="G2463" s="1"/>
      <c r="H2463" s="1"/>
      <c r="I2463" s="1"/>
      <c r="J2463" s="1"/>
      <c r="K2463" s="1" t="s">
        <v>9926</v>
      </c>
    </row>
    <row r="2464" ht="14.25" customHeight="1">
      <c r="A2464" s="3" t="s">
        <v>4008</v>
      </c>
      <c r="B2464" s="1">
        <v>7.5</v>
      </c>
      <c r="C2464" s="1" t="s">
        <v>917</v>
      </c>
      <c r="D2464" s="1" t="s">
        <v>1885</v>
      </c>
      <c r="E2464" s="1"/>
      <c r="F2464" s="1"/>
      <c r="G2464" s="1"/>
      <c r="H2464" s="1"/>
      <c r="I2464" s="1"/>
      <c r="J2464" s="1"/>
      <c r="K2464" s="1" t="s">
        <v>10019</v>
      </c>
    </row>
    <row r="2465" ht="14.25" customHeight="1">
      <c r="A2465" s="3" t="s">
        <v>4008</v>
      </c>
      <c r="B2465" s="1">
        <v>6.5</v>
      </c>
      <c r="C2465" s="1" t="s">
        <v>917</v>
      </c>
      <c r="D2465" s="1" t="s">
        <v>1885</v>
      </c>
      <c r="E2465" s="1"/>
      <c r="F2465" s="1"/>
      <c r="G2465" s="1"/>
      <c r="H2465" s="1"/>
      <c r="I2465" s="1"/>
      <c r="J2465" s="1"/>
      <c r="K2465" s="1" t="s">
        <v>10379</v>
      </c>
    </row>
    <row r="2466" ht="14.25" customHeight="1">
      <c r="A2466" s="3" t="s">
        <v>4008</v>
      </c>
      <c r="B2466" s="1">
        <v>7.6</v>
      </c>
      <c r="C2466" s="1" t="s">
        <v>917</v>
      </c>
      <c r="D2466" s="1" t="s">
        <v>1885</v>
      </c>
      <c r="E2466" s="1"/>
      <c r="F2466" s="1"/>
      <c r="G2466" s="1"/>
      <c r="H2466" s="1"/>
      <c r="I2466" s="1"/>
      <c r="J2466" s="1"/>
      <c r="K2466" s="1" t="s">
        <v>10861</v>
      </c>
    </row>
    <row r="2467" ht="14.25" customHeight="1">
      <c r="A2467" s="3" t="s">
        <v>4008</v>
      </c>
      <c r="B2467" s="1">
        <v>6.2</v>
      </c>
      <c r="C2467" s="1" t="s">
        <v>917</v>
      </c>
      <c r="D2467" s="1" t="s">
        <v>1885</v>
      </c>
      <c r="E2467" s="1"/>
      <c r="F2467" s="1"/>
      <c r="G2467" s="1"/>
      <c r="H2467" s="1"/>
      <c r="I2467" s="1"/>
      <c r="J2467" s="1"/>
      <c r="K2467" s="1" t="s">
        <v>11469</v>
      </c>
    </row>
    <row r="2468" ht="14.25" customHeight="1">
      <c r="A2468" s="3" t="s">
        <v>4008</v>
      </c>
      <c r="B2468" s="1">
        <v>8.0</v>
      </c>
      <c r="C2468" s="1" t="s">
        <v>917</v>
      </c>
      <c r="D2468" s="1" t="s">
        <v>1885</v>
      </c>
      <c r="E2468" s="1"/>
      <c r="F2468" s="1"/>
      <c r="G2468" s="1"/>
      <c r="H2468" s="1"/>
      <c r="I2468" s="1"/>
      <c r="J2468" s="1"/>
      <c r="K2468" s="1" t="s">
        <v>12113</v>
      </c>
    </row>
    <row r="2469" ht="14.25" customHeight="1">
      <c r="A2469" s="3" t="s">
        <v>4008</v>
      </c>
      <c r="B2469" s="1">
        <v>6.3</v>
      </c>
      <c r="C2469" s="1" t="s">
        <v>917</v>
      </c>
      <c r="D2469" s="1" t="s">
        <v>1885</v>
      </c>
      <c r="E2469" s="1"/>
      <c r="F2469" s="1"/>
      <c r="G2469" s="1"/>
      <c r="H2469" s="1"/>
      <c r="I2469" s="1"/>
      <c r="J2469" s="1"/>
      <c r="K2469" s="1" t="s">
        <v>12612</v>
      </c>
    </row>
    <row r="2470" ht="14.25" customHeight="1">
      <c r="A2470" s="3" t="s">
        <v>4008</v>
      </c>
      <c r="B2470" s="1">
        <v>7.2</v>
      </c>
      <c r="C2470" s="1" t="s">
        <v>917</v>
      </c>
      <c r="D2470" s="1" t="s">
        <v>1885</v>
      </c>
      <c r="E2470" s="1"/>
      <c r="F2470" s="1"/>
      <c r="G2470" s="1"/>
      <c r="H2470" s="1"/>
      <c r="I2470" s="1"/>
      <c r="J2470" s="1"/>
      <c r="K2470" s="1" t="s">
        <v>13753</v>
      </c>
    </row>
    <row r="2471" ht="14.25" customHeight="1">
      <c r="A2471" s="3" t="s">
        <v>4008</v>
      </c>
      <c r="B2471" s="1">
        <v>6.7</v>
      </c>
      <c r="C2471" s="1" t="s">
        <v>917</v>
      </c>
      <c r="D2471" s="1" t="s">
        <v>1885</v>
      </c>
      <c r="E2471" s="1"/>
      <c r="F2471" s="1"/>
      <c r="G2471" s="1"/>
      <c r="H2471" s="1"/>
      <c r="I2471" s="1"/>
      <c r="J2471" s="1"/>
      <c r="K2471" s="1" t="s">
        <v>13841</v>
      </c>
    </row>
    <row r="2472" ht="14.25" customHeight="1">
      <c r="A2472" s="3" t="s">
        <v>4304</v>
      </c>
      <c r="B2472" s="1">
        <v>5.3</v>
      </c>
      <c r="C2472" s="1" t="s">
        <v>1270</v>
      </c>
      <c r="D2472" s="1" t="s">
        <v>17763</v>
      </c>
      <c r="E2472" s="1"/>
      <c r="F2472" s="1"/>
      <c r="G2472" s="1"/>
      <c r="H2472" s="1"/>
      <c r="I2472" s="1"/>
      <c r="J2472" s="1"/>
      <c r="K2472" s="1" t="s">
        <v>4303</v>
      </c>
    </row>
    <row r="2473" ht="14.25" customHeight="1">
      <c r="A2473" s="3" t="s">
        <v>4304</v>
      </c>
      <c r="B2473" s="1">
        <v>6.3</v>
      </c>
      <c r="C2473" s="1" t="s">
        <v>1270</v>
      </c>
      <c r="D2473" s="1" t="s">
        <v>17763</v>
      </c>
      <c r="E2473" s="1"/>
      <c r="F2473" s="1"/>
      <c r="G2473" s="1"/>
      <c r="H2473" s="1"/>
      <c r="I2473" s="1"/>
      <c r="J2473" s="1"/>
      <c r="K2473" s="1" t="s">
        <v>11263</v>
      </c>
    </row>
    <row r="2474" ht="14.25" customHeight="1">
      <c r="A2474" s="3" t="s">
        <v>972</v>
      </c>
      <c r="B2474" s="1">
        <v>6.5</v>
      </c>
      <c r="C2474" s="1" t="s">
        <v>1885</v>
      </c>
      <c r="D2474" s="1" t="s">
        <v>17763</v>
      </c>
      <c r="E2474" s="1"/>
      <c r="F2474" s="1"/>
      <c r="G2474" s="1"/>
      <c r="H2474" s="1"/>
      <c r="I2474" s="1"/>
      <c r="J2474" s="1"/>
      <c r="K2474" s="1" t="s">
        <v>971</v>
      </c>
    </row>
    <row r="2475" ht="14.25" customHeight="1">
      <c r="A2475" s="3" t="s">
        <v>972</v>
      </c>
      <c r="B2475" s="1">
        <v>8.3</v>
      </c>
      <c r="C2475" s="1" t="s">
        <v>1885</v>
      </c>
      <c r="D2475" s="1" t="s">
        <v>17763</v>
      </c>
      <c r="E2475" s="1"/>
      <c r="F2475" s="1"/>
      <c r="G2475" s="1"/>
      <c r="H2475" s="1"/>
      <c r="I2475" s="1"/>
      <c r="J2475" s="1"/>
      <c r="K2475" s="1" t="s">
        <v>3606</v>
      </c>
    </row>
    <row r="2476" ht="14.25" customHeight="1">
      <c r="A2476" s="3" t="s">
        <v>972</v>
      </c>
      <c r="B2476" s="1">
        <v>7.2</v>
      </c>
      <c r="C2476" s="1" t="s">
        <v>1885</v>
      </c>
      <c r="D2476" s="1" t="s">
        <v>17763</v>
      </c>
      <c r="E2476" s="1"/>
      <c r="F2476" s="1"/>
      <c r="G2476" s="1"/>
      <c r="H2476" s="1"/>
      <c r="I2476" s="1"/>
      <c r="J2476" s="1"/>
      <c r="K2476" s="1" t="s">
        <v>3681</v>
      </c>
    </row>
    <row r="2477" ht="14.25" customHeight="1">
      <c r="A2477" s="3" t="s">
        <v>972</v>
      </c>
      <c r="B2477" s="1">
        <v>6.8</v>
      </c>
      <c r="C2477" s="1" t="s">
        <v>1885</v>
      </c>
      <c r="D2477" s="1" t="s">
        <v>17763</v>
      </c>
      <c r="E2477" s="1"/>
      <c r="F2477" s="1"/>
      <c r="G2477" s="1"/>
      <c r="H2477" s="1"/>
      <c r="I2477" s="1"/>
      <c r="J2477" s="1"/>
      <c r="K2477" s="1" t="s">
        <v>3896</v>
      </c>
    </row>
    <row r="2478" ht="14.25" customHeight="1">
      <c r="A2478" s="3" t="s">
        <v>972</v>
      </c>
      <c r="B2478" s="1">
        <v>6.4</v>
      </c>
      <c r="C2478" s="1" t="s">
        <v>1885</v>
      </c>
      <c r="D2478" s="1" t="s">
        <v>17763</v>
      </c>
      <c r="E2478" s="1"/>
      <c r="F2478" s="1"/>
      <c r="G2478" s="1"/>
      <c r="H2478" s="1"/>
      <c r="I2478" s="1"/>
      <c r="J2478" s="1"/>
      <c r="K2478" s="1" t="s">
        <v>4061</v>
      </c>
    </row>
    <row r="2479" ht="14.25" customHeight="1">
      <c r="A2479" s="3" t="s">
        <v>972</v>
      </c>
      <c r="B2479" s="1">
        <v>6.9</v>
      </c>
      <c r="C2479" s="1" t="s">
        <v>1885</v>
      </c>
      <c r="D2479" s="1" t="s">
        <v>17763</v>
      </c>
      <c r="E2479" s="1"/>
      <c r="F2479" s="1"/>
      <c r="G2479" s="1"/>
      <c r="H2479" s="1"/>
      <c r="I2479" s="1"/>
      <c r="J2479" s="1"/>
      <c r="K2479" s="1" t="s">
        <v>5175</v>
      </c>
    </row>
    <row r="2480" ht="14.25" customHeight="1">
      <c r="A2480" s="3" t="s">
        <v>972</v>
      </c>
      <c r="B2480" s="1">
        <v>6.2</v>
      </c>
      <c r="C2480" s="1" t="s">
        <v>1885</v>
      </c>
      <c r="D2480" s="1" t="s">
        <v>17763</v>
      </c>
      <c r="E2480" s="1"/>
      <c r="F2480" s="1"/>
      <c r="G2480" s="1"/>
      <c r="H2480" s="1"/>
      <c r="I2480" s="1"/>
      <c r="J2480" s="1"/>
      <c r="K2480" s="1" t="s">
        <v>5934</v>
      </c>
    </row>
    <row r="2481" ht="14.25" customHeight="1">
      <c r="A2481" s="3" t="s">
        <v>972</v>
      </c>
      <c r="B2481" s="1">
        <v>6.1</v>
      </c>
      <c r="C2481" s="1" t="s">
        <v>1885</v>
      </c>
      <c r="D2481" s="1" t="s">
        <v>17763</v>
      </c>
      <c r="E2481" s="1"/>
      <c r="F2481" s="1"/>
      <c r="G2481" s="1"/>
      <c r="H2481" s="1"/>
      <c r="I2481" s="1"/>
      <c r="J2481" s="1"/>
      <c r="K2481" s="1" t="s">
        <v>5998</v>
      </c>
    </row>
    <row r="2482" ht="14.25" customHeight="1">
      <c r="A2482" s="3" t="s">
        <v>972</v>
      </c>
      <c r="B2482" s="1">
        <v>5.1</v>
      </c>
      <c r="C2482" s="1" t="s">
        <v>1885</v>
      </c>
      <c r="D2482" s="1" t="s">
        <v>17763</v>
      </c>
      <c r="E2482" s="1"/>
      <c r="F2482" s="1"/>
      <c r="G2482" s="1"/>
      <c r="H2482" s="1"/>
      <c r="I2482" s="1"/>
      <c r="J2482" s="1"/>
      <c r="K2482" s="1" t="s">
        <v>6062</v>
      </c>
    </row>
    <row r="2483" ht="14.25" customHeight="1">
      <c r="A2483" s="3" t="s">
        <v>972</v>
      </c>
      <c r="B2483" s="1">
        <v>4.5</v>
      </c>
      <c r="C2483" s="1" t="s">
        <v>1885</v>
      </c>
      <c r="D2483" s="1" t="s">
        <v>17763</v>
      </c>
      <c r="E2483" s="1"/>
      <c r="F2483" s="1"/>
      <c r="G2483" s="1"/>
      <c r="H2483" s="1"/>
      <c r="I2483" s="1"/>
      <c r="J2483" s="1"/>
      <c r="K2483" s="1" t="s">
        <v>6722</v>
      </c>
    </row>
    <row r="2484" ht="14.25" customHeight="1">
      <c r="A2484" s="3" t="s">
        <v>972</v>
      </c>
      <c r="B2484" s="1">
        <v>5.9</v>
      </c>
      <c r="C2484" s="1" t="s">
        <v>1885</v>
      </c>
      <c r="D2484" s="1" t="s">
        <v>17763</v>
      </c>
      <c r="E2484" s="1"/>
      <c r="F2484" s="1"/>
      <c r="G2484" s="1"/>
      <c r="H2484" s="1"/>
      <c r="I2484" s="1"/>
      <c r="J2484" s="1"/>
      <c r="K2484" s="1" t="s">
        <v>6821</v>
      </c>
    </row>
    <row r="2485" ht="14.25" customHeight="1">
      <c r="A2485" s="3" t="s">
        <v>972</v>
      </c>
      <c r="B2485" s="1">
        <v>8.1</v>
      </c>
      <c r="C2485" s="1" t="s">
        <v>1885</v>
      </c>
      <c r="D2485" s="1" t="s">
        <v>17763</v>
      </c>
      <c r="E2485" s="1"/>
      <c r="F2485" s="1"/>
      <c r="G2485" s="1"/>
      <c r="H2485" s="1"/>
      <c r="I2485" s="1"/>
      <c r="J2485" s="1"/>
      <c r="K2485" s="1" t="s">
        <v>6839</v>
      </c>
    </row>
    <row r="2486" ht="14.25" customHeight="1">
      <c r="A2486" s="3" t="s">
        <v>972</v>
      </c>
      <c r="B2486" s="1">
        <v>5.7</v>
      </c>
      <c r="C2486" s="1" t="s">
        <v>1885</v>
      </c>
      <c r="D2486" s="1" t="s">
        <v>17763</v>
      </c>
      <c r="E2486" s="1"/>
      <c r="F2486" s="1"/>
      <c r="G2486" s="1"/>
      <c r="H2486" s="1"/>
      <c r="I2486" s="1"/>
      <c r="J2486" s="1"/>
      <c r="K2486" s="1" t="s">
        <v>7639</v>
      </c>
    </row>
    <row r="2487" ht="14.25" customHeight="1">
      <c r="A2487" s="3" t="s">
        <v>972</v>
      </c>
      <c r="B2487" s="1">
        <v>6.8</v>
      </c>
      <c r="C2487" s="1" t="s">
        <v>1885</v>
      </c>
      <c r="D2487" s="1" t="s">
        <v>17763</v>
      </c>
      <c r="E2487" s="1"/>
      <c r="F2487" s="1"/>
      <c r="G2487" s="1"/>
      <c r="H2487" s="1"/>
      <c r="I2487" s="1"/>
      <c r="J2487" s="1"/>
      <c r="K2487" s="1" t="s">
        <v>7761</v>
      </c>
    </row>
    <row r="2488" ht="14.25" customHeight="1">
      <c r="A2488" s="3" t="s">
        <v>972</v>
      </c>
      <c r="B2488" s="1">
        <v>7.5</v>
      </c>
      <c r="C2488" s="1" t="s">
        <v>1885</v>
      </c>
      <c r="D2488" s="1" t="s">
        <v>17763</v>
      </c>
      <c r="E2488" s="1"/>
      <c r="F2488" s="1"/>
      <c r="G2488" s="1"/>
      <c r="H2488" s="1"/>
      <c r="I2488" s="1"/>
      <c r="J2488" s="1"/>
      <c r="K2488" s="1" t="s">
        <v>7892</v>
      </c>
    </row>
    <row r="2489" ht="14.25" customHeight="1">
      <c r="A2489" s="3" t="s">
        <v>972</v>
      </c>
      <c r="B2489" s="1">
        <v>8.3</v>
      </c>
      <c r="C2489" s="1" t="s">
        <v>1885</v>
      </c>
      <c r="D2489" s="1" t="s">
        <v>17763</v>
      </c>
      <c r="E2489" s="1"/>
      <c r="F2489" s="1"/>
      <c r="G2489" s="1"/>
      <c r="H2489" s="1"/>
      <c r="I2489" s="1"/>
      <c r="J2489" s="1"/>
      <c r="K2489" s="1" t="s">
        <v>9095</v>
      </c>
    </row>
    <row r="2490" ht="14.25" customHeight="1">
      <c r="A2490" s="3" t="s">
        <v>972</v>
      </c>
      <c r="B2490" s="1">
        <v>7.4</v>
      </c>
      <c r="C2490" s="1" t="s">
        <v>1885</v>
      </c>
      <c r="D2490" s="1" t="s">
        <v>17763</v>
      </c>
      <c r="E2490" s="1"/>
      <c r="F2490" s="1"/>
      <c r="G2490" s="1"/>
      <c r="H2490" s="1"/>
      <c r="I2490" s="1"/>
      <c r="J2490" s="1"/>
      <c r="K2490" s="1" t="s">
        <v>9207</v>
      </c>
    </row>
    <row r="2491" ht="14.25" customHeight="1">
      <c r="A2491" s="3" t="s">
        <v>972</v>
      </c>
      <c r="B2491" s="1">
        <v>8.0</v>
      </c>
      <c r="C2491" s="1" t="s">
        <v>1885</v>
      </c>
      <c r="D2491" s="1" t="s">
        <v>17763</v>
      </c>
      <c r="E2491" s="1"/>
      <c r="F2491" s="1"/>
      <c r="G2491" s="1"/>
      <c r="H2491" s="1"/>
      <c r="I2491" s="1"/>
      <c r="J2491" s="1"/>
      <c r="K2491" s="1" t="s">
        <v>9284</v>
      </c>
    </row>
    <row r="2492" ht="14.25" customHeight="1">
      <c r="A2492" s="3" t="s">
        <v>972</v>
      </c>
      <c r="B2492" s="1">
        <v>6.9</v>
      </c>
      <c r="C2492" s="1" t="s">
        <v>1885</v>
      </c>
      <c r="D2492" s="1" t="s">
        <v>17763</v>
      </c>
      <c r="E2492" s="1"/>
      <c r="F2492" s="1"/>
      <c r="G2492" s="1"/>
      <c r="H2492" s="1"/>
      <c r="I2492" s="1"/>
      <c r="J2492" s="1"/>
      <c r="K2492" s="1" t="s">
        <v>9396</v>
      </c>
    </row>
    <row r="2493" ht="14.25" customHeight="1">
      <c r="A2493" s="3" t="s">
        <v>972</v>
      </c>
      <c r="B2493" s="1">
        <v>6.9</v>
      </c>
      <c r="C2493" s="1" t="s">
        <v>1885</v>
      </c>
      <c r="D2493" s="1" t="s">
        <v>17763</v>
      </c>
      <c r="E2493" s="1"/>
      <c r="F2493" s="1"/>
      <c r="G2493" s="1"/>
      <c r="H2493" s="1"/>
      <c r="I2493" s="1"/>
      <c r="J2493" s="1"/>
      <c r="K2493" s="1" t="s">
        <v>9437</v>
      </c>
    </row>
    <row r="2494" ht="14.25" customHeight="1">
      <c r="A2494" s="3" t="s">
        <v>972</v>
      </c>
      <c r="B2494" s="1">
        <v>5.5</v>
      </c>
      <c r="C2494" s="1" t="s">
        <v>1885</v>
      </c>
      <c r="D2494" s="1" t="s">
        <v>17763</v>
      </c>
      <c r="E2494" s="1"/>
      <c r="F2494" s="1"/>
      <c r="G2494" s="1"/>
      <c r="H2494" s="1"/>
      <c r="I2494" s="1"/>
      <c r="J2494" s="1"/>
      <c r="K2494" s="1" t="s">
        <v>9840</v>
      </c>
    </row>
    <row r="2495" ht="14.25" customHeight="1">
      <c r="A2495" s="3" t="s">
        <v>972</v>
      </c>
      <c r="B2495" s="1">
        <v>7.2</v>
      </c>
      <c r="C2495" s="1" t="s">
        <v>1885</v>
      </c>
      <c r="D2495" s="1" t="s">
        <v>17763</v>
      </c>
      <c r="E2495" s="1"/>
      <c r="F2495" s="1"/>
      <c r="G2495" s="1"/>
      <c r="H2495" s="1"/>
      <c r="I2495" s="1"/>
      <c r="J2495" s="1"/>
      <c r="K2495" s="1" t="s">
        <v>10243</v>
      </c>
    </row>
    <row r="2496" ht="14.25" customHeight="1">
      <c r="A2496" s="3" t="s">
        <v>972</v>
      </c>
      <c r="B2496" s="1">
        <v>6.9</v>
      </c>
      <c r="C2496" s="1" t="s">
        <v>1885</v>
      </c>
      <c r="D2496" s="1" t="s">
        <v>17763</v>
      </c>
      <c r="E2496" s="1"/>
      <c r="F2496" s="1"/>
      <c r="G2496" s="1"/>
      <c r="H2496" s="1"/>
      <c r="I2496" s="1"/>
      <c r="J2496" s="1"/>
      <c r="K2496" s="1" t="s">
        <v>10310</v>
      </c>
    </row>
    <row r="2497" ht="14.25" customHeight="1">
      <c r="A2497" s="3" t="s">
        <v>972</v>
      </c>
      <c r="B2497" s="1">
        <v>5.5</v>
      </c>
      <c r="C2497" s="1" t="s">
        <v>1885</v>
      </c>
      <c r="D2497" s="1" t="s">
        <v>17763</v>
      </c>
      <c r="E2497" s="1"/>
      <c r="F2497" s="1"/>
      <c r="G2497" s="1"/>
      <c r="H2497" s="1"/>
      <c r="I2497" s="1"/>
      <c r="J2497" s="1"/>
      <c r="K2497" s="1" t="s">
        <v>10696</v>
      </c>
    </row>
    <row r="2498" ht="14.25" customHeight="1">
      <c r="A2498" s="3" t="s">
        <v>972</v>
      </c>
      <c r="B2498" s="1">
        <v>5.9</v>
      </c>
      <c r="C2498" s="1" t="s">
        <v>1885</v>
      </c>
      <c r="D2498" s="1" t="s">
        <v>17763</v>
      </c>
      <c r="E2498" s="1"/>
      <c r="F2498" s="1"/>
      <c r="G2498" s="1"/>
      <c r="H2498" s="1"/>
      <c r="I2498" s="1"/>
      <c r="J2498" s="1"/>
      <c r="K2498" s="1" t="s">
        <v>10803</v>
      </c>
    </row>
    <row r="2499" ht="14.25" customHeight="1">
      <c r="A2499" s="3" t="s">
        <v>972</v>
      </c>
      <c r="B2499" s="1">
        <v>5.2</v>
      </c>
      <c r="C2499" s="1" t="s">
        <v>1885</v>
      </c>
      <c r="D2499" s="1" t="s">
        <v>17763</v>
      </c>
      <c r="E2499" s="1"/>
      <c r="F2499" s="1"/>
      <c r="G2499" s="1"/>
      <c r="H2499" s="1"/>
      <c r="I2499" s="1"/>
      <c r="J2499" s="1"/>
      <c r="K2499" s="1" t="s">
        <v>10818</v>
      </c>
    </row>
    <row r="2500" ht="14.25" customHeight="1">
      <c r="A2500" s="3" t="s">
        <v>972</v>
      </c>
      <c r="B2500" s="1">
        <v>7.1</v>
      </c>
      <c r="C2500" s="1" t="s">
        <v>1885</v>
      </c>
      <c r="D2500" s="1" t="s">
        <v>17763</v>
      </c>
      <c r="E2500" s="1"/>
      <c r="F2500" s="1"/>
      <c r="G2500" s="1"/>
      <c r="H2500" s="1"/>
      <c r="I2500" s="1"/>
      <c r="J2500" s="1"/>
      <c r="K2500" s="1" t="s">
        <v>11440</v>
      </c>
    </row>
    <row r="2501" ht="14.25" customHeight="1">
      <c r="A2501" s="3" t="s">
        <v>972</v>
      </c>
      <c r="B2501" s="1">
        <v>5.5</v>
      </c>
      <c r="C2501" s="1" t="s">
        <v>1885</v>
      </c>
      <c r="D2501" s="1" t="s">
        <v>17763</v>
      </c>
      <c r="E2501" s="1"/>
      <c r="F2501" s="1"/>
      <c r="G2501" s="1"/>
      <c r="H2501" s="1"/>
      <c r="I2501" s="1"/>
      <c r="J2501" s="1"/>
      <c r="K2501" s="1" t="s">
        <v>11549</v>
      </c>
    </row>
    <row r="2502" ht="14.25" customHeight="1">
      <c r="A2502" s="3" t="s">
        <v>972</v>
      </c>
      <c r="B2502" s="1">
        <v>7.7</v>
      </c>
      <c r="C2502" s="1" t="s">
        <v>1885</v>
      </c>
      <c r="D2502" s="1" t="s">
        <v>17763</v>
      </c>
      <c r="E2502" s="1"/>
      <c r="F2502" s="1"/>
      <c r="G2502" s="1"/>
      <c r="H2502" s="1"/>
      <c r="I2502" s="1"/>
      <c r="J2502" s="1"/>
      <c r="K2502" s="1" t="s">
        <v>11801</v>
      </c>
    </row>
    <row r="2503" ht="14.25" customHeight="1">
      <c r="A2503" s="3" t="s">
        <v>972</v>
      </c>
      <c r="B2503" s="1">
        <v>6.7</v>
      </c>
      <c r="C2503" s="1" t="s">
        <v>1885</v>
      </c>
      <c r="D2503" s="1" t="s">
        <v>17763</v>
      </c>
      <c r="E2503" s="1"/>
      <c r="F2503" s="1"/>
      <c r="G2503" s="1"/>
      <c r="H2503" s="1"/>
      <c r="I2503" s="1"/>
      <c r="J2503" s="1"/>
      <c r="K2503" s="1" t="s">
        <v>12194</v>
      </c>
    </row>
    <row r="2504" ht="14.25" customHeight="1">
      <c r="A2504" s="3" t="s">
        <v>972</v>
      </c>
      <c r="B2504" s="1">
        <v>5.0</v>
      </c>
      <c r="C2504" s="1" t="s">
        <v>1885</v>
      </c>
      <c r="D2504" s="1" t="s">
        <v>17763</v>
      </c>
      <c r="E2504" s="1"/>
      <c r="F2504" s="1"/>
      <c r="G2504" s="1"/>
      <c r="H2504" s="1"/>
      <c r="I2504" s="1"/>
      <c r="J2504" s="1"/>
      <c r="K2504" s="1" t="s">
        <v>12636</v>
      </c>
    </row>
    <row r="2505" ht="14.25" customHeight="1">
      <c r="A2505" s="3" t="s">
        <v>972</v>
      </c>
      <c r="B2505" s="1">
        <v>6.4</v>
      </c>
      <c r="C2505" s="1" t="s">
        <v>1885</v>
      </c>
      <c r="D2505" s="1" t="s">
        <v>17763</v>
      </c>
      <c r="E2505" s="1"/>
      <c r="F2505" s="1"/>
      <c r="G2505" s="1"/>
      <c r="H2505" s="1"/>
      <c r="I2505" s="1"/>
      <c r="J2505" s="1"/>
      <c r="K2505" s="1" t="s">
        <v>12769</v>
      </c>
    </row>
    <row r="2506" ht="14.25" customHeight="1">
      <c r="A2506" s="3" t="s">
        <v>972</v>
      </c>
      <c r="B2506" s="1">
        <v>6.6</v>
      </c>
      <c r="C2506" s="1" t="s">
        <v>1885</v>
      </c>
      <c r="D2506" s="1" t="s">
        <v>17763</v>
      </c>
      <c r="E2506" s="1"/>
      <c r="F2506" s="1"/>
      <c r="G2506" s="1"/>
      <c r="H2506" s="1"/>
      <c r="I2506" s="1"/>
      <c r="J2506" s="1"/>
      <c r="K2506" s="1" t="s">
        <v>12867</v>
      </c>
    </row>
    <row r="2507" ht="14.25" customHeight="1">
      <c r="A2507" s="3" t="s">
        <v>972</v>
      </c>
      <c r="B2507" s="1">
        <v>5.9</v>
      </c>
      <c r="C2507" s="1" t="s">
        <v>1885</v>
      </c>
      <c r="D2507" s="1" t="s">
        <v>17763</v>
      </c>
      <c r="E2507" s="1"/>
      <c r="F2507" s="1"/>
      <c r="G2507" s="1"/>
      <c r="H2507" s="1"/>
      <c r="I2507" s="1"/>
      <c r="J2507" s="1"/>
      <c r="K2507" s="1" t="s">
        <v>12905</v>
      </c>
    </row>
    <row r="2508" ht="14.25" customHeight="1">
      <c r="A2508" s="3" t="s">
        <v>972</v>
      </c>
      <c r="B2508" s="1">
        <v>5.7</v>
      </c>
      <c r="C2508" s="1" t="s">
        <v>1885</v>
      </c>
      <c r="D2508" s="1" t="s">
        <v>17763</v>
      </c>
      <c r="E2508" s="1"/>
      <c r="F2508" s="1"/>
      <c r="G2508" s="1"/>
      <c r="H2508" s="1"/>
      <c r="I2508" s="1"/>
      <c r="J2508" s="1"/>
      <c r="K2508" s="1" t="s">
        <v>12937</v>
      </c>
    </row>
    <row r="2509" ht="14.25" customHeight="1">
      <c r="A2509" s="3" t="s">
        <v>972</v>
      </c>
      <c r="B2509" s="1">
        <v>4.5</v>
      </c>
      <c r="C2509" s="1" t="s">
        <v>1885</v>
      </c>
      <c r="D2509" s="1" t="s">
        <v>17763</v>
      </c>
      <c r="E2509" s="1"/>
      <c r="F2509" s="1"/>
      <c r="G2509" s="1"/>
      <c r="H2509" s="1"/>
      <c r="I2509" s="1"/>
      <c r="J2509" s="1"/>
      <c r="K2509" s="1" t="s">
        <v>12976</v>
      </c>
    </row>
    <row r="2510" ht="14.25" customHeight="1">
      <c r="A2510" s="3" t="s">
        <v>972</v>
      </c>
      <c r="B2510" s="1">
        <v>5.0</v>
      </c>
      <c r="C2510" s="1" t="s">
        <v>1885</v>
      </c>
      <c r="D2510" s="1" t="s">
        <v>17763</v>
      </c>
      <c r="E2510" s="1"/>
      <c r="F2510" s="1"/>
      <c r="G2510" s="1"/>
      <c r="H2510" s="1"/>
      <c r="I2510" s="1"/>
      <c r="J2510" s="1"/>
      <c r="K2510" s="1" t="s">
        <v>12905</v>
      </c>
    </row>
    <row r="2511" ht="14.25" customHeight="1">
      <c r="A2511" s="3" t="s">
        <v>972</v>
      </c>
      <c r="B2511" s="1">
        <v>4.6</v>
      </c>
      <c r="C2511" s="1" t="s">
        <v>1885</v>
      </c>
      <c r="D2511" s="1" t="s">
        <v>17763</v>
      </c>
      <c r="E2511" s="1"/>
      <c r="F2511" s="1"/>
      <c r="G2511" s="1"/>
      <c r="H2511" s="1"/>
      <c r="I2511" s="1"/>
      <c r="J2511" s="1"/>
      <c r="K2511" s="1" t="s">
        <v>13343</v>
      </c>
    </row>
    <row r="2512" ht="14.25" customHeight="1">
      <c r="A2512" s="3" t="s">
        <v>972</v>
      </c>
      <c r="B2512" s="1">
        <v>6.5</v>
      </c>
      <c r="C2512" s="1" t="s">
        <v>1885</v>
      </c>
      <c r="D2512" s="1" t="s">
        <v>17763</v>
      </c>
      <c r="E2512" s="1"/>
      <c r="F2512" s="1"/>
      <c r="G2512" s="1"/>
      <c r="H2512" s="1"/>
      <c r="I2512" s="1"/>
      <c r="J2512" s="1"/>
      <c r="K2512" s="1" t="s">
        <v>13624</v>
      </c>
    </row>
    <row r="2513" ht="14.25" customHeight="1">
      <c r="A2513" s="3" t="s">
        <v>972</v>
      </c>
      <c r="B2513" s="1">
        <v>4.9</v>
      </c>
      <c r="C2513" s="1" t="s">
        <v>1885</v>
      </c>
      <c r="D2513" s="1" t="s">
        <v>17763</v>
      </c>
      <c r="E2513" s="1"/>
      <c r="F2513" s="1"/>
      <c r="G2513" s="1"/>
      <c r="H2513" s="1"/>
      <c r="I2513" s="1"/>
      <c r="J2513" s="1"/>
      <c r="K2513" s="1" t="s">
        <v>13996</v>
      </c>
    </row>
    <row r="2514" ht="14.25" customHeight="1">
      <c r="A2514" s="3" t="s">
        <v>972</v>
      </c>
      <c r="B2514" s="1">
        <v>6.0</v>
      </c>
      <c r="C2514" s="1" t="s">
        <v>1885</v>
      </c>
      <c r="D2514" s="1" t="s">
        <v>17763</v>
      </c>
      <c r="E2514" s="1"/>
      <c r="F2514" s="1"/>
      <c r="G2514" s="1"/>
      <c r="H2514" s="1"/>
      <c r="I2514" s="1"/>
      <c r="J2514" s="1"/>
      <c r="K2514" s="1" t="s">
        <v>14058</v>
      </c>
    </row>
    <row r="2515" ht="14.25" customHeight="1">
      <c r="A2515" s="3" t="s">
        <v>972</v>
      </c>
      <c r="B2515" s="1">
        <v>6.9</v>
      </c>
      <c r="C2515" s="1" t="s">
        <v>1885</v>
      </c>
      <c r="D2515" s="1" t="s">
        <v>17763</v>
      </c>
      <c r="E2515" s="1"/>
      <c r="F2515" s="1"/>
      <c r="G2515" s="1"/>
      <c r="H2515" s="1"/>
      <c r="I2515" s="1"/>
      <c r="J2515" s="1"/>
      <c r="K2515" s="1" t="s">
        <v>14194</v>
      </c>
    </row>
    <row r="2516" ht="14.25" customHeight="1">
      <c r="A2516" s="3" t="s">
        <v>972</v>
      </c>
      <c r="B2516" s="1">
        <v>5.7</v>
      </c>
      <c r="C2516" s="1" t="s">
        <v>1885</v>
      </c>
      <c r="D2516" s="1" t="s">
        <v>17763</v>
      </c>
      <c r="E2516" s="1"/>
      <c r="F2516" s="1"/>
      <c r="G2516" s="1"/>
      <c r="H2516" s="1"/>
      <c r="I2516" s="1"/>
      <c r="J2516" s="1"/>
      <c r="K2516" s="1" t="s">
        <v>14539</v>
      </c>
    </row>
    <row r="2517" ht="14.25" customHeight="1">
      <c r="A2517" s="3" t="s">
        <v>972</v>
      </c>
      <c r="B2517" s="1">
        <v>6.9</v>
      </c>
      <c r="C2517" s="1" t="s">
        <v>1885</v>
      </c>
      <c r="D2517" s="1" t="s">
        <v>17763</v>
      </c>
      <c r="E2517" s="1"/>
      <c r="F2517" s="1"/>
      <c r="G2517" s="1"/>
      <c r="H2517" s="1"/>
      <c r="I2517" s="1"/>
      <c r="J2517" s="1"/>
      <c r="K2517" s="1" t="s">
        <v>15964</v>
      </c>
    </row>
    <row r="2518" ht="14.25" customHeight="1">
      <c r="A2518" s="3" t="s">
        <v>972</v>
      </c>
      <c r="B2518" s="1">
        <v>4.4</v>
      </c>
      <c r="C2518" s="1" t="s">
        <v>1885</v>
      </c>
      <c r="D2518" s="1" t="s">
        <v>17763</v>
      </c>
      <c r="E2518" s="1"/>
      <c r="F2518" s="1"/>
      <c r="G2518" s="1"/>
      <c r="H2518" s="1"/>
      <c r="I2518" s="1"/>
      <c r="J2518" s="1"/>
      <c r="K2518" s="1" t="s">
        <v>9095</v>
      </c>
    </row>
    <row r="2519" ht="14.25" customHeight="1">
      <c r="A2519" s="3" t="s">
        <v>972</v>
      </c>
      <c r="B2519" s="1">
        <v>5.4</v>
      </c>
      <c r="C2519" s="1" t="s">
        <v>1885</v>
      </c>
      <c r="D2519" s="1" t="s">
        <v>17763</v>
      </c>
      <c r="E2519" s="1"/>
      <c r="F2519" s="1"/>
      <c r="G2519" s="1"/>
      <c r="H2519" s="1"/>
      <c r="I2519" s="1"/>
      <c r="J2519" s="1"/>
      <c r="K2519" s="1" t="s">
        <v>16695</v>
      </c>
    </row>
    <row r="2520" ht="14.25" customHeight="1">
      <c r="A2520" s="3" t="s">
        <v>972</v>
      </c>
      <c r="B2520" s="1">
        <v>7.0</v>
      </c>
      <c r="C2520" s="1" t="s">
        <v>1885</v>
      </c>
      <c r="D2520" s="1" t="s">
        <v>17763</v>
      </c>
      <c r="E2520" s="1"/>
      <c r="F2520" s="1"/>
      <c r="G2520" s="1"/>
      <c r="H2520" s="1"/>
      <c r="I2520" s="1"/>
      <c r="J2520" s="1"/>
      <c r="K2520" s="1" t="s">
        <v>16999</v>
      </c>
    </row>
    <row r="2521" ht="14.25" customHeight="1">
      <c r="A2521" s="3" t="s">
        <v>17392</v>
      </c>
      <c r="B2521" s="1">
        <v>5.4</v>
      </c>
      <c r="C2521" s="1" t="s">
        <v>17765</v>
      </c>
      <c r="D2521" s="1" t="s">
        <v>15542</v>
      </c>
      <c r="E2521" s="1"/>
      <c r="F2521" s="1"/>
      <c r="G2521" s="1"/>
      <c r="H2521" s="1"/>
      <c r="I2521" s="1"/>
      <c r="J2521" s="1"/>
      <c r="K2521" s="1" t="s">
        <v>17391</v>
      </c>
    </row>
    <row r="2522" ht="14.25" customHeight="1">
      <c r="A2522" s="3" t="s">
        <v>14973</v>
      </c>
      <c r="B2522" s="1">
        <v>5.4</v>
      </c>
      <c r="C2522" s="1" t="s">
        <v>1885</v>
      </c>
      <c r="D2522" s="1" t="s">
        <v>15542</v>
      </c>
      <c r="E2522" s="1"/>
      <c r="F2522" s="1"/>
      <c r="G2522" s="1"/>
      <c r="H2522" s="1"/>
      <c r="I2522" s="1"/>
      <c r="J2522" s="1"/>
      <c r="K2522" s="1" t="s">
        <v>14972</v>
      </c>
    </row>
    <row r="2523" ht="14.25" customHeight="1">
      <c r="A2523" s="3" t="s">
        <v>14973</v>
      </c>
      <c r="B2523" s="1">
        <v>7.6</v>
      </c>
      <c r="C2523" s="1" t="s">
        <v>1885</v>
      </c>
      <c r="D2523" s="1" t="s">
        <v>15542</v>
      </c>
      <c r="E2523" s="1"/>
      <c r="F2523" s="1"/>
      <c r="G2523" s="1"/>
      <c r="H2523" s="1"/>
      <c r="I2523" s="1"/>
      <c r="J2523" s="1"/>
      <c r="K2523" s="1" t="s">
        <v>15840</v>
      </c>
    </row>
    <row r="2524" ht="14.25" customHeight="1">
      <c r="A2524" s="3" t="s">
        <v>14973</v>
      </c>
      <c r="B2524" s="1">
        <v>5.9</v>
      </c>
      <c r="C2524" s="1" t="s">
        <v>1885</v>
      </c>
      <c r="D2524" s="1" t="s">
        <v>15542</v>
      </c>
      <c r="E2524" s="1"/>
      <c r="F2524" s="1"/>
      <c r="G2524" s="1"/>
      <c r="H2524" s="1"/>
      <c r="I2524" s="1"/>
      <c r="J2524" s="1"/>
      <c r="K2524" s="1" t="s">
        <v>15989</v>
      </c>
    </row>
    <row r="2525" ht="14.25" customHeight="1">
      <c r="A2525" s="3" t="s">
        <v>14973</v>
      </c>
      <c r="B2525" s="1">
        <v>6.6</v>
      </c>
      <c r="C2525" s="1" t="s">
        <v>1885</v>
      </c>
      <c r="D2525" s="1" t="s">
        <v>15542</v>
      </c>
      <c r="E2525" s="1"/>
      <c r="F2525" s="1"/>
      <c r="G2525" s="1"/>
      <c r="H2525" s="1"/>
      <c r="I2525" s="1"/>
      <c r="J2525" s="1"/>
      <c r="K2525" s="1" t="s">
        <v>16135</v>
      </c>
    </row>
    <row r="2526" ht="14.25" customHeight="1">
      <c r="A2526" s="3" t="s">
        <v>17565</v>
      </c>
      <c r="B2526" s="1">
        <v>6.7</v>
      </c>
      <c r="C2526" s="1" t="s">
        <v>17763</v>
      </c>
      <c r="D2526" s="1" t="s">
        <v>15542</v>
      </c>
      <c r="E2526" s="1"/>
      <c r="F2526" s="1"/>
      <c r="G2526" s="1"/>
      <c r="H2526" s="1"/>
      <c r="I2526" s="1"/>
      <c r="J2526" s="1"/>
      <c r="K2526" s="1" t="s">
        <v>17564</v>
      </c>
    </row>
    <row r="2527" ht="14.25" customHeight="1">
      <c r="A2527" s="3" t="s">
        <v>740</v>
      </c>
      <c r="B2527" s="1">
        <v>3.9</v>
      </c>
      <c r="C2527" s="1" t="s">
        <v>1270</v>
      </c>
      <c r="D2527" s="1" t="s">
        <v>3238</v>
      </c>
      <c r="E2527" s="1"/>
      <c r="F2527" s="1"/>
      <c r="G2527" s="1"/>
      <c r="H2527" s="1"/>
      <c r="I2527" s="1"/>
      <c r="J2527" s="1"/>
      <c r="K2527" s="1" t="s">
        <v>739</v>
      </c>
    </row>
    <row r="2528" ht="14.25" customHeight="1">
      <c r="A2528" s="3" t="s">
        <v>740</v>
      </c>
      <c r="B2528" s="1">
        <v>5.7</v>
      </c>
      <c r="C2528" s="1" t="s">
        <v>1270</v>
      </c>
      <c r="D2528" s="1" t="s">
        <v>3238</v>
      </c>
      <c r="E2528" s="1"/>
      <c r="F2528" s="1"/>
      <c r="G2528" s="1"/>
      <c r="H2528" s="1"/>
      <c r="I2528" s="1"/>
      <c r="J2528" s="1"/>
      <c r="K2528" s="1" t="s">
        <v>11930</v>
      </c>
    </row>
    <row r="2529" ht="14.25" customHeight="1">
      <c r="A2529" s="3" t="s">
        <v>740</v>
      </c>
      <c r="B2529" s="1">
        <v>6.5</v>
      </c>
      <c r="C2529" s="1" t="s">
        <v>1270</v>
      </c>
      <c r="D2529" s="1" t="s">
        <v>3238</v>
      </c>
      <c r="E2529" s="1"/>
      <c r="F2529" s="1"/>
      <c r="G2529" s="1"/>
      <c r="H2529" s="1"/>
      <c r="I2529" s="1"/>
      <c r="J2529" s="1"/>
      <c r="K2529" s="1" t="s">
        <v>14780</v>
      </c>
    </row>
    <row r="2530" ht="14.25" customHeight="1">
      <c r="A2530" s="3" t="s">
        <v>740</v>
      </c>
      <c r="B2530" s="1">
        <v>6.8</v>
      </c>
      <c r="C2530" s="1" t="s">
        <v>1270</v>
      </c>
      <c r="D2530" s="1" t="s">
        <v>3238</v>
      </c>
      <c r="E2530" s="1"/>
      <c r="F2530" s="1"/>
      <c r="G2530" s="1"/>
      <c r="H2530" s="1"/>
      <c r="I2530" s="1"/>
      <c r="J2530" s="1"/>
      <c r="K2530" s="1" t="s">
        <v>16985</v>
      </c>
    </row>
    <row r="2531" ht="14.25" customHeight="1">
      <c r="A2531" s="3" t="s">
        <v>740</v>
      </c>
      <c r="B2531" s="1">
        <v>7.3</v>
      </c>
      <c r="C2531" s="1" t="s">
        <v>1270</v>
      </c>
      <c r="D2531" s="1" t="s">
        <v>3238</v>
      </c>
      <c r="E2531" s="1"/>
      <c r="F2531" s="1"/>
      <c r="G2531" s="1"/>
      <c r="H2531" s="1"/>
      <c r="I2531" s="1"/>
      <c r="J2531" s="1"/>
      <c r="K2531" s="1" t="s">
        <v>17023</v>
      </c>
    </row>
    <row r="2532" ht="14.25" customHeight="1">
      <c r="A2532" s="3" t="s">
        <v>740</v>
      </c>
      <c r="B2532" s="1">
        <v>7.0</v>
      </c>
      <c r="C2532" s="1" t="s">
        <v>1270</v>
      </c>
      <c r="D2532" s="1" t="s">
        <v>3238</v>
      </c>
      <c r="E2532" s="1"/>
      <c r="F2532" s="1"/>
      <c r="G2532" s="1"/>
      <c r="H2532" s="1"/>
      <c r="I2532" s="1"/>
      <c r="J2532" s="1"/>
      <c r="K2532" s="1" t="s">
        <v>17430</v>
      </c>
    </row>
    <row r="2533" ht="14.25" customHeight="1">
      <c r="A2533" s="3" t="s">
        <v>6613</v>
      </c>
      <c r="B2533" s="1">
        <v>6.5</v>
      </c>
      <c r="C2533" s="1" t="s">
        <v>917</v>
      </c>
      <c r="D2533" s="1" t="s">
        <v>3238</v>
      </c>
      <c r="E2533" s="1"/>
      <c r="F2533" s="1"/>
      <c r="G2533" s="1"/>
      <c r="H2533" s="1"/>
      <c r="I2533" s="1"/>
      <c r="J2533" s="1"/>
      <c r="K2533" s="1" t="s">
        <v>6612</v>
      </c>
    </row>
    <row r="2534" ht="14.25" customHeight="1">
      <c r="A2534" s="3" t="s">
        <v>6613</v>
      </c>
      <c r="B2534" s="1">
        <v>7.7</v>
      </c>
      <c r="C2534" s="1" t="s">
        <v>917</v>
      </c>
      <c r="D2534" s="1" t="s">
        <v>3238</v>
      </c>
      <c r="E2534" s="1"/>
      <c r="F2534" s="1"/>
      <c r="G2534" s="1"/>
      <c r="H2534" s="1"/>
      <c r="I2534" s="1"/>
      <c r="J2534" s="1"/>
      <c r="K2534" s="1" t="s">
        <v>9186</v>
      </c>
    </row>
    <row r="2535" ht="14.25" customHeight="1">
      <c r="A2535" s="3" t="s">
        <v>6613</v>
      </c>
      <c r="B2535" s="1">
        <v>7.7</v>
      </c>
      <c r="C2535" s="1" t="s">
        <v>917</v>
      </c>
      <c r="D2535" s="1" t="s">
        <v>3238</v>
      </c>
      <c r="E2535" s="1"/>
      <c r="F2535" s="1"/>
      <c r="G2535" s="1"/>
      <c r="H2535" s="1"/>
      <c r="I2535" s="1"/>
      <c r="J2535" s="1"/>
      <c r="K2535" s="1" t="s">
        <v>9264</v>
      </c>
    </row>
    <row r="2536" ht="14.25" customHeight="1">
      <c r="A2536" s="3" t="s">
        <v>6613</v>
      </c>
      <c r="B2536" s="1">
        <v>5.9</v>
      </c>
      <c r="C2536" s="1" t="s">
        <v>917</v>
      </c>
      <c r="D2536" s="1" t="s">
        <v>3238</v>
      </c>
      <c r="E2536" s="1"/>
      <c r="F2536" s="1"/>
      <c r="G2536" s="1"/>
      <c r="H2536" s="1"/>
      <c r="I2536" s="1"/>
      <c r="J2536" s="1"/>
      <c r="K2536" s="1" t="s">
        <v>10323</v>
      </c>
    </row>
    <row r="2537" ht="14.25" customHeight="1">
      <c r="A2537" s="3" t="s">
        <v>6613</v>
      </c>
      <c r="B2537" s="1">
        <v>6.8</v>
      </c>
      <c r="C2537" s="1" t="s">
        <v>917</v>
      </c>
      <c r="D2537" s="1" t="s">
        <v>3238</v>
      </c>
      <c r="E2537" s="1"/>
      <c r="F2537" s="1"/>
      <c r="G2537" s="1"/>
      <c r="H2537" s="1"/>
      <c r="I2537" s="1"/>
      <c r="J2537" s="1"/>
      <c r="K2537" s="1" t="s">
        <v>12035</v>
      </c>
    </row>
    <row r="2538" ht="14.25" customHeight="1">
      <c r="A2538" s="3" t="s">
        <v>6613</v>
      </c>
      <c r="B2538" s="1">
        <v>7.4</v>
      </c>
      <c r="C2538" s="1" t="s">
        <v>917</v>
      </c>
      <c r="D2538" s="1" t="s">
        <v>3238</v>
      </c>
      <c r="E2538" s="1"/>
      <c r="F2538" s="1"/>
      <c r="G2538" s="1"/>
      <c r="H2538" s="1"/>
      <c r="I2538" s="1"/>
      <c r="J2538" s="1"/>
      <c r="K2538" s="1" t="s">
        <v>13373</v>
      </c>
    </row>
    <row r="2539" ht="14.25" customHeight="1">
      <c r="A2539" s="3" t="s">
        <v>6613</v>
      </c>
      <c r="B2539" s="1">
        <v>5.1</v>
      </c>
      <c r="C2539" s="1" t="s">
        <v>917</v>
      </c>
      <c r="D2539" s="1" t="s">
        <v>3238</v>
      </c>
      <c r="E2539" s="1"/>
      <c r="F2539" s="1"/>
      <c r="G2539" s="1"/>
      <c r="H2539" s="1"/>
      <c r="I2539" s="1"/>
      <c r="J2539" s="1"/>
      <c r="K2539" s="1" t="s">
        <v>13931</v>
      </c>
    </row>
    <row r="2540" ht="14.25" customHeight="1">
      <c r="A2540" s="3" t="s">
        <v>1474</v>
      </c>
      <c r="B2540" s="1">
        <v>7.4</v>
      </c>
      <c r="C2540" s="1" t="s">
        <v>17765</v>
      </c>
      <c r="D2540" s="1" t="s">
        <v>3238</v>
      </c>
      <c r="E2540" s="1"/>
      <c r="F2540" s="1"/>
      <c r="G2540" s="1"/>
      <c r="H2540" s="1"/>
      <c r="I2540" s="1"/>
      <c r="J2540" s="1"/>
      <c r="K2540" s="1" t="s">
        <v>1473</v>
      </c>
    </row>
    <row r="2541" ht="14.25" customHeight="1">
      <c r="A2541" s="3" t="s">
        <v>1474</v>
      </c>
      <c r="B2541" s="1">
        <v>7.2</v>
      </c>
      <c r="C2541" s="1" t="s">
        <v>17765</v>
      </c>
      <c r="D2541" s="1" t="s">
        <v>3238</v>
      </c>
      <c r="E2541" s="1"/>
      <c r="F2541" s="1"/>
      <c r="G2541" s="1"/>
      <c r="H2541" s="1"/>
      <c r="I2541" s="1"/>
      <c r="J2541" s="1"/>
      <c r="K2541" s="1" t="s">
        <v>2764</v>
      </c>
    </row>
    <row r="2542" ht="14.25" customHeight="1">
      <c r="A2542" s="3" t="s">
        <v>1474</v>
      </c>
      <c r="B2542" s="1">
        <v>8.3</v>
      </c>
      <c r="C2542" s="1" t="s">
        <v>17765</v>
      </c>
      <c r="D2542" s="1" t="s">
        <v>3238</v>
      </c>
      <c r="E2542" s="1"/>
      <c r="F2542" s="1"/>
      <c r="G2542" s="1"/>
      <c r="H2542" s="1"/>
      <c r="I2542" s="1"/>
      <c r="J2542" s="1"/>
      <c r="K2542" s="1" t="s">
        <v>4377</v>
      </c>
    </row>
    <row r="2543" ht="14.25" customHeight="1">
      <c r="A2543" s="3" t="s">
        <v>1474</v>
      </c>
      <c r="B2543" s="1">
        <v>8.1</v>
      </c>
      <c r="C2543" s="1" t="s">
        <v>17765</v>
      </c>
      <c r="D2543" s="1" t="s">
        <v>3238</v>
      </c>
      <c r="E2543" s="1"/>
      <c r="F2543" s="1"/>
      <c r="G2543" s="1"/>
      <c r="H2543" s="1"/>
      <c r="I2543" s="1"/>
      <c r="J2543" s="1"/>
      <c r="K2543" s="1" t="s">
        <v>4763</v>
      </c>
    </row>
    <row r="2544" ht="14.25" customHeight="1">
      <c r="A2544" s="3" t="s">
        <v>1474</v>
      </c>
      <c r="B2544" s="1">
        <v>7.3</v>
      </c>
      <c r="C2544" s="1" t="s">
        <v>17765</v>
      </c>
      <c r="D2544" s="1" t="s">
        <v>3238</v>
      </c>
      <c r="E2544" s="1"/>
      <c r="F2544" s="1"/>
      <c r="G2544" s="1"/>
      <c r="H2544" s="1"/>
      <c r="I2544" s="1"/>
      <c r="J2544" s="1"/>
      <c r="K2544" s="1" t="s">
        <v>5906</v>
      </c>
    </row>
    <row r="2545" ht="14.25" customHeight="1">
      <c r="A2545" s="3" t="s">
        <v>1474</v>
      </c>
      <c r="B2545" s="1">
        <v>3.6</v>
      </c>
      <c r="C2545" s="1" t="s">
        <v>17765</v>
      </c>
      <c r="D2545" s="1" t="s">
        <v>3238</v>
      </c>
      <c r="E2545" s="1"/>
      <c r="F2545" s="1"/>
      <c r="G2545" s="1"/>
      <c r="H2545" s="1"/>
      <c r="I2545" s="1"/>
      <c r="J2545" s="1"/>
      <c r="K2545" s="1" t="s">
        <v>7409</v>
      </c>
    </row>
    <row r="2546" ht="14.25" customHeight="1">
      <c r="A2546" s="3" t="s">
        <v>1474</v>
      </c>
      <c r="B2546" s="1">
        <v>1.6</v>
      </c>
      <c r="C2546" s="1" t="s">
        <v>17765</v>
      </c>
      <c r="D2546" s="1" t="s">
        <v>3238</v>
      </c>
      <c r="E2546" s="1"/>
      <c r="F2546" s="1"/>
      <c r="G2546" s="1"/>
      <c r="H2546" s="1"/>
      <c r="I2546" s="1"/>
      <c r="J2546" s="1"/>
      <c r="K2546" s="1" t="s">
        <v>7598</v>
      </c>
    </row>
    <row r="2547" ht="14.25" customHeight="1">
      <c r="A2547" s="3" t="s">
        <v>1474</v>
      </c>
      <c r="B2547" s="1">
        <v>8.0</v>
      </c>
      <c r="C2547" s="1" t="s">
        <v>17765</v>
      </c>
      <c r="D2547" s="1" t="s">
        <v>3238</v>
      </c>
      <c r="E2547" s="1"/>
      <c r="F2547" s="1"/>
      <c r="G2547" s="1"/>
      <c r="H2547" s="1"/>
      <c r="I2547" s="1"/>
      <c r="J2547" s="1"/>
      <c r="K2547" s="1" t="s">
        <v>9324</v>
      </c>
    </row>
    <row r="2548" ht="14.25" customHeight="1">
      <c r="A2548" s="3" t="s">
        <v>1474</v>
      </c>
      <c r="B2548" s="1">
        <v>6.2</v>
      </c>
      <c r="C2548" s="1" t="s">
        <v>17765</v>
      </c>
      <c r="D2548" s="1" t="s">
        <v>3238</v>
      </c>
      <c r="E2548" s="1"/>
      <c r="F2548" s="1"/>
      <c r="G2548" s="1"/>
      <c r="H2548" s="1"/>
      <c r="I2548" s="1"/>
      <c r="J2548" s="1"/>
      <c r="K2548" s="1" t="s">
        <v>9471</v>
      </c>
    </row>
    <row r="2549" ht="14.25" customHeight="1">
      <c r="A2549" s="3" t="s">
        <v>1474</v>
      </c>
      <c r="B2549" s="1">
        <v>9.0</v>
      </c>
      <c r="C2549" s="1" t="s">
        <v>17765</v>
      </c>
      <c r="D2549" s="1" t="s">
        <v>3238</v>
      </c>
      <c r="E2549" s="1"/>
      <c r="F2549" s="1"/>
      <c r="G2549" s="1"/>
      <c r="H2549" s="1"/>
      <c r="I2549" s="1"/>
      <c r="J2549" s="1"/>
      <c r="K2549" s="1" t="s">
        <v>10419</v>
      </c>
    </row>
    <row r="2550" ht="14.25" customHeight="1">
      <c r="A2550" s="3" t="s">
        <v>1474</v>
      </c>
      <c r="B2550" s="1">
        <v>6.1</v>
      </c>
      <c r="C2550" s="1" t="s">
        <v>17765</v>
      </c>
      <c r="D2550" s="1" t="s">
        <v>3238</v>
      </c>
      <c r="E2550" s="1"/>
      <c r="F2550" s="1"/>
      <c r="G2550" s="1"/>
      <c r="H2550" s="1"/>
      <c r="I2550" s="1"/>
      <c r="J2550" s="1"/>
      <c r="K2550" s="1" t="s">
        <v>10826</v>
      </c>
    </row>
    <row r="2551" ht="14.25" customHeight="1">
      <c r="A2551" s="3" t="s">
        <v>1474</v>
      </c>
      <c r="B2551" s="1">
        <v>5.7</v>
      </c>
      <c r="C2551" s="1" t="s">
        <v>17765</v>
      </c>
      <c r="D2551" s="1" t="s">
        <v>3238</v>
      </c>
      <c r="E2551" s="1"/>
      <c r="F2551" s="1"/>
      <c r="G2551" s="1"/>
      <c r="H2551" s="1"/>
      <c r="I2551" s="1"/>
      <c r="J2551" s="1"/>
      <c r="K2551" s="1" t="s">
        <v>11478</v>
      </c>
    </row>
    <row r="2552" ht="14.25" customHeight="1">
      <c r="A2552" s="3" t="s">
        <v>1474</v>
      </c>
      <c r="B2552" s="1">
        <v>6.8</v>
      </c>
      <c r="C2552" s="1" t="s">
        <v>17765</v>
      </c>
      <c r="D2552" s="1" t="s">
        <v>3238</v>
      </c>
      <c r="E2552" s="1"/>
      <c r="F2552" s="1"/>
      <c r="G2552" s="1"/>
      <c r="H2552" s="1"/>
      <c r="I2552" s="1"/>
      <c r="J2552" s="1"/>
      <c r="K2552" s="1" t="s">
        <v>11585</v>
      </c>
    </row>
    <row r="2553" ht="14.25" customHeight="1">
      <c r="A2553" s="3" t="s">
        <v>1474</v>
      </c>
      <c r="B2553" s="1">
        <v>5.5</v>
      </c>
      <c r="C2553" s="1" t="s">
        <v>17765</v>
      </c>
      <c r="D2553" s="1" t="s">
        <v>3238</v>
      </c>
      <c r="E2553" s="1"/>
      <c r="F2553" s="1"/>
      <c r="G2553" s="1"/>
      <c r="H2553" s="1"/>
      <c r="I2553" s="1"/>
      <c r="J2553" s="1"/>
      <c r="K2553" s="1" t="s">
        <v>12189</v>
      </c>
    </row>
    <row r="2554" ht="14.25" customHeight="1">
      <c r="A2554" s="3" t="s">
        <v>1474</v>
      </c>
      <c r="B2554" s="1">
        <v>6.8</v>
      </c>
      <c r="C2554" s="1" t="s">
        <v>17765</v>
      </c>
      <c r="D2554" s="1" t="s">
        <v>3238</v>
      </c>
      <c r="E2554" s="1"/>
      <c r="F2554" s="1"/>
      <c r="G2554" s="1"/>
      <c r="H2554" s="1"/>
      <c r="I2554" s="1"/>
      <c r="J2554" s="1"/>
      <c r="K2554" s="1" t="s">
        <v>12469</v>
      </c>
    </row>
    <row r="2555" ht="14.25" customHeight="1">
      <c r="A2555" s="3" t="s">
        <v>1474</v>
      </c>
      <c r="B2555" s="1">
        <v>7.3</v>
      </c>
      <c r="C2555" s="1" t="s">
        <v>17765</v>
      </c>
      <c r="D2555" s="1" t="s">
        <v>3238</v>
      </c>
      <c r="E2555" s="1"/>
      <c r="F2555" s="1"/>
      <c r="G2555" s="1"/>
      <c r="H2555" s="1"/>
      <c r="I2555" s="1"/>
      <c r="J2555" s="1"/>
      <c r="K2555" s="1" t="s">
        <v>12693</v>
      </c>
    </row>
    <row r="2556" ht="14.25" customHeight="1">
      <c r="A2556" s="3" t="s">
        <v>1474</v>
      </c>
      <c r="B2556" s="1">
        <v>6.1</v>
      </c>
      <c r="C2556" s="1" t="s">
        <v>17765</v>
      </c>
      <c r="D2556" s="1" t="s">
        <v>3238</v>
      </c>
      <c r="E2556" s="1"/>
      <c r="F2556" s="1"/>
      <c r="G2556" s="1"/>
      <c r="H2556" s="1"/>
      <c r="I2556" s="1"/>
      <c r="J2556" s="1"/>
      <c r="K2556" s="1" t="s">
        <v>13020</v>
      </c>
    </row>
    <row r="2557" ht="14.25" customHeight="1">
      <c r="A2557" s="3" t="s">
        <v>1474</v>
      </c>
      <c r="B2557" s="1">
        <v>7.2</v>
      </c>
      <c r="C2557" s="1" t="s">
        <v>17765</v>
      </c>
      <c r="D2557" s="1" t="s">
        <v>3238</v>
      </c>
      <c r="E2557" s="1"/>
      <c r="F2557" s="1"/>
      <c r="G2557" s="1"/>
      <c r="H2557" s="1"/>
      <c r="I2557" s="1"/>
      <c r="J2557" s="1"/>
      <c r="K2557" s="1" t="s">
        <v>13358</v>
      </c>
    </row>
    <row r="2558" ht="14.25" customHeight="1">
      <c r="A2558" s="3" t="s">
        <v>1474</v>
      </c>
      <c r="B2558" s="1">
        <v>5.9</v>
      </c>
      <c r="C2558" s="1" t="s">
        <v>17765</v>
      </c>
      <c r="D2558" s="1" t="s">
        <v>3238</v>
      </c>
      <c r="E2558" s="1"/>
      <c r="F2558" s="1"/>
      <c r="G2558" s="1"/>
      <c r="H2558" s="1"/>
      <c r="I2558" s="1"/>
      <c r="J2558" s="1"/>
      <c r="K2558" s="1" t="s">
        <v>13443</v>
      </c>
    </row>
    <row r="2559" ht="14.25" customHeight="1">
      <c r="A2559" s="3" t="s">
        <v>1474</v>
      </c>
      <c r="B2559" s="1">
        <v>6.1</v>
      </c>
      <c r="C2559" s="1" t="s">
        <v>17765</v>
      </c>
      <c r="D2559" s="1" t="s">
        <v>3238</v>
      </c>
      <c r="E2559" s="1"/>
      <c r="F2559" s="1"/>
      <c r="G2559" s="1"/>
      <c r="H2559" s="1"/>
      <c r="I2559" s="1"/>
      <c r="J2559" s="1"/>
      <c r="K2559" s="1" t="s">
        <v>13596</v>
      </c>
    </row>
    <row r="2560" ht="14.25" customHeight="1">
      <c r="A2560" s="3" t="s">
        <v>1474</v>
      </c>
      <c r="B2560" s="1">
        <v>6.8</v>
      </c>
      <c r="C2560" s="1" t="s">
        <v>17765</v>
      </c>
      <c r="D2560" s="1" t="s">
        <v>3238</v>
      </c>
      <c r="E2560" s="1"/>
      <c r="F2560" s="1"/>
      <c r="G2560" s="1"/>
      <c r="H2560" s="1"/>
      <c r="I2560" s="1"/>
      <c r="J2560" s="1"/>
      <c r="K2560" s="1" t="s">
        <v>14070</v>
      </c>
    </row>
    <row r="2561" ht="14.25" customHeight="1">
      <c r="A2561" s="3" t="s">
        <v>1474</v>
      </c>
      <c r="B2561" s="1">
        <v>7.7</v>
      </c>
      <c r="C2561" s="1" t="s">
        <v>17765</v>
      </c>
      <c r="D2561" s="1" t="s">
        <v>3238</v>
      </c>
      <c r="E2561" s="1"/>
      <c r="F2561" s="1"/>
      <c r="G2561" s="1"/>
      <c r="H2561" s="1"/>
      <c r="I2561" s="1"/>
      <c r="J2561" s="1"/>
      <c r="K2561" s="1" t="s">
        <v>14403</v>
      </c>
    </row>
    <row r="2562" ht="14.25" customHeight="1">
      <c r="A2562" s="3" t="s">
        <v>1474</v>
      </c>
      <c r="B2562" s="1">
        <v>4.9</v>
      </c>
      <c r="C2562" s="1" t="s">
        <v>17765</v>
      </c>
      <c r="D2562" s="1" t="s">
        <v>3238</v>
      </c>
      <c r="E2562" s="1"/>
      <c r="F2562" s="1"/>
      <c r="G2562" s="1"/>
      <c r="H2562" s="1"/>
      <c r="I2562" s="1"/>
      <c r="J2562" s="1"/>
      <c r="K2562" s="1" t="s">
        <v>14553</v>
      </c>
    </row>
    <row r="2563" ht="14.25" customHeight="1">
      <c r="A2563" s="3" t="s">
        <v>1474</v>
      </c>
      <c r="B2563" s="1">
        <v>6.1</v>
      </c>
      <c r="C2563" s="1" t="s">
        <v>17765</v>
      </c>
      <c r="D2563" s="1" t="s">
        <v>3238</v>
      </c>
      <c r="E2563" s="1"/>
      <c r="F2563" s="1"/>
      <c r="G2563" s="1"/>
      <c r="H2563" s="1"/>
      <c r="I2563" s="1"/>
      <c r="J2563" s="1"/>
      <c r="K2563" s="1" t="s">
        <v>14724</v>
      </c>
    </row>
    <row r="2564" ht="14.25" customHeight="1">
      <c r="A2564" s="3" t="s">
        <v>1474</v>
      </c>
      <c r="B2564" s="1">
        <v>2.5</v>
      </c>
      <c r="C2564" s="1" t="s">
        <v>17765</v>
      </c>
      <c r="D2564" s="1" t="s">
        <v>3238</v>
      </c>
      <c r="E2564" s="1"/>
      <c r="F2564" s="1"/>
      <c r="G2564" s="1"/>
      <c r="H2564" s="1"/>
      <c r="I2564" s="1"/>
      <c r="J2564" s="1"/>
      <c r="K2564" s="1" t="s">
        <v>15028</v>
      </c>
    </row>
    <row r="2565" ht="14.25" customHeight="1">
      <c r="A2565" s="3" t="s">
        <v>1474</v>
      </c>
      <c r="B2565" s="1">
        <v>6.1</v>
      </c>
      <c r="C2565" s="1" t="s">
        <v>17765</v>
      </c>
      <c r="D2565" s="1" t="s">
        <v>3238</v>
      </c>
      <c r="E2565" s="1"/>
      <c r="F2565" s="1"/>
      <c r="G2565" s="1"/>
      <c r="H2565" s="1"/>
      <c r="I2565" s="1"/>
      <c r="J2565" s="1"/>
      <c r="K2565" s="1" t="s">
        <v>15639</v>
      </c>
    </row>
    <row r="2566" ht="14.25" customHeight="1">
      <c r="A2566" s="3" t="s">
        <v>1474</v>
      </c>
      <c r="B2566" s="1">
        <v>5.9</v>
      </c>
      <c r="C2566" s="1" t="s">
        <v>17765</v>
      </c>
      <c r="D2566" s="1" t="s">
        <v>3238</v>
      </c>
      <c r="E2566" s="1"/>
      <c r="F2566" s="1"/>
      <c r="G2566" s="1"/>
      <c r="H2566" s="1"/>
      <c r="I2566" s="1"/>
      <c r="J2566" s="1"/>
      <c r="K2566" s="1" t="s">
        <v>15655</v>
      </c>
    </row>
    <row r="2567" ht="14.25" customHeight="1">
      <c r="A2567" s="3" t="s">
        <v>1474</v>
      </c>
      <c r="B2567" s="1">
        <v>5.7</v>
      </c>
      <c r="C2567" s="1" t="s">
        <v>17765</v>
      </c>
      <c r="D2567" s="1" t="s">
        <v>3238</v>
      </c>
      <c r="E2567" s="1"/>
      <c r="F2567" s="1"/>
      <c r="G2567" s="1"/>
      <c r="H2567" s="1"/>
      <c r="I2567" s="1"/>
      <c r="J2567" s="1"/>
      <c r="K2567" s="1" t="s">
        <v>15734</v>
      </c>
    </row>
    <row r="2568" ht="14.25" customHeight="1">
      <c r="A2568" s="3" t="s">
        <v>1474</v>
      </c>
      <c r="B2568" s="1">
        <v>5.6</v>
      </c>
      <c r="C2568" s="1" t="s">
        <v>17765</v>
      </c>
      <c r="D2568" s="1" t="s">
        <v>3238</v>
      </c>
      <c r="E2568" s="1"/>
      <c r="F2568" s="1"/>
      <c r="G2568" s="1"/>
      <c r="H2568" s="1"/>
      <c r="I2568" s="1"/>
      <c r="J2568" s="1"/>
      <c r="K2568" s="1" t="s">
        <v>15979</v>
      </c>
    </row>
    <row r="2569" ht="14.25" customHeight="1">
      <c r="A2569" s="3" t="s">
        <v>2422</v>
      </c>
      <c r="B2569" s="1">
        <v>7.2</v>
      </c>
      <c r="C2569" s="1" t="s">
        <v>1885</v>
      </c>
      <c r="D2569" s="1" t="s">
        <v>3238</v>
      </c>
      <c r="E2569" s="1"/>
      <c r="F2569" s="1"/>
      <c r="G2569" s="1"/>
      <c r="H2569" s="1"/>
      <c r="I2569" s="1"/>
      <c r="J2569" s="1"/>
      <c r="K2569" s="1" t="s">
        <v>2421</v>
      </c>
    </row>
    <row r="2570" ht="14.25" customHeight="1">
      <c r="A2570" s="3" t="s">
        <v>2422</v>
      </c>
      <c r="B2570" s="1">
        <v>7.7</v>
      </c>
      <c r="C2570" s="1" t="s">
        <v>1885</v>
      </c>
      <c r="D2570" s="1" t="s">
        <v>3238</v>
      </c>
      <c r="E2570" s="1"/>
      <c r="F2570" s="1"/>
      <c r="G2570" s="1"/>
      <c r="H2570" s="1"/>
      <c r="I2570" s="1"/>
      <c r="J2570" s="1"/>
      <c r="K2570" s="1" t="s">
        <v>2899</v>
      </c>
    </row>
    <row r="2571" ht="14.25" customHeight="1">
      <c r="A2571" s="3" t="s">
        <v>2422</v>
      </c>
      <c r="B2571" s="1">
        <v>7.8</v>
      </c>
      <c r="C2571" s="1" t="s">
        <v>1885</v>
      </c>
      <c r="D2571" s="1" t="s">
        <v>3238</v>
      </c>
      <c r="E2571" s="1"/>
      <c r="F2571" s="1"/>
      <c r="G2571" s="1"/>
      <c r="H2571" s="1"/>
      <c r="I2571" s="1"/>
      <c r="J2571" s="1"/>
      <c r="K2571" s="1" t="s">
        <v>3053</v>
      </c>
    </row>
    <row r="2572" ht="14.25" customHeight="1">
      <c r="A2572" s="3" t="s">
        <v>2422</v>
      </c>
      <c r="B2572" s="1">
        <v>6.1</v>
      </c>
      <c r="C2572" s="1" t="s">
        <v>1885</v>
      </c>
      <c r="D2572" s="1" t="s">
        <v>3238</v>
      </c>
      <c r="E2572" s="1"/>
      <c r="F2572" s="1"/>
      <c r="G2572" s="1"/>
      <c r="H2572" s="1"/>
      <c r="I2572" s="1"/>
      <c r="J2572" s="1"/>
      <c r="K2572" s="1" t="s">
        <v>3263</v>
      </c>
    </row>
    <row r="2573" ht="14.25" customHeight="1">
      <c r="A2573" s="3" t="s">
        <v>2422</v>
      </c>
      <c r="B2573" s="1">
        <v>5.8</v>
      </c>
      <c r="C2573" s="1" t="s">
        <v>1885</v>
      </c>
      <c r="D2573" s="1" t="s">
        <v>3238</v>
      </c>
      <c r="E2573" s="1"/>
      <c r="F2573" s="1"/>
      <c r="G2573" s="1"/>
      <c r="H2573" s="1"/>
      <c r="I2573" s="1"/>
      <c r="J2573" s="1"/>
      <c r="K2573" s="1" t="s">
        <v>3492</v>
      </c>
    </row>
    <row r="2574" ht="14.25" customHeight="1">
      <c r="A2574" s="3" t="s">
        <v>2422</v>
      </c>
      <c r="B2574" s="1">
        <v>6.5</v>
      </c>
      <c r="C2574" s="1" t="s">
        <v>1885</v>
      </c>
      <c r="D2574" s="1" t="s">
        <v>3238</v>
      </c>
      <c r="E2574" s="1"/>
      <c r="F2574" s="1"/>
      <c r="G2574" s="1"/>
      <c r="H2574" s="1"/>
      <c r="I2574" s="1"/>
      <c r="J2574" s="1"/>
      <c r="K2574" s="1" t="s">
        <v>3564</v>
      </c>
    </row>
    <row r="2575" ht="14.25" customHeight="1">
      <c r="A2575" s="3" t="s">
        <v>2422</v>
      </c>
      <c r="B2575" s="1">
        <v>7.9</v>
      </c>
      <c r="C2575" s="1" t="s">
        <v>1885</v>
      </c>
      <c r="D2575" s="1" t="s">
        <v>3238</v>
      </c>
      <c r="E2575" s="1"/>
      <c r="F2575" s="1"/>
      <c r="G2575" s="1"/>
      <c r="H2575" s="1"/>
      <c r="I2575" s="1"/>
      <c r="J2575" s="1"/>
      <c r="K2575" s="1" t="s">
        <v>4163</v>
      </c>
    </row>
    <row r="2576" ht="14.25" customHeight="1">
      <c r="A2576" s="3" t="s">
        <v>2422</v>
      </c>
      <c r="B2576" s="1">
        <v>6.3</v>
      </c>
      <c r="C2576" s="1" t="s">
        <v>1885</v>
      </c>
      <c r="D2576" s="1" t="s">
        <v>3238</v>
      </c>
      <c r="E2576" s="1"/>
      <c r="F2576" s="1"/>
      <c r="G2576" s="1"/>
      <c r="H2576" s="1"/>
      <c r="I2576" s="1"/>
      <c r="J2576" s="1"/>
      <c r="K2576" s="1" t="s">
        <v>4206</v>
      </c>
    </row>
    <row r="2577" ht="14.25" customHeight="1">
      <c r="A2577" s="3" t="s">
        <v>2422</v>
      </c>
      <c r="B2577" s="1">
        <v>8.3</v>
      </c>
      <c r="C2577" s="1" t="s">
        <v>1885</v>
      </c>
      <c r="D2577" s="1" t="s">
        <v>3238</v>
      </c>
      <c r="E2577" s="1"/>
      <c r="F2577" s="1"/>
      <c r="G2577" s="1"/>
      <c r="H2577" s="1"/>
      <c r="I2577" s="1"/>
      <c r="J2577" s="1"/>
      <c r="K2577" s="1" t="s">
        <v>4309</v>
      </c>
    </row>
    <row r="2578" ht="14.25" customHeight="1">
      <c r="A2578" s="3" t="s">
        <v>2422</v>
      </c>
      <c r="B2578" s="1">
        <v>6.4</v>
      </c>
      <c r="C2578" s="1" t="s">
        <v>1885</v>
      </c>
      <c r="D2578" s="1" t="s">
        <v>3238</v>
      </c>
      <c r="E2578" s="1"/>
      <c r="F2578" s="1"/>
      <c r="G2578" s="1"/>
      <c r="H2578" s="1"/>
      <c r="I2578" s="1"/>
      <c r="J2578" s="1"/>
      <c r="K2578" s="1" t="s">
        <v>4789</v>
      </c>
    </row>
    <row r="2579" ht="14.25" customHeight="1">
      <c r="A2579" s="3" t="s">
        <v>2422</v>
      </c>
      <c r="B2579" s="1">
        <v>6.7</v>
      </c>
      <c r="C2579" s="1" t="s">
        <v>1885</v>
      </c>
      <c r="D2579" s="1" t="s">
        <v>3238</v>
      </c>
      <c r="E2579" s="1"/>
      <c r="F2579" s="1"/>
      <c r="G2579" s="1"/>
      <c r="H2579" s="1"/>
      <c r="I2579" s="1"/>
      <c r="J2579" s="1"/>
      <c r="K2579" s="1" t="s">
        <v>5682</v>
      </c>
    </row>
    <row r="2580" ht="14.25" customHeight="1">
      <c r="A2580" s="3" t="s">
        <v>2422</v>
      </c>
      <c r="B2580" s="1">
        <v>6.1</v>
      </c>
      <c r="C2580" s="1" t="s">
        <v>1885</v>
      </c>
      <c r="D2580" s="1" t="s">
        <v>3238</v>
      </c>
      <c r="E2580" s="1"/>
      <c r="F2580" s="1"/>
      <c r="G2580" s="1"/>
      <c r="H2580" s="1"/>
      <c r="I2580" s="1"/>
      <c r="J2580" s="1"/>
      <c r="K2580" s="1" t="s">
        <v>5958</v>
      </c>
    </row>
    <row r="2581" ht="14.25" customHeight="1">
      <c r="A2581" s="3" t="s">
        <v>2422</v>
      </c>
      <c r="B2581" s="1">
        <v>6.0</v>
      </c>
      <c r="C2581" s="1" t="s">
        <v>1885</v>
      </c>
      <c r="D2581" s="1" t="s">
        <v>3238</v>
      </c>
      <c r="E2581" s="1"/>
      <c r="F2581" s="1"/>
      <c r="G2581" s="1"/>
      <c r="H2581" s="1"/>
      <c r="I2581" s="1"/>
      <c r="J2581" s="1"/>
      <c r="K2581" s="1" t="s">
        <v>6162</v>
      </c>
    </row>
    <row r="2582" ht="14.25" customHeight="1">
      <c r="A2582" s="3" t="s">
        <v>2422</v>
      </c>
      <c r="B2582" s="1">
        <v>5.8</v>
      </c>
      <c r="C2582" s="1" t="s">
        <v>1885</v>
      </c>
      <c r="D2582" s="1" t="s">
        <v>3238</v>
      </c>
      <c r="E2582" s="1"/>
      <c r="F2582" s="1"/>
      <c r="G2582" s="1"/>
      <c r="H2582" s="1"/>
      <c r="I2582" s="1"/>
      <c r="J2582" s="1"/>
      <c r="K2582" s="1" t="s">
        <v>6185</v>
      </c>
    </row>
    <row r="2583" ht="14.25" customHeight="1">
      <c r="A2583" s="3" t="s">
        <v>2422</v>
      </c>
      <c r="B2583" s="1">
        <v>5.6</v>
      </c>
      <c r="C2583" s="1" t="s">
        <v>1885</v>
      </c>
      <c r="D2583" s="1" t="s">
        <v>3238</v>
      </c>
      <c r="E2583" s="1"/>
      <c r="F2583" s="1"/>
      <c r="G2583" s="1"/>
      <c r="H2583" s="1"/>
      <c r="I2583" s="1"/>
      <c r="J2583" s="1"/>
      <c r="K2583" s="1" t="s">
        <v>6209</v>
      </c>
    </row>
    <row r="2584" ht="14.25" customHeight="1">
      <c r="A2584" s="3" t="s">
        <v>2422</v>
      </c>
      <c r="B2584" s="1">
        <v>6.1</v>
      </c>
      <c r="C2584" s="1" t="s">
        <v>1885</v>
      </c>
      <c r="D2584" s="1" t="s">
        <v>3238</v>
      </c>
      <c r="E2584" s="1"/>
      <c r="F2584" s="1"/>
      <c r="G2584" s="1"/>
      <c r="H2584" s="1"/>
      <c r="I2584" s="1"/>
      <c r="J2584" s="1"/>
      <c r="K2584" s="1" t="s">
        <v>6287</v>
      </c>
    </row>
    <row r="2585" ht="14.25" customHeight="1">
      <c r="A2585" s="3" t="s">
        <v>2422</v>
      </c>
      <c r="B2585" s="1">
        <v>5.9</v>
      </c>
      <c r="C2585" s="1" t="s">
        <v>1885</v>
      </c>
      <c r="D2585" s="1" t="s">
        <v>3238</v>
      </c>
      <c r="E2585" s="1"/>
      <c r="F2585" s="1"/>
      <c r="G2585" s="1"/>
      <c r="H2585" s="1"/>
      <c r="I2585" s="1"/>
      <c r="J2585" s="1"/>
      <c r="K2585" s="1" t="s">
        <v>6439</v>
      </c>
    </row>
    <row r="2586" ht="14.25" customHeight="1">
      <c r="A2586" s="3" t="s">
        <v>2422</v>
      </c>
      <c r="B2586" s="1">
        <v>7.3</v>
      </c>
      <c r="C2586" s="1" t="s">
        <v>1885</v>
      </c>
      <c r="D2586" s="1" t="s">
        <v>3238</v>
      </c>
      <c r="E2586" s="1"/>
      <c r="F2586" s="1"/>
      <c r="G2586" s="1"/>
      <c r="H2586" s="1"/>
      <c r="I2586" s="1"/>
      <c r="J2586" s="1"/>
      <c r="K2586" s="1" t="s">
        <v>6591</v>
      </c>
    </row>
    <row r="2587" ht="14.25" customHeight="1">
      <c r="A2587" s="3" t="s">
        <v>2422</v>
      </c>
      <c r="B2587" s="1">
        <v>6.8</v>
      </c>
      <c r="C2587" s="1" t="s">
        <v>1885</v>
      </c>
      <c r="D2587" s="1" t="s">
        <v>3238</v>
      </c>
      <c r="E2587" s="1"/>
      <c r="F2587" s="1"/>
      <c r="G2587" s="1"/>
      <c r="H2587" s="1"/>
      <c r="I2587" s="1"/>
      <c r="J2587" s="1"/>
      <c r="K2587" s="1" t="s">
        <v>6677</v>
      </c>
    </row>
    <row r="2588" ht="14.25" customHeight="1">
      <c r="A2588" s="3" t="s">
        <v>2422</v>
      </c>
      <c r="B2588" s="1">
        <v>5.7</v>
      </c>
      <c r="C2588" s="1" t="s">
        <v>1885</v>
      </c>
      <c r="D2588" s="1" t="s">
        <v>3238</v>
      </c>
      <c r="E2588" s="1"/>
      <c r="F2588" s="1"/>
      <c r="G2588" s="1"/>
      <c r="H2588" s="1"/>
      <c r="I2588" s="1"/>
      <c r="J2588" s="1"/>
      <c r="K2588" s="1" t="s">
        <v>7096</v>
      </c>
    </row>
    <row r="2589" ht="14.25" customHeight="1">
      <c r="A2589" s="3" t="s">
        <v>2422</v>
      </c>
      <c r="B2589" s="1">
        <v>7.3</v>
      </c>
      <c r="C2589" s="1" t="s">
        <v>1885</v>
      </c>
      <c r="D2589" s="1" t="s">
        <v>3238</v>
      </c>
      <c r="E2589" s="1"/>
      <c r="F2589" s="1"/>
      <c r="G2589" s="1"/>
      <c r="H2589" s="1"/>
      <c r="I2589" s="1"/>
      <c r="J2589" s="1"/>
      <c r="K2589" s="1" t="s">
        <v>7568</v>
      </c>
    </row>
    <row r="2590" ht="14.25" customHeight="1">
      <c r="A2590" s="3" t="s">
        <v>2422</v>
      </c>
      <c r="B2590" s="1">
        <v>6.3</v>
      </c>
      <c r="C2590" s="1" t="s">
        <v>1885</v>
      </c>
      <c r="D2590" s="1" t="s">
        <v>3238</v>
      </c>
      <c r="E2590" s="1"/>
      <c r="F2590" s="1"/>
      <c r="G2590" s="1"/>
      <c r="H2590" s="1"/>
      <c r="I2590" s="1"/>
      <c r="J2590" s="1"/>
      <c r="K2590" s="1" t="s">
        <v>7672</v>
      </c>
    </row>
    <row r="2591" ht="14.25" customHeight="1">
      <c r="A2591" s="3" t="s">
        <v>2422</v>
      </c>
      <c r="B2591" s="1">
        <v>5.9</v>
      </c>
      <c r="C2591" s="1" t="s">
        <v>1885</v>
      </c>
      <c r="D2591" s="1" t="s">
        <v>3238</v>
      </c>
      <c r="E2591" s="1"/>
      <c r="F2591" s="1"/>
      <c r="G2591" s="1"/>
      <c r="H2591" s="1"/>
      <c r="I2591" s="1"/>
      <c r="J2591" s="1"/>
      <c r="K2591" s="1" t="s">
        <v>8186</v>
      </c>
    </row>
    <row r="2592" ht="14.25" customHeight="1">
      <c r="A2592" s="3" t="s">
        <v>2422</v>
      </c>
      <c r="B2592" s="1">
        <v>7.1</v>
      </c>
      <c r="C2592" s="1" t="s">
        <v>1885</v>
      </c>
      <c r="D2592" s="1" t="s">
        <v>3238</v>
      </c>
      <c r="E2592" s="1"/>
      <c r="F2592" s="1"/>
      <c r="G2592" s="1"/>
      <c r="H2592" s="1"/>
      <c r="I2592" s="1"/>
      <c r="J2592" s="1"/>
      <c r="K2592" s="1" t="s">
        <v>8256</v>
      </c>
    </row>
    <row r="2593" ht="14.25" customHeight="1">
      <c r="A2593" s="3" t="s">
        <v>2422</v>
      </c>
      <c r="B2593" s="1">
        <v>7.1</v>
      </c>
      <c r="C2593" s="1" t="s">
        <v>1885</v>
      </c>
      <c r="D2593" s="1" t="s">
        <v>3238</v>
      </c>
      <c r="E2593" s="1"/>
      <c r="F2593" s="1"/>
      <c r="G2593" s="1"/>
      <c r="H2593" s="1"/>
      <c r="I2593" s="1"/>
      <c r="J2593" s="1"/>
      <c r="K2593" s="1" t="s">
        <v>8372</v>
      </c>
    </row>
    <row r="2594" ht="14.25" customHeight="1">
      <c r="A2594" s="3" t="s">
        <v>2422</v>
      </c>
      <c r="B2594" s="1">
        <v>8.0</v>
      </c>
      <c r="C2594" s="1" t="s">
        <v>1885</v>
      </c>
      <c r="D2594" s="1" t="s">
        <v>3238</v>
      </c>
      <c r="E2594" s="1"/>
      <c r="F2594" s="1"/>
      <c r="G2594" s="1"/>
      <c r="H2594" s="1"/>
      <c r="I2594" s="1"/>
      <c r="J2594" s="1"/>
      <c r="K2594" s="1" t="s">
        <v>8528</v>
      </c>
    </row>
    <row r="2595" ht="14.25" customHeight="1">
      <c r="A2595" s="3" t="s">
        <v>2422</v>
      </c>
      <c r="B2595" s="1">
        <v>5.1</v>
      </c>
      <c r="C2595" s="1" t="s">
        <v>1885</v>
      </c>
      <c r="D2595" s="1" t="s">
        <v>3238</v>
      </c>
      <c r="E2595" s="1"/>
      <c r="F2595" s="1"/>
      <c r="G2595" s="1"/>
      <c r="H2595" s="1"/>
      <c r="I2595" s="1"/>
      <c r="J2595" s="1"/>
      <c r="K2595" s="1" t="s">
        <v>8810</v>
      </c>
    </row>
    <row r="2596" ht="14.25" customHeight="1">
      <c r="A2596" s="3" t="s">
        <v>2422</v>
      </c>
      <c r="B2596" s="1">
        <v>7.1</v>
      </c>
      <c r="C2596" s="1" t="s">
        <v>1885</v>
      </c>
      <c r="D2596" s="1" t="s">
        <v>3238</v>
      </c>
      <c r="E2596" s="1"/>
      <c r="F2596" s="1"/>
      <c r="G2596" s="1"/>
      <c r="H2596" s="1"/>
      <c r="I2596" s="1"/>
      <c r="J2596" s="1"/>
      <c r="K2596" s="1" t="s">
        <v>9174</v>
      </c>
    </row>
    <row r="2597" ht="14.25" customHeight="1">
      <c r="A2597" s="3" t="s">
        <v>2422</v>
      </c>
      <c r="B2597" s="1">
        <v>6.5</v>
      </c>
      <c r="C2597" s="1" t="s">
        <v>1885</v>
      </c>
      <c r="D2597" s="1" t="s">
        <v>3238</v>
      </c>
      <c r="E2597" s="1"/>
      <c r="F2597" s="1"/>
      <c r="G2597" s="1"/>
      <c r="H2597" s="1"/>
      <c r="I2597" s="1"/>
      <c r="J2597" s="1"/>
      <c r="K2597" s="1" t="s">
        <v>9246</v>
      </c>
    </row>
    <row r="2598" ht="14.25" customHeight="1">
      <c r="A2598" s="3" t="s">
        <v>2422</v>
      </c>
      <c r="B2598" s="1">
        <v>4.5</v>
      </c>
      <c r="C2598" s="1" t="s">
        <v>1885</v>
      </c>
      <c r="D2598" s="1" t="s">
        <v>3238</v>
      </c>
      <c r="E2598" s="1"/>
      <c r="F2598" s="1"/>
      <c r="G2598" s="1"/>
      <c r="H2598" s="1"/>
      <c r="I2598" s="1"/>
      <c r="J2598" s="1"/>
      <c r="K2598" s="1" t="s">
        <v>9432</v>
      </c>
    </row>
    <row r="2599" ht="14.25" customHeight="1">
      <c r="A2599" s="3" t="s">
        <v>2422</v>
      </c>
      <c r="B2599" s="1">
        <v>6.6</v>
      </c>
      <c r="C2599" s="1" t="s">
        <v>1885</v>
      </c>
      <c r="D2599" s="1" t="s">
        <v>3238</v>
      </c>
      <c r="E2599" s="1"/>
      <c r="F2599" s="1"/>
      <c r="G2599" s="1"/>
      <c r="H2599" s="1"/>
      <c r="I2599" s="1"/>
      <c r="J2599" s="1"/>
      <c r="K2599" s="1" t="s">
        <v>9533</v>
      </c>
    </row>
    <row r="2600" ht="14.25" customHeight="1">
      <c r="A2600" s="3" t="s">
        <v>2422</v>
      </c>
      <c r="B2600" s="1">
        <v>4.3</v>
      </c>
      <c r="C2600" s="1" t="s">
        <v>1885</v>
      </c>
      <c r="D2600" s="1" t="s">
        <v>3238</v>
      </c>
      <c r="E2600" s="1"/>
      <c r="F2600" s="1"/>
      <c r="G2600" s="1"/>
      <c r="H2600" s="1"/>
      <c r="I2600" s="1"/>
      <c r="J2600" s="1"/>
      <c r="K2600" s="1" t="s">
        <v>9572</v>
      </c>
    </row>
    <row r="2601" ht="14.25" customHeight="1">
      <c r="A2601" s="3" t="s">
        <v>2422</v>
      </c>
      <c r="B2601" s="1">
        <v>6.7</v>
      </c>
      <c r="C2601" s="1" t="s">
        <v>1885</v>
      </c>
      <c r="D2601" s="1" t="s">
        <v>3238</v>
      </c>
      <c r="E2601" s="1"/>
      <c r="F2601" s="1"/>
      <c r="G2601" s="1"/>
      <c r="H2601" s="1"/>
      <c r="I2601" s="1"/>
      <c r="J2601" s="1"/>
      <c r="K2601" s="1" t="s">
        <v>9744</v>
      </c>
    </row>
    <row r="2602" ht="14.25" customHeight="1">
      <c r="A2602" s="3" t="s">
        <v>2422</v>
      </c>
      <c r="B2602" s="1">
        <v>5.4</v>
      </c>
      <c r="C2602" s="1" t="s">
        <v>1885</v>
      </c>
      <c r="D2602" s="1" t="s">
        <v>3238</v>
      </c>
      <c r="E2602" s="1"/>
      <c r="F2602" s="1"/>
      <c r="G2602" s="1"/>
      <c r="H2602" s="1"/>
      <c r="I2602" s="1"/>
      <c r="J2602" s="1"/>
      <c r="K2602" s="1" t="s">
        <v>9843</v>
      </c>
    </row>
    <row r="2603" ht="14.25" customHeight="1">
      <c r="A2603" s="3" t="s">
        <v>2422</v>
      </c>
      <c r="B2603" s="1">
        <v>6.6</v>
      </c>
      <c r="C2603" s="1" t="s">
        <v>1885</v>
      </c>
      <c r="D2603" s="1" t="s">
        <v>3238</v>
      </c>
      <c r="E2603" s="1"/>
      <c r="F2603" s="1"/>
      <c r="G2603" s="1"/>
      <c r="H2603" s="1"/>
      <c r="I2603" s="1"/>
      <c r="J2603" s="1"/>
      <c r="K2603" s="1" t="s">
        <v>9976</v>
      </c>
    </row>
    <row r="2604" ht="14.25" customHeight="1">
      <c r="A2604" s="3" t="s">
        <v>2422</v>
      </c>
      <c r="B2604" s="1">
        <v>7.3</v>
      </c>
      <c r="C2604" s="1" t="s">
        <v>1885</v>
      </c>
      <c r="D2604" s="1" t="s">
        <v>3238</v>
      </c>
      <c r="E2604" s="1"/>
      <c r="F2604" s="1"/>
      <c r="G2604" s="1"/>
      <c r="H2604" s="1"/>
      <c r="I2604" s="1"/>
      <c r="J2604" s="1"/>
      <c r="K2604" s="1" t="s">
        <v>10130</v>
      </c>
    </row>
    <row r="2605" ht="14.25" customHeight="1">
      <c r="A2605" s="3" t="s">
        <v>2422</v>
      </c>
      <c r="B2605" s="1">
        <v>6.9</v>
      </c>
      <c r="C2605" s="1" t="s">
        <v>1885</v>
      </c>
      <c r="D2605" s="1" t="s">
        <v>3238</v>
      </c>
      <c r="E2605" s="1"/>
      <c r="F2605" s="1"/>
      <c r="G2605" s="1"/>
      <c r="H2605" s="1"/>
      <c r="I2605" s="1"/>
      <c r="J2605" s="1"/>
      <c r="K2605" s="1" t="s">
        <v>10257</v>
      </c>
    </row>
    <row r="2606" ht="14.25" customHeight="1">
      <c r="A2606" s="3" t="s">
        <v>2422</v>
      </c>
      <c r="B2606" s="1">
        <v>8.0</v>
      </c>
      <c r="C2606" s="1" t="s">
        <v>1885</v>
      </c>
      <c r="D2606" s="1" t="s">
        <v>3238</v>
      </c>
      <c r="E2606" s="1"/>
      <c r="F2606" s="1"/>
      <c r="G2606" s="1"/>
      <c r="H2606" s="1"/>
      <c r="I2606" s="1"/>
      <c r="J2606" s="1"/>
      <c r="K2606" s="1" t="s">
        <v>10306</v>
      </c>
    </row>
    <row r="2607" ht="14.25" customHeight="1">
      <c r="A2607" s="3" t="s">
        <v>2422</v>
      </c>
      <c r="B2607" s="1">
        <v>7.8</v>
      </c>
      <c r="C2607" s="1" t="s">
        <v>1885</v>
      </c>
      <c r="D2607" s="1" t="s">
        <v>3238</v>
      </c>
      <c r="E2607" s="1"/>
      <c r="F2607" s="1"/>
      <c r="G2607" s="1"/>
      <c r="H2607" s="1"/>
      <c r="I2607" s="1"/>
      <c r="J2607" s="1"/>
      <c r="K2607" s="1" t="s">
        <v>10556</v>
      </c>
    </row>
    <row r="2608" ht="14.25" customHeight="1">
      <c r="A2608" s="3" t="s">
        <v>2422</v>
      </c>
      <c r="B2608" s="1">
        <v>6.1</v>
      </c>
      <c r="C2608" s="1" t="s">
        <v>1885</v>
      </c>
      <c r="D2608" s="1" t="s">
        <v>3238</v>
      </c>
      <c r="E2608" s="1"/>
      <c r="F2608" s="1"/>
      <c r="G2608" s="1"/>
      <c r="H2608" s="1"/>
      <c r="I2608" s="1"/>
      <c r="J2608" s="1"/>
      <c r="K2608" s="1" t="s">
        <v>10631</v>
      </c>
    </row>
    <row r="2609" ht="14.25" customHeight="1">
      <c r="A2609" s="3" t="s">
        <v>2422</v>
      </c>
      <c r="B2609" s="1">
        <v>5.1</v>
      </c>
      <c r="C2609" s="1" t="s">
        <v>1885</v>
      </c>
      <c r="D2609" s="1" t="s">
        <v>3238</v>
      </c>
      <c r="E2609" s="1"/>
      <c r="F2609" s="1"/>
      <c r="G2609" s="1"/>
      <c r="H2609" s="1"/>
      <c r="I2609" s="1"/>
      <c r="J2609" s="1"/>
      <c r="K2609" s="1" t="s">
        <v>10688</v>
      </c>
    </row>
    <row r="2610" ht="14.25" customHeight="1">
      <c r="A2610" s="3" t="s">
        <v>2422</v>
      </c>
      <c r="B2610" s="1">
        <v>7.4</v>
      </c>
      <c r="C2610" s="1" t="s">
        <v>1885</v>
      </c>
      <c r="D2610" s="1" t="s">
        <v>3238</v>
      </c>
      <c r="E2610" s="1"/>
      <c r="F2610" s="1"/>
      <c r="G2610" s="1"/>
      <c r="H2610" s="1"/>
      <c r="I2610" s="1"/>
      <c r="J2610" s="1"/>
      <c r="K2610" s="1" t="s">
        <v>11034</v>
      </c>
    </row>
    <row r="2611" ht="14.25" customHeight="1">
      <c r="A2611" s="3" t="s">
        <v>2422</v>
      </c>
      <c r="B2611" s="1">
        <v>7.8</v>
      </c>
      <c r="C2611" s="1" t="s">
        <v>1885</v>
      </c>
      <c r="D2611" s="1" t="s">
        <v>3238</v>
      </c>
      <c r="E2611" s="1"/>
      <c r="F2611" s="1"/>
      <c r="G2611" s="1"/>
      <c r="H2611" s="1"/>
      <c r="I2611" s="1"/>
      <c r="J2611" s="1"/>
      <c r="K2611" s="1" t="s">
        <v>11190</v>
      </c>
    </row>
    <row r="2612" ht="14.25" customHeight="1">
      <c r="A2612" s="3" t="s">
        <v>2422</v>
      </c>
      <c r="B2612" s="1">
        <v>8.0</v>
      </c>
      <c r="C2612" s="1" t="s">
        <v>1885</v>
      </c>
      <c r="D2612" s="1" t="s">
        <v>3238</v>
      </c>
      <c r="E2612" s="1"/>
      <c r="F2612" s="1"/>
      <c r="G2612" s="1"/>
      <c r="H2612" s="1"/>
      <c r="I2612" s="1"/>
      <c r="J2612" s="1"/>
      <c r="K2612" s="1" t="s">
        <v>11276</v>
      </c>
    </row>
    <row r="2613" ht="14.25" customHeight="1">
      <c r="A2613" s="3" t="s">
        <v>2422</v>
      </c>
      <c r="B2613" s="1">
        <v>6.7</v>
      </c>
      <c r="C2613" s="1" t="s">
        <v>1885</v>
      </c>
      <c r="D2613" s="1" t="s">
        <v>3238</v>
      </c>
      <c r="E2613" s="1"/>
      <c r="F2613" s="1"/>
      <c r="G2613" s="1"/>
      <c r="H2613" s="1"/>
      <c r="I2613" s="1"/>
      <c r="J2613" s="1"/>
      <c r="K2613" s="1" t="s">
        <v>11486</v>
      </c>
    </row>
    <row r="2614" ht="14.25" customHeight="1">
      <c r="A2614" s="3" t="s">
        <v>2422</v>
      </c>
      <c r="B2614" s="1">
        <v>6.6</v>
      </c>
      <c r="C2614" s="1" t="s">
        <v>1885</v>
      </c>
      <c r="D2614" s="1" t="s">
        <v>3238</v>
      </c>
      <c r="E2614" s="1"/>
      <c r="F2614" s="1"/>
      <c r="G2614" s="1"/>
      <c r="H2614" s="1"/>
      <c r="I2614" s="1"/>
      <c r="J2614" s="1"/>
      <c r="K2614" s="1" t="s">
        <v>11508</v>
      </c>
    </row>
    <row r="2615" ht="14.25" customHeight="1">
      <c r="A2615" s="3" t="s">
        <v>2422</v>
      </c>
      <c r="B2615" s="1">
        <v>6.4</v>
      </c>
      <c r="C2615" s="1" t="s">
        <v>1885</v>
      </c>
      <c r="D2615" s="1" t="s">
        <v>3238</v>
      </c>
      <c r="E2615" s="1"/>
      <c r="F2615" s="1"/>
      <c r="G2615" s="1"/>
      <c r="H2615" s="1"/>
      <c r="I2615" s="1"/>
      <c r="J2615" s="1"/>
      <c r="K2615" s="1" t="s">
        <v>12094</v>
      </c>
    </row>
    <row r="2616" ht="14.25" customHeight="1">
      <c r="A2616" s="3" t="s">
        <v>2422</v>
      </c>
      <c r="B2616" s="1">
        <v>6.7</v>
      </c>
      <c r="C2616" s="1" t="s">
        <v>1885</v>
      </c>
      <c r="D2616" s="1" t="s">
        <v>3238</v>
      </c>
      <c r="E2616" s="1"/>
      <c r="F2616" s="1"/>
      <c r="G2616" s="1"/>
      <c r="H2616" s="1"/>
      <c r="I2616" s="1"/>
      <c r="J2616" s="1"/>
      <c r="K2616" s="1" t="s">
        <v>12251</v>
      </c>
    </row>
    <row r="2617" ht="14.25" customHeight="1">
      <c r="A2617" s="3" t="s">
        <v>2422</v>
      </c>
      <c r="B2617" s="1">
        <v>6.2</v>
      </c>
      <c r="C2617" s="1" t="s">
        <v>1885</v>
      </c>
      <c r="D2617" s="1" t="s">
        <v>3238</v>
      </c>
      <c r="E2617" s="1"/>
      <c r="F2617" s="1"/>
      <c r="G2617" s="1"/>
      <c r="H2617" s="1"/>
      <c r="I2617" s="1"/>
      <c r="J2617" s="1"/>
      <c r="K2617" s="1" t="s">
        <v>12572</v>
      </c>
    </row>
    <row r="2618" ht="14.25" customHeight="1">
      <c r="A2618" s="3" t="s">
        <v>2422</v>
      </c>
      <c r="B2618" s="1">
        <v>7.3</v>
      </c>
      <c r="C2618" s="1" t="s">
        <v>1885</v>
      </c>
      <c r="D2618" s="1" t="s">
        <v>3238</v>
      </c>
      <c r="E2618" s="1"/>
      <c r="F2618" s="1"/>
      <c r="G2618" s="1"/>
      <c r="H2618" s="1"/>
      <c r="I2618" s="1"/>
      <c r="J2618" s="1"/>
      <c r="K2618" s="1" t="s">
        <v>12629</v>
      </c>
    </row>
    <row r="2619" ht="14.25" customHeight="1">
      <c r="A2619" s="3" t="s">
        <v>2422</v>
      </c>
      <c r="B2619" s="1">
        <v>8.1</v>
      </c>
      <c r="C2619" s="1" t="s">
        <v>1885</v>
      </c>
      <c r="D2619" s="1" t="s">
        <v>3238</v>
      </c>
      <c r="E2619" s="1"/>
      <c r="F2619" s="1"/>
      <c r="G2619" s="1"/>
      <c r="H2619" s="1"/>
      <c r="I2619" s="1"/>
      <c r="J2619" s="1"/>
      <c r="K2619" s="1" t="s">
        <v>12698</v>
      </c>
    </row>
    <row r="2620" ht="14.25" customHeight="1">
      <c r="A2620" s="3" t="s">
        <v>2422</v>
      </c>
      <c r="B2620" s="1">
        <v>7.0</v>
      </c>
      <c r="C2620" s="1" t="s">
        <v>1885</v>
      </c>
      <c r="D2620" s="1" t="s">
        <v>3238</v>
      </c>
      <c r="E2620" s="1"/>
      <c r="F2620" s="1"/>
      <c r="G2620" s="1"/>
      <c r="H2620" s="1"/>
      <c r="I2620" s="1"/>
      <c r="J2620" s="1"/>
      <c r="K2620" s="1" t="s">
        <v>12723</v>
      </c>
    </row>
    <row r="2621" ht="14.25" customHeight="1">
      <c r="A2621" s="3" t="s">
        <v>2422</v>
      </c>
      <c r="B2621" s="1">
        <v>8.0</v>
      </c>
      <c r="C2621" s="1" t="s">
        <v>1885</v>
      </c>
      <c r="D2621" s="1" t="s">
        <v>3238</v>
      </c>
      <c r="E2621" s="1"/>
      <c r="F2621" s="1"/>
      <c r="G2621" s="1"/>
      <c r="H2621" s="1"/>
      <c r="I2621" s="1"/>
      <c r="J2621" s="1"/>
      <c r="K2621" s="1" t="s">
        <v>12780</v>
      </c>
    </row>
    <row r="2622" ht="14.25" customHeight="1">
      <c r="A2622" s="3" t="s">
        <v>2422</v>
      </c>
      <c r="B2622" s="1">
        <v>8.0</v>
      </c>
      <c r="C2622" s="1" t="s">
        <v>1885</v>
      </c>
      <c r="D2622" s="1" t="s">
        <v>3238</v>
      </c>
      <c r="E2622" s="1"/>
      <c r="F2622" s="1"/>
      <c r="G2622" s="1"/>
      <c r="H2622" s="1"/>
      <c r="I2622" s="1"/>
      <c r="J2622" s="1"/>
      <c r="K2622" s="1" t="s">
        <v>12784</v>
      </c>
    </row>
    <row r="2623" ht="14.25" customHeight="1">
      <c r="A2623" s="3" t="s">
        <v>2422</v>
      </c>
      <c r="B2623" s="1">
        <v>7.0</v>
      </c>
      <c r="C2623" s="1" t="s">
        <v>1885</v>
      </c>
      <c r="D2623" s="1" t="s">
        <v>3238</v>
      </c>
      <c r="E2623" s="1"/>
      <c r="F2623" s="1"/>
      <c r="G2623" s="1"/>
      <c r="H2623" s="1"/>
      <c r="I2623" s="1"/>
      <c r="J2623" s="1"/>
      <c r="K2623" s="1" t="s">
        <v>12793</v>
      </c>
    </row>
    <row r="2624" ht="14.25" customHeight="1">
      <c r="A2624" s="3" t="s">
        <v>2422</v>
      </c>
      <c r="B2624" s="1">
        <v>7.9</v>
      </c>
      <c r="C2624" s="1" t="s">
        <v>1885</v>
      </c>
      <c r="D2624" s="1" t="s">
        <v>3238</v>
      </c>
      <c r="E2624" s="1"/>
      <c r="F2624" s="1"/>
      <c r="G2624" s="1"/>
      <c r="H2624" s="1"/>
      <c r="I2624" s="1"/>
      <c r="J2624" s="1"/>
      <c r="K2624" s="1" t="s">
        <v>12832</v>
      </c>
    </row>
    <row r="2625" ht="14.25" customHeight="1">
      <c r="A2625" s="3" t="s">
        <v>2422</v>
      </c>
      <c r="B2625" s="1">
        <v>5.9</v>
      </c>
      <c r="C2625" s="1" t="s">
        <v>1885</v>
      </c>
      <c r="D2625" s="1" t="s">
        <v>3238</v>
      </c>
      <c r="E2625" s="1"/>
      <c r="F2625" s="1"/>
      <c r="G2625" s="1"/>
      <c r="H2625" s="1"/>
      <c r="I2625" s="1"/>
      <c r="J2625" s="1"/>
      <c r="K2625" s="1" t="s">
        <v>12871</v>
      </c>
    </row>
    <row r="2626" ht="14.25" customHeight="1">
      <c r="A2626" s="3" t="s">
        <v>2422</v>
      </c>
      <c r="B2626" s="1">
        <v>6.6</v>
      </c>
      <c r="C2626" s="1" t="s">
        <v>1885</v>
      </c>
      <c r="D2626" s="1" t="s">
        <v>3238</v>
      </c>
      <c r="E2626" s="1"/>
      <c r="F2626" s="1"/>
      <c r="G2626" s="1"/>
      <c r="H2626" s="1"/>
      <c r="I2626" s="1"/>
      <c r="J2626" s="1"/>
      <c r="K2626" s="1" t="s">
        <v>13003</v>
      </c>
    </row>
    <row r="2627" ht="14.25" customHeight="1">
      <c r="A2627" s="3" t="s">
        <v>2422</v>
      </c>
      <c r="B2627" s="1">
        <v>6.3</v>
      </c>
      <c r="C2627" s="1" t="s">
        <v>1885</v>
      </c>
      <c r="D2627" s="1" t="s">
        <v>3238</v>
      </c>
      <c r="E2627" s="1"/>
      <c r="F2627" s="1"/>
      <c r="G2627" s="1"/>
      <c r="H2627" s="1"/>
      <c r="I2627" s="1"/>
      <c r="J2627" s="1"/>
      <c r="K2627" s="1" t="s">
        <v>13191</v>
      </c>
    </row>
    <row r="2628" ht="14.25" customHeight="1">
      <c r="A2628" s="3" t="s">
        <v>2422</v>
      </c>
      <c r="B2628" s="1">
        <v>7.7</v>
      </c>
      <c r="C2628" s="1" t="s">
        <v>1885</v>
      </c>
      <c r="D2628" s="1" t="s">
        <v>3238</v>
      </c>
      <c r="E2628" s="1"/>
      <c r="F2628" s="1"/>
      <c r="G2628" s="1"/>
      <c r="H2628" s="1"/>
      <c r="I2628" s="1"/>
      <c r="J2628" s="1"/>
      <c r="K2628" s="1" t="s">
        <v>13213</v>
      </c>
    </row>
    <row r="2629" ht="14.25" customHeight="1">
      <c r="A2629" s="3" t="s">
        <v>2422</v>
      </c>
      <c r="B2629" s="1">
        <v>6.9</v>
      </c>
      <c r="C2629" s="1" t="s">
        <v>1885</v>
      </c>
      <c r="D2629" s="1" t="s">
        <v>3238</v>
      </c>
      <c r="E2629" s="1"/>
      <c r="F2629" s="1"/>
      <c r="G2629" s="1"/>
      <c r="H2629" s="1"/>
      <c r="I2629" s="1"/>
      <c r="J2629" s="1"/>
      <c r="K2629" s="1" t="s">
        <v>13241</v>
      </c>
    </row>
    <row r="2630" ht="14.25" customHeight="1">
      <c r="A2630" s="3" t="s">
        <v>2422</v>
      </c>
      <c r="B2630" s="1">
        <v>7.1</v>
      </c>
      <c r="C2630" s="1" t="s">
        <v>1885</v>
      </c>
      <c r="D2630" s="1" t="s">
        <v>3238</v>
      </c>
      <c r="E2630" s="1"/>
      <c r="F2630" s="1"/>
      <c r="G2630" s="1"/>
      <c r="H2630" s="1"/>
      <c r="I2630" s="1"/>
      <c r="J2630" s="1"/>
      <c r="K2630" s="1" t="s">
        <v>13297</v>
      </c>
    </row>
    <row r="2631" ht="14.25" customHeight="1">
      <c r="A2631" s="3" t="s">
        <v>2422</v>
      </c>
      <c r="B2631" s="1">
        <v>7.4</v>
      </c>
      <c r="C2631" s="1" t="s">
        <v>1885</v>
      </c>
      <c r="D2631" s="1" t="s">
        <v>3238</v>
      </c>
      <c r="E2631" s="1"/>
      <c r="F2631" s="1"/>
      <c r="G2631" s="1"/>
      <c r="H2631" s="1"/>
      <c r="I2631" s="1"/>
      <c r="J2631" s="1"/>
      <c r="K2631" s="1" t="s">
        <v>13303</v>
      </c>
    </row>
    <row r="2632" ht="14.25" customHeight="1">
      <c r="A2632" s="3" t="s">
        <v>2422</v>
      </c>
      <c r="B2632" s="1">
        <v>6.5</v>
      </c>
      <c r="C2632" s="1" t="s">
        <v>1885</v>
      </c>
      <c r="D2632" s="1" t="s">
        <v>3238</v>
      </c>
      <c r="E2632" s="1"/>
      <c r="F2632" s="1"/>
      <c r="G2632" s="1"/>
      <c r="H2632" s="1"/>
      <c r="I2632" s="1"/>
      <c r="J2632" s="1"/>
      <c r="K2632" s="1" t="s">
        <v>13453</v>
      </c>
    </row>
    <row r="2633" ht="14.25" customHeight="1">
      <c r="A2633" s="3" t="s">
        <v>2422</v>
      </c>
      <c r="B2633" s="1">
        <v>6.5</v>
      </c>
      <c r="C2633" s="1" t="s">
        <v>1885</v>
      </c>
      <c r="D2633" s="1" t="s">
        <v>3238</v>
      </c>
      <c r="E2633" s="1"/>
      <c r="F2633" s="1"/>
      <c r="G2633" s="1"/>
      <c r="H2633" s="1"/>
      <c r="I2633" s="1"/>
      <c r="J2633" s="1"/>
      <c r="K2633" s="1" t="s">
        <v>13471</v>
      </c>
    </row>
    <row r="2634" ht="14.25" customHeight="1">
      <c r="A2634" s="3" t="s">
        <v>2422</v>
      </c>
      <c r="B2634" s="1">
        <v>6.8</v>
      </c>
      <c r="C2634" s="1" t="s">
        <v>1885</v>
      </c>
      <c r="D2634" s="1" t="s">
        <v>3238</v>
      </c>
      <c r="E2634" s="1"/>
      <c r="F2634" s="1"/>
      <c r="G2634" s="1"/>
      <c r="H2634" s="1"/>
      <c r="I2634" s="1"/>
      <c r="J2634" s="1"/>
      <c r="K2634" s="1" t="s">
        <v>13530</v>
      </c>
    </row>
    <row r="2635" ht="14.25" customHeight="1">
      <c r="A2635" s="3" t="s">
        <v>2422</v>
      </c>
      <c r="B2635" s="1">
        <v>7.5</v>
      </c>
      <c r="C2635" s="1" t="s">
        <v>1885</v>
      </c>
      <c r="D2635" s="1" t="s">
        <v>3238</v>
      </c>
      <c r="E2635" s="1"/>
      <c r="F2635" s="1"/>
      <c r="G2635" s="1"/>
      <c r="H2635" s="1"/>
      <c r="I2635" s="1"/>
      <c r="J2635" s="1"/>
      <c r="K2635" s="1" t="s">
        <v>13562</v>
      </c>
    </row>
    <row r="2636" ht="14.25" customHeight="1">
      <c r="A2636" s="3" t="s">
        <v>2422</v>
      </c>
      <c r="B2636" s="1">
        <v>6.6</v>
      </c>
      <c r="C2636" s="1" t="s">
        <v>1885</v>
      </c>
      <c r="D2636" s="1" t="s">
        <v>3238</v>
      </c>
      <c r="E2636" s="1"/>
      <c r="F2636" s="1"/>
      <c r="G2636" s="1"/>
      <c r="H2636" s="1"/>
      <c r="I2636" s="1"/>
      <c r="J2636" s="1"/>
      <c r="K2636" s="1" t="s">
        <v>13603</v>
      </c>
    </row>
    <row r="2637" ht="14.25" customHeight="1">
      <c r="A2637" s="3" t="s">
        <v>2422</v>
      </c>
      <c r="B2637" s="1">
        <v>7.1</v>
      </c>
      <c r="C2637" s="1" t="s">
        <v>1885</v>
      </c>
      <c r="D2637" s="1" t="s">
        <v>3238</v>
      </c>
      <c r="E2637" s="1"/>
      <c r="F2637" s="1"/>
      <c r="G2637" s="1"/>
      <c r="H2637" s="1"/>
      <c r="I2637" s="1"/>
      <c r="J2637" s="1"/>
      <c r="K2637" s="1" t="s">
        <v>13633</v>
      </c>
    </row>
    <row r="2638" ht="14.25" customHeight="1">
      <c r="A2638" s="3" t="s">
        <v>2422</v>
      </c>
      <c r="B2638" s="1">
        <v>6.6</v>
      </c>
      <c r="C2638" s="1" t="s">
        <v>1885</v>
      </c>
      <c r="D2638" s="1" t="s">
        <v>3238</v>
      </c>
      <c r="E2638" s="1"/>
      <c r="F2638" s="1"/>
      <c r="G2638" s="1"/>
      <c r="H2638" s="1"/>
      <c r="I2638" s="1"/>
      <c r="J2638" s="1"/>
      <c r="K2638" s="1" t="s">
        <v>13641</v>
      </c>
    </row>
    <row r="2639" ht="14.25" customHeight="1">
      <c r="A2639" s="3" t="s">
        <v>2422</v>
      </c>
      <c r="B2639" s="1">
        <v>7.0</v>
      </c>
      <c r="C2639" s="1" t="s">
        <v>1885</v>
      </c>
      <c r="D2639" s="1" t="s">
        <v>3238</v>
      </c>
      <c r="E2639" s="1"/>
      <c r="F2639" s="1"/>
      <c r="G2639" s="1"/>
      <c r="H2639" s="1"/>
      <c r="I2639" s="1"/>
      <c r="J2639" s="1"/>
      <c r="K2639" s="1" t="s">
        <v>13657</v>
      </c>
    </row>
    <row r="2640" ht="14.25" customHeight="1">
      <c r="A2640" s="3" t="s">
        <v>2422</v>
      </c>
      <c r="B2640" s="1">
        <v>3.3</v>
      </c>
      <c r="C2640" s="1" t="s">
        <v>1885</v>
      </c>
      <c r="D2640" s="1" t="s">
        <v>3238</v>
      </c>
      <c r="E2640" s="1"/>
      <c r="F2640" s="1"/>
      <c r="G2640" s="1"/>
      <c r="H2640" s="1"/>
      <c r="I2640" s="1"/>
      <c r="J2640" s="1"/>
      <c r="K2640" s="1" t="s">
        <v>13730</v>
      </c>
    </row>
    <row r="2641" ht="14.25" customHeight="1">
      <c r="A2641" s="3" t="s">
        <v>2422</v>
      </c>
      <c r="B2641" s="1">
        <v>6.7</v>
      </c>
      <c r="C2641" s="1" t="s">
        <v>1885</v>
      </c>
      <c r="D2641" s="1" t="s">
        <v>3238</v>
      </c>
      <c r="E2641" s="1"/>
      <c r="F2641" s="1"/>
      <c r="G2641" s="1"/>
      <c r="H2641" s="1"/>
      <c r="I2641" s="1"/>
      <c r="J2641" s="1"/>
      <c r="K2641" s="1" t="s">
        <v>13777</v>
      </c>
    </row>
    <row r="2642" ht="14.25" customHeight="1">
      <c r="A2642" s="3" t="s">
        <v>2422</v>
      </c>
      <c r="B2642" s="1">
        <v>6.8</v>
      </c>
      <c r="C2642" s="1" t="s">
        <v>1885</v>
      </c>
      <c r="D2642" s="1" t="s">
        <v>3238</v>
      </c>
      <c r="E2642" s="1"/>
      <c r="F2642" s="1"/>
      <c r="G2642" s="1"/>
      <c r="H2642" s="1"/>
      <c r="I2642" s="1"/>
      <c r="J2642" s="1"/>
      <c r="K2642" s="1" t="s">
        <v>13868</v>
      </c>
    </row>
    <row r="2643" ht="14.25" customHeight="1">
      <c r="A2643" s="3" t="s">
        <v>2422</v>
      </c>
      <c r="B2643" s="1">
        <v>6.0</v>
      </c>
      <c r="C2643" s="1" t="s">
        <v>1885</v>
      </c>
      <c r="D2643" s="1" t="s">
        <v>3238</v>
      </c>
      <c r="E2643" s="1"/>
      <c r="F2643" s="1"/>
      <c r="G2643" s="1"/>
      <c r="H2643" s="1"/>
      <c r="I2643" s="1"/>
      <c r="J2643" s="1"/>
      <c r="K2643" s="1" t="s">
        <v>13926</v>
      </c>
    </row>
    <row r="2644" ht="14.25" customHeight="1">
      <c r="A2644" s="3" t="s">
        <v>2422</v>
      </c>
      <c r="B2644" s="1">
        <v>5.4</v>
      </c>
      <c r="C2644" s="1" t="s">
        <v>1885</v>
      </c>
      <c r="D2644" s="1" t="s">
        <v>3238</v>
      </c>
      <c r="E2644" s="1"/>
      <c r="F2644" s="1"/>
      <c r="G2644" s="1"/>
      <c r="H2644" s="1"/>
      <c r="I2644" s="1"/>
      <c r="J2644" s="1"/>
      <c r="K2644" s="1" t="s">
        <v>14028</v>
      </c>
    </row>
    <row r="2645" ht="14.25" customHeight="1">
      <c r="A2645" s="3" t="s">
        <v>2422</v>
      </c>
      <c r="B2645" s="1">
        <v>4.3</v>
      </c>
      <c r="C2645" s="1" t="s">
        <v>1885</v>
      </c>
      <c r="D2645" s="1" t="s">
        <v>3238</v>
      </c>
      <c r="E2645" s="1"/>
      <c r="F2645" s="1"/>
      <c r="G2645" s="1"/>
      <c r="H2645" s="1"/>
      <c r="I2645" s="1"/>
      <c r="J2645" s="1"/>
      <c r="K2645" s="1" t="s">
        <v>14045</v>
      </c>
    </row>
    <row r="2646" ht="14.25" customHeight="1">
      <c r="A2646" s="3" t="s">
        <v>2422</v>
      </c>
      <c r="B2646" s="1">
        <v>6.2</v>
      </c>
      <c r="C2646" s="1" t="s">
        <v>1885</v>
      </c>
      <c r="D2646" s="1" t="s">
        <v>3238</v>
      </c>
      <c r="E2646" s="1"/>
      <c r="F2646" s="1"/>
      <c r="G2646" s="1"/>
      <c r="H2646" s="1"/>
      <c r="I2646" s="1"/>
      <c r="J2646" s="1"/>
      <c r="K2646" s="1" t="s">
        <v>14157</v>
      </c>
    </row>
    <row r="2647" ht="14.25" customHeight="1">
      <c r="A2647" s="3" t="s">
        <v>2422</v>
      </c>
      <c r="B2647" s="1">
        <v>7.7</v>
      </c>
      <c r="C2647" s="1" t="s">
        <v>1885</v>
      </c>
      <c r="D2647" s="1" t="s">
        <v>3238</v>
      </c>
      <c r="E2647" s="1"/>
      <c r="F2647" s="1"/>
      <c r="G2647" s="1"/>
      <c r="H2647" s="1"/>
      <c r="I2647" s="1"/>
      <c r="J2647" s="1"/>
      <c r="K2647" s="1" t="s">
        <v>14167</v>
      </c>
    </row>
    <row r="2648" ht="14.25" customHeight="1">
      <c r="A2648" s="3" t="s">
        <v>2422</v>
      </c>
      <c r="B2648" s="1">
        <v>8.0</v>
      </c>
      <c r="C2648" s="1" t="s">
        <v>1885</v>
      </c>
      <c r="D2648" s="1" t="s">
        <v>3238</v>
      </c>
      <c r="E2648" s="1"/>
      <c r="F2648" s="1"/>
      <c r="G2648" s="1"/>
      <c r="H2648" s="1"/>
      <c r="I2648" s="1"/>
      <c r="J2648" s="1"/>
      <c r="K2648" s="1" t="s">
        <v>14256</v>
      </c>
    </row>
    <row r="2649" ht="14.25" customHeight="1">
      <c r="A2649" s="3" t="s">
        <v>2422</v>
      </c>
      <c r="B2649" s="1">
        <v>7.4</v>
      </c>
      <c r="C2649" s="1" t="s">
        <v>1885</v>
      </c>
      <c r="D2649" s="1" t="s">
        <v>3238</v>
      </c>
      <c r="E2649" s="1"/>
      <c r="F2649" s="1"/>
      <c r="G2649" s="1"/>
      <c r="H2649" s="1"/>
      <c r="I2649" s="1"/>
      <c r="J2649" s="1"/>
      <c r="K2649" s="1" t="s">
        <v>14272</v>
      </c>
    </row>
    <row r="2650" ht="14.25" customHeight="1">
      <c r="A2650" s="3" t="s">
        <v>2422</v>
      </c>
      <c r="B2650" s="1">
        <v>5.9</v>
      </c>
      <c r="C2650" s="1" t="s">
        <v>1885</v>
      </c>
      <c r="D2650" s="1" t="s">
        <v>3238</v>
      </c>
      <c r="E2650" s="1"/>
      <c r="F2650" s="1"/>
      <c r="G2650" s="1"/>
      <c r="H2650" s="1"/>
      <c r="I2650" s="1"/>
      <c r="J2650" s="1"/>
      <c r="K2650" s="1" t="s">
        <v>14332</v>
      </c>
    </row>
    <row r="2651" ht="14.25" customHeight="1">
      <c r="A2651" s="3" t="s">
        <v>2422</v>
      </c>
      <c r="B2651" s="1">
        <v>7.8</v>
      </c>
      <c r="C2651" s="1" t="s">
        <v>1885</v>
      </c>
      <c r="D2651" s="1" t="s">
        <v>3238</v>
      </c>
      <c r="E2651" s="1"/>
      <c r="F2651" s="1"/>
      <c r="G2651" s="1"/>
      <c r="H2651" s="1"/>
      <c r="I2651" s="1"/>
      <c r="J2651" s="1"/>
      <c r="K2651" s="1" t="s">
        <v>14430</v>
      </c>
    </row>
    <row r="2652" ht="14.25" customHeight="1">
      <c r="A2652" s="3" t="s">
        <v>2422</v>
      </c>
      <c r="B2652" s="1">
        <v>7.4</v>
      </c>
      <c r="C2652" s="1" t="s">
        <v>1885</v>
      </c>
      <c r="D2652" s="1" t="s">
        <v>3238</v>
      </c>
      <c r="E2652" s="1"/>
      <c r="F2652" s="1"/>
      <c r="G2652" s="1"/>
      <c r="H2652" s="1"/>
      <c r="I2652" s="1"/>
      <c r="J2652" s="1"/>
      <c r="K2652" s="1" t="s">
        <v>14471</v>
      </c>
    </row>
    <row r="2653" ht="14.25" customHeight="1">
      <c r="A2653" s="3" t="s">
        <v>2422</v>
      </c>
      <c r="B2653" s="1">
        <v>6.5</v>
      </c>
      <c r="C2653" s="1" t="s">
        <v>1885</v>
      </c>
      <c r="D2653" s="1" t="s">
        <v>3238</v>
      </c>
      <c r="E2653" s="1"/>
      <c r="F2653" s="1"/>
      <c r="G2653" s="1"/>
      <c r="H2653" s="1"/>
      <c r="I2653" s="1"/>
      <c r="J2653" s="1"/>
      <c r="K2653" s="1" t="s">
        <v>14650</v>
      </c>
    </row>
    <row r="2654" ht="14.25" customHeight="1">
      <c r="A2654" s="3" t="s">
        <v>2422</v>
      </c>
      <c r="B2654" s="1">
        <v>7.0</v>
      </c>
      <c r="C2654" s="1" t="s">
        <v>1885</v>
      </c>
      <c r="D2654" s="1" t="s">
        <v>3238</v>
      </c>
      <c r="E2654" s="1"/>
      <c r="F2654" s="1"/>
      <c r="G2654" s="1"/>
      <c r="H2654" s="1"/>
      <c r="I2654" s="1"/>
      <c r="J2654" s="1"/>
      <c r="K2654" s="1" t="s">
        <v>14742</v>
      </c>
    </row>
    <row r="2655" ht="14.25" customHeight="1">
      <c r="A2655" s="3" t="s">
        <v>2422</v>
      </c>
      <c r="B2655" s="1">
        <v>7.6</v>
      </c>
      <c r="C2655" s="1" t="s">
        <v>1885</v>
      </c>
      <c r="D2655" s="1" t="s">
        <v>3238</v>
      </c>
      <c r="E2655" s="1"/>
      <c r="F2655" s="1"/>
      <c r="G2655" s="1"/>
      <c r="H2655" s="1"/>
      <c r="I2655" s="1"/>
      <c r="J2655" s="1"/>
      <c r="K2655" s="1" t="s">
        <v>14766</v>
      </c>
    </row>
    <row r="2656" ht="14.25" customHeight="1">
      <c r="A2656" s="3" t="s">
        <v>2422</v>
      </c>
      <c r="B2656" s="1">
        <v>6.9</v>
      </c>
      <c r="C2656" s="1" t="s">
        <v>1885</v>
      </c>
      <c r="D2656" s="1" t="s">
        <v>3238</v>
      </c>
      <c r="E2656" s="1"/>
      <c r="F2656" s="1"/>
      <c r="G2656" s="1"/>
      <c r="H2656" s="1"/>
      <c r="I2656" s="1"/>
      <c r="J2656" s="1"/>
      <c r="K2656" s="1" t="s">
        <v>14831</v>
      </c>
    </row>
    <row r="2657" ht="14.25" customHeight="1">
      <c r="A2657" s="3" t="s">
        <v>2422</v>
      </c>
      <c r="B2657" s="1">
        <v>5.3</v>
      </c>
      <c r="C2657" s="1" t="s">
        <v>1885</v>
      </c>
      <c r="D2657" s="1" t="s">
        <v>3238</v>
      </c>
      <c r="E2657" s="1"/>
      <c r="F2657" s="1"/>
      <c r="G2657" s="1"/>
      <c r="H2657" s="1"/>
      <c r="I2657" s="1"/>
      <c r="J2657" s="1"/>
      <c r="K2657" s="1" t="s">
        <v>14889</v>
      </c>
    </row>
    <row r="2658" ht="14.25" customHeight="1">
      <c r="A2658" s="3" t="s">
        <v>2422</v>
      </c>
      <c r="B2658" s="1">
        <v>6.4</v>
      </c>
      <c r="C2658" s="1" t="s">
        <v>1885</v>
      </c>
      <c r="D2658" s="1" t="s">
        <v>3238</v>
      </c>
      <c r="E2658" s="1"/>
      <c r="F2658" s="1"/>
      <c r="G2658" s="1"/>
      <c r="H2658" s="1"/>
      <c r="I2658" s="1"/>
      <c r="J2658" s="1"/>
      <c r="K2658" s="1" t="s">
        <v>14903</v>
      </c>
    </row>
    <row r="2659" ht="14.25" customHeight="1">
      <c r="A2659" s="3" t="s">
        <v>2422</v>
      </c>
      <c r="B2659" s="1">
        <v>7.8</v>
      </c>
      <c r="C2659" s="1" t="s">
        <v>1885</v>
      </c>
      <c r="D2659" s="1" t="s">
        <v>3238</v>
      </c>
      <c r="E2659" s="1"/>
      <c r="F2659" s="1"/>
      <c r="G2659" s="1"/>
      <c r="H2659" s="1"/>
      <c r="I2659" s="1"/>
      <c r="J2659" s="1"/>
      <c r="K2659" s="1" t="s">
        <v>14922</v>
      </c>
    </row>
    <row r="2660" ht="14.25" customHeight="1">
      <c r="A2660" s="3" t="s">
        <v>2422</v>
      </c>
      <c r="B2660" s="1">
        <v>6.7</v>
      </c>
      <c r="C2660" s="1" t="s">
        <v>1885</v>
      </c>
      <c r="D2660" s="1" t="s">
        <v>3238</v>
      </c>
      <c r="E2660" s="1"/>
      <c r="F2660" s="1"/>
      <c r="G2660" s="1"/>
      <c r="H2660" s="1"/>
      <c r="I2660" s="1"/>
      <c r="J2660" s="1"/>
      <c r="K2660" s="1" t="s">
        <v>14930</v>
      </c>
    </row>
    <row r="2661" ht="14.25" customHeight="1">
      <c r="A2661" s="3" t="s">
        <v>2422</v>
      </c>
      <c r="B2661" s="1">
        <v>5.3</v>
      </c>
      <c r="C2661" s="1" t="s">
        <v>1885</v>
      </c>
      <c r="D2661" s="1" t="s">
        <v>3238</v>
      </c>
      <c r="E2661" s="1"/>
      <c r="F2661" s="1"/>
      <c r="G2661" s="1"/>
      <c r="H2661" s="1"/>
      <c r="I2661" s="1"/>
      <c r="J2661" s="1"/>
      <c r="K2661" s="1" t="s">
        <v>14998</v>
      </c>
    </row>
    <row r="2662" ht="14.25" customHeight="1">
      <c r="A2662" s="3" t="s">
        <v>2422</v>
      </c>
      <c r="B2662" s="1">
        <v>6.3</v>
      </c>
      <c r="C2662" s="1" t="s">
        <v>1885</v>
      </c>
      <c r="D2662" s="1" t="s">
        <v>3238</v>
      </c>
      <c r="E2662" s="1"/>
      <c r="F2662" s="1"/>
      <c r="G2662" s="1"/>
      <c r="H2662" s="1"/>
      <c r="I2662" s="1"/>
      <c r="J2662" s="1"/>
      <c r="K2662" s="1" t="s">
        <v>15053</v>
      </c>
    </row>
    <row r="2663" ht="14.25" customHeight="1">
      <c r="A2663" s="3" t="s">
        <v>2422</v>
      </c>
      <c r="B2663" s="1">
        <v>7.0</v>
      </c>
      <c r="C2663" s="1" t="s">
        <v>1885</v>
      </c>
      <c r="D2663" s="1" t="s">
        <v>3238</v>
      </c>
      <c r="E2663" s="1"/>
      <c r="F2663" s="1"/>
      <c r="G2663" s="1"/>
      <c r="H2663" s="1"/>
      <c r="I2663" s="1"/>
      <c r="J2663" s="1"/>
      <c r="K2663" s="1" t="s">
        <v>15074</v>
      </c>
    </row>
    <row r="2664" ht="14.25" customHeight="1">
      <c r="A2664" s="3" t="s">
        <v>2422</v>
      </c>
      <c r="B2664" s="1">
        <v>6.6</v>
      </c>
      <c r="C2664" s="1" t="s">
        <v>1885</v>
      </c>
      <c r="D2664" s="1" t="s">
        <v>3238</v>
      </c>
      <c r="E2664" s="1"/>
      <c r="F2664" s="1"/>
      <c r="G2664" s="1"/>
      <c r="H2664" s="1"/>
      <c r="I2664" s="1"/>
      <c r="J2664" s="1"/>
      <c r="K2664" s="1" t="s">
        <v>15078</v>
      </c>
    </row>
    <row r="2665" ht="14.25" customHeight="1">
      <c r="A2665" s="3" t="s">
        <v>2422</v>
      </c>
      <c r="B2665" s="1">
        <v>8.4</v>
      </c>
      <c r="C2665" s="1" t="s">
        <v>1885</v>
      </c>
      <c r="D2665" s="1" t="s">
        <v>3238</v>
      </c>
      <c r="E2665" s="1"/>
      <c r="F2665" s="1"/>
      <c r="G2665" s="1"/>
      <c r="H2665" s="1"/>
      <c r="I2665" s="1"/>
      <c r="J2665" s="1"/>
      <c r="K2665" s="1" t="s">
        <v>15149</v>
      </c>
    </row>
    <row r="2666" ht="14.25" customHeight="1">
      <c r="A2666" s="3" t="s">
        <v>2422</v>
      </c>
      <c r="B2666" s="1">
        <v>6.0</v>
      </c>
      <c r="C2666" s="1" t="s">
        <v>1885</v>
      </c>
      <c r="D2666" s="1" t="s">
        <v>3238</v>
      </c>
      <c r="E2666" s="1"/>
      <c r="F2666" s="1"/>
      <c r="G2666" s="1"/>
      <c r="H2666" s="1"/>
      <c r="I2666" s="1"/>
      <c r="J2666" s="1"/>
      <c r="K2666" s="1" t="s">
        <v>15165</v>
      </c>
    </row>
    <row r="2667" ht="14.25" customHeight="1">
      <c r="A2667" s="3" t="s">
        <v>2422</v>
      </c>
      <c r="B2667" s="1">
        <v>5.4</v>
      </c>
      <c r="C2667" s="1" t="s">
        <v>1885</v>
      </c>
      <c r="D2667" s="1" t="s">
        <v>3238</v>
      </c>
      <c r="E2667" s="1"/>
      <c r="F2667" s="1"/>
      <c r="G2667" s="1"/>
      <c r="H2667" s="1"/>
      <c r="I2667" s="1"/>
      <c r="J2667" s="1"/>
      <c r="K2667" s="1" t="s">
        <v>15185</v>
      </c>
    </row>
    <row r="2668" ht="14.25" customHeight="1">
      <c r="A2668" s="3" t="s">
        <v>2422</v>
      </c>
      <c r="B2668" s="1">
        <v>7.8</v>
      </c>
      <c r="C2668" s="1" t="s">
        <v>1885</v>
      </c>
      <c r="D2668" s="1" t="s">
        <v>3238</v>
      </c>
      <c r="E2668" s="1"/>
      <c r="F2668" s="1"/>
      <c r="G2668" s="1"/>
      <c r="H2668" s="1"/>
      <c r="I2668" s="1"/>
      <c r="J2668" s="1"/>
      <c r="K2668" s="1" t="s">
        <v>15200</v>
      </c>
    </row>
    <row r="2669" ht="14.25" customHeight="1">
      <c r="A2669" s="3" t="s">
        <v>2422</v>
      </c>
      <c r="B2669" s="1">
        <v>7.6</v>
      </c>
      <c r="C2669" s="1" t="s">
        <v>1885</v>
      </c>
      <c r="D2669" s="1" t="s">
        <v>3238</v>
      </c>
      <c r="E2669" s="1"/>
      <c r="F2669" s="1"/>
      <c r="G2669" s="1"/>
      <c r="H2669" s="1"/>
      <c r="I2669" s="1"/>
      <c r="J2669" s="1"/>
      <c r="K2669" s="1" t="s">
        <v>15205</v>
      </c>
    </row>
    <row r="2670" ht="14.25" customHeight="1">
      <c r="A2670" s="3" t="s">
        <v>2422</v>
      </c>
      <c r="B2670" s="1">
        <v>6.6</v>
      </c>
      <c r="C2670" s="1" t="s">
        <v>1885</v>
      </c>
      <c r="D2670" s="1" t="s">
        <v>3238</v>
      </c>
      <c r="E2670" s="1"/>
      <c r="F2670" s="1"/>
      <c r="G2670" s="1"/>
      <c r="H2670" s="1"/>
      <c r="I2670" s="1"/>
      <c r="J2670" s="1"/>
      <c r="K2670" s="1" t="s">
        <v>15227</v>
      </c>
    </row>
    <row r="2671" ht="14.25" customHeight="1">
      <c r="A2671" s="3" t="s">
        <v>2422</v>
      </c>
      <c r="B2671" s="1">
        <v>6.4</v>
      </c>
      <c r="C2671" s="1" t="s">
        <v>1885</v>
      </c>
      <c r="D2671" s="1" t="s">
        <v>3238</v>
      </c>
      <c r="E2671" s="1"/>
      <c r="F2671" s="1"/>
      <c r="G2671" s="1"/>
      <c r="H2671" s="1"/>
      <c r="I2671" s="1"/>
      <c r="J2671" s="1"/>
      <c r="K2671" s="1" t="s">
        <v>15241</v>
      </c>
    </row>
    <row r="2672" ht="14.25" customHeight="1">
      <c r="A2672" s="3" t="s">
        <v>2422</v>
      </c>
      <c r="B2672" s="1">
        <v>7.0</v>
      </c>
      <c r="C2672" s="1" t="s">
        <v>1885</v>
      </c>
      <c r="D2672" s="1" t="s">
        <v>3238</v>
      </c>
      <c r="E2672" s="1"/>
      <c r="F2672" s="1"/>
      <c r="G2672" s="1"/>
      <c r="H2672" s="1"/>
      <c r="I2672" s="1"/>
      <c r="J2672" s="1"/>
      <c r="K2672" s="1" t="s">
        <v>15320</v>
      </c>
    </row>
    <row r="2673" ht="14.25" customHeight="1">
      <c r="A2673" s="3" t="s">
        <v>2422</v>
      </c>
      <c r="B2673" s="1">
        <v>5.7</v>
      </c>
      <c r="C2673" s="1" t="s">
        <v>1885</v>
      </c>
      <c r="D2673" s="1" t="s">
        <v>3238</v>
      </c>
      <c r="E2673" s="1"/>
      <c r="F2673" s="1"/>
      <c r="G2673" s="1"/>
      <c r="H2673" s="1"/>
      <c r="I2673" s="1"/>
      <c r="J2673" s="1"/>
      <c r="K2673" s="1" t="s">
        <v>15481</v>
      </c>
    </row>
    <row r="2674" ht="14.25" customHeight="1">
      <c r="A2674" s="3" t="s">
        <v>2422</v>
      </c>
      <c r="B2674" s="1">
        <v>5.9</v>
      </c>
      <c r="C2674" s="1" t="s">
        <v>1885</v>
      </c>
      <c r="D2674" s="1" t="s">
        <v>3238</v>
      </c>
      <c r="E2674" s="1"/>
      <c r="F2674" s="1"/>
      <c r="G2674" s="1"/>
      <c r="H2674" s="1"/>
      <c r="I2674" s="1"/>
      <c r="J2674" s="1"/>
      <c r="K2674" s="1" t="s">
        <v>15561</v>
      </c>
    </row>
    <row r="2675" ht="14.25" customHeight="1">
      <c r="A2675" s="3" t="s">
        <v>2422</v>
      </c>
      <c r="B2675" s="1">
        <v>6.3</v>
      </c>
      <c r="C2675" s="1" t="s">
        <v>1885</v>
      </c>
      <c r="D2675" s="1" t="s">
        <v>3238</v>
      </c>
      <c r="E2675" s="1"/>
      <c r="F2675" s="1"/>
      <c r="G2675" s="1"/>
      <c r="H2675" s="1"/>
      <c r="I2675" s="1"/>
      <c r="J2675" s="1"/>
      <c r="K2675" s="1" t="s">
        <v>15627</v>
      </c>
    </row>
    <row r="2676" ht="14.25" customHeight="1">
      <c r="A2676" s="3" t="s">
        <v>2422</v>
      </c>
      <c r="B2676" s="1">
        <v>6.3</v>
      </c>
      <c r="C2676" s="1" t="s">
        <v>1885</v>
      </c>
      <c r="D2676" s="1" t="s">
        <v>3238</v>
      </c>
      <c r="E2676" s="1"/>
      <c r="F2676" s="1"/>
      <c r="G2676" s="1"/>
      <c r="H2676" s="1"/>
      <c r="I2676" s="1"/>
      <c r="J2676" s="1"/>
      <c r="K2676" s="1" t="s">
        <v>15693</v>
      </c>
    </row>
    <row r="2677" ht="14.25" customHeight="1">
      <c r="A2677" s="3" t="s">
        <v>2422</v>
      </c>
      <c r="B2677" s="1">
        <v>6.2</v>
      </c>
      <c r="C2677" s="1" t="s">
        <v>1885</v>
      </c>
      <c r="D2677" s="1" t="s">
        <v>3238</v>
      </c>
      <c r="E2677" s="1"/>
      <c r="F2677" s="1"/>
      <c r="G2677" s="1"/>
      <c r="H2677" s="1"/>
      <c r="I2677" s="1"/>
      <c r="J2677" s="1"/>
      <c r="K2677" s="1" t="s">
        <v>15707</v>
      </c>
    </row>
    <row r="2678" ht="14.25" customHeight="1">
      <c r="A2678" s="3" t="s">
        <v>2422</v>
      </c>
      <c r="B2678" s="1">
        <v>2.1</v>
      </c>
      <c r="C2678" s="1" t="s">
        <v>1885</v>
      </c>
      <c r="D2678" s="1" t="s">
        <v>3238</v>
      </c>
      <c r="E2678" s="1"/>
      <c r="F2678" s="1"/>
      <c r="G2678" s="1"/>
      <c r="H2678" s="1"/>
      <c r="I2678" s="1"/>
      <c r="J2678" s="1"/>
      <c r="K2678" s="1" t="s">
        <v>15775</v>
      </c>
    </row>
    <row r="2679" ht="14.25" customHeight="1">
      <c r="A2679" s="3" t="s">
        <v>2422</v>
      </c>
      <c r="B2679" s="1">
        <v>5.0</v>
      </c>
      <c r="C2679" s="1" t="s">
        <v>1885</v>
      </c>
      <c r="D2679" s="1" t="s">
        <v>3238</v>
      </c>
      <c r="E2679" s="1"/>
      <c r="F2679" s="1"/>
      <c r="G2679" s="1"/>
      <c r="H2679" s="1"/>
      <c r="I2679" s="1"/>
      <c r="J2679" s="1"/>
      <c r="K2679" s="1" t="s">
        <v>15791</v>
      </c>
    </row>
    <row r="2680" ht="14.25" customHeight="1">
      <c r="A2680" s="3" t="s">
        <v>2422</v>
      </c>
      <c r="B2680" s="1">
        <v>5.3</v>
      </c>
      <c r="C2680" s="1" t="s">
        <v>1885</v>
      </c>
      <c r="D2680" s="1" t="s">
        <v>3238</v>
      </c>
      <c r="E2680" s="1"/>
      <c r="F2680" s="1"/>
      <c r="G2680" s="1"/>
      <c r="H2680" s="1"/>
      <c r="I2680" s="1"/>
      <c r="J2680" s="1"/>
      <c r="K2680" s="1" t="s">
        <v>15940</v>
      </c>
    </row>
    <row r="2681" ht="14.25" customHeight="1">
      <c r="A2681" s="3" t="s">
        <v>2422</v>
      </c>
      <c r="B2681" s="1">
        <v>7.1</v>
      </c>
      <c r="C2681" s="1" t="s">
        <v>1885</v>
      </c>
      <c r="D2681" s="1" t="s">
        <v>3238</v>
      </c>
      <c r="E2681" s="1"/>
      <c r="F2681" s="1"/>
      <c r="G2681" s="1"/>
      <c r="H2681" s="1"/>
      <c r="I2681" s="1"/>
      <c r="J2681" s="1"/>
      <c r="K2681" s="1" t="s">
        <v>15944</v>
      </c>
    </row>
    <row r="2682" ht="14.25" customHeight="1">
      <c r="A2682" s="3" t="s">
        <v>2422</v>
      </c>
      <c r="B2682" s="1">
        <v>7.0</v>
      </c>
      <c r="C2682" s="1" t="s">
        <v>1885</v>
      </c>
      <c r="D2682" s="1" t="s">
        <v>3238</v>
      </c>
      <c r="E2682" s="1"/>
      <c r="F2682" s="1"/>
      <c r="G2682" s="1"/>
      <c r="H2682" s="1"/>
      <c r="I2682" s="1"/>
      <c r="J2682" s="1"/>
      <c r="K2682" s="1" t="s">
        <v>16035</v>
      </c>
    </row>
    <row r="2683" ht="14.25" customHeight="1">
      <c r="A2683" s="3" t="s">
        <v>2422</v>
      </c>
      <c r="B2683" s="1">
        <v>7.0</v>
      </c>
      <c r="C2683" s="1" t="s">
        <v>1885</v>
      </c>
      <c r="D2683" s="1" t="s">
        <v>3238</v>
      </c>
      <c r="E2683" s="1"/>
      <c r="F2683" s="1"/>
      <c r="G2683" s="1"/>
      <c r="H2683" s="1"/>
      <c r="I2683" s="1"/>
      <c r="J2683" s="1"/>
      <c r="K2683" s="1" t="s">
        <v>16261</v>
      </c>
    </row>
    <row r="2684" ht="14.25" customHeight="1">
      <c r="A2684" s="3" t="s">
        <v>2422</v>
      </c>
      <c r="B2684" s="1">
        <v>7.1</v>
      </c>
      <c r="C2684" s="1" t="s">
        <v>1885</v>
      </c>
      <c r="D2684" s="1" t="s">
        <v>3238</v>
      </c>
      <c r="E2684" s="1"/>
      <c r="F2684" s="1"/>
      <c r="G2684" s="1"/>
      <c r="H2684" s="1"/>
      <c r="I2684" s="1"/>
      <c r="J2684" s="1"/>
      <c r="K2684" s="1" t="s">
        <v>16326</v>
      </c>
    </row>
    <row r="2685" ht="14.25" customHeight="1">
      <c r="A2685" s="3" t="s">
        <v>2422</v>
      </c>
      <c r="B2685" s="1">
        <v>7.0</v>
      </c>
      <c r="C2685" s="1" t="s">
        <v>1885</v>
      </c>
      <c r="D2685" s="1" t="s">
        <v>3238</v>
      </c>
      <c r="E2685" s="1"/>
      <c r="F2685" s="1"/>
      <c r="G2685" s="1"/>
      <c r="H2685" s="1"/>
      <c r="I2685" s="1"/>
      <c r="J2685" s="1"/>
      <c r="K2685" s="1" t="s">
        <v>16351</v>
      </c>
    </row>
    <row r="2686" ht="14.25" customHeight="1">
      <c r="A2686" s="3" t="s">
        <v>2422</v>
      </c>
      <c r="B2686" s="1">
        <v>7.7</v>
      </c>
      <c r="C2686" s="1" t="s">
        <v>1885</v>
      </c>
      <c r="D2686" s="1" t="s">
        <v>3238</v>
      </c>
      <c r="E2686" s="1"/>
      <c r="F2686" s="1"/>
      <c r="G2686" s="1"/>
      <c r="H2686" s="1"/>
      <c r="I2686" s="1"/>
      <c r="J2686" s="1"/>
      <c r="K2686" s="1" t="s">
        <v>16423</v>
      </c>
    </row>
    <row r="2687" ht="14.25" customHeight="1">
      <c r="A2687" s="3" t="s">
        <v>2422</v>
      </c>
      <c r="B2687" s="1">
        <v>7.1</v>
      </c>
      <c r="C2687" s="1" t="s">
        <v>1885</v>
      </c>
      <c r="D2687" s="1" t="s">
        <v>3238</v>
      </c>
      <c r="E2687" s="1"/>
      <c r="F2687" s="1"/>
      <c r="G2687" s="1"/>
      <c r="H2687" s="1"/>
      <c r="I2687" s="1"/>
      <c r="J2687" s="1"/>
      <c r="K2687" s="1" t="s">
        <v>16435</v>
      </c>
    </row>
    <row r="2688" ht="14.25" customHeight="1">
      <c r="A2688" s="3" t="s">
        <v>2422</v>
      </c>
      <c r="B2688" s="1">
        <v>6.8</v>
      </c>
      <c r="C2688" s="1" t="s">
        <v>1885</v>
      </c>
      <c r="D2688" s="1" t="s">
        <v>3238</v>
      </c>
      <c r="E2688" s="1"/>
      <c r="F2688" s="1"/>
      <c r="G2688" s="1"/>
      <c r="H2688" s="1"/>
      <c r="I2688" s="1"/>
      <c r="J2688" s="1"/>
      <c r="K2688" s="1" t="s">
        <v>16591</v>
      </c>
    </row>
    <row r="2689" ht="14.25" customHeight="1">
      <c r="A2689" s="3" t="s">
        <v>2422</v>
      </c>
      <c r="B2689" s="1">
        <v>7.5</v>
      </c>
      <c r="C2689" s="1" t="s">
        <v>1885</v>
      </c>
      <c r="D2689" s="1" t="s">
        <v>3238</v>
      </c>
      <c r="E2689" s="1"/>
      <c r="F2689" s="1"/>
      <c r="G2689" s="1"/>
      <c r="H2689" s="1"/>
      <c r="I2689" s="1"/>
      <c r="J2689" s="1"/>
      <c r="K2689" s="1" t="s">
        <v>16703</v>
      </c>
    </row>
    <row r="2690" ht="14.25" customHeight="1">
      <c r="A2690" s="3" t="s">
        <v>2422</v>
      </c>
      <c r="B2690" s="1">
        <v>6.3</v>
      </c>
      <c r="C2690" s="1" t="s">
        <v>1885</v>
      </c>
      <c r="D2690" s="1" t="s">
        <v>3238</v>
      </c>
      <c r="E2690" s="1"/>
      <c r="F2690" s="1"/>
      <c r="G2690" s="1"/>
      <c r="H2690" s="1"/>
      <c r="I2690" s="1"/>
      <c r="J2690" s="1"/>
      <c r="K2690" s="1" t="s">
        <v>16747</v>
      </c>
    </row>
    <row r="2691" ht="14.25" customHeight="1">
      <c r="A2691" s="3" t="s">
        <v>2422</v>
      </c>
      <c r="B2691" s="1">
        <v>7.3</v>
      </c>
      <c r="C2691" s="1" t="s">
        <v>1885</v>
      </c>
      <c r="D2691" s="1" t="s">
        <v>3238</v>
      </c>
      <c r="E2691" s="1"/>
      <c r="F2691" s="1"/>
      <c r="G2691" s="1"/>
      <c r="H2691" s="1"/>
      <c r="I2691" s="1"/>
      <c r="J2691" s="1"/>
      <c r="K2691" s="1" t="s">
        <v>16763</v>
      </c>
    </row>
    <row r="2692" ht="14.25" customHeight="1">
      <c r="A2692" s="3" t="s">
        <v>2422</v>
      </c>
      <c r="B2692" s="1">
        <v>6.8</v>
      </c>
      <c r="C2692" s="1" t="s">
        <v>1885</v>
      </c>
      <c r="D2692" s="1" t="s">
        <v>3238</v>
      </c>
      <c r="E2692" s="1"/>
      <c r="F2692" s="1"/>
      <c r="G2692" s="1"/>
      <c r="H2692" s="1"/>
      <c r="I2692" s="1"/>
      <c r="J2692" s="1"/>
      <c r="K2692" s="1" t="s">
        <v>16770</v>
      </c>
    </row>
    <row r="2693" ht="14.25" customHeight="1">
      <c r="A2693" s="3" t="s">
        <v>2422</v>
      </c>
      <c r="B2693" s="1">
        <v>7.2</v>
      </c>
      <c r="C2693" s="1" t="s">
        <v>1885</v>
      </c>
      <c r="D2693" s="1" t="s">
        <v>3238</v>
      </c>
      <c r="E2693" s="1"/>
      <c r="F2693" s="1"/>
      <c r="G2693" s="1"/>
      <c r="H2693" s="1"/>
      <c r="I2693" s="1"/>
      <c r="J2693" s="1"/>
      <c r="K2693" s="1" t="s">
        <v>16901</v>
      </c>
    </row>
    <row r="2694" ht="14.25" customHeight="1">
      <c r="A2694" s="3" t="s">
        <v>2422</v>
      </c>
      <c r="B2694" s="1">
        <v>6.4</v>
      </c>
      <c r="C2694" s="1" t="s">
        <v>1885</v>
      </c>
      <c r="D2694" s="1" t="s">
        <v>3238</v>
      </c>
      <c r="E2694" s="1"/>
      <c r="F2694" s="1"/>
      <c r="G2694" s="1"/>
      <c r="H2694" s="1"/>
      <c r="I2694" s="1"/>
      <c r="J2694" s="1"/>
      <c r="K2694" s="1" t="s">
        <v>16940</v>
      </c>
    </row>
    <row r="2695" ht="14.25" customHeight="1">
      <c r="A2695" s="3" t="s">
        <v>2422</v>
      </c>
      <c r="B2695" s="1">
        <v>6.0</v>
      </c>
      <c r="C2695" s="1" t="s">
        <v>1885</v>
      </c>
      <c r="D2695" s="1" t="s">
        <v>3238</v>
      </c>
      <c r="E2695" s="1"/>
      <c r="F2695" s="1"/>
      <c r="G2695" s="1"/>
      <c r="H2695" s="1"/>
      <c r="I2695" s="1"/>
      <c r="J2695" s="1"/>
      <c r="K2695" s="1" t="s">
        <v>17028</v>
      </c>
    </row>
    <row r="2696" ht="14.25" customHeight="1">
      <c r="A2696" s="3" t="s">
        <v>2422</v>
      </c>
      <c r="B2696" s="1">
        <v>6.4</v>
      </c>
      <c r="C2696" s="1" t="s">
        <v>1885</v>
      </c>
      <c r="D2696" s="1" t="s">
        <v>3238</v>
      </c>
      <c r="E2696" s="1"/>
      <c r="F2696" s="1"/>
      <c r="G2696" s="1"/>
      <c r="H2696" s="1"/>
      <c r="I2696" s="1"/>
      <c r="J2696" s="1"/>
      <c r="K2696" s="1" t="s">
        <v>17094</v>
      </c>
    </row>
    <row r="2697" ht="14.25" customHeight="1">
      <c r="A2697" s="3" t="s">
        <v>2422</v>
      </c>
      <c r="B2697" s="1">
        <v>7.5</v>
      </c>
      <c r="C2697" s="1" t="s">
        <v>1885</v>
      </c>
      <c r="D2697" s="1" t="s">
        <v>3238</v>
      </c>
      <c r="E2697" s="1"/>
      <c r="F2697" s="1"/>
      <c r="G2697" s="1"/>
      <c r="H2697" s="1"/>
      <c r="I2697" s="1"/>
      <c r="J2697" s="1"/>
      <c r="K2697" s="1" t="s">
        <v>17233</v>
      </c>
    </row>
    <row r="2698" ht="14.25" customHeight="1">
      <c r="A2698" s="3" t="s">
        <v>2422</v>
      </c>
      <c r="B2698" s="1">
        <v>7.1</v>
      </c>
      <c r="C2698" s="1" t="s">
        <v>1885</v>
      </c>
      <c r="D2698" s="1" t="s">
        <v>3238</v>
      </c>
      <c r="E2698" s="1"/>
      <c r="F2698" s="1"/>
      <c r="G2698" s="1"/>
      <c r="H2698" s="1"/>
      <c r="I2698" s="1"/>
      <c r="J2698" s="1"/>
      <c r="K2698" s="1" t="s">
        <v>17290</v>
      </c>
    </row>
    <row r="2699" ht="14.25" customHeight="1">
      <c r="A2699" s="3" t="s">
        <v>2422</v>
      </c>
      <c r="B2699" s="1">
        <v>4.6</v>
      </c>
      <c r="C2699" s="1" t="s">
        <v>1885</v>
      </c>
      <c r="D2699" s="1" t="s">
        <v>3238</v>
      </c>
      <c r="E2699" s="1"/>
      <c r="F2699" s="1"/>
      <c r="G2699" s="1"/>
      <c r="H2699" s="1"/>
      <c r="I2699" s="1"/>
      <c r="J2699" s="1"/>
      <c r="K2699" s="1" t="s">
        <v>12629</v>
      </c>
    </row>
    <row r="2700" ht="14.25" customHeight="1">
      <c r="A2700" s="3" t="s">
        <v>2422</v>
      </c>
      <c r="B2700" s="1">
        <v>7.7</v>
      </c>
      <c r="C2700" s="1" t="s">
        <v>1885</v>
      </c>
      <c r="D2700" s="1" t="s">
        <v>3238</v>
      </c>
      <c r="E2700" s="1"/>
      <c r="F2700" s="1"/>
      <c r="G2700" s="1"/>
      <c r="H2700" s="1"/>
      <c r="I2700" s="1"/>
      <c r="J2700" s="1"/>
      <c r="K2700" s="1" t="s">
        <v>17435</v>
      </c>
    </row>
    <row r="2701" ht="14.25" customHeight="1">
      <c r="A2701" s="3" t="s">
        <v>2422</v>
      </c>
      <c r="B2701" s="1">
        <v>6.7</v>
      </c>
      <c r="C2701" s="1" t="s">
        <v>1885</v>
      </c>
      <c r="D2701" s="1" t="s">
        <v>3238</v>
      </c>
      <c r="E2701" s="1"/>
      <c r="F2701" s="1"/>
      <c r="G2701" s="1"/>
      <c r="H2701" s="1"/>
      <c r="I2701" s="1"/>
      <c r="J2701" s="1"/>
      <c r="K2701" s="1" t="s">
        <v>17449</v>
      </c>
    </row>
    <row r="2702" ht="14.25" customHeight="1">
      <c r="A2702" s="3" t="s">
        <v>2422</v>
      </c>
      <c r="B2702" s="1">
        <v>5.6</v>
      </c>
      <c r="C2702" s="1" t="s">
        <v>1885</v>
      </c>
      <c r="D2702" s="1" t="s">
        <v>3238</v>
      </c>
      <c r="E2702" s="1"/>
      <c r="F2702" s="1"/>
      <c r="G2702" s="1"/>
      <c r="H2702" s="1"/>
      <c r="I2702" s="1"/>
      <c r="J2702" s="1"/>
      <c r="K2702" s="1" t="s">
        <v>17497</v>
      </c>
    </row>
    <row r="2703" ht="14.25" customHeight="1">
      <c r="A2703" s="3" t="s">
        <v>2422</v>
      </c>
      <c r="B2703" s="1">
        <v>8.3</v>
      </c>
      <c r="C2703" s="1" t="s">
        <v>1885</v>
      </c>
      <c r="D2703" s="1" t="s">
        <v>3238</v>
      </c>
      <c r="E2703" s="1"/>
      <c r="F2703" s="1"/>
      <c r="G2703" s="1"/>
      <c r="H2703" s="1"/>
      <c r="I2703" s="1"/>
      <c r="J2703" s="1"/>
      <c r="K2703" s="1" t="s">
        <v>17553</v>
      </c>
    </row>
    <row r="2704" ht="14.25" customHeight="1">
      <c r="A2704" s="3" t="s">
        <v>2422</v>
      </c>
      <c r="B2704" s="1">
        <v>6.6</v>
      </c>
      <c r="C2704" s="1" t="s">
        <v>1885</v>
      </c>
      <c r="D2704" s="1" t="s">
        <v>3238</v>
      </c>
      <c r="E2704" s="1"/>
      <c r="F2704" s="1"/>
      <c r="G2704" s="1"/>
      <c r="H2704" s="1"/>
      <c r="I2704" s="1"/>
      <c r="J2704" s="1"/>
      <c r="K2704" s="1" t="s">
        <v>17672</v>
      </c>
    </row>
    <row r="2705" ht="14.25" customHeight="1">
      <c r="A2705" s="3" t="s">
        <v>2422</v>
      </c>
      <c r="B2705" s="1">
        <v>7.2</v>
      </c>
      <c r="C2705" s="1" t="s">
        <v>1885</v>
      </c>
      <c r="D2705" s="1" t="s">
        <v>3238</v>
      </c>
      <c r="E2705" s="1"/>
      <c r="F2705" s="1"/>
      <c r="G2705" s="1"/>
      <c r="H2705" s="1"/>
      <c r="I2705" s="1"/>
      <c r="J2705" s="1"/>
      <c r="K2705" s="1" t="s">
        <v>17698</v>
      </c>
    </row>
    <row r="2706" ht="14.25" customHeight="1">
      <c r="A2706" s="3" t="s">
        <v>2422</v>
      </c>
      <c r="B2706" s="1">
        <v>8.7</v>
      </c>
      <c r="C2706" s="1" t="s">
        <v>1885</v>
      </c>
      <c r="D2706" s="1" t="s">
        <v>3238</v>
      </c>
      <c r="E2706" s="1"/>
      <c r="F2706" s="1"/>
      <c r="G2706" s="1"/>
      <c r="H2706" s="1"/>
      <c r="I2706" s="1"/>
      <c r="J2706" s="1"/>
      <c r="K2706" s="1" t="s">
        <v>17703</v>
      </c>
    </row>
    <row r="2707" ht="14.25" customHeight="1">
      <c r="A2707" s="3" t="s">
        <v>1854</v>
      </c>
      <c r="B2707" s="1">
        <v>6.0</v>
      </c>
      <c r="C2707" s="1" t="s">
        <v>17763</v>
      </c>
      <c r="D2707" s="1" t="s">
        <v>3238</v>
      </c>
      <c r="E2707" s="1"/>
      <c r="F2707" s="1"/>
      <c r="G2707" s="1"/>
      <c r="H2707" s="1"/>
      <c r="I2707" s="1"/>
      <c r="J2707" s="1"/>
      <c r="K2707" s="1" t="s">
        <v>1853</v>
      </c>
    </row>
    <row r="2708" ht="14.25" customHeight="1">
      <c r="A2708" s="3" t="s">
        <v>1854</v>
      </c>
      <c r="B2708" s="1">
        <v>8.0</v>
      </c>
      <c r="C2708" s="1" t="s">
        <v>17763</v>
      </c>
      <c r="D2708" s="1" t="s">
        <v>3238</v>
      </c>
      <c r="E2708" s="1"/>
      <c r="F2708" s="1"/>
      <c r="G2708" s="1"/>
      <c r="H2708" s="1"/>
      <c r="I2708" s="1"/>
      <c r="J2708" s="1"/>
      <c r="K2708" s="1" t="s">
        <v>3618</v>
      </c>
    </row>
    <row r="2709" ht="14.25" customHeight="1">
      <c r="A2709" s="3" t="s">
        <v>1854</v>
      </c>
      <c r="B2709" s="1">
        <v>4.5</v>
      </c>
      <c r="C2709" s="1" t="s">
        <v>17763</v>
      </c>
      <c r="D2709" s="1" t="s">
        <v>3238</v>
      </c>
      <c r="E2709" s="1"/>
      <c r="F2709" s="1"/>
      <c r="G2709" s="1"/>
      <c r="H2709" s="1"/>
      <c r="I2709" s="1"/>
      <c r="J2709" s="1"/>
      <c r="K2709" s="1" t="s">
        <v>4579</v>
      </c>
    </row>
    <row r="2710" ht="14.25" customHeight="1">
      <c r="A2710" s="3" t="s">
        <v>1854</v>
      </c>
      <c r="B2710" s="1">
        <v>7.9</v>
      </c>
      <c r="C2710" s="1" t="s">
        <v>17763</v>
      </c>
      <c r="D2710" s="1" t="s">
        <v>3238</v>
      </c>
      <c r="E2710" s="1"/>
      <c r="F2710" s="1"/>
      <c r="G2710" s="1"/>
      <c r="H2710" s="1"/>
      <c r="I2710" s="1"/>
      <c r="J2710" s="1"/>
      <c r="K2710" s="1" t="s">
        <v>4968</v>
      </c>
    </row>
    <row r="2711" ht="14.25" customHeight="1">
      <c r="A2711" s="3" t="s">
        <v>1854</v>
      </c>
      <c r="B2711" s="1">
        <v>7.5</v>
      </c>
      <c r="C2711" s="1" t="s">
        <v>17763</v>
      </c>
      <c r="D2711" s="1" t="s">
        <v>3238</v>
      </c>
      <c r="E2711" s="1"/>
      <c r="F2711" s="1"/>
      <c r="G2711" s="1"/>
      <c r="H2711" s="1"/>
      <c r="I2711" s="1"/>
      <c r="J2711" s="1"/>
      <c r="K2711" s="1" t="s">
        <v>5854</v>
      </c>
    </row>
    <row r="2712" ht="14.25" customHeight="1">
      <c r="A2712" s="3" t="s">
        <v>1854</v>
      </c>
      <c r="B2712" s="1">
        <v>6.8</v>
      </c>
      <c r="C2712" s="1" t="s">
        <v>17763</v>
      </c>
      <c r="D2712" s="1" t="s">
        <v>3238</v>
      </c>
      <c r="E2712" s="1"/>
      <c r="F2712" s="1"/>
      <c r="G2712" s="1"/>
      <c r="H2712" s="1"/>
      <c r="I2712" s="1"/>
      <c r="J2712" s="1"/>
      <c r="K2712" s="1" t="s">
        <v>7226</v>
      </c>
    </row>
    <row r="2713" ht="14.25" customHeight="1">
      <c r="A2713" s="3" t="s">
        <v>1854</v>
      </c>
      <c r="B2713" s="1">
        <v>7.2</v>
      </c>
      <c r="C2713" s="1" t="s">
        <v>17763</v>
      </c>
      <c r="D2713" s="1" t="s">
        <v>3238</v>
      </c>
      <c r="E2713" s="1"/>
      <c r="F2713" s="1"/>
      <c r="G2713" s="1"/>
      <c r="H2713" s="1"/>
      <c r="I2713" s="1"/>
      <c r="J2713" s="1"/>
      <c r="K2713" s="1" t="s">
        <v>8102</v>
      </c>
    </row>
    <row r="2714" ht="14.25" customHeight="1">
      <c r="A2714" s="3" t="s">
        <v>1854</v>
      </c>
      <c r="B2714" s="1">
        <v>7.1</v>
      </c>
      <c r="C2714" s="1" t="s">
        <v>17763</v>
      </c>
      <c r="D2714" s="1" t="s">
        <v>3238</v>
      </c>
      <c r="E2714" s="1"/>
      <c r="F2714" s="1"/>
      <c r="G2714" s="1"/>
      <c r="H2714" s="1"/>
      <c r="I2714" s="1"/>
      <c r="J2714" s="1"/>
      <c r="K2714" s="1" t="s">
        <v>8837</v>
      </c>
    </row>
    <row r="2715" ht="14.25" customHeight="1">
      <c r="A2715" s="3" t="s">
        <v>1854</v>
      </c>
      <c r="B2715" s="1">
        <v>7.4</v>
      </c>
      <c r="C2715" s="1" t="s">
        <v>17763</v>
      </c>
      <c r="D2715" s="1" t="s">
        <v>3238</v>
      </c>
      <c r="E2715" s="1"/>
      <c r="F2715" s="1"/>
      <c r="G2715" s="1"/>
      <c r="H2715" s="1"/>
      <c r="I2715" s="1"/>
      <c r="J2715" s="1"/>
      <c r="K2715" s="1" t="s">
        <v>8975</v>
      </c>
    </row>
    <row r="2716" ht="14.25" customHeight="1">
      <c r="A2716" s="3" t="s">
        <v>1854</v>
      </c>
      <c r="B2716" s="1">
        <v>7.6</v>
      </c>
      <c r="C2716" s="1" t="s">
        <v>17763</v>
      </c>
      <c r="D2716" s="1" t="s">
        <v>3238</v>
      </c>
      <c r="E2716" s="1"/>
      <c r="F2716" s="1"/>
      <c r="G2716" s="1"/>
      <c r="H2716" s="1"/>
      <c r="I2716" s="1"/>
      <c r="J2716" s="1"/>
      <c r="K2716" s="1" t="s">
        <v>9242</v>
      </c>
    </row>
    <row r="2717" ht="14.25" customHeight="1">
      <c r="A2717" s="3" t="s">
        <v>1854</v>
      </c>
      <c r="B2717" s="1">
        <v>6.9</v>
      </c>
      <c r="C2717" s="1" t="s">
        <v>17763</v>
      </c>
      <c r="D2717" s="1" t="s">
        <v>3238</v>
      </c>
      <c r="E2717" s="1"/>
      <c r="F2717" s="1"/>
      <c r="G2717" s="1"/>
      <c r="H2717" s="1"/>
      <c r="I2717" s="1"/>
      <c r="J2717" s="1"/>
      <c r="K2717" s="1" t="s">
        <v>11168</v>
      </c>
    </row>
    <row r="2718" ht="14.25" customHeight="1">
      <c r="A2718" s="3" t="s">
        <v>1854</v>
      </c>
      <c r="B2718" s="1">
        <v>6.0</v>
      </c>
      <c r="C2718" s="1" t="s">
        <v>17763</v>
      </c>
      <c r="D2718" s="1" t="s">
        <v>3238</v>
      </c>
      <c r="E2718" s="1"/>
      <c r="F2718" s="1"/>
      <c r="G2718" s="1"/>
      <c r="H2718" s="1"/>
      <c r="I2718" s="1"/>
      <c r="J2718" s="1"/>
      <c r="K2718" s="1" t="s">
        <v>11589</v>
      </c>
    </row>
    <row r="2719" ht="14.25" customHeight="1">
      <c r="A2719" s="3" t="s">
        <v>1854</v>
      </c>
      <c r="B2719" s="1">
        <v>7.3</v>
      </c>
      <c r="C2719" s="1" t="s">
        <v>17763</v>
      </c>
      <c r="D2719" s="1" t="s">
        <v>3238</v>
      </c>
      <c r="E2719" s="1"/>
      <c r="F2719" s="1"/>
      <c r="G2719" s="1"/>
      <c r="H2719" s="1"/>
      <c r="I2719" s="1"/>
      <c r="J2719" s="1"/>
      <c r="K2719" s="1" t="s">
        <v>11926</v>
      </c>
    </row>
    <row r="2720" ht="14.25" customHeight="1">
      <c r="A2720" s="3" t="s">
        <v>1854</v>
      </c>
      <c r="B2720" s="1">
        <v>4.6</v>
      </c>
      <c r="C2720" s="1" t="s">
        <v>17763</v>
      </c>
      <c r="D2720" s="1" t="s">
        <v>3238</v>
      </c>
      <c r="E2720" s="1"/>
      <c r="F2720" s="1"/>
      <c r="G2720" s="1"/>
      <c r="H2720" s="1"/>
      <c r="I2720" s="1"/>
      <c r="J2720" s="1"/>
      <c r="K2720" s="1" t="s">
        <v>12223</v>
      </c>
    </row>
    <row r="2721" ht="14.25" customHeight="1">
      <c r="A2721" s="3" t="s">
        <v>1854</v>
      </c>
      <c r="B2721" s="1">
        <v>6.0</v>
      </c>
      <c r="C2721" s="1" t="s">
        <v>17763</v>
      </c>
      <c r="D2721" s="1" t="s">
        <v>3238</v>
      </c>
      <c r="E2721" s="1"/>
      <c r="F2721" s="1"/>
      <c r="G2721" s="1"/>
      <c r="H2721" s="1"/>
      <c r="I2721" s="1"/>
      <c r="J2721" s="1"/>
      <c r="K2721" s="1" t="s">
        <v>12512</v>
      </c>
    </row>
    <row r="2722" ht="14.25" customHeight="1">
      <c r="A2722" s="3" t="s">
        <v>1854</v>
      </c>
      <c r="B2722" s="1">
        <v>5.5</v>
      </c>
      <c r="C2722" s="1" t="s">
        <v>17763</v>
      </c>
      <c r="D2722" s="1" t="s">
        <v>3238</v>
      </c>
      <c r="E2722" s="1"/>
      <c r="F2722" s="1"/>
      <c r="G2722" s="1"/>
      <c r="H2722" s="1"/>
      <c r="I2722" s="1"/>
      <c r="J2722" s="1"/>
      <c r="K2722" s="1" t="s">
        <v>12681</v>
      </c>
    </row>
    <row r="2723" ht="14.25" customHeight="1">
      <c r="A2723" s="3" t="s">
        <v>1854</v>
      </c>
      <c r="B2723" s="1">
        <v>7.5</v>
      </c>
      <c r="C2723" s="1" t="s">
        <v>17763</v>
      </c>
      <c r="D2723" s="1" t="s">
        <v>3238</v>
      </c>
      <c r="E2723" s="1"/>
      <c r="F2723" s="1"/>
      <c r="G2723" s="1"/>
      <c r="H2723" s="1"/>
      <c r="I2723" s="1"/>
      <c r="J2723" s="1"/>
      <c r="K2723" s="1" t="s">
        <v>12958</v>
      </c>
    </row>
    <row r="2724" ht="14.25" customHeight="1">
      <c r="A2724" s="3" t="s">
        <v>1854</v>
      </c>
      <c r="B2724" s="1">
        <v>6.3</v>
      </c>
      <c r="C2724" s="1" t="s">
        <v>17763</v>
      </c>
      <c r="D2724" s="1" t="s">
        <v>3238</v>
      </c>
      <c r="E2724" s="1"/>
      <c r="F2724" s="1"/>
      <c r="G2724" s="1"/>
      <c r="H2724" s="1"/>
      <c r="I2724" s="1"/>
      <c r="J2724" s="1"/>
      <c r="K2724" s="1" t="s">
        <v>13042</v>
      </c>
    </row>
    <row r="2725" ht="14.25" customHeight="1">
      <c r="A2725" s="3" t="s">
        <v>1854</v>
      </c>
      <c r="B2725" s="1">
        <v>5.1</v>
      </c>
      <c r="C2725" s="1" t="s">
        <v>17763</v>
      </c>
      <c r="D2725" s="1" t="s">
        <v>3238</v>
      </c>
      <c r="E2725" s="1"/>
      <c r="F2725" s="1"/>
      <c r="G2725" s="1"/>
      <c r="H2725" s="1"/>
      <c r="I2725" s="1"/>
      <c r="J2725" s="1"/>
      <c r="K2725" s="1" t="s">
        <v>13268</v>
      </c>
    </row>
    <row r="2726" ht="14.25" customHeight="1">
      <c r="A2726" s="3" t="s">
        <v>1854</v>
      </c>
      <c r="B2726" s="1">
        <v>6.8</v>
      </c>
      <c r="C2726" s="1" t="s">
        <v>17763</v>
      </c>
      <c r="D2726" s="1" t="s">
        <v>3238</v>
      </c>
      <c r="E2726" s="1"/>
      <c r="F2726" s="1"/>
      <c r="G2726" s="1"/>
      <c r="H2726" s="1"/>
      <c r="I2726" s="1"/>
      <c r="J2726" s="1"/>
      <c r="K2726" s="1" t="s">
        <v>13422</v>
      </c>
    </row>
    <row r="2727" ht="14.25" customHeight="1">
      <c r="A2727" s="3" t="s">
        <v>1854</v>
      </c>
      <c r="B2727" s="1">
        <v>5.3</v>
      </c>
      <c r="C2727" s="1" t="s">
        <v>17763</v>
      </c>
      <c r="D2727" s="1" t="s">
        <v>3238</v>
      </c>
      <c r="E2727" s="1"/>
      <c r="F2727" s="1"/>
      <c r="G2727" s="1"/>
      <c r="H2727" s="1"/>
      <c r="I2727" s="1"/>
      <c r="J2727" s="1"/>
      <c r="K2727" s="1" t="s">
        <v>13901</v>
      </c>
    </row>
    <row r="2728" ht="14.25" customHeight="1">
      <c r="A2728" s="3" t="s">
        <v>1854</v>
      </c>
      <c r="B2728" s="1">
        <v>7.3</v>
      </c>
      <c r="C2728" s="1" t="s">
        <v>17763</v>
      </c>
      <c r="D2728" s="1" t="s">
        <v>3238</v>
      </c>
      <c r="E2728" s="1"/>
      <c r="F2728" s="1"/>
      <c r="G2728" s="1"/>
      <c r="H2728" s="1"/>
      <c r="I2728" s="1"/>
      <c r="J2728" s="1"/>
      <c r="K2728" s="1" t="s">
        <v>14004</v>
      </c>
    </row>
    <row r="2729" ht="14.25" customHeight="1">
      <c r="A2729" s="3" t="s">
        <v>1854</v>
      </c>
      <c r="B2729" s="1">
        <v>7.3</v>
      </c>
      <c r="C2729" s="1" t="s">
        <v>17763</v>
      </c>
      <c r="D2729" s="1" t="s">
        <v>3238</v>
      </c>
      <c r="E2729" s="1"/>
      <c r="F2729" s="1"/>
      <c r="G2729" s="1"/>
      <c r="H2729" s="1"/>
      <c r="I2729" s="1"/>
      <c r="J2729" s="1"/>
      <c r="K2729" s="1" t="s">
        <v>14098</v>
      </c>
    </row>
    <row r="2730" ht="14.25" customHeight="1">
      <c r="A2730" s="3" t="s">
        <v>1854</v>
      </c>
      <c r="B2730" s="1">
        <v>7.1</v>
      </c>
      <c r="C2730" s="1" t="s">
        <v>17763</v>
      </c>
      <c r="D2730" s="1" t="s">
        <v>3238</v>
      </c>
      <c r="E2730" s="1"/>
      <c r="F2730" s="1"/>
      <c r="G2730" s="1"/>
      <c r="H2730" s="1"/>
      <c r="I2730" s="1"/>
      <c r="J2730" s="1"/>
      <c r="K2730" s="1" t="s">
        <v>14240</v>
      </c>
    </row>
    <row r="2731" ht="14.25" customHeight="1">
      <c r="A2731" s="3" t="s">
        <v>1854</v>
      </c>
      <c r="B2731" s="1">
        <v>7.6</v>
      </c>
      <c r="C2731" s="1" t="s">
        <v>17763</v>
      </c>
      <c r="D2731" s="1" t="s">
        <v>3238</v>
      </c>
      <c r="E2731" s="1"/>
      <c r="F2731" s="1"/>
      <c r="G2731" s="1"/>
      <c r="H2731" s="1"/>
      <c r="I2731" s="1"/>
      <c r="J2731" s="1"/>
      <c r="K2731" s="1" t="s">
        <v>14518</v>
      </c>
    </row>
    <row r="2732" ht="14.25" customHeight="1">
      <c r="A2732" s="3" t="s">
        <v>1854</v>
      </c>
      <c r="B2732" s="1">
        <v>5.3</v>
      </c>
      <c r="C2732" s="1" t="s">
        <v>17763</v>
      </c>
      <c r="D2732" s="1" t="s">
        <v>3238</v>
      </c>
      <c r="E2732" s="1"/>
      <c r="F2732" s="1"/>
      <c r="G2732" s="1"/>
      <c r="H2732" s="1"/>
      <c r="I2732" s="1"/>
      <c r="J2732" s="1"/>
      <c r="K2732" s="1" t="s">
        <v>15110</v>
      </c>
    </row>
    <row r="2733" ht="14.25" customHeight="1">
      <c r="A2733" s="3" t="s">
        <v>1854</v>
      </c>
      <c r="B2733" s="1">
        <v>7.8</v>
      </c>
      <c r="C2733" s="1" t="s">
        <v>17763</v>
      </c>
      <c r="D2733" s="1" t="s">
        <v>3238</v>
      </c>
      <c r="E2733" s="1"/>
      <c r="F2733" s="1"/>
      <c r="G2733" s="1"/>
      <c r="H2733" s="1"/>
      <c r="I2733" s="1"/>
      <c r="J2733" s="1"/>
      <c r="K2733" s="1" t="s">
        <v>15252</v>
      </c>
    </row>
    <row r="2734" ht="14.25" customHeight="1">
      <c r="A2734" s="3" t="s">
        <v>1854</v>
      </c>
      <c r="B2734" s="1">
        <v>7.7</v>
      </c>
      <c r="C2734" s="1" t="s">
        <v>17763</v>
      </c>
      <c r="D2734" s="1" t="s">
        <v>3238</v>
      </c>
      <c r="E2734" s="1"/>
      <c r="F2734" s="1"/>
      <c r="G2734" s="1"/>
      <c r="H2734" s="1"/>
      <c r="I2734" s="1"/>
      <c r="J2734" s="1"/>
      <c r="K2734" s="1" t="s">
        <v>15338</v>
      </c>
    </row>
    <row r="2735" ht="14.25" customHeight="1">
      <c r="A2735" s="3" t="s">
        <v>1854</v>
      </c>
      <c r="B2735" s="1">
        <v>7.7</v>
      </c>
      <c r="C2735" s="1" t="s">
        <v>17763</v>
      </c>
      <c r="D2735" s="1" t="s">
        <v>3238</v>
      </c>
      <c r="E2735" s="1"/>
      <c r="F2735" s="1"/>
      <c r="G2735" s="1"/>
      <c r="H2735" s="1"/>
      <c r="I2735" s="1"/>
      <c r="J2735" s="1"/>
      <c r="K2735" s="1" t="s">
        <v>15397</v>
      </c>
    </row>
    <row r="2736" ht="14.25" customHeight="1">
      <c r="A2736" s="3" t="s">
        <v>1854</v>
      </c>
      <c r="B2736" s="1">
        <v>5.4</v>
      </c>
      <c r="C2736" s="1" t="s">
        <v>17763</v>
      </c>
      <c r="D2736" s="1" t="s">
        <v>3238</v>
      </c>
      <c r="E2736" s="1"/>
      <c r="F2736" s="1"/>
      <c r="G2736" s="1"/>
      <c r="H2736" s="1"/>
      <c r="I2736" s="1"/>
      <c r="J2736" s="1"/>
      <c r="K2736" s="1" t="s">
        <v>15798</v>
      </c>
    </row>
    <row r="2737" ht="14.25" customHeight="1">
      <c r="A2737" s="3" t="s">
        <v>1854</v>
      </c>
      <c r="B2737" s="1">
        <v>6.2</v>
      </c>
      <c r="C2737" s="1" t="s">
        <v>17763</v>
      </c>
      <c r="D2737" s="1" t="s">
        <v>3238</v>
      </c>
      <c r="E2737" s="1"/>
      <c r="F2737" s="1"/>
      <c r="G2737" s="1"/>
      <c r="H2737" s="1"/>
      <c r="I2737" s="1"/>
      <c r="J2737" s="1"/>
      <c r="K2737" s="1" t="s">
        <v>15819</v>
      </c>
    </row>
    <row r="2738" ht="14.25" customHeight="1">
      <c r="A2738" s="3" t="s">
        <v>1854</v>
      </c>
      <c r="B2738" s="1">
        <v>7.4</v>
      </c>
      <c r="C2738" s="1" t="s">
        <v>17763</v>
      </c>
      <c r="D2738" s="1" t="s">
        <v>3238</v>
      </c>
      <c r="E2738" s="1"/>
      <c r="F2738" s="1"/>
      <c r="G2738" s="1"/>
      <c r="H2738" s="1"/>
      <c r="I2738" s="1"/>
      <c r="J2738" s="1"/>
      <c r="K2738" s="1" t="s">
        <v>15983</v>
      </c>
    </row>
    <row r="2739" ht="14.25" customHeight="1">
      <c r="A2739" s="3" t="s">
        <v>1854</v>
      </c>
      <c r="B2739" s="1">
        <v>6.2</v>
      </c>
      <c r="C2739" s="1" t="s">
        <v>17763</v>
      </c>
      <c r="D2739" s="1" t="s">
        <v>3238</v>
      </c>
      <c r="E2739" s="1"/>
      <c r="F2739" s="1"/>
      <c r="G2739" s="1"/>
      <c r="H2739" s="1"/>
      <c r="I2739" s="1"/>
      <c r="J2739" s="1"/>
      <c r="K2739" s="1" t="s">
        <v>16227</v>
      </c>
    </row>
    <row r="2740" ht="14.25" customHeight="1">
      <c r="A2740" s="3" t="s">
        <v>1854</v>
      </c>
      <c r="B2740" s="1">
        <v>5.1</v>
      </c>
      <c r="C2740" s="1" t="s">
        <v>17763</v>
      </c>
      <c r="D2740" s="1" t="s">
        <v>3238</v>
      </c>
      <c r="E2740" s="1"/>
      <c r="F2740" s="1"/>
      <c r="G2740" s="1"/>
      <c r="H2740" s="1"/>
      <c r="I2740" s="1"/>
      <c r="J2740" s="1"/>
      <c r="K2740" s="1" t="s">
        <v>16474</v>
      </c>
    </row>
    <row r="2741" ht="14.25" customHeight="1">
      <c r="A2741" s="3" t="s">
        <v>1854</v>
      </c>
      <c r="B2741" s="1">
        <v>6.8</v>
      </c>
      <c r="C2741" s="1" t="s">
        <v>17763</v>
      </c>
      <c r="D2741" s="1" t="s">
        <v>3238</v>
      </c>
      <c r="E2741" s="1"/>
      <c r="F2741" s="1"/>
      <c r="G2741" s="1"/>
      <c r="H2741" s="1"/>
      <c r="I2741" s="1"/>
      <c r="J2741" s="1"/>
      <c r="K2741" s="1" t="s">
        <v>16525</v>
      </c>
    </row>
    <row r="2742" ht="14.25" customHeight="1">
      <c r="A2742" s="3" t="s">
        <v>1854</v>
      </c>
      <c r="B2742" s="1">
        <v>7.4</v>
      </c>
      <c r="C2742" s="1" t="s">
        <v>17763</v>
      </c>
      <c r="D2742" s="1" t="s">
        <v>3238</v>
      </c>
      <c r="E2742" s="1"/>
      <c r="F2742" s="1"/>
      <c r="G2742" s="1"/>
      <c r="H2742" s="1"/>
      <c r="I2742" s="1"/>
      <c r="J2742" s="1"/>
      <c r="K2742" s="1" t="s">
        <v>16535</v>
      </c>
    </row>
    <row r="2743" ht="14.25" customHeight="1">
      <c r="A2743" s="3" t="s">
        <v>1854</v>
      </c>
      <c r="B2743" s="1">
        <v>5.8</v>
      </c>
      <c r="C2743" s="1" t="s">
        <v>17763</v>
      </c>
      <c r="D2743" s="1" t="s">
        <v>3238</v>
      </c>
      <c r="E2743" s="1"/>
      <c r="F2743" s="1"/>
      <c r="G2743" s="1"/>
      <c r="H2743" s="1"/>
      <c r="I2743" s="1"/>
      <c r="J2743" s="1"/>
      <c r="K2743" s="1" t="s">
        <v>16890</v>
      </c>
    </row>
    <row r="2744" ht="14.25" customHeight="1">
      <c r="A2744" s="3" t="s">
        <v>1854</v>
      </c>
      <c r="B2744" s="1">
        <v>6.4</v>
      </c>
      <c r="C2744" s="1" t="s">
        <v>17763</v>
      </c>
      <c r="D2744" s="1" t="s">
        <v>3238</v>
      </c>
      <c r="E2744" s="1"/>
      <c r="F2744" s="1"/>
      <c r="G2744" s="1"/>
      <c r="H2744" s="1"/>
      <c r="I2744" s="1"/>
      <c r="J2744" s="1"/>
      <c r="K2744" s="1" t="s">
        <v>17157</v>
      </c>
    </row>
    <row r="2745" ht="14.25" customHeight="1">
      <c r="A2745" s="3" t="s">
        <v>1854</v>
      </c>
      <c r="B2745" s="1">
        <v>6.0</v>
      </c>
      <c r="C2745" s="1" t="s">
        <v>17763</v>
      </c>
      <c r="D2745" s="1" t="s">
        <v>3238</v>
      </c>
      <c r="E2745" s="1"/>
      <c r="F2745" s="1"/>
      <c r="G2745" s="1"/>
      <c r="H2745" s="1"/>
      <c r="I2745" s="1"/>
      <c r="J2745" s="1"/>
      <c r="K2745" s="1" t="s">
        <v>17274</v>
      </c>
    </row>
    <row r="2746" ht="14.25" customHeight="1">
      <c r="A2746" s="3" t="s">
        <v>1854</v>
      </c>
      <c r="B2746" s="1">
        <v>6.9</v>
      </c>
      <c r="C2746" s="1" t="s">
        <v>17763</v>
      </c>
      <c r="D2746" s="1" t="s">
        <v>3238</v>
      </c>
      <c r="E2746" s="1"/>
      <c r="F2746" s="1"/>
      <c r="G2746" s="1"/>
      <c r="H2746" s="1"/>
      <c r="I2746" s="1"/>
      <c r="J2746" s="1"/>
      <c r="K2746" s="1" t="s">
        <v>17333</v>
      </c>
    </row>
    <row r="2747" ht="14.25" customHeight="1">
      <c r="A2747" s="3" t="s">
        <v>2747</v>
      </c>
      <c r="B2747" s="1">
        <v>5.5</v>
      </c>
      <c r="C2747" s="1" t="s">
        <v>15542</v>
      </c>
      <c r="D2747" s="1" t="s">
        <v>3238</v>
      </c>
      <c r="E2747" s="1"/>
      <c r="F2747" s="1"/>
      <c r="G2747" s="1"/>
      <c r="H2747" s="1"/>
      <c r="I2747" s="1"/>
      <c r="J2747" s="1"/>
      <c r="K2747" s="1" t="s">
        <v>2746</v>
      </c>
    </row>
    <row r="2748" ht="14.25" customHeight="1">
      <c r="A2748" s="3" t="s">
        <v>2747</v>
      </c>
      <c r="B2748" s="1">
        <v>5.4</v>
      </c>
      <c r="C2748" s="1" t="s">
        <v>15542</v>
      </c>
      <c r="D2748" s="1" t="s">
        <v>3238</v>
      </c>
      <c r="E2748" s="1"/>
      <c r="F2748" s="1"/>
      <c r="G2748" s="1"/>
      <c r="H2748" s="1"/>
      <c r="I2748" s="1"/>
      <c r="J2748" s="1"/>
      <c r="K2748" s="1" t="s">
        <v>13740</v>
      </c>
    </row>
    <row r="2749" ht="14.25" customHeight="1">
      <c r="A2749" s="3" t="s">
        <v>8662</v>
      </c>
      <c r="B2749" s="1">
        <v>8.3</v>
      </c>
      <c r="C2749" s="1" t="s">
        <v>917</v>
      </c>
      <c r="D2749" s="1" t="s">
        <v>17758</v>
      </c>
      <c r="E2749" s="1"/>
      <c r="F2749" s="1"/>
      <c r="G2749" s="1"/>
      <c r="H2749" s="1"/>
      <c r="I2749" s="1"/>
      <c r="J2749" s="1"/>
      <c r="K2749" s="1" t="s">
        <v>8661</v>
      </c>
    </row>
    <row r="2750" ht="14.25" customHeight="1">
      <c r="A2750" s="3" t="s">
        <v>8662</v>
      </c>
      <c r="B2750" s="1">
        <v>7.9</v>
      </c>
      <c r="C2750" s="1" t="s">
        <v>917</v>
      </c>
      <c r="D2750" s="1" t="s">
        <v>17758</v>
      </c>
      <c r="E2750" s="1"/>
      <c r="F2750" s="1"/>
      <c r="G2750" s="1"/>
      <c r="H2750" s="1"/>
      <c r="I2750" s="1"/>
      <c r="J2750" s="1"/>
      <c r="K2750" s="1" t="s">
        <v>9922</v>
      </c>
    </row>
    <row r="2751" ht="14.25" customHeight="1">
      <c r="A2751" s="3" t="s">
        <v>8662</v>
      </c>
      <c r="B2751" s="1">
        <v>6.5</v>
      </c>
      <c r="C2751" s="1" t="s">
        <v>917</v>
      </c>
      <c r="D2751" s="1" t="s">
        <v>17758</v>
      </c>
      <c r="E2751" s="1"/>
      <c r="F2751" s="1"/>
      <c r="G2751" s="1"/>
      <c r="H2751" s="1"/>
      <c r="I2751" s="1"/>
      <c r="J2751" s="1"/>
      <c r="K2751" s="1" t="s">
        <v>11777</v>
      </c>
    </row>
    <row r="2752" ht="14.25" customHeight="1">
      <c r="A2752" s="3" t="s">
        <v>2904</v>
      </c>
      <c r="B2752" s="1">
        <v>6.6</v>
      </c>
      <c r="C2752" s="1" t="s">
        <v>1885</v>
      </c>
      <c r="D2752" s="1" t="s">
        <v>17758</v>
      </c>
      <c r="E2752" s="1"/>
      <c r="F2752" s="1"/>
      <c r="G2752" s="1"/>
      <c r="H2752" s="1"/>
      <c r="I2752" s="1"/>
      <c r="J2752" s="1"/>
      <c r="K2752" s="1" t="s">
        <v>2903</v>
      </c>
    </row>
    <row r="2753" ht="14.25" customHeight="1">
      <c r="A2753" s="3" t="s">
        <v>2904</v>
      </c>
      <c r="B2753" s="1">
        <v>8.3</v>
      </c>
      <c r="C2753" s="1" t="s">
        <v>1885</v>
      </c>
      <c r="D2753" s="1" t="s">
        <v>17758</v>
      </c>
      <c r="E2753" s="1"/>
      <c r="F2753" s="1"/>
      <c r="G2753" s="1"/>
      <c r="H2753" s="1"/>
      <c r="I2753" s="1"/>
      <c r="J2753" s="1"/>
      <c r="K2753" s="1" t="s">
        <v>3773</v>
      </c>
    </row>
    <row r="2754" ht="14.25" customHeight="1">
      <c r="A2754" s="3" t="s">
        <v>2904</v>
      </c>
      <c r="B2754" s="1">
        <v>6.2</v>
      </c>
      <c r="C2754" s="1" t="s">
        <v>1885</v>
      </c>
      <c r="D2754" s="1" t="s">
        <v>17758</v>
      </c>
      <c r="E2754" s="1"/>
      <c r="F2754" s="1"/>
      <c r="G2754" s="1"/>
      <c r="H2754" s="1"/>
      <c r="I2754" s="1"/>
      <c r="J2754" s="1"/>
      <c r="K2754" s="1" t="s">
        <v>3901</v>
      </c>
    </row>
    <row r="2755" ht="14.25" customHeight="1">
      <c r="A2755" s="3" t="s">
        <v>2904</v>
      </c>
      <c r="B2755" s="1">
        <v>6.9</v>
      </c>
      <c r="C2755" s="1" t="s">
        <v>1885</v>
      </c>
      <c r="D2755" s="1" t="s">
        <v>17758</v>
      </c>
      <c r="E2755" s="1"/>
      <c r="F2755" s="1"/>
      <c r="G2755" s="1"/>
      <c r="H2755" s="1"/>
      <c r="I2755" s="1"/>
      <c r="J2755" s="1"/>
      <c r="K2755" s="1" t="s">
        <v>4793</v>
      </c>
    </row>
    <row r="2756" ht="14.25" customHeight="1">
      <c r="A2756" s="3" t="s">
        <v>2904</v>
      </c>
      <c r="B2756" s="1">
        <v>5.9</v>
      </c>
      <c r="C2756" s="1" t="s">
        <v>1885</v>
      </c>
      <c r="D2756" s="1" t="s">
        <v>17758</v>
      </c>
      <c r="E2756" s="1"/>
      <c r="F2756" s="1"/>
      <c r="G2756" s="1"/>
      <c r="H2756" s="1"/>
      <c r="I2756" s="1"/>
      <c r="J2756" s="1"/>
      <c r="K2756" s="1" t="s">
        <v>4834</v>
      </c>
    </row>
    <row r="2757" ht="14.25" customHeight="1">
      <c r="A2757" s="3" t="s">
        <v>2904</v>
      </c>
      <c r="B2757" s="1">
        <v>6.1</v>
      </c>
      <c r="C2757" s="1" t="s">
        <v>1885</v>
      </c>
      <c r="D2757" s="1" t="s">
        <v>17758</v>
      </c>
      <c r="E2757" s="1"/>
      <c r="F2757" s="1"/>
      <c r="G2757" s="1"/>
      <c r="H2757" s="1"/>
      <c r="I2757" s="1"/>
      <c r="J2757" s="1"/>
      <c r="K2757" s="1" t="s">
        <v>5026</v>
      </c>
    </row>
    <row r="2758" ht="14.25" customHeight="1">
      <c r="A2758" s="3" t="s">
        <v>2904</v>
      </c>
      <c r="B2758" s="1">
        <v>5.8</v>
      </c>
      <c r="C2758" s="1" t="s">
        <v>1885</v>
      </c>
      <c r="D2758" s="1" t="s">
        <v>17758</v>
      </c>
      <c r="E2758" s="1"/>
      <c r="F2758" s="1"/>
      <c r="G2758" s="1"/>
      <c r="H2758" s="1"/>
      <c r="I2758" s="1"/>
      <c r="J2758" s="1"/>
      <c r="K2758" s="1" t="s">
        <v>5886</v>
      </c>
    </row>
    <row r="2759" ht="14.25" customHeight="1">
      <c r="A2759" s="3" t="s">
        <v>2904</v>
      </c>
      <c r="B2759" s="1">
        <v>7.3</v>
      </c>
      <c r="C2759" s="1" t="s">
        <v>1885</v>
      </c>
      <c r="D2759" s="1" t="s">
        <v>17758</v>
      </c>
      <c r="E2759" s="1"/>
      <c r="F2759" s="1"/>
      <c r="G2759" s="1"/>
      <c r="H2759" s="1"/>
      <c r="I2759" s="1"/>
      <c r="J2759" s="1"/>
      <c r="K2759" s="1" t="s">
        <v>6146</v>
      </c>
    </row>
    <row r="2760" ht="14.25" customHeight="1">
      <c r="A2760" s="3" t="s">
        <v>2904</v>
      </c>
      <c r="B2760" s="1">
        <v>5.9</v>
      </c>
      <c r="C2760" s="1" t="s">
        <v>1885</v>
      </c>
      <c r="D2760" s="1" t="s">
        <v>17758</v>
      </c>
      <c r="E2760" s="1"/>
      <c r="F2760" s="1"/>
      <c r="G2760" s="1"/>
      <c r="H2760" s="1"/>
      <c r="I2760" s="1"/>
      <c r="J2760" s="1"/>
      <c r="K2760" s="1" t="s">
        <v>6929</v>
      </c>
    </row>
    <row r="2761" ht="14.25" customHeight="1">
      <c r="A2761" s="3" t="s">
        <v>2904</v>
      </c>
      <c r="B2761" s="1">
        <v>5.5</v>
      </c>
      <c r="C2761" s="1" t="s">
        <v>1885</v>
      </c>
      <c r="D2761" s="1" t="s">
        <v>17758</v>
      </c>
      <c r="E2761" s="1"/>
      <c r="F2761" s="1"/>
      <c r="G2761" s="1"/>
      <c r="H2761" s="1"/>
      <c r="I2761" s="1"/>
      <c r="J2761" s="1"/>
      <c r="K2761" s="1" t="s">
        <v>7141</v>
      </c>
    </row>
    <row r="2762" ht="14.25" customHeight="1">
      <c r="A2762" s="3" t="s">
        <v>2904</v>
      </c>
      <c r="B2762" s="1">
        <v>5.0</v>
      </c>
      <c r="C2762" s="1" t="s">
        <v>1885</v>
      </c>
      <c r="D2762" s="1" t="s">
        <v>17758</v>
      </c>
      <c r="E2762" s="1"/>
      <c r="F2762" s="1"/>
      <c r="G2762" s="1"/>
      <c r="H2762" s="1"/>
      <c r="I2762" s="1"/>
      <c r="J2762" s="1"/>
      <c r="K2762" s="1" t="s">
        <v>8316</v>
      </c>
    </row>
    <row r="2763" ht="14.25" customHeight="1">
      <c r="A2763" s="3" t="s">
        <v>2904</v>
      </c>
      <c r="B2763" s="1">
        <v>7.0</v>
      </c>
      <c r="C2763" s="1" t="s">
        <v>1885</v>
      </c>
      <c r="D2763" s="1" t="s">
        <v>17758</v>
      </c>
      <c r="E2763" s="1"/>
      <c r="F2763" s="1"/>
      <c r="G2763" s="1"/>
      <c r="H2763" s="1"/>
      <c r="I2763" s="1"/>
      <c r="J2763" s="1"/>
      <c r="K2763" s="1" t="s">
        <v>8775</v>
      </c>
    </row>
    <row r="2764" ht="14.25" customHeight="1">
      <c r="A2764" s="3" t="s">
        <v>2904</v>
      </c>
      <c r="B2764" s="1">
        <v>6.4</v>
      </c>
      <c r="C2764" s="1" t="s">
        <v>1885</v>
      </c>
      <c r="D2764" s="1" t="s">
        <v>17758</v>
      </c>
      <c r="E2764" s="1"/>
      <c r="F2764" s="1"/>
      <c r="G2764" s="1"/>
      <c r="H2764" s="1"/>
      <c r="I2764" s="1"/>
      <c r="J2764" s="1"/>
      <c r="K2764" s="1" t="s">
        <v>8921</v>
      </c>
    </row>
    <row r="2765" ht="14.25" customHeight="1">
      <c r="A2765" s="3" t="s">
        <v>2904</v>
      </c>
      <c r="B2765" s="1">
        <v>5.9</v>
      </c>
      <c r="C2765" s="1" t="s">
        <v>1885</v>
      </c>
      <c r="D2765" s="1" t="s">
        <v>17758</v>
      </c>
      <c r="E2765" s="1"/>
      <c r="F2765" s="1"/>
      <c r="G2765" s="1"/>
      <c r="H2765" s="1"/>
      <c r="I2765" s="1"/>
      <c r="J2765" s="1"/>
      <c r="K2765" s="1" t="s">
        <v>9583</v>
      </c>
    </row>
    <row r="2766" ht="14.25" customHeight="1">
      <c r="A2766" s="3" t="s">
        <v>2904</v>
      </c>
      <c r="B2766" s="1">
        <v>7.0</v>
      </c>
      <c r="C2766" s="1" t="s">
        <v>1885</v>
      </c>
      <c r="D2766" s="1" t="s">
        <v>17758</v>
      </c>
      <c r="E2766" s="1"/>
      <c r="F2766" s="1"/>
      <c r="G2766" s="1"/>
      <c r="H2766" s="1"/>
      <c r="I2766" s="1"/>
      <c r="J2766" s="1"/>
      <c r="K2766" s="1" t="s">
        <v>10704</v>
      </c>
    </row>
    <row r="2767" ht="14.25" customHeight="1">
      <c r="A2767" s="3" t="s">
        <v>2904</v>
      </c>
      <c r="B2767" s="1">
        <v>6.1</v>
      </c>
      <c r="C2767" s="1" t="s">
        <v>1885</v>
      </c>
      <c r="D2767" s="1" t="s">
        <v>17758</v>
      </c>
      <c r="E2767" s="1"/>
      <c r="F2767" s="1"/>
      <c r="G2767" s="1"/>
      <c r="H2767" s="1"/>
      <c r="I2767" s="1"/>
      <c r="J2767" s="1"/>
      <c r="K2767" s="1" t="s">
        <v>11237</v>
      </c>
    </row>
    <row r="2768" ht="14.25" customHeight="1">
      <c r="A2768" s="3" t="s">
        <v>2904</v>
      </c>
      <c r="B2768" s="1">
        <v>6.9</v>
      </c>
      <c r="C2768" s="1" t="s">
        <v>1885</v>
      </c>
      <c r="D2768" s="1" t="s">
        <v>17758</v>
      </c>
      <c r="E2768" s="1"/>
      <c r="F2768" s="1"/>
      <c r="G2768" s="1"/>
      <c r="H2768" s="1"/>
      <c r="I2768" s="1"/>
      <c r="J2768" s="1"/>
      <c r="K2768" s="1" t="s">
        <v>11413</v>
      </c>
    </row>
    <row r="2769" ht="14.25" customHeight="1">
      <c r="A2769" s="3" t="s">
        <v>2904</v>
      </c>
      <c r="B2769" s="1">
        <v>7.5</v>
      </c>
      <c r="C2769" s="1" t="s">
        <v>1885</v>
      </c>
      <c r="D2769" s="1" t="s">
        <v>17758</v>
      </c>
      <c r="E2769" s="1"/>
      <c r="F2769" s="1"/>
      <c r="G2769" s="1"/>
      <c r="H2769" s="1"/>
      <c r="I2769" s="1"/>
      <c r="J2769" s="1"/>
      <c r="K2769" s="1" t="s">
        <v>11460</v>
      </c>
    </row>
    <row r="2770" ht="14.25" customHeight="1">
      <c r="A2770" s="3" t="s">
        <v>2904</v>
      </c>
      <c r="B2770" s="1">
        <v>7.3</v>
      </c>
      <c r="C2770" s="1" t="s">
        <v>1885</v>
      </c>
      <c r="D2770" s="1" t="s">
        <v>17758</v>
      </c>
      <c r="E2770" s="1"/>
      <c r="F2770" s="1"/>
      <c r="G2770" s="1"/>
      <c r="H2770" s="1"/>
      <c r="I2770" s="1"/>
      <c r="J2770" s="1"/>
      <c r="K2770" s="1" t="s">
        <v>14693</v>
      </c>
    </row>
    <row r="2771" ht="14.25" customHeight="1">
      <c r="A2771" s="3" t="s">
        <v>6707</v>
      </c>
      <c r="B2771" s="1">
        <v>6.5</v>
      </c>
      <c r="C2771" s="1" t="s">
        <v>3238</v>
      </c>
      <c r="D2771" s="1" t="s">
        <v>17758</v>
      </c>
      <c r="E2771" s="1"/>
      <c r="F2771" s="1"/>
      <c r="G2771" s="1"/>
      <c r="H2771" s="1"/>
      <c r="I2771" s="1"/>
      <c r="J2771" s="1"/>
      <c r="K2771" s="1" t="s">
        <v>6706</v>
      </c>
    </row>
    <row r="2772" ht="14.25" customHeight="1">
      <c r="A2772" s="3" t="s">
        <v>6707</v>
      </c>
      <c r="B2772" s="1">
        <v>6.2</v>
      </c>
      <c r="C2772" s="1" t="s">
        <v>3238</v>
      </c>
      <c r="D2772" s="1" t="s">
        <v>17758</v>
      </c>
      <c r="E2772" s="1"/>
      <c r="F2772" s="1"/>
      <c r="G2772" s="1"/>
      <c r="H2772" s="1"/>
      <c r="I2772" s="1"/>
      <c r="J2772" s="1"/>
      <c r="K2772" s="1" t="s">
        <v>6743</v>
      </c>
    </row>
    <row r="2773" ht="14.25" customHeight="1">
      <c r="A2773" s="3" t="s">
        <v>6707</v>
      </c>
      <c r="B2773" s="1">
        <v>6.0</v>
      </c>
      <c r="C2773" s="1" t="s">
        <v>3238</v>
      </c>
      <c r="D2773" s="1" t="s">
        <v>17758</v>
      </c>
      <c r="E2773" s="1"/>
      <c r="F2773" s="1"/>
      <c r="G2773" s="1"/>
      <c r="H2773" s="1"/>
      <c r="I2773" s="1"/>
      <c r="J2773" s="1"/>
      <c r="K2773" s="1" t="s">
        <v>13309</v>
      </c>
    </row>
    <row r="2774" ht="14.25" customHeight="1">
      <c r="A2774" s="3" t="s">
        <v>6707</v>
      </c>
      <c r="B2774" s="1">
        <v>6.3</v>
      </c>
      <c r="C2774" s="1" t="s">
        <v>3238</v>
      </c>
      <c r="D2774" s="1" t="s">
        <v>17758</v>
      </c>
      <c r="E2774" s="1"/>
      <c r="F2774" s="1"/>
      <c r="G2774" s="1"/>
      <c r="H2774" s="1"/>
      <c r="I2774" s="1"/>
      <c r="J2774" s="1"/>
      <c r="K2774" s="1" t="s">
        <v>13822</v>
      </c>
    </row>
    <row r="2775" ht="14.25" customHeight="1">
      <c r="A2775" s="3" t="s">
        <v>6707</v>
      </c>
      <c r="B2775" s="1">
        <v>5.8</v>
      </c>
      <c r="C2775" s="1" t="s">
        <v>3238</v>
      </c>
      <c r="D2775" s="1" t="s">
        <v>17758</v>
      </c>
      <c r="E2775" s="1"/>
      <c r="F2775" s="1"/>
      <c r="G2775" s="1"/>
      <c r="H2775" s="1"/>
      <c r="I2775" s="1"/>
      <c r="J2775" s="1"/>
      <c r="K2775" s="1" t="s">
        <v>14395</v>
      </c>
    </row>
    <row r="2776" ht="14.25" customHeight="1">
      <c r="A2776" s="3" t="s">
        <v>6707</v>
      </c>
      <c r="B2776" s="1">
        <v>6.1</v>
      </c>
      <c r="C2776" s="1" t="s">
        <v>3238</v>
      </c>
      <c r="D2776" s="1" t="s">
        <v>17758</v>
      </c>
      <c r="E2776" s="1"/>
      <c r="F2776" s="1"/>
      <c r="G2776" s="1"/>
      <c r="H2776" s="1"/>
      <c r="I2776" s="1"/>
      <c r="J2776" s="1"/>
      <c r="K2776" s="1" t="s">
        <v>15423</v>
      </c>
    </row>
    <row r="2777" ht="14.25" customHeight="1">
      <c r="A2777" s="3" t="s">
        <v>6707</v>
      </c>
      <c r="B2777" s="1">
        <v>6.9</v>
      </c>
      <c r="C2777" s="1" t="s">
        <v>3238</v>
      </c>
      <c r="D2777" s="1" t="s">
        <v>17758</v>
      </c>
      <c r="E2777" s="1"/>
      <c r="F2777" s="1"/>
      <c r="G2777" s="1"/>
      <c r="H2777" s="1"/>
      <c r="I2777" s="1"/>
      <c r="J2777" s="1"/>
      <c r="K2777" s="1" t="s">
        <v>16003</v>
      </c>
    </row>
    <row r="2778" ht="14.25" customHeight="1">
      <c r="A2778" s="3" t="s">
        <v>6707</v>
      </c>
      <c r="B2778" s="1">
        <v>8.3</v>
      </c>
      <c r="C2778" s="1" t="s">
        <v>3238</v>
      </c>
      <c r="D2778" s="1" t="s">
        <v>17758</v>
      </c>
      <c r="E2778" s="1"/>
      <c r="F2778" s="1"/>
      <c r="G2778" s="1"/>
      <c r="H2778" s="1"/>
      <c r="I2778" s="1"/>
      <c r="J2778" s="1"/>
      <c r="K2778" s="1" t="s">
        <v>17572</v>
      </c>
    </row>
    <row r="2779" ht="14.25" customHeight="1">
      <c r="A2779" s="3" t="s">
        <v>3027</v>
      </c>
      <c r="B2779" s="1">
        <v>5.4</v>
      </c>
      <c r="C2779" s="1" t="s">
        <v>1270</v>
      </c>
      <c r="D2779" s="1" t="s">
        <v>17759</v>
      </c>
      <c r="E2779" s="1"/>
      <c r="F2779" s="1"/>
      <c r="G2779" s="1"/>
      <c r="H2779" s="1"/>
      <c r="I2779" s="1"/>
      <c r="J2779" s="1"/>
      <c r="K2779" s="1" t="s">
        <v>3026</v>
      </c>
    </row>
    <row r="2780" ht="14.25" customHeight="1">
      <c r="A2780" s="3" t="s">
        <v>165</v>
      </c>
      <c r="B2780" s="1">
        <v>6.7</v>
      </c>
      <c r="C2780" s="1" t="s">
        <v>917</v>
      </c>
      <c r="D2780" s="1" t="s">
        <v>17759</v>
      </c>
      <c r="E2780" s="1"/>
      <c r="F2780" s="1"/>
      <c r="G2780" s="1"/>
      <c r="H2780" s="1"/>
      <c r="I2780" s="1"/>
      <c r="J2780" s="1"/>
      <c r="K2780" s="1" t="s">
        <v>164</v>
      </c>
    </row>
    <row r="2781" ht="14.25" customHeight="1">
      <c r="A2781" s="3" t="s">
        <v>165</v>
      </c>
      <c r="B2781" s="1">
        <v>7.4</v>
      </c>
      <c r="C2781" s="1" t="s">
        <v>917</v>
      </c>
      <c r="D2781" s="1" t="s">
        <v>17759</v>
      </c>
      <c r="E2781" s="1"/>
      <c r="F2781" s="1"/>
      <c r="G2781" s="1"/>
      <c r="H2781" s="1"/>
      <c r="I2781" s="1"/>
      <c r="J2781" s="1"/>
      <c r="K2781" s="1" t="s">
        <v>187</v>
      </c>
    </row>
    <row r="2782" ht="14.25" customHeight="1">
      <c r="A2782" s="3" t="s">
        <v>165</v>
      </c>
      <c r="B2782" s="1">
        <v>5.6</v>
      </c>
      <c r="C2782" s="1" t="s">
        <v>917</v>
      </c>
      <c r="D2782" s="1" t="s">
        <v>17759</v>
      </c>
      <c r="E2782" s="1"/>
      <c r="F2782" s="1"/>
      <c r="G2782" s="1"/>
      <c r="H2782" s="1"/>
      <c r="I2782" s="1"/>
      <c r="J2782" s="1"/>
      <c r="K2782" s="1" t="s">
        <v>350</v>
      </c>
    </row>
    <row r="2783" ht="14.25" customHeight="1">
      <c r="A2783" s="3" t="s">
        <v>165</v>
      </c>
      <c r="B2783" s="1">
        <v>6.5</v>
      </c>
      <c r="C2783" s="1" t="s">
        <v>917</v>
      </c>
      <c r="D2783" s="1" t="s">
        <v>17759</v>
      </c>
      <c r="E2783" s="1"/>
      <c r="F2783" s="1"/>
      <c r="G2783" s="1"/>
      <c r="H2783" s="1"/>
      <c r="I2783" s="1"/>
      <c r="J2783" s="1"/>
      <c r="K2783" s="1" t="s">
        <v>2193</v>
      </c>
    </row>
    <row r="2784" ht="14.25" customHeight="1">
      <c r="A2784" s="3" t="s">
        <v>165</v>
      </c>
      <c r="B2784" s="1">
        <v>6.5</v>
      </c>
      <c r="C2784" s="1" t="s">
        <v>917</v>
      </c>
      <c r="D2784" s="1" t="s">
        <v>17759</v>
      </c>
      <c r="E2784" s="1"/>
      <c r="F2784" s="1"/>
      <c r="G2784" s="1"/>
      <c r="H2784" s="1"/>
      <c r="I2784" s="1"/>
      <c r="J2784" s="1"/>
      <c r="K2784" s="1" t="s">
        <v>2193</v>
      </c>
    </row>
    <row r="2785" ht="14.25" customHeight="1">
      <c r="A2785" s="3" t="s">
        <v>165</v>
      </c>
      <c r="B2785" s="1">
        <v>5.8</v>
      </c>
      <c r="C2785" s="1" t="s">
        <v>917</v>
      </c>
      <c r="D2785" s="1" t="s">
        <v>17759</v>
      </c>
      <c r="E2785" s="1"/>
      <c r="F2785" s="1"/>
      <c r="G2785" s="1"/>
      <c r="H2785" s="1"/>
      <c r="I2785" s="1"/>
      <c r="J2785" s="1"/>
      <c r="K2785" s="1" t="s">
        <v>15565</v>
      </c>
    </row>
    <row r="2786" ht="14.25" customHeight="1">
      <c r="A2786" s="3" t="s">
        <v>165</v>
      </c>
      <c r="B2786" s="1">
        <v>5.0</v>
      </c>
      <c r="C2786" s="1" t="s">
        <v>917</v>
      </c>
      <c r="D2786" s="1" t="s">
        <v>17759</v>
      </c>
      <c r="E2786" s="1"/>
      <c r="F2786" s="1"/>
      <c r="G2786" s="1"/>
      <c r="H2786" s="1"/>
      <c r="I2786" s="1"/>
      <c r="J2786" s="1"/>
      <c r="K2786" s="1" t="s">
        <v>15579</v>
      </c>
    </row>
    <row r="2787" ht="14.25" customHeight="1">
      <c r="A2787" s="3" t="s">
        <v>2657</v>
      </c>
      <c r="B2787" s="1">
        <v>5.5</v>
      </c>
      <c r="C2787" s="1" t="s">
        <v>1885</v>
      </c>
      <c r="D2787" s="1" t="s">
        <v>17759</v>
      </c>
      <c r="E2787" s="1"/>
      <c r="F2787" s="1"/>
      <c r="G2787" s="1"/>
      <c r="H2787" s="1"/>
      <c r="I2787" s="1"/>
      <c r="J2787" s="1"/>
      <c r="K2787" s="1" t="s">
        <v>2656</v>
      </c>
    </row>
    <row r="2788" ht="14.25" customHeight="1">
      <c r="A2788" s="3" t="s">
        <v>2657</v>
      </c>
      <c r="B2788" s="1">
        <v>6.5</v>
      </c>
      <c r="C2788" s="1" t="s">
        <v>1885</v>
      </c>
      <c r="D2788" s="1" t="s">
        <v>17759</v>
      </c>
      <c r="E2788" s="1"/>
      <c r="F2788" s="1"/>
      <c r="G2788" s="1"/>
      <c r="H2788" s="1"/>
      <c r="I2788" s="1"/>
      <c r="J2788" s="1"/>
      <c r="K2788" s="1" t="s">
        <v>4682</v>
      </c>
    </row>
    <row r="2789" ht="14.25" customHeight="1">
      <c r="A2789" s="3" t="s">
        <v>2657</v>
      </c>
      <c r="B2789" s="1">
        <v>7.2</v>
      </c>
      <c r="C2789" s="1" t="s">
        <v>1885</v>
      </c>
      <c r="D2789" s="1" t="s">
        <v>17759</v>
      </c>
      <c r="E2789" s="1"/>
      <c r="F2789" s="1"/>
      <c r="G2789" s="1"/>
      <c r="H2789" s="1"/>
      <c r="I2789" s="1"/>
      <c r="J2789" s="1"/>
      <c r="K2789" s="1" t="s">
        <v>4739</v>
      </c>
    </row>
    <row r="2790" ht="14.25" customHeight="1">
      <c r="A2790" s="3" t="s">
        <v>2657</v>
      </c>
      <c r="B2790" s="1">
        <v>5.2</v>
      </c>
      <c r="C2790" s="1" t="s">
        <v>1885</v>
      </c>
      <c r="D2790" s="1" t="s">
        <v>17759</v>
      </c>
      <c r="E2790" s="1"/>
      <c r="F2790" s="1"/>
      <c r="G2790" s="1"/>
      <c r="H2790" s="1"/>
      <c r="I2790" s="1"/>
      <c r="J2790" s="1"/>
      <c r="K2790" s="1" t="s">
        <v>6477</v>
      </c>
    </row>
    <row r="2791" ht="14.25" customHeight="1">
      <c r="A2791" s="3" t="s">
        <v>2657</v>
      </c>
      <c r="B2791" s="1">
        <v>5.7</v>
      </c>
      <c r="C2791" s="1" t="s">
        <v>1885</v>
      </c>
      <c r="D2791" s="1" t="s">
        <v>17759</v>
      </c>
      <c r="E2791" s="1"/>
      <c r="F2791" s="1"/>
      <c r="G2791" s="1"/>
      <c r="H2791" s="1"/>
      <c r="I2791" s="1"/>
      <c r="J2791" s="1"/>
      <c r="K2791" s="1" t="s">
        <v>7402</v>
      </c>
    </row>
    <row r="2792" ht="14.25" customHeight="1">
      <c r="A2792" s="3" t="s">
        <v>2657</v>
      </c>
      <c r="B2792" s="1">
        <v>4.7</v>
      </c>
      <c r="C2792" s="1" t="s">
        <v>1885</v>
      </c>
      <c r="D2792" s="1" t="s">
        <v>17759</v>
      </c>
      <c r="E2792" s="1"/>
      <c r="F2792" s="1"/>
      <c r="G2792" s="1"/>
      <c r="H2792" s="1"/>
      <c r="I2792" s="1"/>
      <c r="J2792" s="1"/>
      <c r="K2792" s="1" t="s">
        <v>7604</v>
      </c>
    </row>
    <row r="2793" ht="14.25" customHeight="1">
      <c r="A2793" s="3" t="s">
        <v>2657</v>
      </c>
      <c r="B2793" s="1">
        <v>5.9</v>
      </c>
      <c r="C2793" s="1" t="s">
        <v>1885</v>
      </c>
      <c r="D2793" s="1" t="s">
        <v>17759</v>
      </c>
      <c r="E2793" s="1"/>
      <c r="F2793" s="1"/>
      <c r="G2793" s="1"/>
      <c r="H2793" s="1"/>
      <c r="I2793" s="1"/>
      <c r="J2793" s="1"/>
      <c r="K2793" s="1" t="s">
        <v>7690</v>
      </c>
    </row>
    <row r="2794" ht="14.25" customHeight="1">
      <c r="A2794" s="3" t="s">
        <v>2657</v>
      </c>
      <c r="B2794" s="1">
        <v>6.8</v>
      </c>
      <c r="C2794" s="1" t="s">
        <v>1885</v>
      </c>
      <c r="D2794" s="1" t="s">
        <v>17759</v>
      </c>
      <c r="E2794" s="1"/>
      <c r="F2794" s="1"/>
      <c r="G2794" s="1"/>
      <c r="H2794" s="1"/>
      <c r="I2794" s="1"/>
      <c r="J2794" s="1"/>
      <c r="K2794" s="1" t="s">
        <v>10363</v>
      </c>
    </row>
    <row r="2795" ht="14.25" customHeight="1">
      <c r="A2795" s="3" t="s">
        <v>2657</v>
      </c>
      <c r="B2795" s="1">
        <v>5.9</v>
      </c>
      <c r="C2795" s="1" t="s">
        <v>1885</v>
      </c>
      <c r="D2795" s="1" t="s">
        <v>17759</v>
      </c>
      <c r="E2795" s="1"/>
      <c r="F2795" s="1"/>
      <c r="G2795" s="1"/>
      <c r="H2795" s="1"/>
      <c r="I2795" s="1"/>
      <c r="J2795" s="1"/>
      <c r="K2795" s="1" t="s">
        <v>11482</v>
      </c>
    </row>
    <row r="2796" ht="14.25" customHeight="1">
      <c r="A2796" s="3" t="s">
        <v>2657</v>
      </c>
      <c r="B2796" s="1">
        <v>7.7</v>
      </c>
      <c r="C2796" s="1" t="s">
        <v>1885</v>
      </c>
      <c r="D2796" s="1" t="s">
        <v>17759</v>
      </c>
      <c r="E2796" s="1"/>
      <c r="F2796" s="1"/>
      <c r="G2796" s="1"/>
      <c r="H2796" s="1"/>
      <c r="I2796" s="1"/>
      <c r="J2796" s="1"/>
      <c r="K2796" s="1" t="s">
        <v>12657</v>
      </c>
    </row>
    <row r="2797" ht="14.25" customHeight="1">
      <c r="A2797" s="3" t="s">
        <v>2657</v>
      </c>
      <c r="B2797" s="1">
        <v>4.4</v>
      </c>
      <c r="C2797" s="1" t="s">
        <v>1885</v>
      </c>
      <c r="D2797" s="1" t="s">
        <v>17759</v>
      </c>
      <c r="E2797" s="1"/>
      <c r="F2797" s="1"/>
      <c r="G2797" s="1"/>
      <c r="H2797" s="1"/>
      <c r="I2797" s="1"/>
      <c r="J2797" s="1"/>
      <c r="K2797" s="1" t="s">
        <v>15524</v>
      </c>
    </row>
    <row r="2798" ht="14.25" customHeight="1">
      <c r="A2798" s="3" t="s">
        <v>2657</v>
      </c>
      <c r="B2798" s="1">
        <v>6.6</v>
      </c>
      <c r="C2798" s="1" t="s">
        <v>1885</v>
      </c>
      <c r="D2798" s="1" t="s">
        <v>17759</v>
      </c>
      <c r="E2798" s="1"/>
      <c r="F2798" s="1"/>
      <c r="G2798" s="1"/>
      <c r="H2798" s="1"/>
      <c r="I2798" s="1"/>
      <c r="J2798" s="1"/>
      <c r="K2798" s="1" t="s">
        <v>15534</v>
      </c>
    </row>
    <row r="2799" ht="14.25" customHeight="1">
      <c r="A2799" s="3" t="s">
        <v>2657</v>
      </c>
      <c r="B2799" s="1">
        <v>6.7</v>
      </c>
      <c r="C2799" s="1" t="s">
        <v>1885</v>
      </c>
      <c r="D2799" s="1" t="s">
        <v>17759</v>
      </c>
      <c r="E2799" s="1"/>
      <c r="F2799" s="1"/>
      <c r="G2799" s="1"/>
      <c r="H2799" s="1"/>
      <c r="I2799" s="1"/>
      <c r="J2799" s="1"/>
      <c r="K2799" s="1" t="s">
        <v>15927</v>
      </c>
    </row>
    <row r="2800" ht="14.25" customHeight="1">
      <c r="A2800" s="3" t="s">
        <v>2657</v>
      </c>
      <c r="B2800" s="1">
        <v>5.5</v>
      </c>
      <c r="C2800" s="1" t="s">
        <v>1885</v>
      </c>
      <c r="D2800" s="1" t="s">
        <v>17759</v>
      </c>
      <c r="E2800" s="1"/>
      <c r="F2800" s="1"/>
      <c r="G2800" s="1"/>
      <c r="H2800" s="1"/>
      <c r="I2800" s="1"/>
      <c r="J2800" s="1"/>
      <c r="K2800" s="1" t="s">
        <v>16116</v>
      </c>
    </row>
    <row r="2801" ht="14.25" customHeight="1">
      <c r="A2801" s="3" t="s">
        <v>2657</v>
      </c>
      <c r="B2801" s="1">
        <v>6.5</v>
      </c>
      <c r="C2801" s="1" t="s">
        <v>1885</v>
      </c>
      <c r="D2801" s="1" t="s">
        <v>17759</v>
      </c>
      <c r="E2801" s="1"/>
      <c r="F2801" s="1"/>
      <c r="G2801" s="1"/>
      <c r="H2801" s="1"/>
      <c r="I2801" s="1"/>
      <c r="J2801" s="1"/>
      <c r="K2801" s="1" t="s">
        <v>16658</v>
      </c>
    </row>
    <row r="2802" ht="14.25" customHeight="1">
      <c r="A2802" s="3" t="s">
        <v>5030</v>
      </c>
      <c r="B2802" s="1">
        <v>6.2</v>
      </c>
      <c r="C2802" s="1" t="s">
        <v>3238</v>
      </c>
      <c r="D2802" s="1" t="s">
        <v>17759</v>
      </c>
      <c r="E2802" s="1"/>
      <c r="F2802" s="1"/>
      <c r="G2802" s="1"/>
      <c r="H2802" s="1"/>
      <c r="I2802" s="1"/>
      <c r="J2802" s="1"/>
      <c r="K2802" s="1" t="s">
        <v>5029</v>
      </c>
    </row>
    <row r="2803" ht="14.25" customHeight="1">
      <c r="A2803" s="3" t="s">
        <v>5030</v>
      </c>
      <c r="B2803" s="1">
        <v>7.1</v>
      </c>
      <c r="C2803" s="1" t="s">
        <v>3238</v>
      </c>
      <c r="D2803" s="1" t="s">
        <v>17759</v>
      </c>
      <c r="E2803" s="1"/>
      <c r="F2803" s="1"/>
      <c r="G2803" s="1"/>
      <c r="H2803" s="1"/>
      <c r="I2803" s="1"/>
      <c r="J2803" s="1"/>
      <c r="K2803" s="1" t="s">
        <v>7179</v>
      </c>
    </row>
    <row r="2804" ht="14.25" customHeight="1">
      <c r="A2804" s="3" t="s">
        <v>5030</v>
      </c>
      <c r="B2804" s="1">
        <v>6.1</v>
      </c>
      <c r="C2804" s="1" t="s">
        <v>3238</v>
      </c>
      <c r="D2804" s="1" t="s">
        <v>17759</v>
      </c>
      <c r="E2804" s="1"/>
      <c r="F2804" s="1"/>
      <c r="G2804" s="1"/>
      <c r="H2804" s="1"/>
      <c r="I2804" s="1"/>
      <c r="J2804" s="1"/>
      <c r="K2804" s="1" t="s">
        <v>11376</v>
      </c>
    </row>
    <row r="2805" ht="14.25" customHeight="1">
      <c r="A2805" s="3" t="s">
        <v>5030</v>
      </c>
      <c r="B2805" s="1">
        <v>6.0</v>
      </c>
      <c r="C2805" s="1" t="s">
        <v>3238</v>
      </c>
      <c r="D2805" s="1" t="s">
        <v>17759</v>
      </c>
      <c r="E2805" s="1"/>
      <c r="F2805" s="1"/>
      <c r="G2805" s="1"/>
      <c r="H2805" s="1"/>
      <c r="I2805" s="1"/>
      <c r="J2805" s="1"/>
      <c r="K2805" s="1" t="s">
        <v>16477</v>
      </c>
    </row>
    <row r="2806" ht="14.25" customHeight="1">
      <c r="A2806" s="3" t="s">
        <v>5030</v>
      </c>
      <c r="B2806" s="1">
        <v>7.4</v>
      </c>
      <c r="C2806" s="1" t="s">
        <v>3238</v>
      </c>
      <c r="D2806" s="1" t="s">
        <v>17759</v>
      </c>
      <c r="E2806" s="1"/>
      <c r="F2806" s="1"/>
      <c r="G2806" s="1"/>
      <c r="H2806" s="1"/>
      <c r="I2806" s="1"/>
      <c r="J2806" s="1"/>
      <c r="K2806" s="1" t="s">
        <v>16516</v>
      </c>
    </row>
    <row r="2807" ht="14.25" customHeight="1">
      <c r="A2807" s="3" t="s">
        <v>9673</v>
      </c>
      <c r="B2807" s="1">
        <v>5.9</v>
      </c>
      <c r="C2807" s="1" t="s">
        <v>1885</v>
      </c>
      <c r="D2807" s="1" t="s">
        <v>17772</v>
      </c>
      <c r="E2807" s="1"/>
      <c r="F2807" s="1"/>
      <c r="G2807" s="1"/>
      <c r="H2807" s="1"/>
      <c r="I2807" s="1"/>
      <c r="J2807" s="1"/>
      <c r="K2807" s="1" t="s">
        <v>9672</v>
      </c>
    </row>
    <row r="2808" ht="14.25" customHeight="1">
      <c r="A2808" s="3" t="s">
        <v>16404</v>
      </c>
      <c r="B2808" s="1">
        <v>4.1</v>
      </c>
      <c r="C2808" s="1" t="s">
        <v>15542</v>
      </c>
      <c r="D2808" s="1" t="s">
        <v>17772</v>
      </c>
      <c r="E2808" s="1"/>
      <c r="F2808" s="1"/>
      <c r="G2808" s="1"/>
      <c r="H2808" s="1"/>
      <c r="I2808" s="1"/>
      <c r="J2808" s="1"/>
      <c r="K2808" s="1" t="s">
        <v>16403</v>
      </c>
    </row>
    <row r="2809" ht="14.25" customHeight="1">
      <c r="A2809" s="3" t="s">
        <v>6130</v>
      </c>
      <c r="B2809" s="1">
        <v>5.9</v>
      </c>
      <c r="C2809" s="1" t="s">
        <v>3238</v>
      </c>
      <c r="D2809" s="1" t="s">
        <v>17772</v>
      </c>
      <c r="E2809" s="1"/>
      <c r="F2809" s="1"/>
      <c r="G2809" s="1"/>
      <c r="H2809" s="1"/>
      <c r="I2809" s="1"/>
      <c r="J2809" s="1"/>
      <c r="K2809" s="1" t="s">
        <v>6129</v>
      </c>
    </row>
    <row r="2810" ht="14.25" customHeight="1">
      <c r="A2810" s="3" t="s">
        <v>6130</v>
      </c>
      <c r="B2810" s="1">
        <v>7.0</v>
      </c>
      <c r="C2810" s="1" t="s">
        <v>3238</v>
      </c>
      <c r="D2810" s="1" t="s">
        <v>17772</v>
      </c>
      <c r="E2810" s="1"/>
      <c r="F2810" s="1"/>
      <c r="G2810" s="1"/>
      <c r="H2810" s="1"/>
      <c r="I2810" s="1"/>
      <c r="J2810" s="1"/>
      <c r="K2810" s="1" t="s">
        <v>6757</v>
      </c>
    </row>
    <row r="2811" ht="14.25" customHeight="1">
      <c r="A2811" s="3" t="s">
        <v>6130</v>
      </c>
      <c r="B2811" s="1">
        <v>6.8</v>
      </c>
      <c r="C2811" s="1" t="s">
        <v>3238</v>
      </c>
      <c r="D2811" s="1" t="s">
        <v>17772</v>
      </c>
      <c r="E2811" s="1"/>
      <c r="F2811" s="1"/>
      <c r="G2811" s="1"/>
      <c r="H2811" s="1"/>
      <c r="I2811" s="1"/>
      <c r="J2811" s="1"/>
      <c r="K2811" s="1" t="s">
        <v>12104</v>
      </c>
    </row>
    <row r="2812" ht="14.25" customHeight="1">
      <c r="A2812" s="3" t="s">
        <v>6130</v>
      </c>
      <c r="B2812" s="1">
        <v>7.4</v>
      </c>
      <c r="C2812" s="1" t="s">
        <v>3238</v>
      </c>
      <c r="D2812" s="1" t="s">
        <v>17772</v>
      </c>
      <c r="E2812" s="1"/>
      <c r="F2812" s="1"/>
      <c r="G2812" s="1"/>
      <c r="H2812" s="1"/>
      <c r="I2812" s="1"/>
      <c r="J2812" s="1"/>
      <c r="K2812" s="1" t="s">
        <v>14786</v>
      </c>
    </row>
    <row r="2813" ht="14.25" customHeight="1">
      <c r="A2813" s="3" t="s">
        <v>6130</v>
      </c>
      <c r="B2813" s="1">
        <v>7.1</v>
      </c>
      <c r="C2813" s="1" t="s">
        <v>3238</v>
      </c>
      <c r="D2813" s="1" t="s">
        <v>17772</v>
      </c>
      <c r="E2813" s="1"/>
      <c r="F2813" s="1"/>
      <c r="G2813" s="1"/>
      <c r="H2813" s="1"/>
      <c r="I2813" s="1"/>
      <c r="J2813" s="1"/>
      <c r="K2813" s="1" t="s">
        <v>15010</v>
      </c>
    </row>
    <row r="2814" ht="14.25" customHeight="1">
      <c r="A2814" s="3" t="s">
        <v>6130</v>
      </c>
      <c r="B2814" s="1">
        <v>7.0</v>
      </c>
      <c r="C2814" s="1" t="s">
        <v>3238</v>
      </c>
      <c r="D2814" s="1" t="s">
        <v>17772</v>
      </c>
      <c r="E2814" s="1"/>
      <c r="F2814" s="1"/>
      <c r="G2814" s="1"/>
      <c r="H2814" s="1"/>
      <c r="I2814" s="1"/>
      <c r="J2814" s="1"/>
      <c r="K2814" s="1" t="s">
        <v>15756</v>
      </c>
    </row>
    <row r="2815" ht="14.25" customHeight="1">
      <c r="A2815" s="3" t="s">
        <v>6130</v>
      </c>
      <c r="B2815" s="1">
        <v>5.8</v>
      </c>
      <c r="C2815" s="1" t="s">
        <v>3238</v>
      </c>
      <c r="D2815" s="1" t="s">
        <v>17772</v>
      </c>
      <c r="E2815" s="1"/>
      <c r="F2815" s="1"/>
      <c r="G2815" s="1"/>
      <c r="H2815" s="1"/>
      <c r="I2815" s="1"/>
      <c r="J2815" s="1"/>
      <c r="K2815" s="1" t="s">
        <v>16217</v>
      </c>
    </row>
    <row r="2816" ht="14.25" customHeight="1">
      <c r="A2816" s="3" t="s">
        <v>5406</v>
      </c>
      <c r="B2816" s="1">
        <v>7.8</v>
      </c>
      <c r="C2816" s="1" t="s">
        <v>1270</v>
      </c>
      <c r="D2816" s="1" t="s">
        <v>6019</v>
      </c>
      <c r="E2816" s="1"/>
      <c r="F2816" s="1"/>
      <c r="G2816" s="1"/>
      <c r="H2816" s="1"/>
      <c r="I2816" s="1"/>
      <c r="J2816" s="1"/>
      <c r="K2816" s="1" t="s">
        <v>5405</v>
      </c>
    </row>
    <row r="2817" ht="14.25" customHeight="1">
      <c r="A2817" s="3" t="s">
        <v>5406</v>
      </c>
      <c r="B2817" s="1">
        <v>6.5</v>
      </c>
      <c r="C2817" s="1" t="s">
        <v>1270</v>
      </c>
      <c r="D2817" s="1" t="s">
        <v>6019</v>
      </c>
      <c r="E2817" s="1"/>
      <c r="F2817" s="1"/>
      <c r="G2817" s="1"/>
      <c r="H2817" s="1"/>
      <c r="I2817" s="1"/>
      <c r="J2817" s="1"/>
      <c r="K2817" s="1" t="s">
        <v>6042</v>
      </c>
    </row>
    <row r="2818" ht="14.25" customHeight="1">
      <c r="A2818" s="3" t="s">
        <v>15102</v>
      </c>
      <c r="B2818" s="1">
        <v>7.0</v>
      </c>
      <c r="C2818" s="1" t="s">
        <v>917</v>
      </c>
      <c r="D2818" s="1" t="s">
        <v>6019</v>
      </c>
      <c r="E2818" s="1"/>
      <c r="F2818" s="1"/>
      <c r="G2818" s="1"/>
      <c r="H2818" s="1"/>
      <c r="I2818" s="1"/>
      <c r="J2818" s="1"/>
      <c r="K2818" s="1" t="s">
        <v>15101</v>
      </c>
    </row>
    <row r="2819" ht="14.25" customHeight="1">
      <c r="A2819" s="3" t="s">
        <v>15102</v>
      </c>
      <c r="B2819" s="1">
        <v>6.3</v>
      </c>
      <c r="C2819" s="1" t="s">
        <v>917</v>
      </c>
      <c r="D2819" s="1" t="s">
        <v>6019</v>
      </c>
      <c r="E2819" s="1"/>
      <c r="F2819" s="1"/>
      <c r="G2819" s="1"/>
      <c r="H2819" s="1"/>
      <c r="I2819" s="1"/>
      <c r="J2819" s="1"/>
      <c r="K2819" s="1" t="s">
        <v>16877</v>
      </c>
    </row>
    <row r="2820" ht="14.25" customHeight="1">
      <c r="A2820" s="3" t="s">
        <v>7114</v>
      </c>
      <c r="B2820" s="1">
        <v>5.3</v>
      </c>
      <c r="C2820" s="1" t="s">
        <v>1885</v>
      </c>
      <c r="D2820" s="1" t="s">
        <v>6019</v>
      </c>
      <c r="E2820" s="1"/>
      <c r="F2820" s="1"/>
      <c r="G2820" s="1"/>
      <c r="H2820" s="1"/>
      <c r="I2820" s="1"/>
      <c r="J2820" s="1"/>
      <c r="K2820" s="1" t="s">
        <v>7113</v>
      </c>
    </row>
    <row r="2821" ht="14.25" customHeight="1">
      <c r="A2821" s="3" t="s">
        <v>7114</v>
      </c>
      <c r="B2821" s="1">
        <v>5.5</v>
      </c>
      <c r="C2821" s="1" t="s">
        <v>1885</v>
      </c>
      <c r="D2821" s="1" t="s">
        <v>6019</v>
      </c>
      <c r="E2821" s="1"/>
      <c r="F2821" s="1"/>
      <c r="G2821" s="1"/>
      <c r="H2821" s="1"/>
      <c r="I2821" s="1"/>
      <c r="J2821" s="1"/>
      <c r="K2821" s="1" t="s">
        <v>8038</v>
      </c>
    </row>
    <row r="2822" ht="14.25" customHeight="1">
      <c r="A2822" s="3" t="s">
        <v>7114</v>
      </c>
      <c r="B2822" s="1">
        <v>7.4</v>
      </c>
      <c r="C2822" s="1" t="s">
        <v>1885</v>
      </c>
      <c r="D2822" s="1" t="s">
        <v>6019</v>
      </c>
      <c r="E2822" s="1"/>
      <c r="F2822" s="1"/>
      <c r="G2822" s="1"/>
      <c r="H2822" s="1"/>
      <c r="I2822" s="1"/>
      <c r="J2822" s="1"/>
      <c r="K2822" s="1" t="s">
        <v>9355</v>
      </c>
    </row>
    <row r="2823" ht="14.25" customHeight="1">
      <c r="A2823" s="3" t="s">
        <v>7114</v>
      </c>
      <c r="B2823" s="1">
        <v>4.3</v>
      </c>
      <c r="C2823" s="1" t="s">
        <v>1885</v>
      </c>
      <c r="D2823" s="1" t="s">
        <v>6019</v>
      </c>
      <c r="E2823" s="1"/>
      <c r="F2823" s="1"/>
      <c r="G2823" s="1"/>
      <c r="H2823" s="1"/>
      <c r="I2823" s="1"/>
      <c r="J2823" s="1"/>
      <c r="K2823" s="1" t="s">
        <v>15124</v>
      </c>
    </row>
    <row r="2824" ht="14.25" customHeight="1">
      <c r="A2824" s="3" t="s">
        <v>7114</v>
      </c>
      <c r="B2824" s="1">
        <v>6.0</v>
      </c>
      <c r="C2824" s="1" t="s">
        <v>1885</v>
      </c>
      <c r="D2824" s="1" t="s">
        <v>6019</v>
      </c>
      <c r="E2824" s="1"/>
      <c r="F2824" s="1"/>
      <c r="G2824" s="1"/>
      <c r="H2824" s="1"/>
      <c r="I2824" s="1"/>
      <c r="J2824" s="1"/>
      <c r="K2824" s="1" t="s">
        <v>15332</v>
      </c>
    </row>
    <row r="2825" ht="14.25" customHeight="1">
      <c r="A2825" s="3" t="s">
        <v>7114</v>
      </c>
      <c r="B2825" s="1">
        <v>5.2</v>
      </c>
      <c r="C2825" s="1" t="s">
        <v>1885</v>
      </c>
      <c r="D2825" s="1" t="s">
        <v>6019</v>
      </c>
      <c r="E2825" s="1"/>
      <c r="F2825" s="1"/>
      <c r="G2825" s="1"/>
      <c r="H2825" s="1"/>
      <c r="I2825" s="1"/>
      <c r="J2825" s="1"/>
      <c r="K2825" s="1" t="s">
        <v>17112</v>
      </c>
    </row>
    <row r="2826" ht="14.25" customHeight="1">
      <c r="A2826" s="3" t="s">
        <v>7114</v>
      </c>
      <c r="B2826" s="1">
        <v>6.7</v>
      </c>
      <c r="C2826" s="1" t="s">
        <v>1885</v>
      </c>
      <c r="D2826" s="1" t="s">
        <v>6019</v>
      </c>
      <c r="E2826" s="1"/>
      <c r="F2826" s="1"/>
      <c r="G2826" s="1"/>
      <c r="H2826" s="1"/>
      <c r="I2826" s="1"/>
      <c r="J2826" s="1"/>
      <c r="K2826" s="1" t="s">
        <v>17328</v>
      </c>
    </row>
    <row r="2827" ht="14.25" customHeight="1">
      <c r="A2827" s="3" t="s">
        <v>14316</v>
      </c>
      <c r="B2827" s="1">
        <v>8.6</v>
      </c>
      <c r="C2827" s="1" t="s">
        <v>17763</v>
      </c>
      <c r="D2827" s="1" t="s">
        <v>6019</v>
      </c>
      <c r="E2827" s="1"/>
      <c r="F2827" s="1"/>
      <c r="G2827" s="1"/>
      <c r="H2827" s="1"/>
      <c r="I2827" s="1"/>
      <c r="J2827" s="1"/>
      <c r="K2827" s="1" t="s">
        <v>14315</v>
      </c>
    </row>
    <row r="2828" ht="14.25" customHeight="1">
      <c r="A2828" s="3" t="s">
        <v>14025</v>
      </c>
      <c r="B2828" s="1">
        <v>6.1</v>
      </c>
      <c r="C2828" s="1" t="s">
        <v>3238</v>
      </c>
      <c r="D2828" s="1" t="s">
        <v>6019</v>
      </c>
      <c r="E2828" s="1"/>
      <c r="F2828" s="1"/>
      <c r="G2828" s="1"/>
      <c r="H2828" s="1"/>
      <c r="I2828" s="1"/>
      <c r="J2828" s="1"/>
      <c r="K2828" s="1" t="s">
        <v>14024</v>
      </c>
    </row>
    <row r="2829" ht="14.25" customHeight="1">
      <c r="A2829" s="3" t="s">
        <v>14025</v>
      </c>
      <c r="B2829" s="1">
        <v>5.8</v>
      </c>
      <c r="C2829" s="1" t="s">
        <v>3238</v>
      </c>
      <c r="D2829" s="1" t="s">
        <v>6019</v>
      </c>
      <c r="E2829" s="1"/>
      <c r="F2829" s="1"/>
      <c r="G2829" s="1"/>
      <c r="H2829" s="1"/>
      <c r="I2829" s="1"/>
      <c r="J2829" s="1"/>
      <c r="K2829" s="1" t="s">
        <v>15468</v>
      </c>
    </row>
    <row r="2830" ht="14.25" customHeight="1">
      <c r="A2830" s="3" t="s">
        <v>14025</v>
      </c>
      <c r="B2830" s="1">
        <v>7.7</v>
      </c>
      <c r="C2830" s="1" t="s">
        <v>3238</v>
      </c>
      <c r="D2830" s="1" t="s">
        <v>6019</v>
      </c>
      <c r="E2830" s="1"/>
      <c r="F2830" s="1"/>
      <c r="G2830" s="1"/>
      <c r="H2830" s="1"/>
      <c r="I2830" s="1"/>
      <c r="J2830" s="1"/>
      <c r="K2830" s="1" t="s">
        <v>16531</v>
      </c>
    </row>
    <row r="2831" ht="14.25" customHeight="1">
      <c r="A2831" s="3" t="s">
        <v>6959</v>
      </c>
      <c r="B2831" s="1">
        <v>8.0</v>
      </c>
      <c r="C2831" s="1" t="s">
        <v>17759</v>
      </c>
      <c r="D2831" s="1" t="s">
        <v>6019</v>
      </c>
      <c r="E2831" s="1"/>
      <c r="F2831" s="1"/>
      <c r="G2831" s="1"/>
      <c r="H2831" s="1"/>
      <c r="I2831" s="1"/>
      <c r="J2831" s="1"/>
      <c r="K2831" s="1" t="s">
        <v>6958</v>
      </c>
    </row>
    <row r="2832" ht="14.25" customHeight="1">
      <c r="A2832" s="3" t="s">
        <v>6959</v>
      </c>
      <c r="B2832" s="1">
        <v>5.6</v>
      </c>
      <c r="C2832" s="1" t="s">
        <v>17759</v>
      </c>
      <c r="D2832" s="1" t="s">
        <v>6019</v>
      </c>
      <c r="E2832" s="1"/>
      <c r="F2832" s="1"/>
      <c r="G2832" s="1"/>
      <c r="H2832" s="1"/>
      <c r="I2832" s="1"/>
      <c r="J2832" s="1"/>
      <c r="K2832" s="1">
        <v>1408.0</v>
      </c>
    </row>
    <row r="2833" ht="14.25" customHeight="1">
      <c r="A2833" s="3" t="s">
        <v>6959</v>
      </c>
      <c r="B2833" s="1">
        <v>6.7</v>
      </c>
      <c r="C2833" s="1" t="s">
        <v>17759</v>
      </c>
      <c r="D2833" s="1" t="s">
        <v>6019</v>
      </c>
      <c r="E2833" s="1"/>
      <c r="F2833" s="1"/>
      <c r="G2833" s="1"/>
      <c r="H2833" s="1"/>
      <c r="I2833" s="1"/>
      <c r="J2833" s="1"/>
      <c r="K2833" s="1" t="s">
        <v>10761</v>
      </c>
    </row>
    <row r="2834" ht="14.25" customHeight="1">
      <c r="A2834" s="3" t="s">
        <v>6959</v>
      </c>
      <c r="B2834" s="1">
        <v>6.6</v>
      </c>
      <c r="C2834" s="1" t="s">
        <v>17759</v>
      </c>
      <c r="D2834" s="1" t="s">
        <v>6019</v>
      </c>
      <c r="E2834" s="1"/>
      <c r="F2834" s="1"/>
      <c r="G2834" s="1"/>
      <c r="H2834" s="1"/>
      <c r="I2834" s="1"/>
      <c r="J2834" s="1"/>
      <c r="K2834" s="1" t="s">
        <v>11464</v>
      </c>
    </row>
    <row r="2835" ht="14.25" customHeight="1">
      <c r="A2835" s="3" t="s">
        <v>6959</v>
      </c>
      <c r="B2835" s="1">
        <v>4.1</v>
      </c>
      <c r="C2835" s="1" t="s">
        <v>17759</v>
      </c>
      <c r="D2835" s="1" t="s">
        <v>6019</v>
      </c>
      <c r="E2835" s="1"/>
      <c r="F2835" s="1"/>
      <c r="G2835" s="1"/>
      <c r="H2835" s="1"/>
      <c r="I2835" s="1"/>
      <c r="J2835" s="1"/>
      <c r="K2835" s="1" t="s">
        <v>12090</v>
      </c>
    </row>
    <row r="2836" ht="14.25" customHeight="1">
      <c r="A2836" s="3" t="s">
        <v>6959</v>
      </c>
      <c r="B2836" s="1">
        <v>7.3</v>
      </c>
      <c r="C2836" s="1" t="s">
        <v>17759</v>
      </c>
      <c r="D2836" s="1" t="s">
        <v>6019</v>
      </c>
      <c r="E2836" s="1"/>
      <c r="F2836" s="1"/>
      <c r="G2836" s="1"/>
      <c r="H2836" s="1"/>
      <c r="I2836" s="1"/>
      <c r="J2836" s="1"/>
      <c r="K2836" s="1" t="s">
        <v>12300</v>
      </c>
    </row>
    <row r="2837" ht="14.25" customHeight="1">
      <c r="A2837" s="3" t="s">
        <v>6959</v>
      </c>
      <c r="B2837" s="1">
        <v>6.5</v>
      </c>
      <c r="C2837" s="1" t="s">
        <v>17759</v>
      </c>
      <c r="D2837" s="1" t="s">
        <v>6019</v>
      </c>
      <c r="E2837" s="1"/>
      <c r="F2837" s="1"/>
      <c r="G2837" s="1"/>
      <c r="H2837" s="1"/>
      <c r="I2837" s="1"/>
      <c r="J2837" s="1"/>
      <c r="K2837" s="1" t="s">
        <v>12908</v>
      </c>
    </row>
    <row r="2838" ht="14.25" customHeight="1">
      <c r="A2838" s="3" t="s">
        <v>6959</v>
      </c>
      <c r="B2838" s="1">
        <v>7.0</v>
      </c>
      <c r="C2838" s="1" t="s">
        <v>17759</v>
      </c>
      <c r="D2838" s="1" t="s">
        <v>6019</v>
      </c>
      <c r="E2838" s="1"/>
      <c r="F2838" s="1"/>
      <c r="G2838" s="1"/>
      <c r="H2838" s="1"/>
      <c r="I2838" s="1"/>
      <c r="J2838" s="1"/>
      <c r="K2838" s="1" t="s">
        <v>6958</v>
      </c>
    </row>
    <row r="2839" ht="14.25" customHeight="1">
      <c r="A2839" s="3" t="s">
        <v>6959</v>
      </c>
      <c r="B2839" s="1">
        <v>5.5</v>
      </c>
      <c r="C2839" s="1" t="s">
        <v>17759</v>
      </c>
      <c r="D2839" s="1" t="s">
        <v>6019</v>
      </c>
      <c r="E2839" s="1"/>
      <c r="F2839" s="1"/>
      <c r="G2839" s="1"/>
      <c r="H2839" s="1"/>
      <c r="I2839" s="1"/>
      <c r="J2839" s="1"/>
      <c r="K2839" s="1" t="s">
        <v>13734</v>
      </c>
    </row>
    <row r="2840" ht="14.25" customHeight="1">
      <c r="A2840" s="3" t="s">
        <v>6959</v>
      </c>
      <c r="B2840" s="1">
        <v>6.6</v>
      </c>
      <c r="C2840" s="1" t="s">
        <v>17759</v>
      </c>
      <c r="D2840" s="1" t="s">
        <v>6019</v>
      </c>
      <c r="E2840" s="1"/>
      <c r="F2840" s="1"/>
      <c r="G2840" s="1"/>
      <c r="H2840" s="1"/>
      <c r="I2840" s="1"/>
      <c r="J2840" s="1"/>
      <c r="K2840" s="1" t="s">
        <v>14987</v>
      </c>
    </row>
    <row r="2841" ht="14.25" customHeight="1">
      <c r="A2841" s="3" t="s">
        <v>6959</v>
      </c>
      <c r="B2841" s="1">
        <v>7.1</v>
      </c>
      <c r="C2841" s="1" t="s">
        <v>17759</v>
      </c>
      <c r="D2841" s="1" t="s">
        <v>6019</v>
      </c>
      <c r="E2841" s="1"/>
      <c r="F2841" s="1"/>
      <c r="G2841" s="1"/>
      <c r="H2841" s="1"/>
      <c r="I2841" s="1"/>
      <c r="J2841" s="1"/>
      <c r="K2841" s="1" t="s">
        <v>15857</v>
      </c>
    </row>
    <row r="2842" ht="14.25" customHeight="1">
      <c r="A2842" s="3" t="s">
        <v>6959</v>
      </c>
      <c r="B2842" s="1">
        <v>7.9</v>
      </c>
      <c r="C2842" s="1" t="s">
        <v>17759</v>
      </c>
      <c r="D2842" s="1" t="s">
        <v>6019</v>
      </c>
      <c r="E2842" s="1"/>
      <c r="F2842" s="1"/>
      <c r="G2842" s="1"/>
      <c r="H2842" s="1"/>
      <c r="I2842" s="1"/>
      <c r="J2842" s="1"/>
      <c r="K2842" s="1" t="s">
        <v>15959</v>
      </c>
    </row>
    <row r="2843" ht="14.25" customHeight="1">
      <c r="A2843" s="3" t="s">
        <v>6959</v>
      </c>
      <c r="B2843" s="1">
        <v>7.1</v>
      </c>
      <c r="C2843" s="1" t="s">
        <v>17759</v>
      </c>
      <c r="D2843" s="1" t="s">
        <v>6019</v>
      </c>
      <c r="E2843" s="1"/>
      <c r="F2843" s="1"/>
      <c r="G2843" s="1"/>
      <c r="H2843" s="1"/>
      <c r="I2843" s="1"/>
      <c r="J2843" s="1"/>
      <c r="K2843" s="1" t="s">
        <v>16663</v>
      </c>
    </row>
    <row r="2844" ht="14.25" customHeight="1">
      <c r="A2844" s="3" t="s">
        <v>6959</v>
      </c>
      <c r="B2844" s="1">
        <v>5.6</v>
      </c>
      <c r="C2844" s="1" t="s">
        <v>17759</v>
      </c>
      <c r="D2844" s="1" t="s">
        <v>6019</v>
      </c>
      <c r="E2844" s="1"/>
      <c r="F2844" s="1"/>
      <c r="G2844" s="1"/>
      <c r="H2844" s="1"/>
      <c r="I2844" s="1"/>
      <c r="J2844" s="1"/>
      <c r="K2844" s="1" t="s">
        <v>10761</v>
      </c>
    </row>
    <row r="2845" ht="14.25" customHeight="1">
      <c r="A2845" s="3" t="s">
        <v>6959</v>
      </c>
      <c r="B2845" s="1">
        <v>7.3</v>
      </c>
      <c r="C2845" s="1" t="s">
        <v>17759</v>
      </c>
      <c r="D2845" s="1" t="s">
        <v>6019</v>
      </c>
      <c r="E2845" s="1"/>
      <c r="F2845" s="1"/>
      <c r="G2845" s="1"/>
      <c r="H2845" s="1"/>
      <c r="I2845" s="1"/>
      <c r="J2845" s="1"/>
      <c r="K2845" s="1" t="s">
        <v>16835</v>
      </c>
    </row>
    <row r="2846" ht="14.25" customHeight="1">
      <c r="A2846" s="3" t="s">
        <v>7157</v>
      </c>
      <c r="B2846" s="1">
        <v>3.3</v>
      </c>
      <c r="C2846" s="1" t="s">
        <v>1885</v>
      </c>
      <c r="D2846" s="1" t="s">
        <v>17774</v>
      </c>
      <c r="E2846" s="1"/>
      <c r="F2846" s="1"/>
      <c r="G2846" s="1"/>
      <c r="H2846" s="1"/>
      <c r="I2846" s="1"/>
      <c r="J2846" s="1"/>
      <c r="K2846" s="1" t="s">
        <v>7156</v>
      </c>
    </row>
    <row r="2847" ht="14.25" customHeight="1">
      <c r="A2847" s="3" t="s">
        <v>7157</v>
      </c>
      <c r="B2847" s="1">
        <v>6.5</v>
      </c>
      <c r="C2847" s="1" t="s">
        <v>1885</v>
      </c>
      <c r="D2847" s="1" t="s">
        <v>17774</v>
      </c>
      <c r="E2847" s="1"/>
      <c r="F2847" s="1"/>
      <c r="G2847" s="1"/>
      <c r="H2847" s="1"/>
      <c r="I2847" s="1"/>
      <c r="J2847" s="1"/>
      <c r="K2847" s="1" t="s">
        <v>8152</v>
      </c>
    </row>
    <row r="2848" ht="14.25" customHeight="1">
      <c r="A2848" s="3" t="s">
        <v>7157</v>
      </c>
      <c r="B2848" s="1">
        <v>4.8</v>
      </c>
      <c r="C2848" s="1" t="s">
        <v>1885</v>
      </c>
      <c r="D2848" s="1" t="s">
        <v>17774</v>
      </c>
      <c r="E2848" s="1"/>
      <c r="F2848" s="1"/>
      <c r="G2848" s="1"/>
      <c r="H2848" s="1"/>
      <c r="I2848" s="1"/>
      <c r="J2848" s="1"/>
      <c r="K2848" s="1" t="s">
        <v>8456</v>
      </c>
    </row>
    <row r="2849" ht="14.25" customHeight="1">
      <c r="A2849" s="3" t="s">
        <v>7157</v>
      </c>
      <c r="B2849" s="1">
        <v>5.2</v>
      </c>
      <c r="C2849" s="1" t="s">
        <v>1885</v>
      </c>
      <c r="D2849" s="1" t="s">
        <v>17774</v>
      </c>
      <c r="E2849" s="1"/>
      <c r="F2849" s="1"/>
      <c r="G2849" s="1"/>
      <c r="H2849" s="1"/>
      <c r="I2849" s="1"/>
      <c r="J2849" s="1"/>
      <c r="K2849" s="1" t="s">
        <v>9604</v>
      </c>
    </row>
    <row r="2850" ht="14.25" customHeight="1">
      <c r="A2850" s="3" t="s">
        <v>7157</v>
      </c>
      <c r="B2850" s="1">
        <v>6.3</v>
      </c>
      <c r="C2850" s="1" t="s">
        <v>1885</v>
      </c>
      <c r="D2850" s="1" t="s">
        <v>17774</v>
      </c>
      <c r="E2850" s="1"/>
      <c r="F2850" s="1"/>
      <c r="G2850" s="1"/>
      <c r="H2850" s="1"/>
      <c r="I2850" s="1"/>
      <c r="J2850" s="1"/>
      <c r="K2850" s="1" t="s">
        <v>9799</v>
      </c>
    </row>
    <row r="2851" ht="14.25" customHeight="1">
      <c r="A2851" s="3" t="s">
        <v>7157</v>
      </c>
      <c r="B2851" s="1">
        <v>7.2</v>
      </c>
      <c r="C2851" s="1" t="s">
        <v>1885</v>
      </c>
      <c r="D2851" s="1" t="s">
        <v>17774</v>
      </c>
      <c r="E2851" s="1"/>
      <c r="F2851" s="1"/>
      <c r="G2851" s="1"/>
      <c r="H2851" s="1"/>
      <c r="I2851" s="1"/>
      <c r="J2851" s="1"/>
      <c r="K2851" s="1" t="s">
        <v>9833</v>
      </c>
    </row>
    <row r="2852" ht="14.25" customHeight="1">
      <c r="A2852" s="3" t="s">
        <v>7157</v>
      </c>
      <c r="B2852" s="1">
        <v>6.8</v>
      </c>
      <c r="C2852" s="1" t="s">
        <v>1885</v>
      </c>
      <c r="D2852" s="1" t="s">
        <v>17774</v>
      </c>
      <c r="E2852" s="1"/>
      <c r="F2852" s="1"/>
      <c r="G2852" s="1"/>
      <c r="H2852" s="1"/>
      <c r="I2852" s="1"/>
      <c r="J2852" s="1"/>
      <c r="K2852" s="1" t="s">
        <v>10469</v>
      </c>
    </row>
    <row r="2853" ht="14.25" customHeight="1">
      <c r="A2853" s="3" t="s">
        <v>7157</v>
      </c>
      <c r="B2853" s="1">
        <v>5.7</v>
      </c>
      <c r="C2853" s="1" t="s">
        <v>1885</v>
      </c>
      <c r="D2853" s="1" t="s">
        <v>17774</v>
      </c>
      <c r="E2853" s="1"/>
      <c r="F2853" s="1"/>
      <c r="G2853" s="1"/>
      <c r="H2853" s="1"/>
      <c r="I2853" s="1"/>
      <c r="J2853" s="1"/>
      <c r="K2853" s="1" t="s">
        <v>11114</v>
      </c>
    </row>
    <row r="2854" ht="14.25" customHeight="1">
      <c r="A2854" s="3" t="s">
        <v>7157</v>
      </c>
      <c r="B2854" s="1">
        <v>7.2</v>
      </c>
      <c r="C2854" s="1" t="s">
        <v>1885</v>
      </c>
      <c r="D2854" s="1" t="s">
        <v>17774</v>
      </c>
      <c r="E2854" s="1"/>
      <c r="F2854" s="1"/>
      <c r="G2854" s="1"/>
      <c r="H2854" s="1"/>
      <c r="I2854" s="1"/>
      <c r="J2854" s="1"/>
      <c r="K2854" s="1" t="s">
        <v>11335</v>
      </c>
    </row>
    <row r="2855" ht="14.25" customHeight="1">
      <c r="A2855" s="3" t="s">
        <v>7157</v>
      </c>
      <c r="B2855" s="1">
        <v>6.9</v>
      </c>
      <c r="C2855" s="1" t="s">
        <v>1885</v>
      </c>
      <c r="D2855" s="1" t="s">
        <v>17774</v>
      </c>
      <c r="E2855" s="1"/>
      <c r="F2855" s="1"/>
      <c r="G2855" s="1"/>
      <c r="H2855" s="1"/>
      <c r="I2855" s="1"/>
      <c r="J2855" s="1"/>
      <c r="K2855" s="1" t="s">
        <v>11850</v>
      </c>
    </row>
    <row r="2856" ht="14.25" customHeight="1">
      <c r="A2856" s="3" t="s">
        <v>7157</v>
      </c>
      <c r="B2856" s="1">
        <v>6.2</v>
      </c>
      <c r="C2856" s="1" t="s">
        <v>1885</v>
      </c>
      <c r="D2856" s="1" t="s">
        <v>17774</v>
      </c>
      <c r="E2856" s="1"/>
      <c r="F2856" s="1"/>
      <c r="G2856" s="1"/>
      <c r="H2856" s="1"/>
      <c r="I2856" s="1"/>
      <c r="J2856" s="1"/>
      <c r="K2856" s="1" t="s">
        <v>13793</v>
      </c>
    </row>
    <row r="2857" ht="14.25" customHeight="1">
      <c r="A2857" s="3" t="s">
        <v>7157</v>
      </c>
      <c r="B2857" s="1">
        <v>6.7</v>
      </c>
      <c r="C2857" s="1" t="s">
        <v>1885</v>
      </c>
      <c r="D2857" s="1" t="s">
        <v>17774</v>
      </c>
      <c r="E2857" s="1"/>
      <c r="F2857" s="1"/>
      <c r="G2857" s="1"/>
      <c r="H2857" s="1"/>
      <c r="I2857" s="1"/>
      <c r="J2857" s="1"/>
      <c r="K2857" s="1" t="s">
        <v>15804</v>
      </c>
    </row>
    <row r="2858" ht="14.25" customHeight="1">
      <c r="A2858" s="3" t="s">
        <v>7157</v>
      </c>
      <c r="B2858" s="1">
        <v>6.5</v>
      </c>
      <c r="C2858" s="1" t="s">
        <v>1885</v>
      </c>
      <c r="D2858" s="1" t="s">
        <v>17774</v>
      </c>
      <c r="E2858" s="1"/>
      <c r="F2858" s="1"/>
      <c r="G2858" s="1"/>
      <c r="H2858" s="1"/>
      <c r="I2858" s="1"/>
      <c r="J2858" s="1"/>
      <c r="K2858" s="1" t="s">
        <v>16776</v>
      </c>
    </row>
    <row r="2859" ht="14.25" customHeight="1">
      <c r="A2859" s="3" t="s">
        <v>3861</v>
      </c>
      <c r="B2859" s="1">
        <v>7.2</v>
      </c>
      <c r="C2859" s="1" t="s">
        <v>15542</v>
      </c>
      <c r="D2859" s="1" t="s">
        <v>17774</v>
      </c>
      <c r="E2859" s="1"/>
      <c r="F2859" s="1"/>
      <c r="G2859" s="1"/>
      <c r="H2859" s="1"/>
      <c r="I2859" s="1"/>
      <c r="J2859" s="1"/>
      <c r="K2859" s="1" t="s">
        <v>3860</v>
      </c>
    </row>
    <row r="2860" ht="14.25" customHeight="1">
      <c r="A2860" s="3" t="s">
        <v>3861</v>
      </c>
      <c r="B2860" s="1">
        <v>5.3</v>
      </c>
      <c r="C2860" s="1" t="s">
        <v>15542</v>
      </c>
      <c r="D2860" s="1" t="s">
        <v>17774</v>
      </c>
      <c r="E2860" s="1"/>
      <c r="F2860" s="1"/>
      <c r="G2860" s="1"/>
      <c r="H2860" s="1"/>
      <c r="I2860" s="1"/>
      <c r="J2860" s="1"/>
      <c r="K2860" s="1" t="s">
        <v>12215</v>
      </c>
    </row>
    <row r="2861" ht="14.25" customHeight="1">
      <c r="A2861" s="3" t="s">
        <v>3861</v>
      </c>
      <c r="B2861" s="1">
        <v>6.7</v>
      </c>
      <c r="C2861" s="1" t="s">
        <v>15542</v>
      </c>
      <c r="D2861" s="1" t="s">
        <v>17774</v>
      </c>
      <c r="E2861" s="1"/>
      <c r="F2861" s="1"/>
      <c r="G2861" s="1"/>
      <c r="H2861" s="1"/>
      <c r="I2861" s="1"/>
      <c r="J2861" s="1"/>
      <c r="K2861" s="1" t="s">
        <v>12670</v>
      </c>
    </row>
    <row r="2862" ht="14.25" customHeight="1">
      <c r="A2862" s="3" t="s">
        <v>3861</v>
      </c>
      <c r="B2862" s="1">
        <v>3.6</v>
      </c>
      <c r="C2862" s="1" t="s">
        <v>15542</v>
      </c>
      <c r="D2862" s="1" t="s">
        <v>17774</v>
      </c>
      <c r="E2862" s="1"/>
      <c r="F2862" s="1"/>
      <c r="G2862" s="1"/>
      <c r="H2862" s="1"/>
      <c r="I2862" s="1"/>
      <c r="J2862" s="1"/>
      <c r="K2862" s="1" t="s">
        <v>13348</v>
      </c>
    </row>
    <row r="2863" ht="14.25" customHeight="1">
      <c r="A2863" s="3" t="s">
        <v>3861</v>
      </c>
      <c r="B2863" s="1">
        <v>5.7</v>
      </c>
      <c r="C2863" s="1" t="s">
        <v>15542</v>
      </c>
      <c r="D2863" s="1" t="s">
        <v>17774</v>
      </c>
      <c r="E2863" s="1"/>
      <c r="F2863" s="1"/>
      <c r="G2863" s="1"/>
      <c r="H2863" s="1"/>
      <c r="I2863" s="1"/>
      <c r="J2863" s="1"/>
      <c r="K2863" s="1" t="s">
        <v>13796</v>
      </c>
    </row>
    <row r="2864" ht="14.25" customHeight="1">
      <c r="A2864" s="3" t="s">
        <v>3861</v>
      </c>
      <c r="B2864" s="1">
        <v>7.3</v>
      </c>
      <c r="C2864" s="1" t="s">
        <v>15542</v>
      </c>
      <c r="D2864" s="1" t="s">
        <v>17774</v>
      </c>
      <c r="E2864" s="1"/>
      <c r="F2864" s="1"/>
      <c r="G2864" s="1"/>
      <c r="H2864" s="1"/>
      <c r="I2864" s="1"/>
      <c r="J2864" s="1"/>
      <c r="K2864" s="1" t="s">
        <v>15571</v>
      </c>
    </row>
    <row r="2865" ht="14.25" customHeight="1">
      <c r="A2865" s="3" t="s">
        <v>3861</v>
      </c>
      <c r="B2865" s="1">
        <v>5.0</v>
      </c>
      <c r="C2865" s="1" t="s">
        <v>15542</v>
      </c>
      <c r="D2865" s="1" t="s">
        <v>17774</v>
      </c>
      <c r="E2865" s="1"/>
      <c r="F2865" s="1"/>
      <c r="G2865" s="1"/>
      <c r="H2865" s="1"/>
      <c r="I2865" s="1"/>
      <c r="J2865" s="1"/>
      <c r="K2865" s="1" t="s">
        <v>16896</v>
      </c>
    </row>
    <row r="2866" ht="14.25" customHeight="1">
      <c r="A2866" s="3" t="s">
        <v>5819</v>
      </c>
      <c r="B2866" s="1">
        <v>6.6</v>
      </c>
      <c r="C2866" s="1" t="s">
        <v>3238</v>
      </c>
      <c r="D2866" s="1" t="s">
        <v>17774</v>
      </c>
      <c r="E2866" s="1"/>
      <c r="F2866" s="1"/>
      <c r="G2866" s="1"/>
      <c r="H2866" s="1"/>
      <c r="I2866" s="1"/>
      <c r="J2866" s="1"/>
      <c r="K2866" s="1" t="s">
        <v>5818</v>
      </c>
    </row>
    <row r="2867" ht="14.25" customHeight="1">
      <c r="A2867" s="3" t="s">
        <v>5819</v>
      </c>
      <c r="B2867" s="1">
        <v>7.3</v>
      </c>
      <c r="C2867" s="1" t="s">
        <v>3238</v>
      </c>
      <c r="D2867" s="1" t="s">
        <v>17774</v>
      </c>
      <c r="E2867" s="1"/>
      <c r="F2867" s="1"/>
      <c r="G2867" s="1"/>
      <c r="H2867" s="1"/>
      <c r="I2867" s="1"/>
      <c r="J2867" s="1"/>
      <c r="K2867" s="1" t="s">
        <v>6601</v>
      </c>
    </row>
    <row r="2868" ht="14.25" customHeight="1">
      <c r="A2868" s="3" t="s">
        <v>5819</v>
      </c>
      <c r="B2868" s="1">
        <v>6.2</v>
      </c>
      <c r="C2868" s="1" t="s">
        <v>3238</v>
      </c>
      <c r="D2868" s="1" t="s">
        <v>17774</v>
      </c>
      <c r="E2868" s="1"/>
      <c r="F2868" s="1"/>
      <c r="G2868" s="1"/>
      <c r="H2868" s="1"/>
      <c r="I2868" s="1"/>
      <c r="J2868" s="1"/>
      <c r="K2868" s="1" t="s">
        <v>7513</v>
      </c>
    </row>
    <row r="2869" ht="14.25" customHeight="1">
      <c r="A2869" s="3" t="s">
        <v>5819</v>
      </c>
      <c r="B2869" s="1">
        <v>6.6</v>
      </c>
      <c r="C2869" s="1" t="s">
        <v>3238</v>
      </c>
      <c r="D2869" s="1" t="s">
        <v>17774</v>
      </c>
      <c r="E2869" s="1"/>
      <c r="F2869" s="1"/>
      <c r="G2869" s="1"/>
      <c r="H2869" s="1"/>
      <c r="I2869" s="1"/>
      <c r="J2869" s="1"/>
      <c r="K2869" s="1" t="s">
        <v>7881</v>
      </c>
    </row>
    <row r="2870" ht="14.25" customHeight="1">
      <c r="A2870" s="3" t="s">
        <v>5819</v>
      </c>
      <c r="B2870" s="1">
        <v>6.3</v>
      </c>
      <c r="C2870" s="1" t="s">
        <v>3238</v>
      </c>
      <c r="D2870" s="1" t="s">
        <v>17774</v>
      </c>
      <c r="E2870" s="1"/>
      <c r="F2870" s="1"/>
      <c r="G2870" s="1"/>
      <c r="H2870" s="1"/>
      <c r="I2870" s="1"/>
      <c r="J2870" s="1"/>
      <c r="K2870" s="1" t="s">
        <v>8939</v>
      </c>
    </row>
    <row r="2871" ht="14.25" customHeight="1">
      <c r="A2871" s="3" t="s">
        <v>5819</v>
      </c>
      <c r="B2871" s="1">
        <v>3.3</v>
      </c>
      <c r="C2871" s="1" t="s">
        <v>3238</v>
      </c>
      <c r="D2871" s="1" t="s">
        <v>17774</v>
      </c>
      <c r="E2871" s="1"/>
      <c r="F2871" s="1"/>
      <c r="G2871" s="1"/>
      <c r="H2871" s="1"/>
      <c r="I2871" s="1"/>
      <c r="J2871" s="1"/>
      <c r="K2871" s="1" t="s">
        <v>10358</v>
      </c>
    </row>
    <row r="2872" ht="14.25" customHeight="1">
      <c r="A2872" s="3" t="s">
        <v>5819</v>
      </c>
      <c r="B2872" s="1">
        <v>3.5</v>
      </c>
      <c r="C2872" s="1" t="s">
        <v>3238</v>
      </c>
      <c r="D2872" s="1" t="s">
        <v>17774</v>
      </c>
      <c r="E2872" s="1"/>
      <c r="F2872" s="1"/>
      <c r="G2872" s="1"/>
      <c r="H2872" s="1"/>
      <c r="I2872" s="1"/>
      <c r="J2872" s="1"/>
      <c r="K2872" s="1" t="s">
        <v>11689</v>
      </c>
    </row>
    <row r="2873" ht="14.25" customHeight="1">
      <c r="A2873" s="3" t="s">
        <v>5819</v>
      </c>
      <c r="B2873" s="1">
        <v>5.5</v>
      </c>
      <c r="C2873" s="1" t="s">
        <v>3238</v>
      </c>
      <c r="D2873" s="1" t="s">
        <v>17774</v>
      </c>
      <c r="E2873" s="1"/>
      <c r="F2873" s="1"/>
      <c r="G2873" s="1"/>
      <c r="H2873" s="1"/>
      <c r="I2873" s="1"/>
      <c r="J2873" s="1"/>
      <c r="K2873" s="1" t="s">
        <v>11805</v>
      </c>
    </row>
    <row r="2874" ht="14.25" customHeight="1">
      <c r="A2874" s="3" t="s">
        <v>5819</v>
      </c>
      <c r="B2874" s="1">
        <v>5.9</v>
      </c>
      <c r="C2874" s="1" t="s">
        <v>3238</v>
      </c>
      <c r="D2874" s="1" t="s">
        <v>17774</v>
      </c>
      <c r="E2874" s="1"/>
      <c r="F2874" s="1"/>
      <c r="G2874" s="1"/>
      <c r="H2874" s="1"/>
      <c r="I2874" s="1"/>
      <c r="J2874" s="1"/>
      <c r="K2874" s="1">
        <v>54.0</v>
      </c>
    </row>
    <row r="2875" ht="14.25" customHeight="1">
      <c r="A2875" s="3" t="s">
        <v>5819</v>
      </c>
      <c r="B2875" s="1">
        <v>4.7</v>
      </c>
      <c r="C2875" s="1" t="s">
        <v>3238</v>
      </c>
      <c r="D2875" s="1" t="s">
        <v>17774</v>
      </c>
      <c r="E2875" s="1"/>
      <c r="F2875" s="1"/>
      <c r="G2875" s="1"/>
      <c r="H2875" s="1"/>
      <c r="I2875" s="1"/>
      <c r="J2875" s="1"/>
      <c r="K2875" s="1" t="s">
        <v>13053</v>
      </c>
    </row>
    <row r="2876" ht="14.25" customHeight="1">
      <c r="A2876" s="3" t="s">
        <v>5819</v>
      </c>
      <c r="B2876" s="1">
        <v>3.9</v>
      </c>
      <c r="C2876" s="1" t="s">
        <v>3238</v>
      </c>
      <c r="D2876" s="1" t="s">
        <v>17774</v>
      </c>
      <c r="E2876" s="1"/>
      <c r="F2876" s="1"/>
      <c r="G2876" s="1"/>
      <c r="H2876" s="1"/>
      <c r="I2876" s="1"/>
      <c r="J2876" s="1"/>
      <c r="K2876" s="1" t="s">
        <v>13279</v>
      </c>
    </row>
    <row r="2877" ht="14.25" customHeight="1">
      <c r="A2877" s="3" t="s">
        <v>5819</v>
      </c>
      <c r="B2877" s="1">
        <v>6.1</v>
      </c>
      <c r="C2877" s="1" t="s">
        <v>3238</v>
      </c>
      <c r="D2877" s="1" t="s">
        <v>17774</v>
      </c>
      <c r="E2877" s="1"/>
      <c r="F2877" s="1"/>
      <c r="G2877" s="1"/>
      <c r="H2877" s="1"/>
      <c r="I2877" s="1"/>
      <c r="J2877" s="1"/>
      <c r="K2877" s="1" t="s">
        <v>13942</v>
      </c>
    </row>
    <row r="2878" ht="14.25" customHeight="1">
      <c r="A2878" s="3" t="s">
        <v>5819</v>
      </c>
      <c r="B2878" s="1">
        <v>6.7</v>
      </c>
      <c r="C2878" s="1" t="s">
        <v>3238</v>
      </c>
      <c r="D2878" s="1" t="s">
        <v>17774</v>
      </c>
      <c r="E2878" s="1"/>
      <c r="F2878" s="1"/>
      <c r="G2878" s="1"/>
      <c r="H2878" s="1"/>
      <c r="I2878" s="1"/>
      <c r="J2878" s="1"/>
      <c r="K2878" s="1" t="s">
        <v>14088</v>
      </c>
    </row>
    <row r="2879" ht="14.25" customHeight="1">
      <c r="A2879" s="3" t="s">
        <v>5819</v>
      </c>
      <c r="B2879" s="1">
        <v>7.3</v>
      </c>
      <c r="C2879" s="1" t="s">
        <v>3238</v>
      </c>
      <c r="D2879" s="1" t="s">
        <v>17774</v>
      </c>
      <c r="E2879" s="1"/>
      <c r="F2879" s="1"/>
      <c r="G2879" s="1"/>
      <c r="H2879" s="1"/>
      <c r="I2879" s="1"/>
      <c r="J2879" s="1"/>
      <c r="K2879" s="1" t="s">
        <v>14896</v>
      </c>
    </row>
    <row r="2880" ht="14.25" customHeight="1">
      <c r="A2880" s="3" t="s">
        <v>5819</v>
      </c>
      <c r="B2880" s="1">
        <v>6.7</v>
      </c>
      <c r="C2880" s="1" t="s">
        <v>3238</v>
      </c>
      <c r="D2880" s="1" t="s">
        <v>17774</v>
      </c>
      <c r="E2880" s="1"/>
      <c r="F2880" s="1"/>
      <c r="G2880" s="1"/>
      <c r="H2880" s="1"/>
      <c r="I2880" s="1"/>
      <c r="J2880" s="1"/>
      <c r="K2880" s="1" t="s">
        <v>15049</v>
      </c>
    </row>
    <row r="2881" ht="14.25" customHeight="1">
      <c r="A2881" s="3" t="s">
        <v>5819</v>
      </c>
      <c r="B2881" s="1">
        <v>6.1</v>
      </c>
      <c r="C2881" s="1" t="s">
        <v>3238</v>
      </c>
      <c r="D2881" s="1" t="s">
        <v>17774</v>
      </c>
      <c r="E2881" s="1"/>
      <c r="F2881" s="1"/>
      <c r="G2881" s="1"/>
      <c r="H2881" s="1"/>
      <c r="I2881" s="1"/>
      <c r="J2881" s="1"/>
      <c r="K2881" s="1" t="s">
        <v>15795</v>
      </c>
    </row>
    <row r="2882" ht="14.25" customHeight="1">
      <c r="A2882" s="3" t="s">
        <v>5819</v>
      </c>
      <c r="B2882" s="1">
        <v>6.9</v>
      </c>
      <c r="C2882" s="1" t="s">
        <v>3238</v>
      </c>
      <c r="D2882" s="1" t="s">
        <v>17774</v>
      </c>
      <c r="E2882" s="1"/>
      <c r="F2882" s="1"/>
      <c r="G2882" s="1"/>
      <c r="H2882" s="1"/>
      <c r="I2882" s="1"/>
      <c r="J2882" s="1"/>
      <c r="K2882" s="1" t="s">
        <v>16522</v>
      </c>
    </row>
    <row r="2883" ht="14.25" customHeight="1">
      <c r="A2883" s="3" t="s">
        <v>5819</v>
      </c>
      <c r="B2883" s="1">
        <v>7.9</v>
      </c>
      <c r="C2883" s="1" t="s">
        <v>3238</v>
      </c>
      <c r="D2883" s="1" t="s">
        <v>17774</v>
      </c>
      <c r="E2883" s="1"/>
      <c r="F2883" s="1"/>
      <c r="G2883" s="1"/>
      <c r="H2883" s="1"/>
      <c r="I2883" s="1"/>
      <c r="J2883" s="1"/>
      <c r="K2883" s="1" t="s">
        <v>17264</v>
      </c>
    </row>
    <row r="2884" ht="14.25" customHeight="1">
      <c r="A2884" s="3" t="s">
        <v>5564</v>
      </c>
      <c r="B2884" s="1">
        <v>4.5</v>
      </c>
      <c r="C2884" s="1" t="s">
        <v>1885</v>
      </c>
      <c r="D2884" s="1" t="s">
        <v>17760</v>
      </c>
      <c r="E2884" s="1"/>
      <c r="F2884" s="1"/>
      <c r="G2884" s="1"/>
      <c r="H2884" s="1"/>
      <c r="I2884" s="1"/>
      <c r="J2884" s="1"/>
      <c r="K2884" s="1" t="s">
        <v>5563</v>
      </c>
    </row>
    <row r="2885" ht="14.25" customHeight="1">
      <c r="A2885" s="3" t="s">
        <v>5564</v>
      </c>
      <c r="B2885" s="1">
        <v>7.6</v>
      </c>
      <c r="C2885" s="1" t="s">
        <v>1885</v>
      </c>
      <c r="D2885" s="1" t="s">
        <v>17760</v>
      </c>
      <c r="E2885" s="1"/>
      <c r="F2885" s="1"/>
      <c r="G2885" s="1"/>
      <c r="H2885" s="1"/>
      <c r="I2885" s="1"/>
      <c r="J2885" s="1"/>
      <c r="K2885" s="1" t="s">
        <v>9765</v>
      </c>
    </row>
    <row r="2886" ht="14.25" customHeight="1">
      <c r="A2886" s="3" t="s">
        <v>5564</v>
      </c>
      <c r="B2886" s="1">
        <v>7.5</v>
      </c>
      <c r="C2886" s="1" t="s">
        <v>1885</v>
      </c>
      <c r="D2886" s="1" t="s">
        <v>17760</v>
      </c>
      <c r="E2886" s="1"/>
      <c r="F2886" s="1"/>
      <c r="G2886" s="1"/>
      <c r="H2886" s="1"/>
      <c r="I2886" s="1"/>
      <c r="J2886" s="1"/>
      <c r="K2886" s="1" t="s">
        <v>17199</v>
      </c>
    </row>
    <row r="2887" ht="14.25" customHeight="1">
      <c r="A2887" s="3" t="s">
        <v>15375</v>
      </c>
      <c r="B2887" s="1">
        <v>7.1</v>
      </c>
      <c r="C2887" s="1" t="s">
        <v>3238</v>
      </c>
      <c r="D2887" s="1" t="s">
        <v>17760</v>
      </c>
      <c r="E2887" s="1"/>
      <c r="F2887" s="1"/>
      <c r="G2887" s="1"/>
      <c r="H2887" s="1"/>
      <c r="I2887" s="1"/>
      <c r="J2887" s="1"/>
      <c r="K2887" s="1" t="s">
        <v>15374</v>
      </c>
    </row>
    <row r="2888" ht="14.25" customHeight="1">
      <c r="A2888" s="3" t="s">
        <v>15375</v>
      </c>
      <c r="B2888" s="1">
        <v>6.9</v>
      </c>
      <c r="C2888" s="1" t="s">
        <v>3238</v>
      </c>
      <c r="D2888" s="1" t="s">
        <v>17760</v>
      </c>
      <c r="E2888" s="1"/>
      <c r="F2888" s="1"/>
      <c r="G2888" s="1"/>
      <c r="H2888" s="1"/>
      <c r="I2888" s="1"/>
      <c r="J2888" s="1"/>
      <c r="K2888" s="1" t="s">
        <v>16231</v>
      </c>
    </row>
    <row r="2889" ht="14.25" customHeight="1">
      <c r="A2889" s="3" t="s">
        <v>9600</v>
      </c>
      <c r="B2889" s="1">
        <v>8.5</v>
      </c>
      <c r="C2889" s="1" t="s">
        <v>1885</v>
      </c>
      <c r="D2889" s="1" t="s">
        <v>17761</v>
      </c>
      <c r="E2889" s="1"/>
      <c r="F2889" s="1"/>
      <c r="G2889" s="1"/>
      <c r="H2889" s="1"/>
      <c r="I2889" s="1"/>
      <c r="J2889" s="1"/>
      <c r="K2889" s="1" t="s">
        <v>9599</v>
      </c>
    </row>
    <row r="2890" ht="14.25" customHeight="1">
      <c r="A2890" s="3" t="s">
        <v>9600</v>
      </c>
      <c r="B2890" s="1">
        <v>7.5</v>
      </c>
      <c r="C2890" s="1" t="s">
        <v>1885</v>
      </c>
      <c r="D2890" s="1" t="s">
        <v>17761</v>
      </c>
      <c r="E2890" s="1"/>
      <c r="F2890" s="1"/>
      <c r="G2890" s="1"/>
      <c r="H2890" s="1"/>
      <c r="I2890" s="1"/>
      <c r="J2890" s="1"/>
      <c r="K2890" s="1" t="s">
        <v>12241</v>
      </c>
    </row>
    <row r="2891" ht="14.25" customHeight="1">
      <c r="A2891" s="3" t="s">
        <v>7540</v>
      </c>
      <c r="B2891" s="1">
        <v>6.6</v>
      </c>
      <c r="C2891" s="1" t="s">
        <v>3238</v>
      </c>
      <c r="D2891" s="1" t="s">
        <v>17761</v>
      </c>
      <c r="E2891" s="1"/>
      <c r="F2891" s="1"/>
      <c r="G2891" s="1"/>
      <c r="H2891" s="1"/>
      <c r="I2891" s="1"/>
      <c r="J2891" s="1"/>
      <c r="K2891" s="1" t="s">
        <v>7539</v>
      </c>
    </row>
    <row r="2892" ht="14.25" customHeight="1">
      <c r="A2892" s="3" t="s">
        <v>7540</v>
      </c>
      <c r="B2892" s="1">
        <v>8.0</v>
      </c>
      <c r="C2892" s="1" t="s">
        <v>3238</v>
      </c>
      <c r="D2892" s="1" t="s">
        <v>17761</v>
      </c>
      <c r="E2892" s="1"/>
      <c r="F2892" s="1"/>
      <c r="G2892" s="1"/>
      <c r="H2892" s="1"/>
      <c r="I2892" s="1"/>
      <c r="J2892" s="1"/>
      <c r="K2892" s="1" t="s">
        <v>9980</v>
      </c>
    </row>
    <row r="2893" ht="14.25" customHeight="1">
      <c r="A2893" s="3" t="s">
        <v>7540</v>
      </c>
      <c r="B2893" s="1">
        <v>7.0</v>
      </c>
      <c r="C2893" s="1" t="s">
        <v>3238</v>
      </c>
      <c r="D2893" s="1" t="s">
        <v>17761</v>
      </c>
      <c r="E2893" s="1"/>
      <c r="F2893" s="1"/>
      <c r="G2893" s="1"/>
      <c r="H2893" s="1"/>
      <c r="I2893" s="1"/>
      <c r="J2893" s="1"/>
      <c r="K2893" s="1" t="s">
        <v>10730</v>
      </c>
    </row>
    <row r="2894" ht="14.25" customHeight="1">
      <c r="A2894" s="3" t="s">
        <v>7540</v>
      </c>
      <c r="B2894" s="1">
        <v>6.8</v>
      </c>
      <c r="C2894" s="1" t="s">
        <v>3238</v>
      </c>
      <c r="D2894" s="1" t="s">
        <v>17761</v>
      </c>
      <c r="E2894" s="1"/>
      <c r="F2894" s="1"/>
      <c r="G2894" s="1"/>
      <c r="H2894" s="1"/>
      <c r="I2894" s="1"/>
      <c r="J2894" s="1"/>
      <c r="K2894" s="1" t="s">
        <v>10929</v>
      </c>
    </row>
    <row r="2895" ht="14.25" customHeight="1">
      <c r="A2895" s="3" t="s">
        <v>7540</v>
      </c>
      <c r="B2895" s="1">
        <v>6.7</v>
      </c>
      <c r="C2895" s="1" t="s">
        <v>3238</v>
      </c>
      <c r="D2895" s="1" t="s">
        <v>17761</v>
      </c>
      <c r="E2895" s="1"/>
      <c r="F2895" s="1"/>
      <c r="G2895" s="1"/>
      <c r="H2895" s="1"/>
      <c r="I2895" s="1"/>
      <c r="J2895" s="1"/>
      <c r="K2895" s="1" t="s">
        <v>14338</v>
      </c>
    </row>
    <row r="2896" ht="14.25" customHeight="1">
      <c r="A2896" s="3" t="s">
        <v>7540</v>
      </c>
      <c r="B2896" s="1">
        <v>6.5</v>
      </c>
      <c r="C2896" s="1" t="s">
        <v>3238</v>
      </c>
      <c r="D2896" s="1" t="s">
        <v>17761</v>
      </c>
      <c r="E2896" s="1"/>
      <c r="F2896" s="1"/>
      <c r="G2896" s="1"/>
      <c r="H2896" s="1"/>
      <c r="I2896" s="1"/>
      <c r="J2896" s="1"/>
      <c r="K2896" s="1" t="s">
        <v>15134</v>
      </c>
    </row>
    <row r="2897" ht="14.25" customHeight="1">
      <c r="A2897" s="3" t="s">
        <v>7540</v>
      </c>
      <c r="B2897" s="1">
        <v>8.0</v>
      </c>
      <c r="C2897" s="1" t="s">
        <v>3238</v>
      </c>
      <c r="D2897" s="1" t="s">
        <v>17761</v>
      </c>
      <c r="E2897" s="1"/>
      <c r="F2897" s="1"/>
      <c r="G2897" s="1"/>
      <c r="H2897" s="1"/>
      <c r="I2897" s="1"/>
      <c r="J2897" s="1"/>
      <c r="K2897" s="1" t="s">
        <v>16577</v>
      </c>
    </row>
    <row r="2898" ht="14.25" customHeight="1">
      <c r="A2898" s="3" t="s">
        <v>7540</v>
      </c>
      <c r="B2898" s="1">
        <v>6.5</v>
      </c>
      <c r="C2898" s="1" t="s">
        <v>3238</v>
      </c>
      <c r="D2898" s="1" t="s">
        <v>17761</v>
      </c>
      <c r="E2898" s="1"/>
      <c r="F2898" s="1"/>
      <c r="G2898" s="1"/>
      <c r="H2898" s="1"/>
      <c r="I2898" s="1"/>
      <c r="J2898" s="1"/>
      <c r="K2898" s="1" t="s">
        <v>17086</v>
      </c>
    </row>
    <row r="2899" ht="14.25" customHeight="1">
      <c r="A2899" s="3" t="s">
        <v>5924</v>
      </c>
      <c r="B2899" s="1">
        <v>4.9</v>
      </c>
      <c r="C2899" s="1" t="s">
        <v>6019</v>
      </c>
      <c r="D2899" s="1" t="s">
        <v>17761</v>
      </c>
      <c r="E2899" s="1"/>
      <c r="F2899" s="1"/>
      <c r="G2899" s="1"/>
      <c r="H2899" s="1"/>
      <c r="I2899" s="1"/>
      <c r="J2899" s="1"/>
      <c r="K2899" s="1" t="s">
        <v>5923</v>
      </c>
    </row>
    <row r="2900" ht="14.25" customHeight="1">
      <c r="A2900" s="3" t="s">
        <v>5924</v>
      </c>
      <c r="B2900" s="1">
        <v>7.1</v>
      </c>
      <c r="C2900" s="1" t="s">
        <v>6019</v>
      </c>
      <c r="D2900" s="1" t="s">
        <v>17761</v>
      </c>
      <c r="E2900" s="1"/>
      <c r="F2900" s="1"/>
      <c r="G2900" s="1"/>
      <c r="H2900" s="1"/>
      <c r="I2900" s="1"/>
      <c r="J2900" s="1"/>
      <c r="K2900" s="1" t="s">
        <v>6167</v>
      </c>
    </row>
    <row r="2901" ht="14.25" customHeight="1">
      <c r="A2901" s="3" t="s">
        <v>5924</v>
      </c>
      <c r="B2901" s="1">
        <v>7.0</v>
      </c>
      <c r="C2901" s="1" t="s">
        <v>6019</v>
      </c>
      <c r="D2901" s="1" t="s">
        <v>17761</v>
      </c>
      <c r="E2901" s="1"/>
      <c r="F2901" s="1"/>
      <c r="G2901" s="1"/>
      <c r="H2901" s="1"/>
      <c r="I2901" s="1"/>
      <c r="J2901" s="1"/>
      <c r="K2901" s="1" t="s">
        <v>7024</v>
      </c>
    </row>
    <row r="2902" ht="14.25" customHeight="1">
      <c r="A2902" s="3" t="s">
        <v>5924</v>
      </c>
      <c r="B2902" s="1">
        <v>7.0</v>
      </c>
      <c r="C2902" s="1" t="s">
        <v>6019</v>
      </c>
      <c r="D2902" s="1" t="s">
        <v>17761</v>
      </c>
      <c r="E2902" s="1"/>
      <c r="F2902" s="1"/>
      <c r="G2902" s="1"/>
      <c r="H2902" s="1"/>
      <c r="I2902" s="1"/>
      <c r="J2902" s="1"/>
      <c r="K2902" s="1" t="s">
        <v>9273</v>
      </c>
    </row>
    <row r="2903" ht="14.25" customHeight="1">
      <c r="A2903" s="3" t="s">
        <v>5924</v>
      </c>
      <c r="B2903" s="1">
        <v>4.5</v>
      </c>
      <c r="C2903" s="1" t="s">
        <v>6019</v>
      </c>
      <c r="D2903" s="1" t="s">
        <v>17761</v>
      </c>
      <c r="E2903" s="1"/>
      <c r="F2903" s="1"/>
      <c r="G2903" s="1"/>
      <c r="H2903" s="1"/>
      <c r="I2903" s="1"/>
      <c r="J2903" s="1"/>
      <c r="K2903" s="1" t="s">
        <v>9300</v>
      </c>
    </row>
    <row r="2904" ht="14.25" customHeight="1">
      <c r="A2904" s="3" t="s">
        <v>5924</v>
      </c>
      <c r="B2904" s="1">
        <v>7.7</v>
      </c>
      <c r="C2904" s="1" t="s">
        <v>6019</v>
      </c>
      <c r="D2904" s="1" t="s">
        <v>17761</v>
      </c>
      <c r="E2904" s="1"/>
      <c r="F2904" s="1"/>
      <c r="G2904" s="1"/>
      <c r="H2904" s="1"/>
      <c r="I2904" s="1"/>
      <c r="J2904" s="1"/>
      <c r="K2904" s="1" t="s">
        <v>10036</v>
      </c>
    </row>
    <row r="2905" ht="14.25" customHeight="1">
      <c r="A2905" s="3" t="s">
        <v>5924</v>
      </c>
      <c r="B2905" s="1">
        <v>6.7</v>
      </c>
      <c r="C2905" s="1" t="s">
        <v>6019</v>
      </c>
      <c r="D2905" s="1" t="s">
        <v>17761</v>
      </c>
      <c r="E2905" s="1"/>
      <c r="F2905" s="1"/>
      <c r="G2905" s="1"/>
      <c r="H2905" s="1"/>
      <c r="I2905" s="1"/>
      <c r="J2905" s="1"/>
      <c r="K2905" s="1" t="s">
        <v>10542</v>
      </c>
    </row>
    <row r="2906" ht="14.25" customHeight="1">
      <c r="A2906" s="3" t="s">
        <v>5924</v>
      </c>
      <c r="B2906" s="1">
        <v>7.0</v>
      </c>
      <c r="C2906" s="1" t="s">
        <v>6019</v>
      </c>
      <c r="D2906" s="1" t="s">
        <v>17761</v>
      </c>
      <c r="E2906" s="1"/>
      <c r="F2906" s="1"/>
      <c r="G2906" s="1"/>
      <c r="H2906" s="1"/>
      <c r="I2906" s="1"/>
      <c r="J2906" s="1"/>
      <c r="K2906" s="1" t="s">
        <v>10717</v>
      </c>
    </row>
    <row r="2907" ht="14.25" customHeight="1">
      <c r="A2907" s="3" t="s">
        <v>5924</v>
      </c>
      <c r="B2907" s="1">
        <v>6.5</v>
      </c>
      <c r="C2907" s="1" t="s">
        <v>6019</v>
      </c>
      <c r="D2907" s="1" t="s">
        <v>17761</v>
      </c>
      <c r="E2907" s="1"/>
      <c r="F2907" s="1"/>
      <c r="G2907" s="1"/>
      <c r="H2907" s="1"/>
      <c r="I2907" s="1"/>
      <c r="J2907" s="1"/>
      <c r="K2907" s="1" t="s">
        <v>11041</v>
      </c>
    </row>
    <row r="2908" ht="14.25" customHeight="1">
      <c r="A2908" s="3" t="s">
        <v>5924</v>
      </c>
      <c r="B2908" s="1">
        <v>6.2</v>
      </c>
      <c r="C2908" s="1" t="s">
        <v>6019</v>
      </c>
      <c r="D2908" s="1" t="s">
        <v>17761</v>
      </c>
      <c r="E2908" s="1"/>
      <c r="F2908" s="1"/>
      <c r="G2908" s="1"/>
      <c r="H2908" s="1"/>
      <c r="I2908" s="1"/>
      <c r="J2908" s="1"/>
      <c r="K2908" s="1" t="s">
        <v>12488</v>
      </c>
    </row>
    <row r="2909" ht="14.25" customHeight="1">
      <c r="A2909" s="3" t="s">
        <v>5924</v>
      </c>
      <c r="B2909" s="1">
        <v>5.7</v>
      </c>
      <c r="C2909" s="1" t="s">
        <v>6019</v>
      </c>
      <c r="D2909" s="1" t="s">
        <v>17761</v>
      </c>
      <c r="E2909" s="1"/>
      <c r="F2909" s="1"/>
      <c r="G2909" s="1"/>
      <c r="H2909" s="1"/>
      <c r="I2909" s="1"/>
      <c r="J2909" s="1"/>
      <c r="K2909" s="1" t="s">
        <v>12649</v>
      </c>
    </row>
    <row r="2910" ht="14.25" customHeight="1">
      <c r="A2910" s="3" t="s">
        <v>5924</v>
      </c>
      <c r="B2910" s="1">
        <v>6.4</v>
      </c>
      <c r="C2910" s="1" t="s">
        <v>6019</v>
      </c>
      <c r="D2910" s="1" t="s">
        <v>17761</v>
      </c>
      <c r="E2910" s="1"/>
      <c r="F2910" s="1"/>
      <c r="G2910" s="1"/>
      <c r="H2910" s="1"/>
      <c r="I2910" s="1"/>
      <c r="J2910" s="1"/>
      <c r="K2910" s="1" t="s">
        <v>12966</v>
      </c>
    </row>
    <row r="2911" ht="14.25" customHeight="1">
      <c r="A2911" s="3" t="s">
        <v>5924</v>
      </c>
      <c r="B2911" s="1">
        <v>5.4</v>
      </c>
      <c r="C2911" s="1" t="s">
        <v>6019</v>
      </c>
      <c r="D2911" s="1" t="s">
        <v>17761</v>
      </c>
      <c r="E2911" s="1"/>
      <c r="F2911" s="1"/>
      <c r="G2911" s="1"/>
      <c r="H2911" s="1"/>
      <c r="I2911" s="1"/>
      <c r="J2911" s="1"/>
      <c r="K2911" s="1" t="s">
        <v>13074</v>
      </c>
    </row>
    <row r="2912" ht="14.25" customHeight="1">
      <c r="A2912" s="3" t="s">
        <v>5924</v>
      </c>
      <c r="B2912" s="1">
        <v>6.6</v>
      </c>
      <c r="C2912" s="1" t="s">
        <v>6019</v>
      </c>
      <c r="D2912" s="1" t="s">
        <v>17761</v>
      </c>
      <c r="E2912" s="1"/>
      <c r="F2912" s="1"/>
      <c r="G2912" s="1"/>
      <c r="H2912" s="1"/>
      <c r="I2912" s="1"/>
      <c r="J2912" s="1"/>
      <c r="K2912" s="1" t="s">
        <v>13133</v>
      </c>
    </row>
    <row r="2913" ht="14.25" customHeight="1">
      <c r="A2913" s="3" t="s">
        <v>5924</v>
      </c>
      <c r="B2913" s="1">
        <v>6.1</v>
      </c>
      <c r="C2913" s="1" t="s">
        <v>6019</v>
      </c>
      <c r="D2913" s="1" t="s">
        <v>17761</v>
      </c>
      <c r="E2913" s="1"/>
      <c r="F2913" s="1"/>
      <c r="G2913" s="1"/>
      <c r="H2913" s="1"/>
      <c r="I2913" s="1"/>
      <c r="J2913" s="1"/>
      <c r="K2913" s="1" t="s">
        <v>13152</v>
      </c>
    </row>
    <row r="2914" ht="14.25" customHeight="1">
      <c r="A2914" s="3" t="s">
        <v>5924</v>
      </c>
      <c r="B2914" s="1">
        <v>7.6</v>
      </c>
      <c r="C2914" s="1" t="s">
        <v>6019</v>
      </c>
      <c r="D2914" s="1" t="s">
        <v>17761</v>
      </c>
      <c r="E2914" s="1"/>
      <c r="F2914" s="1"/>
      <c r="G2914" s="1"/>
      <c r="H2914" s="1"/>
      <c r="I2914" s="1"/>
      <c r="J2914" s="1"/>
      <c r="K2914" s="1" t="s">
        <v>13175</v>
      </c>
    </row>
    <row r="2915" ht="14.25" customHeight="1">
      <c r="A2915" s="3" t="s">
        <v>5924</v>
      </c>
      <c r="B2915" s="1">
        <v>6.2</v>
      </c>
      <c r="C2915" s="1" t="s">
        <v>6019</v>
      </c>
      <c r="D2915" s="1" t="s">
        <v>17761</v>
      </c>
      <c r="E2915" s="1"/>
      <c r="F2915" s="1"/>
      <c r="G2915" s="1"/>
      <c r="H2915" s="1"/>
      <c r="I2915" s="1"/>
      <c r="J2915" s="1"/>
      <c r="K2915" s="1" t="s">
        <v>14306</v>
      </c>
    </row>
    <row r="2916" ht="14.25" customHeight="1">
      <c r="A2916" s="3" t="s">
        <v>5924</v>
      </c>
      <c r="B2916" s="1">
        <v>6.6</v>
      </c>
      <c r="C2916" s="1" t="s">
        <v>6019</v>
      </c>
      <c r="D2916" s="1" t="s">
        <v>17761</v>
      </c>
      <c r="E2916" s="1"/>
      <c r="F2916" s="1"/>
      <c r="G2916" s="1"/>
      <c r="H2916" s="1"/>
      <c r="I2916" s="1"/>
      <c r="J2916" s="1"/>
      <c r="K2916" s="1" t="s">
        <v>14506</v>
      </c>
    </row>
    <row r="2917" ht="14.25" customHeight="1">
      <c r="A2917" s="3" t="s">
        <v>5924</v>
      </c>
      <c r="B2917" s="1">
        <v>7.3</v>
      </c>
      <c r="C2917" s="1" t="s">
        <v>6019</v>
      </c>
      <c r="D2917" s="1" t="s">
        <v>17761</v>
      </c>
      <c r="E2917" s="1"/>
      <c r="F2917" s="1"/>
      <c r="G2917" s="1"/>
      <c r="H2917" s="1"/>
      <c r="I2917" s="1"/>
      <c r="J2917" s="1"/>
      <c r="K2917" s="1" t="s">
        <v>14963</v>
      </c>
    </row>
    <row r="2918" ht="14.25" customHeight="1">
      <c r="A2918" s="3" t="s">
        <v>5924</v>
      </c>
      <c r="B2918" s="1">
        <v>4.2</v>
      </c>
      <c r="C2918" s="1" t="s">
        <v>6019</v>
      </c>
      <c r="D2918" s="1" t="s">
        <v>17761</v>
      </c>
      <c r="E2918" s="1"/>
      <c r="F2918" s="1"/>
      <c r="G2918" s="1"/>
      <c r="H2918" s="1"/>
      <c r="I2918" s="1"/>
      <c r="J2918" s="1"/>
      <c r="K2918" s="1" t="s">
        <v>15040</v>
      </c>
    </row>
    <row r="2919" ht="14.25" customHeight="1">
      <c r="A2919" s="3" t="s">
        <v>5924</v>
      </c>
      <c r="B2919" s="1">
        <v>6.5</v>
      </c>
      <c r="C2919" s="1" t="s">
        <v>6019</v>
      </c>
      <c r="D2919" s="1" t="s">
        <v>17761</v>
      </c>
      <c r="E2919" s="1"/>
      <c r="F2919" s="1"/>
      <c r="G2919" s="1"/>
      <c r="H2919" s="1"/>
      <c r="I2919" s="1"/>
      <c r="J2919" s="1"/>
      <c r="K2919" s="1" t="s">
        <v>15144</v>
      </c>
    </row>
    <row r="2920" ht="14.25" customHeight="1">
      <c r="A2920" s="3" t="s">
        <v>5924</v>
      </c>
      <c r="B2920" s="1">
        <v>6.5</v>
      </c>
      <c r="C2920" s="1" t="s">
        <v>6019</v>
      </c>
      <c r="D2920" s="1" t="s">
        <v>17761</v>
      </c>
      <c r="E2920" s="1"/>
      <c r="F2920" s="1"/>
      <c r="G2920" s="1"/>
      <c r="H2920" s="1"/>
      <c r="I2920" s="1"/>
      <c r="J2920" s="1"/>
      <c r="K2920" s="1" t="s">
        <v>15718</v>
      </c>
    </row>
    <row r="2921" ht="14.25" customHeight="1">
      <c r="A2921" s="3" t="s">
        <v>5924</v>
      </c>
      <c r="B2921" s="1">
        <v>5.7</v>
      </c>
      <c r="C2921" s="1" t="s">
        <v>6019</v>
      </c>
      <c r="D2921" s="1" t="s">
        <v>17761</v>
      </c>
      <c r="E2921" s="1"/>
      <c r="F2921" s="1"/>
      <c r="G2921" s="1"/>
      <c r="H2921" s="1"/>
      <c r="I2921" s="1"/>
      <c r="J2921" s="1"/>
      <c r="K2921" s="1" t="s">
        <v>15870</v>
      </c>
    </row>
    <row r="2922" ht="14.25" customHeight="1">
      <c r="A2922" s="3" t="s">
        <v>5924</v>
      </c>
      <c r="B2922" s="1">
        <v>7.3</v>
      </c>
      <c r="C2922" s="1" t="s">
        <v>6019</v>
      </c>
      <c r="D2922" s="1" t="s">
        <v>17761</v>
      </c>
      <c r="E2922" s="1"/>
      <c r="F2922" s="1"/>
      <c r="G2922" s="1"/>
      <c r="H2922" s="1"/>
      <c r="I2922" s="1"/>
      <c r="J2922" s="1"/>
      <c r="K2922" s="1" t="s">
        <v>16280</v>
      </c>
    </row>
    <row r="2923" ht="14.25" customHeight="1">
      <c r="A2923" s="3" t="s">
        <v>5924</v>
      </c>
      <c r="B2923" s="1">
        <v>6.9</v>
      </c>
      <c r="C2923" s="1" t="s">
        <v>6019</v>
      </c>
      <c r="D2923" s="1" t="s">
        <v>17761</v>
      </c>
      <c r="E2923" s="1"/>
      <c r="F2923" s="1"/>
      <c r="G2923" s="1"/>
      <c r="H2923" s="1"/>
      <c r="I2923" s="1"/>
      <c r="J2923" s="1"/>
      <c r="K2923" s="1" t="s">
        <v>16640</v>
      </c>
    </row>
    <row r="2924" ht="14.25" customHeight="1">
      <c r="A2924" s="3" t="s">
        <v>1598</v>
      </c>
      <c r="B2924" s="1">
        <v>5.0</v>
      </c>
      <c r="C2924" s="1" t="s">
        <v>1885</v>
      </c>
      <c r="D2924" s="1" t="s">
        <v>17762</v>
      </c>
      <c r="E2924" s="1"/>
      <c r="F2924" s="1"/>
      <c r="G2924" s="1"/>
      <c r="H2924" s="1"/>
      <c r="I2924" s="1"/>
      <c r="J2924" s="1"/>
      <c r="K2924" s="1" t="s">
        <v>1597</v>
      </c>
    </row>
    <row r="2925" ht="14.25" customHeight="1">
      <c r="A2925" s="3" t="s">
        <v>1598</v>
      </c>
      <c r="B2925" s="1">
        <v>7.3</v>
      </c>
      <c r="C2925" s="1" t="s">
        <v>1885</v>
      </c>
      <c r="D2925" s="1" t="s">
        <v>17762</v>
      </c>
      <c r="E2925" s="1"/>
      <c r="F2925" s="1"/>
      <c r="G2925" s="1"/>
      <c r="H2925" s="1"/>
      <c r="I2925" s="1"/>
      <c r="J2925" s="1"/>
      <c r="K2925" s="1" t="s">
        <v>1662</v>
      </c>
    </row>
    <row r="2926" ht="14.25" customHeight="1">
      <c r="A2926" s="3" t="s">
        <v>1598</v>
      </c>
      <c r="B2926" s="1">
        <v>6.5</v>
      </c>
      <c r="C2926" s="1" t="s">
        <v>1885</v>
      </c>
      <c r="D2926" s="1" t="s">
        <v>17762</v>
      </c>
      <c r="E2926" s="1"/>
      <c r="F2926" s="1"/>
      <c r="G2926" s="1"/>
      <c r="H2926" s="1"/>
      <c r="I2926" s="1"/>
      <c r="J2926" s="1"/>
      <c r="K2926" s="1" t="s">
        <v>2276</v>
      </c>
    </row>
    <row r="2927" ht="14.25" customHeight="1">
      <c r="A2927" s="3" t="s">
        <v>1598</v>
      </c>
      <c r="B2927" s="1">
        <v>2.1</v>
      </c>
      <c r="C2927" s="1" t="s">
        <v>1885</v>
      </c>
      <c r="D2927" s="1" t="s">
        <v>17762</v>
      </c>
      <c r="E2927" s="1"/>
      <c r="F2927" s="1"/>
      <c r="G2927" s="1"/>
      <c r="H2927" s="1"/>
      <c r="I2927" s="1"/>
      <c r="J2927" s="1"/>
      <c r="K2927" s="1" t="s">
        <v>2514</v>
      </c>
    </row>
    <row r="2928" ht="14.25" customHeight="1">
      <c r="A2928" s="3" t="s">
        <v>1598</v>
      </c>
      <c r="B2928" s="1">
        <v>7.0</v>
      </c>
      <c r="C2928" s="1" t="s">
        <v>1885</v>
      </c>
      <c r="D2928" s="1" t="s">
        <v>17762</v>
      </c>
      <c r="E2928" s="1"/>
      <c r="F2928" s="1"/>
      <c r="G2928" s="1"/>
      <c r="H2928" s="1"/>
      <c r="I2928" s="1"/>
      <c r="J2928" s="1"/>
      <c r="K2928" s="1" t="s">
        <v>2869</v>
      </c>
    </row>
    <row r="2929" ht="14.25" customHeight="1">
      <c r="A2929" s="3" t="s">
        <v>1598</v>
      </c>
      <c r="B2929" s="1">
        <v>8.0</v>
      </c>
      <c r="C2929" s="1" t="s">
        <v>1885</v>
      </c>
      <c r="D2929" s="1" t="s">
        <v>17762</v>
      </c>
      <c r="E2929" s="1"/>
      <c r="F2929" s="1"/>
      <c r="G2929" s="1"/>
      <c r="H2929" s="1"/>
      <c r="I2929" s="1"/>
      <c r="J2929" s="1"/>
      <c r="K2929" s="1" t="s">
        <v>3139</v>
      </c>
    </row>
    <row r="2930" ht="14.25" customHeight="1">
      <c r="A2930" s="3" t="s">
        <v>1598</v>
      </c>
      <c r="B2930" s="1">
        <v>6.5</v>
      </c>
      <c r="C2930" s="1" t="s">
        <v>1885</v>
      </c>
      <c r="D2930" s="1" t="s">
        <v>17762</v>
      </c>
      <c r="E2930" s="1"/>
      <c r="F2930" s="1"/>
      <c r="G2930" s="1"/>
      <c r="H2930" s="1"/>
      <c r="I2930" s="1"/>
      <c r="J2930" s="1"/>
      <c r="K2930" s="1" t="s">
        <v>3398</v>
      </c>
    </row>
    <row r="2931" ht="14.25" customHeight="1">
      <c r="A2931" s="3" t="s">
        <v>1598</v>
      </c>
      <c r="B2931" s="1">
        <v>7.1</v>
      </c>
      <c r="C2931" s="1" t="s">
        <v>1885</v>
      </c>
      <c r="D2931" s="1" t="s">
        <v>17762</v>
      </c>
      <c r="E2931" s="1"/>
      <c r="F2931" s="1"/>
      <c r="G2931" s="1"/>
      <c r="H2931" s="1"/>
      <c r="I2931" s="1"/>
      <c r="J2931" s="1"/>
      <c r="K2931" s="1" t="s">
        <v>3532</v>
      </c>
    </row>
    <row r="2932" ht="14.25" customHeight="1">
      <c r="A2932" s="3" t="s">
        <v>1598</v>
      </c>
      <c r="B2932" s="1">
        <v>7.2</v>
      </c>
      <c r="C2932" s="1" t="s">
        <v>1885</v>
      </c>
      <c r="D2932" s="1" t="s">
        <v>17762</v>
      </c>
      <c r="E2932" s="1"/>
      <c r="F2932" s="1"/>
      <c r="G2932" s="1"/>
      <c r="H2932" s="1"/>
      <c r="I2932" s="1"/>
      <c r="J2932" s="1"/>
      <c r="K2932" s="1" t="s">
        <v>3726</v>
      </c>
    </row>
    <row r="2933" ht="14.25" customHeight="1">
      <c r="A2933" s="3" t="s">
        <v>1598</v>
      </c>
      <c r="B2933" s="1">
        <v>6.7</v>
      </c>
      <c r="C2933" s="1" t="s">
        <v>1885</v>
      </c>
      <c r="D2933" s="1" t="s">
        <v>17762</v>
      </c>
      <c r="E2933" s="1"/>
      <c r="F2933" s="1"/>
      <c r="G2933" s="1"/>
      <c r="H2933" s="1"/>
      <c r="I2933" s="1"/>
      <c r="J2933" s="1"/>
      <c r="K2933" s="1" t="s">
        <v>3792</v>
      </c>
    </row>
    <row r="2934" ht="14.25" customHeight="1">
      <c r="A2934" s="3" t="s">
        <v>1598</v>
      </c>
      <c r="B2934" s="1">
        <v>8.9</v>
      </c>
      <c r="C2934" s="1" t="s">
        <v>1885</v>
      </c>
      <c r="D2934" s="1" t="s">
        <v>17762</v>
      </c>
      <c r="E2934" s="1"/>
      <c r="F2934" s="1"/>
      <c r="G2934" s="1"/>
      <c r="H2934" s="1"/>
      <c r="I2934" s="1"/>
      <c r="J2934" s="1"/>
      <c r="K2934" s="1" t="s">
        <v>4336</v>
      </c>
    </row>
    <row r="2935" ht="14.25" customHeight="1">
      <c r="A2935" s="3" t="s">
        <v>1598</v>
      </c>
      <c r="B2935" s="1">
        <v>7.9</v>
      </c>
      <c r="C2935" s="1" t="s">
        <v>1885</v>
      </c>
      <c r="D2935" s="1" t="s">
        <v>17762</v>
      </c>
      <c r="E2935" s="1"/>
      <c r="F2935" s="1"/>
      <c r="G2935" s="1"/>
      <c r="H2935" s="1"/>
      <c r="I2935" s="1"/>
      <c r="J2935" s="1"/>
      <c r="K2935" s="1" t="s">
        <v>4346</v>
      </c>
    </row>
    <row r="2936" ht="14.25" customHeight="1">
      <c r="A2936" s="3" t="s">
        <v>1598</v>
      </c>
      <c r="B2936" s="1">
        <v>5.6</v>
      </c>
      <c r="C2936" s="1" t="s">
        <v>1885</v>
      </c>
      <c r="D2936" s="1" t="s">
        <v>17762</v>
      </c>
      <c r="E2936" s="1"/>
      <c r="F2936" s="1"/>
      <c r="G2936" s="1"/>
      <c r="H2936" s="1"/>
      <c r="I2936" s="1"/>
      <c r="J2936" s="1"/>
      <c r="K2936" s="1" t="s">
        <v>4585</v>
      </c>
    </row>
    <row r="2937" ht="14.25" customHeight="1">
      <c r="A2937" s="3" t="s">
        <v>1598</v>
      </c>
      <c r="B2937" s="1">
        <v>8.0</v>
      </c>
      <c r="C2937" s="1" t="s">
        <v>1885</v>
      </c>
      <c r="D2937" s="1" t="s">
        <v>17762</v>
      </c>
      <c r="E2937" s="1"/>
      <c r="F2937" s="1"/>
      <c r="G2937" s="1"/>
      <c r="H2937" s="1"/>
      <c r="I2937" s="1"/>
      <c r="J2937" s="1"/>
      <c r="K2937" s="1" t="s">
        <v>4666</v>
      </c>
    </row>
    <row r="2938" ht="14.25" customHeight="1">
      <c r="A2938" s="3" t="s">
        <v>1598</v>
      </c>
      <c r="B2938" s="1">
        <v>6.2</v>
      </c>
      <c r="C2938" s="1" t="s">
        <v>1885</v>
      </c>
      <c r="D2938" s="1" t="s">
        <v>17762</v>
      </c>
      <c r="E2938" s="1"/>
      <c r="F2938" s="1"/>
      <c r="G2938" s="1"/>
      <c r="H2938" s="1"/>
      <c r="I2938" s="1"/>
      <c r="J2938" s="1"/>
      <c r="K2938" s="1" t="s">
        <v>4754</v>
      </c>
    </row>
    <row r="2939" ht="14.25" customHeight="1">
      <c r="A2939" s="3" t="s">
        <v>1598</v>
      </c>
      <c r="B2939" s="1">
        <v>7.9</v>
      </c>
      <c r="C2939" s="1" t="s">
        <v>1885</v>
      </c>
      <c r="D2939" s="1" t="s">
        <v>17762</v>
      </c>
      <c r="E2939" s="1"/>
      <c r="F2939" s="1"/>
      <c r="G2939" s="1"/>
      <c r="H2939" s="1"/>
      <c r="I2939" s="1"/>
      <c r="J2939" s="1"/>
      <c r="K2939" s="1" t="s">
        <v>4767</v>
      </c>
    </row>
    <row r="2940" ht="14.25" customHeight="1">
      <c r="A2940" s="3" t="s">
        <v>1598</v>
      </c>
      <c r="B2940" s="1">
        <v>8.1</v>
      </c>
      <c r="C2940" s="1" t="s">
        <v>1885</v>
      </c>
      <c r="D2940" s="1" t="s">
        <v>17762</v>
      </c>
      <c r="E2940" s="1"/>
      <c r="F2940" s="1"/>
      <c r="G2940" s="1"/>
      <c r="H2940" s="1"/>
      <c r="I2940" s="1"/>
      <c r="J2940" s="1"/>
      <c r="K2940" s="1" t="s">
        <v>4780</v>
      </c>
    </row>
    <row r="2941" ht="14.25" customHeight="1">
      <c r="A2941" s="3" t="s">
        <v>1598</v>
      </c>
      <c r="B2941" s="1">
        <v>7.6</v>
      </c>
      <c r="C2941" s="1" t="s">
        <v>1885</v>
      </c>
      <c r="D2941" s="1" t="s">
        <v>17762</v>
      </c>
      <c r="E2941" s="1"/>
      <c r="F2941" s="1"/>
      <c r="G2941" s="1"/>
      <c r="H2941" s="1"/>
      <c r="I2941" s="1"/>
      <c r="J2941" s="1"/>
      <c r="K2941" s="1" t="s">
        <v>4821</v>
      </c>
    </row>
    <row r="2942" ht="14.25" customHeight="1">
      <c r="A2942" s="3" t="s">
        <v>1598</v>
      </c>
      <c r="B2942" s="1">
        <v>3.5</v>
      </c>
      <c r="C2942" s="1" t="s">
        <v>1885</v>
      </c>
      <c r="D2942" s="1" t="s">
        <v>17762</v>
      </c>
      <c r="E2942" s="1"/>
      <c r="F2942" s="1"/>
      <c r="G2942" s="1"/>
      <c r="H2942" s="1"/>
      <c r="I2942" s="1"/>
      <c r="J2942" s="1"/>
      <c r="K2942" s="1" t="s">
        <v>5306</v>
      </c>
    </row>
    <row r="2943" ht="14.25" customHeight="1">
      <c r="A2943" s="3" t="s">
        <v>1598</v>
      </c>
      <c r="B2943" s="1">
        <v>7.6</v>
      </c>
      <c r="C2943" s="1" t="s">
        <v>1885</v>
      </c>
      <c r="D2943" s="1" t="s">
        <v>17762</v>
      </c>
      <c r="E2943" s="1"/>
      <c r="F2943" s="1"/>
      <c r="G2943" s="1"/>
      <c r="H2943" s="1"/>
      <c r="I2943" s="1"/>
      <c r="J2943" s="1"/>
      <c r="K2943" s="1" t="s">
        <v>5309</v>
      </c>
    </row>
    <row r="2944" ht="14.25" customHeight="1">
      <c r="A2944" s="3" t="s">
        <v>1598</v>
      </c>
      <c r="B2944" s="1">
        <v>6.5</v>
      </c>
      <c r="C2944" s="1" t="s">
        <v>1885</v>
      </c>
      <c r="D2944" s="1" t="s">
        <v>17762</v>
      </c>
      <c r="E2944" s="1"/>
      <c r="F2944" s="1"/>
      <c r="G2944" s="1"/>
      <c r="H2944" s="1"/>
      <c r="I2944" s="1"/>
      <c r="J2944" s="1"/>
      <c r="K2944" s="1" t="s">
        <v>5379</v>
      </c>
    </row>
    <row r="2945" ht="14.25" customHeight="1">
      <c r="A2945" s="3" t="s">
        <v>1598</v>
      </c>
      <c r="B2945" s="1">
        <v>5.6</v>
      </c>
      <c r="C2945" s="1" t="s">
        <v>1885</v>
      </c>
      <c r="D2945" s="1" t="s">
        <v>17762</v>
      </c>
      <c r="E2945" s="1"/>
      <c r="F2945" s="1"/>
      <c r="G2945" s="1"/>
      <c r="H2945" s="1"/>
      <c r="I2945" s="1"/>
      <c r="J2945" s="1"/>
      <c r="K2945" s="1" t="s">
        <v>5476</v>
      </c>
    </row>
    <row r="2946" ht="14.25" customHeight="1">
      <c r="A2946" s="3" t="s">
        <v>1598</v>
      </c>
      <c r="B2946" s="1">
        <v>7.7</v>
      </c>
      <c r="C2946" s="1" t="s">
        <v>1885</v>
      </c>
      <c r="D2946" s="1" t="s">
        <v>17762</v>
      </c>
      <c r="E2946" s="1"/>
      <c r="F2946" s="1"/>
      <c r="G2946" s="1"/>
      <c r="H2946" s="1"/>
      <c r="I2946" s="1"/>
      <c r="J2946" s="1"/>
      <c r="K2946" s="1" t="s">
        <v>5689</v>
      </c>
    </row>
    <row r="2947" ht="14.25" customHeight="1">
      <c r="A2947" s="3" t="s">
        <v>1598</v>
      </c>
      <c r="B2947" s="1">
        <v>5.2</v>
      </c>
      <c r="C2947" s="1" t="s">
        <v>1885</v>
      </c>
      <c r="D2947" s="1" t="s">
        <v>17762</v>
      </c>
      <c r="E2947" s="1"/>
      <c r="F2947" s="1"/>
      <c r="G2947" s="1"/>
      <c r="H2947" s="1"/>
      <c r="I2947" s="1"/>
      <c r="J2947" s="1"/>
      <c r="K2947" s="1" t="s">
        <v>5723</v>
      </c>
    </row>
    <row r="2948" ht="14.25" customHeight="1">
      <c r="A2948" s="3" t="s">
        <v>1598</v>
      </c>
      <c r="B2948" s="1">
        <v>6.1</v>
      </c>
      <c r="C2948" s="1" t="s">
        <v>1885</v>
      </c>
      <c r="D2948" s="1" t="s">
        <v>17762</v>
      </c>
      <c r="E2948" s="1"/>
      <c r="F2948" s="1"/>
      <c r="G2948" s="1"/>
      <c r="H2948" s="1"/>
      <c r="I2948" s="1"/>
      <c r="J2948" s="1"/>
      <c r="K2948" s="1" t="s">
        <v>5983</v>
      </c>
    </row>
    <row r="2949" ht="14.25" customHeight="1">
      <c r="A2949" s="3" t="s">
        <v>1598</v>
      </c>
      <c r="B2949" s="1">
        <v>7.4</v>
      </c>
      <c r="C2949" s="1" t="s">
        <v>1885</v>
      </c>
      <c r="D2949" s="1" t="s">
        <v>17762</v>
      </c>
      <c r="E2949" s="1"/>
      <c r="F2949" s="1"/>
      <c r="G2949" s="1"/>
      <c r="H2949" s="1"/>
      <c r="I2949" s="1"/>
      <c r="J2949" s="1"/>
      <c r="K2949" s="1" t="s">
        <v>6013</v>
      </c>
    </row>
    <row r="2950" ht="14.25" customHeight="1">
      <c r="A2950" s="3" t="s">
        <v>1598</v>
      </c>
      <c r="B2950" s="1">
        <v>6.8</v>
      </c>
      <c r="C2950" s="1" t="s">
        <v>1885</v>
      </c>
      <c r="D2950" s="1" t="s">
        <v>17762</v>
      </c>
      <c r="E2950" s="1"/>
      <c r="F2950" s="1"/>
      <c r="G2950" s="1"/>
      <c r="H2950" s="1"/>
      <c r="I2950" s="1"/>
      <c r="J2950" s="1"/>
      <c r="K2950" s="1" t="s">
        <v>6111</v>
      </c>
    </row>
    <row r="2951" ht="14.25" customHeight="1">
      <c r="A2951" s="3" t="s">
        <v>1598</v>
      </c>
      <c r="B2951" s="1">
        <v>6.4</v>
      </c>
      <c r="C2951" s="1" t="s">
        <v>1885</v>
      </c>
      <c r="D2951" s="1" t="s">
        <v>17762</v>
      </c>
      <c r="E2951" s="1"/>
      <c r="F2951" s="1"/>
      <c r="G2951" s="1"/>
      <c r="H2951" s="1"/>
      <c r="I2951" s="1"/>
      <c r="J2951" s="1"/>
      <c r="K2951" s="1" t="s">
        <v>6356</v>
      </c>
    </row>
    <row r="2952" ht="14.25" customHeight="1">
      <c r="A2952" s="3" t="s">
        <v>1598</v>
      </c>
      <c r="B2952" s="1">
        <v>5.7</v>
      </c>
      <c r="C2952" s="1" t="s">
        <v>1885</v>
      </c>
      <c r="D2952" s="1" t="s">
        <v>17762</v>
      </c>
      <c r="E2952" s="1"/>
      <c r="F2952" s="1"/>
      <c r="G2952" s="1"/>
      <c r="H2952" s="1"/>
      <c r="I2952" s="1"/>
      <c r="J2952" s="1"/>
      <c r="K2952" s="1" t="s">
        <v>6366</v>
      </c>
    </row>
    <row r="2953" ht="14.25" customHeight="1">
      <c r="A2953" s="3" t="s">
        <v>1598</v>
      </c>
      <c r="B2953" s="1">
        <v>6.7</v>
      </c>
      <c r="C2953" s="1" t="s">
        <v>1885</v>
      </c>
      <c r="D2953" s="1" t="s">
        <v>17762</v>
      </c>
      <c r="E2953" s="1"/>
      <c r="F2953" s="1"/>
      <c r="G2953" s="1"/>
      <c r="H2953" s="1"/>
      <c r="I2953" s="1"/>
      <c r="J2953" s="1"/>
      <c r="K2953" s="1" t="s">
        <v>6535</v>
      </c>
    </row>
    <row r="2954" ht="14.25" customHeight="1">
      <c r="A2954" s="3" t="s">
        <v>1598</v>
      </c>
      <c r="B2954" s="1">
        <v>5.6</v>
      </c>
      <c r="C2954" s="1" t="s">
        <v>1885</v>
      </c>
      <c r="D2954" s="1" t="s">
        <v>17762</v>
      </c>
      <c r="E2954" s="1"/>
      <c r="F2954" s="1"/>
      <c r="G2954" s="1"/>
      <c r="H2954" s="1"/>
      <c r="I2954" s="1"/>
      <c r="J2954" s="1"/>
      <c r="K2954" s="1" t="s">
        <v>6539</v>
      </c>
    </row>
    <row r="2955" ht="14.25" customHeight="1">
      <c r="A2955" s="3" t="s">
        <v>1598</v>
      </c>
      <c r="B2955" s="1">
        <v>7.0</v>
      </c>
      <c r="C2955" s="1" t="s">
        <v>1885</v>
      </c>
      <c r="D2955" s="1" t="s">
        <v>17762</v>
      </c>
      <c r="E2955" s="1"/>
      <c r="F2955" s="1"/>
      <c r="G2955" s="1"/>
      <c r="H2955" s="1"/>
      <c r="I2955" s="1"/>
      <c r="J2955" s="1"/>
      <c r="K2955" s="1" t="s">
        <v>6702</v>
      </c>
    </row>
    <row r="2956" ht="14.25" customHeight="1">
      <c r="A2956" s="3" t="s">
        <v>1598</v>
      </c>
      <c r="B2956" s="1">
        <v>7.6</v>
      </c>
      <c r="C2956" s="1" t="s">
        <v>1885</v>
      </c>
      <c r="D2956" s="1" t="s">
        <v>17762</v>
      </c>
      <c r="E2956" s="1"/>
      <c r="F2956" s="1"/>
      <c r="G2956" s="1"/>
      <c r="H2956" s="1"/>
      <c r="I2956" s="1"/>
      <c r="J2956" s="1"/>
      <c r="K2956" s="1" t="s">
        <v>6848</v>
      </c>
    </row>
    <row r="2957" ht="14.25" customHeight="1">
      <c r="A2957" s="3" t="s">
        <v>1598</v>
      </c>
      <c r="B2957" s="1">
        <v>6.5</v>
      </c>
      <c r="C2957" s="1" t="s">
        <v>1885</v>
      </c>
      <c r="D2957" s="1" t="s">
        <v>17762</v>
      </c>
      <c r="E2957" s="1"/>
      <c r="F2957" s="1"/>
      <c r="G2957" s="1"/>
      <c r="H2957" s="1"/>
      <c r="I2957" s="1"/>
      <c r="J2957" s="1"/>
      <c r="K2957" s="1" t="s">
        <v>6854</v>
      </c>
    </row>
    <row r="2958" ht="14.25" customHeight="1">
      <c r="A2958" s="3" t="s">
        <v>1598</v>
      </c>
      <c r="B2958" s="1">
        <v>6.3</v>
      </c>
      <c r="C2958" s="1" t="s">
        <v>1885</v>
      </c>
      <c r="D2958" s="1" t="s">
        <v>17762</v>
      </c>
      <c r="E2958" s="1"/>
      <c r="F2958" s="1"/>
      <c r="G2958" s="1"/>
      <c r="H2958" s="1"/>
      <c r="I2958" s="1"/>
      <c r="J2958" s="1"/>
      <c r="K2958" s="1" t="s">
        <v>6908</v>
      </c>
    </row>
    <row r="2959" ht="14.25" customHeight="1">
      <c r="A2959" s="3" t="s">
        <v>1598</v>
      </c>
      <c r="B2959" s="1">
        <v>7.1</v>
      </c>
      <c r="C2959" s="1" t="s">
        <v>1885</v>
      </c>
      <c r="D2959" s="1" t="s">
        <v>17762</v>
      </c>
      <c r="E2959" s="1"/>
      <c r="F2959" s="1"/>
      <c r="G2959" s="1"/>
      <c r="H2959" s="1"/>
      <c r="I2959" s="1"/>
      <c r="J2959" s="1"/>
      <c r="K2959" s="1" t="s">
        <v>6938</v>
      </c>
    </row>
    <row r="2960" ht="14.25" customHeight="1">
      <c r="A2960" s="3" t="s">
        <v>1598</v>
      </c>
      <c r="B2960" s="1">
        <v>7.1</v>
      </c>
      <c r="C2960" s="1" t="s">
        <v>1885</v>
      </c>
      <c r="D2960" s="1" t="s">
        <v>17762</v>
      </c>
      <c r="E2960" s="1"/>
      <c r="F2960" s="1"/>
      <c r="G2960" s="1"/>
      <c r="H2960" s="1"/>
      <c r="I2960" s="1"/>
      <c r="J2960" s="1"/>
      <c r="K2960" s="1" t="s">
        <v>6946</v>
      </c>
    </row>
    <row r="2961" ht="14.25" customHeight="1">
      <c r="A2961" s="3" t="s">
        <v>1598</v>
      </c>
      <c r="B2961" s="1">
        <v>6.9</v>
      </c>
      <c r="C2961" s="1" t="s">
        <v>1885</v>
      </c>
      <c r="D2961" s="1" t="s">
        <v>17762</v>
      </c>
      <c r="E2961" s="1"/>
      <c r="F2961" s="1"/>
      <c r="G2961" s="1"/>
      <c r="H2961" s="1"/>
      <c r="I2961" s="1"/>
      <c r="J2961" s="1"/>
      <c r="K2961" s="1" t="s">
        <v>6976</v>
      </c>
    </row>
    <row r="2962" ht="14.25" customHeight="1">
      <c r="A2962" s="3" t="s">
        <v>1598</v>
      </c>
      <c r="B2962" s="1">
        <v>5.4</v>
      </c>
      <c r="C2962" s="1" t="s">
        <v>1885</v>
      </c>
      <c r="D2962" s="1" t="s">
        <v>17762</v>
      </c>
      <c r="E2962" s="1"/>
      <c r="F2962" s="1"/>
      <c r="G2962" s="1"/>
      <c r="H2962" s="1"/>
      <c r="I2962" s="1"/>
      <c r="J2962" s="1"/>
      <c r="K2962" s="1" t="s">
        <v>7397</v>
      </c>
    </row>
    <row r="2963" ht="14.25" customHeight="1">
      <c r="A2963" s="3" t="s">
        <v>1598</v>
      </c>
      <c r="B2963" s="1">
        <v>5.1</v>
      </c>
      <c r="C2963" s="1" t="s">
        <v>1885</v>
      </c>
      <c r="D2963" s="1" t="s">
        <v>17762</v>
      </c>
      <c r="E2963" s="1"/>
      <c r="F2963" s="1"/>
      <c r="G2963" s="1"/>
      <c r="H2963" s="1"/>
      <c r="I2963" s="1"/>
      <c r="J2963" s="1"/>
      <c r="K2963" s="1" t="s">
        <v>7464</v>
      </c>
    </row>
    <row r="2964" ht="14.25" customHeight="1">
      <c r="A2964" s="3" t="s">
        <v>1598</v>
      </c>
      <c r="B2964" s="1">
        <v>5.3</v>
      </c>
      <c r="C2964" s="1" t="s">
        <v>1885</v>
      </c>
      <c r="D2964" s="1" t="s">
        <v>17762</v>
      </c>
      <c r="E2964" s="1"/>
      <c r="F2964" s="1"/>
      <c r="G2964" s="1"/>
      <c r="H2964" s="1"/>
      <c r="I2964" s="1"/>
      <c r="J2964" s="1"/>
      <c r="K2964" s="1" t="s">
        <v>7510</v>
      </c>
    </row>
    <row r="2965" ht="14.25" customHeight="1">
      <c r="A2965" s="3" t="s">
        <v>1598</v>
      </c>
      <c r="B2965" s="1">
        <v>7.3</v>
      </c>
      <c r="C2965" s="1" t="s">
        <v>1885</v>
      </c>
      <c r="D2965" s="1" t="s">
        <v>17762</v>
      </c>
      <c r="E2965" s="1"/>
      <c r="F2965" s="1"/>
      <c r="G2965" s="1"/>
      <c r="H2965" s="1"/>
      <c r="I2965" s="1"/>
      <c r="J2965" s="1"/>
      <c r="K2965" s="1" t="s">
        <v>7645</v>
      </c>
    </row>
    <row r="2966" ht="14.25" customHeight="1">
      <c r="A2966" s="3" t="s">
        <v>1598</v>
      </c>
      <c r="B2966" s="1">
        <v>7.3</v>
      </c>
      <c r="C2966" s="1" t="s">
        <v>1885</v>
      </c>
      <c r="D2966" s="1" t="s">
        <v>17762</v>
      </c>
      <c r="E2966" s="1"/>
      <c r="F2966" s="1"/>
      <c r="G2966" s="1"/>
      <c r="H2966" s="1"/>
      <c r="I2966" s="1"/>
      <c r="J2966" s="1"/>
      <c r="K2966" s="1" t="s">
        <v>7712</v>
      </c>
    </row>
    <row r="2967" ht="14.25" customHeight="1">
      <c r="A2967" s="3" t="s">
        <v>1598</v>
      </c>
      <c r="B2967" s="1">
        <v>7.1</v>
      </c>
      <c r="C2967" s="1" t="s">
        <v>1885</v>
      </c>
      <c r="D2967" s="1" t="s">
        <v>17762</v>
      </c>
      <c r="E2967" s="1"/>
      <c r="F2967" s="1"/>
      <c r="G2967" s="1"/>
      <c r="H2967" s="1"/>
      <c r="I2967" s="1"/>
      <c r="J2967" s="1"/>
      <c r="K2967" s="1" t="s">
        <v>7720</v>
      </c>
    </row>
    <row r="2968" ht="14.25" customHeight="1">
      <c r="A2968" s="3" t="s">
        <v>1598</v>
      </c>
      <c r="B2968" s="1">
        <v>6.0</v>
      </c>
      <c r="C2968" s="1" t="s">
        <v>1885</v>
      </c>
      <c r="D2968" s="1" t="s">
        <v>17762</v>
      </c>
      <c r="E2968" s="1"/>
      <c r="F2968" s="1"/>
      <c r="G2968" s="1"/>
      <c r="H2968" s="1"/>
      <c r="I2968" s="1"/>
      <c r="J2968" s="1"/>
      <c r="K2968" s="1" t="s">
        <v>7951</v>
      </c>
    </row>
    <row r="2969" ht="14.25" customHeight="1">
      <c r="A2969" s="3" t="s">
        <v>1598</v>
      </c>
      <c r="B2969" s="1">
        <v>6.6</v>
      </c>
      <c r="C2969" s="1" t="s">
        <v>1885</v>
      </c>
      <c r="D2969" s="1" t="s">
        <v>17762</v>
      </c>
      <c r="E2969" s="1"/>
      <c r="F2969" s="1"/>
      <c r="G2969" s="1"/>
      <c r="H2969" s="1"/>
      <c r="I2969" s="1"/>
      <c r="J2969" s="1"/>
      <c r="K2969" s="1" t="s">
        <v>8026</v>
      </c>
    </row>
    <row r="2970" ht="14.25" customHeight="1">
      <c r="A2970" s="3" t="s">
        <v>1598</v>
      </c>
      <c r="B2970" s="1">
        <v>7.2</v>
      </c>
      <c r="C2970" s="1" t="s">
        <v>1885</v>
      </c>
      <c r="D2970" s="1" t="s">
        <v>17762</v>
      </c>
      <c r="E2970" s="1"/>
      <c r="F2970" s="1"/>
      <c r="G2970" s="1"/>
      <c r="H2970" s="1"/>
      <c r="I2970" s="1"/>
      <c r="J2970" s="1"/>
      <c r="K2970" s="1" t="s">
        <v>8072</v>
      </c>
    </row>
    <row r="2971" ht="14.25" customHeight="1">
      <c r="A2971" s="3" t="s">
        <v>1598</v>
      </c>
      <c r="B2971" s="1">
        <v>7.2</v>
      </c>
      <c r="C2971" s="1" t="s">
        <v>1885</v>
      </c>
      <c r="D2971" s="1" t="s">
        <v>17762</v>
      </c>
      <c r="E2971" s="1"/>
      <c r="F2971" s="1"/>
      <c r="G2971" s="1"/>
      <c r="H2971" s="1"/>
      <c r="I2971" s="1"/>
      <c r="J2971" s="1"/>
      <c r="K2971" s="1" t="s">
        <v>8175</v>
      </c>
    </row>
    <row r="2972" ht="14.25" customHeight="1">
      <c r="A2972" s="3" t="s">
        <v>1598</v>
      </c>
      <c r="B2972" s="1">
        <v>6.9</v>
      </c>
      <c r="C2972" s="1" t="s">
        <v>1885</v>
      </c>
      <c r="D2972" s="1" t="s">
        <v>17762</v>
      </c>
      <c r="E2972" s="1"/>
      <c r="F2972" s="1"/>
      <c r="G2972" s="1"/>
      <c r="H2972" s="1"/>
      <c r="I2972" s="1"/>
      <c r="J2972" s="1"/>
      <c r="K2972" s="1" t="s">
        <v>8252</v>
      </c>
    </row>
    <row r="2973" ht="14.25" customHeight="1">
      <c r="A2973" s="3" t="s">
        <v>1598</v>
      </c>
      <c r="B2973" s="1">
        <v>6.8</v>
      </c>
      <c r="C2973" s="1" t="s">
        <v>1885</v>
      </c>
      <c r="D2973" s="1" t="s">
        <v>17762</v>
      </c>
      <c r="E2973" s="1"/>
      <c r="F2973" s="1"/>
      <c r="G2973" s="1"/>
      <c r="H2973" s="1"/>
      <c r="I2973" s="1"/>
      <c r="J2973" s="1"/>
      <c r="K2973" s="1" t="s">
        <v>8263</v>
      </c>
    </row>
    <row r="2974" ht="14.25" customHeight="1">
      <c r="A2974" s="3" t="s">
        <v>1598</v>
      </c>
      <c r="B2974" s="1">
        <v>7.7</v>
      </c>
      <c r="C2974" s="1" t="s">
        <v>1885</v>
      </c>
      <c r="D2974" s="1" t="s">
        <v>17762</v>
      </c>
      <c r="E2974" s="1"/>
      <c r="F2974" s="1"/>
      <c r="G2974" s="1"/>
      <c r="H2974" s="1"/>
      <c r="I2974" s="1"/>
      <c r="J2974" s="1"/>
      <c r="K2974" s="1" t="s">
        <v>8270</v>
      </c>
    </row>
    <row r="2975" ht="14.25" customHeight="1">
      <c r="A2975" s="3" t="s">
        <v>1598</v>
      </c>
      <c r="B2975" s="1">
        <v>7.4</v>
      </c>
      <c r="C2975" s="1" t="s">
        <v>1885</v>
      </c>
      <c r="D2975" s="1" t="s">
        <v>17762</v>
      </c>
      <c r="E2975" s="1"/>
      <c r="F2975" s="1"/>
      <c r="G2975" s="1"/>
      <c r="H2975" s="1"/>
      <c r="I2975" s="1"/>
      <c r="J2975" s="1"/>
      <c r="K2975" s="1" t="s">
        <v>8408</v>
      </c>
    </row>
    <row r="2976" ht="14.25" customHeight="1">
      <c r="A2976" s="3" t="s">
        <v>1598</v>
      </c>
      <c r="B2976" s="1">
        <v>6.5</v>
      </c>
      <c r="C2976" s="1" t="s">
        <v>1885</v>
      </c>
      <c r="D2976" s="1" t="s">
        <v>17762</v>
      </c>
      <c r="E2976" s="1"/>
      <c r="F2976" s="1"/>
      <c r="G2976" s="1"/>
      <c r="H2976" s="1"/>
      <c r="I2976" s="1"/>
      <c r="J2976" s="1"/>
      <c r="K2976" s="1" t="s">
        <v>8544</v>
      </c>
    </row>
    <row r="2977" ht="14.25" customHeight="1">
      <c r="A2977" s="3" t="s">
        <v>1598</v>
      </c>
      <c r="B2977" s="1">
        <v>6.4</v>
      </c>
      <c r="C2977" s="1" t="s">
        <v>1885</v>
      </c>
      <c r="D2977" s="1" t="s">
        <v>17762</v>
      </c>
      <c r="E2977" s="1"/>
      <c r="F2977" s="1"/>
      <c r="G2977" s="1"/>
      <c r="H2977" s="1"/>
      <c r="I2977" s="1"/>
      <c r="J2977" s="1"/>
      <c r="K2977" s="1" t="s">
        <v>8628</v>
      </c>
    </row>
    <row r="2978" ht="14.25" customHeight="1">
      <c r="A2978" s="3" t="s">
        <v>1598</v>
      </c>
      <c r="B2978" s="1">
        <v>5.6</v>
      </c>
      <c r="C2978" s="1" t="s">
        <v>1885</v>
      </c>
      <c r="D2978" s="1" t="s">
        <v>17762</v>
      </c>
      <c r="E2978" s="1"/>
      <c r="F2978" s="1"/>
      <c r="G2978" s="1"/>
      <c r="H2978" s="1"/>
      <c r="I2978" s="1"/>
      <c r="J2978" s="1"/>
      <c r="K2978" s="1" t="s">
        <v>8643</v>
      </c>
    </row>
    <row r="2979" ht="14.25" customHeight="1">
      <c r="A2979" s="3" t="s">
        <v>1598</v>
      </c>
      <c r="B2979" s="1">
        <v>6.8</v>
      </c>
      <c r="C2979" s="1" t="s">
        <v>1885</v>
      </c>
      <c r="D2979" s="1" t="s">
        <v>17762</v>
      </c>
      <c r="E2979" s="1"/>
      <c r="F2979" s="1"/>
      <c r="G2979" s="1"/>
      <c r="H2979" s="1"/>
      <c r="I2979" s="1"/>
      <c r="J2979" s="1"/>
      <c r="K2979" s="1" t="s">
        <v>8779</v>
      </c>
    </row>
    <row r="2980" ht="14.25" customHeight="1">
      <c r="A2980" s="3" t="s">
        <v>1598</v>
      </c>
      <c r="B2980" s="1">
        <v>5.5</v>
      </c>
      <c r="C2980" s="1" t="s">
        <v>1885</v>
      </c>
      <c r="D2980" s="1" t="s">
        <v>17762</v>
      </c>
      <c r="E2980" s="1"/>
      <c r="F2980" s="1"/>
      <c r="G2980" s="1"/>
      <c r="H2980" s="1"/>
      <c r="I2980" s="1"/>
      <c r="J2980" s="1"/>
      <c r="K2980" s="1" t="s">
        <v>8882</v>
      </c>
    </row>
    <row r="2981" ht="14.25" customHeight="1">
      <c r="A2981" s="3" t="s">
        <v>1598</v>
      </c>
      <c r="B2981" s="1">
        <v>6.9</v>
      </c>
      <c r="C2981" s="1" t="s">
        <v>1885</v>
      </c>
      <c r="D2981" s="1" t="s">
        <v>17762</v>
      </c>
      <c r="E2981" s="1"/>
      <c r="F2981" s="1"/>
      <c r="G2981" s="1"/>
      <c r="H2981" s="1"/>
      <c r="I2981" s="1"/>
      <c r="J2981" s="1"/>
      <c r="K2981" s="1" t="s">
        <v>8905</v>
      </c>
    </row>
    <row r="2982" ht="14.25" customHeight="1">
      <c r="A2982" s="3" t="s">
        <v>1598</v>
      </c>
      <c r="B2982" s="1">
        <v>6.0</v>
      </c>
      <c r="C2982" s="1" t="s">
        <v>1885</v>
      </c>
      <c r="D2982" s="1" t="s">
        <v>17762</v>
      </c>
      <c r="E2982" s="1"/>
      <c r="F2982" s="1"/>
      <c r="G2982" s="1"/>
      <c r="H2982" s="1"/>
      <c r="I2982" s="1"/>
      <c r="J2982" s="1"/>
      <c r="K2982" s="1" t="s">
        <v>8915</v>
      </c>
    </row>
    <row r="2983" ht="14.25" customHeight="1">
      <c r="A2983" s="3" t="s">
        <v>1598</v>
      </c>
      <c r="B2983" s="1">
        <v>6.4</v>
      </c>
      <c r="C2983" s="1" t="s">
        <v>1885</v>
      </c>
      <c r="D2983" s="1" t="s">
        <v>17762</v>
      </c>
      <c r="E2983" s="1"/>
      <c r="F2983" s="1"/>
      <c r="G2983" s="1"/>
      <c r="H2983" s="1"/>
      <c r="I2983" s="1"/>
      <c r="J2983" s="1"/>
      <c r="K2983" s="1" t="s">
        <v>9194</v>
      </c>
    </row>
    <row r="2984" ht="14.25" customHeight="1">
      <c r="A2984" s="3" t="s">
        <v>1598</v>
      </c>
      <c r="B2984" s="1">
        <v>6.6</v>
      </c>
      <c r="C2984" s="1" t="s">
        <v>1885</v>
      </c>
      <c r="D2984" s="1" t="s">
        <v>17762</v>
      </c>
      <c r="E2984" s="1"/>
      <c r="F2984" s="1"/>
      <c r="G2984" s="1"/>
      <c r="H2984" s="1"/>
      <c r="I2984" s="1"/>
      <c r="J2984" s="1"/>
      <c r="K2984" s="1" t="s">
        <v>9281</v>
      </c>
    </row>
    <row r="2985" ht="14.25" customHeight="1">
      <c r="A2985" s="3" t="s">
        <v>1598</v>
      </c>
      <c r="B2985" s="1">
        <v>8.1</v>
      </c>
      <c r="C2985" s="1" t="s">
        <v>1885</v>
      </c>
      <c r="D2985" s="1" t="s">
        <v>17762</v>
      </c>
      <c r="E2985" s="1"/>
      <c r="F2985" s="1"/>
      <c r="G2985" s="1"/>
      <c r="H2985" s="1"/>
      <c r="I2985" s="1"/>
      <c r="J2985" s="1"/>
      <c r="K2985" s="1" t="s">
        <v>9306</v>
      </c>
    </row>
    <row r="2986" ht="14.25" customHeight="1">
      <c r="A2986" s="3" t="s">
        <v>1598</v>
      </c>
      <c r="B2986" s="1">
        <v>6.9</v>
      </c>
      <c r="C2986" s="1" t="s">
        <v>1885</v>
      </c>
      <c r="D2986" s="1" t="s">
        <v>17762</v>
      </c>
      <c r="E2986" s="1"/>
      <c r="F2986" s="1"/>
      <c r="G2986" s="1"/>
      <c r="H2986" s="1"/>
      <c r="I2986" s="1"/>
      <c r="J2986" s="1"/>
      <c r="K2986" s="1" t="s">
        <v>9327</v>
      </c>
    </row>
    <row r="2987" ht="14.25" customHeight="1">
      <c r="A2987" s="3" t="s">
        <v>1598</v>
      </c>
      <c r="B2987" s="1">
        <v>6.5</v>
      </c>
      <c r="C2987" s="1" t="s">
        <v>1885</v>
      </c>
      <c r="D2987" s="1" t="s">
        <v>17762</v>
      </c>
      <c r="E2987" s="1"/>
      <c r="F2987" s="1"/>
      <c r="G2987" s="1"/>
      <c r="H2987" s="1"/>
      <c r="I2987" s="1"/>
      <c r="J2987" s="1"/>
      <c r="K2987" s="1" t="s">
        <v>9352</v>
      </c>
    </row>
    <row r="2988" ht="14.25" customHeight="1">
      <c r="A2988" s="3" t="s">
        <v>1598</v>
      </c>
      <c r="B2988" s="1">
        <v>7.4</v>
      </c>
      <c r="C2988" s="1" t="s">
        <v>1885</v>
      </c>
      <c r="D2988" s="1" t="s">
        <v>17762</v>
      </c>
      <c r="E2988" s="1"/>
      <c r="F2988" s="1"/>
      <c r="G2988" s="1"/>
      <c r="H2988" s="1"/>
      <c r="I2988" s="1"/>
      <c r="J2988" s="1"/>
      <c r="K2988" s="1" t="s">
        <v>9412</v>
      </c>
    </row>
    <row r="2989" ht="14.25" customHeight="1">
      <c r="A2989" s="3" t="s">
        <v>1598</v>
      </c>
      <c r="B2989" s="1">
        <v>6.9</v>
      </c>
      <c r="C2989" s="1" t="s">
        <v>1885</v>
      </c>
      <c r="D2989" s="1" t="s">
        <v>17762</v>
      </c>
      <c r="E2989" s="1"/>
      <c r="F2989" s="1"/>
      <c r="G2989" s="1"/>
      <c r="H2989" s="1"/>
      <c r="I2989" s="1"/>
      <c r="J2989" s="1"/>
      <c r="K2989" s="1" t="s">
        <v>8072</v>
      </c>
    </row>
    <row r="2990" ht="14.25" customHeight="1">
      <c r="A2990" s="3" t="s">
        <v>1598</v>
      </c>
      <c r="B2990" s="1">
        <v>6.7</v>
      </c>
      <c r="C2990" s="1" t="s">
        <v>1885</v>
      </c>
      <c r="D2990" s="1" t="s">
        <v>17762</v>
      </c>
      <c r="E2990" s="1"/>
      <c r="F2990" s="1"/>
      <c r="G2990" s="1"/>
      <c r="H2990" s="1"/>
      <c r="I2990" s="1"/>
      <c r="J2990" s="1"/>
      <c r="K2990" s="1" t="s">
        <v>9511</v>
      </c>
    </row>
    <row r="2991" ht="14.25" customHeight="1">
      <c r="A2991" s="3" t="s">
        <v>1598</v>
      </c>
      <c r="B2991" s="1">
        <v>7.6</v>
      </c>
      <c r="C2991" s="1" t="s">
        <v>1885</v>
      </c>
      <c r="D2991" s="1" t="s">
        <v>17762</v>
      </c>
      <c r="E2991" s="1"/>
      <c r="F2991" s="1"/>
      <c r="G2991" s="1"/>
      <c r="H2991" s="1"/>
      <c r="I2991" s="1"/>
      <c r="J2991" s="1"/>
      <c r="K2991" s="1" t="s">
        <v>9692</v>
      </c>
    </row>
    <row r="2992" ht="14.25" customHeight="1">
      <c r="A2992" s="3" t="s">
        <v>1598</v>
      </c>
      <c r="B2992" s="1">
        <v>5.4</v>
      </c>
      <c r="C2992" s="1" t="s">
        <v>1885</v>
      </c>
      <c r="D2992" s="1" t="s">
        <v>17762</v>
      </c>
      <c r="E2992" s="1"/>
      <c r="F2992" s="1"/>
      <c r="G2992" s="1"/>
      <c r="H2992" s="1"/>
      <c r="I2992" s="1"/>
      <c r="J2992" s="1"/>
      <c r="K2992" s="1" t="s">
        <v>9886</v>
      </c>
    </row>
    <row r="2993" ht="14.25" customHeight="1">
      <c r="A2993" s="3" t="s">
        <v>1598</v>
      </c>
      <c r="B2993" s="1">
        <v>7.3</v>
      </c>
      <c r="C2993" s="1" t="s">
        <v>1885</v>
      </c>
      <c r="D2993" s="1" t="s">
        <v>17762</v>
      </c>
      <c r="E2993" s="1"/>
      <c r="F2993" s="1"/>
      <c r="G2993" s="1"/>
      <c r="H2993" s="1"/>
      <c r="I2993" s="1"/>
      <c r="J2993" s="1"/>
      <c r="K2993" s="1" t="s">
        <v>10077</v>
      </c>
    </row>
    <row r="2994" ht="14.25" customHeight="1">
      <c r="A2994" s="3" t="s">
        <v>1598</v>
      </c>
      <c r="B2994" s="1">
        <v>6.0</v>
      </c>
      <c r="C2994" s="1" t="s">
        <v>1885</v>
      </c>
      <c r="D2994" s="1" t="s">
        <v>17762</v>
      </c>
      <c r="E2994" s="1"/>
      <c r="F2994" s="1"/>
      <c r="G2994" s="1"/>
      <c r="H2994" s="1"/>
      <c r="I2994" s="1"/>
      <c r="J2994" s="1"/>
      <c r="K2994" s="1" t="s">
        <v>10122</v>
      </c>
    </row>
    <row r="2995" ht="14.25" customHeight="1">
      <c r="A2995" s="3" t="s">
        <v>1598</v>
      </c>
      <c r="B2995" s="1">
        <v>7.2</v>
      </c>
      <c r="C2995" s="1" t="s">
        <v>1885</v>
      </c>
      <c r="D2995" s="1" t="s">
        <v>17762</v>
      </c>
      <c r="E2995" s="1"/>
      <c r="F2995" s="1"/>
      <c r="G2995" s="1"/>
      <c r="H2995" s="1"/>
      <c r="I2995" s="1"/>
      <c r="J2995" s="1"/>
      <c r="K2995" s="1" t="s">
        <v>10200</v>
      </c>
    </row>
    <row r="2996" ht="14.25" customHeight="1">
      <c r="A2996" s="3" t="s">
        <v>1598</v>
      </c>
      <c r="B2996" s="1">
        <v>6.0</v>
      </c>
      <c r="C2996" s="1" t="s">
        <v>1885</v>
      </c>
      <c r="D2996" s="1" t="s">
        <v>17762</v>
      </c>
      <c r="E2996" s="1"/>
      <c r="F2996" s="1"/>
      <c r="G2996" s="1"/>
      <c r="H2996" s="1"/>
      <c r="I2996" s="1"/>
      <c r="J2996" s="1"/>
      <c r="K2996" s="1" t="s">
        <v>10205</v>
      </c>
    </row>
    <row r="2997" ht="14.25" customHeight="1">
      <c r="A2997" s="3" t="s">
        <v>1598</v>
      </c>
      <c r="B2997" s="1">
        <v>3.1</v>
      </c>
      <c r="C2997" s="1" t="s">
        <v>1885</v>
      </c>
      <c r="D2997" s="1" t="s">
        <v>17762</v>
      </c>
      <c r="E2997" s="1"/>
      <c r="F2997" s="1"/>
      <c r="G2997" s="1"/>
      <c r="H2997" s="1"/>
      <c r="I2997" s="1"/>
      <c r="J2997" s="1"/>
      <c r="K2997" s="1" t="s">
        <v>10227</v>
      </c>
    </row>
    <row r="2998" ht="14.25" customHeight="1">
      <c r="A2998" s="3" t="s">
        <v>1598</v>
      </c>
      <c r="B2998" s="1">
        <v>6.2</v>
      </c>
      <c r="C2998" s="1" t="s">
        <v>1885</v>
      </c>
      <c r="D2998" s="1" t="s">
        <v>17762</v>
      </c>
      <c r="E2998" s="1"/>
      <c r="F2998" s="1"/>
      <c r="G2998" s="1"/>
      <c r="H2998" s="1"/>
      <c r="I2998" s="1"/>
      <c r="J2998" s="1"/>
      <c r="K2998" s="1" t="s">
        <v>10302</v>
      </c>
    </row>
    <row r="2999" ht="14.25" customHeight="1">
      <c r="A2999" s="3" t="s">
        <v>1598</v>
      </c>
      <c r="B2999" s="1">
        <v>6.3</v>
      </c>
      <c r="C2999" s="1" t="s">
        <v>1885</v>
      </c>
      <c r="D2999" s="1" t="s">
        <v>17762</v>
      </c>
      <c r="E2999" s="1"/>
      <c r="F2999" s="1"/>
      <c r="G2999" s="1"/>
      <c r="H2999" s="1"/>
      <c r="I2999" s="1"/>
      <c r="J2999" s="1"/>
      <c r="K2999" s="1" t="s">
        <v>10567</v>
      </c>
    </row>
    <row r="3000" ht="14.25" customHeight="1">
      <c r="A3000" s="3" t="s">
        <v>1598</v>
      </c>
      <c r="B3000" s="1">
        <v>7.9</v>
      </c>
      <c r="C3000" s="1" t="s">
        <v>1885</v>
      </c>
      <c r="D3000" s="1" t="s">
        <v>17762</v>
      </c>
      <c r="E3000" s="1"/>
      <c r="F3000" s="1"/>
      <c r="G3000" s="1"/>
      <c r="H3000" s="1"/>
      <c r="I3000" s="1"/>
      <c r="J3000" s="1"/>
      <c r="K3000" s="1" t="s">
        <v>10605</v>
      </c>
    </row>
    <row r="3001" ht="14.25" customHeight="1">
      <c r="A3001" s="3" t="s">
        <v>1598</v>
      </c>
      <c r="B3001" s="1">
        <v>6.7</v>
      </c>
      <c r="C3001" s="1" t="s">
        <v>1885</v>
      </c>
      <c r="D3001" s="1" t="s">
        <v>17762</v>
      </c>
      <c r="E3001" s="1"/>
      <c r="F3001" s="1"/>
      <c r="G3001" s="1"/>
      <c r="H3001" s="1"/>
      <c r="I3001" s="1"/>
      <c r="J3001" s="1"/>
      <c r="K3001" s="1" t="s">
        <v>10663</v>
      </c>
    </row>
    <row r="3002" ht="14.25" customHeight="1">
      <c r="A3002" s="3" t="s">
        <v>1598</v>
      </c>
      <c r="B3002" s="1">
        <v>8.0</v>
      </c>
      <c r="C3002" s="1" t="s">
        <v>1885</v>
      </c>
      <c r="D3002" s="1" t="s">
        <v>17762</v>
      </c>
      <c r="E3002" s="1"/>
      <c r="F3002" s="1"/>
      <c r="G3002" s="1"/>
      <c r="H3002" s="1"/>
      <c r="I3002" s="1"/>
      <c r="J3002" s="1"/>
      <c r="K3002" s="1" t="s">
        <v>10675</v>
      </c>
    </row>
    <row r="3003" ht="14.25" customHeight="1">
      <c r="A3003" s="3" t="s">
        <v>1598</v>
      </c>
      <c r="B3003" s="1">
        <v>7.0</v>
      </c>
      <c r="C3003" s="1" t="s">
        <v>1885</v>
      </c>
      <c r="D3003" s="1" t="s">
        <v>17762</v>
      </c>
      <c r="E3003" s="1"/>
      <c r="F3003" s="1"/>
      <c r="G3003" s="1"/>
      <c r="H3003" s="1"/>
      <c r="I3003" s="1"/>
      <c r="J3003" s="1"/>
      <c r="K3003" s="1" t="s">
        <v>10829</v>
      </c>
    </row>
    <row r="3004" ht="14.25" customHeight="1">
      <c r="A3004" s="3" t="s">
        <v>1598</v>
      </c>
      <c r="B3004" s="1">
        <v>7.2</v>
      </c>
      <c r="C3004" s="1" t="s">
        <v>1885</v>
      </c>
      <c r="D3004" s="1" t="s">
        <v>17762</v>
      </c>
      <c r="E3004" s="1"/>
      <c r="F3004" s="1"/>
      <c r="G3004" s="1"/>
      <c r="H3004" s="1"/>
      <c r="I3004" s="1"/>
      <c r="J3004" s="1"/>
      <c r="K3004" s="1" t="s">
        <v>10919</v>
      </c>
    </row>
    <row r="3005" ht="14.25" customHeight="1">
      <c r="A3005" s="3" t="s">
        <v>1598</v>
      </c>
      <c r="B3005" s="1">
        <v>6.2</v>
      </c>
      <c r="C3005" s="1" t="s">
        <v>1885</v>
      </c>
      <c r="D3005" s="1" t="s">
        <v>17762</v>
      </c>
      <c r="E3005" s="1"/>
      <c r="F3005" s="1"/>
      <c r="G3005" s="1"/>
      <c r="H3005" s="1"/>
      <c r="I3005" s="1"/>
      <c r="J3005" s="1"/>
      <c r="K3005" s="1" t="s">
        <v>11045</v>
      </c>
    </row>
    <row r="3006" ht="14.25" customHeight="1">
      <c r="A3006" s="3" t="s">
        <v>1598</v>
      </c>
      <c r="B3006" s="1">
        <v>3.5</v>
      </c>
      <c r="C3006" s="1" t="s">
        <v>1885</v>
      </c>
      <c r="D3006" s="1" t="s">
        <v>17762</v>
      </c>
      <c r="E3006" s="1"/>
      <c r="F3006" s="1"/>
      <c r="G3006" s="1"/>
      <c r="H3006" s="1"/>
      <c r="I3006" s="1"/>
      <c r="J3006" s="1"/>
      <c r="K3006" s="1" t="s">
        <v>11088</v>
      </c>
    </row>
    <row r="3007" ht="14.25" customHeight="1">
      <c r="A3007" s="3" t="s">
        <v>1598</v>
      </c>
      <c r="B3007" s="1">
        <v>7.5</v>
      </c>
      <c r="C3007" s="1" t="s">
        <v>1885</v>
      </c>
      <c r="D3007" s="1" t="s">
        <v>17762</v>
      </c>
      <c r="E3007" s="1"/>
      <c r="F3007" s="1"/>
      <c r="G3007" s="1"/>
      <c r="H3007" s="1"/>
      <c r="I3007" s="1"/>
      <c r="J3007" s="1"/>
      <c r="K3007" s="1" t="s">
        <v>11109</v>
      </c>
    </row>
    <row r="3008" ht="14.25" customHeight="1">
      <c r="A3008" s="3" t="s">
        <v>1598</v>
      </c>
      <c r="B3008" s="1">
        <v>6.7</v>
      </c>
      <c r="C3008" s="1" t="s">
        <v>1885</v>
      </c>
      <c r="D3008" s="1" t="s">
        <v>17762</v>
      </c>
      <c r="E3008" s="1"/>
      <c r="F3008" s="1"/>
      <c r="G3008" s="1"/>
      <c r="H3008" s="1"/>
      <c r="I3008" s="1"/>
      <c r="J3008" s="1"/>
      <c r="K3008" s="1" t="s">
        <v>11181</v>
      </c>
    </row>
    <row r="3009" ht="14.25" customHeight="1">
      <c r="A3009" s="3" t="s">
        <v>1598</v>
      </c>
      <c r="B3009" s="1">
        <v>9.2</v>
      </c>
      <c r="C3009" s="1" t="s">
        <v>1885</v>
      </c>
      <c r="D3009" s="1" t="s">
        <v>17762</v>
      </c>
      <c r="E3009" s="1"/>
      <c r="F3009" s="1"/>
      <c r="G3009" s="1"/>
      <c r="H3009" s="1"/>
      <c r="I3009" s="1"/>
      <c r="J3009" s="1"/>
      <c r="K3009" s="1" t="s">
        <v>11331</v>
      </c>
    </row>
    <row r="3010" ht="14.25" customHeight="1">
      <c r="A3010" s="3" t="s">
        <v>1598</v>
      </c>
      <c r="B3010" s="1">
        <v>6.1</v>
      </c>
      <c r="C3010" s="1" t="s">
        <v>1885</v>
      </c>
      <c r="D3010" s="1" t="s">
        <v>17762</v>
      </c>
      <c r="E3010" s="1"/>
      <c r="F3010" s="1"/>
      <c r="G3010" s="1"/>
      <c r="H3010" s="1"/>
      <c r="I3010" s="1"/>
      <c r="J3010" s="1"/>
      <c r="K3010" s="1" t="s">
        <v>11573</v>
      </c>
    </row>
    <row r="3011" ht="14.25" customHeight="1">
      <c r="A3011" s="3" t="s">
        <v>1598</v>
      </c>
      <c r="B3011" s="1">
        <v>7.7</v>
      </c>
      <c r="C3011" s="1" t="s">
        <v>1885</v>
      </c>
      <c r="D3011" s="1" t="s">
        <v>17762</v>
      </c>
      <c r="E3011" s="1"/>
      <c r="F3011" s="1"/>
      <c r="G3011" s="1"/>
      <c r="H3011" s="1"/>
      <c r="I3011" s="1"/>
      <c r="J3011" s="1"/>
      <c r="K3011" s="1" t="s">
        <v>11624</v>
      </c>
    </row>
    <row r="3012" ht="14.25" customHeight="1">
      <c r="A3012" s="3" t="s">
        <v>1598</v>
      </c>
      <c r="B3012" s="1">
        <v>7.6</v>
      </c>
      <c r="C3012" s="1" t="s">
        <v>1885</v>
      </c>
      <c r="D3012" s="1" t="s">
        <v>17762</v>
      </c>
      <c r="E3012" s="1"/>
      <c r="F3012" s="1"/>
      <c r="G3012" s="1"/>
      <c r="H3012" s="1"/>
      <c r="I3012" s="1"/>
      <c r="J3012" s="1"/>
      <c r="K3012" s="1" t="s">
        <v>11845</v>
      </c>
    </row>
    <row r="3013" ht="14.25" customHeight="1">
      <c r="A3013" s="3" t="s">
        <v>1598</v>
      </c>
      <c r="B3013" s="1">
        <v>6.1</v>
      </c>
      <c r="C3013" s="1" t="s">
        <v>1885</v>
      </c>
      <c r="D3013" s="1" t="s">
        <v>17762</v>
      </c>
      <c r="E3013" s="1"/>
      <c r="F3013" s="1"/>
      <c r="G3013" s="1"/>
      <c r="H3013" s="1"/>
      <c r="I3013" s="1"/>
      <c r="J3013" s="1"/>
      <c r="K3013" s="1" t="s">
        <v>11854</v>
      </c>
    </row>
    <row r="3014" ht="14.25" customHeight="1">
      <c r="A3014" s="3" t="s">
        <v>1598</v>
      </c>
      <c r="B3014" s="1">
        <v>4.9</v>
      </c>
      <c r="C3014" s="1" t="s">
        <v>1885</v>
      </c>
      <c r="D3014" s="1" t="s">
        <v>17762</v>
      </c>
      <c r="E3014" s="1"/>
      <c r="F3014" s="1"/>
      <c r="G3014" s="1"/>
      <c r="H3014" s="1"/>
      <c r="I3014" s="1"/>
      <c r="J3014" s="1"/>
      <c r="K3014" s="1" t="s">
        <v>11860</v>
      </c>
    </row>
    <row r="3015" ht="14.25" customHeight="1">
      <c r="A3015" s="3" t="s">
        <v>1598</v>
      </c>
      <c r="B3015" s="1">
        <v>6.8</v>
      </c>
      <c r="C3015" s="1" t="s">
        <v>1885</v>
      </c>
      <c r="D3015" s="1" t="s">
        <v>17762</v>
      </c>
      <c r="E3015" s="1"/>
      <c r="F3015" s="1"/>
      <c r="G3015" s="1"/>
      <c r="H3015" s="1"/>
      <c r="I3015" s="1"/>
      <c r="J3015" s="1"/>
      <c r="K3015" s="1" t="s">
        <v>12003</v>
      </c>
    </row>
    <row r="3016" ht="14.25" customHeight="1">
      <c r="A3016" s="3" t="s">
        <v>1598</v>
      </c>
      <c r="B3016" s="1">
        <v>7.0</v>
      </c>
      <c r="C3016" s="1" t="s">
        <v>1885</v>
      </c>
      <c r="D3016" s="1" t="s">
        <v>17762</v>
      </c>
      <c r="E3016" s="1"/>
      <c r="F3016" s="1"/>
      <c r="G3016" s="1"/>
      <c r="H3016" s="1"/>
      <c r="I3016" s="1"/>
      <c r="J3016" s="1"/>
      <c r="K3016" s="1" t="s">
        <v>12039</v>
      </c>
    </row>
    <row r="3017" ht="14.25" customHeight="1">
      <c r="A3017" s="3" t="s">
        <v>1598</v>
      </c>
      <c r="B3017" s="1">
        <v>5.7</v>
      </c>
      <c r="C3017" s="1" t="s">
        <v>1885</v>
      </c>
      <c r="D3017" s="1" t="s">
        <v>17762</v>
      </c>
      <c r="E3017" s="1"/>
      <c r="F3017" s="1"/>
      <c r="G3017" s="1"/>
      <c r="H3017" s="1"/>
      <c r="I3017" s="1"/>
      <c r="J3017" s="1"/>
      <c r="K3017" s="1" t="s">
        <v>12066</v>
      </c>
    </row>
    <row r="3018" ht="14.25" customHeight="1">
      <c r="A3018" s="3" t="s">
        <v>1598</v>
      </c>
      <c r="B3018" s="1">
        <v>7.3</v>
      </c>
      <c r="C3018" s="1" t="s">
        <v>1885</v>
      </c>
      <c r="D3018" s="1" t="s">
        <v>17762</v>
      </c>
      <c r="E3018" s="1"/>
      <c r="F3018" s="1"/>
      <c r="G3018" s="1"/>
      <c r="H3018" s="1"/>
      <c r="I3018" s="1"/>
      <c r="J3018" s="1"/>
      <c r="K3018" s="1" t="s">
        <v>12074</v>
      </c>
    </row>
    <row r="3019" ht="14.25" customHeight="1">
      <c r="A3019" s="3" t="s">
        <v>1598</v>
      </c>
      <c r="B3019" s="1">
        <v>7.5</v>
      </c>
      <c r="C3019" s="1" t="s">
        <v>1885</v>
      </c>
      <c r="D3019" s="1" t="s">
        <v>17762</v>
      </c>
      <c r="E3019" s="1"/>
      <c r="F3019" s="1"/>
      <c r="G3019" s="1"/>
      <c r="H3019" s="1"/>
      <c r="I3019" s="1"/>
      <c r="J3019" s="1"/>
      <c r="K3019" s="1" t="s">
        <v>12179</v>
      </c>
    </row>
    <row r="3020" ht="14.25" customHeight="1">
      <c r="A3020" s="3" t="s">
        <v>1598</v>
      </c>
      <c r="B3020" s="1">
        <v>7.4</v>
      </c>
      <c r="C3020" s="1" t="s">
        <v>1885</v>
      </c>
      <c r="D3020" s="1" t="s">
        <v>17762</v>
      </c>
      <c r="E3020" s="1"/>
      <c r="F3020" s="1"/>
      <c r="G3020" s="1"/>
      <c r="H3020" s="1"/>
      <c r="I3020" s="1"/>
      <c r="J3020" s="1"/>
      <c r="K3020" s="1" t="s">
        <v>12254</v>
      </c>
    </row>
    <row r="3021" ht="14.25" customHeight="1">
      <c r="A3021" s="3" t="s">
        <v>1598</v>
      </c>
      <c r="B3021" s="1">
        <v>7.2</v>
      </c>
      <c r="C3021" s="1" t="s">
        <v>1885</v>
      </c>
      <c r="D3021" s="1" t="s">
        <v>17762</v>
      </c>
      <c r="E3021" s="1"/>
      <c r="F3021" s="1"/>
      <c r="G3021" s="1"/>
      <c r="H3021" s="1"/>
      <c r="I3021" s="1"/>
      <c r="J3021" s="1"/>
      <c r="K3021" s="1" t="s">
        <v>12326</v>
      </c>
    </row>
    <row r="3022" ht="14.25" customHeight="1">
      <c r="A3022" s="3" t="s">
        <v>1598</v>
      </c>
      <c r="B3022" s="1">
        <v>6.5</v>
      </c>
      <c r="C3022" s="1" t="s">
        <v>1885</v>
      </c>
      <c r="D3022" s="1" t="s">
        <v>17762</v>
      </c>
      <c r="E3022" s="1"/>
      <c r="F3022" s="1"/>
      <c r="G3022" s="1"/>
      <c r="H3022" s="1"/>
      <c r="I3022" s="1"/>
      <c r="J3022" s="1"/>
      <c r="K3022" s="1" t="s">
        <v>12569</v>
      </c>
    </row>
    <row r="3023" ht="14.25" customHeight="1">
      <c r="A3023" s="3" t="s">
        <v>1598</v>
      </c>
      <c r="B3023" s="1">
        <v>6.8</v>
      </c>
      <c r="C3023" s="1" t="s">
        <v>1885</v>
      </c>
      <c r="D3023" s="1" t="s">
        <v>17762</v>
      </c>
      <c r="E3023" s="1"/>
      <c r="F3023" s="1"/>
      <c r="G3023" s="1"/>
      <c r="H3023" s="1"/>
      <c r="I3023" s="1"/>
      <c r="J3023" s="1"/>
      <c r="K3023" s="1" t="s">
        <v>12684</v>
      </c>
    </row>
    <row r="3024" ht="14.25" customHeight="1">
      <c r="A3024" s="3" t="s">
        <v>1598</v>
      </c>
      <c r="B3024" s="1">
        <v>6.8</v>
      </c>
      <c r="C3024" s="1" t="s">
        <v>1885</v>
      </c>
      <c r="D3024" s="1" t="s">
        <v>17762</v>
      </c>
      <c r="E3024" s="1"/>
      <c r="F3024" s="1"/>
      <c r="G3024" s="1"/>
      <c r="H3024" s="1"/>
      <c r="I3024" s="1"/>
      <c r="J3024" s="1"/>
      <c r="K3024" s="1" t="s">
        <v>13028</v>
      </c>
    </row>
    <row r="3025" ht="14.25" customHeight="1">
      <c r="A3025" s="3" t="s">
        <v>1598</v>
      </c>
      <c r="B3025" s="1">
        <v>5.2</v>
      </c>
      <c r="C3025" s="1" t="s">
        <v>1885</v>
      </c>
      <c r="D3025" s="1" t="s">
        <v>17762</v>
      </c>
      <c r="E3025" s="1"/>
      <c r="F3025" s="1"/>
      <c r="G3025" s="1"/>
      <c r="H3025" s="1"/>
      <c r="I3025" s="1"/>
      <c r="J3025" s="1"/>
      <c r="K3025" s="1" t="s">
        <v>13094</v>
      </c>
    </row>
    <row r="3026" ht="14.25" customHeight="1">
      <c r="A3026" s="3" t="s">
        <v>1598</v>
      </c>
      <c r="B3026" s="1">
        <v>7.2</v>
      </c>
      <c r="C3026" s="1" t="s">
        <v>1885</v>
      </c>
      <c r="D3026" s="1" t="s">
        <v>17762</v>
      </c>
      <c r="E3026" s="1"/>
      <c r="F3026" s="1"/>
      <c r="G3026" s="1"/>
      <c r="H3026" s="1"/>
      <c r="I3026" s="1"/>
      <c r="J3026" s="1"/>
      <c r="K3026" s="1" t="s">
        <v>13149</v>
      </c>
    </row>
    <row r="3027" ht="14.25" customHeight="1">
      <c r="A3027" s="3" t="s">
        <v>1598</v>
      </c>
      <c r="B3027" s="1">
        <v>4.0</v>
      </c>
      <c r="C3027" s="1" t="s">
        <v>1885</v>
      </c>
      <c r="D3027" s="1" t="s">
        <v>17762</v>
      </c>
      <c r="E3027" s="1"/>
      <c r="F3027" s="1"/>
      <c r="G3027" s="1"/>
      <c r="H3027" s="1"/>
      <c r="I3027" s="1"/>
      <c r="J3027" s="1"/>
      <c r="K3027" s="1" t="s">
        <v>13262</v>
      </c>
    </row>
    <row r="3028" ht="14.25" customHeight="1">
      <c r="A3028" s="3" t="s">
        <v>1598</v>
      </c>
      <c r="B3028" s="1">
        <v>6.8</v>
      </c>
      <c r="C3028" s="1" t="s">
        <v>1885</v>
      </c>
      <c r="D3028" s="1" t="s">
        <v>17762</v>
      </c>
      <c r="E3028" s="1"/>
      <c r="F3028" s="1"/>
      <c r="G3028" s="1"/>
      <c r="H3028" s="1"/>
      <c r="I3028" s="1"/>
      <c r="J3028" s="1"/>
      <c r="K3028" s="1" t="s">
        <v>13265</v>
      </c>
    </row>
    <row r="3029" ht="14.25" customHeight="1">
      <c r="A3029" s="3" t="s">
        <v>1598</v>
      </c>
      <c r="B3029" s="1">
        <v>6.9</v>
      </c>
      <c r="C3029" s="1" t="s">
        <v>1885</v>
      </c>
      <c r="D3029" s="1" t="s">
        <v>17762</v>
      </c>
      <c r="E3029" s="1"/>
      <c r="F3029" s="1"/>
      <c r="G3029" s="1"/>
      <c r="H3029" s="1"/>
      <c r="I3029" s="1"/>
      <c r="J3029" s="1"/>
      <c r="K3029" s="1" t="s">
        <v>13379</v>
      </c>
    </row>
    <row r="3030" ht="14.25" customHeight="1">
      <c r="A3030" s="3" t="s">
        <v>1598</v>
      </c>
      <c r="B3030" s="1">
        <v>7.3</v>
      </c>
      <c r="C3030" s="1" t="s">
        <v>1885</v>
      </c>
      <c r="D3030" s="1" t="s">
        <v>17762</v>
      </c>
      <c r="E3030" s="1"/>
      <c r="F3030" s="1"/>
      <c r="G3030" s="1"/>
      <c r="H3030" s="1"/>
      <c r="I3030" s="1"/>
      <c r="J3030" s="1"/>
      <c r="K3030" s="1" t="s">
        <v>13397</v>
      </c>
    </row>
    <row r="3031" ht="14.25" customHeight="1">
      <c r="A3031" s="3" t="s">
        <v>1598</v>
      </c>
      <c r="B3031" s="1">
        <v>6.1</v>
      </c>
      <c r="C3031" s="1" t="s">
        <v>1885</v>
      </c>
      <c r="D3031" s="1" t="s">
        <v>17762</v>
      </c>
      <c r="E3031" s="1"/>
      <c r="F3031" s="1"/>
      <c r="G3031" s="1"/>
      <c r="H3031" s="1"/>
      <c r="I3031" s="1"/>
      <c r="J3031" s="1"/>
      <c r="K3031" s="1" t="s">
        <v>13579</v>
      </c>
    </row>
    <row r="3032" ht="14.25" customHeight="1">
      <c r="A3032" s="3" t="s">
        <v>1598</v>
      </c>
      <c r="B3032" s="1">
        <v>7.8</v>
      </c>
      <c r="C3032" s="1" t="s">
        <v>1885</v>
      </c>
      <c r="D3032" s="1" t="s">
        <v>17762</v>
      </c>
      <c r="E3032" s="1"/>
      <c r="F3032" s="1"/>
      <c r="G3032" s="1"/>
      <c r="H3032" s="1"/>
      <c r="I3032" s="1"/>
      <c r="J3032" s="1"/>
      <c r="K3032" s="1" t="s">
        <v>13637</v>
      </c>
    </row>
    <row r="3033" ht="14.25" customHeight="1">
      <c r="A3033" s="3" t="s">
        <v>1598</v>
      </c>
      <c r="B3033" s="1">
        <v>6.0</v>
      </c>
      <c r="C3033" s="1" t="s">
        <v>1885</v>
      </c>
      <c r="D3033" s="1" t="s">
        <v>17762</v>
      </c>
      <c r="E3033" s="1"/>
      <c r="F3033" s="1"/>
      <c r="G3033" s="1"/>
      <c r="H3033" s="1"/>
      <c r="I3033" s="1"/>
      <c r="J3033" s="1"/>
      <c r="K3033" s="1" t="s">
        <v>13645</v>
      </c>
    </row>
    <row r="3034" ht="14.25" customHeight="1">
      <c r="A3034" s="3" t="s">
        <v>1598</v>
      </c>
      <c r="B3034" s="1">
        <v>7.0</v>
      </c>
      <c r="C3034" s="1" t="s">
        <v>1885</v>
      </c>
      <c r="D3034" s="1" t="s">
        <v>17762</v>
      </c>
      <c r="E3034" s="1"/>
      <c r="F3034" s="1"/>
      <c r="G3034" s="1"/>
      <c r="H3034" s="1"/>
      <c r="I3034" s="1"/>
      <c r="J3034" s="1"/>
      <c r="K3034" s="1" t="s">
        <v>13971</v>
      </c>
    </row>
    <row r="3035" ht="14.25" customHeight="1">
      <c r="A3035" s="3" t="s">
        <v>1598</v>
      </c>
      <c r="B3035" s="1">
        <v>7.1</v>
      </c>
      <c r="C3035" s="1" t="s">
        <v>1885</v>
      </c>
      <c r="D3035" s="1" t="s">
        <v>17762</v>
      </c>
      <c r="E3035" s="1"/>
      <c r="F3035" s="1"/>
      <c r="G3035" s="1"/>
      <c r="H3035" s="1"/>
      <c r="I3035" s="1"/>
      <c r="J3035" s="1"/>
      <c r="K3035" s="1" t="s">
        <v>14000</v>
      </c>
    </row>
    <row r="3036" ht="14.25" customHeight="1">
      <c r="A3036" s="3" t="s">
        <v>1598</v>
      </c>
      <c r="B3036" s="1">
        <v>6.2</v>
      </c>
      <c r="C3036" s="1" t="s">
        <v>1885</v>
      </c>
      <c r="D3036" s="1" t="s">
        <v>17762</v>
      </c>
      <c r="E3036" s="1"/>
      <c r="F3036" s="1"/>
      <c r="G3036" s="1"/>
      <c r="H3036" s="1"/>
      <c r="I3036" s="1"/>
      <c r="J3036" s="1"/>
      <c r="K3036" s="1" t="s">
        <v>14020</v>
      </c>
    </row>
    <row r="3037" ht="14.25" customHeight="1">
      <c r="A3037" s="3" t="s">
        <v>1598</v>
      </c>
      <c r="B3037" s="1">
        <v>7.6</v>
      </c>
      <c r="C3037" s="1" t="s">
        <v>1885</v>
      </c>
      <c r="D3037" s="1" t="s">
        <v>17762</v>
      </c>
      <c r="E3037" s="1"/>
      <c r="F3037" s="1"/>
      <c r="G3037" s="1"/>
      <c r="H3037" s="1"/>
      <c r="I3037" s="1"/>
      <c r="J3037" s="1"/>
      <c r="K3037" s="1" t="s">
        <v>14600</v>
      </c>
    </row>
    <row r="3038" ht="14.25" customHeight="1">
      <c r="A3038" s="3" t="s">
        <v>1598</v>
      </c>
      <c r="B3038" s="1">
        <v>7.6</v>
      </c>
      <c r="C3038" s="1" t="s">
        <v>1885</v>
      </c>
      <c r="D3038" s="1" t="s">
        <v>17762</v>
      </c>
      <c r="E3038" s="1"/>
      <c r="F3038" s="1"/>
      <c r="G3038" s="1"/>
      <c r="H3038" s="1"/>
      <c r="I3038" s="1"/>
      <c r="J3038" s="1"/>
      <c r="K3038" s="1" t="s">
        <v>14666</v>
      </c>
    </row>
    <row r="3039" ht="14.25" customHeight="1">
      <c r="A3039" s="3" t="s">
        <v>1598</v>
      </c>
      <c r="B3039" s="1">
        <v>6.4</v>
      </c>
      <c r="C3039" s="1" t="s">
        <v>1885</v>
      </c>
      <c r="D3039" s="1" t="s">
        <v>17762</v>
      </c>
      <c r="E3039" s="1"/>
      <c r="F3039" s="1"/>
      <c r="G3039" s="1"/>
      <c r="H3039" s="1"/>
      <c r="I3039" s="1"/>
      <c r="J3039" s="1"/>
      <c r="K3039" s="1" t="s">
        <v>14759</v>
      </c>
    </row>
    <row r="3040" ht="14.25" customHeight="1">
      <c r="A3040" s="3" t="s">
        <v>1598</v>
      </c>
      <c r="B3040" s="1">
        <v>6.2</v>
      </c>
      <c r="C3040" s="1" t="s">
        <v>1885</v>
      </c>
      <c r="D3040" s="1" t="s">
        <v>17762</v>
      </c>
      <c r="E3040" s="1"/>
      <c r="F3040" s="1"/>
      <c r="G3040" s="1"/>
      <c r="H3040" s="1"/>
      <c r="I3040" s="1"/>
      <c r="J3040" s="1"/>
      <c r="K3040" s="1" t="s">
        <v>14942</v>
      </c>
    </row>
    <row r="3041" ht="14.25" customHeight="1">
      <c r="A3041" s="3" t="s">
        <v>1598</v>
      </c>
      <c r="B3041" s="1">
        <v>7.5</v>
      </c>
      <c r="C3041" s="1" t="s">
        <v>1885</v>
      </c>
      <c r="D3041" s="1" t="s">
        <v>17762</v>
      </c>
      <c r="E3041" s="1"/>
      <c r="F3041" s="1"/>
      <c r="G3041" s="1"/>
      <c r="H3041" s="1"/>
      <c r="I3041" s="1"/>
      <c r="J3041" s="1"/>
      <c r="K3041" s="1" t="s">
        <v>15453</v>
      </c>
    </row>
    <row r="3042" ht="14.25" customHeight="1">
      <c r="A3042" s="3" t="s">
        <v>1598</v>
      </c>
      <c r="B3042" s="1">
        <v>2.0</v>
      </c>
      <c r="C3042" s="1" t="s">
        <v>1885</v>
      </c>
      <c r="D3042" s="1" t="s">
        <v>17762</v>
      </c>
      <c r="E3042" s="1"/>
      <c r="F3042" s="1"/>
      <c r="G3042" s="1"/>
      <c r="H3042" s="1"/>
      <c r="I3042" s="1"/>
      <c r="J3042" s="1"/>
      <c r="K3042" s="1" t="s">
        <v>15771</v>
      </c>
    </row>
    <row r="3043" ht="14.25" customHeight="1">
      <c r="A3043" s="3" t="s">
        <v>1598</v>
      </c>
      <c r="B3043" s="1">
        <v>6.2</v>
      </c>
      <c r="C3043" s="1" t="s">
        <v>1885</v>
      </c>
      <c r="D3043" s="1" t="s">
        <v>17762</v>
      </c>
      <c r="E3043" s="1"/>
      <c r="F3043" s="1"/>
      <c r="G3043" s="1"/>
      <c r="H3043" s="1"/>
      <c r="I3043" s="1"/>
      <c r="J3043" s="1"/>
      <c r="K3043" s="1" t="s">
        <v>15948</v>
      </c>
    </row>
    <row r="3044" ht="14.25" customHeight="1">
      <c r="A3044" s="3" t="s">
        <v>1598</v>
      </c>
      <c r="B3044" s="1">
        <v>6.5</v>
      </c>
      <c r="C3044" s="1" t="s">
        <v>1885</v>
      </c>
      <c r="D3044" s="1" t="s">
        <v>17762</v>
      </c>
      <c r="E3044" s="1"/>
      <c r="F3044" s="1"/>
      <c r="G3044" s="1"/>
      <c r="H3044" s="1"/>
      <c r="I3044" s="1"/>
      <c r="J3044" s="1"/>
      <c r="K3044" s="1" t="s">
        <v>16016</v>
      </c>
    </row>
    <row r="3045" ht="14.25" customHeight="1">
      <c r="A3045" s="3" t="s">
        <v>1598</v>
      </c>
      <c r="B3045" s="1">
        <v>6.8</v>
      </c>
      <c r="C3045" s="1" t="s">
        <v>1885</v>
      </c>
      <c r="D3045" s="1" t="s">
        <v>17762</v>
      </c>
      <c r="E3045" s="1"/>
      <c r="F3045" s="1"/>
      <c r="G3045" s="1"/>
      <c r="H3045" s="1"/>
      <c r="I3045" s="1"/>
      <c r="J3045" s="1"/>
      <c r="K3045" s="1" t="s">
        <v>16049</v>
      </c>
    </row>
    <row r="3046" ht="14.25" customHeight="1">
      <c r="A3046" s="3" t="s">
        <v>1598</v>
      </c>
      <c r="B3046" s="1">
        <v>6.3</v>
      </c>
      <c r="C3046" s="1" t="s">
        <v>1885</v>
      </c>
      <c r="D3046" s="1" t="s">
        <v>17762</v>
      </c>
      <c r="E3046" s="1"/>
      <c r="F3046" s="1"/>
      <c r="G3046" s="1"/>
      <c r="H3046" s="1"/>
      <c r="I3046" s="1"/>
      <c r="J3046" s="1"/>
      <c r="K3046" s="1" t="s">
        <v>16366</v>
      </c>
    </row>
    <row r="3047" ht="14.25" customHeight="1">
      <c r="A3047" s="3" t="s">
        <v>1598</v>
      </c>
      <c r="B3047" s="1">
        <v>6.3</v>
      </c>
      <c r="C3047" s="1" t="s">
        <v>1885</v>
      </c>
      <c r="D3047" s="1" t="s">
        <v>17762</v>
      </c>
      <c r="E3047" s="1"/>
      <c r="F3047" s="1"/>
      <c r="G3047" s="1"/>
      <c r="H3047" s="1"/>
      <c r="I3047" s="1"/>
      <c r="J3047" s="1"/>
      <c r="K3047" s="1" t="s">
        <v>16626</v>
      </c>
    </row>
    <row r="3048" ht="14.25" customHeight="1">
      <c r="A3048" s="3" t="s">
        <v>1598</v>
      </c>
      <c r="B3048" s="1">
        <v>6.6</v>
      </c>
      <c r="C3048" s="1" t="s">
        <v>1885</v>
      </c>
      <c r="D3048" s="1" t="s">
        <v>17762</v>
      </c>
      <c r="E3048" s="1"/>
      <c r="F3048" s="1"/>
      <c r="G3048" s="1"/>
      <c r="H3048" s="1"/>
      <c r="I3048" s="1"/>
      <c r="J3048" s="1"/>
      <c r="K3048" s="1" t="s">
        <v>16643</v>
      </c>
    </row>
    <row r="3049" ht="14.25" customHeight="1">
      <c r="A3049" s="3" t="s">
        <v>1598</v>
      </c>
      <c r="B3049" s="1">
        <v>6.4</v>
      </c>
      <c r="C3049" s="1" t="s">
        <v>1885</v>
      </c>
      <c r="D3049" s="1" t="s">
        <v>17762</v>
      </c>
      <c r="E3049" s="1"/>
      <c r="F3049" s="1"/>
      <c r="G3049" s="1"/>
      <c r="H3049" s="1"/>
      <c r="I3049" s="1"/>
      <c r="J3049" s="1"/>
      <c r="K3049" s="1" t="s">
        <v>17281</v>
      </c>
    </row>
    <row r="3050" ht="14.25" customHeight="1">
      <c r="A3050" s="3" t="s">
        <v>1598</v>
      </c>
      <c r="B3050" s="1">
        <v>7.5</v>
      </c>
      <c r="C3050" s="1" t="s">
        <v>1885</v>
      </c>
      <c r="D3050" s="1" t="s">
        <v>17762</v>
      </c>
      <c r="E3050" s="1"/>
      <c r="F3050" s="1"/>
      <c r="G3050" s="1"/>
      <c r="H3050" s="1"/>
      <c r="I3050" s="1"/>
      <c r="J3050" s="1"/>
      <c r="K3050" s="1" t="s">
        <v>17310</v>
      </c>
    </row>
    <row r="3051" ht="14.25" customHeight="1">
      <c r="A3051" s="3" t="s">
        <v>1598</v>
      </c>
      <c r="B3051" s="1">
        <v>6.5</v>
      </c>
      <c r="C3051" s="1" t="s">
        <v>1885</v>
      </c>
      <c r="D3051" s="1" t="s">
        <v>17762</v>
      </c>
      <c r="E3051" s="1"/>
      <c r="F3051" s="1"/>
      <c r="G3051" s="1"/>
      <c r="H3051" s="1"/>
      <c r="I3051" s="1"/>
      <c r="J3051" s="1"/>
      <c r="K3051" s="1" t="s">
        <v>17404</v>
      </c>
    </row>
    <row r="3052" ht="14.25" customHeight="1">
      <c r="A3052" s="3" t="s">
        <v>1598</v>
      </c>
      <c r="B3052" s="1">
        <v>7.2</v>
      </c>
      <c r="C3052" s="1" t="s">
        <v>1885</v>
      </c>
      <c r="D3052" s="1" t="s">
        <v>17762</v>
      </c>
      <c r="E3052" s="1"/>
      <c r="F3052" s="1"/>
      <c r="G3052" s="1"/>
      <c r="H3052" s="1"/>
      <c r="I3052" s="1"/>
      <c r="J3052" s="1"/>
      <c r="K3052" s="1" t="s">
        <v>17444</v>
      </c>
    </row>
    <row r="3053" ht="14.25" customHeight="1">
      <c r="A3053" s="3" t="s">
        <v>1598</v>
      </c>
      <c r="B3053" s="1">
        <v>6.3</v>
      </c>
      <c r="C3053" s="1" t="s">
        <v>1885</v>
      </c>
      <c r="D3053" s="1" t="s">
        <v>17762</v>
      </c>
      <c r="E3053" s="1"/>
      <c r="F3053" s="1"/>
      <c r="G3053" s="1"/>
      <c r="H3053" s="1"/>
      <c r="I3053" s="1"/>
      <c r="J3053" s="1"/>
      <c r="K3053" s="1" t="s">
        <v>17584</v>
      </c>
    </row>
    <row r="3054" ht="14.25" customHeight="1">
      <c r="A3054" s="3" t="s">
        <v>1598</v>
      </c>
      <c r="B3054" s="1">
        <v>7.0</v>
      </c>
      <c r="C3054" s="1" t="s">
        <v>1885</v>
      </c>
      <c r="D3054" s="1" t="s">
        <v>17762</v>
      </c>
      <c r="E3054" s="1"/>
      <c r="F3054" s="1"/>
      <c r="G3054" s="1"/>
      <c r="H3054" s="1"/>
      <c r="I3054" s="1"/>
      <c r="J3054" s="1"/>
      <c r="K3054" s="1" t="s">
        <v>17689</v>
      </c>
    </row>
    <row r="3055" ht="14.25" customHeight="1">
      <c r="A3055" s="3" t="s">
        <v>206</v>
      </c>
      <c r="B3055" s="1">
        <v>6.3</v>
      </c>
      <c r="C3055" s="1" t="s">
        <v>3238</v>
      </c>
      <c r="D3055" s="1" t="s">
        <v>17762</v>
      </c>
      <c r="E3055" s="1"/>
      <c r="F3055" s="1"/>
      <c r="G3055" s="1"/>
      <c r="H3055" s="1"/>
      <c r="I3055" s="1"/>
      <c r="J3055" s="1"/>
      <c r="K3055" s="1" t="s">
        <v>205</v>
      </c>
    </row>
    <row r="3056" ht="14.25" customHeight="1">
      <c r="A3056" s="3" t="s">
        <v>206</v>
      </c>
      <c r="B3056" s="1">
        <v>2.3</v>
      </c>
      <c r="C3056" s="1" t="s">
        <v>3238</v>
      </c>
      <c r="D3056" s="1" t="s">
        <v>17762</v>
      </c>
      <c r="E3056" s="1"/>
      <c r="F3056" s="1"/>
      <c r="G3056" s="1"/>
      <c r="H3056" s="1"/>
      <c r="I3056" s="1"/>
      <c r="J3056" s="1"/>
      <c r="K3056" s="1" t="s">
        <v>357</v>
      </c>
    </row>
    <row r="3057" ht="14.25" customHeight="1">
      <c r="A3057" s="3" t="s">
        <v>206</v>
      </c>
      <c r="B3057" s="1">
        <v>7.1</v>
      </c>
      <c r="C3057" s="1" t="s">
        <v>3238</v>
      </c>
      <c r="D3057" s="1" t="s">
        <v>17762</v>
      </c>
      <c r="E3057" s="1"/>
      <c r="F3057" s="1"/>
      <c r="G3057" s="1"/>
      <c r="H3057" s="1"/>
      <c r="I3057" s="1"/>
      <c r="J3057" s="1"/>
      <c r="K3057" s="1" t="s">
        <v>2321</v>
      </c>
    </row>
    <row r="3058" ht="14.25" customHeight="1">
      <c r="A3058" s="3" t="s">
        <v>206</v>
      </c>
      <c r="B3058" s="1">
        <v>6.7</v>
      </c>
      <c r="C3058" s="1" t="s">
        <v>3238</v>
      </c>
      <c r="D3058" s="1" t="s">
        <v>17762</v>
      </c>
      <c r="E3058" s="1"/>
      <c r="F3058" s="1"/>
      <c r="G3058" s="1"/>
      <c r="H3058" s="1"/>
      <c r="I3058" s="1"/>
      <c r="J3058" s="1"/>
      <c r="K3058" s="1" t="s">
        <v>3094</v>
      </c>
    </row>
    <row r="3059" ht="14.25" customHeight="1">
      <c r="A3059" s="3" t="s">
        <v>206</v>
      </c>
      <c r="B3059" s="1">
        <v>6.5</v>
      </c>
      <c r="C3059" s="1" t="s">
        <v>3238</v>
      </c>
      <c r="D3059" s="1" t="s">
        <v>17762</v>
      </c>
      <c r="E3059" s="1"/>
      <c r="F3059" s="1"/>
      <c r="G3059" s="1"/>
      <c r="H3059" s="1"/>
      <c r="I3059" s="1"/>
      <c r="J3059" s="1"/>
      <c r="K3059" s="1" t="s">
        <v>3821</v>
      </c>
    </row>
    <row r="3060" ht="14.25" customHeight="1">
      <c r="A3060" s="3" t="s">
        <v>206</v>
      </c>
      <c r="B3060" s="1">
        <v>5.9</v>
      </c>
      <c r="C3060" s="1" t="s">
        <v>3238</v>
      </c>
      <c r="D3060" s="1" t="s">
        <v>17762</v>
      </c>
      <c r="E3060" s="1"/>
      <c r="F3060" s="1"/>
      <c r="G3060" s="1"/>
      <c r="H3060" s="1"/>
      <c r="I3060" s="1"/>
      <c r="J3060" s="1"/>
      <c r="K3060" s="1" t="s">
        <v>3929</v>
      </c>
    </row>
    <row r="3061" ht="14.25" customHeight="1">
      <c r="A3061" s="3" t="s">
        <v>206</v>
      </c>
      <c r="B3061" s="1">
        <v>6.0</v>
      </c>
      <c r="C3061" s="1" t="s">
        <v>3238</v>
      </c>
      <c r="D3061" s="1" t="s">
        <v>17762</v>
      </c>
      <c r="E3061" s="1"/>
      <c r="F3061" s="1"/>
      <c r="G3061" s="1"/>
      <c r="H3061" s="1"/>
      <c r="I3061" s="1"/>
      <c r="J3061" s="1"/>
      <c r="K3061" s="1" t="s">
        <v>4569</v>
      </c>
    </row>
    <row r="3062" ht="14.25" customHeight="1">
      <c r="A3062" s="3" t="s">
        <v>206</v>
      </c>
      <c r="B3062" s="1">
        <v>6.9</v>
      </c>
      <c r="C3062" s="1" t="s">
        <v>3238</v>
      </c>
      <c r="D3062" s="1" t="s">
        <v>17762</v>
      </c>
      <c r="E3062" s="1"/>
      <c r="F3062" s="1"/>
      <c r="G3062" s="1"/>
      <c r="H3062" s="1"/>
      <c r="I3062" s="1"/>
      <c r="J3062" s="1"/>
      <c r="K3062" s="1" t="s">
        <v>5142</v>
      </c>
    </row>
    <row r="3063" ht="14.25" customHeight="1">
      <c r="A3063" s="3" t="s">
        <v>206</v>
      </c>
      <c r="B3063" s="1">
        <v>7.3</v>
      </c>
      <c r="C3063" s="1" t="s">
        <v>3238</v>
      </c>
      <c r="D3063" s="1" t="s">
        <v>17762</v>
      </c>
      <c r="E3063" s="1"/>
      <c r="F3063" s="1"/>
      <c r="G3063" s="1"/>
      <c r="H3063" s="1"/>
      <c r="I3063" s="1"/>
      <c r="J3063" s="1"/>
      <c r="K3063" s="1" t="s">
        <v>5526</v>
      </c>
    </row>
    <row r="3064" ht="14.25" customHeight="1">
      <c r="A3064" s="3" t="s">
        <v>206</v>
      </c>
      <c r="B3064" s="1">
        <v>7.7</v>
      </c>
      <c r="C3064" s="1" t="s">
        <v>3238</v>
      </c>
      <c r="D3064" s="1" t="s">
        <v>17762</v>
      </c>
      <c r="E3064" s="1"/>
      <c r="F3064" s="1"/>
      <c r="G3064" s="1"/>
      <c r="H3064" s="1"/>
      <c r="I3064" s="1"/>
      <c r="J3064" s="1"/>
      <c r="K3064" s="1" t="s">
        <v>5593</v>
      </c>
    </row>
    <row r="3065" ht="14.25" customHeight="1">
      <c r="A3065" s="3" t="s">
        <v>206</v>
      </c>
      <c r="B3065" s="1">
        <v>7.0</v>
      </c>
      <c r="C3065" s="1" t="s">
        <v>3238</v>
      </c>
      <c r="D3065" s="1" t="s">
        <v>17762</v>
      </c>
      <c r="E3065" s="1"/>
      <c r="F3065" s="1"/>
      <c r="G3065" s="1"/>
      <c r="H3065" s="1"/>
      <c r="I3065" s="1"/>
      <c r="J3065" s="1"/>
      <c r="K3065" s="1" t="s">
        <v>5609</v>
      </c>
    </row>
    <row r="3066" ht="14.25" customHeight="1">
      <c r="A3066" s="3" t="s">
        <v>206</v>
      </c>
      <c r="B3066" s="1">
        <v>6.4</v>
      </c>
      <c r="C3066" s="1" t="s">
        <v>3238</v>
      </c>
      <c r="D3066" s="1" t="s">
        <v>17762</v>
      </c>
      <c r="E3066" s="1"/>
      <c r="F3066" s="1"/>
      <c r="G3066" s="1"/>
      <c r="H3066" s="1"/>
      <c r="I3066" s="1"/>
      <c r="J3066" s="1"/>
      <c r="K3066" s="1" t="s">
        <v>5877</v>
      </c>
    </row>
    <row r="3067" ht="14.25" customHeight="1">
      <c r="A3067" s="3" t="s">
        <v>206</v>
      </c>
      <c r="B3067" s="1">
        <v>5.6</v>
      </c>
      <c r="C3067" s="1" t="s">
        <v>3238</v>
      </c>
      <c r="D3067" s="1" t="s">
        <v>17762</v>
      </c>
      <c r="E3067" s="1"/>
      <c r="F3067" s="1"/>
      <c r="G3067" s="1"/>
      <c r="H3067" s="1"/>
      <c r="I3067" s="1"/>
      <c r="J3067" s="1"/>
      <c r="K3067" s="1" t="s">
        <v>6152</v>
      </c>
    </row>
    <row r="3068" ht="14.25" customHeight="1">
      <c r="A3068" s="3" t="s">
        <v>206</v>
      </c>
      <c r="B3068" s="1">
        <v>8.2</v>
      </c>
      <c r="C3068" s="1" t="s">
        <v>3238</v>
      </c>
      <c r="D3068" s="1" t="s">
        <v>17762</v>
      </c>
      <c r="E3068" s="1"/>
      <c r="F3068" s="1"/>
      <c r="G3068" s="1"/>
      <c r="H3068" s="1"/>
      <c r="I3068" s="1"/>
      <c r="J3068" s="1"/>
      <c r="K3068" s="1" t="s">
        <v>6274</v>
      </c>
    </row>
    <row r="3069" ht="14.25" customHeight="1">
      <c r="A3069" s="3" t="s">
        <v>206</v>
      </c>
      <c r="B3069" s="1">
        <v>6.5</v>
      </c>
      <c r="C3069" s="1" t="s">
        <v>3238</v>
      </c>
      <c r="D3069" s="1" t="s">
        <v>17762</v>
      </c>
      <c r="E3069" s="1"/>
      <c r="F3069" s="1"/>
      <c r="G3069" s="1"/>
      <c r="H3069" s="1"/>
      <c r="I3069" s="1"/>
      <c r="J3069" s="1"/>
      <c r="K3069" s="1" t="s">
        <v>6308</v>
      </c>
    </row>
    <row r="3070" ht="14.25" customHeight="1">
      <c r="A3070" s="3" t="s">
        <v>206</v>
      </c>
      <c r="B3070" s="1">
        <v>8.1</v>
      </c>
      <c r="C3070" s="1" t="s">
        <v>3238</v>
      </c>
      <c r="D3070" s="1" t="s">
        <v>17762</v>
      </c>
      <c r="E3070" s="1"/>
      <c r="F3070" s="1"/>
      <c r="G3070" s="1"/>
      <c r="H3070" s="1"/>
      <c r="I3070" s="1"/>
      <c r="J3070" s="1"/>
      <c r="K3070" s="1" t="s">
        <v>6564</v>
      </c>
    </row>
    <row r="3071" ht="14.25" customHeight="1">
      <c r="A3071" s="3" t="s">
        <v>206</v>
      </c>
      <c r="B3071" s="1">
        <v>5.4</v>
      </c>
      <c r="C3071" s="1" t="s">
        <v>3238</v>
      </c>
      <c r="D3071" s="1" t="s">
        <v>17762</v>
      </c>
      <c r="E3071" s="1"/>
      <c r="F3071" s="1"/>
      <c r="G3071" s="1"/>
      <c r="H3071" s="1"/>
      <c r="I3071" s="1"/>
      <c r="J3071" s="1"/>
      <c r="K3071" s="1" t="s">
        <v>6586</v>
      </c>
    </row>
    <row r="3072" ht="14.25" customHeight="1">
      <c r="A3072" s="3" t="s">
        <v>206</v>
      </c>
      <c r="B3072" s="1">
        <v>6.3</v>
      </c>
      <c r="C3072" s="1" t="s">
        <v>3238</v>
      </c>
      <c r="D3072" s="1" t="s">
        <v>17762</v>
      </c>
      <c r="E3072" s="1"/>
      <c r="F3072" s="1"/>
      <c r="G3072" s="1"/>
      <c r="H3072" s="1"/>
      <c r="I3072" s="1"/>
      <c r="J3072" s="1"/>
      <c r="K3072" s="1" t="s">
        <v>7015</v>
      </c>
    </row>
    <row r="3073" ht="14.25" customHeight="1">
      <c r="A3073" s="3" t="s">
        <v>206</v>
      </c>
      <c r="B3073" s="1">
        <v>7.8</v>
      </c>
      <c r="C3073" s="1" t="s">
        <v>3238</v>
      </c>
      <c r="D3073" s="1" t="s">
        <v>17762</v>
      </c>
      <c r="E3073" s="1"/>
      <c r="F3073" s="1"/>
      <c r="G3073" s="1"/>
      <c r="H3073" s="1"/>
      <c r="I3073" s="1"/>
      <c r="J3073" s="1"/>
      <c r="K3073" s="1" t="s">
        <v>7256</v>
      </c>
    </row>
    <row r="3074" ht="14.25" customHeight="1">
      <c r="A3074" s="3" t="s">
        <v>206</v>
      </c>
      <c r="B3074" s="1">
        <v>6.8</v>
      </c>
      <c r="C3074" s="1" t="s">
        <v>3238</v>
      </c>
      <c r="D3074" s="1" t="s">
        <v>17762</v>
      </c>
      <c r="E3074" s="1"/>
      <c r="F3074" s="1"/>
      <c r="G3074" s="1"/>
      <c r="H3074" s="1"/>
      <c r="I3074" s="1"/>
      <c r="J3074" s="1"/>
      <c r="K3074" s="1" t="s">
        <v>7283</v>
      </c>
    </row>
    <row r="3075" ht="14.25" customHeight="1">
      <c r="A3075" s="3" t="s">
        <v>206</v>
      </c>
      <c r="B3075" s="1">
        <v>7.1</v>
      </c>
      <c r="C3075" s="1" t="s">
        <v>3238</v>
      </c>
      <c r="D3075" s="1" t="s">
        <v>17762</v>
      </c>
      <c r="E3075" s="1"/>
      <c r="F3075" s="1"/>
      <c r="G3075" s="1"/>
      <c r="H3075" s="1"/>
      <c r="I3075" s="1"/>
      <c r="J3075" s="1"/>
      <c r="K3075" s="1" t="s">
        <v>7370</v>
      </c>
    </row>
    <row r="3076" ht="14.25" customHeight="1">
      <c r="A3076" s="3" t="s">
        <v>206</v>
      </c>
      <c r="B3076" s="1">
        <v>6.2</v>
      </c>
      <c r="C3076" s="1" t="s">
        <v>3238</v>
      </c>
      <c r="D3076" s="1" t="s">
        <v>17762</v>
      </c>
      <c r="E3076" s="1"/>
      <c r="F3076" s="1"/>
      <c r="G3076" s="1"/>
      <c r="H3076" s="1"/>
      <c r="I3076" s="1"/>
      <c r="J3076" s="1"/>
      <c r="K3076" s="1" t="s">
        <v>7583</v>
      </c>
    </row>
    <row r="3077" ht="14.25" customHeight="1">
      <c r="A3077" s="3" t="s">
        <v>206</v>
      </c>
      <c r="B3077" s="1">
        <v>7.3</v>
      </c>
      <c r="C3077" s="1" t="s">
        <v>3238</v>
      </c>
      <c r="D3077" s="1" t="s">
        <v>17762</v>
      </c>
      <c r="E3077" s="1"/>
      <c r="F3077" s="1"/>
      <c r="G3077" s="1"/>
      <c r="H3077" s="1"/>
      <c r="I3077" s="1"/>
      <c r="J3077" s="1"/>
      <c r="K3077" s="1" t="s">
        <v>7642</v>
      </c>
    </row>
    <row r="3078" ht="14.25" customHeight="1">
      <c r="A3078" s="3" t="s">
        <v>206</v>
      </c>
      <c r="B3078" s="1">
        <v>5.9</v>
      </c>
      <c r="C3078" s="1" t="s">
        <v>3238</v>
      </c>
      <c r="D3078" s="1" t="s">
        <v>17762</v>
      </c>
      <c r="E3078" s="1"/>
      <c r="F3078" s="1"/>
      <c r="G3078" s="1"/>
      <c r="H3078" s="1"/>
      <c r="I3078" s="1"/>
      <c r="J3078" s="1"/>
      <c r="K3078" s="1" t="s">
        <v>7659</v>
      </c>
    </row>
    <row r="3079" ht="14.25" customHeight="1">
      <c r="A3079" s="3" t="s">
        <v>206</v>
      </c>
      <c r="B3079" s="1">
        <v>3.6</v>
      </c>
      <c r="C3079" s="1" t="s">
        <v>3238</v>
      </c>
      <c r="D3079" s="1" t="s">
        <v>17762</v>
      </c>
      <c r="E3079" s="1"/>
      <c r="F3079" s="1"/>
      <c r="G3079" s="1"/>
      <c r="H3079" s="1"/>
      <c r="I3079" s="1"/>
      <c r="J3079" s="1"/>
      <c r="K3079" s="1" t="s">
        <v>7667</v>
      </c>
    </row>
    <row r="3080" ht="14.25" customHeight="1">
      <c r="A3080" s="3" t="s">
        <v>206</v>
      </c>
      <c r="B3080" s="1">
        <v>7.7</v>
      </c>
      <c r="C3080" s="1" t="s">
        <v>3238</v>
      </c>
      <c r="D3080" s="1" t="s">
        <v>17762</v>
      </c>
      <c r="E3080" s="1"/>
      <c r="F3080" s="1"/>
      <c r="G3080" s="1"/>
      <c r="H3080" s="1"/>
      <c r="I3080" s="1"/>
      <c r="J3080" s="1"/>
      <c r="K3080" s="1" t="s">
        <v>7716</v>
      </c>
    </row>
    <row r="3081" ht="14.25" customHeight="1">
      <c r="A3081" s="3" t="s">
        <v>206</v>
      </c>
      <c r="B3081" s="1">
        <v>7.3</v>
      </c>
      <c r="C3081" s="1" t="s">
        <v>3238</v>
      </c>
      <c r="D3081" s="1" t="s">
        <v>17762</v>
      </c>
      <c r="E3081" s="1"/>
      <c r="F3081" s="1"/>
      <c r="G3081" s="1"/>
      <c r="H3081" s="1"/>
      <c r="I3081" s="1"/>
      <c r="J3081" s="1"/>
      <c r="K3081" s="1" t="s">
        <v>7746</v>
      </c>
    </row>
    <row r="3082" ht="14.25" customHeight="1">
      <c r="A3082" s="3" t="s">
        <v>206</v>
      </c>
      <c r="B3082" s="1">
        <v>7.4</v>
      </c>
      <c r="C3082" s="1" t="s">
        <v>3238</v>
      </c>
      <c r="D3082" s="1" t="s">
        <v>17762</v>
      </c>
      <c r="E3082" s="1"/>
      <c r="F3082" s="1"/>
      <c r="G3082" s="1"/>
      <c r="H3082" s="1"/>
      <c r="I3082" s="1"/>
      <c r="J3082" s="1"/>
      <c r="K3082" s="1" t="s">
        <v>7778</v>
      </c>
    </row>
    <row r="3083" ht="14.25" customHeight="1">
      <c r="A3083" s="3" t="s">
        <v>206</v>
      </c>
      <c r="B3083" s="1">
        <v>6.6</v>
      </c>
      <c r="C3083" s="1" t="s">
        <v>3238</v>
      </c>
      <c r="D3083" s="1" t="s">
        <v>17762</v>
      </c>
      <c r="E3083" s="1"/>
      <c r="F3083" s="1"/>
      <c r="G3083" s="1"/>
      <c r="H3083" s="1"/>
      <c r="I3083" s="1"/>
      <c r="J3083" s="1"/>
      <c r="K3083" s="1" t="s">
        <v>8112</v>
      </c>
    </row>
    <row r="3084" ht="14.25" customHeight="1">
      <c r="A3084" s="3" t="s">
        <v>206</v>
      </c>
      <c r="B3084" s="1">
        <v>6.9</v>
      </c>
      <c r="C3084" s="1" t="s">
        <v>3238</v>
      </c>
      <c r="D3084" s="1" t="s">
        <v>17762</v>
      </c>
      <c r="E3084" s="1"/>
      <c r="F3084" s="1"/>
      <c r="G3084" s="1"/>
      <c r="H3084" s="1"/>
      <c r="I3084" s="1"/>
      <c r="J3084" s="1"/>
      <c r="K3084" s="1" t="s">
        <v>8319</v>
      </c>
    </row>
    <row r="3085" ht="14.25" customHeight="1">
      <c r="A3085" s="3" t="s">
        <v>206</v>
      </c>
      <c r="B3085" s="1">
        <v>6.8</v>
      </c>
      <c r="C3085" s="1" t="s">
        <v>3238</v>
      </c>
      <c r="D3085" s="1" t="s">
        <v>17762</v>
      </c>
      <c r="E3085" s="1"/>
      <c r="F3085" s="1"/>
      <c r="G3085" s="1"/>
      <c r="H3085" s="1"/>
      <c r="I3085" s="1"/>
      <c r="J3085" s="1"/>
      <c r="K3085" s="1" t="s">
        <v>8704</v>
      </c>
    </row>
    <row r="3086" ht="14.25" customHeight="1">
      <c r="A3086" s="3" t="s">
        <v>206</v>
      </c>
      <c r="B3086" s="1">
        <v>7.2</v>
      </c>
      <c r="C3086" s="1" t="s">
        <v>3238</v>
      </c>
      <c r="D3086" s="1" t="s">
        <v>17762</v>
      </c>
      <c r="E3086" s="1"/>
      <c r="F3086" s="1"/>
      <c r="G3086" s="1"/>
      <c r="H3086" s="1"/>
      <c r="I3086" s="1"/>
      <c r="J3086" s="1"/>
      <c r="K3086" s="1" t="s">
        <v>8765</v>
      </c>
    </row>
    <row r="3087" ht="14.25" customHeight="1">
      <c r="A3087" s="3" t="s">
        <v>206</v>
      </c>
      <c r="B3087" s="1">
        <v>7.7</v>
      </c>
      <c r="C3087" s="1" t="s">
        <v>3238</v>
      </c>
      <c r="D3087" s="1" t="s">
        <v>17762</v>
      </c>
      <c r="E3087" s="1"/>
      <c r="F3087" s="1"/>
      <c r="G3087" s="1"/>
      <c r="H3087" s="1"/>
      <c r="I3087" s="1"/>
      <c r="J3087" s="1"/>
      <c r="K3087" s="1" t="s">
        <v>8796</v>
      </c>
    </row>
    <row r="3088" ht="14.25" customHeight="1">
      <c r="A3088" s="3" t="s">
        <v>206</v>
      </c>
      <c r="B3088" s="1">
        <v>8.1</v>
      </c>
      <c r="C3088" s="1" t="s">
        <v>3238</v>
      </c>
      <c r="D3088" s="1" t="s">
        <v>17762</v>
      </c>
      <c r="E3088" s="1"/>
      <c r="F3088" s="1"/>
      <c r="G3088" s="1"/>
      <c r="H3088" s="1"/>
      <c r="I3088" s="1"/>
      <c r="J3088" s="1"/>
      <c r="K3088" s="1" t="s">
        <v>8912</v>
      </c>
    </row>
    <row r="3089" ht="14.25" customHeight="1">
      <c r="A3089" s="3" t="s">
        <v>206</v>
      </c>
      <c r="B3089" s="1">
        <v>7.7</v>
      </c>
      <c r="C3089" s="1" t="s">
        <v>3238</v>
      </c>
      <c r="D3089" s="1" t="s">
        <v>17762</v>
      </c>
      <c r="E3089" s="1"/>
      <c r="F3089" s="1"/>
      <c r="G3089" s="1"/>
      <c r="H3089" s="1"/>
      <c r="I3089" s="1"/>
      <c r="J3089" s="1"/>
      <c r="K3089" s="1" t="s">
        <v>9261</v>
      </c>
    </row>
    <row r="3090" ht="14.25" customHeight="1">
      <c r="A3090" s="3" t="s">
        <v>206</v>
      </c>
      <c r="B3090" s="1">
        <v>7.6</v>
      </c>
      <c r="C3090" s="1" t="s">
        <v>3238</v>
      </c>
      <c r="D3090" s="1" t="s">
        <v>17762</v>
      </c>
      <c r="E3090" s="1"/>
      <c r="F3090" s="1"/>
      <c r="G3090" s="1"/>
      <c r="H3090" s="1"/>
      <c r="I3090" s="1"/>
      <c r="J3090" s="1"/>
      <c r="K3090" s="1" t="s">
        <v>9371</v>
      </c>
    </row>
    <row r="3091" ht="14.25" customHeight="1">
      <c r="A3091" s="3" t="s">
        <v>206</v>
      </c>
      <c r="B3091" s="1">
        <v>7.2</v>
      </c>
      <c r="C3091" s="1" t="s">
        <v>3238</v>
      </c>
      <c r="D3091" s="1" t="s">
        <v>17762</v>
      </c>
      <c r="E3091" s="1"/>
      <c r="F3091" s="1"/>
      <c r="G3091" s="1"/>
      <c r="H3091" s="1"/>
      <c r="I3091" s="1"/>
      <c r="J3091" s="1"/>
      <c r="K3091" s="1" t="s">
        <v>9461</v>
      </c>
    </row>
    <row r="3092" ht="14.25" customHeight="1">
      <c r="A3092" s="3" t="s">
        <v>206</v>
      </c>
      <c r="B3092" s="1">
        <v>7.2</v>
      </c>
      <c r="C3092" s="1" t="s">
        <v>3238</v>
      </c>
      <c r="D3092" s="1" t="s">
        <v>17762</v>
      </c>
      <c r="E3092" s="1"/>
      <c r="F3092" s="1"/>
      <c r="G3092" s="1"/>
      <c r="H3092" s="1"/>
      <c r="I3092" s="1"/>
      <c r="J3092" s="1"/>
      <c r="K3092" s="1" t="s">
        <v>9524</v>
      </c>
    </row>
    <row r="3093" ht="14.25" customHeight="1">
      <c r="A3093" s="3" t="s">
        <v>206</v>
      </c>
      <c r="B3093" s="1">
        <v>8.1</v>
      </c>
      <c r="C3093" s="1" t="s">
        <v>3238</v>
      </c>
      <c r="D3093" s="1" t="s">
        <v>17762</v>
      </c>
      <c r="E3093" s="1"/>
      <c r="F3093" s="1"/>
      <c r="G3093" s="1"/>
      <c r="H3093" s="1"/>
      <c r="I3093" s="1"/>
      <c r="J3093" s="1"/>
      <c r="K3093" s="1" t="s">
        <v>9747</v>
      </c>
    </row>
    <row r="3094" ht="14.25" customHeight="1">
      <c r="A3094" s="3" t="s">
        <v>206</v>
      </c>
      <c r="B3094" s="1">
        <v>7.5</v>
      </c>
      <c r="C3094" s="1" t="s">
        <v>3238</v>
      </c>
      <c r="D3094" s="1" t="s">
        <v>17762</v>
      </c>
      <c r="E3094" s="1"/>
      <c r="F3094" s="1"/>
      <c r="G3094" s="1"/>
      <c r="H3094" s="1"/>
      <c r="I3094" s="1"/>
      <c r="J3094" s="1"/>
      <c r="K3094" s="1" t="s">
        <v>9877</v>
      </c>
    </row>
    <row r="3095" ht="14.25" customHeight="1">
      <c r="A3095" s="3" t="s">
        <v>206</v>
      </c>
      <c r="B3095" s="1">
        <v>8.1</v>
      </c>
      <c r="C3095" s="1" t="s">
        <v>3238</v>
      </c>
      <c r="D3095" s="1" t="s">
        <v>17762</v>
      </c>
      <c r="E3095" s="1"/>
      <c r="F3095" s="1"/>
      <c r="G3095" s="1"/>
      <c r="H3095" s="1"/>
      <c r="I3095" s="1"/>
      <c r="J3095" s="1"/>
      <c r="K3095" s="1" t="s">
        <v>10127</v>
      </c>
    </row>
    <row r="3096" ht="14.25" customHeight="1">
      <c r="A3096" s="3" t="s">
        <v>206</v>
      </c>
      <c r="B3096" s="1">
        <v>7.8</v>
      </c>
      <c r="C3096" s="1" t="s">
        <v>3238</v>
      </c>
      <c r="D3096" s="1" t="s">
        <v>17762</v>
      </c>
      <c r="E3096" s="1"/>
      <c r="F3096" s="1"/>
      <c r="G3096" s="1"/>
      <c r="H3096" s="1"/>
      <c r="I3096" s="1"/>
      <c r="J3096" s="1"/>
      <c r="K3096" s="1" t="s">
        <v>10484</v>
      </c>
    </row>
    <row r="3097" ht="14.25" customHeight="1">
      <c r="A3097" s="3" t="s">
        <v>206</v>
      </c>
      <c r="B3097" s="1">
        <v>7.8</v>
      </c>
      <c r="C3097" s="1" t="s">
        <v>3238</v>
      </c>
      <c r="D3097" s="1" t="s">
        <v>17762</v>
      </c>
      <c r="E3097" s="1"/>
      <c r="F3097" s="1"/>
      <c r="G3097" s="1"/>
      <c r="H3097" s="1"/>
      <c r="I3097" s="1"/>
      <c r="J3097" s="1"/>
      <c r="K3097" s="1" t="s">
        <v>10518</v>
      </c>
    </row>
    <row r="3098" ht="14.25" customHeight="1">
      <c r="A3098" s="3" t="s">
        <v>206</v>
      </c>
      <c r="B3098" s="1">
        <v>5.8</v>
      </c>
      <c r="C3098" s="1" t="s">
        <v>3238</v>
      </c>
      <c r="D3098" s="1" t="s">
        <v>17762</v>
      </c>
      <c r="E3098" s="1"/>
      <c r="F3098" s="1"/>
      <c r="G3098" s="1"/>
      <c r="H3098" s="1"/>
      <c r="I3098" s="1"/>
      <c r="J3098" s="1"/>
      <c r="K3098" s="1" t="s">
        <v>10785</v>
      </c>
    </row>
    <row r="3099" ht="14.25" customHeight="1">
      <c r="A3099" s="3" t="s">
        <v>206</v>
      </c>
      <c r="B3099" s="1">
        <v>7.6</v>
      </c>
      <c r="C3099" s="1" t="s">
        <v>3238</v>
      </c>
      <c r="D3099" s="1" t="s">
        <v>17762</v>
      </c>
      <c r="E3099" s="1"/>
      <c r="F3099" s="1"/>
      <c r="G3099" s="1"/>
      <c r="H3099" s="1"/>
      <c r="I3099" s="1"/>
      <c r="J3099" s="1"/>
      <c r="K3099" s="1">
        <v>9.0</v>
      </c>
    </row>
    <row r="3100" ht="14.25" customHeight="1">
      <c r="A3100" s="3" t="s">
        <v>206</v>
      </c>
      <c r="B3100" s="1">
        <v>7.4</v>
      </c>
      <c r="C3100" s="1" t="s">
        <v>3238</v>
      </c>
      <c r="D3100" s="1" t="s">
        <v>17762</v>
      </c>
      <c r="E3100" s="1"/>
      <c r="F3100" s="1"/>
      <c r="G3100" s="1"/>
      <c r="H3100" s="1"/>
      <c r="I3100" s="1"/>
      <c r="J3100" s="1"/>
      <c r="K3100" s="1" t="s">
        <v>11172</v>
      </c>
    </row>
    <row r="3101" ht="14.25" customHeight="1">
      <c r="A3101" s="3" t="s">
        <v>206</v>
      </c>
      <c r="B3101" s="1">
        <v>6.3</v>
      </c>
      <c r="C3101" s="1" t="s">
        <v>3238</v>
      </c>
      <c r="D3101" s="1" t="s">
        <v>17762</v>
      </c>
      <c r="E3101" s="1"/>
      <c r="F3101" s="1"/>
      <c r="G3101" s="1"/>
      <c r="H3101" s="1"/>
      <c r="I3101" s="1"/>
      <c r="J3101" s="1"/>
      <c r="K3101" s="1" t="s">
        <v>11279</v>
      </c>
    </row>
    <row r="3102" ht="14.25" customHeight="1">
      <c r="A3102" s="3" t="s">
        <v>206</v>
      </c>
      <c r="B3102" s="1">
        <v>6.9</v>
      </c>
      <c r="C3102" s="1" t="s">
        <v>3238</v>
      </c>
      <c r="D3102" s="1" t="s">
        <v>17762</v>
      </c>
      <c r="E3102" s="1"/>
      <c r="F3102" s="1"/>
      <c r="G3102" s="1"/>
      <c r="H3102" s="1"/>
      <c r="I3102" s="1"/>
      <c r="J3102" s="1"/>
      <c r="K3102" s="1" t="s">
        <v>11306</v>
      </c>
    </row>
    <row r="3103" ht="14.25" customHeight="1">
      <c r="A3103" s="3" t="s">
        <v>206</v>
      </c>
      <c r="B3103" s="1">
        <v>8.6</v>
      </c>
      <c r="C3103" s="1" t="s">
        <v>3238</v>
      </c>
      <c r="D3103" s="1" t="s">
        <v>17762</v>
      </c>
      <c r="E3103" s="1"/>
      <c r="F3103" s="1"/>
      <c r="G3103" s="1"/>
      <c r="H3103" s="1"/>
      <c r="I3103" s="1"/>
      <c r="J3103" s="1"/>
      <c r="K3103" s="1" t="s">
        <v>11353</v>
      </c>
    </row>
    <row r="3104" ht="14.25" customHeight="1">
      <c r="A3104" s="3" t="s">
        <v>206</v>
      </c>
      <c r="B3104" s="1">
        <v>5.1</v>
      </c>
      <c r="C3104" s="1" t="s">
        <v>3238</v>
      </c>
      <c r="D3104" s="1" t="s">
        <v>17762</v>
      </c>
      <c r="E3104" s="1"/>
      <c r="F3104" s="1"/>
      <c r="G3104" s="1"/>
      <c r="H3104" s="1"/>
      <c r="I3104" s="1"/>
      <c r="J3104" s="1"/>
      <c r="K3104" s="1" t="s">
        <v>11445</v>
      </c>
    </row>
    <row r="3105" ht="14.25" customHeight="1">
      <c r="A3105" s="3" t="s">
        <v>206</v>
      </c>
      <c r="B3105" s="1">
        <v>6.4</v>
      </c>
      <c r="C3105" s="1" t="s">
        <v>3238</v>
      </c>
      <c r="D3105" s="1" t="s">
        <v>17762</v>
      </c>
      <c r="E3105" s="1"/>
      <c r="F3105" s="1"/>
      <c r="G3105" s="1"/>
      <c r="H3105" s="1"/>
      <c r="I3105" s="1"/>
      <c r="J3105" s="1"/>
      <c r="K3105" s="1" t="s">
        <v>11650</v>
      </c>
    </row>
    <row r="3106" ht="14.25" customHeight="1">
      <c r="A3106" s="3" t="s">
        <v>206</v>
      </c>
      <c r="B3106" s="1">
        <v>7.9</v>
      </c>
      <c r="C3106" s="1" t="s">
        <v>3238</v>
      </c>
      <c r="D3106" s="1" t="s">
        <v>17762</v>
      </c>
      <c r="E3106" s="1"/>
      <c r="F3106" s="1"/>
      <c r="G3106" s="1"/>
      <c r="H3106" s="1"/>
      <c r="I3106" s="1"/>
      <c r="J3106" s="1"/>
      <c r="K3106" s="1" t="s">
        <v>11752</v>
      </c>
    </row>
    <row r="3107" ht="14.25" customHeight="1">
      <c r="A3107" s="3" t="s">
        <v>206</v>
      </c>
      <c r="B3107" s="1">
        <v>6.9</v>
      </c>
      <c r="C3107" s="1" t="s">
        <v>3238</v>
      </c>
      <c r="D3107" s="1" t="s">
        <v>17762</v>
      </c>
      <c r="E3107" s="1"/>
      <c r="F3107" s="1"/>
      <c r="G3107" s="1"/>
      <c r="H3107" s="1"/>
      <c r="I3107" s="1"/>
      <c r="J3107" s="1"/>
      <c r="K3107" s="1" t="s">
        <v>11791</v>
      </c>
    </row>
    <row r="3108" ht="14.25" customHeight="1">
      <c r="A3108" s="3" t="s">
        <v>206</v>
      </c>
      <c r="B3108" s="1">
        <v>7.5</v>
      </c>
      <c r="C3108" s="1" t="s">
        <v>3238</v>
      </c>
      <c r="D3108" s="1" t="s">
        <v>17762</v>
      </c>
      <c r="E3108" s="1"/>
      <c r="F3108" s="1"/>
      <c r="G3108" s="1"/>
      <c r="H3108" s="1"/>
      <c r="I3108" s="1"/>
      <c r="J3108" s="1"/>
      <c r="K3108" s="1" t="s">
        <v>11976</v>
      </c>
    </row>
    <row r="3109" ht="14.25" customHeight="1">
      <c r="A3109" s="3" t="s">
        <v>206</v>
      </c>
      <c r="B3109" s="1">
        <v>7.2</v>
      </c>
      <c r="C3109" s="1" t="s">
        <v>3238</v>
      </c>
      <c r="D3109" s="1" t="s">
        <v>17762</v>
      </c>
      <c r="E3109" s="1"/>
      <c r="F3109" s="1"/>
      <c r="G3109" s="1"/>
      <c r="H3109" s="1"/>
      <c r="I3109" s="1"/>
      <c r="J3109" s="1"/>
      <c r="K3109" s="1" t="s">
        <v>11993</v>
      </c>
    </row>
    <row r="3110" ht="14.25" customHeight="1">
      <c r="A3110" s="3" t="s">
        <v>206</v>
      </c>
      <c r="B3110" s="1">
        <v>5.8</v>
      </c>
      <c r="C3110" s="1" t="s">
        <v>3238</v>
      </c>
      <c r="D3110" s="1" t="s">
        <v>17762</v>
      </c>
      <c r="E3110" s="1"/>
      <c r="F3110" s="1"/>
      <c r="G3110" s="1"/>
      <c r="H3110" s="1"/>
      <c r="I3110" s="1"/>
      <c r="J3110" s="1"/>
      <c r="K3110" s="1" t="s">
        <v>9261</v>
      </c>
    </row>
    <row r="3111" ht="14.25" customHeight="1">
      <c r="A3111" s="3" t="s">
        <v>206</v>
      </c>
      <c r="B3111" s="1">
        <v>2.9</v>
      </c>
      <c r="C3111" s="1" t="s">
        <v>3238</v>
      </c>
      <c r="D3111" s="1" t="s">
        <v>17762</v>
      </c>
      <c r="E3111" s="1"/>
      <c r="F3111" s="1"/>
      <c r="G3111" s="1"/>
      <c r="H3111" s="1"/>
      <c r="I3111" s="1"/>
      <c r="J3111" s="1"/>
      <c r="K3111" s="1" t="s">
        <v>12050</v>
      </c>
    </row>
    <row r="3112" ht="14.25" customHeight="1">
      <c r="A3112" s="3" t="s">
        <v>206</v>
      </c>
      <c r="B3112" s="1">
        <v>6.2</v>
      </c>
      <c r="C3112" s="1" t="s">
        <v>3238</v>
      </c>
      <c r="D3112" s="1" t="s">
        <v>17762</v>
      </c>
      <c r="E3112" s="1"/>
      <c r="F3112" s="1"/>
      <c r="G3112" s="1"/>
      <c r="H3112" s="1"/>
      <c r="I3112" s="1"/>
      <c r="J3112" s="1"/>
      <c r="K3112" s="1" t="s">
        <v>12118</v>
      </c>
    </row>
    <row r="3113" ht="14.25" customHeight="1">
      <c r="A3113" s="3" t="s">
        <v>206</v>
      </c>
      <c r="B3113" s="1">
        <v>6.8</v>
      </c>
      <c r="C3113" s="1" t="s">
        <v>3238</v>
      </c>
      <c r="D3113" s="1" t="s">
        <v>17762</v>
      </c>
      <c r="E3113" s="1"/>
      <c r="F3113" s="1"/>
      <c r="G3113" s="1"/>
      <c r="H3113" s="1"/>
      <c r="I3113" s="1"/>
      <c r="J3113" s="1"/>
      <c r="K3113" s="1" t="s">
        <v>12176</v>
      </c>
    </row>
    <row r="3114" ht="14.25" customHeight="1">
      <c r="A3114" s="3" t="s">
        <v>206</v>
      </c>
      <c r="B3114" s="1">
        <v>6.1</v>
      </c>
      <c r="C3114" s="1" t="s">
        <v>3238</v>
      </c>
      <c r="D3114" s="1" t="s">
        <v>17762</v>
      </c>
      <c r="E3114" s="1"/>
      <c r="F3114" s="1"/>
      <c r="G3114" s="1"/>
      <c r="H3114" s="1"/>
      <c r="I3114" s="1"/>
      <c r="J3114" s="1"/>
      <c r="K3114" s="1" t="s">
        <v>12183</v>
      </c>
    </row>
    <row r="3115" ht="14.25" customHeight="1">
      <c r="A3115" s="3" t="s">
        <v>206</v>
      </c>
      <c r="B3115" s="1">
        <v>7.7</v>
      </c>
      <c r="C3115" s="1" t="s">
        <v>3238</v>
      </c>
      <c r="D3115" s="1" t="s">
        <v>17762</v>
      </c>
      <c r="E3115" s="1"/>
      <c r="F3115" s="1"/>
      <c r="G3115" s="1"/>
      <c r="H3115" s="1"/>
      <c r="I3115" s="1"/>
      <c r="J3115" s="1"/>
      <c r="K3115" s="1" t="s">
        <v>12337</v>
      </c>
    </row>
    <row r="3116" ht="14.25" customHeight="1">
      <c r="A3116" s="3" t="s">
        <v>206</v>
      </c>
      <c r="B3116" s="1">
        <v>5.2</v>
      </c>
      <c r="C3116" s="1" t="s">
        <v>3238</v>
      </c>
      <c r="D3116" s="1" t="s">
        <v>17762</v>
      </c>
      <c r="E3116" s="1"/>
      <c r="F3116" s="1"/>
      <c r="G3116" s="1"/>
      <c r="H3116" s="1"/>
      <c r="I3116" s="1"/>
      <c r="J3116" s="1"/>
      <c r="K3116" s="1" t="s">
        <v>12402</v>
      </c>
    </row>
    <row r="3117" ht="14.25" customHeight="1">
      <c r="A3117" s="3" t="s">
        <v>206</v>
      </c>
      <c r="B3117" s="1">
        <v>6.8</v>
      </c>
      <c r="C3117" s="1" t="s">
        <v>3238</v>
      </c>
      <c r="D3117" s="1" t="s">
        <v>17762</v>
      </c>
      <c r="E3117" s="1"/>
      <c r="F3117" s="1"/>
      <c r="G3117" s="1"/>
      <c r="H3117" s="1"/>
      <c r="I3117" s="1"/>
      <c r="J3117" s="1"/>
      <c r="K3117" s="1" t="s">
        <v>12420</v>
      </c>
    </row>
    <row r="3118" ht="14.25" customHeight="1">
      <c r="A3118" s="3" t="s">
        <v>206</v>
      </c>
      <c r="B3118" s="1">
        <v>7.0</v>
      </c>
      <c r="C3118" s="1" t="s">
        <v>3238</v>
      </c>
      <c r="D3118" s="1" t="s">
        <v>17762</v>
      </c>
      <c r="E3118" s="1"/>
      <c r="F3118" s="1"/>
      <c r="G3118" s="1"/>
      <c r="H3118" s="1"/>
      <c r="I3118" s="1"/>
      <c r="J3118" s="1"/>
      <c r="K3118" s="1" t="s">
        <v>12508</v>
      </c>
    </row>
    <row r="3119" ht="14.25" customHeight="1">
      <c r="A3119" s="3" t="s">
        <v>206</v>
      </c>
      <c r="B3119" s="1">
        <v>5.9</v>
      </c>
      <c r="C3119" s="1" t="s">
        <v>3238</v>
      </c>
      <c r="D3119" s="1" t="s">
        <v>17762</v>
      </c>
      <c r="E3119" s="1"/>
      <c r="F3119" s="1"/>
      <c r="G3119" s="1"/>
      <c r="H3119" s="1"/>
      <c r="I3119" s="1"/>
      <c r="J3119" s="1"/>
      <c r="K3119" s="1" t="s">
        <v>12677</v>
      </c>
    </row>
    <row r="3120" ht="14.25" customHeight="1">
      <c r="A3120" s="3" t="s">
        <v>206</v>
      </c>
      <c r="B3120" s="1">
        <v>7.1</v>
      </c>
      <c r="C3120" s="1" t="s">
        <v>3238</v>
      </c>
      <c r="D3120" s="1" t="s">
        <v>17762</v>
      </c>
      <c r="E3120" s="1"/>
      <c r="F3120" s="1"/>
      <c r="G3120" s="1"/>
      <c r="H3120" s="1"/>
      <c r="I3120" s="1"/>
      <c r="J3120" s="1"/>
      <c r="K3120" s="1" t="s">
        <v>12802</v>
      </c>
    </row>
    <row r="3121" ht="14.25" customHeight="1">
      <c r="A3121" s="3" t="s">
        <v>206</v>
      </c>
      <c r="B3121" s="1">
        <v>5.5</v>
      </c>
      <c r="C3121" s="1" t="s">
        <v>3238</v>
      </c>
      <c r="D3121" s="1" t="s">
        <v>17762</v>
      </c>
      <c r="E3121" s="1"/>
      <c r="F3121" s="1"/>
      <c r="G3121" s="1"/>
      <c r="H3121" s="1"/>
      <c r="I3121" s="1"/>
      <c r="J3121" s="1"/>
      <c r="K3121" s="1" t="s">
        <v>12954</v>
      </c>
    </row>
    <row r="3122" ht="14.25" customHeight="1">
      <c r="A3122" s="3" t="s">
        <v>206</v>
      </c>
      <c r="B3122" s="1">
        <v>7.4</v>
      </c>
      <c r="C3122" s="1" t="s">
        <v>3238</v>
      </c>
      <c r="D3122" s="1" t="s">
        <v>17762</v>
      </c>
      <c r="E3122" s="1"/>
      <c r="F3122" s="1"/>
      <c r="G3122" s="1"/>
      <c r="H3122" s="1"/>
      <c r="I3122" s="1"/>
      <c r="J3122" s="1"/>
      <c r="K3122" s="1" t="s">
        <v>12962</v>
      </c>
    </row>
    <row r="3123" ht="14.25" customHeight="1">
      <c r="A3123" s="3" t="s">
        <v>206</v>
      </c>
      <c r="B3123" s="1">
        <v>7.3</v>
      </c>
      <c r="C3123" s="1" t="s">
        <v>3238</v>
      </c>
      <c r="D3123" s="1" t="s">
        <v>17762</v>
      </c>
      <c r="E3123" s="1"/>
      <c r="F3123" s="1"/>
      <c r="G3123" s="1"/>
      <c r="H3123" s="1"/>
      <c r="I3123" s="1"/>
      <c r="J3123" s="1"/>
      <c r="K3123" s="1" t="s">
        <v>12990</v>
      </c>
    </row>
    <row r="3124" ht="14.25" customHeight="1">
      <c r="A3124" s="3" t="s">
        <v>206</v>
      </c>
      <c r="B3124" s="1">
        <v>4.6</v>
      </c>
      <c r="C3124" s="1" t="s">
        <v>3238</v>
      </c>
      <c r="D3124" s="1" t="s">
        <v>17762</v>
      </c>
      <c r="E3124" s="1"/>
      <c r="F3124" s="1"/>
      <c r="G3124" s="1"/>
      <c r="H3124" s="1"/>
      <c r="I3124" s="1"/>
      <c r="J3124" s="1"/>
      <c r="K3124" s="1" t="s">
        <v>13032</v>
      </c>
    </row>
    <row r="3125" ht="14.25" customHeight="1">
      <c r="A3125" s="3" t="s">
        <v>206</v>
      </c>
      <c r="B3125" s="1">
        <v>7.2</v>
      </c>
      <c r="C3125" s="1" t="s">
        <v>3238</v>
      </c>
      <c r="D3125" s="1" t="s">
        <v>17762</v>
      </c>
      <c r="E3125" s="1"/>
      <c r="F3125" s="1"/>
      <c r="G3125" s="1"/>
      <c r="H3125" s="1"/>
      <c r="I3125" s="1"/>
      <c r="J3125" s="1"/>
      <c r="K3125" s="1" t="s">
        <v>13365</v>
      </c>
    </row>
    <row r="3126" ht="14.25" customHeight="1">
      <c r="A3126" s="3" t="s">
        <v>206</v>
      </c>
      <c r="B3126" s="1">
        <v>5.1</v>
      </c>
      <c r="C3126" s="1" t="s">
        <v>3238</v>
      </c>
      <c r="D3126" s="1" t="s">
        <v>17762</v>
      </c>
      <c r="E3126" s="1"/>
      <c r="F3126" s="1"/>
      <c r="G3126" s="1"/>
      <c r="H3126" s="1"/>
      <c r="I3126" s="1"/>
      <c r="J3126" s="1"/>
      <c r="K3126" s="1" t="s">
        <v>13476</v>
      </c>
    </row>
    <row r="3127" ht="14.25" customHeight="1">
      <c r="A3127" s="3" t="s">
        <v>206</v>
      </c>
      <c r="B3127" s="1">
        <v>6.7</v>
      </c>
      <c r="C3127" s="1" t="s">
        <v>3238</v>
      </c>
      <c r="D3127" s="1" t="s">
        <v>17762</v>
      </c>
      <c r="E3127" s="1"/>
      <c r="F3127" s="1"/>
      <c r="G3127" s="1"/>
      <c r="H3127" s="1"/>
      <c r="I3127" s="1"/>
      <c r="J3127" s="1"/>
      <c r="K3127" s="1" t="s">
        <v>13498</v>
      </c>
    </row>
    <row r="3128" ht="14.25" customHeight="1">
      <c r="A3128" s="3" t="s">
        <v>206</v>
      </c>
      <c r="B3128" s="1">
        <v>5.3</v>
      </c>
      <c r="C3128" s="1" t="s">
        <v>3238</v>
      </c>
      <c r="D3128" s="1" t="s">
        <v>17762</v>
      </c>
      <c r="E3128" s="1"/>
      <c r="F3128" s="1"/>
      <c r="G3128" s="1"/>
      <c r="H3128" s="1"/>
      <c r="I3128" s="1"/>
      <c r="J3128" s="1"/>
      <c r="K3128" s="1" t="s">
        <v>13535</v>
      </c>
    </row>
    <row r="3129" ht="14.25" customHeight="1">
      <c r="A3129" s="3" t="s">
        <v>206</v>
      </c>
      <c r="B3129" s="1">
        <v>7.8</v>
      </c>
      <c r="C3129" s="1" t="s">
        <v>3238</v>
      </c>
      <c r="D3129" s="1" t="s">
        <v>17762</v>
      </c>
      <c r="E3129" s="1"/>
      <c r="F3129" s="1"/>
      <c r="G3129" s="1"/>
      <c r="H3129" s="1"/>
      <c r="I3129" s="1"/>
      <c r="J3129" s="1"/>
      <c r="K3129" s="1" t="s">
        <v>13547</v>
      </c>
    </row>
    <row r="3130" ht="14.25" customHeight="1">
      <c r="A3130" s="3" t="s">
        <v>206</v>
      </c>
      <c r="B3130" s="1">
        <v>6.7</v>
      </c>
      <c r="C3130" s="1" t="s">
        <v>3238</v>
      </c>
      <c r="D3130" s="1" t="s">
        <v>17762</v>
      </c>
      <c r="E3130" s="1"/>
      <c r="F3130" s="1"/>
      <c r="G3130" s="1"/>
      <c r="H3130" s="1"/>
      <c r="I3130" s="1"/>
      <c r="J3130" s="1"/>
      <c r="K3130" s="1" t="s">
        <v>13574</v>
      </c>
    </row>
    <row r="3131" ht="14.25" customHeight="1">
      <c r="A3131" s="3" t="s">
        <v>206</v>
      </c>
      <c r="B3131" s="1">
        <v>7.2</v>
      </c>
      <c r="C3131" s="1" t="s">
        <v>3238</v>
      </c>
      <c r="D3131" s="1" t="s">
        <v>17762</v>
      </c>
      <c r="E3131" s="1"/>
      <c r="F3131" s="1"/>
      <c r="G3131" s="1"/>
      <c r="H3131" s="1"/>
      <c r="I3131" s="1"/>
      <c r="J3131" s="1"/>
      <c r="K3131" s="1" t="s">
        <v>13666</v>
      </c>
    </row>
    <row r="3132" ht="14.25" customHeight="1">
      <c r="A3132" s="3" t="s">
        <v>206</v>
      </c>
      <c r="B3132" s="1">
        <v>5.8</v>
      </c>
      <c r="C3132" s="1" t="s">
        <v>3238</v>
      </c>
      <c r="D3132" s="1" t="s">
        <v>17762</v>
      </c>
      <c r="E3132" s="1"/>
      <c r="F3132" s="1"/>
      <c r="G3132" s="1"/>
      <c r="H3132" s="1"/>
      <c r="I3132" s="1"/>
      <c r="J3132" s="1"/>
      <c r="K3132" s="1" t="s">
        <v>13678</v>
      </c>
    </row>
    <row r="3133" ht="14.25" customHeight="1">
      <c r="A3133" s="3" t="s">
        <v>206</v>
      </c>
      <c r="B3133" s="1">
        <v>7.0</v>
      </c>
      <c r="C3133" s="1" t="s">
        <v>3238</v>
      </c>
      <c r="D3133" s="1" t="s">
        <v>17762</v>
      </c>
      <c r="E3133" s="1"/>
      <c r="F3133" s="1"/>
      <c r="G3133" s="1"/>
      <c r="H3133" s="1"/>
      <c r="I3133" s="1"/>
      <c r="J3133" s="1"/>
      <c r="K3133" s="1" t="s">
        <v>13700</v>
      </c>
    </row>
    <row r="3134" ht="14.25" customHeight="1">
      <c r="A3134" s="3" t="s">
        <v>206</v>
      </c>
      <c r="B3134" s="1">
        <v>3.8</v>
      </c>
      <c r="C3134" s="1" t="s">
        <v>3238</v>
      </c>
      <c r="D3134" s="1" t="s">
        <v>17762</v>
      </c>
      <c r="E3134" s="1"/>
      <c r="F3134" s="1"/>
      <c r="G3134" s="1"/>
      <c r="H3134" s="1"/>
      <c r="I3134" s="1"/>
      <c r="J3134" s="1"/>
      <c r="K3134" s="1" t="s">
        <v>14007</v>
      </c>
    </row>
    <row r="3135" ht="14.25" customHeight="1">
      <c r="A3135" s="3" t="s">
        <v>206</v>
      </c>
      <c r="B3135" s="1">
        <v>5.7</v>
      </c>
      <c r="C3135" s="1" t="s">
        <v>3238</v>
      </c>
      <c r="D3135" s="1" t="s">
        <v>17762</v>
      </c>
      <c r="E3135" s="1"/>
      <c r="F3135" s="1"/>
      <c r="G3135" s="1"/>
      <c r="H3135" s="1"/>
      <c r="I3135" s="1"/>
      <c r="J3135" s="1"/>
      <c r="K3135" s="1" t="s">
        <v>357</v>
      </c>
    </row>
    <row r="3136" ht="14.25" customHeight="1">
      <c r="A3136" s="3" t="s">
        <v>206</v>
      </c>
      <c r="B3136" s="1">
        <v>6.7</v>
      </c>
      <c r="C3136" s="1" t="s">
        <v>3238</v>
      </c>
      <c r="D3136" s="1" t="s">
        <v>17762</v>
      </c>
      <c r="E3136" s="1"/>
      <c r="F3136" s="1"/>
      <c r="G3136" s="1"/>
      <c r="H3136" s="1"/>
      <c r="I3136" s="1"/>
      <c r="J3136" s="1"/>
      <c r="K3136" s="1" t="s">
        <v>14345</v>
      </c>
    </row>
    <row r="3137" ht="14.25" customHeight="1">
      <c r="A3137" s="3" t="s">
        <v>206</v>
      </c>
      <c r="B3137" s="1">
        <v>6.2</v>
      </c>
      <c r="C3137" s="1" t="s">
        <v>3238</v>
      </c>
      <c r="D3137" s="1" t="s">
        <v>17762</v>
      </c>
      <c r="E3137" s="1"/>
      <c r="F3137" s="1"/>
      <c r="G3137" s="1"/>
      <c r="H3137" s="1"/>
      <c r="I3137" s="1"/>
      <c r="J3137" s="1"/>
      <c r="K3137" s="1" t="s">
        <v>14416</v>
      </c>
    </row>
    <row r="3138" ht="14.25" customHeight="1">
      <c r="A3138" s="3" t="s">
        <v>206</v>
      </c>
      <c r="B3138" s="1">
        <v>6.2</v>
      </c>
      <c r="C3138" s="1" t="s">
        <v>3238</v>
      </c>
      <c r="D3138" s="1" t="s">
        <v>17762</v>
      </c>
      <c r="E3138" s="1"/>
      <c r="F3138" s="1"/>
      <c r="G3138" s="1"/>
      <c r="H3138" s="1"/>
      <c r="I3138" s="1"/>
      <c r="J3138" s="1"/>
      <c r="K3138" s="1" t="s">
        <v>14444</v>
      </c>
    </row>
    <row r="3139" ht="14.25" customHeight="1">
      <c r="A3139" s="3" t="s">
        <v>206</v>
      </c>
      <c r="B3139" s="1">
        <v>4.7</v>
      </c>
      <c r="C3139" s="1" t="s">
        <v>3238</v>
      </c>
      <c r="D3139" s="1" t="s">
        <v>17762</v>
      </c>
      <c r="E3139" s="1"/>
      <c r="F3139" s="1"/>
      <c r="G3139" s="1"/>
      <c r="H3139" s="1"/>
      <c r="I3139" s="1"/>
      <c r="J3139" s="1"/>
      <c r="K3139" s="1" t="s">
        <v>14575</v>
      </c>
    </row>
    <row r="3140" ht="14.25" customHeight="1">
      <c r="A3140" s="3" t="s">
        <v>206</v>
      </c>
      <c r="B3140" s="1">
        <v>6.3</v>
      </c>
      <c r="C3140" s="1" t="s">
        <v>3238</v>
      </c>
      <c r="D3140" s="1" t="s">
        <v>17762</v>
      </c>
      <c r="E3140" s="1"/>
      <c r="F3140" s="1"/>
      <c r="G3140" s="1"/>
      <c r="H3140" s="1"/>
      <c r="I3140" s="1"/>
      <c r="J3140" s="1"/>
      <c r="K3140" s="1" t="s">
        <v>14590</v>
      </c>
    </row>
    <row r="3141" ht="14.25" customHeight="1">
      <c r="A3141" s="3" t="s">
        <v>206</v>
      </c>
      <c r="B3141" s="1">
        <v>7.3</v>
      </c>
      <c r="C3141" s="1" t="s">
        <v>3238</v>
      </c>
      <c r="D3141" s="1" t="s">
        <v>17762</v>
      </c>
      <c r="E3141" s="1"/>
      <c r="F3141" s="1"/>
      <c r="G3141" s="1"/>
      <c r="H3141" s="1"/>
      <c r="I3141" s="1"/>
      <c r="J3141" s="1"/>
      <c r="K3141" s="1" t="s">
        <v>14755</v>
      </c>
    </row>
    <row r="3142" ht="14.25" customHeight="1">
      <c r="A3142" s="3" t="s">
        <v>206</v>
      </c>
      <c r="B3142" s="1">
        <v>6.1</v>
      </c>
      <c r="C3142" s="1" t="s">
        <v>3238</v>
      </c>
      <c r="D3142" s="1" t="s">
        <v>17762</v>
      </c>
      <c r="E3142" s="1"/>
      <c r="F3142" s="1"/>
      <c r="G3142" s="1"/>
      <c r="H3142" s="1"/>
      <c r="I3142" s="1"/>
      <c r="J3142" s="1"/>
      <c r="K3142" s="1" t="s">
        <v>14810</v>
      </c>
    </row>
    <row r="3143" ht="14.25" customHeight="1">
      <c r="A3143" s="3" t="s">
        <v>206</v>
      </c>
      <c r="B3143" s="1">
        <v>7.1</v>
      </c>
      <c r="C3143" s="1" t="s">
        <v>3238</v>
      </c>
      <c r="D3143" s="1" t="s">
        <v>17762</v>
      </c>
      <c r="E3143" s="1"/>
      <c r="F3143" s="1"/>
      <c r="G3143" s="1"/>
      <c r="H3143" s="1"/>
      <c r="I3143" s="1"/>
      <c r="J3143" s="1"/>
      <c r="K3143" s="1" t="s">
        <v>14814</v>
      </c>
    </row>
    <row r="3144" ht="14.25" customHeight="1">
      <c r="A3144" s="3" t="s">
        <v>206</v>
      </c>
      <c r="B3144" s="1">
        <v>7.1</v>
      </c>
      <c r="C3144" s="1" t="s">
        <v>3238</v>
      </c>
      <c r="D3144" s="1" t="s">
        <v>17762</v>
      </c>
      <c r="E3144" s="1"/>
      <c r="F3144" s="1"/>
      <c r="G3144" s="1"/>
      <c r="H3144" s="1"/>
      <c r="I3144" s="1"/>
      <c r="J3144" s="1"/>
      <c r="K3144" s="1" t="s">
        <v>14853</v>
      </c>
    </row>
    <row r="3145" ht="14.25" customHeight="1">
      <c r="A3145" s="3" t="s">
        <v>206</v>
      </c>
      <c r="B3145" s="1">
        <v>6.7</v>
      </c>
      <c r="C3145" s="1" t="s">
        <v>3238</v>
      </c>
      <c r="D3145" s="1" t="s">
        <v>17762</v>
      </c>
      <c r="E3145" s="1"/>
      <c r="F3145" s="1"/>
      <c r="G3145" s="1"/>
      <c r="H3145" s="1"/>
      <c r="I3145" s="1"/>
      <c r="J3145" s="1"/>
      <c r="K3145" s="1" t="s">
        <v>15174</v>
      </c>
    </row>
    <row r="3146" ht="14.25" customHeight="1">
      <c r="A3146" s="3" t="s">
        <v>206</v>
      </c>
      <c r="B3146" s="1">
        <v>6.9</v>
      </c>
      <c r="C3146" s="1" t="s">
        <v>3238</v>
      </c>
      <c r="D3146" s="1" t="s">
        <v>17762</v>
      </c>
      <c r="E3146" s="1"/>
      <c r="F3146" s="1"/>
      <c r="G3146" s="1"/>
      <c r="H3146" s="1"/>
      <c r="I3146" s="1"/>
      <c r="J3146" s="1"/>
      <c r="K3146" s="1" t="s">
        <v>15283</v>
      </c>
    </row>
    <row r="3147" ht="14.25" customHeight="1">
      <c r="A3147" s="3" t="s">
        <v>206</v>
      </c>
      <c r="B3147" s="1">
        <v>2.1</v>
      </c>
      <c r="C3147" s="1" t="s">
        <v>3238</v>
      </c>
      <c r="D3147" s="1" t="s">
        <v>17762</v>
      </c>
      <c r="E3147" s="1"/>
      <c r="F3147" s="1"/>
      <c r="G3147" s="1"/>
      <c r="H3147" s="1"/>
      <c r="I3147" s="1"/>
      <c r="J3147" s="1"/>
      <c r="K3147" s="1" t="s">
        <v>15463</v>
      </c>
    </row>
    <row r="3148" ht="14.25" customHeight="1">
      <c r="A3148" s="3" t="s">
        <v>206</v>
      </c>
      <c r="B3148" s="1">
        <v>6.6</v>
      </c>
      <c r="C3148" s="1" t="s">
        <v>3238</v>
      </c>
      <c r="D3148" s="1" t="s">
        <v>17762</v>
      </c>
      <c r="E3148" s="1"/>
      <c r="F3148" s="1"/>
      <c r="G3148" s="1"/>
      <c r="H3148" s="1"/>
      <c r="I3148" s="1"/>
      <c r="J3148" s="1"/>
      <c r="K3148" s="1" t="s">
        <v>15473</v>
      </c>
    </row>
    <row r="3149" ht="14.25" customHeight="1">
      <c r="A3149" s="3" t="s">
        <v>206</v>
      </c>
      <c r="B3149" s="1">
        <v>8.3</v>
      </c>
      <c r="C3149" s="1" t="s">
        <v>3238</v>
      </c>
      <c r="D3149" s="1" t="s">
        <v>17762</v>
      </c>
      <c r="E3149" s="1"/>
      <c r="F3149" s="1"/>
      <c r="G3149" s="1"/>
      <c r="H3149" s="1"/>
      <c r="I3149" s="1"/>
      <c r="J3149" s="1"/>
      <c r="K3149" s="1" t="s">
        <v>15623</v>
      </c>
    </row>
    <row r="3150" ht="14.25" customHeight="1">
      <c r="A3150" s="3" t="s">
        <v>206</v>
      </c>
      <c r="B3150" s="1">
        <v>7.2</v>
      </c>
      <c r="C3150" s="1" t="s">
        <v>3238</v>
      </c>
      <c r="D3150" s="1" t="s">
        <v>17762</v>
      </c>
      <c r="E3150" s="1"/>
      <c r="F3150" s="1"/>
      <c r="G3150" s="1"/>
      <c r="H3150" s="1"/>
      <c r="I3150" s="1"/>
      <c r="J3150" s="1"/>
      <c r="K3150" s="1" t="s">
        <v>15815</v>
      </c>
    </row>
    <row r="3151" ht="14.25" customHeight="1">
      <c r="A3151" s="3" t="s">
        <v>206</v>
      </c>
      <c r="B3151" s="1">
        <v>5.6</v>
      </c>
      <c r="C3151" s="1" t="s">
        <v>3238</v>
      </c>
      <c r="D3151" s="1" t="s">
        <v>17762</v>
      </c>
      <c r="E3151" s="1"/>
      <c r="F3151" s="1"/>
      <c r="G3151" s="1"/>
      <c r="H3151" s="1"/>
      <c r="I3151" s="1"/>
      <c r="J3151" s="1"/>
      <c r="K3151" s="1" t="s">
        <v>15862</v>
      </c>
    </row>
    <row r="3152" ht="14.25" customHeight="1">
      <c r="A3152" s="3" t="s">
        <v>206</v>
      </c>
      <c r="B3152" s="1">
        <v>7.7</v>
      </c>
      <c r="C3152" s="1" t="s">
        <v>3238</v>
      </c>
      <c r="D3152" s="1" t="s">
        <v>17762</v>
      </c>
      <c r="E3152" s="1"/>
      <c r="F3152" s="1"/>
      <c r="G3152" s="1"/>
      <c r="H3152" s="1"/>
      <c r="I3152" s="1"/>
      <c r="J3152" s="1"/>
      <c r="K3152" s="1" t="s">
        <v>15920</v>
      </c>
    </row>
    <row r="3153" ht="14.25" customHeight="1">
      <c r="A3153" s="3" t="s">
        <v>206</v>
      </c>
      <c r="B3153" s="1">
        <v>6.6</v>
      </c>
      <c r="C3153" s="1" t="s">
        <v>3238</v>
      </c>
      <c r="D3153" s="1" t="s">
        <v>17762</v>
      </c>
      <c r="E3153" s="1"/>
      <c r="F3153" s="1"/>
      <c r="G3153" s="1"/>
      <c r="H3153" s="1"/>
      <c r="I3153" s="1"/>
      <c r="J3153" s="1"/>
      <c r="K3153" s="1" t="s">
        <v>16107</v>
      </c>
    </row>
    <row r="3154" ht="14.25" customHeight="1">
      <c r="A3154" s="3" t="s">
        <v>206</v>
      </c>
      <c r="B3154" s="1">
        <v>7.4</v>
      </c>
      <c r="C3154" s="1" t="s">
        <v>3238</v>
      </c>
      <c r="D3154" s="1" t="s">
        <v>17762</v>
      </c>
      <c r="E3154" s="1"/>
      <c r="F3154" s="1"/>
      <c r="G3154" s="1"/>
      <c r="H3154" s="1"/>
      <c r="I3154" s="1"/>
      <c r="J3154" s="1"/>
      <c r="K3154" s="1" t="s">
        <v>16148</v>
      </c>
    </row>
    <row r="3155" ht="14.25" customHeight="1">
      <c r="A3155" s="3" t="s">
        <v>206</v>
      </c>
      <c r="B3155" s="1">
        <v>7.1</v>
      </c>
      <c r="C3155" s="1" t="s">
        <v>3238</v>
      </c>
      <c r="D3155" s="1" t="s">
        <v>17762</v>
      </c>
      <c r="E3155" s="1"/>
      <c r="F3155" s="1"/>
      <c r="G3155" s="1"/>
      <c r="H3155" s="1"/>
      <c r="I3155" s="1"/>
      <c r="J3155" s="1"/>
      <c r="K3155" s="1" t="s">
        <v>16165</v>
      </c>
    </row>
    <row r="3156" ht="14.25" customHeight="1">
      <c r="A3156" s="3" t="s">
        <v>206</v>
      </c>
      <c r="B3156" s="1">
        <v>7.9</v>
      </c>
      <c r="C3156" s="1" t="s">
        <v>3238</v>
      </c>
      <c r="D3156" s="1" t="s">
        <v>17762</v>
      </c>
      <c r="E3156" s="1"/>
      <c r="F3156" s="1"/>
      <c r="G3156" s="1"/>
      <c r="H3156" s="1"/>
      <c r="I3156" s="1"/>
      <c r="J3156" s="1"/>
      <c r="K3156" s="1" t="s">
        <v>16329</v>
      </c>
    </row>
    <row r="3157" ht="14.25" customHeight="1">
      <c r="A3157" s="3" t="s">
        <v>206</v>
      </c>
      <c r="B3157" s="1">
        <v>6.7</v>
      </c>
      <c r="C3157" s="1" t="s">
        <v>3238</v>
      </c>
      <c r="D3157" s="1" t="s">
        <v>17762</v>
      </c>
      <c r="E3157" s="1"/>
      <c r="F3157" s="1"/>
      <c r="G3157" s="1"/>
      <c r="H3157" s="1"/>
      <c r="I3157" s="1"/>
      <c r="J3157" s="1"/>
      <c r="K3157" s="1" t="s">
        <v>16398</v>
      </c>
    </row>
    <row r="3158" ht="14.25" customHeight="1">
      <c r="A3158" s="3" t="s">
        <v>206</v>
      </c>
      <c r="B3158" s="1">
        <v>6.6</v>
      </c>
      <c r="C3158" s="1" t="s">
        <v>3238</v>
      </c>
      <c r="D3158" s="1" t="s">
        <v>17762</v>
      </c>
      <c r="E3158" s="1"/>
      <c r="F3158" s="1"/>
      <c r="G3158" s="1"/>
      <c r="H3158" s="1"/>
      <c r="I3158" s="1"/>
      <c r="J3158" s="1"/>
      <c r="K3158" s="1" t="s">
        <v>16443</v>
      </c>
    </row>
    <row r="3159" ht="14.25" customHeight="1">
      <c r="A3159" s="3" t="s">
        <v>206</v>
      </c>
      <c r="B3159" s="1">
        <v>7.9</v>
      </c>
      <c r="C3159" s="1" t="s">
        <v>3238</v>
      </c>
      <c r="D3159" s="1" t="s">
        <v>17762</v>
      </c>
      <c r="E3159" s="1"/>
      <c r="F3159" s="1"/>
      <c r="G3159" s="1"/>
      <c r="H3159" s="1"/>
      <c r="I3159" s="1"/>
      <c r="J3159" s="1"/>
      <c r="K3159" s="1" t="s">
        <v>16511</v>
      </c>
    </row>
    <row r="3160" ht="14.25" customHeight="1">
      <c r="A3160" s="3" t="s">
        <v>206</v>
      </c>
      <c r="B3160" s="1">
        <v>4.9</v>
      </c>
      <c r="C3160" s="1" t="s">
        <v>3238</v>
      </c>
      <c r="D3160" s="1" t="s">
        <v>17762</v>
      </c>
      <c r="E3160" s="1"/>
      <c r="F3160" s="1"/>
      <c r="G3160" s="1"/>
      <c r="H3160" s="1"/>
      <c r="I3160" s="1"/>
      <c r="J3160" s="1"/>
      <c r="K3160" s="1" t="s">
        <v>16550</v>
      </c>
    </row>
    <row r="3161" ht="14.25" customHeight="1">
      <c r="A3161" s="3" t="s">
        <v>206</v>
      </c>
      <c r="B3161" s="1">
        <v>7.2</v>
      </c>
      <c r="C3161" s="1" t="s">
        <v>3238</v>
      </c>
      <c r="D3161" s="1" t="s">
        <v>17762</v>
      </c>
      <c r="E3161" s="1"/>
      <c r="F3161" s="1"/>
      <c r="G3161" s="1"/>
      <c r="H3161" s="1"/>
      <c r="I3161" s="1"/>
      <c r="J3161" s="1"/>
      <c r="K3161" s="1" t="s">
        <v>16556</v>
      </c>
    </row>
    <row r="3162" ht="14.25" customHeight="1">
      <c r="A3162" s="3" t="s">
        <v>206</v>
      </c>
      <c r="B3162" s="1">
        <v>6.1</v>
      </c>
      <c r="C3162" s="1" t="s">
        <v>3238</v>
      </c>
      <c r="D3162" s="1" t="s">
        <v>17762</v>
      </c>
      <c r="E3162" s="1"/>
      <c r="F3162" s="1"/>
      <c r="G3162" s="1"/>
      <c r="H3162" s="1"/>
      <c r="I3162" s="1"/>
      <c r="J3162" s="1"/>
      <c r="K3162" s="1" t="s">
        <v>16561</v>
      </c>
    </row>
    <row r="3163" ht="14.25" customHeight="1">
      <c r="A3163" s="3" t="s">
        <v>206</v>
      </c>
      <c r="B3163" s="1">
        <v>5.3</v>
      </c>
      <c r="C3163" s="1" t="s">
        <v>3238</v>
      </c>
      <c r="D3163" s="1" t="s">
        <v>17762</v>
      </c>
      <c r="E3163" s="1"/>
      <c r="F3163" s="1"/>
      <c r="G3163" s="1"/>
      <c r="H3163" s="1"/>
      <c r="I3163" s="1"/>
      <c r="J3163" s="1"/>
      <c r="K3163" s="1" t="s">
        <v>16858</v>
      </c>
    </row>
    <row r="3164" ht="14.25" customHeight="1">
      <c r="A3164" s="3" t="s">
        <v>206</v>
      </c>
      <c r="B3164" s="1">
        <v>5.0</v>
      </c>
      <c r="C3164" s="1" t="s">
        <v>3238</v>
      </c>
      <c r="D3164" s="1" t="s">
        <v>17762</v>
      </c>
      <c r="E3164" s="1"/>
      <c r="F3164" s="1"/>
      <c r="G3164" s="1"/>
      <c r="H3164" s="1"/>
      <c r="I3164" s="1"/>
      <c r="J3164" s="1"/>
      <c r="K3164" s="1" t="s">
        <v>16936</v>
      </c>
    </row>
    <row r="3165" ht="14.25" customHeight="1">
      <c r="A3165" s="3" t="s">
        <v>206</v>
      </c>
      <c r="B3165" s="1">
        <v>7.6</v>
      </c>
      <c r="C3165" s="1" t="s">
        <v>3238</v>
      </c>
      <c r="D3165" s="1" t="s">
        <v>17762</v>
      </c>
      <c r="E3165" s="1"/>
      <c r="F3165" s="1"/>
      <c r="G3165" s="1"/>
      <c r="H3165" s="1"/>
      <c r="I3165" s="1"/>
      <c r="J3165" s="1"/>
      <c r="K3165" s="1" t="s">
        <v>17099</v>
      </c>
    </row>
    <row r="3166" ht="14.25" customHeight="1">
      <c r="A3166" s="3" t="s">
        <v>206</v>
      </c>
      <c r="B3166" s="1">
        <v>7.6</v>
      </c>
      <c r="C3166" s="1" t="s">
        <v>3238</v>
      </c>
      <c r="D3166" s="1" t="s">
        <v>17762</v>
      </c>
      <c r="E3166" s="1"/>
      <c r="F3166" s="1"/>
      <c r="G3166" s="1"/>
      <c r="H3166" s="1"/>
      <c r="I3166" s="1"/>
      <c r="J3166" s="1"/>
      <c r="K3166" s="1" t="s">
        <v>17104</v>
      </c>
    </row>
    <row r="3167" ht="14.25" customHeight="1">
      <c r="A3167" s="3" t="s">
        <v>206</v>
      </c>
      <c r="B3167" s="1">
        <v>6.6</v>
      </c>
      <c r="C3167" s="1" t="s">
        <v>3238</v>
      </c>
      <c r="D3167" s="1" t="s">
        <v>17762</v>
      </c>
      <c r="E3167" s="1"/>
      <c r="F3167" s="1"/>
      <c r="G3167" s="1"/>
      <c r="H3167" s="1"/>
      <c r="I3167" s="1"/>
      <c r="J3167" s="1"/>
      <c r="K3167" s="1" t="s">
        <v>17205</v>
      </c>
    </row>
    <row r="3168" ht="14.25" customHeight="1">
      <c r="A3168" s="3" t="s">
        <v>206</v>
      </c>
      <c r="B3168" s="1">
        <v>6.6</v>
      </c>
      <c r="C3168" s="1" t="s">
        <v>3238</v>
      </c>
      <c r="D3168" s="1" t="s">
        <v>17762</v>
      </c>
      <c r="E3168" s="1"/>
      <c r="F3168" s="1"/>
      <c r="G3168" s="1"/>
      <c r="H3168" s="1"/>
      <c r="I3168" s="1"/>
      <c r="J3168" s="1"/>
      <c r="K3168" s="1" t="s">
        <v>17524</v>
      </c>
    </row>
    <row r="3169" ht="14.25" customHeight="1">
      <c r="A3169" s="3" t="s">
        <v>206</v>
      </c>
      <c r="B3169" s="1">
        <v>7.3</v>
      </c>
      <c r="C3169" s="1" t="s">
        <v>3238</v>
      </c>
      <c r="D3169" s="1" t="s">
        <v>17762</v>
      </c>
      <c r="E3169" s="1"/>
      <c r="F3169" s="1"/>
      <c r="G3169" s="1"/>
      <c r="H3169" s="1"/>
      <c r="I3169" s="1"/>
      <c r="J3169" s="1"/>
      <c r="K3169" s="1" t="s">
        <v>17579</v>
      </c>
    </row>
    <row r="3170" ht="14.25" customHeight="1">
      <c r="A3170" s="3" t="s">
        <v>9873</v>
      </c>
      <c r="B3170" s="1">
        <v>6.6</v>
      </c>
      <c r="C3170" s="1" t="s">
        <v>17759</v>
      </c>
      <c r="D3170" s="1" t="s">
        <v>17762</v>
      </c>
      <c r="E3170" s="1"/>
      <c r="F3170" s="1"/>
      <c r="G3170" s="1"/>
      <c r="H3170" s="1"/>
      <c r="I3170" s="1"/>
      <c r="J3170" s="1"/>
      <c r="K3170" s="1" t="s">
        <v>9872</v>
      </c>
    </row>
    <row r="3171" ht="14.25" customHeight="1">
      <c r="A3171" s="3" t="s">
        <v>14604</v>
      </c>
      <c r="B3171" s="1">
        <v>6.9</v>
      </c>
      <c r="C3171" s="1" t="s">
        <v>17760</v>
      </c>
      <c r="D3171" s="1" t="s">
        <v>17762</v>
      </c>
      <c r="E3171" s="1"/>
      <c r="F3171" s="1"/>
      <c r="G3171" s="1"/>
      <c r="H3171" s="1"/>
      <c r="I3171" s="1"/>
      <c r="J3171" s="1"/>
      <c r="K3171" s="1" t="s">
        <v>14603</v>
      </c>
    </row>
    <row r="3172" ht="14.25" customHeight="1">
      <c r="A3172" s="3" t="s">
        <v>14604</v>
      </c>
      <c r="B3172" s="1">
        <v>5.8</v>
      </c>
      <c r="C3172" s="1" t="s">
        <v>17760</v>
      </c>
      <c r="D3172" s="1" t="s">
        <v>17762</v>
      </c>
      <c r="E3172" s="1"/>
      <c r="F3172" s="1"/>
      <c r="G3172" s="1"/>
      <c r="H3172" s="1"/>
      <c r="I3172" s="1"/>
      <c r="J3172" s="1"/>
      <c r="K3172" s="1" t="s">
        <v>17409</v>
      </c>
    </row>
    <row r="3173" ht="14.25" customHeight="1">
      <c r="A3173" s="3" t="s">
        <v>623</v>
      </c>
      <c r="B3173" s="1">
        <v>4.4</v>
      </c>
      <c r="C3173" s="1" t="s">
        <v>1270</v>
      </c>
      <c r="D3173" s="1" t="s">
        <v>17764</v>
      </c>
      <c r="E3173" s="1"/>
      <c r="F3173" s="1"/>
      <c r="G3173" s="1"/>
      <c r="H3173" s="1"/>
      <c r="I3173" s="1"/>
      <c r="J3173" s="1"/>
      <c r="K3173" s="1" t="s">
        <v>622</v>
      </c>
    </row>
    <row r="3174" ht="14.25" customHeight="1">
      <c r="A3174" s="3" t="s">
        <v>623</v>
      </c>
      <c r="B3174" s="1">
        <v>6.6</v>
      </c>
      <c r="C3174" s="1" t="s">
        <v>1270</v>
      </c>
      <c r="D3174" s="1" t="s">
        <v>17764</v>
      </c>
      <c r="E3174" s="1"/>
      <c r="F3174" s="1"/>
      <c r="G3174" s="1"/>
      <c r="H3174" s="1"/>
      <c r="I3174" s="1"/>
      <c r="J3174" s="1"/>
      <c r="K3174" s="1" t="s">
        <v>784</v>
      </c>
    </row>
    <row r="3175" ht="14.25" customHeight="1">
      <c r="A3175" s="3" t="s">
        <v>623</v>
      </c>
      <c r="B3175" s="1">
        <v>7.1</v>
      </c>
      <c r="C3175" s="1" t="s">
        <v>1270</v>
      </c>
      <c r="D3175" s="1" t="s">
        <v>17764</v>
      </c>
      <c r="E3175" s="1"/>
      <c r="F3175" s="1"/>
      <c r="G3175" s="1"/>
      <c r="H3175" s="1"/>
      <c r="I3175" s="1"/>
      <c r="J3175" s="1"/>
      <c r="K3175" s="1" t="s">
        <v>798</v>
      </c>
    </row>
    <row r="3176" ht="14.25" customHeight="1">
      <c r="A3176" s="3" t="s">
        <v>623</v>
      </c>
      <c r="B3176" s="1">
        <v>7.6</v>
      </c>
      <c r="C3176" s="1" t="s">
        <v>1270</v>
      </c>
      <c r="D3176" s="1" t="s">
        <v>17764</v>
      </c>
      <c r="E3176" s="1"/>
      <c r="F3176" s="1"/>
      <c r="G3176" s="1"/>
      <c r="H3176" s="1"/>
      <c r="I3176" s="1"/>
      <c r="J3176" s="1"/>
      <c r="K3176" s="1" t="s">
        <v>1028</v>
      </c>
    </row>
    <row r="3177" ht="14.25" customHeight="1">
      <c r="A3177" s="3" t="s">
        <v>623</v>
      </c>
      <c r="B3177" s="1">
        <v>4.6</v>
      </c>
      <c r="C3177" s="1" t="s">
        <v>1270</v>
      </c>
      <c r="D3177" s="1" t="s">
        <v>17764</v>
      </c>
      <c r="E3177" s="1"/>
      <c r="F3177" s="1"/>
      <c r="G3177" s="1"/>
      <c r="H3177" s="1"/>
      <c r="I3177" s="1"/>
      <c r="J3177" s="1"/>
      <c r="K3177" s="1" t="s">
        <v>1249</v>
      </c>
    </row>
    <row r="3178" ht="14.25" customHeight="1">
      <c r="A3178" s="3" t="s">
        <v>623</v>
      </c>
      <c r="B3178" s="1">
        <v>6.8</v>
      </c>
      <c r="C3178" s="1" t="s">
        <v>1270</v>
      </c>
      <c r="D3178" s="1" t="s">
        <v>17764</v>
      </c>
      <c r="E3178" s="1"/>
      <c r="F3178" s="1"/>
      <c r="G3178" s="1"/>
      <c r="H3178" s="1"/>
      <c r="I3178" s="1"/>
      <c r="J3178" s="1"/>
      <c r="K3178" s="1" t="s">
        <v>1534</v>
      </c>
    </row>
    <row r="3179" ht="14.25" customHeight="1">
      <c r="A3179" s="3" t="s">
        <v>623</v>
      </c>
      <c r="B3179" s="1">
        <v>4.9</v>
      </c>
      <c r="C3179" s="1" t="s">
        <v>1270</v>
      </c>
      <c r="D3179" s="1" t="s">
        <v>17764</v>
      </c>
      <c r="E3179" s="1"/>
      <c r="F3179" s="1"/>
      <c r="G3179" s="1"/>
      <c r="H3179" s="1"/>
      <c r="I3179" s="1"/>
      <c r="J3179" s="1"/>
      <c r="K3179" s="1" t="s">
        <v>1633</v>
      </c>
    </row>
    <row r="3180" ht="14.25" customHeight="1">
      <c r="A3180" s="3" t="s">
        <v>623</v>
      </c>
      <c r="B3180" s="1">
        <v>7.3</v>
      </c>
      <c r="C3180" s="1" t="s">
        <v>1270</v>
      </c>
      <c r="D3180" s="1" t="s">
        <v>17764</v>
      </c>
      <c r="E3180" s="1"/>
      <c r="F3180" s="1"/>
      <c r="G3180" s="1"/>
      <c r="H3180" s="1"/>
      <c r="I3180" s="1"/>
      <c r="J3180" s="1"/>
      <c r="K3180" s="1" t="s">
        <v>2384</v>
      </c>
    </row>
    <row r="3181" ht="14.25" customHeight="1">
      <c r="A3181" s="3" t="s">
        <v>623</v>
      </c>
      <c r="B3181" s="1">
        <v>5.0</v>
      </c>
      <c r="C3181" s="1" t="s">
        <v>1270</v>
      </c>
      <c r="D3181" s="1" t="s">
        <v>17764</v>
      </c>
      <c r="E3181" s="1"/>
      <c r="F3181" s="1"/>
      <c r="G3181" s="1"/>
      <c r="H3181" s="1"/>
      <c r="I3181" s="1"/>
      <c r="J3181" s="1"/>
      <c r="K3181" s="1" t="s">
        <v>3210</v>
      </c>
    </row>
    <row r="3182" ht="14.25" customHeight="1">
      <c r="A3182" s="3" t="s">
        <v>623</v>
      </c>
      <c r="B3182" s="1">
        <v>8.0</v>
      </c>
      <c r="C3182" s="1" t="s">
        <v>1270</v>
      </c>
      <c r="D3182" s="1" t="s">
        <v>17764</v>
      </c>
      <c r="E3182" s="1"/>
      <c r="F3182" s="1"/>
      <c r="G3182" s="1"/>
      <c r="H3182" s="1"/>
      <c r="I3182" s="1"/>
      <c r="J3182" s="1"/>
      <c r="K3182" s="1" t="s">
        <v>3455</v>
      </c>
    </row>
    <row r="3183" ht="14.25" customHeight="1">
      <c r="A3183" s="3" t="s">
        <v>623</v>
      </c>
      <c r="B3183" s="1">
        <v>5.2</v>
      </c>
      <c r="C3183" s="1" t="s">
        <v>1270</v>
      </c>
      <c r="D3183" s="1" t="s">
        <v>17764</v>
      </c>
      <c r="E3183" s="1"/>
      <c r="F3183" s="1"/>
      <c r="G3183" s="1"/>
      <c r="H3183" s="1"/>
      <c r="I3183" s="1"/>
      <c r="J3183" s="1"/>
      <c r="K3183" s="1" t="s">
        <v>1249</v>
      </c>
    </row>
    <row r="3184" ht="14.25" customHeight="1">
      <c r="A3184" s="3" t="s">
        <v>623</v>
      </c>
      <c r="B3184" s="1">
        <v>8.5</v>
      </c>
      <c r="C3184" s="1" t="s">
        <v>1270</v>
      </c>
      <c r="D3184" s="1" t="s">
        <v>17764</v>
      </c>
      <c r="E3184" s="1"/>
      <c r="F3184" s="1"/>
      <c r="G3184" s="1"/>
      <c r="H3184" s="1"/>
      <c r="I3184" s="1"/>
      <c r="J3184" s="1"/>
      <c r="K3184" s="1" t="s">
        <v>4520</v>
      </c>
    </row>
    <row r="3185" ht="14.25" customHeight="1">
      <c r="A3185" s="3" t="s">
        <v>623</v>
      </c>
      <c r="B3185" s="1">
        <v>6.5</v>
      </c>
      <c r="C3185" s="1" t="s">
        <v>1270</v>
      </c>
      <c r="D3185" s="1" t="s">
        <v>17764</v>
      </c>
      <c r="E3185" s="1"/>
      <c r="F3185" s="1"/>
      <c r="G3185" s="1"/>
      <c r="H3185" s="1"/>
      <c r="I3185" s="1"/>
      <c r="J3185" s="1"/>
      <c r="K3185" s="1" t="s">
        <v>2384</v>
      </c>
    </row>
    <row r="3186" ht="14.25" customHeight="1">
      <c r="A3186" s="3" t="s">
        <v>623</v>
      </c>
      <c r="B3186" s="1">
        <v>7.4</v>
      </c>
      <c r="C3186" s="1" t="s">
        <v>1270</v>
      </c>
      <c r="D3186" s="1" t="s">
        <v>17764</v>
      </c>
      <c r="E3186" s="1"/>
      <c r="F3186" s="1"/>
      <c r="G3186" s="1"/>
      <c r="H3186" s="1"/>
      <c r="I3186" s="1"/>
      <c r="J3186" s="1"/>
      <c r="K3186" s="1" t="s">
        <v>6411</v>
      </c>
    </row>
    <row r="3187" ht="14.25" customHeight="1">
      <c r="A3187" s="3" t="s">
        <v>623</v>
      </c>
      <c r="B3187" s="1">
        <v>7.7</v>
      </c>
      <c r="C3187" s="1" t="s">
        <v>1270</v>
      </c>
      <c r="D3187" s="1" t="s">
        <v>17764</v>
      </c>
      <c r="E3187" s="1"/>
      <c r="F3187" s="1"/>
      <c r="G3187" s="1"/>
      <c r="H3187" s="1"/>
      <c r="I3187" s="1"/>
      <c r="J3187" s="1"/>
      <c r="K3187" s="1" t="s">
        <v>10904</v>
      </c>
    </row>
    <row r="3188" ht="14.25" customHeight="1">
      <c r="A3188" s="3" t="s">
        <v>623</v>
      </c>
      <c r="B3188" s="1">
        <v>7.4</v>
      </c>
      <c r="C3188" s="1" t="s">
        <v>1270</v>
      </c>
      <c r="D3188" s="1" t="s">
        <v>17764</v>
      </c>
      <c r="E3188" s="1"/>
      <c r="F3188" s="1"/>
      <c r="G3188" s="1"/>
      <c r="H3188" s="1"/>
      <c r="I3188" s="1"/>
      <c r="J3188" s="1"/>
      <c r="K3188" s="1" t="s">
        <v>14585</v>
      </c>
    </row>
    <row r="3189" ht="14.25" customHeight="1">
      <c r="A3189" s="3" t="s">
        <v>623</v>
      </c>
      <c r="B3189" s="1">
        <v>5.1</v>
      </c>
      <c r="C3189" s="1" t="s">
        <v>1270</v>
      </c>
      <c r="D3189" s="1" t="s">
        <v>17764</v>
      </c>
      <c r="E3189" s="1"/>
      <c r="F3189" s="1"/>
      <c r="G3189" s="1"/>
      <c r="H3189" s="1"/>
      <c r="I3189" s="1"/>
      <c r="J3189" s="1"/>
      <c r="K3189" s="1" t="s">
        <v>14684</v>
      </c>
    </row>
    <row r="3190" ht="14.25" customHeight="1">
      <c r="A3190" s="3" t="s">
        <v>661</v>
      </c>
      <c r="B3190" s="1">
        <v>5.0</v>
      </c>
      <c r="C3190" s="1" t="s">
        <v>917</v>
      </c>
      <c r="D3190" s="1" t="s">
        <v>17764</v>
      </c>
      <c r="E3190" s="1"/>
      <c r="F3190" s="1"/>
      <c r="G3190" s="1"/>
      <c r="H3190" s="1"/>
      <c r="I3190" s="1"/>
      <c r="J3190" s="1"/>
      <c r="K3190" s="1" t="s">
        <v>660</v>
      </c>
    </row>
    <row r="3191" ht="14.25" customHeight="1">
      <c r="A3191" s="3" t="s">
        <v>5181</v>
      </c>
      <c r="B3191" s="1">
        <v>7.2</v>
      </c>
      <c r="C3191" s="1" t="s">
        <v>1885</v>
      </c>
      <c r="D3191" s="1" t="s">
        <v>17764</v>
      </c>
      <c r="E3191" s="1"/>
      <c r="F3191" s="1"/>
      <c r="G3191" s="1"/>
      <c r="H3191" s="1"/>
      <c r="I3191" s="1"/>
      <c r="J3191" s="1"/>
      <c r="K3191" s="1" t="s">
        <v>5180</v>
      </c>
    </row>
    <row r="3192" ht="14.25" customHeight="1">
      <c r="A3192" s="3" t="s">
        <v>5181</v>
      </c>
      <c r="B3192" s="1">
        <v>6.4</v>
      </c>
      <c r="C3192" s="1" t="s">
        <v>1885</v>
      </c>
      <c r="D3192" s="1" t="s">
        <v>17764</v>
      </c>
      <c r="E3192" s="1"/>
      <c r="F3192" s="1"/>
      <c r="G3192" s="1"/>
      <c r="H3192" s="1"/>
      <c r="I3192" s="1"/>
      <c r="J3192" s="1"/>
      <c r="K3192" s="1" t="s">
        <v>6738</v>
      </c>
    </row>
    <row r="3193" ht="14.25" customHeight="1">
      <c r="A3193" s="3" t="s">
        <v>5181</v>
      </c>
      <c r="B3193" s="1">
        <v>5.6</v>
      </c>
      <c r="C3193" s="1" t="s">
        <v>1885</v>
      </c>
      <c r="D3193" s="1" t="s">
        <v>17764</v>
      </c>
      <c r="E3193" s="1"/>
      <c r="F3193" s="1"/>
      <c r="G3193" s="1"/>
      <c r="H3193" s="1"/>
      <c r="I3193" s="1"/>
      <c r="J3193" s="1"/>
      <c r="K3193" s="1" t="s">
        <v>9528</v>
      </c>
    </row>
    <row r="3194" ht="14.25" customHeight="1">
      <c r="A3194" s="3" t="s">
        <v>5181</v>
      </c>
      <c r="B3194" s="1">
        <v>6.2</v>
      </c>
      <c r="C3194" s="1" t="s">
        <v>1885</v>
      </c>
      <c r="D3194" s="1" t="s">
        <v>17764</v>
      </c>
      <c r="E3194" s="1"/>
      <c r="F3194" s="1"/>
      <c r="G3194" s="1"/>
      <c r="H3194" s="1"/>
      <c r="I3194" s="1"/>
      <c r="J3194" s="1"/>
      <c r="K3194" s="1" t="s">
        <v>12186</v>
      </c>
    </row>
    <row r="3195" ht="14.25" customHeight="1">
      <c r="A3195" s="3" t="s">
        <v>5181</v>
      </c>
      <c r="B3195" s="1">
        <v>6.1</v>
      </c>
      <c r="C3195" s="1" t="s">
        <v>1885</v>
      </c>
      <c r="D3195" s="1" t="s">
        <v>17764</v>
      </c>
      <c r="E3195" s="1"/>
      <c r="F3195" s="1"/>
      <c r="G3195" s="1"/>
      <c r="H3195" s="1"/>
      <c r="I3195" s="1"/>
      <c r="J3195" s="1"/>
      <c r="K3195" s="1" t="s">
        <v>16931</v>
      </c>
    </row>
    <row r="3196" ht="14.25" customHeight="1">
      <c r="A3196" s="3" t="s">
        <v>1766</v>
      </c>
      <c r="B3196" s="1">
        <v>5.2</v>
      </c>
      <c r="C3196" s="1" t="s">
        <v>3238</v>
      </c>
      <c r="D3196" s="1" t="s">
        <v>17764</v>
      </c>
      <c r="E3196" s="1"/>
      <c r="F3196" s="1"/>
      <c r="G3196" s="1"/>
      <c r="H3196" s="1"/>
      <c r="I3196" s="1"/>
      <c r="J3196" s="1"/>
      <c r="K3196" s="1" t="s">
        <v>1765</v>
      </c>
    </row>
    <row r="3197" ht="14.25" customHeight="1">
      <c r="A3197" s="3" t="s">
        <v>1766</v>
      </c>
      <c r="B3197" s="1">
        <v>7.3</v>
      </c>
      <c r="C3197" s="1" t="s">
        <v>3238</v>
      </c>
      <c r="D3197" s="1" t="s">
        <v>17764</v>
      </c>
      <c r="E3197" s="1"/>
      <c r="F3197" s="1"/>
      <c r="G3197" s="1"/>
      <c r="H3197" s="1"/>
      <c r="I3197" s="1"/>
      <c r="J3197" s="1"/>
      <c r="K3197" s="1" t="s">
        <v>7259</v>
      </c>
    </row>
    <row r="3198" ht="14.25" customHeight="1">
      <c r="A3198" s="3" t="s">
        <v>1766</v>
      </c>
      <c r="B3198" s="1">
        <v>7.5</v>
      </c>
      <c r="C3198" s="1" t="s">
        <v>3238</v>
      </c>
      <c r="D3198" s="1" t="s">
        <v>17764</v>
      </c>
      <c r="E3198" s="1"/>
      <c r="F3198" s="1"/>
      <c r="G3198" s="1"/>
      <c r="H3198" s="1"/>
      <c r="I3198" s="1"/>
      <c r="J3198" s="1"/>
      <c r="K3198" s="1" t="s">
        <v>9778</v>
      </c>
    </row>
    <row r="3199" ht="14.25" customHeight="1">
      <c r="A3199" s="3" t="s">
        <v>1766</v>
      </c>
      <c r="B3199" s="1">
        <v>4.5</v>
      </c>
      <c r="C3199" s="1" t="s">
        <v>3238</v>
      </c>
      <c r="D3199" s="1" t="s">
        <v>17764</v>
      </c>
      <c r="E3199" s="1"/>
      <c r="F3199" s="1"/>
      <c r="G3199" s="1"/>
      <c r="H3199" s="1"/>
      <c r="I3199" s="1"/>
      <c r="J3199" s="1"/>
      <c r="K3199" s="1" t="s">
        <v>11794</v>
      </c>
    </row>
    <row r="3200" ht="14.25" customHeight="1">
      <c r="A3200" s="3" t="s">
        <v>1766</v>
      </c>
      <c r="B3200" s="1">
        <v>6.6</v>
      </c>
      <c r="C3200" s="1" t="s">
        <v>3238</v>
      </c>
      <c r="D3200" s="1" t="s">
        <v>17764</v>
      </c>
      <c r="E3200" s="1"/>
      <c r="F3200" s="1"/>
      <c r="G3200" s="1"/>
      <c r="H3200" s="1"/>
      <c r="I3200" s="1"/>
      <c r="J3200" s="1"/>
      <c r="K3200" s="1" t="s">
        <v>11916</v>
      </c>
    </row>
    <row r="3201" ht="14.25" customHeight="1">
      <c r="A3201" s="3" t="s">
        <v>1766</v>
      </c>
      <c r="B3201" s="1">
        <v>5.3</v>
      </c>
      <c r="C3201" s="1" t="s">
        <v>3238</v>
      </c>
      <c r="D3201" s="1" t="s">
        <v>17764</v>
      </c>
      <c r="E3201" s="1"/>
      <c r="F3201" s="1"/>
      <c r="G3201" s="1"/>
      <c r="H3201" s="1"/>
      <c r="I3201" s="1"/>
      <c r="J3201" s="1"/>
      <c r="K3201" s="1" t="s">
        <v>13696</v>
      </c>
    </row>
    <row r="3202" ht="14.25" customHeight="1">
      <c r="A3202" s="3" t="s">
        <v>1766</v>
      </c>
      <c r="B3202" s="1">
        <v>4.9</v>
      </c>
      <c r="C3202" s="1" t="s">
        <v>3238</v>
      </c>
      <c r="D3202" s="1" t="s">
        <v>17764</v>
      </c>
      <c r="E3202" s="1"/>
      <c r="F3202" s="1"/>
      <c r="G3202" s="1"/>
      <c r="H3202" s="1"/>
      <c r="I3202" s="1"/>
      <c r="J3202" s="1"/>
      <c r="K3202" s="1" t="s">
        <v>17012</v>
      </c>
    </row>
    <row r="3203" ht="14.25" customHeight="1">
      <c r="A3203" s="3" t="s">
        <v>13114</v>
      </c>
      <c r="B3203" s="1">
        <v>7.7</v>
      </c>
      <c r="C3203" s="1" t="s">
        <v>17758</v>
      </c>
      <c r="D3203" s="1" t="s">
        <v>17764</v>
      </c>
      <c r="E3203" s="1"/>
      <c r="F3203" s="1"/>
      <c r="G3203" s="1"/>
      <c r="H3203" s="1"/>
      <c r="I3203" s="1"/>
      <c r="J3203" s="1"/>
      <c r="K3203" s="1" t="s">
        <v>13113</v>
      </c>
    </row>
    <row r="3204" ht="14.25" customHeight="1">
      <c r="A3204" s="3" t="s">
        <v>9409</v>
      </c>
      <c r="B3204" s="1">
        <v>8.0</v>
      </c>
      <c r="C3204" s="1" t="s">
        <v>6019</v>
      </c>
      <c r="D3204" s="1" t="s">
        <v>17764</v>
      </c>
      <c r="E3204" s="1"/>
      <c r="F3204" s="1"/>
      <c r="G3204" s="1"/>
      <c r="H3204" s="1"/>
      <c r="I3204" s="1"/>
      <c r="J3204" s="1"/>
      <c r="K3204" s="1" t="s">
        <v>9408</v>
      </c>
    </row>
    <row r="3205" ht="14.25" customHeight="1">
      <c r="A3205" s="3" t="s">
        <v>9409</v>
      </c>
      <c r="B3205" s="1">
        <v>3.8</v>
      </c>
      <c r="C3205" s="1" t="s">
        <v>6019</v>
      </c>
      <c r="D3205" s="1" t="s">
        <v>17764</v>
      </c>
      <c r="E3205" s="1"/>
      <c r="F3205" s="1"/>
      <c r="G3205" s="1"/>
      <c r="H3205" s="1"/>
      <c r="I3205" s="1"/>
      <c r="J3205" s="1"/>
      <c r="K3205" s="1" t="s">
        <v>10399</v>
      </c>
    </row>
    <row r="3206" ht="14.25" customHeight="1">
      <c r="A3206" s="3" t="s">
        <v>9409</v>
      </c>
      <c r="B3206" s="1">
        <v>7.6</v>
      </c>
      <c r="C3206" s="1" t="s">
        <v>6019</v>
      </c>
      <c r="D3206" s="1" t="s">
        <v>17764</v>
      </c>
      <c r="E3206" s="1"/>
      <c r="F3206" s="1"/>
      <c r="G3206" s="1"/>
      <c r="H3206" s="1"/>
      <c r="I3206" s="1"/>
      <c r="J3206" s="1"/>
      <c r="K3206" s="1" t="s">
        <v>12984</v>
      </c>
    </row>
    <row r="3207" ht="14.25" customHeight="1">
      <c r="A3207" s="3" t="s">
        <v>9409</v>
      </c>
      <c r="B3207" s="1">
        <v>5.9</v>
      </c>
      <c r="C3207" s="1" t="s">
        <v>6019</v>
      </c>
      <c r="D3207" s="1" t="s">
        <v>17764</v>
      </c>
      <c r="E3207" s="1"/>
      <c r="F3207" s="1"/>
      <c r="G3207" s="1"/>
      <c r="H3207" s="1"/>
      <c r="I3207" s="1"/>
      <c r="J3207" s="1"/>
      <c r="K3207" s="1" t="s">
        <v>13227</v>
      </c>
    </row>
    <row r="3208" ht="14.25" customHeight="1">
      <c r="A3208" s="3" t="s">
        <v>9409</v>
      </c>
      <c r="B3208" s="1">
        <v>6.2</v>
      </c>
      <c r="C3208" s="1" t="s">
        <v>6019</v>
      </c>
      <c r="D3208" s="1" t="s">
        <v>17764</v>
      </c>
      <c r="E3208" s="1"/>
      <c r="F3208" s="1"/>
      <c r="G3208" s="1"/>
      <c r="H3208" s="1"/>
      <c r="I3208" s="1"/>
      <c r="J3208" s="1"/>
      <c r="K3208" s="1" t="s">
        <v>13705</v>
      </c>
    </row>
    <row r="3209" ht="14.25" customHeight="1">
      <c r="A3209" s="3" t="s">
        <v>9409</v>
      </c>
      <c r="B3209" s="1">
        <v>7.2</v>
      </c>
      <c r="C3209" s="1" t="s">
        <v>6019</v>
      </c>
      <c r="D3209" s="1" t="s">
        <v>17764</v>
      </c>
      <c r="E3209" s="1"/>
      <c r="F3209" s="1"/>
      <c r="G3209" s="1"/>
      <c r="H3209" s="1"/>
      <c r="I3209" s="1"/>
      <c r="J3209" s="1"/>
      <c r="K3209" s="1" t="s">
        <v>17227</v>
      </c>
    </row>
    <row r="3210" ht="14.25" customHeight="1">
      <c r="A3210" s="3" t="s">
        <v>14858</v>
      </c>
      <c r="B3210" s="1">
        <v>6.3</v>
      </c>
      <c r="C3210" s="1" t="s">
        <v>1270</v>
      </c>
      <c r="D3210" s="1" t="s">
        <v>17773</v>
      </c>
      <c r="E3210" s="1"/>
      <c r="F3210" s="1"/>
      <c r="G3210" s="1"/>
      <c r="H3210" s="1"/>
      <c r="I3210" s="1"/>
      <c r="J3210" s="1"/>
      <c r="K3210" s="1" t="s">
        <v>14857</v>
      </c>
    </row>
    <row r="3211" ht="14.25" customHeight="1">
      <c r="A3211" s="3" t="s">
        <v>3714</v>
      </c>
      <c r="B3211" s="1">
        <v>5.2</v>
      </c>
      <c r="C3211" s="1" t="s">
        <v>1885</v>
      </c>
      <c r="D3211" s="1" t="s">
        <v>17773</v>
      </c>
      <c r="E3211" s="1"/>
      <c r="F3211" s="1"/>
      <c r="G3211" s="1"/>
      <c r="H3211" s="1"/>
      <c r="I3211" s="1"/>
      <c r="J3211" s="1"/>
      <c r="K3211" s="1" t="s">
        <v>3713</v>
      </c>
    </row>
    <row r="3212" ht="14.25" customHeight="1">
      <c r="A3212" s="3" t="s">
        <v>3714</v>
      </c>
      <c r="B3212" s="1">
        <v>6.9</v>
      </c>
      <c r="C3212" s="1" t="s">
        <v>1885</v>
      </c>
      <c r="D3212" s="1" t="s">
        <v>17773</v>
      </c>
      <c r="E3212" s="1"/>
      <c r="F3212" s="1"/>
      <c r="G3212" s="1"/>
      <c r="H3212" s="1"/>
      <c r="I3212" s="1"/>
      <c r="J3212" s="1"/>
      <c r="K3212" s="1" t="s">
        <v>4491</v>
      </c>
    </row>
    <row r="3213" ht="14.25" customHeight="1">
      <c r="A3213" s="3" t="s">
        <v>3714</v>
      </c>
      <c r="B3213" s="1">
        <v>6.8</v>
      </c>
      <c r="C3213" s="1" t="s">
        <v>1885</v>
      </c>
      <c r="D3213" s="1" t="s">
        <v>17773</v>
      </c>
      <c r="E3213" s="1"/>
      <c r="F3213" s="1"/>
      <c r="G3213" s="1"/>
      <c r="H3213" s="1"/>
      <c r="I3213" s="1"/>
      <c r="J3213" s="1"/>
      <c r="K3213" s="1" t="s">
        <v>4938</v>
      </c>
    </row>
    <row r="3214" ht="14.25" customHeight="1">
      <c r="A3214" s="3" t="s">
        <v>3714</v>
      </c>
      <c r="B3214" s="1">
        <v>6.1</v>
      </c>
      <c r="C3214" s="1" t="s">
        <v>1885</v>
      </c>
      <c r="D3214" s="1" t="s">
        <v>17773</v>
      </c>
      <c r="E3214" s="1"/>
      <c r="F3214" s="1"/>
      <c r="G3214" s="1"/>
      <c r="H3214" s="1"/>
      <c r="I3214" s="1"/>
      <c r="J3214" s="1"/>
      <c r="K3214" s="1" t="s">
        <v>6527</v>
      </c>
    </row>
    <row r="3215" ht="14.25" customHeight="1">
      <c r="A3215" s="3" t="s">
        <v>3714</v>
      </c>
      <c r="B3215" s="1">
        <v>5.9</v>
      </c>
      <c r="C3215" s="1" t="s">
        <v>1885</v>
      </c>
      <c r="D3215" s="1" t="s">
        <v>17773</v>
      </c>
      <c r="E3215" s="1"/>
      <c r="F3215" s="1"/>
      <c r="G3215" s="1"/>
      <c r="H3215" s="1"/>
      <c r="I3215" s="1"/>
      <c r="J3215" s="1"/>
      <c r="K3215" s="1" t="s">
        <v>7601</v>
      </c>
    </row>
    <row r="3216" ht="14.25" customHeight="1">
      <c r="A3216" s="3" t="s">
        <v>3714</v>
      </c>
      <c r="B3216" s="1">
        <v>6.9</v>
      </c>
      <c r="C3216" s="1" t="s">
        <v>1885</v>
      </c>
      <c r="D3216" s="1" t="s">
        <v>17773</v>
      </c>
      <c r="E3216" s="1"/>
      <c r="F3216" s="1"/>
      <c r="G3216" s="1"/>
      <c r="H3216" s="1"/>
      <c r="I3216" s="1"/>
      <c r="J3216" s="1"/>
      <c r="K3216" s="1" t="s">
        <v>8984</v>
      </c>
    </row>
    <row r="3217" ht="14.25" customHeight="1">
      <c r="A3217" s="3" t="s">
        <v>3714</v>
      </c>
      <c r="B3217" s="1">
        <v>7.7</v>
      </c>
      <c r="C3217" s="1" t="s">
        <v>1885</v>
      </c>
      <c r="D3217" s="1" t="s">
        <v>17773</v>
      </c>
      <c r="E3217" s="1"/>
      <c r="F3217" s="1"/>
      <c r="G3217" s="1"/>
      <c r="H3217" s="1"/>
      <c r="I3217" s="1"/>
      <c r="J3217" s="1"/>
      <c r="K3217" s="1" t="s">
        <v>9343</v>
      </c>
    </row>
    <row r="3218" ht="14.25" customHeight="1">
      <c r="A3218" s="3" t="s">
        <v>3714</v>
      </c>
      <c r="B3218" s="1">
        <v>5.3</v>
      </c>
      <c r="C3218" s="1" t="s">
        <v>1885</v>
      </c>
      <c r="D3218" s="1" t="s">
        <v>17773</v>
      </c>
      <c r="E3218" s="1"/>
      <c r="F3218" s="1"/>
      <c r="G3218" s="1"/>
      <c r="H3218" s="1"/>
      <c r="I3218" s="1"/>
      <c r="J3218" s="1"/>
      <c r="K3218" s="1" t="s">
        <v>9385</v>
      </c>
    </row>
    <row r="3219" ht="14.25" customHeight="1">
      <c r="A3219" s="3" t="s">
        <v>3714</v>
      </c>
      <c r="B3219" s="1">
        <v>7.0</v>
      </c>
      <c r="C3219" s="1" t="s">
        <v>1885</v>
      </c>
      <c r="D3219" s="1" t="s">
        <v>17773</v>
      </c>
      <c r="E3219" s="1"/>
      <c r="F3219" s="1"/>
      <c r="G3219" s="1"/>
      <c r="H3219" s="1"/>
      <c r="I3219" s="1"/>
      <c r="J3219" s="1"/>
      <c r="K3219" s="1" t="s">
        <v>12947</v>
      </c>
    </row>
    <row r="3220" ht="14.25" customHeight="1">
      <c r="A3220" s="3" t="s">
        <v>3714</v>
      </c>
      <c r="B3220" s="1">
        <v>6.6</v>
      </c>
      <c r="C3220" s="1" t="s">
        <v>1885</v>
      </c>
      <c r="D3220" s="1" t="s">
        <v>17773</v>
      </c>
      <c r="E3220" s="1"/>
      <c r="F3220" s="1"/>
      <c r="G3220" s="1"/>
      <c r="H3220" s="1"/>
      <c r="I3220" s="1"/>
      <c r="J3220" s="1"/>
      <c r="K3220" s="1" t="s">
        <v>12996</v>
      </c>
    </row>
    <row r="3221" ht="14.25" customHeight="1">
      <c r="A3221" s="3" t="s">
        <v>3714</v>
      </c>
      <c r="B3221" s="1">
        <v>6.4</v>
      </c>
      <c r="C3221" s="1" t="s">
        <v>1885</v>
      </c>
      <c r="D3221" s="1" t="s">
        <v>17773</v>
      </c>
      <c r="E3221" s="1"/>
      <c r="F3221" s="1"/>
      <c r="G3221" s="1"/>
      <c r="H3221" s="1"/>
      <c r="I3221" s="1"/>
      <c r="J3221" s="1"/>
      <c r="K3221" s="1" t="s">
        <v>13141</v>
      </c>
    </row>
    <row r="3222" ht="14.25" customHeight="1">
      <c r="A3222" s="3" t="s">
        <v>3714</v>
      </c>
      <c r="B3222" s="1">
        <v>7.9</v>
      </c>
      <c r="C3222" s="1" t="s">
        <v>1885</v>
      </c>
      <c r="D3222" s="1" t="s">
        <v>17773</v>
      </c>
      <c r="E3222" s="1"/>
      <c r="F3222" s="1"/>
      <c r="G3222" s="1"/>
      <c r="H3222" s="1"/>
      <c r="I3222" s="1"/>
      <c r="J3222" s="1"/>
      <c r="K3222" s="1" t="s">
        <v>13171</v>
      </c>
    </row>
    <row r="3223" ht="14.25" customHeight="1">
      <c r="A3223" s="3" t="s">
        <v>3714</v>
      </c>
      <c r="B3223" s="1">
        <v>7.7</v>
      </c>
      <c r="C3223" s="1" t="s">
        <v>1885</v>
      </c>
      <c r="D3223" s="1" t="s">
        <v>17773</v>
      </c>
      <c r="E3223" s="1"/>
      <c r="F3223" s="1"/>
      <c r="G3223" s="1"/>
      <c r="H3223" s="1"/>
      <c r="I3223" s="1"/>
      <c r="J3223" s="1"/>
      <c r="K3223" s="1" t="s">
        <v>14369</v>
      </c>
    </row>
    <row r="3224" ht="14.25" customHeight="1">
      <c r="A3224" s="3" t="s">
        <v>3714</v>
      </c>
      <c r="B3224" s="1">
        <v>7.2</v>
      </c>
      <c r="C3224" s="1" t="s">
        <v>1885</v>
      </c>
      <c r="D3224" s="1" t="s">
        <v>17773</v>
      </c>
      <c r="E3224" s="1"/>
      <c r="F3224" s="1"/>
      <c r="G3224" s="1"/>
      <c r="H3224" s="1"/>
      <c r="I3224" s="1"/>
      <c r="J3224" s="1"/>
      <c r="K3224" s="1" t="s">
        <v>14645</v>
      </c>
    </row>
    <row r="3225" ht="14.25" customHeight="1">
      <c r="A3225" s="3" t="s">
        <v>3714</v>
      </c>
      <c r="B3225" s="1">
        <v>6.8</v>
      </c>
      <c r="C3225" s="1" t="s">
        <v>1885</v>
      </c>
      <c r="D3225" s="1" t="s">
        <v>17773</v>
      </c>
      <c r="E3225" s="1"/>
      <c r="F3225" s="1"/>
      <c r="G3225" s="1"/>
      <c r="H3225" s="1"/>
      <c r="I3225" s="1"/>
      <c r="J3225" s="1"/>
      <c r="K3225" s="1" t="s">
        <v>7601</v>
      </c>
    </row>
    <row r="3226" ht="14.25" customHeight="1">
      <c r="A3226" s="3" t="s">
        <v>16971</v>
      </c>
      <c r="B3226" s="1">
        <v>7.4</v>
      </c>
      <c r="C3226" s="1" t="s">
        <v>15542</v>
      </c>
      <c r="D3226" s="1" t="s">
        <v>17773</v>
      </c>
      <c r="E3226" s="1"/>
      <c r="F3226" s="1"/>
      <c r="G3226" s="1"/>
      <c r="H3226" s="1"/>
      <c r="I3226" s="1"/>
      <c r="J3226" s="1"/>
      <c r="K3226" s="1" t="s">
        <v>16970</v>
      </c>
    </row>
    <row r="3227" ht="14.25" customHeight="1">
      <c r="A3227" s="3" t="s">
        <v>16971</v>
      </c>
      <c r="B3227" s="1">
        <v>4.6</v>
      </c>
      <c r="C3227" s="1" t="s">
        <v>15542</v>
      </c>
      <c r="D3227" s="1" t="s">
        <v>17773</v>
      </c>
      <c r="E3227" s="1"/>
      <c r="F3227" s="1"/>
      <c r="G3227" s="1"/>
      <c r="H3227" s="1"/>
      <c r="I3227" s="1"/>
      <c r="J3227" s="1"/>
      <c r="K3227" s="1" t="s">
        <v>17423</v>
      </c>
    </row>
    <row r="3228" ht="14.25" customHeight="1">
      <c r="A3228" s="3" t="s">
        <v>3598</v>
      </c>
      <c r="B3228" s="1">
        <v>6.4</v>
      </c>
      <c r="C3228" s="1" t="s">
        <v>3238</v>
      </c>
      <c r="D3228" s="1" t="s">
        <v>17773</v>
      </c>
      <c r="E3228" s="1"/>
      <c r="F3228" s="1"/>
      <c r="G3228" s="1"/>
      <c r="H3228" s="1"/>
      <c r="I3228" s="1"/>
      <c r="J3228" s="1"/>
      <c r="K3228" s="1" t="s">
        <v>3597</v>
      </c>
    </row>
    <row r="3229" ht="14.25" customHeight="1">
      <c r="A3229" s="3" t="s">
        <v>3598</v>
      </c>
      <c r="B3229" s="1">
        <v>7.0</v>
      </c>
      <c r="C3229" s="1" t="s">
        <v>3238</v>
      </c>
      <c r="D3229" s="1" t="s">
        <v>17773</v>
      </c>
      <c r="E3229" s="1"/>
      <c r="F3229" s="1"/>
      <c r="G3229" s="1"/>
      <c r="H3229" s="1"/>
      <c r="I3229" s="1"/>
      <c r="J3229" s="1"/>
      <c r="K3229" s="1" t="s">
        <v>3831</v>
      </c>
    </row>
    <row r="3230" ht="14.25" customHeight="1">
      <c r="A3230" s="3" t="s">
        <v>3598</v>
      </c>
      <c r="B3230" s="1">
        <v>7.7</v>
      </c>
      <c r="C3230" s="1" t="s">
        <v>3238</v>
      </c>
      <c r="D3230" s="1" t="s">
        <v>17773</v>
      </c>
      <c r="E3230" s="1"/>
      <c r="F3230" s="1"/>
      <c r="G3230" s="1"/>
      <c r="H3230" s="1"/>
      <c r="I3230" s="1"/>
      <c r="J3230" s="1"/>
      <c r="K3230" s="1" t="s">
        <v>5411</v>
      </c>
    </row>
    <row r="3231" ht="14.25" customHeight="1">
      <c r="A3231" s="3" t="s">
        <v>3598</v>
      </c>
      <c r="B3231" s="1">
        <v>6.8</v>
      </c>
      <c r="C3231" s="1" t="s">
        <v>3238</v>
      </c>
      <c r="D3231" s="1" t="s">
        <v>17773</v>
      </c>
      <c r="E3231" s="1"/>
      <c r="F3231" s="1"/>
      <c r="G3231" s="1"/>
      <c r="H3231" s="1"/>
      <c r="I3231" s="1"/>
      <c r="J3231" s="1"/>
      <c r="K3231" s="1" t="s">
        <v>6663</v>
      </c>
    </row>
    <row r="3232" ht="14.25" customHeight="1">
      <c r="A3232" s="3" t="s">
        <v>3598</v>
      </c>
      <c r="B3232" s="1">
        <v>7.0</v>
      </c>
      <c r="C3232" s="1" t="s">
        <v>3238</v>
      </c>
      <c r="D3232" s="1" t="s">
        <v>17773</v>
      </c>
      <c r="E3232" s="1"/>
      <c r="F3232" s="1"/>
      <c r="G3232" s="1"/>
      <c r="H3232" s="1"/>
      <c r="I3232" s="1"/>
      <c r="J3232" s="1"/>
      <c r="K3232" s="1" t="s">
        <v>7635</v>
      </c>
    </row>
    <row r="3233" ht="14.25" customHeight="1">
      <c r="A3233" s="3" t="s">
        <v>3598</v>
      </c>
      <c r="B3233" s="1">
        <v>7.0</v>
      </c>
      <c r="C3233" s="1" t="s">
        <v>3238</v>
      </c>
      <c r="D3233" s="1" t="s">
        <v>17773</v>
      </c>
      <c r="E3233" s="1"/>
      <c r="F3233" s="1"/>
      <c r="G3233" s="1"/>
      <c r="H3233" s="1"/>
      <c r="I3233" s="1"/>
      <c r="J3233" s="1"/>
      <c r="K3233" s="1" t="s">
        <v>7806</v>
      </c>
    </row>
    <row r="3234" ht="14.25" customHeight="1">
      <c r="A3234" s="3" t="s">
        <v>3598</v>
      </c>
      <c r="B3234" s="1">
        <v>6.3</v>
      </c>
      <c r="C3234" s="1" t="s">
        <v>3238</v>
      </c>
      <c r="D3234" s="1" t="s">
        <v>17773</v>
      </c>
      <c r="E3234" s="1"/>
      <c r="F3234" s="1"/>
      <c r="G3234" s="1"/>
      <c r="H3234" s="1"/>
      <c r="I3234" s="1"/>
      <c r="J3234" s="1"/>
      <c r="K3234" s="1" t="s">
        <v>9007</v>
      </c>
    </row>
    <row r="3235" ht="14.25" customHeight="1">
      <c r="A3235" s="3" t="s">
        <v>3598</v>
      </c>
      <c r="B3235" s="1">
        <v>7.1</v>
      </c>
      <c r="C3235" s="1" t="s">
        <v>3238</v>
      </c>
      <c r="D3235" s="1" t="s">
        <v>17773</v>
      </c>
      <c r="E3235" s="1"/>
      <c r="F3235" s="1"/>
      <c r="G3235" s="1"/>
      <c r="H3235" s="1"/>
      <c r="I3235" s="1"/>
      <c r="J3235" s="1"/>
      <c r="K3235" s="1" t="s">
        <v>9111</v>
      </c>
    </row>
    <row r="3236" ht="14.25" customHeight="1">
      <c r="A3236" s="3" t="s">
        <v>3598</v>
      </c>
      <c r="B3236" s="1">
        <v>7.1</v>
      </c>
      <c r="C3236" s="1" t="s">
        <v>3238</v>
      </c>
      <c r="D3236" s="1" t="s">
        <v>17773</v>
      </c>
      <c r="E3236" s="1"/>
      <c r="F3236" s="1"/>
      <c r="G3236" s="1"/>
      <c r="H3236" s="1"/>
      <c r="I3236" s="1"/>
      <c r="J3236" s="1"/>
      <c r="K3236" s="1" t="s">
        <v>9133</v>
      </c>
    </row>
    <row r="3237" ht="14.25" customHeight="1">
      <c r="A3237" s="3" t="s">
        <v>3598</v>
      </c>
      <c r="B3237" s="1">
        <v>6.1</v>
      </c>
      <c r="C3237" s="1" t="s">
        <v>3238</v>
      </c>
      <c r="D3237" s="1" t="s">
        <v>17773</v>
      </c>
      <c r="E3237" s="1"/>
      <c r="F3237" s="1"/>
      <c r="G3237" s="1"/>
      <c r="H3237" s="1"/>
      <c r="I3237" s="1"/>
      <c r="J3237" s="1"/>
      <c r="K3237" s="1" t="s">
        <v>9270</v>
      </c>
    </row>
    <row r="3238" ht="14.25" customHeight="1">
      <c r="A3238" s="3" t="s">
        <v>3598</v>
      </c>
      <c r="B3238" s="1">
        <v>7.3</v>
      </c>
      <c r="C3238" s="1" t="s">
        <v>3238</v>
      </c>
      <c r="D3238" s="1" t="s">
        <v>17773</v>
      </c>
      <c r="E3238" s="1"/>
      <c r="F3238" s="1"/>
      <c r="G3238" s="1"/>
      <c r="H3238" s="1"/>
      <c r="I3238" s="1"/>
      <c r="J3238" s="1"/>
      <c r="K3238" s="1" t="s">
        <v>9715</v>
      </c>
    </row>
    <row r="3239" ht="14.25" customHeight="1">
      <c r="A3239" s="3" t="s">
        <v>3598</v>
      </c>
      <c r="B3239" s="1">
        <v>6.2</v>
      </c>
      <c r="C3239" s="1" t="s">
        <v>3238</v>
      </c>
      <c r="D3239" s="1" t="s">
        <v>17773</v>
      </c>
      <c r="E3239" s="1"/>
      <c r="F3239" s="1"/>
      <c r="G3239" s="1"/>
      <c r="H3239" s="1"/>
      <c r="I3239" s="1"/>
      <c r="J3239" s="1"/>
      <c r="K3239" s="1" t="s">
        <v>11756</v>
      </c>
    </row>
    <row r="3240" ht="14.25" customHeight="1">
      <c r="A3240" s="3" t="s">
        <v>3598</v>
      </c>
      <c r="B3240" s="1">
        <v>6.2</v>
      </c>
      <c r="C3240" s="1" t="s">
        <v>3238</v>
      </c>
      <c r="D3240" s="1" t="s">
        <v>17773</v>
      </c>
      <c r="E3240" s="1"/>
      <c r="F3240" s="1"/>
      <c r="G3240" s="1"/>
      <c r="H3240" s="1"/>
      <c r="I3240" s="1"/>
      <c r="J3240" s="1"/>
      <c r="K3240" s="1" t="s">
        <v>12393</v>
      </c>
    </row>
    <row r="3241" ht="14.25" customHeight="1">
      <c r="A3241" s="3" t="s">
        <v>3598</v>
      </c>
      <c r="B3241" s="1">
        <v>3.3</v>
      </c>
      <c r="C3241" s="1" t="s">
        <v>3238</v>
      </c>
      <c r="D3241" s="1" t="s">
        <v>17773</v>
      </c>
      <c r="E3241" s="1"/>
      <c r="F3241" s="1"/>
      <c r="G3241" s="1"/>
      <c r="H3241" s="1"/>
      <c r="I3241" s="1"/>
      <c r="J3241" s="1"/>
      <c r="K3241" s="1" t="s">
        <v>13161</v>
      </c>
    </row>
    <row r="3242" ht="14.25" customHeight="1">
      <c r="A3242" s="3" t="s">
        <v>3598</v>
      </c>
      <c r="B3242" s="1">
        <v>7.4</v>
      </c>
      <c r="C3242" s="1" t="s">
        <v>3238</v>
      </c>
      <c r="D3242" s="1" t="s">
        <v>17773</v>
      </c>
      <c r="E3242" s="1"/>
      <c r="F3242" s="1"/>
      <c r="G3242" s="1"/>
      <c r="H3242" s="1"/>
      <c r="I3242" s="1"/>
      <c r="J3242" s="1"/>
      <c r="K3242" s="1" t="s">
        <v>14386</v>
      </c>
    </row>
    <row r="3243" ht="14.25" customHeight="1">
      <c r="A3243" s="3" t="s">
        <v>3598</v>
      </c>
      <c r="B3243" s="1">
        <v>8.0</v>
      </c>
      <c r="C3243" s="1" t="s">
        <v>3238</v>
      </c>
      <c r="D3243" s="1" t="s">
        <v>17773</v>
      </c>
      <c r="E3243" s="1"/>
      <c r="F3243" s="1"/>
      <c r="G3243" s="1"/>
      <c r="H3243" s="1"/>
      <c r="I3243" s="1"/>
      <c r="J3243" s="1"/>
      <c r="K3243" s="1" t="s">
        <v>14412</v>
      </c>
    </row>
    <row r="3244" ht="14.25" customHeight="1">
      <c r="A3244" s="3" t="s">
        <v>3598</v>
      </c>
      <c r="B3244" s="1">
        <v>5.9</v>
      </c>
      <c r="C3244" s="1" t="s">
        <v>3238</v>
      </c>
      <c r="D3244" s="1" t="s">
        <v>17773</v>
      </c>
      <c r="E3244" s="1"/>
      <c r="F3244" s="1"/>
      <c r="G3244" s="1"/>
      <c r="H3244" s="1"/>
      <c r="I3244" s="1"/>
      <c r="J3244" s="1"/>
      <c r="K3244" s="1" t="s">
        <v>14670</v>
      </c>
    </row>
    <row r="3245" ht="14.25" customHeight="1">
      <c r="A3245" s="3" t="s">
        <v>3598</v>
      </c>
      <c r="B3245" s="1">
        <v>6.8</v>
      </c>
      <c r="C3245" s="1" t="s">
        <v>3238</v>
      </c>
      <c r="D3245" s="1" t="s">
        <v>17773</v>
      </c>
      <c r="E3245" s="1"/>
      <c r="F3245" s="1"/>
      <c r="G3245" s="1"/>
      <c r="H3245" s="1"/>
      <c r="I3245" s="1"/>
      <c r="J3245" s="1"/>
      <c r="K3245" s="1" t="s">
        <v>16751</v>
      </c>
    </row>
    <row r="3246" ht="14.25" customHeight="1">
      <c r="A3246" s="3" t="s">
        <v>3598</v>
      </c>
      <c r="B3246" s="1">
        <v>7.4</v>
      </c>
      <c r="C3246" s="1" t="s">
        <v>3238</v>
      </c>
      <c r="D3246" s="1" t="s">
        <v>17773</v>
      </c>
      <c r="E3246" s="1"/>
      <c r="F3246" s="1"/>
      <c r="G3246" s="1"/>
      <c r="H3246" s="1"/>
      <c r="I3246" s="1"/>
      <c r="J3246" s="1"/>
      <c r="K3246" s="1" t="s">
        <v>16812</v>
      </c>
    </row>
    <row r="3247" ht="14.25" customHeight="1">
      <c r="A3247" s="3" t="s">
        <v>3598</v>
      </c>
      <c r="B3247" s="1">
        <v>6.7</v>
      </c>
      <c r="C3247" s="1" t="s">
        <v>3238</v>
      </c>
      <c r="D3247" s="1" t="s">
        <v>17773</v>
      </c>
      <c r="E3247" s="1"/>
      <c r="F3247" s="1"/>
      <c r="G3247" s="1"/>
      <c r="H3247" s="1"/>
      <c r="I3247" s="1"/>
      <c r="J3247" s="1"/>
      <c r="K3247" s="1" t="s">
        <v>17317</v>
      </c>
    </row>
    <row r="3248" ht="14.25" customHeight="1">
      <c r="A3248" s="3" t="s">
        <v>3598</v>
      </c>
      <c r="B3248" s="1">
        <v>5.5</v>
      </c>
      <c r="C3248" s="1" t="s">
        <v>3238</v>
      </c>
      <c r="D3248" s="1" t="s">
        <v>17773</v>
      </c>
      <c r="E3248" s="1"/>
      <c r="F3248" s="1"/>
      <c r="G3248" s="1"/>
      <c r="H3248" s="1"/>
      <c r="I3248" s="1"/>
      <c r="J3248" s="1"/>
      <c r="K3248" s="1" t="s">
        <v>17463</v>
      </c>
    </row>
    <row r="3249" ht="14.25" customHeight="1">
      <c r="A3249" s="3" t="s">
        <v>3598</v>
      </c>
      <c r="B3249" s="1">
        <v>5.7</v>
      </c>
      <c r="C3249" s="1" t="s">
        <v>3238</v>
      </c>
      <c r="D3249" s="1" t="s">
        <v>17773</v>
      </c>
      <c r="E3249" s="1"/>
      <c r="F3249" s="1"/>
      <c r="G3249" s="1"/>
      <c r="H3249" s="1"/>
      <c r="I3249" s="1"/>
      <c r="J3249" s="1"/>
      <c r="K3249" s="1" t="s">
        <v>17620</v>
      </c>
    </row>
    <row r="3250" ht="14.25" customHeight="1">
      <c r="A3250" s="3" t="s">
        <v>57</v>
      </c>
      <c r="B3250" s="1">
        <v>7.2</v>
      </c>
      <c r="C3250" s="1" t="s">
        <v>1270</v>
      </c>
      <c r="D3250" s="1" t="s">
        <v>17471</v>
      </c>
      <c r="E3250" s="1"/>
      <c r="F3250" s="1"/>
      <c r="G3250" s="1"/>
      <c r="H3250" s="1"/>
      <c r="I3250" s="1"/>
      <c r="J3250" s="1"/>
      <c r="K3250" s="1" t="s">
        <v>56</v>
      </c>
    </row>
    <row r="3251" ht="14.25" customHeight="1">
      <c r="A3251" s="3" t="s">
        <v>57</v>
      </c>
      <c r="B3251" s="1">
        <v>5.9</v>
      </c>
      <c r="C3251" s="1" t="s">
        <v>1270</v>
      </c>
      <c r="D3251" s="1" t="s">
        <v>17471</v>
      </c>
      <c r="E3251" s="1"/>
      <c r="F3251" s="1"/>
      <c r="G3251" s="1"/>
      <c r="H3251" s="1"/>
      <c r="I3251" s="1"/>
      <c r="J3251" s="1"/>
      <c r="K3251" s="1" t="s">
        <v>1313</v>
      </c>
    </row>
    <row r="3252" ht="14.25" customHeight="1">
      <c r="A3252" s="3" t="s">
        <v>57</v>
      </c>
      <c r="B3252" s="1">
        <v>6.7</v>
      </c>
      <c r="C3252" s="1" t="s">
        <v>1270</v>
      </c>
      <c r="D3252" s="1" t="s">
        <v>17471</v>
      </c>
      <c r="E3252" s="1"/>
      <c r="F3252" s="1"/>
      <c r="G3252" s="1"/>
      <c r="H3252" s="1"/>
      <c r="I3252" s="1"/>
      <c r="J3252" s="1"/>
      <c r="K3252" s="1" t="s">
        <v>1968</v>
      </c>
    </row>
    <row r="3253" ht="14.25" customHeight="1">
      <c r="A3253" s="3" t="s">
        <v>57</v>
      </c>
      <c r="B3253" s="1">
        <v>7.1</v>
      </c>
      <c r="C3253" s="1" t="s">
        <v>1270</v>
      </c>
      <c r="D3253" s="1" t="s">
        <v>17471</v>
      </c>
      <c r="E3253" s="1"/>
      <c r="F3253" s="1"/>
      <c r="G3253" s="1"/>
      <c r="H3253" s="1"/>
      <c r="I3253" s="1"/>
      <c r="J3253" s="1"/>
      <c r="K3253" s="1" t="s">
        <v>2002</v>
      </c>
    </row>
    <row r="3254" ht="14.25" customHeight="1">
      <c r="A3254" s="3" t="s">
        <v>57</v>
      </c>
      <c r="B3254" s="1">
        <v>7.7</v>
      </c>
      <c r="C3254" s="1" t="s">
        <v>1270</v>
      </c>
      <c r="D3254" s="1" t="s">
        <v>17471</v>
      </c>
      <c r="E3254" s="1"/>
      <c r="F3254" s="1"/>
      <c r="G3254" s="1"/>
      <c r="H3254" s="1"/>
      <c r="I3254" s="1"/>
      <c r="J3254" s="1"/>
      <c r="K3254" s="1" t="s">
        <v>3164</v>
      </c>
    </row>
    <row r="3255" ht="14.25" customHeight="1">
      <c r="A3255" s="3" t="s">
        <v>57</v>
      </c>
      <c r="B3255" s="1">
        <v>7.4</v>
      </c>
      <c r="C3255" s="1" t="s">
        <v>1270</v>
      </c>
      <c r="D3255" s="1" t="s">
        <v>17471</v>
      </c>
      <c r="E3255" s="1"/>
      <c r="F3255" s="1"/>
      <c r="G3255" s="1"/>
      <c r="H3255" s="1"/>
      <c r="I3255" s="1"/>
      <c r="J3255" s="1"/>
      <c r="K3255" s="1" t="s">
        <v>3200</v>
      </c>
    </row>
    <row r="3256" ht="14.25" customHeight="1">
      <c r="A3256" s="3" t="s">
        <v>57</v>
      </c>
      <c r="B3256" s="1">
        <v>8.4</v>
      </c>
      <c r="C3256" s="1" t="s">
        <v>1270</v>
      </c>
      <c r="D3256" s="1" t="s">
        <v>17471</v>
      </c>
      <c r="E3256" s="1"/>
      <c r="F3256" s="1"/>
      <c r="G3256" s="1"/>
      <c r="H3256" s="1"/>
      <c r="I3256" s="1"/>
      <c r="J3256" s="1"/>
      <c r="K3256" s="1" t="s">
        <v>3249</v>
      </c>
    </row>
    <row r="3257" ht="14.25" customHeight="1">
      <c r="A3257" s="3" t="s">
        <v>57</v>
      </c>
      <c r="B3257" s="1">
        <v>7.2</v>
      </c>
      <c r="C3257" s="1" t="s">
        <v>1270</v>
      </c>
      <c r="D3257" s="1" t="s">
        <v>17471</v>
      </c>
      <c r="E3257" s="1"/>
      <c r="F3257" s="1"/>
      <c r="G3257" s="1"/>
      <c r="H3257" s="1"/>
      <c r="I3257" s="1"/>
      <c r="J3257" s="1"/>
      <c r="K3257" s="1" t="s">
        <v>3943</v>
      </c>
    </row>
    <row r="3258" ht="14.25" customHeight="1">
      <c r="A3258" s="3" t="s">
        <v>57</v>
      </c>
      <c r="B3258" s="1">
        <v>8.1</v>
      </c>
      <c r="C3258" s="1" t="s">
        <v>1270</v>
      </c>
      <c r="D3258" s="1" t="s">
        <v>17471</v>
      </c>
      <c r="E3258" s="1"/>
      <c r="F3258" s="1"/>
      <c r="G3258" s="1"/>
      <c r="H3258" s="1"/>
      <c r="I3258" s="1"/>
      <c r="J3258" s="1"/>
      <c r="K3258" s="1" t="s">
        <v>4532</v>
      </c>
    </row>
    <row r="3259" ht="14.25" customHeight="1">
      <c r="A3259" s="3" t="s">
        <v>57</v>
      </c>
      <c r="B3259" s="1">
        <v>7.8</v>
      </c>
      <c r="C3259" s="1" t="s">
        <v>1270</v>
      </c>
      <c r="D3259" s="1" t="s">
        <v>17471</v>
      </c>
      <c r="E3259" s="1"/>
      <c r="F3259" s="1"/>
      <c r="G3259" s="1"/>
      <c r="H3259" s="1"/>
      <c r="I3259" s="1"/>
      <c r="J3259" s="1"/>
      <c r="K3259" s="1" t="s">
        <v>4573</v>
      </c>
    </row>
    <row r="3260" ht="14.25" customHeight="1">
      <c r="A3260" s="3" t="s">
        <v>57</v>
      </c>
      <c r="B3260" s="1">
        <v>6.8</v>
      </c>
      <c r="C3260" s="1" t="s">
        <v>1270</v>
      </c>
      <c r="D3260" s="1" t="s">
        <v>17471</v>
      </c>
      <c r="E3260" s="1"/>
      <c r="F3260" s="1"/>
      <c r="G3260" s="1"/>
      <c r="H3260" s="1"/>
      <c r="I3260" s="1"/>
      <c r="J3260" s="1"/>
      <c r="K3260" s="1" t="s">
        <v>4697</v>
      </c>
    </row>
    <row r="3261" ht="14.25" customHeight="1">
      <c r="A3261" s="3" t="s">
        <v>57</v>
      </c>
      <c r="B3261" s="1">
        <v>7.7</v>
      </c>
      <c r="C3261" s="1" t="s">
        <v>1270</v>
      </c>
      <c r="D3261" s="1" t="s">
        <v>17471</v>
      </c>
      <c r="E3261" s="1"/>
      <c r="F3261" s="1"/>
      <c r="G3261" s="1"/>
      <c r="H3261" s="1"/>
      <c r="I3261" s="1"/>
      <c r="J3261" s="1"/>
      <c r="K3261" s="1" t="s">
        <v>4952</v>
      </c>
    </row>
    <row r="3262" ht="14.25" customHeight="1">
      <c r="A3262" s="3" t="s">
        <v>57</v>
      </c>
      <c r="B3262" s="1">
        <v>6.5</v>
      </c>
      <c r="C3262" s="1" t="s">
        <v>1270</v>
      </c>
      <c r="D3262" s="1" t="s">
        <v>17471</v>
      </c>
      <c r="E3262" s="1"/>
      <c r="F3262" s="1"/>
      <c r="G3262" s="1"/>
      <c r="H3262" s="1"/>
      <c r="I3262" s="1"/>
      <c r="J3262" s="1"/>
      <c r="K3262" s="1" t="s">
        <v>4971</v>
      </c>
    </row>
    <row r="3263" ht="14.25" customHeight="1">
      <c r="A3263" s="3" t="s">
        <v>57</v>
      </c>
      <c r="B3263" s="1">
        <v>7.3</v>
      </c>
      <c r="C3263" s="1" t="s">
        <v>1270</v>
      </c>
      <c r="D3263" s="1" t="s">
        <v>17471</v>
      </c>
      <c r="E3263" s="1"/>
      <c r="F3263" s="1"/>
      <c r="G3263" s="1"/>
      <c r="H3263" s="1"/>
      <c r="I3263" s="1"/>
      <c r="J3263" s="1"/>
      <c r="K3263" s="1" t="s">
        <v>5266</v>
      </c>
    </row>
    <row r="3264" ht="14.25" customHeight="1">
      <c r="A3264" s="3" t="s">
        <v>57</v>
      </c>
      <c r="B3264" s="1">
        <v>5.9</v>
      </c>
      <c r="C3264" s="1" t="s">
        <v>1270</v>
      </c>
      <c r="D3264" s="1" t="s">
        <v>17471</v>
      </c>
      <c r="E3264" s="1"/>
      <c r="F3264" s="1"/>
      <c r="G3264" s="1"/>
      <c r="H3264" s="1"/>
      <c r="I3264" s="1"/>
      <c r="J3264" s="1"/>
      <c r="K3264" s="1" t="s">
        <v>5375</v>
      </c>
    </row>
    <row r="3265" ht="14.25" customHeight="1">
      <c r="A3265" s="3" t="s">
        <v>57</v>
      </c>
      <c r="B3265" s="1">
        <v>8.7</v>
      </c>
      <c r="C3265" s="1" t="s">
        <v>1270</v>
      </c>
      <c r="D3265" s="1" t="s">
        <v>17471</v>
      </c>
      <c r="E3265" s="1"/>
      <c r="F3265" s="1"/>
      <c r="G3265" s="1"/>
      <c r="H3265" s="1"/>
      <c r="I3265" s="1"/>
      <c r="J3265" s="1"/>
      <c r="K3265" s="1" t="s">
        <v>5616</v>
      </c>
    </row>
    <row r="3266" ht="14.25" customHeight="1">
      <c r="A3266" s="3" t="s">
        <v>57</v>
      </c>
      <c r="B3266" s="1">
        <v>6.1</v>
      </c>
      <c r="C3266" s="1" t="s">
        <v>1270</v>
      </c>
      <c r="D3266" s="1" t="s">
        <v>17471</v>
      </c>
      <c r="E3266" s="1"/>
      <c r="F3266" s="1"/>
      <c r="G3266" s="1"/>
      <c r="H3266" s="1"/>
      <c r="I3266" s="1"/>
      <c r="J3266" s="1"/>
      <c r="K3266" s="1" t="s">
        <v>8227</v>
      </c>
    </row>
    <row r="3267" ht="14.25" customHeight="1">
      <c r="A3267" s="3" t="s">
        <v>57</v>
      </c>
      <c r="B3267" s="1">
        <v>7.6</v>
      </c>
      <c r="C3267" s="1" t="s">
        <v>1270</v>
      </c>
      <c r="D3267" s="1" t="s">
        <v>17471</v>
      </c>
      <c r="E3267" s="1"/>
      <c r="F3267" s="1"/>
      <c r="G3267" s="1"/>
      <c r="H3267" s="1"/>
      <c r="I3267" s="1"/>
      <c r="J3267" s="1"/>
      <c r="K3267" s="1" t="s">
        <v>8700</v>
      </c>
    </row>
    <row r="3268" ht="14.25" customHeight="1">
      <c r="A3268" s="3" t="s">
        <v>57</v>
      </c>
      <c r="B3268" s="1">
        <v>5.8</v>
      </c>
      <c r="C3268" s="1" t="s">
        <v>1270</v>
      </c>
      <c r="D3268" s="1" t="s">
        <v>17471</v>
      </c>
      <c r="E3268" s="1"/>
      <c r="F3268" s="1"/>
      <c r="G3268" s="1"/>
      <c r="H3268" s="1"/>
      <c r="I3268" s="1"/>
      <c r="J3268" s="1"/>
      <c r="K3268" s="1" t="s">
        <v>9442</v>
      </c>
    </row>
    <row r="3269" ht="14.25" customHeight="1">
      <c r="A3269" s="3" t="s">
        <v>57</v>
      </c>
      <c r="B3269" s="1">
        <v>6.5</v>
      </c>
      <c r="C3269" s="1" t="s">
        <v>1270</v>
      </c>
      <c r="D3269" s="1" t="s">
        <v>17471</v>
      </c>
      <c r="E3269" s="1"/>
      <c r="F3269" s="1"/>
      <c r="G3269" s="1"/>
      <c r="H3269" s="1"/>
      <c r="I3269" s="1"/>
      <c r="J3269" s="1"/>
      <c r="K3269" s="1" t="s">
        <v>10431</v>
      </c>
    </row>
    <row r="3270" ht="14.25" customHeight="1">
      <c r="A3270" s="3" t="s">
        <v>57</v>
      </c>
      <c r="B3270" s="1">
        <v>7.3</v>
      </c>
      <c r="C3270" s="1" t="s">
        <v>1270</v>
      </c>
      <c r="D3270" s="1" t="s">
        <v>17471</v>
      </c>
      <c r="E3270" s="1"/>
      <c r="F3270" s="1"/>
      <c r="G3270" s="1"/>
      <c r="H3270" s="1"/>
      <c r="I3270" s="1"/>
      <c r="J3270" s="1"/>
      <c r="K3270" s="1" t="s">
        <v>13251</v>
      </c>
    </row>
    <row r="3271" ht="14.25" customHeight="1">
      <c r="A3271" s="3" t="s">
        <v>57</v>
      </c>
      <c r="B3271" s="1">
        <v>6.2</v>
      </c>
      <c r="C3271" s="1" t="s">
        <v>1270</v>
      </c>
      <c r="D3271" s="1" t="s">
        <v>17471</v>
      </c>
      <c r="E3271" s="1"/>
      <c r="F3271" s="1"/>
      <c r="G3271" s="1"/>
      <c r="H3271" s="1"/>
      <c r="I3271" s="1"/>
      <c r="J3271" s="1"/>
      <c r="K3271" s="1" t="s">
        <v>15168</v>
      </c>
    </row>
    <row r="3272" ht="14.25" customHeight="1">
      <c r="A3272" s="3" t="s">
        <v>1458</v>
      </c>
      <c r="B3272" s="1">
        <v>5.0</v>
      </c>
      <c r="C3272" s="1" t="s">
        <v>17763</v>
      </c>
      <c r="D3272" s="1" t="s">
        <v>17471</v>
      </c>
      <c r="E3272" s="1"/>
      <c r="F3272" s="1"/>
      <c r="G3272" s="1"/>
      <c r="H3272" s="1"/>
      <c r="I3272" s="1"/>
      <c r="J3272" s="1"/>
      <c r="K3272" s="1" t="s">
        <v>1457</v>
      </c>
    </row>
    <row r="3273" ht="14.25" customHeight="1">
      <c r="A3273" s="3" t="s">
        <v>1458</v>
      </c>
      <c r="B3273" s="1">
        <v>7.8</v>
      </c>
      <c r="C3273" s="1" t="s">
        <v>17763</v>
      </c>
      <c r="D3273" s="1" t="s">
        <v>17471</v>
      </c>
      <c r="E3273" s="1"/>
      <c r="F3273" s="1"/>
      <c r="G3273" s="1"/>
      <c r="H3273" s="1"/>
      <c r="I3273" s="1"/>
      <c r="J3273" s="1"/>
      <c r="K3273" s="1" t="s">
        <v>2242</v>
      </c>
    </row>
    <row r="3274" ht="14.25" customHeight="1">
      <c r="A3274" s="3" t="s">
        <v>1458</v>
      </c>
      <c r="B3274" s="1">
        <v>8.1</v>
      </c>
      <c r="C3274" s="1" t="s">
        <v>17763</v>
      </c>
      <c r="D3274" s="1" t="s">
        <v>17471</v>
      </c>
      <c r="E3274" s="1"/>
      <c r="F3274" s="1"/>
      <c r="G3274" s="1"/>
      <c r="H3274" s="1"/>
      <c r="I3274" s="1"/>
      <c r="J3274" s="1"/>
      <c r="K3274" s="1" t="s">
        <v>2291</v>
      </c>
    </row>
    <row r="3275" ht="14.25" customHeight="1">
      <c r="A3275" s="3" t="s">
        <v>1458</v>
      </c>
      <c r="B3275" s="1">
        <v>6.7</v>
      </c>
      <c r="C3275" s="1" t="s">
        <v>17763</v>
      </c>
      <c r="D3275" s="1" t="s">
        <v>17471</v>
      </c>
      <c r="E3275" s="1"/>
      <c r="F3275" s="1"/>
      <c r="G3275" s="1"/>
      <c r="H3275" s="1"/>
      <c r="I3275" s="1"/>
      <c r="J3275" s="1"/>
      <c r="K3275" s="1" t="s">
        <v>3154</v>
      </c>
    </row>
    <row r="3276" ht="14.25" customHeight="1">
      <c r="A3276" s="3" t="s">
        <v>1458</v>
      </c>
      <c r="B3276" s="1">
        <v>6.1</v>
      </c>
      <c r="C3276" s="1" t="s">
        <v>17763</v>
      </c>
      <c r="D3276" s="1" t="s">
        <v>17471</v>
      </c>
      <c r="E3276" s="1"/>
      <c r="F3276" s="1"/>
      <c r="G3276" s="1"/>
      <c r="H3276" s="1"/>
      <c r="I3276" s="1"/>
      <c r="J3276" s="1"/>
      <c r="K3276" s="1" t="s">
        <v>4917</v>
      </c>
    </row>
    <row r="3277" ht="14.25" customHeight="1">
      <c r="A3277" s="3" t="s">
        <v>1458</v>
      </c>
      <c r="B3277" s="1">
        <v>7.1</v>
      </c>
      <c r="C3277" s="1" t="s">
        <v>17763</v>
      </c>
      <c r="D3277" s="1" t="s">
        <v>17471</v>
      </c>
      <c r="E3277" s="1"/>
      <c r="F3277" s="1"/>
      <c r="G3277" s="1"/>
      <c r="H3277" s="1"/>
      <c r="I3277" s="1"/>
      <c r="J3277" s="1"/>
      <c r="K3277" s="1" t="s">
        <v>5975</v>
      </c>
    </row>
    <row r="3278" ht="14.25" customHeight="1">
      <c r="A3278" s="3" t="s">
        <v>1458</v>
      </c>
      <c r="B3278" s="1">
        <v>5.6</v>
      </c>
      <c r="C3278" s="1" t="s">
        <v>17763</v>
      </c>
      <c r="D3278" s="1" t="s">
        <v>17471</v>
      </c>
      <c r="E3278" s="1"/>
      <c r="F3278" s="1"/>
      <c r="G3278" s="1"/>
      <c r="H3278" s="1"/>
      <c r="I3278" s="1"/>
      <c r="J3278" s="1"/>
      <c r="K3278" s="1" t="s">
        <v>6842</v>
      </c>
    </row>
    <row r="3279" ht="14.25" customHeight="1">
      <c r="A3279" s="3" t="s">
        <v>1458</v>
      </c>
      <c r="B3279" s="1">
        <v>7.6</v>
      </c>
      <c r="C3279" s="1" t="s">
        <v>17763</v>
      </c>
      <c r="D3279" s="1" t="s">
        <v>17471</v>
      </c>
      <c r="E3279" s="1"/>
      <c r="F3279" s="1"/>
      <c r="G3279" s="1"/>
      <c r="H3279" s="1"/>
      <c r="I3279" s="1"/>
      <c r="J3279" s="1"/>
      <c r="K3279" s="1" t="s">
        <v>8090</v>
      </c>
    </row>
    <row r="3280" ht="14.25" customHeight="1">
      <c r="A3280" s="3" t="s">
        <v>1458</v>
      </c>
      <c r="B3280" s="1">
        <v>4.6</v>
      </c>
      <c r="C3280" s="1" t="s">
        <v>17763</v>
      </c>
      <c r="D3280" s="1" t="s">
        <v>17471</v>
      </c>
      <c r="E3280" s="1"/>
      <c r="F3280" s="1"/>
      <c r="G3280" s="1"/>
      <c r="H3280" s="1"/>
      <c r="I3280" s="1"/>
      <c r="J3280" s="1"/>
      <c r="K3280" s="1" t="s">
        <v>11721</v>
      </c>
    </row>
    <row r="3281" ht="14.25" customHeight="1">
      <c r="A3281" s="3" t="s">
        <v>1458</v>
      </c>
      <c r="B3281" s="1">
        <v>7.1</v>
      </c>
      <c r="C3281" s="1" t="s">
        <v>17763</v>
      </c>
      <c r="D3281" s="1" t="s">
        <v>17471</v>
      </c>
      <c r="E3281" s="1"/>
      <c r="F3281" s="1"/>
      <c r="G3281" s="1"/>
      <c r="H3281" s="1"/>
      <c r="I3281" s="1"/>
      <c r="J3281" s="1"/>
      <c r="K3281" s="1" t="s">
        <v>11761</v>
      </c>
    </row>
    <row r="3282" ht="14.25" customHeight="1">
      <c r="A3282" s="3" t="s">
        <v>1458</v>
      </c>
      <c r="B3282" s="1">
        <v>7.3</v>
      </c>
      <c r="C3282" s="1" t="s">
        <v>17763</v>
      </c>
      <c r="D3282" s="1" t="s">
        <v>17471</v>
      </c>
      <c r="E3282" s="1"/>
      <c r="F3282" s="1"/>
      <c r="G3282" s="1"/>
      <c r="H3282" s="1"/>
      <c r="I3282" s="1"/>
      <c r="J3282" s="1"/>
      <c r="K3282" s="1" t="s">
        <v>12306</v>
      </c>
    </row>
    <row r="3283" ht="14.25" customHeight="1">
      <c r="A3283" s="3" t="s">
        <v>1458</v>
      </c>
      <c r="B3283" s="1">
        <v>4.0</v>
      </c>
      <c r="C3283" s="1" t="s">
        <v>17763</v>
      </c>
      <c r="D3283" s="1" t="s">
        <v>17471</v>
      </c>
      <c r="E3283" s="1"/>
      <c r="F3283" s="1"/>
      <c r="G3283" s="1"/>
      <c r="H3283" s="1"/>
      <c r="I3283" s="1"/>
      <c r="J3283" s="1"/>
      <c r="K3283" s="1" t="s">
        <v>12451</v>
      </c>
    </row>
    <row r="3284" ht="14.25" customHeight="1">
      <c r="A3284" s="3" t="s">
        <v>1458</v>
      </c>
      <c r="B3284" s="1">
        <v>8.0</v>
      </c>
      <c r="C3284" s="1" t="s">
        <v>17763</v>
      </c>
      <c r="D3284" s="1" t="s">
        <v>17471</v>
      </c>
      <c r="E3284" s="1"/>
      <c r="F3284" s="1"/>
      <c r="G3284" s="1"/>
      <c r="H3284" s="1"/>
      <c r="I3284" s="1"/>
      <c r="J3284" s="1"/>
      <c r="K3284" s="1" t="s">
        <v>12608</v>
      </c>
    </row>
    <row r="3285" ht="14.25" customHeight="1">
      <c r="A3285" s="3" t="s">
        <v>1458</v>
      </c>
      <c r="B3285" s="1">
        <v>6.7</v>
      </c>
      <c r="C3285" s="1" t="s">
        <v>17763</v>
      </c>
      <c r="D3285" s="1" t="s">
        <v>17471</v>
      </c>
      <c r="E3285" s="1"/>
      <c r="F3285" s="1"/>
      <c r="G3285" s="1"/>
      <c r="H3285" s="1"/>
      <c r="I3285" s="1"/>
      <c r="J3285" s="1"/>
      <c r="K3285" s="1" t="s">
        <v>12950</v>
      </c>
    </row>
    <row r="3286" ht="14.25" customHeight="1">
      <c r="A3286" s="3" t="s">
        <v>1458</v>
      </c>
      <c r="B3286" s="1">
        <v>5.7</v>
      </c>
      <c r="C3286" s="1" t="s">
        <v>17763</v>
      </c>
      <c r="D3286" s="1" t="s">
        <v>17471</v>
      </c>
      <c r="E3286" s="1"/>
      <c r="F3286" s="1"/>
      <c r="G3286" s="1"/>
      <c r="H3286" s="1"/>
      <c r="I3286" s="1"/>
      <c r="J3286" s="1"/>
      <c r="K3286" s="1" t="s">
        <v>14475</v>
      </c>
    </row>
    <row r="3287" ht="14.25" customHeight="1">
      <c r="A3287" s="3" t="s">
        <v>3868</v>
      </c>
      <c r="B3287" s="1">
        <v>4.6</v>
      </c>
      <c r="C3287" s="1" t="s">
        <v>3238</v>
      </c>
      <c r="D3287" s="1" t="s">
        <v>17471</v>
      </c>
      <c r="E3287" s="1"/>
      <c r="F3287" s="1"/>
      <c r="G3287" s="1"/>
      <c r="H3287" s="1"/>
      <c r="I3287" s="1"/>
      <c r="J3287" s="1"/>
      <c r="K3287" s="1" t="s">
        <v>3867</v>
      </c>
    </row>
    <row r="3288" ht="14.25" customHeight="1">
      <c r="A3288" s="3" t="s">
        <v>3868</v>
      </c>
      <c r="B3288" s="1">
        <v>4.0</v>
      </c>
      <c r="C3288" s="1" t="s">
        <v>3238</v>
      </c>
      <c r="D3288" s="1" t="s">
        <v>17471</v>
      </c>
      <c r="E3288" s="1"/>
      <c r="F3288" s="1"/>
      <c r="G3288" s="1"/>
      <c r="H3288" s="1"/>
      <c r="I3288" s="1"/>
      <c r="J3288" s="1"/>
      <c r="K3288" s="1" t="s">
        <v>4387</v>
      </c>
    </row>
    <row r="3289" ht="14.25" customHeight="1">
      <c r="A3289" s="3" t="s">
        <v>3868</v>
      </c>
      <c r="B3289" s="1">
        <v>7.0</v>
      </c>
      <c r="C3289" s="1" t="s">
        <v>3238</v>
      </c>
      <c r="D3289" s="1" t="s">
        <v>17471</v>
      </c>
      <c r="E3289" s="1"/>
      <c r="F3289" s="1"/>
      <c r="G3289" s="1"/>
      <c r="H3289" s="1"/>
      <c r="I3289" s="1"/>
      <c r="J3289" s="1"/>
      <c r="K3289" s="1" t="s">
        <v>4481</v>
      </c>
    </row>
    <row r="3290" ht="14.25" customHeight="1">
      <c r="A3290" s="3" t="s">
        <v>3868</v>
      </c>
      <c r="B3290" s="1">
        <v>5.9</v>
      </c>
      <c r="C3290" s="1" t="s">
        <v>3238</v>
      </c>
      <c r="D3290" s="1" t="s">
        <v>17471</v>
      </c>
      <c r="E3290" s="1"/>
      <c r="F3290" s="1"/>
      <c r="G3290" s="1"/>
      <c r="H3290" s="1"/>
      <c r="I3290" s="1"/>
      <c r="J3290" s="1"/>
      <c r="K3290" s="1" t="s">
        <v>4603</v>
      </c>
    </row>
    <row r="3291" ht="14.25" customHeight="1">
      <c r="A3291" s="3" t="s">
        <v>3868</v>
      </c>
      <c r="B3291" s="1">
        <v>4.8</v>
      </c>
      <c r="C3291" s="1" t="s">
        <v>3238</v>
      </c>
      <c r="D3291" s="1" t="s">
        <v>17471</v>
      </c>
      <c r="E3291" s="1"/>
      <c r="F3291" s="1"/>
      <c r="G3291" s="1"/>
      <c r="H3291" s="1"/>
      <c r="I3291" s="1"/>
      <c r="J3291" s="1"/>
      <c r="K3291" s="1" t="s">
        <v>4888</v>
      </c>
    </row>
    <row r="3292" ht="14.25" customHeight="1">
      <c r="A3292" s="3" t="s">
        <v>3868</v>
      </c>
      <c r="B3292" s="1">
        <v>7.5</v>
      </c>
      <c r="C3292" s="1" t="s">
        <v>3238</v>
      </c>
      <c r="D3292" s="1" t="s">
        <v>17471</v>
      </c>
      <c r="E3292" s="1"/>
      <c r="F3292" s="1"/>
      <c r="G3292" s="1"/>
      <c r="H3292" s="1"/>
      <c r="I3292" s="1"/>
      <c r="J3292" s="1"/>
      <c r="K3292" s="1" t="s">
        <v>4901</v>
      </c>
    </row>
    <row r="3293" ht="14.25" customHeight="1">
      <c r="A3293" s="3" t="s">
        <v>3868</v>
      </c>
      <c r="B3293" s="1">
        <v>4.7</v>
      </c>
      <c r="C3293" s="1" t="s">
        <v>3238</v>
      </c>
      <c r="D3293" s="1" t="s">
        <v>17471</v>
      </c>
      <c r="E3293" s="1"/>
      <c r="F3293" s="1"/>
      <c r="G3293" s="1"/>
      <c r="H3293" s="1"/>
      <c r="I3293" s="1"/>
      <c r="J3293" s="1"/>
      <c r="K3293" s="1" t="s">
        <v>5416</v>
      </c>
    </row>
    <row r="3294" ht="14.25" customHeight="1">
      <c r="A3294" s="3" t="s">
        <v>3868</v>
      </c>
      <c r="B3294" s="1">
        <v>6.7</v>
      </c>
      <c r="C3294" s="1" t="s">
        <v>3238</v>
      </c>
      <c r="D3294" s="1" t="s">
        <v>17471</v>
      </c>
      <c r="E3294" s="1"/>
      <c r="F3294" s="1"/>
      <c r="G3294" s="1"/>
      <c r="H3294" s="1"/>
      <c r="I3294" s="1"/>
      <c r="J3294" s="1"/>
      <c r="K3294" s="1" t="s">
        <v>5650</v>
      </c>
    </row>
    <row r="3295" ht="14.25" customHeight="1">
      <c r="A3295" s="3" t="s">
        <v>3868</v>
      </c>
      <c r="B3295" s="1">
        <v>6.7</v>
      </c>
      <c r="C3295" s="1" t="s">
        <v>3238</v>
      </c>
      <c r="D3295" s="1" t="s">
        <v>17471</v>
      </c>
      <c r="E3295" s="1"/>
      <c r="F3295" s="1"/>
      <c r="G3295" s="1"/>
      <c r="H3295" s="1"/>
      <c r="I3295" s="1"/>
      <c r="J3295" s="1"/>
      <c r="K3295" s="1" t="s">
        <v>6318</v>
      </c>
    </row>
    <row r="3296" ht="14.25" customHeight="1">
      <c r="A3296" s="3" t="s">
        <v>3868</v>
      </c>
      <c r="B3296" s="1">
        <v>7.1</v>
      </c>
      <c r="C3296" s="1" t="s">
        <v>3238</v>
      </c>
      <c r="D3296" s="1" t="s">
        <v>17471</v>
      </c>
      <c r="E3296" s="1"/>
      <c r="F3296" s="1"/>
      <c r="G3296" s="1"/>
      <c r="H3296" s="1"/>
      <c r="I3296" s="1"/>
      <c r="J3296" s="1"/>
      <c r="K3296" s="1" t="s">
        <v>6340</v>
      </c>
    </row>
    <row r="3297" ht="14.25" customHeight="1">
      <c r="A3297" s="3" t="s">
        <v>3868</v>
      </c>
      <c r="B3297" s="1">
        <v>2.7</v>
      </c>
      <c r="C3297" s="1" t="s">
        <v>3238</v>
      </c>
      <c r="D3297" s="1" t="s">
        <v>17471</v>
      </c>
      <c r="E3297" s="1"/>
      <c r="F3297" s="1"/>
      <c r="G3297" s="1"/>
      <c r="H3297" s="1"/>
      <c r="I3297" s="1"/>
      <c r="J3297" s="1"/>
      <c r="K3297" s="1" t="s">
        <v>7308</v>
      </c>
    </row>
    <row r="3298" ht="14.25" customHeight="1">
      <c r="A3298" s="3" t="s">
        <v>3868</v>
      </c>
      <c r="B3298" s="1">
        <v>7.3</v>
      </c>
      <c r="C3298" s="1" t="s">
        <v>3238</v>
      </c>
      <c r="D3298" s="1" t="s">
        <v>17471</v>
      </c>
      <c r="E3298" s="1"/>
      <c r="F3298" s="1"/>
      <c r="G3298" s="1"/>
      <c r="H3298" s="1"/>
      <c r="I3298" s="1"/>
      <c r="J3298" s="1"/>
      <c r="K3298" s="1" t="s">
        <v>7470</v>
      </c>
    </row>
    <row r="3299" ht="14.25" customHeight="1">
      <c r="A3299" s="3" t="s">
        <v>3868</v>
      </c>
      <c r="B3299" s="1">
        <v>7.6</v>
      </c>
      <c r="C3299" s="1" t="s">
        <v>3238</v>
      </c>
      <c r="D3299" s="1" t="s">
        <v>17471</v>
      </c>
      <c r="E3299" s="1"/>
      <c r="F3299" s="1"/>
      <c r="G3299" s="1"/>
      <c r="H3299" s="1"/>
      <c r="I3299" s="1"/>
      <c r="J3299" s="1"/>
      <c r="K3299" s="1" t="s">
        <v>7527</v>
      </c>
    </row>
    <row r="3300" ht="14.25" customHeight="1">
      <c r="A3300" s="3" t="s">
        <v>3868</v>
      </c>
      <c r="B3300" s="1">
        <v>5.8</v>
      </c>
      <c r="C3300" s="1" t="s">
        <v>3238</v>
      </c>
      <c r="D3300" s="1" t="s">
        <v>17471</v>
      </c>
      <c r="E3300" s="1"/>
      <c r="F3300" s="1"/>
      <c r="G3300" s="1"/>
      <c r="H3300" s="1"/>
      <c r="I3300" s="1"/>
      <c r="J3300" s="1"/>
      <c r="K3300" s="1" t="s">
        <v>8433</v>
      </c>
    </row>
    <row r="3301" ht="14.25" customHeight="1">
      <c r="A3301" s="3" t="s">
        <v>3868</v>
      </c>
      <c r="B3301" s="1">
        <v>6.5</v>
      </c>
      <c r="C3301" s="1" t="s">
        <v>3238</v>
      </c>
      <c r="D3301" s="1" t="s">
        <v>17471</v>
      </c>
      <c r="E3301" s="1"/>
      <c r="F3301" s="1"/>
      <c r="G3301" s="1"/>
      <c r="H3301" s="1"/>
      <c r="I3301" s="1"/>
      <c r="J3301" s="1"/>
      <c r="K3301" s="1" t="s">
        <v>8531</v>
      </c>
    </row>
    <row r="3302" ht="14.25" customHeight="1">
      <c r="A3302" s="3" t="s">
        <v>3868</v>
      </c>
      <c r="B3302" s="1">
        <v>6.6</v>
      </c>
      <c r="C3302" s="1" t="s">
        <v>3238</v>
      </c>
      <c r="D3302" s="1" t="s">
        <v>17471</v>
      </c>
      <c r="E3302" s="1"/>
      <c r="F3302" s="1"/>
      <c r="G3302" s="1"/>
      <c r="H3302" s="1"/>
      <c r="I3302" s="1"/>
      <c r="J3302" s="1"/>
      <c r="K3302" s="1" t="s">
        <v>8619</v>
      </c>
    </row>
    <row r="3303" ht="14.25" customHeight="1">
      <c r="A3303" s="3" t="s">
        <v>3868</v>
      </c>
      <c r="B3303" s="1">
        <v>6.9</v>
      </c>
      <c r="C3303" s="1" t="s">
        <v>3238</v>
      </c>
      <c r="D3303" s="1" t="s">
        <v>17471</v>
      </c>
      <c r="E3303" s="1"/>
      <c r="F3303" s="1"/>
      <c r="G3303" s="1"/>
      <c r="H3303" s="1"/>
      <c r="I3303" s="1"/>
      <c r="J3303" s="1"/>
      <c r="K3303" s="1" t="s">
        <v>9557</v>
      </c>
    </row>
    <row r="3304" ht="14.25" customHeight="1">
      <c r="A3304" s="3" t="s">
        <v>3868</v>
      </c>
      <c r="B3304" s="1">
        <v>8.5</v>
      </c>
      <c r="C3304" s="1" t="s">
        <v>3238</v>
      </c>
      <c r="D3304" s="1" t="s">
        <v>17471</v>
      </c>
      <c r="E3304" s="1"/>
      <c r="F3304" s="1"/>
      <c r="G3304" s="1"/>
      <c r="H3304" s="1"/>
      <c r="I3304" s="1"/>
      <c r="J3304" s="1"/>
      <c r="K3304" s="1" t="s">
        <v>9668</v>
      </c>
    </row>
    <row r="3305" ht="14.25" customHeight="1">
      <c r="A3305" s="3" t="s">
        <v>3868</v>
      </c>
      <c r="B3305" s="1">
        <v>4.8</v>
      </c>
      <c r="C3305" s="1" t="s">
        <v>3238</v>
      </c>
      <c r="D3305" s="1" t="s">
        <v>17471</v>
      </c>
      <c r="E3305" s="1"/>
      <c r="F3305" s="1"/>
      <c r="G3305" s="1"/>
      <c r="H3305" s="1"/>
      <c r="I3305" s="1"/>
      <c r="J3305" s="1"/>
      <c r="K3305" s="1" t="s">
        <v>10027</v>
      </c>
    </row>
    <row r="3306" ht="14.25" customHeight="1">
      <c r="A3306" s="3" t="s">
        <v>3868</v>
      </c>
      <c r="B3306" s="1">
        <v>7.0</v>
      </c>
      <c r="C3306" s="1" t="s">
        <v>3238</v>
      </c>
      <c r="D3306" s="1" t="s">
        <v>17471</v>
      </c>
      <c r="E3306" s="1"/>
      <c r="F3306" s="1"/>
      <c r="G3306" s="1"/>
      <c r="H3306" s="1"/>
      <c r="I3306" s="1"/>
      <c r="J3306" s="1"/>
      <c r="K3306" s="1" t="s">
        <v>10843</v>
      </c>
    </row>
    <row r="3307" ht="14.25" customHeight="1">
      <c r="A3307" s="3" t="s">
        <v>3868</v>
      </c>
      <c r="B3307" s="1">
        <v>5.4</v>
      </c>
      <c r="C3307" s="1" t="s">
        <v>3238</v>
      </c>
      <c r="D3307" s="1" t="s">
        <v>17471</v>
      </c>
      <c r="E3307" s="1"/>
      <c r="F3307" s="1"/>
      <c r="G3307" s="1"/>
      <c r="H3307" s="1"/>
      <c r="I3307" s="1"/>
      <c r="J3307" s="1"/>
      <c r="K3307" s="1" t="s">
        <v>12220</v>
      </c>
    </row>
    <row r="3308" ht="14.25" customHeight="1">
      <c r="A3308" s="3" t="s">
        <v>3868</v>
      </c>
      <c r="B3308" s="1">
        <v>6.9</v>
      </c>
      <c r="C3308" s="1" t="s">
        <v>3238</v>
      </c>
      <c r="D3308" s="1" t="s">
        <v>17471</v>
      </c>
      <c r="E3308" s="1"/>
      <c r="F3308" s="1"/>
      <c r="G3308" s="1"/>
      <c r="H3308" s="1"/>
      <c r="I3308" s="1"/>
      <c r="J3308" s="1"/>
      <c r="K3308" s="1" t="s">
        <v>12366</v>
      </c>
    </row>
    <row r="3309" ht="14.25" customHeight="1">
      <c r="A3309" s="3" t="s">
        <v>3868</v>
      </c>
      <c r="B3309" s="1">
        <v>6.6</v>
      </c>
      <c r="C3309" s="1" t="s">
        <v>3238</v>
      </c>
      <c r="D3309" s="1" t="s">
        <v>17471</v>
      </c>
      <c r="E3309" s="1"/>
      <c r="F3309" s="1"/>
      <c r="G3309" s="1"/>
      <c r="H3309" s="1"/>
      <c r="I3309" s="1"/>
      <c r="J3309" s="1"/>
      <c r="K3309" s="1" t="s">
        <v>8619</v>
      </c>
    </row>
    <row r="3310" ht="14.25" customHeight="1">
      <c r="A3310" s="3" t="s">
        <v>3868</v>
      </c>
      <c r="B3310" s="1">
        <v>5.9</v>
      </c>
      <c r="C3310" s="1" t="s">
        <v>3238</v>
      </c>
      <c r="D3310" s="1" t="s">
        <v>17471</v>
      </c>
      <c r="E3310" s="1"/>
      <c r="F3310" s="1"/>
      <c r="G3310" s="1"/>
      <c r="H3310" s="1"/>
      <c r="I3310" s="1"/>
      <c r="J3310" s="1"/>
      <c r="K3310" s="1" t="s">
        <v>12641</v>
      </c>
    </row>
    <row r="3311" ht="14.25" customHeight="1">
      <c r="A3311" s="3" t="s">
        <v>3868</v>
      </c>
      <c r="B3311" s="1">
        <v>6.3</v>
      </c>
      <c r="C3311" s="1" t="s">
        <v>3238</v>
      </c>
      <c r="D3311" s="1" t="s">
        <v>17471</v>
      </c>
      <c r="E3311" s="1"/>
      <c r="F3311" s="1"/>
      <c r="G3311" s="1"/>
      <c r="H3311" s="1"/>
      <c r="I3311" s="1"/>
      <c r="J3311" s="1"/>
      <c r="K3311" s="1" t="s">
        <v>12752</v>
      </c>
    </row>
    <row r="3312" ht="14.25" customHeight="1">
      <c r="A3312" s="3" t="s">
        <v>3868</v>
      </c>
      <c r="B3312" s="1">
        <v>6.3</v>
      </c>
      <c r="C3312" s="1" t="s">
        <v>3238</v>
      </c>
      <c r="D3312" s="1" t="s">
        <v>17471</v>
      </c>
      <c r="E3312" s="1"/>
      <c r="F3312" s="1"/>
      <c r="G3312" s="1"/>
      <c r="H3312" s="1"/>
      <c r="I3312" s="1"/>
      <c r="J3312" s="1"/>
      <c r="K3312" s="1" t="s">
        <v>12838</v>
      </c>
    </row>
    <row r="3313" ht="14.25" customHeight="1">
      <c r="A3313" s="3" t="s">
        <v>3868</v>
      </c>
      <c r="B3313" s="1">
        <v>7.0</v>
      </c>
      <c r="C3313" s="1" t="s">
        <v>3238</v>
      </c>
      <c r="D3313" s="1" t="s">
        <v>17471</v>
      </c>
      <c r="E3313" s="1"/>
      <c r="F3313" s="1"/>
      <c r="G3313" s="1"/>
      <c r="H3313" s="1"/>
      <c r="I3313" s="1"/>
      <c r="J3313" s="1"/>
      <c r="K3313" s="1" t="s">
        <v>13257</v>
      </c>
    </row>
    <row r="3314" ht="14.25" customHeight="1">
      <c r="A3314" s="3" t="s">
        <v>3868</v>
      </c>
      <c r="B3314" s="1">
        <v>6.3</v>
      </c>
      <c r="C3314" s="1" t="s">
        <v>3238</v>
      </c>
      <c r="D3314" s="1" t="s">
        <v>17471</v>
      </c>
      <c r="E3314" s="1"/>
      <c r="F3314" s="1"/>
      <c r="G3314" s="1"/>
      <c r="H3314" s="1"/>
      <c r="I3314" s="1"/>
      <c r="J3314" s="1"/>
      <c r="K3314" s="1" t="s">
        <v>13294</v>
      </c>
    </row>
    <row r="3315" ht="14.25" customHeight="1">
      <c r="A3315" s="3" t="s">
        <v>3868</v>
      </c>
      <c r="B3315" s="1">
        <v>6.2</v>
      </c>
      <c r="C3315" s="1" t="s">
        <v>3238</v>
      </c>
      <c r="D3315" s="1" t="s">
        <v>17471</v>
      </c>
      <c r="E3315" s="1"/>
      <c r="F3315" s="1"/>
      <c r="G3315" s="1"/>
      <c r="H3315" s="1"/>
      <c r="I3315" s="1"/>
      <c r="J3315" s="1"/>
      <c r="K3315" s="1" t="s">
        <v>13619</v>
      </c>
    </row>
    <row r="3316" ht="14.25" customHeight="1">
      <c r="A3316" s="3" t="s">
        <v>3868</v>
      </c>
      <c r="B3316" s="1">
        <v>7.7</v>
      </c>
      <c r="C3316" s="1" t="s">
        <v>3238</v>
      </c>
      <c r="D3316" s="1" t="s">
        <v>17471</v>
      </c>
      <c r="E3316" s="1"/>
      <c r="F3316" s="1"/>
      <c r="G3316" s="1"/>
      <c r="H3316" s="1"/>
      <c r="I3316" s="1"/>
      <c r="J3316" s="1"/>
      <c r="K3316" s="1" t="s">
        <v>13756</v>
      </c>
    </row>
    <row r="3317" ht="14.25" customHeight="1">
      <c r="A3317" s="3" t="s">
        <v>3868</v>
      </c>
      <c r="B3317" s="1">
        <v>6.5</v>
      </c>
      <c r="C3317" s="1" t="s">
        <v>3238</v>
      </c>
      <c r="D3317" s="1" t="s">
        <v>17471</v>
      </c>
      <c r="E3317" s="1"/>
      <c r="F3317" s="1"/>
      <c r="G3317" s="1"/>
      <c r="H3317" s="1"/>
      <c r="I3317" s="1"/>
      <c r="J3317" s="1"/>
      <c r="K3317" s="1" t="s">
        <v>4901</v>
      </c>
    </row>
    <row r="3318" ht="14.25" customHeight="1">
      <c r="A3318" s="3" t="s">
        <v>3868</v>
      </c>
      <c r="B3318" s="1">
        <v>5.8</v>
      </c>
      <c r="C3318" s="1" t="s">
        <v>3238</v>
      </c>
      <c r="D3318" s="1" t="s">
        <v>17471</v>
      </c>
      <c r="E3318" s="1"/>
      <c r="F3318" s="1"/>
      <c r="G3318" s="1"/>
      <c r="H3318" s="1"/>
      <c r="I3318" s="1"/>
      <c r="J3318" s="1"/>
      <c r="K3318" s="1" t="s">
        <v>14407</v>
      </c>
    </row>
    <row r="3319" ht="14.25" customHeight="1">
      <c r="A3319" s="3" t="s">
        <v>3868</v>
      </c>
      <c r="B3319" s="1">
        <v>6.1</v>
      </c>
      <c r="C3319" s="1" t="s">
        <v>3238</v>
      </c>
      <c r="D3319" s="1" t="s">
        <v>17471</v>
      </c>
      <c r="E3319" s="1"/>
      <c r="F3319" s="1"/>
      <c r="G3319" s="1"/>
      <c r="H3319" s="1"/>
      <c r="I3319" s="1"/>
      <c r="J3319" s="1"/>
      <c r="K3319" s="1" t="s">
        <v>14572</v>
      </c>
    </row>
    <row r="3320" ht="14.25" customHeight="1">
      <c r="A3320" s="3" t="s">
        <v>3868</v>
      </c>
      <c r="B3320" s="1">
        <v>8.2</v>
      </c>
      <c r="C3320" s="1" t="s">
        <v>3238</v>
      </c>
      <c r="D3320" s="1" t="s">
        <v>17471</v>
      </c>
      <c r="E3320" s="1"/>
      <c r="F3320" s="1"/>
      <c r="G3320" s="1"/>
      <c r="H3320" s="1"/>
      <c r="I3320" s="1"/>
      <c r="J3320" s="1"/>
      <c r="K3320" s="1" t="s">
        <v>15088</v>
      </c>
    </row>
    <row r="3321" ht="14.25" customHeight="1">
      <c r="A3321" s="3" t="s">
        <v>3868</v>
      </c>
      <c r="B3321" s="1">
        <v>6.0</v>
      </c>
      <c r="C3321" s="1" t="s">
        <v>3238</v>
      </c>
      <c r="D3321" s="1" t="s">
        <v>17471</v>
      </c>
      <c r="E3321" s="1"/>
      <c r="F3321" s="1"/>
      <c r="G3321" s="1"/>
      <c r="H3321" s="1"/>
      <c r="I3321" s="1"/>
      <c r="J3321" s="1"/>
      <c r="K3321" s="1" t="s">
        <v>15249</v>
      </c>
    </row>
    <row r="3322" ht="14.25" customHeight="1">
      <c r="A3322" s="3" t="s">
        <v>3868</v>
      </c>
      <c r="B3322" s="1">
        <v>6.8</v>
      </c>
      <c r="C3322" s="1" t="s">
        <v>3238</v>
      </c>
      <c r="D3322" s="1" t="s">
        <v>17471</v>
      </c>
      <c r="E3322" s="1"/>
      <c r="F3322" s="1"/>
      <c r="G3322" s="1"/>
      <c r="H3322" s="1"/>
      <c r="I3322" s="1"/>
      <c r="J3322" s="1"/>
      <c r="K3322" s="1" t="s">
        <v>15323</v>
      </c>
    </row>
    <row r="3323" ht="14.25" customHeight="1">
      <c r="A3323" s="3" t="s">
        <v>3868</v>
      </c>
      <c r="B3323" s="1">
        <v>7.0</v>
      </c>
      <c r="C3323" s="1" t="s">
        <v>3238</v>
      </c>
      <c r="D3323" s="1" t="s">
        <v>17471</v>
      </c>
      <c r="E3323" s="1"/>
      <c r="F3323" s="1"/>
      <c r="G3323" s="1"/>
      <c r="H3323" s="1"/>
      <c r="I3323" s="1"/>
      <c r="J3323" s="1"/>
      <c r="K3323" s="1" t="s">
        <v>15585</v>
      </c>
    </row>
    <row r="3324" ht="14.25" customHeight="1">
      <c r="A3324" s="3" t="s">
        <v>3868</v>
      </c>
      <c r="B3324" s="1">
        <v>6.8</v>
      </c>
      <c r="C3324" s="1" t="s">
        <v>3238</v>
      </c>
      <c r="D3324" s="1" t="s">
        <v>17471</v>
      </c>
      <c r="E3324" s="1"/>
      <c r="F3324" s="1"/>
      <c r="G3324" s="1"/>
      <c r="H3324" s="1"/>
      <c r="I3324" s="1"/>
      <c r="J3324" s="1"/>
      <c r="K3324" s="1" t="s">
        <v>16308</v>
      </c>
    </row>
    <row r="3325" ht="14.25" customHeight="1">
      <c r="A3325" s="3" t="s">
        <v>3868</v>
      </c>
      <c r="B3325" s="1">
        <v>7.1</v>
      </c>
      <c r="C3325" s="1" t="s">
        <v>3238</v>
      </c>
      <c r="D3325" s="1" t="s">
        <v>17471</v>
      </c>
      <c r="E3325" s="1"/>
      <c r="F3325" s="1"/>
      <c r="G3325" s="1"/>
      <c r="H3325" s="1"/>
      <c r="I3325" s="1"/>
      <c r="J3325" s="1"/>
      <c r="K3325" s="1" t="s">
        <v>16334</v>
      </c>
    </row>
    <row r="3326" ht="14.25" customHeight="1">
      <c r="A3326" s="3" t="s">
        <v>3868</v>
      </c>
      <c r="B3326" s="1">
        <v>6.9</v>
      </c>
      <c r="C3326" s="1" t="s">
        <v>3238</v>
      </c>
      <c r="D3326" s="1" t="s">
        <v>17471</v>
      </c>
      <c r="E3326" s="1"/>
      <c r="F3326" s="1"/>
      <c r="G3326" s="1"/>
      <c r="H3326" s="1"/>
      <c r="I3326" s="1"/>
      <c r="J3326" s="1"/>
      <c r="K3326" s="1" t="s">
        <v>17056</v>
      </c>
    </row>
    <row r="3327" ht="14.25" customHeight="1">
      <c r="A3327" s="3" t="s">
        <v>3868</v>
      </c>
      <c r="B3327" s="1">
        <v>6.9</v>
      </c>
      <c r="C3327" s="1" t="s">
        <v>3238</v>
      </c>
      <c r="D3327" s="1" t="s">
        <v>17471</v>
      </c>
      <c r="E3327" s="1"/>
      <c r="F3327" s="1"/>
      <c r="G3327" s="1"/>
      <c r="H3327" s="1"/>
      <c r="I3327" s="1"/>
      <c r="J3327" s="1"/>
      <c r="K3327" s="1" t="s">
        <v>17109</v>
      </c>
    </row>
    <row r="3328" ht="14.25" customHeight="1">
      <c r="A3328" s="3" t="s">
        <v>3868</v>
      </c>
      <c r="B3328" s="1">
        <v>6.9</v>
      </c>
      <c r="C3328" s="1" t="s">
        <v>3238</v>
      </c>
      <c r="D3328" s="1" t="s">
        <v>17471</v>
      </c>
      <c r="E3328" s="1"/>
      <c r="F3328" s="1"/>
      <c r="G3328" s="1"/>
      <c r="H3328" s="1"/>
      <c r="I3328" s="1"/>
      <c r="J3328" s="1"/>
      <c r="K3328" s="1" t="s">
        <v>17529</v>
      </c>
    </row>
    <row r="3329" ht="14.25" customHeight="1">
      <c r="A3329" s="3" t="s">
        <v>15429</v>
      </c>
      <c r="B3329" s="1">
        <v>7.2</v>
      </c>
      <c r="C3329" s="1" t="s">
        <v>17759</v>
      </c>
      <c r="D3329" s="1" t="s">
        <v>17471</v>
      </c>
      <c r="E3329" s="1"/>
      <c r="F3329" s="1"/>
      <c r="G3329" s="1"/>
      <c r="H3329" s="1"/>
      <c r="I3329" s="1"/>
      <c r="J3329" s="1"/>
      <c r="K3329" s="1" t="s">
        <v>15428</v>
      </c>
    </row>
    <row r="3330" ht="14.25" customHeight="1">
      <c r="A3330" s="3" t="s">
        <v>6278</v>
      </c>
      <c r="B3330" s="1">
        <v>7.8</v>
      </c>
      <c r="C3330" s="1" t="s">
        <v>6019</v>
      </c>
      <c r="D3330" s="1" t="s">
        <v>17471</v>
      </c>
      <c r="E3330" s="1"/>
      <c r="F3330" s="1"/>
      <c r="G3330" s="1"/>
      <c r="H3330" s="1"/>
      <c r="I3330" s="1"/>
      <c r="J3330" s="1"/>
      <c r="K3330" s="1" t="s">
        <v>6277</v>
      </c>
    </row>
    <row r="3331" ht="14.25" customHeight="1">
      <c r="A3331" s="3" t="s">
        <v>6278</v>
      </c>
      <c r="B3331" s="1">
        <v>7.3</v>
      </c>
      <c r="C3331" s="1" t="s">
        <v>6019</v>
      </c>
      <c r="D3331" s="1" t="s">
        <v>17471</v>
      </c>
      <c r="E3331" s="1"/>
      <c r="F3331" s="1"/>
      <c r="G3331" s="1"/>
      <c r="H3331" s="1"/>
      <c r="I3331" s="1"/>
      <c r="J3331" s="1"/>
      <c r="K3331" s="1" t="s">
        <v>7810</v>
      </c>
    </row>
    <row r="3332" ht="14.25" customHeight="1">
      <c r="A3332" s="3" t="s">
        <v>6278</v>
      </c>
      <c r="B3332" s="1">
        <v>7.5</v>
      </c>
      <c r="C3332" s="1" t="s">
        <v>6019</v>
      </c>
      <c r="D3332" s="1" t="s">
        <v>17471</v>
      </c>
      <c r="E3332" s="1"/>
      <c r="F3332" s="1"/>
      <c r="G3332" s="1"/>
      <c r="H3332" s="1"/>
      <c r="I3332" s="1"/>
      <c r="J3332" s="1"/>
      <c r="K3332" s="1" t="s">
        <v>8587</v>
      </c>
    </row>
    <row r="3333" ht="14.25" customHeight="1">
      <c r="A3333" s="3" t="s">
        <v>6278</v>
      </c>
      <c r="B3333" s="1">
        <v>6.0</v>
      </c>
      <c r="C3333" s="1" t="s">
        <v>6019</v>
      </c>
      <c r="D3333" s="1" t="s">
        <v>17471</v>
      </c>
      <c r="E3333" s="1"/>
      <c r="F3333" s="1"/>
      <c r="G3333" s="1"/>
      <c r="H3333" s="1"/>
      <c r="I3333" s="1"/>
      <c r="J3333" s="1"/>
      <c r="K3333" s="1" t="s">
        <v>9103</v>
      </c>
    </row>
    <row r="3334" ht="14.25" customHeight="1">
      <c r="A3334" s="3" t="s">
        <v>6278</v>
      </c>
      <c r="B3334" s="1">
        <v>6.8</v>
      </c>
      <c r="C3334" s="1" t="s">
        <v>6019</v>
      </c>
      <c r="D3334" s="1" t="s">
        <v>17471</v>
      </c>
      <c r="E3334" s="1"/>
      <c r="F3334" s="1"/>
      <c r="G3334" s="1"/>
      <c r="H3334" s="1"/>
      <c r="I3334" s="1"/>
      <c r="J3334" s="1"/>
      <c r="K3334" s="1" t="s">
        <v>9160</v>
      </c>
    </row>
    <row r="3335" ht="14.25" customHeight="1">
      <c r="A3335" s="3" t="s">
        <v>6278</v>
      </c>
      <c r="B3335" s="1">
        <v>3.9</v>
      </c>
      <c r="C3335" s="1" t="s">
        <v>6019</v>
      </c>
      <c r="D3335" s="1" t="s">
        <v>17471</v>
      </c>
      <c r="E3335" s="1"/>
      <c r="F3335" s="1"/>
      <c r="G3335" s="1"/>
      <c r="H3335" s="1"/>
      <c r="I3335" s="1"/>
      <c r="J3335" s="1"/>
      <c r="K3335" s="1" t="s">
        <v>9400</v>
      </c>
    </row>
    <row r="3336" ht="14.25" customHeight="1">
      <c r="A3336" s="3" t="s">
        <v>6278</v>
      </c>
      <c r="B3336" s="1">
        <v>6.1</v>
      </c>
      <c r="C3336" s="1" t="s">
        <v>6019</v>
      </c>
      <c r="D3336" s="1" t="s">
        <v>17471</v>
      </c>
      <c r="E3336" s="1"/>
      <c r="F3336" s="1"/>
      <c r="G3336" s="1"/>
      <c r="H3336" s="1"/>
      <c r="I3336" s="1"/>
      <c r="J3336" s="1"/>
      <c r="K3336" s="1" t="s">
        <v>9939</v>
      </c>
    </row>
    <row r="3337" ht="14.25" customHeight="1">
      <c r="A3337" s="3" t="s">
        <v>6278</v>
      </c>
      <c r="B3337" s="1">
        <v>7.5</v>
      </c>
      <c r="C3337" s="1" t="s">
        <v>6019</v>
      </c>
      <c r="D3337" s="1" t="s">
        <v>17471</v>
      </c>
      <c r="E3337" s="1"/>
      <c r="F3337" s="1"/>
      <c r="G3337" s="1"/>
      <c r="H3337" s="1"/>
      <c r="I3337" s="1"/>
      <c r="J3337" s="1"/>
      <c r="K3337" s="1" t="s">
        <v>9987</v>
      </c>
    </row>
    <row r="3338" ht="14.25" customHeight="1">
      <c r="A3338" s="3" t="s">
        <v>6278</v>
      </c>
      <c r="B3338" s="1">
        <v>8.2</v>
      </c>
      <c r="C3338" s="1" t="s">
        <v>6019</v>
      </c>
      <c r="D3338" s="1" t="s">
        <v>17471</v>
      </c>
      <c r="E3338" s="1"/>
      <c r="F3338" s="1"/>
      <c r="G3338" s="1"/>
      <c r="H3338" s="1"/>
      <c r="I3338" s="1"/>
      <c r="J3338" s="1"/>
      <c r="K3338" s="1" t="s">
        <v>10088</v>
      </c>
    </row>
    <row r="3339" ht="14.25" customHeight="1">
      <c r="A3339" s="3" t="s">
        <v>6278</v>
      </c>
      <c r="B3339" s="1">
        <v>7.8</v>
      </c>
      <c r="C3339" s="1" t="s">
        <v>6019</v>
      </c>
      <c r="D3339" s="1" t="s">
        <v>17471</v>
      </c>
      <c r="E3339" s="1"/>
      <c r="F3339" s="1"/>
      <c r="G3339" s="1"/>
      <c r="H3339" s="1"/>
      <c r="I3339" s="1"/>
      <c r="J3339" s="1"/>
      <c r="K3339" s="1" t="s">
        <v>10581</v>
      </c>
    </row>
    <row r="3340" ht="14.25" customHeight="1">
      <c r="A3340" s="3" t="s">
        <v>6278</v>
      </c>
      <c r="B3340" s="1">
        <v>5.2</v>
      </c>
      <c r="C3340" s="1" t="s">
        <v>6019</v>
      </c>
      <c r="D3340" s="1" t="s">
        <v>17471</v>
      </c>
      <c r="E3340" s="1"/>
      <c r="F3340" s="1"/>
      <c r="G3340" s="1"/>
      <c r="H3340" s="1"/>
      <c r="I3340" s="1"/>
      <c r="J3340" s="1"/>
      <c r="K3340" s="1" t="s">
        <v>11025</v>
      </c>
    </row>
    <row r="3341" ht="14.25" customHeight="1">
      <c r="A3341" s="3" t="s">
        <v>6278</v>
      </c>
      <c r="B3341" s="1">
        <v>6.8</v>
      </c>
      <c r="C3341" s="1" t="s">
        <v>6019</v>
      </c>
      <c r="D3341" s="1" t="s">
        <v>17471</v>
      </c>
      <c r="E3341" s="1"/>
      <c r="F3341" s="1"/>
      <c r="G3341" s="1"/>
      <c r="H3341" s="1"/>
      <c r="I3341" s="1"/>
      <c r="J3341" s="1"/>
      <c r="K3341" s="1" t="s">
        <v>11153</v>
      </c>
    </row>
    <row r="3342" ht="14.25" customHeight="1">
      <c r="A3342" s="3" t="s">
        <v>6278</v>
      </c>
      <c r="B3342" s="1">
        <v>7.0</v>
      </c>
      <c r="C3342" s="1" t="s">
        <v>6019</v>
      </c>
      <c r="D3342" s="1" t="s">
        <v>17471</v>
      </c>
      <c r="E3342" s="1"/>
      <c r="F3342" s="1"/>
      <c r="G3342" s="1"/>
      <c r="H3342" s="1"/>
      <c r="I3342" s="1"/>
      <c r="J3342" s="1"/>
      <c r="K3342" s="1" t="s">
        <v>11025</v>
      </c>
    </row>
    <row r="3343" ht="14.25" customHeight="1">
      <c r="A3343" s="3" t="s">
        <v>6278</v>
      </c>
      <c r="B3343" s="1">
        <v>6.5</v>
      </c>
      <c r="C3343" s="1" t="s">
        <v>6019</v>
      </c>
      <c r="D3343" s="1" t="s">
        <v>17471</v>
      </c>
      <c r="E3343" s="1"/>
      <c r="F3343" s="1"/>
      <c r="G3343" s="1"/>
      <c r="H3343" s="1"/>
      <c r="I3343" s="1"/>
      <c r="J3343" s="1"/>
      <c r="K3343" s="1" t="s">
        <v>11500</v>
      </c>
    </row>
    <row r="3344" ht="14.25" customHeight="1">
      <c r="A3344" s="3" t="s">
        <v>6278</v>
      </c>
      <c r="B3344" s="1">
        <v>5.7</v>
      </c>
      <c r="C3344" s="1" t="s">
        <v>6019</v>
      </c>
      <c r="D3344" s="1" t="s">
        <v>17471</v>
      </c>
      <c r="E3344" s="1"/>
      <c r="F3344" s="1"/>
      <c r="G3344" s="1"/>
      <c r="H3344" s="1"/>
      <c r="I3344" s="1"/>
      <c r="J3344" s="1"/>
      <c r="K3344" s="1" t="s">
        <v>12018</v>
      </c>
    </row>
    <row r="3345" ht="14.25" customHeight="1">
      <c r="A3345" s="3" t="s">
        <v>6278</v>
      </c>
      <c r="B3345" s="1">
        <v>6.4</v>
      </c>
      <c r="C3345" s="1" t="s">
        <v>6019</v>
      </c>
      <c r="D3345" s="1" t="s">
        <v>17471</v>
      </c>
      <c r="E3345" s="1"/>
      <c r="F3345" s="1"/>
      <c r="G3345" s="1"/>
      <c r="H3345" s="1"/>
      <c r="I3345" s="1"/>
      <c r="J3345" s="1"/>
      <c r="K3345" s="1" t="s">
        <v>9160</v>
      </c>
    </row>
    <row r="3346" ht="14.25" customHeight="1">
      <c r="A3346" s="3" t="s">
        <v>6278</v>
      </c>
      <c r="B3346" s="1">
        <v>5.3</v>
      </c>
      <c r="C3346" s="1" t="s">
        <v>6019</v>
      </c>
      <c r="D3346" s="1" t="s">
        <v>17471</v>
      </c>
      <c r="E3346" s="1"/>
      <c r="F3346" s="1"/>
      <c r="G3346" s="1"/>
      <c r="H3346" s="1"/>
      <c r="I3346" s="1"/>
      <c r="J3346" s="1"/>
      <c r="K3346" s="1" t="s">
        <v>12436</v>
      </c>
    </row>
    <row r="3347" ht="14.25" customHeight="1">
      <c r="A3347" s="3" t="s">
        <v>6278</v>
      </c>
      <c r="B3347" s="1">
        <v>7.6</v>
      </c>
      <c r="C3347" s="1" t="s">
        <v>6019</v>
      </c>
      <c r="D3347" s="1" t="s">
        <v>17471</v>
      </c>
      <c r="E3347" s="1"/>
      <c r="F3347" s="1"/>
      <c r="G3347" s="1"/>
      <c r="H3347" s="1"/>
      <c r="I3347" s="1"/>
      <c r="J3347" s="1"/>
      <c r="K3347" s="1" t="s">
        <v>13331</v>
      </c>
    </row>
    <row r="3348" ht="14.25" customHeight="1">
      <c r="A3348" s="3" t="s">
        <v>6278</v>
      </c>
      <c r="B3348" s="1">
        <v>7.1</v>
      </c>
      <c r="C3348" s="1" t="s">
        <v>6019</v>
      </c>
      <c r="D3348" s="1" t="s">
        <v>17471</v>
      </c>
      <c r="E3348" s="1"/>
      <c r="F3348" s="1"/>
      <c r="G3348" s="1"/>
      <c r="H3348" s="1"/>
      <c r="I3348" s="1"/>
      <c r="J3348" s="1"/>
      <c r="K3348" s="1" t="s">
        <v>13684</v>
      </c>
    </row>
    <row r="3349" ht="14.25" customHeight="1">
      <c r="A3349" s="3" t="s">
        <v>6278</v>
      </c>
      <c r="B3349" s="1">
        <v>6.5</v>
      </c>
      <c r="C3349" s="1" t="s">
        <v>6019</v>
      </c>
      <c r="D3349" s="1" t="s">
        <v>17471</v>
      </c>
      <c r="E3349" s="1"/>
      <c r="F3349" s="1"/>
      <c r="G3349" s="1"/>
      <c r="H3349" s="1"/>
      <c r="I3349" s="1"/>
      <c r="J3349" s="1"/>
      <c r="K3349" s="1" t="s">
        <v>13709</v>
      </c>
    </row>
    <row r="3350" ht="14.25" customHeight="1">
      <c r="A3350" s="3" t="s">
        <v>6278</v>
      </c>
      <c r="B3350" s="1">
        <v>8.5</v>
      </c>
      <c r="C3350" s="1" t="s">
        <v>6019</v>
      </c>
      <c r="D3350" s="1" t="s">
        <v>17471</v>
      </c>
      <c r="E3350" s="1"/>
      <c r="F3350" s="1"/>
      <c r="G3350" s="1"/>
      <c r="H3350" s="1"/>
      <c r="I3350" s="1"/>
      <c r="J3350" s="1"/>
      <c r="K3350" s="1" t="s">
        <v>14217</v>
      </c>
    </row>
    <row r="3351" ht="14.25" customHeight="1">
      <c r="A3351" s="3" t="s">
        <v>6278</v>
      </c>
      <c r="B3351" s="1">
        <v>8.7</v>
      </c>
      <c r="C3351" s="1" t="s">
        <v>6019</v>
      </c>
      <c r="D3351" s="1" t="s">
        <v>17471</v>
      </c>
      <c r="E3351" s="1"/>
      <c r="F3351" s="1"/>
      <c r="G3351" s="1"/>
      <c r="H3351" s="1"/>
      <c r="I3351" s="1"/>
      <c r="J3351" s="1"/>
      <c r="K3351" s="1" t="s">
        <v>14714</v>
      </c>
    </row>
    <row r="3352" ht="14.25" customHeight="1">
      <c r="A3352" s="3" t="s">
        <v>6278</v>
      </c>
      <c r="B3352" s="1">
        <v>7.1</v>
      </c>
      <c r="C3352" s="1" t="s">
        <v>6019</v>
      </c>
      <c r="D3352" s="1" t="s">
        <v>17471</v>
      </c>
      <c r="E3352" s="1"/>
      <c r="F3352" s="1"/>
      <c r="G3352" s="1"/>
      <c r="H3352" s="1"/>
      <c r="I3352" s="1"/>
      <c r="J3352" s="1"/>
      <c r="K3352" s="1" t="s">
        <v>15115</v>
      </c>
    </row>
    <row r="3353" ht="14.25" customHeight="1">
      <c r="A3353" s="3" t="s">
        <v>6278</v>
      </c>
      <c r="B3353" s="1">
        <v>8.3</v>
      </c>
      <c r="C3353" s="1" t="s">
        <v>6019</v>
      </c>
      <c r="D3353" s="1" t="s">
        <v>17471</v>
      </c>
      <c r="E3353" s="1"/>
      <c r="F3353" s="1"/>
      <c r="G3353" s="1"/>
      <c r="H3353" s="1"/>
      <c r="I3353" s="1"/>
      <c r="J3353" s="1"/>
      <c r="K3353" s="1" t="s">
        <v>15138</v>
      </c>
    </row>
    <row r="3354" ht="14.25" customHeight="1">
      <c r="A3354" s="3" t="s">
        <v>6278</v>
      </c>
      <c r="B3354" s="1">
        <v>7.4</v>
      </c>
      <c r="C3354" s="1" t="s">
        <v>6019</v>
      </c>
      <c r="D3354" s="1" t="s">
        <v>17471</v>
      </c>
      <c r="E3354" s="1"/>
      <c r="F3354" s="1"/>
      <c r="G3354" s="1"/>
      <c r="H3354" s="1"/>
      <c r="I3354" s="1"/>
      <c r="J3354" s="1"/>
      <c r="K3354" s="1" t="s">
        <v>15196</v>
      </c>
    </row>
    <row r="3355" ht="14.25" customHeight="1">
      <c r="A3355" s="3" t="s">
        <v>6278</v>
      </c>
      <c r="B3355" s="1">
        <v>7.5</v>
      </c>
      <c r="C3355" s="1" t="s">
        <v>6019</v>
      </c>
      <c r="D3355" s="1" t="s">
        <v>17471</v>
      </c>
      <c r="E3355" s="1"/>
      <c r="F3355" s="1"/>
      <c r="G3355" s="1"/>
      <c r="H3355" s="1"/>
      <c r="I3355" s="1"/>
      <c r="J3355" s="1"/>
      <c r="K3355" s="1" t="s">
        <v>15885</v>
      </c>
    </row>
    <row r="3356" ht="14.25" customHeight="1">
      <c r="A3356" s="3" t="s">
        <v>6278</v>
      </c>
      <c r="B3356" s="1">
        <v>7.2</v>
      </c>
      <c r="C3356" s="1" t="s">
        <v>6019</v>
      </c>
      <c r="D3356" s="1" t="s">
        <v>17471</v>
      </c>
      <c r="E3356" s="1"/>
      <c r="F3356" s="1"/>
      <c r="G3356" s="1"/>
      <c r="H3356" s="1"/>
      <c r="I3356" s="1"/>
      <c r="J3356" s="1"/>
      <c r="K3356" s="1" t="s">
        <v>16030</v>
      </c>
    </row>
    <row r="3357" ht="14.25" customHeight="1">
      <c r="A3357" s="3" t="s">
        <v>6278</v>
      </c>
      <c r="B3357" s="1">
        <v>7.6</v>
      </c>
      <c r="C3357" s="1" t="s">
        <v>6019</v>
      </c>
      <c r="D3357" s="1" t="s">
        <v>17471</v>
      </c>
      <c r="E3357" s="1"/>
      <c r="F3357" s="1"/>
      <c r="G3357" s="1"/>
      <c r="H3357" s="1"/>
      <c r="I3357" s="1"/>
      <c r="J3357" s="1"/>
      <c r="K3357" s="1" t="s">
        <v>16101</v>
      </c>
    </row>
    <row r="3358" ht="14.25" customHeight="1">
      <c r="A3358" s="3" t="s">
        <v>6278</v>
      </c>
      <c r="B3358" s="1">
        <v>7.8</v>
      </c>
      <c r="C3358" s="1" t="s">
        <v>6019</v>
      </c>
      <c r="D3358" s="1" t="s">
        <v>17471</v>
      </c>
      <c r="E3358" s="1"/>
      <c r="F3358" s="1"/>
      <c r="G3358" s="1"/>
      <c r="H3358" s="1"/>
      <c r="I3358" s="1"/>
      <c r="J3358" s="1"/>
      <c r="K3358" s="1" t="s">
        <v>16203</v>
      </c>
    </row>
    <row r="3359" ht="14.25" customHeight="1">
      <c r="A3359" s="3" t="s">
        <v>6278</v>
      </c>
      <c r="B3359" s="1">
        <v>8.2</v>
      </c>
      <c r="C3359" s="1" t="s">
        <v>6019</v>
      </c>
      <c r="D3359" s="1" t="s">
        <v>17471</v>
      </c>
      <c r="E3359" s="1"/>
      <c r="F3359" s="1"/>
      <c r="G3359" s="1"/>
      <c r="H3359" s="1"/>
      <c r="I3359" s="1"/>
      <c r="J3359" s="1"/>
      <c r="K3359" s="1" t="s">
        <v>16236</v>
      </c>
    </row>
    <row r="3360" ht="14.25" customHeight="1">
      <c r="A3360" s="3" t="s">
        <v>6278</v>
      </c>
      <c r="B3360" s="1">
        <v>6.6</v>
      </c>
      <c r="C3360" s="1" t="s">
        <v>6019</v>
      </c>
      <c r="D3360" s="1" t="s">
        <v>17471</v>
      </c>
      <c r="E3360" s="1"/>
      <c r="F3360" s="1"/>
      <c r="G3360" s="1"/>
      <c r="H3360" s="1"/>
      <c r="I3360" s="1"/>
      <c r="J3360" s="1"/>
      <c r="K3360" s="1" t="s">
        <v>16539</v>
      </c>
    </row>
    <row r="3361" ht="14.25" customHeight="1">
      <c r="A3361" s="3" t="s">
        <v>6278</v>
      </c>
      <c r="B3361" s="1">
        <v>5.7</v>
      </c>
      <c r="C3361" s="1" t="s">
        <v>6019</v>
      </c>
      <c r="D3361" s="1" t="s">
        <v>17471</v>
      </c>
      <c r="E3361" s="1"/>
      <c r="F3361" s="1"/>
      <c r="G3361" s="1"/>
      <c r="H3361" s="1"/>
      <c r="I3361" s="1"/>
      <c r="J3361" s="1"/>
      <c r="K3361" s="1" t="s">
        <v>17416</v>
      </c>
    </row>
    <row r="3362" ht="14.25" customHeight="1">
      <c r="A3362" s="3" t="s">
        <v>6278</v>
      </c>
      <c r="B3362" s="1">
        <v>7.4</v>
      </c>
      <c r="C3362" s="1" t="s">
        <v>6019</v>
      </c>
      <c r="D3362" s="1" t="s">
        <v>17471</v>
      </c>
      <c r="E3362" s="1"/>
      <c r="F3362" s="1"/>
      <c r="G3362" s="1"/>
      <c r="H3362" s="1"/>
      <c r="I3362" s="1"/>
      <c r="J3362" s="1"/>
      <c r="K3362" s="1" t="s">
        <v>11025</v>
      </c>
    </row>
    <row r="3363" ht="14.25" customHeight="1">
      <c r="A3363" s="3" t="s">
        <v>6278</v>
      </c>
      <c r="B3363" s="1">
        <v>8.0</v>
      </c>
      <c r="C3363" s="1" t="s">
        <v>6019</v>
      </c>
      <c r="D3363" s="1" t="s">
        <v>17471</v>
      </c>
      <c r="E3363" s="1"/>
      <c r="F3363" s="1"/>
      <c r="G3363" s="1"/>
      <c r="H3363" s="1"/>
      <c r="I3363" s="1"/>
      <c r="J3363" s="1"/>
      <c r="K3363" s="1" t="s">
        <v>13709</v>
      </c>
    </row>
    <row r="3364" ht="14.25" customHeight="1">
      <c r="A3364" s="3" t="s">
        <v>6278</v>
      </c>
      <c r="B3364" s="1">
        <v>5.4</v>
      </c>
      <c r="C3364" s="1" t="s">
        <v>6019</v>
      </c>
      <c r="D3364" s="1" t="s">
        <v>17471</v>
      </c>
      <c r="E3364" s="1"/>
      <c r="F3364" s="1"/>
      <c r="G3364" s="1"/>
      <c r="H3364" s="1"/>
      <c r="I3364" s="1"/>
      <c r="J3364" s="1"/>
      <c r="K3364" s="1" t="s">
        <v>17625</v>
      </c>
    </row>
    <row r="3365" ht="14.25" customHeight="1">
      <c r="A3365" s="3" t="s">
        <v>815</v>
      </c>
      <c r="B3365" s="1">
        <v>7.4</v>
      </c>
      <c r="C3365" s="1" t="s">
        <v>17761</v>
      </c>
      <c r="D3365" s="1" t="s">
        <v>17471</v>
      </c>
      <c r="E3365" s="1"/>
      <c r="F3365" s="1"/>
      <c r="G3365" s="1"/>
      <c r="H3365" s="1"/>
      <c r="I3365" s="1"/>
      <c r="J3365" s="1"/>
      <c r="K3365" s="1" t="s">
        <v>814</v>
      </c>
    </row>
    <row r="3366" ht="14.25" customHeight="1">
      <c r="A3366" s="3" t="s">
        <v>815</v>
      </c>
      <c r="B3366" s="1">
        <v>5.7</v>
      </c>
      <c r="C3366" s="1" t="s">
        <v>17761</v>
      </c>
      <c r="D3366" s="1" t="s">
        <v>17471</v>
      </c>
      <c r="E3366" s="1"/>
      <c r="F3366" s="1"/>
      <c r="G3366" s="1"/>
      <c r="H3366" s="1"/>
      <c r="I3366" s="1"/>
      <c r="J3366" s="1"/>
      <c r="K3366" s="1" t="s">
        <v>1217</v>
      </c>
    </row>
    <row r="3367" ht="14.25" customHeight="1">
      <c r="A3367" s="3" t="s">
        <v>815</v>
      </c>
      <c r="B3367" s="1">
        <v>6.8</v>
      </c>
      <c r="C3367" s="1" t="s">
        <v>17761</v>
      </c>
      <c r="D3367" s="1" t="s">
        <v>17471</v>
      </c>
      <c r="E3367" s="1"/>
      <c r="F3367" s="1"/>
      <c r="G3367" s="1"/>
      <c r="H3367" s="1"/>
      <c r="I3367" s="1"/>
      <c r="J3367" s="1"/>
      <c r="K3367" s="1" t="s">
        <v>2484</v>
      </c>
    </row>
    <row r="3368" ht="14.25" customHeight="1">
      <c r="A3368" s="3" t="s">
        <v>815</v>
      </c>
      <c r="B3368" s="1">
        <v>5.4</v>
      </c>
      <c r="C3368" s="1" t="s">
        <v>17761</v>
      </c>
      <c r="D3368" s="1" t="s">
        <v>17471</v>
      </c>
      <c r="E3368" s="1"/>
      <c r="F3368" s="1"/>
      <c r="G3368" s="1"/>
      <c r="H3368" s="1"/>
      <c r="I3368" s="1"/>
      <c r="J3368" s="1"/>
      <c r="K3368" s="1" t="s">
        <v>5581</v>
      </c>
    </row>
    <row r="3369" ht="14.25" customHeight="1">
      <c r="A3369" s="3" t="s">
        <v>815</v>
      </c>
      <c r="B3369" s="1">
        <v>5.1</v>
      </c>
      <c r="C3369" s="1" t="s">
        <v>17761</v>
      </c>
      <c r="D3369" s="1" t="s">
        <v>17471</v>
      </c>
      <c r="E3369" s="1"/>
      <c r="F3369" s="1"/>
      <c r="G3369" s="1"/>
      <c r="H3369" s="1"/>
      <c r="I3369" s="1"/>
      <c r="J3369" s="1"/>
      <c r="K3369" s="1" t="s">
        <v>6092</v>
      </c>
    </row>
    <row r="3370" ht="14.25" customHeight="1">
      <c r="A3370" s="3" t="s">
        <v>815</v>
      </c>
      <c r="B3370" s="1">
        <v>5.9</v>
      </c>
      <c r="C3370" s="1" t="s">
        <v>17761</v>
      </c>
      <c r="D3370" s="1" t="s">
        <v>17471</v>
      </c>
      <c r="E3370" s="1"/>
      <c r="F3370" s="1"/>
      <c r="G3370" s="1"/>
      <c r="H3370" s="1"/>
      <c r="I3370" s="1"/>
      <c r="J3370" s="1"/>
      <c r="K3370" s="1" t="s">
        <v>6172</v>
      </c>
    </row>
    <row r="3371" ht="14.25" customHeight="1">
      <c r="A3371" s="3" t="s">
        <v>815</v>
      </c>
      <c r="B3371" s="1">
        <v>8.2</v>
      </c>
      <c r="C3371" s="1" t="s">
        <v>17761</v>
      </c>
      <c r="D3371" s="1" t="s">
        <v>17471</v>
      </c>
      <c r="E3371" s="1"/>
      <c r="F3371" s="1"/>
      <c r="G3371" s="1"/>
      <c r="H3371" s="1"/>
      <c r="I3371" s="1"/>
      <c r="J3371" s="1"/>
      <c r="K3371" s="1" t="s">
        <v>6594</v>
      </c>
    </row>
    <row r="3372" ht="14.25" customHeight="1">
      <c r="A3372" s="3" t="s">
        <v>815</v>
      </c>
      <c r="B3372" s="1">
        <v>5.3</v>
      </c>
      <c r="C3372" s="1" t="s">
        <v>17761</v>
      </c>
      <c r="D3372" s="1" t="s">
        <v>17471</v>
      </c>
      <c r="E3372" s="1"/>
      <c r="F3372" s="1"/>
      <c r="G3372" s="1"/>
      <c r="H3372" s="1"/>
      <c r="I3372" s="1"/>
      <c r="J3372" s="1"/>
      <c r="K3372" s="1" t="s">
        <v>7435</v>
      </c>
    </row>
    <row r="3373" ht="14.25" customHeight="1">
      <c r="A3373" s="3" t="s">
        <v>815</v>
      </c>
      <c r="B3373" s="1">
        <v>4.3</v>
      </c>
      <c r="C3373" s="1" t="s">
        <v>17761</v>
      </c>
      <c r="D3373" s="1" t="s">
        <v>17471</v>
      </c>
      <c r="E3373" s="1"/>
      <c r="F3373" s="1"/>
      <c r="G3373" s="1"/>
      <c r="H3373" s="1"/>
      <c r="I3373" s="1"/>
      <c r="J3373" s="1"/>
      <c r="K3373" s="1" t="s">
        <v>8259</v>
      </c>
    </row>
    <row r="3374" ht="14.25" customHeight="1">
      <c r="A3374" s="3" t="s">
        <v>815</v>
      </c>
      <c r="B3374" s="1">
        <v>7.2</v>
      </c>
      <c r="C3374" s="1" t="s">
        <v>17761</v>
      </c>
      <c r="D3374" s="1" t="s">
        <v>17471</v>
      </c>
      <c r="E3374" s="1"/>
      <c r="F3374" s="1"/>
      <c r="G3374" s="1"/>
      <c r="H3374" s="1"/>
      <c r="I3374" s="1"/>
      <c r="J3374" s="1"/>
      <c r="K3374" s="1" t="s">
        <v>8581</v>
      </c>
    </row>
    <row r="3375" ht="14.25" customHeight="1">
      <c r="A3375" s="3" t="s">
        <v>815</v>
      </c>
      <c r="B3375" s="1">
        <v>5.9</v>
      </c>
      <c r="C3375" s="1" t="s">
        <v>17761</v>
      </c>
      <c r="D3375" s="1" t="s">
        <v>17471</v>
      </c>
      <c r="E3375" s="1"/>
      <c r="F3375" s="1"/>
      <c r="G3375" s="1"/>
      <c r="H3375" s="1"/>
      <c r="I3375" s="1"/>
      <c r="J3375" s="1"/>
      <c r="K3375" s="1" t="s">
        <v>9421</v>
      </c>
    </row>
    <row r="3376" ht="14.25" customHeight="1">
      <c r="A3376" s="3" t="s">
        <v>815</v>
      </c>
      <c r="B3376" s="1">
        <v>3.0</v>
      </c>
      <c r="C3376" s="1" t="s">
        <v>17761</v>
      </c>
      <c r="D3376" s="1" t="s">
        <v>17471</v>
      </c>
      <c r="E3376" s="1"/>
      <c r="F3376" s="1"/>
      <c r="G3376" s="1"/>
      <c r="H3376" s="1"/>
      <c r="I3376" s="1"/>
      <c r="J3376" s="1"/>
      <c r="K3376" s="1" t="s">
        <v>12797</v>
      </c>
    </row>
    <row r="3377" ht="14.25" customHeight="1">
      <c r="A3377" s="3" t="s">
        <v>815</v>
      </c>
      <c r="B3377" s="1">
        <v>7.9</v>
      </c>
      <c r="C3377" s="1" t="s">
        <v>17761</v>
      </c>
      <c r="D3377" s="1" t="s">
        <v>17471</v>
      </c>
      <c r="E3377" s="1"/>
      <c r="F3377" s="1"/>
      <c r="G3377" s="1"/>
      <c r="H3377" s="1"/>
      <c r="I3377" s="1"/>
      <c r="J3377" s="1"/>
      <c r="K3377" s="1" t="s">
        <v>13369</v>
      </c>
    </row>
    <row r="3378" ht="14.25" customHeight="1">
      <c r="A3378" s="3" t="s">
        <v>815</v>
      </c>
      <c r="B3378" s="1">
        <v>3.2</v>
      </c>
      <c r="C3378" s="1" t="s">
        <v>17761</v>
      </c>
      <c r="D3378" s="1" t="s">
        <v>17471</v>
      </c>
      <c r="E3378" s="1"/>
      <c r="F3378" s="1"/>
      <c r="G3378" s="1"/>
      <c r="H3378" s="1"/>
      <c r="I3378" s="1"/>
      <c r="J3378" s="1"/>
      <c r="K3378" s="1" t="s">
        <v>13369</v>
      </c>
    </row>
    <row r="3379" ht="14.25" customHeight="1">
      <c r="A3379" s="3" t="s">
        <v>815</v>
      </c>
      <c r="B3379" s="1">
        <v>6.5</v>
      </c>
      <c r="C3379" s="1" t="s">
        <v>17761</v>
      </c>
      <c r="D3379" s="1" t="s">
        <v>17471</v>
      </c>
      <c r="E3379" s="1"/>
      <c r="F3379" s="1"/>
      <c r="G3379" s="1"/>
      <c r="H3379" s="1"/>
      <c r="I3379" s="1"/>
      <c r="J3379" s="1"/>
      <c r="K3379" s="1" t="s">
        <v>15035</v>
      </c>
    </row>
    <row r="3380" ht="14.25" customHeight="1">
      <c r="A3380" s="3" t="s">
        <v>815</v>
      </c>
      <c r="B3380" s="1">
        <v>7.0</v>
      </c>
      <c r="C3380" s="1" t="s">
        <v>17761</v>
      </c>
      <c r="D3380" s="1" t="s">
        <v>17471</v>
      </c>
      <c r="E3380" s="1"/>
      <c r="F3380" s="1"/>
      <c r="G3380" s="1"/>
      <c r="H3380" s="1"/>
      <c r="I3380" s="1"/>
      <c r="J3380" s="1"/>
      <c r="K3380" s="1" t="s">
        <v>15476</v>
      </c>
    </row>
    <row r="3381" ht="14.25" customHeight="1">
      <c r="A3381" s="3" t="s">
        <v>2804</v>
      </c>
      <c r="B3381" s="1">
        <v>6.9</v>
      </c>
      <c r="C3381" s="1" t="s">
        <v>17764</v>
      </c>
      <c r="D3381" s="1" t="s">
        <v>17471</v>
      </c>
      <c r="E3381" s="1"/>
      <c r="F3381" s="1"/>
      <c r="G3381" s="1"/>
      <c r="H3381" s="1"/>
      <c r="I3381" s="1"/>
      <c r="J3381" s="1"/>
      <c r="K3381" s="1" t="s">
        <v>2803</v>
      </c>
    </row>
    <row r="3382" ht="14.25" customHeight="1">
      <c r="A3382" s="3" t="s">
        <v>2804</v>
      </c>
      <c r="B3382" s="1">
        <v>4.4</v>
      </c>
      <c r="C3382" s="1" t="s">
        <v>17764</v>
      </c>
      <c r="D3382" s="1" t="s">
        <v>17471</v>
      </c>
      <c r="E3382" s="1"/>
      <c r="F3382" s="1"/>
      <c r="G3382" s="1"/>
      <c r="H3382" s="1"/>
      <c r="I3382" s="1"/>
      <c r="J3382" s="1"/>
      <c r="K3382" s="1" t="s">
        <v>3885</v>
      </c>
    </row>
    <row r="3383" ht="14.25" customHeight="1">
      <c r="A3383" s="3" t="s">
        <v>2804</v>
      </c>
      <c r="B3383" s="1">
        <v>6.0</v>
      </c>
      <c r="C3383" s="1" t="s">
        <v>17764</v>
      </c>
      <c r="D3383" s="1" t="s">
        <v>17471</v>
      </c>
      <c r="E3383" s="1"/>
      <c r="F3383" s="1"/>
      <c r="G3383" s="1"/>
      <c r="H3383" s="1"/>
      <c r="I3383" s="1"/>
      <c r="J3383" s="1"/>
      <c r="K3383" s="1" t="s">
        <v>8324</v>
      </c>
    </row>
    <row r="3384" ht="14.25" customHeight="1">
      <c r="A3384" s="3" t="s">
        <v>2804</v>
      </c>
      <c r="B3384" s="1">
        <v>5.3</v>
      </c>
      <c r="C3384" s="1" t="s">
        <v>17764</v>
      </c>
      <c r="D3384" s="1" t="s">
        <v>17471</v>
      </c>
      <c r="E3384" s="1"/>
      <c r="F3384" s="1"/>
      <c r="G3384" s="1"/>
      <c r="H3384" s="1"/>
      <c r="I3384" s="1"/>
      <c r="J3384" s="1"/>
      <c r="K3384" s="1" t="s">
        <v>12275</v>
      </c>
    </row>
    <row r="3385" ht="14.25" customHeight="1">
      <c r="A3385" s="3" t="s">
        <v>2804</v>
      </c>
      <c r="B3385" s="1">
        <v>5.3</v>
      </c>
      <c r="C3385" s="1" t="s">
        <v>17764</v>
      </c>
      <c r="D3385" s="1" t="s">
        <v>17471</v>
      </c>
      <c r="E3385" s="1"/>
      <c r="F3385" s="1"/>
      <c r="G3385" s="1"/>
      <c r="H3385" s="1"/>
      <c r="I3385" s="1"/>
      <c r="J3385" s="1"/>
      <c r="K3385" s="1" t="s">
        <v>12583</v>
      </c>
    </row>
    <row r="3386" ht="14.25" customHeight="1">
      <c r="A3386" s="3" t="s">
        <v>2804</v>
      </c>
      <c r="B3386" s="1">
        <v>7.1</v>
      </c>
      <c r="C3386" s="1" t="s">
        <v>17764</v>
      </c>
      <c r="D3386" s="1" t="s">
        <v>17471</v>
      </c>
      <c r="E3386" s="1"/>
      <c r="F3386" s="1"/>
      <c r="G3386" s="1"/>
      <c r="H3386" s="1"/>
      <c r="I3386" s="1"/>
      <c r="J3386" s="1"/>
      <c r="K3386" s="1" t="s">
        <v>12756</v>
      </c>
    </row>
    <row r="3387" ht="14.25" customHeight="1">
      <c r="A3387" s="3" t="s">
        <v>2804</v>
      </c>
      <c r="B3387" s="1">
        <v>5.4</v>
      </c>
      <c r="C3387" s="1" t="s">
        <v>17764</v>
      </c>
      <c r="D3387" s="1" t="s">
        <v>17471</v>
      </c>
      <c r="E3387" s="1"/>
      <c r="F3387" s="1"/>
      <c r="G3387" s="1"/>
      <c r="H3387" s="1"/>
      <c r="I3387" s="1"/>
      <c r="J3387" s="1"/>
      <c r="K3387" s="1" t="s">
        <v>16798</v>
      </c>
    </row>
    <row r="3388" ht="14.25" customHeight="1">
      <c r="A3388" s="3" t="s">
        <v>3687</v>
      </c>
      <c r="B3388" s="1">
        <v>6.9</v>
      </c>
      <c r="C3388" s="1" t="s">
        <v>1270</v>
      </c>
      <c r="D3388" s="1" t="s">
        <v>9025</v>
      </c>
      <c r="E3388" s="1"/>
      <c r="F3388" s="1"/>
      <c r="G3388" s="1"/>
      <c r="H3388" s="1"/>
      <c r="I3388" s="1"/>
      <c r="J3388" s="1"/>
      <c r="K3388" s="1" t="s">
        <v>3686</v>
      </c>
    </row>
    <row r="3389" ht="14.25" customHeight="1">
      <c r="A3389" s="3" t="s">
        <v>9317</v>
      </c>
      <c r="B3389" s="1">
        <v>7.3</v>
      </c>
      <c r="C3389" s="1" t="s">
        <v>1885</v>
      </c>
      <c r="D3389" s="1" t="s">
        <v>9025</v>
      </c>
      <c r="E3389" s="1"/>
      <c r="F3389" s="1"/>
      <c r="G3389" s="1"/>
      <c r="H3389" s="1"/>
      <c r="I3389" s="1"/>
      <c r="J3389" s="1"/>
      <c r="K3389" s="1" t="s">
        <v>9316</v>
      </c>
    </row>
    <row r="3390" ht="14.25" customHeight="1">
      <c r="A3390" s="3" t="s">
        <v>9317</v>
      </c>
      <c r="B3390" s="1">
        <v>6.6</v>
      </c>
      <c r="C3390" s="1" t="s">
        <v>1885</v>
      </c>
      <c r="D3390" s="1" t="s">
        <v>9025</v>
      </c>
      <c r="E3390" s="1"/>
      <c r="F3390" s="1"/>
      <c r="G3390" s="1"/>
      <c r="H3390" s="1"/>
      <c r="I3390" s="1"/>
      <c r="J3390" s="1"/>
      <c r="K3390" s="1" t="s">
        <v>11457</v>
      </c>
    </row>
    <row r="3391" ht="14.25" customHeight="1">
      <c r="A3391" s="3" t="s">
        <v>3225</v>
      </c>
      <c r="B3391" s="1">
        <v>5.4</v>
      </c>
      <c r="C3391" s="1" t="s">
        <v>3238</v>
      </c>
      <c r="D3391" s="1" t="s">
        <v>9025</v>
      </c>
      <c r="E3391" s="1"/>
      <c r="F3391" s="1"/>
      <c r="G3391" s="1"/>
      <c r="H3391" s="1"/>
      <c r="I3391" s="1"/>
      <c r="J3391" s="1"/>
      <c r="K3391" s="1" t="s">
        <v>3224</v>
      </c>
    </row>
    <row r="3392" ht="14.25" customHeight="1">
      <c r="A3392" s="3" t="s">
        <v>3225</v>
      </c>
      <c r="B3392" s="1">
        <v>8.4</v>
      </c>
      <c r="C3392" s="1" t="s">
        <v>3238</v>
      </c>
      <c r="D3392" s="1" t="s">
        <v>9025</v>
      </c>
      <c r="E3392" s="1"/>
      <c r="F3392" s="1"/>
      <c r="G3392" s="1"/>
      <c r="H3392" s="1"/>
      <c r="I3392" s="1"/>
      <c r="J3392" s="1"/>
      <c r="K3392" s="1" t="s">
        <v>3230</v>
      </c>
    </row>
    <row r="3393" ht="14.25" customHeight="1">
      <c r="A3393" s="3" t="s">
        <v>3225</v>
      </c>
      <c r="B3393" s="1">
        <v>6.3</v>
      </c>
      <c r="C3393" s="1" t="s">
        <v>3238</v>
      </c>
      <c r="D3393" s="1" t="s">
        <v>9025</v>
      </c>
      <c r="E3393" s="1"/>
      <c r="F3393" s="1"/>
      <c r="G3393" s="1"/>
      <c r="H3393" s="1"/>
      <c r="I3393" s="1"/>
      <c r="J3393" s="1"/>
      <c r="K3393" s="1" t="s">
        <v>3299</v>
      </c>
    </row>
    <row r="3394" ht="14.25" customHeight="1">
      <c r="A3394" s="3" t="s">
        <v>3225</v>
      </c>
      <c r="B3394" s="1">
        <v>6.1</v>
      </c>
      <c r="C3394" s="1" t="s">
        <v>3238</v>
      </c>
      <c r="D3394" s="1" t="s">
        <v>9025</v>
      </c>
      <c r="E3394" s="1"/>
      <c r="F3394" s="1"/>
      <c r="G3394" s="1"/>
      <c r="H3394" s="1"/>
      <c r="I3394" s="1"/>
      <c r="J3394" s="1"/>
      <c r="K3394" s="1" t="s">
        <v>4677</v>
      </c>
    </row>
    <row r="3395" ht="14.25" customHeight="1">
      <c r="A3395" s="3" t="s">
        <v>3225</v>
      </c>
      <c r="B3395" s="1">
        <v>5.3</v>
      </c>
      <c r="C3395" s="1" t="s">
        <v>3238</v>
      </c>
      <c r="D3395" s="1" t="s">
        <v>9025</v>
      </c>
      <c r="E3395" s="1"/>
      <c r="F3395" s="1"/>
      <c r="G3395" s="1"/>
      <c r="H3395" s="1"/>
      <c r="I3395" s="1"/>
      <c r="J3395" s="1"/>
      <c r="K3395" s="1" t="s">
        <v>7506</v>
      </c>
    </row>
    <row r="3396" ht="14.25" customHeight="1">
      <c r="A3396" s="3" t="s">
        <v>3225</v>
      </c>
      <c r="B3396" s="1">
        <v>5.3</v>
      </c>
      <c r="C3396" s="1" t="s">
        <v>3238</v>
      </c>
      <c r="D3396" s="1" t="s">
        <v>9025</v>
      </c>
      <c r="E3396" s="1"/>
      <c r="F3396" s="1"/>
      <c r="G3396" s="1"/>
      <c r="H3396" s="1"/>
      <c r="I3396" s="1"/>
      <c r="J3396" s="1"/>
      <c r="K3396" s="1" t="s">
        <v>9145</v>
      </c>
    </row>
    <row r="3397" ht="14.25" customHeight="1">
      <c r="A3397" s="3" t="s">
        <v>3225</v>
      </c>
      <c r="B3397" s="1">
        <v>6.0</v>
      </c>
      <c r="C3397" s="1" t="s">
        <v>3238</v>
      </c>
      <c r="D3397" s="1" t="s">
        <v>9025</v>
      </c>
      <c r="E3397" s="1"/>
      <c r="F3397" s="1"/>
      <c r="G3397" s="1"/>
      <c r="H3397" s="1"/>
      <c r="I3397" s="1"/>
      <c r="J3397" s="1"/>
      <c r="K3397" s="1" t="s">
        <v>9502</v>
      </c>
    </row>
    <row r="3398" ht="14.25" customHeight="1">
      <c r="A3398" s="3" t="s">
        <v>3225</v>
      </c>
      <c r="B3398" s="1">
        <v>7.4</v>
      </c>
      <c r="C3398" s="1" t="s">
        <v>3238</v>
      </c>
      <c r="D3398" s="1" t="s">
        <v>9025</v>
      </c>
      <c r="E3398" s="1"/>
      <c r="F3398" s="1"/>
      <c r="G3398" s="1"/>
      <c r="H3398" s="1"/>
      <c r="I3398" s="1"/>
      <c r="J3398" s="1"/>
      <c r="K3398" s="1" t="s">
        <v>10476</v>
      </c>
    </row>
    <row r="3399" ht="14.25" customHeight="1">
      <c r="A3399" s="3" t="s">
        <v>3225</v>
      </c>
      <c r="B3399" s="1">
        <v>4.1</v>
      </c>
      <c r="C3399" s="1" t="s">
        <v>3238</v>
      </c>
      <c r="D3399" s="1" t="s">
        <v>9025</v>
      </c>
      <c r="E3399" s="1"/>
      <c r="F3399" s="1"/>
      <c r="G3399" s="1"/>
      <c r="H3399" s="1"/>
      <c r="I3399" s="1"/>
      <c r="J3399" s="1"/>
      <c r="K3399" s="1" t="s">
        <v>10594</v>
      </c>
    </row>
    <row r="3400" ht="14.25" customHeight="1">
      <c r="A3400" s="3" t="s">
        <v>3225</v>
      </c>
      <c r="B3400" s="1">
        <v>6.7</v>
      </c>
      <c r="C3400" s="1" t="s">
        <v>3238</v>
      </c>
      <c r="D3400" s="1" t="s">
        <v>9025</v>
      </c>
      <c r="E3400" s="1"/>
      <c r="F3400" s="1"/>
      <c r="G3400" s="1"/>
      <c r="H3400" s="1"/>
      <c r="I3400" s="1"/>
      <c r="J3400" s="1"/>
      <c r="K3400" s="1" t="s">
        <v>11876</v>
      </c>
    </row>
    <row r="3401" ht="14.25" customHeight="1">
      <c r="A3401" s="3" t="s">
        <v>3225</v>
      </c>
      <c r="B3401" s="1">
        <v>5.8</v>
      </c>
      <c r="C3401" s="1" t="s">
        <v>3238</v>
      </c>
      <c r="D3401" s="1" t="s">
        <v>9025</v>
      </c>
      <c r="E3401" s="1"/>
      <c r="F3401" s="1"/>
      <c r="G3401" s="1"/>
      <c r="H3401" s="1"/>
      <c r="I3401" s="1"/>
      <c r="J3401" s="1"/>
      <c r="K3401" s="1" t="s">
        <v>11980</v>
      </c>
    </row>
    <row r="3402" ht="14.25" customHeight="1">
      <c r="A3402" s="3" t="s">
        <v>3225</v>
      </c>
      <c r="B3402" s="1">
        <v>6.5</v>
      </c>
      <c r="C3402" s="1" t="s">
        <v>3238</v>
      </c>
      <c r="D3402" s="1" t="s">
        <v>9025</v>
      </c>
      <c r="E3402" s="1"/>
      <c r="F3402" s="1"/>
      <c r="G3402" s="1"/>
      <c r="H3402" s="1"/>
      <c r="I3402" s="1"/>
      <c r="J3402" s="1"/>
      <c r="K3402" s="1" t="s">
        <v>12497</v>
      </c>
    </row>
    <row r="3403" ht="14.25" customHeight="1">
      <c r="A3403" s="3" t="s">
        <v>3225</v>
      </c>
      <c r="B3403" s="1">
        <v>7.0</v>
      </c>
      <c r="C3403" s="1" t="s">
        <v>3238</v>
      </c>
      <c r="D3403" s="1" t="s">
        <v>9025</v>
      </c>
      <c r="E3403" s="1"/>
      <c r="F3403" s="1"/>
      <c r="G3403" s="1"/>
      <c r="H3403" s="1"/>
      <c r="I3403" s="1"/>
      <c r="J3403" s="1"/>
      <c r="K3403" s="1" t="s">
        <v>13693</v>
      </c>
    </row>
    <row r="3404" ht="14.25" customHeight="1">
      <c r="A3404" s="3" t="s">
        <v>3225</v>
      </c>
      <c r="B3404" s="1">
        <v>8.0</v>
      </c>
      <c r="C3404" s="1" t="s">
        <v>3238</v>
      </c>
      <c r="D3404" s="1" t="s">
        <v>9025</v>
      </c>
      <c r="E3404" s="1"/>
      <c r="F3404" s="1"/>
      <c r="G3404" s="1"/>
      <c r="H3404" s="1"/>
      <c r="I3404" s="1"/>
      <c r="J3404" s="1"/>
      <c r="K3404" s="1" t="s">
        <v>14608</v>
      </c>
    </row>
    <row r="3405" ht="14.25" customHeight="1">
      <c r="A3405" s="3" t="s">
        <v>7166</v>
      </c>
      <c r="B3405" s="1">
        <v>6.5</v>
      </c>
      <c r="C3405" s="1" t="s">
        <v>1270</v>
      </c>
      <c r="D3405" s="1" t="s">
        <v>14463</v>
      </c>
      <c r="E3405" s="1"/>
      <c r="F3405" s="1"/>
      <c r="G3405" s="1"/>
      <c r="H3405" s="1"/>
      <c r="I3405" s="1"/>
      <c r="J3405" s="1"/>
      <c r="K3405" s="1" t="s">
        <v>7165</v>
      </c>
    </row>
    <row r="3406" ht="14.25" customHeight="1">
      <c r="A3406" s="3" t="s">
        <v>6214</v>
      </c>
      <c r="B3406" s="1">
        <v>6.8</v>
      </c>
      <c r="C3406" s="1" t="s">
        <v>1885</v>
      </c>
      <c r="D3406" s="1" t="s">
        <v>14463</v>
      </c>
      <c r="E3406" s="1"/>
      <c r="F3406" s="1"/>
      <c r="G3406" s="1"/>
      <c r="H3406" s="1"/>
      <c r="I3406" s="1"/>
      <c r="J3406" s="1"/>
      <c r="K3406" s="1" t="s">
        <v>6213</v>
      </c>
    </row>
    <row r="3407" ht="14.25" customHeight="1">
      <c r="A3407" s="3" t="s">
        <v>6214</v>
      </c>
      <c r="B3407" s="1">
        <v>7.4</v>
      </c>
      <c r="C3407" s="1" t="s">
        <v>1885</v>
      </c>
      <c r="D3407" s="1" t="s">
        <v>14463</v>
      </c>
      <c r="E3407" s="1"/>
      <c r="F3407" s="1"/>
      <c r="G3407" s="1"/>
      <c r="H3407" s="1"/>
      <c r="I3407" s="1"/>
      <c r="J3407" s="1"/>
      <c r="K3407" s="1" t="s">
        <v>14737</v>
      </c>
    </row>
    <row r="3408" ht="14.25" customHeight="1">
      <c r="A3408" s="3" t="s">
        <v>6214</v>
      </c>
      <c r="B3408" s="1">
        <v>8.3</v>
      </c>
      <c r="C3408" s="1" t="s">
        <v>1885</v>
      </c>
      <c r="D3408" s="1" t="s">
        <v>14463</v>
      </c>
      <c r="E3408" s="1"/>
      <c r="F3408" s="1"/>
      <c r="G3408" s="1"/>
      <c r="H3408" s="1"/>
      <c r="I3408" s="1"/>
      <c r="J3408" s="1"/>
      <c r="K3408" s="1" t="s">
        <v>16096</v>
      </c>
    </row>
    <row r="3409" ht="14.25" customHeight="1">
      <c r="A3409" s="3" t="s">
        <v>1683</v>
      </c>
      <c r="B3409" s="1">
        <v>5.3</v>
      </c>
      <c r="C3409" s="1" t="s">
        <v>3238</v>
      </c>
      <c r="D3409" s="1" t="s">
        <v>14463</v>
      </c>
      <c r="E3409" s="1"/>
      <c r="F3409" s="1"/>
      <c r="G3409" s="1"/>
      <c r="H3409" s="1"/>
      <c r="I3409" s="1"/>
      <c r="J3409" s="1"/>
      <c r="K3409" s="1" t="s">
        <v>1682</v>
      </c>
    </row>
    <row r="3410" ht="14.25" customHeight="1">
      <c r="A3410" s="3" t="s">
        <v>1683</v>
      </c>
      <c r="B3410" s="1">
        <v>8.1</v>
      </c>
      <c r="C3410" s="1" t="s">
        <v>3238</v>
      </c>
      <c r="D3410" s="1" t="s">
        <v>14463</v>
      </c>
      <c r="E3410" s="1"/>
      <c r="F3410" s="1"/>
      <c r="G3410" s="1"/>
      <c r="H3410" s="1"/>
      <c r="I3410" s="1"/>
      <c r="J3410" s="1"/>
      <c r="K3410" s="1" t="s">
        <v>11387</v>
      </c>
    </row>
    <row r="3411" ht="14.25" customHeight="1">
      <c r="A3411" s="3" t="s">
        <v>1683</v>
      </c>
      <c r="B3411" s="1">
        <v>8.0</v>
      </c>
      <c r="C3411" s="1" t="s">
        <v>3238</v>
      </c>
      <c r="D3411" s="1" t="s">
        <v>14463</v>
      </c>
      <c r="E3411" s="1"/>
      <c r="F3411" s="1"/>
      <c r="G3411" s="1"/>
      <c r="H3411" s="1"/>
      <c r="I3411" s="1"/>
      <c r="J3411" s="1"/>
      <c r="K3411" s="1" t="s">
        <v>11984</v>
      </c>
    </row>
    <row r="3412" ht="14.25" customHeight="1">
      <c r="A3412" s="3" t="s">
        <v>1683</v>
      </c>
      <c r="B3412" s="1">
        <v>5.7</v>
      </c>
      <c r="C3412" s="1" t="s">
        <v>3238</v>
      </c>
      <c r="D3412" s="1" t="s">
        <v>14463</v>
      </c>
      <c r="E3412" s="1"/>
      <c r="F3412" s="1"/>
      <c r="G3412" s="1"/>
      <c r="H3412" s="1"/>
      <c r="I3412" s="1"/>
      <c r="J3412" s="1"/>
      <c r="K3412" s="1" t="s">
        <v>14566</v>
      </c>
    </row>
    <row r="3413" ht="14.25" customHeight="1">
      <c r="A3413" s="3" t="s">
        <v>1270</v>
      </c>
      <c r="B3413" s="1">
        <v>7.1</v>
      </c>
      <c r="C3413" s="1" t="s">
        <v>1270</v>
      </c>
      <c r="D3413" s="1"/>
      <c r="E3413" s="1"/>
      <c r="F3413" s="1"/>
      <c r="G3413" s="1"/>
      <c r="H3413" s="1"/>
      <c r="I3413" s="1"/>
      <c r="J3413" s="1"/>
      <c r="K3413" s="1" t="s">
        <v>1269</v>
      </c>
    </row>
    <row r="3414" ht="14.25" customHeight="1">
      <c r="A3414" s="3" t="s">
        <v>1270</v>
      </c>
      <c r="B3414" s="1">
        <v>7.8</v>
      </c>
      <c r="C3414" s="1" t="s">
        <v>1270</v>
      </c>
      <c r="D3414" s="1"/>
      <c r="E3414" s="1"/>
      <c r="F3414" s="1"/>
      <c r="G3414" s="1"/>
      <c r="H3414" s="1"/>
      <c r="I3414" s="1"/>
      <c r="J3414" s="1"/>
      <c r="K3414" s="1" t="s">
        <v>2442</v>
      </c>
    </row>
    <row r="3415" ht="14.25" customHeight="1">
      <c r="A3415" s="3" t="s">
        <v>1270</v>
      </c>
      <c r="B3415" s="1">
        <v>5.9</v>
      </c>
      <c r="C3415" s="1" t="s">
        <v>1270</v>
      </c>
      <c r="D3415" s="1"/>
      <c r="E3415" s="1"/>
      <c r="F3415" s="1"/>
      <c r="G3415" s="1"/>
      <c r="H3415" s="1"/>
      <c r="I3415" s="1"/>
      <c r="J3415" s="1"/>
      <c r="K3415" s="1" t="s">
        <v>4394</v>
      </c>
    </row>
    <row r="3416" ht="14.25" customHeight="1">
      <c r="A3416" s="3" t="s">
        <v>1270</v>
      </c>
      <c r="B3416" s="1">
        <v>7.8</v>
      </c>
      <c r="C3416" s="1" t="s">
        <v>1270</v>
      </c>
      <c r="D3416" s="1"/>
      <c r="E3416" s="1"/>
      <c r="F3416" s="1"/>
      <c r="G3416" s="1"/>
      <c r="H3416" s="1"/>
      <c r="I3416" s="1"/>
      <c r="J3416" s="1"/>
      <c r="K3416" s="1" t="s">
        <v>11782</v>
      </c>
    </row>
    <row r="3417" ht="14.25" customHeight="1">
      <c r="A3417" s="3" t="s">
        <v>1270</v>
      </c>
      <c r="B3417" s="1">
        <v>5.3</v>
      </c>
      <c r="C3417" s="1" t="s">
        <v>1270</v>
      </c>
      <c r="D3417" s="1"/>
      <c r="E3417" s="1"/>
      <c r="F3417" s="1"/>
      <c r="G3417" s="1"/>
      <c r="H3417" s="1"/>
      <c r="I3417" s="1"/>
      <c r="J3417" s="1"/>
      <c r="K3417" s="1" t="s">
        <v>11940</v>
      </c>
    </row>
    <row r="3418" ht="14.25" customHeight="1">
      <c r="A3418" s="3" t="s">
        <v>1270</v>
      </c>
      <c r="B3418" s="1">
        <v>7.2</v>
      </c>
      <c r="C3418" s="1" t="s">
        <v>1270</v>
      </c>
      <c r="D3418" s="1"/>
      <c r="E3418" s="1"/>
      <c r="F3418" s="1"/>
      <c r="G3418" s="1"/>
      <c r="H3418" s="1"/>
      <c r="I3418" s="1"/>
      <c r="J3418" s="1"/>
      <c r="K3418" s="1" t="s">
        <v>12425</v>
      </c>
    </row>
    <row r="3419" ht="14.25" customHeight="1">
      <c r="A3419" s="3" t="s">
        <v>917</v>
      </c>
      <c r="B3419" s="1">
        <v>5.1</v>
      </c>
      <c r="C3419" s="1" t="s">
        <v>917</v>
      </c>
      <c r="D3419" s="1"/>
      <c r="E3419" s="1"/>
      <c r="F3419" s="1"/>
      <c r="G3419" s="1"/>
      <c r="H3419" s="1"/>
      <c r="I3419" s="1"/>
      <c r="J3419" s="1"/>
      <c r="K3419" s="1" t="s">
        <v>916</v>
      </c>
    </row>
    <row r="3420" ht="14.25" customHeight="1">
      <c r="A3420" s="3" t="s">
        <v>917</v>
      </c>
      <c r="B3420" s="1">
        <v>5.1</v>
      </c>
      <c r="C3420" s="1" t="s">
        <v>917</v>
      </c>
      <c r="D3420" s="1"/>
      <c r="E3420" s="1"/>
      <c r="F3420" s="1"/>
      <c r="G3420" s="1"/>
      <c r="H3420" s="1"/>
      <c r="I3420" s="1"/>
      <c r="J3420" s="1"/>
      <c r="K3420" s="1" t="s">
        <v>16391</v>
      </c>
    </row>
    <row r="3421" ht="14.25" customHeight="1">
      <c r="A3421" s="3" t="s">
        <v>1885</v>
      </c>
      <c r="B3421" s="1">
        <v>4.9</v>
      </c>
      <c r="C3421" s="1" t="s">
        <v>1885</v>
      </c>
      <c r="D3421" s="1"/>
      <c r="E3421" s="1"/>
      <c r="F3421" s="1"/>
      <c r="G3421" s="1"/>
      <c r="H3421" s="1"/>
      <c r="I3421" s="1"/>
      <c r="J3421" s="1"/>
      <c r="K3421" s="1" t="s">
        <v>1884</v>
      </c>
    </row>
    <row r="3422" ht="14.25" customHeight="1">
      <c r="A3422" s="3" t="s">
        <v>1885</v>
      </c>
      <c r="B3422" s="1">
        <v>6.9</v>
      </c>
      <c r="C3422" s="1" t="s">
        <v>1885</v>
      </c>
      <c r="D3422" s="1"/>
      <c r="E3422" s="1"/>
      <c r="F3422" s="1"/>
      <c r="G3422" s="1"/>
      <c r="H3422" s="1"/>
      <c r="I3422" s="1"/>
      <c r="J3422" s="1"/>
      <c r="K3422" s="1" t="s">
        <v>2437</v>
      </c>
    </row>
    <row r="3423" ht="14.25" customHeight="1">
      <c r="A3423" s="3" t="s">
        <v>1885</v>
      </c>
      <c r="B3423" s="1">
        <v>4.6</v>
      </c>
      <c r="C3423" s="1" t="s">
        <v>1885</v>
      </c>
      <c r="D3423" s="1"/>
      <c r="E3423" s="1"/>
      <c r="F3423" s="1"/>
      <c r="G3423" s="1"/>
      <c r="H3423" s="1"/>
      <c r="I3423" s="1"/>
      <c r="J3423" s="1"/>
      <c r="K3423" s="1" t="s">
        <v>2474</v>
      </c>
    </row>
    <row r="3424" ht="14.25" customHeight="1">
      <c r="A3424" s="3" t="s">
        <v>1885</v>
      </c>
      <c r="B3424" s="1">
        <v>6.7</v>
      </c>
      <c r="C3424" s="1" t="s">
        <v>1885</v>
      </c>
      <c r="D3424" s="1"/>
      <c r="E3424" s="1"/>
      <c r="F3424" s="1"/>
      <c r="G3424" s="1"/>
      <c r="H3424" s="1"/>
      <c r="I3424" s="1"/>
      <c r="J3424" s="1"/>
      <c r="K3424" s="1" t="s">
        <v>2789</v>
      </c>
    </row>
    <row r="3425" ht="14.25" customHeight="1">
      <c r="A3425" s="3" t="s">
        <v>1885</v>
      </c>
      <c r="B3425" s="1">
        <v>7.1</v>
      </c>
      <c r="C3425" s="1" t="s">
        <v>1885</v>
      </c>
      <c r="D3425" s="1"/>
      <c r="E3425" s="1"/>
      <c r="F3425" s="1"/>
      <c r="G3425" s="1"/>
      <c r="H3425" s="1"/>
      <c r="I3425" s="1"/>
      <c r="J3425" s="1"/>
      <c r="K3425" s="1" t="s">
        <v>2896</v>
      </c>
    </row>
    <row r="3426" ht="14.25" customHeight="1">
      <c r="A3426" s="3" t="s">
        <v>1885</v>
      </c>
      <c r="B3426" s="1">
        <v>7.6</v>
      </c>
      <c r="C3426" s="1" t="s">
        <v>1885</v>
      </c>
      <c r="D3426" s="1"/>
      <c r="E3426" s="1"/>
      <c r="F3426" s="1"/>
      <c r="G3426" s="1"/>
      <c r="H3426" s="1"/>
      <c r="I3426" s="1"/>
      <c r="J3426" s="1"/>
      <c r="K3426" s="1" t="s">
        <v>3382</v>
      </c>
    </row>
    <row r="3427" ht="14.25" customHeight="1">
      <c r="A3427" s="3" t="s">
        <v>1885</v>
      </c>
      <c r="B3427" s="1">
        <v>8.1</v>
      </c>
      <c r="C3427" s="1" t="s">
        <v>1885</v>
      </c>
      <c r="D3427" s="1"/>
      <c r="E3427" s="1"/>
      <c r="F3427" s="1"/>
      <c r="G3427" s="1"/>
      <c r="H3427" s="1"/>
      <c r="I3427" s="1"/>
      <c r="J3427" s="1"/>
      <c r="K3427" s="1" t="s">
        <v>3482</v>
      </c>
    </row>
    <row r="3428" ht="14.25" customHeight="1">
      <c r="A3428" s="3" t="s">
        <v>1885</v>
      </c>
      <c r="B3428" s="1">
        <v>7.0</v>
      </c>
      <c r="C3428" s="1" t="s">
        <v>1885</v>
      </c>
      <c r="D3428" s="1"/>
      <c r="E3428" s="1"/>
      <c r="F3428" s="1"/>
      <c r="G3428" s="1"/>
      <c r="H3428" s="1"/>
      <c r="I3428" s="1"/>
      <c r="J3428" s="1"/>
      <c r="K3428" s="1" t="s">
        <v>3802</v>
      </c>
    </row>
    <row r="3429" ht="14.25" customHeight="1">
      <c r="A3429" s="3" t="s">
        <v>1885</v>
      </c>
      <c r="B3429" s="1">
        <v>7.1</v>
      </c>
      <c r="C3429" s="1" t="s">
        <v>1885</v>
      </c>
      <c r="D3429" s="1"/>
      <c r="E3429" s="1"/>
      <c r="F3429" s="1"/>
      <c r="G3429" s="1"/>
      <c r="H3429" s="1"/>
      <c r="I3429" s="1"/>
      <c r="J3429" s="1"/>
      <c r="K3429" s="1" t="s">
        <v>4252</v>
      </c>
    </row>
    <row r="3430" ht="14.25" customHeight="1">
      <c r="A3430" s="3" t="s">
        <v>1885</v>
      </c>
      <c r="B3430" s="1">
        <v>7.6</v>
      </c>
      <c r="C3430" s="1" t="s">
        <v>1885</v>
      </c>
      <c r="D3430" s="1"/>
      <c r="E3430" s="1"/>
      <c r="F3430" s="1"/>
      <c r="G3430" s="1"/>
      <c r="H3430" s="1"/>
      <c r="I3430" s="1"/>
      <c r="J3430" s="1"/>
      <c r="K3430" s="1" t="s">
        <v>4271</v>
      </c>
    </row>
    <row r="3431" ht="14.25" customHeight="1">
      <c r="A3431" s="3" t="s">
        <v>1885</v>
      </c>
      <c r="B3431" s="1">
        <v>7.1</v>
      </c>
      <c r="C3431" s="1" t="s">
        <v>1885</v>
      </c>
      <c r="D3431" s="1"/>
      <c r="E3431" s="1"/>
      <c r="F3431" s="1"/>
      <c r="G3431" s="1"/>
      <c r="H3431" s="1"/>
      <c r="I3431" s="1"/>
      <c r="J3431" s="1"/>
      <c r="K3431" s="1" t="s">
        <v>4319</v>
      </c>
    </row>
    <row r="3432" ht="14.25" customHeight="1">
      <c r="A3432" s="3" t="s">
        <v>1885</v>
      </c>
      <c r="B3432" s="1">
        <v>7.7</v>
      </c>
      <c r="C3432" s="1" t="s">
        <v>1885</v>
      </c>
      <c r="D3432" s="1"/>
      <c r="E3432" s="1"/>
      <c r="F3432" s="1"/>
      <c r="G3432" s="1"/>
      <c r="H3432" s="1"/>
      <c r="I3432" s="1"/>
      <c r="J3432" s="1"/>
      <c r="K3432" s="1" t="s">
        <v>4399</v>
      </c>
    </row>
    <row r="3433" ht="14.25" customHeight="1">
      <c r="A3433" s="3" t="s">
        <v>1885</v>
      </c>
      <c r="B3433" s="1">
        <v>7.6</v>
      </c>
      <c r="C3433" s="1" t="s">
        <v>1885</v>
      </c>
      <c r="D3433" s="1"/>
      <c r="E3433" s="1"/>
      <c r="F3433" s="1"/>
      <c r="G3433" s="1"/>
      <c r="H3433" s="1"/>
      <c r="I3433" s="1"/>
      <c r="J3433" s="1"/>
      <c r="K3433" s="1" t="s">
        <v>4485</v>
      </c>
    </row>
    <row r="3434" ht="14.25" customHeight="1">
      <c r="A3434" s="3" t="s">
        <v>1885</v>
      </c>
      <c r="B3434" s="1">
        <v>6.7</v>
      </c>
      <c r="C3434" s="1" t="s">
        <v>1885</v>
      </c>
      <c r="D3434" s="1"/>
      <c r="E3434" s="1"/>
      <c r="F3434" s="1"/>
      <c r="G3434" s="1"/>
      <c r="H3434" s="1"/>
      <c r="I3434" s="1"/>
      <c r="J3434" s="1"/>
      <c r="K3434" s="1" t="s">
        <v>4708</v>
      </c>
    </row>
    <row r="3435" ht="14.25" customHeight="1">
      <c r="A3435" s="3" t="s">
        <v>1885</v>
      </c>
      <c r="B3435" s="1">
        <v>5.7</v>
      </c>
      <c r="C3435" s="1" t="s">
        <v>1885</v>
      </c>
      <c r="D3435" s="1"/>
      <c r="E3435" s="1"/>
      <c r="F3435" s="1"/>
      <c r="G3435" s="1"/>
      <c r="H3435" s="1"/>
      <c r="I3435" s="1"/>
      <c r="J3435" s="1"/>
      <c r="K3435" s="1" t="s">
        <v>4751</v>
      </c>
    </row>
    <row r="3436" ht="14.25" customHeight="1">
      <c r="A3436" s="3" t="s">
        <v>1885</v>
      </c>
      <c r="B3436" s="1">
        <v>7.1</v>
      </c>
      <c r="C3436" s="1" t="s">
        <v>1885</v>
      </c>
      <c r="D3436" s="1"/>
      <c r="E3436" s="1"/>
      <c r="F3436" s="1"/>
      <c r="G3436" s="1"/>
      <c r="H3436" s="1"/>
      <c r="I3436" s="1"/>
      <c r="J3436" s="1"/>
      <c r="K3436" s="1" t="s">
        <v>4943</v>
      </c>
    </row>
    <row r="3437" ht="14.25" customHeight="1">
      <c r="A3437" s="3" t="s">
        <v>1885</v>
      </c>
      <c r="B3437" s="1">
        <v>6.2</v>
      </c>
      <c r="C3437" s="1" t="s">
        <v>1885</v>
      </c>
      <c r="D3437" s="1"/>
      <c r="E3437" s="1"/>
      <c r="F3437" s="1"/>
      <c r="G3437" s="1"/>
      <c r="H3437" s="1"/>
      <c r="I3437" s="1"/>
      <c r="J3437" s="1"/>
      <c r="K3437" s="1" t="s">
        <v>5171</v>
      </c>
    </row>
    <row r="3438" ht="14.25" customHeight="1">
      <c r="A3438" s="3" t="s">
        <v>1885</v>
      </c>
      <c r="B3438" s="1">
        <v>6.1</v>
      </c>
      <c r="C3438" s="1" t="s">
        <v>1885</v>
      </c>
      <c r="D3438" s="1"/>
      <c r="E3438" s="1"/>
      <c r="F3438" s="1"/>
      <c r="G3438" s="1"/>
      <c r="H3438" s="1"/>
      <c r="I3438" s="1"/>
      <c r="J3438" s="1"/>
      <c r="K3438" s="1" t="s">
        <v>5343</v>
      </c>
    </row>
    <row r="3439" ht="14.25" customHeight="1">
      <c r="A3439" s="3" t="s">
        <v>1885</v>
      </c>
      <c r="B3439" s="1">
        <v>5.9</v>
      </c>
      <c r="C3439" s="1" t="s">
        <v>1885</v>
      </c>
      <c r="D3439" s="1"/>
      <c r="E3439" s="1"/>
      <c r="F3439" s="1"/>
      <c r="G3439" s="1"/>
      <c r="H3439" s="1"/>
      <c r="I3439" s="1"/>
      <c r="J3439" s="1"/>
      <c r="K3439" s="1" t="s">
        <v>5396</v>
      </c>
    </row>
    <row r="3440" ht="14.25" customHeight="1">
      <c r="A3440" s="3" t="s">
        <v>1885</v>
      </c>
      <c r="B3440" s="1">
        <v>6.8</v>
      </c>
      <c r="C3440" s="1" t="s">
        <v>1885</v>
      </c>
      <c r="D3440" s="1"/>
      <c r="E3440" s="1"/>
      <c r="F3440" s="1"/>
      <c r="G3440" s="1"/>
      <c r="H3440" s="1"/>
      <c r="I3440" s="1"/>
      <c r="J3440" s="1"/>
      <c r="K3440" s="1" t="s">
        <v>5762</v>
      </c>
    </row>
    <row r="3441" ht="14.25" customHeight="1">
      <c r="A3441" s="3" t="s">
        <v>1885</v>
      </c>
      <c r="B3441" s="1">
        <v>6.8</v>
      </c>
      <c r="C3441" s="1" t="s">
        <v>1885</v>
      </c>
      <c r="D3441" s="1"/>
      <c r="E3441" s="1"/>
      <c r="F3441" s="1"/>
      <c r="G3441" s="1"/>
      <c r="H3441" s="1"/>
      <c r="I3441" s="1"/>
      <c r="J3441" s="1"/>
      <c r="K3441" s="1" t="s">
        <v>5802</v>
      </c>
    </row>
    <row r="3442" ht="14.25" customHeight="1">
      <c r="A3442" s="3" t="s">
        <v>1885</v>
      </c>
      <c r="B3442" s="1">
        <v>5.1</v>
      </c>
      <c r="C3442" s="1" t="s">
        <v>1885</v>
      </c>
      <c r="D3442" s="1"/>
      <c r="E3442" s="1"/>
      <c r="F3442" s="1"/>
      <c r="G3442" s="1"/>
      <c r="H3442" s="1"/>
      <c r="I3442" s="1"/>
      <c r="J3442" s="1"/>
      <c r="K3442" s="1" t="s">
        <v>5843</v>
      </c>
    </row>
    <row r="3443" ht="14.25" customHeight="1">
      <c r="A3443" s="3" t="s">
        <v>1885</v>
      </c>
      <c r="B3443" s="1">
        <v>7.7</v>
      </c>
      <c r="C3443" s="1" t="s">
        <v>1885</v>
      </c>
      <c r="D3443" s="1"/>
      <c r="E3443" s="1"/>
      <c r="F3443" s="1"/>
      <c r="G3443" s="1"/>
      <c r="H3443" s="1"/>
      <c r="I3443" s="1"/>
      <c r="J3443" s="1"/>
      <c r="K3443" s="1" t="s">
        <v>5918</v>
      </c>
    </row>
    <row r="3444" ht="14.25" customHeight="1">
      <c r="A3444" s="3" t="s">
        <v>1885</v>
      </c>
      <c r="B3444" s="1">
        <v>3.9</v>
      </c>
      <c r="C3444" s="1" t="s">
        <v>1885</v>
      </c>
      <c r="D3444" s="1"/>
      <c r="E3444" s="1"/>
      <c r="F3444" s="1"/>
      <c r="G3444" s="1"/>
      <c r="H3444" s="1"/>
      <c r="I3444" s="1"/>
      <c r="J3444" s="1"/>
      <c r="K3444" s="1" t="s">
        <v>5951</v>
      </c>
    </row>
    <row r="3445" ht="14.25" customHeight="1">
      <c r="A3445" s="3" t="s">
        <v>1885</v>
      </c>
      <c r="B3445" s="1">
        <v>5.7</v>
      </c>
      <c r="C3445" s="1" t="s">
        <v>1885</v>
      </c>
      <c r="D3445" s="1"/>
      <c r="E3445" s="1"/>
      <c r="F3445" s="1"/>
      <c r="G3445" s="1"/>
      <c r="H3445" s="1"/>
      <c r="I3445" s="1"/>
      <c r="J3445" s="1"/>
      <c r="K3445" s="1" t="s">
        <v>6180</v>
      </c>
    </row>
    <row r="3446" ht="14.25" customHeight="1">
      <c r="A3446" s="3" t="s">
        <v>1885</v>
      </c>
      <c r="B3446" s="1">
        <v>4.7</v>
      </c>
      <c r="C3446" s="1" t="s">
        <v>1885</v>
      </c>
      <c r="D3446" s="1"/>
      <c r="E3446" s="1"/>
      <c r="F3446" s="1"/>
      <c r="G3446" s="1"/>
      <c r="H3446" s="1"/>
      <c r="I3446" s="1"/>
      <c r="J3446" s="1"/>
      <c r="K3446" s="1" t="s">
        <v>6254</v>
      </c>
    </row>
    <row r="3447" ht="14.25" customHeight="1">
      <c r="A3447" s="3" t="s">
        <v>1885</v>
      </c>
      <c r="B3447" s="1">
        <v>5.9</v>
      </c>
      <c r="C3447" s="1" t="s">
        <v>1885</v>
      </c>
      <c r="D3447" s="1"/>
      <c r="E3447" s="1"/>
      <c r="F3447" s="1"/>
      <c r="G3447" s="1"/>
      <c r="H3447" s="1"/>
      <c r="I3447" s="1"/>
      <c r="J3447" s="1"/>
      <c r="K3447" s="1" t="s">
        <v>6402</v>
      </c>
    </row>
    <row r="3448" ht="14.25" customHeight="1">
      <c r="A3448" s="3" t="s">
        <v>1885</v>
      </c>
      <c r="B3448" s="1">
        <v>8.1</v>
      </c>
      <c r="C3448" s="1" t="s">
        <v>1885</v>
      </c>
      <c r="D3448" s="1"/>
      <c r="E3448" s="1"/>
      <c r="F3448" s="1"/>
      <c r="G3448" s="1"/>
      <c r="H3448" s="1"/>
      <c r="I3448" s="1"/>
      <c r="J3448" s="1"/>
      <c r="K3448" s="1" t="s">
        <v>6544</v>
      </c>
    </row>
    <row r="3449" ht="14.25" customHeight="1">
      <c r="A3449" s="3" t="s">
        <v>1885</v>
      </c>
      <c r="B3449" s="1">
        <v>7.6</v>
      </c>
      <c r="C3449" s="1" t="s">
        <v>1885</v>
      </c>
      <c r="D3449" s="1"/>
      <c r="E3449" s="1"/>
      <c r="F3449" s="1"/>
      <c r="G3449" s="1"/>
      <c r="H3449" s="1"/>
      <c r="I3449" s="1"/>
      <c r="J3449" s="1"/>
      <c r="K3449" s="1" t="s">
        <v>6784</v>
      </c>
    </row>
    <row r="3450" ht="14.25" customHeight="1">
      <c r="A3450" s="3" t="s">
        <v>1885</v>
      </c>
      <c r="B3450" s="1">
        <v>7.5</v>
      </c>
      <c r="C3450" s="1" t="s">
        <v>1885</v>
      </c>
      <c r="D3450" s="1"/>
      <c r="E3450" s="1"/>
      <c r="F3450" s="1"/>
      <c r="G3450" s="1"/>
      <c r="H3450" s="1"/>
      <c r="I3450" s="1"/>
      <c r="J3450" s="1"/>
      <c r="K3450" s="1" t="s">
        <v>6787</v>
      </c>
    </row>
    <row r="3451" ht="14.25" customHeight="1">
      <c r="A3451" s="3" t="s">
        <v>1885</v>
      </c>
      <c r="B3451" s="1">
        <v>5.1</v>
      </c>
      <c r="C3451" s="1" t="s">
        <v>1885</v>
      </c>
      <c r="D3451" s="1"/>
      <c r="E3451" s="1"/>
      <c r="F3451" s="1"/>
      <c r="G3451" s="1"/>
      <c r="H3451" s="1"/>
      <c r="I3451" s="1"/>
      <c r="J3451" s="1"/>
      <c r="K3451" s="1" t="s">
        <v>6871</v>
      </c>
    </row>
    <row r="3452" ht="14.25" customHeight="1">
      <c r="A3452" s="3" t="s">
        <v>1885</v>
      </c>
      <c r="B3452" s="1">
        <v>6.9</v>
      </c>
      <c r="C3452" s="1" t="s">
        <v>1885</v>
      </c>
      <c r="D3452" s="1"/>
      <c r="E3452" s="1"/>
      <c r="F3452" s="1"/>
      <c r="G3452" s="1"/>
      <c r="H3452" s="1"/>
      <c r="I3452" s="1"/>
      <c r="J3452" s="1"/>
      <c r="K3452" s="1" t="s">
        <v>6912</v>
      </c>
    </row>
    <row r="3453" ht="14.25" customHeight="1">
      <c r="A3453" s="3" t="s">
        <v>1885</v>
      </c>
      <c r="B3453" s="1">
        <v>7.6</v>
      </c>
      <c r="C3453" s="1" t="s">
        <v>1885</v>
      </c>
      <c r="D3453" s="1"/>
      <c r="E3453" s="1"/>
      <c r="F3453" s="1"/>
      <c r="G3453" s="1"/>
      <c r="H3453" s="1"/>
      <c r="I3453" s="1"/>
      <c r="J3453" s="1"/>
      <c r="K3453" s="1" t="s">
        <v>6924</v>
      </c>
    </row>
    <row r="3454" ht="14.25" customHeight="1">
      <c r="A3454" s="3" t="s">
        <v>1885</v>
      </c>
      <c r="B3454" s="1">
        <v>7.6</v>
      </c>
      <c r="C3454" s="1" t="s">
        <v>1885</v>
      </c>
      <c r="D3454" s="1"/>
      <c r="E3454" s="1"/>
      <c r="F3454" s="1"/>
      <c r="G3454" s="1"/>
      <c r="H3454" s="1"/>
      <c r="I3454" s="1"/>
      <c r="J3454" s="1"/>
      <c r="K3454" s="1" t="s">
        <v>7251</v>
      </c>
    </row>
    <row r="3455" ht="14.25" customHeight="1">
      <c r="A3455" s="3" t="s">
        <v>1885</v>
      </c>
      <c r="B3455" s="1">
        <v>7.6</v>
      </c>
      <c r="C3455" s="1" t="s">
        <v>1885</v>
      </c>
      <c r="D3455" s="1"/>
      <c r="E3455" s="1"/>
      <c r="F3455" s="1"/>
      <c r="G3455" s="1"/>
      <c r="H3455" s="1"/>
      <c r="I3455" s="1"/>
      <c r="J3455" s="1"/>
      <c r="K3455" s="1" t="s">
        <v>7417</v>
      </c>
    </row>
    <row r="3456" ht="14.25" customHeight="1">
      <c r="A3456" s="3" t="s">
        <v>1885</v>
      </c>
      <c r="B3456" s="1">
        <v>5.3</v>
      </c>
      <c r="C3456" s="1" t="s">
        <v>1885</v>
      </c>
      <c r="D3456" s="1"/>
      <c r="E3456" s="1"/>
      <c r="F3456" s="1"/>
      <c r="G3456" s="1"/>
      <c r="H3456" s="1"/>
      <c r="I3456" s="1"/>
      <c r="J3456" s="1"/>
      <c r="K3456" s="1" t="s">
        <v>7491</v>
      </c>
    </row>
    <row r="3457" ht="14.25" customHeight="1">
      <c r="A3457" s="3" t="s">
        <v>1885</v>
      </c>
      <c r="B3457" s="1">
        <v>8.5</v>
      </c>
      <c r="C3457" s="1" t="s">
        <v>1885</v>
      </c>
      <c r="D3457" s="1"/>
      <c r="E3457" s="1"/>
      <c r="F3457" s="1"/>
      <c r="G3457" s="1"/>
      <c r="H3457" s="1"/>
      <c r="I3457" s="1"/>
      <c r="J3457" s="1"/>
      <c r="K3457" s="1" t="s">
        <v>7573</v>
      </c>
    </row>
    <row r="3458" ht="14.25" customHeight="1">
      <c r="A3458" s="3" t="s">
        <v>1885</v>
      </c>
      <c r="B3458" s="1">
        <v>7.0</v>
      </c>
      <c r="C3458" s="1" t="s">
        <v>1885</v>
      </c>
      <c r="D3458" s="1"/>
      <c r="E3458" s="1"/>
      <c r="F3458" s="1"/>
      <c r="G3458" s="1"/>
      <c r="H3458" s="1"/>
      <c r="I3458" s="1"/>
      <c r="J3458" s="1"/>
      <c r="K3458" s="1" t="s">
        <v>7615</v>
      </c>
    </row>
    <row r="3459" ht="14.25" customHeight="1">
      <c r="A3459" s="3" t="s">
        <v>1885</v>
      </c>
      <c r="B3459" s="1">
        <v>7.8</v>
      </c>
      <c r="C3459" s="1" t="s">
        <v>1885</v>
      </c>
      <c r="D3459" s="1"/>
      <c r="E3459" s="1"/>
      <c r="F3459" s="1"/>
      <c r="G3459" s="1"/>
      <c r="H3459" s="1"/>
      <c r="I3459" s="1"/>
      <c r="J3459" s="1"/>
      <c r="K3459" s="1" t="s">
        <v>7845</v>
      </c>
    </row>
    <row r="3460" ht="14.25" customHeight="1">
      <c r="A3460" s="3" t="s">
        <v>1885</v>
      </c>
      <c r="B3460" s="1">
        <v>7.2</v>
      </c>
      <c r="C3460" s="1" t="s">
        <v>1885</v>
      </c>
      <c r="D3460" s="1"/>
      <c r="E3460" s="1"/>
      <c r="F3460" s="1"/>
      <c r="G3460" s="1"/>
      <c r="H3460" s="1"/>
      <c r="I3460" s="1"/>
      <c r="J3460" s="1"/>
      <c r="K3460" s="1" t="s">
        <v>7912</v>
      </c>
    </row>
    <row r="3461" ht="14.25" customHeight="1">
      <c r="A3461" s="3" t="s">
        <v>1885</v>
      </c>
      <c r="B3461" s="1">
        <v>8.0</v>
      </c>
      <c r="C3461" s="1" t="s">
        <v>1885</v>
      </c>
      <c r="D3461" s="1"/>
      <c r="E3461" s="1"/>
      <c r="F3461" s="1"/>
      <c r="G3461" s="1"/>
      <c r="H3461" s="1"/>
      <c r="I3461" s="1"/>
      <c r="J3461" s="1"/>
      <c r="K3461" s="1" t="s">
        <v>8179</v>
      </c>
    </row>
    <row r="3462" ht="14.25" customHeight="1">
      <c r="A3462" s="3" t="s">
        <v>1885</v>
      </c>
      <c r="B3462" s="1">
        <v>8.1</v>
      </c>
      <c r="C3462" s="1" t="s">
        <v>1885</v>
      </c>
      <c r="D3462" s="1"/>
      <c r="E3462" s="1"/>
      <c r="F3462" s="1"/>
      <c r="G3462" s="1"/>
      <c r="H3462" s="1"/>
      <c r="I3462" s="1"/>
      <c r="J3462" s="1"/>
      <c r="K3462" s="1" t="s">
        <v>8232</v>
      </c>
    </row>
    <row r="3463" ht="14.25" customHeight="1">
      <c r="A3463" s="3" t="s">
        <v>1885</v>
      </c>
      <c r="B3463" s="1">
        <v>6.8</v>
      </c>
      <c r="C3463" s="1" t="s">
        <v>1885</v>
      </c>
      <c r="D3463" s="1"/>
      <c r="E3463" s="1"/>
      <c r="F3463" s="1"/>
      <c r="G3463" s="1"/>
      <c r="H3463" s="1"/>
      <c r="I3463" s="1"/>
      <c r="J3463" s="1"/>
      <c r="K3463" s="1" t="s">
        <v>8281</v>
      </c>
    </row>
    <row r="3464" ht="14.25" customHeight="1">
      <c r="A3464" s="3" t="s">
        <v>1885</v>
      </c>
      <c r="B3464" s="1">
        <v>7.2</v>
      </c>
      <c r="C3464" s="1" t="s">
        <v>1885</v>
      </c>
      <c r="D3464" s="1"/>
      <c r="E3464" s="1"/>
      <c r="F3464" s="1"/>
      <c r="G3464" s="1"/>
      <c r="H3464" s="1"/>
      <c r="I3464" s="1"/>
      <c r="J3464" s="1"/>
      <c r="K3464" s="1" t="s">
        <v>8771</v>
      </c>
    </row>
    <row r="3465" ht="14.25" customHeight="1">
      <c r="A3465" s="3" t="s">
        <v>1885</v>
      </c>
      <c r="B3465" s="1">
        <v>7.4</v>
      </c>
      <c r="C3465" s="1" t="s">
        <v>1885</v>
      </c>
      <c r="D3465" s="1"/>
      <c r="E3465" s="1"/>
      <c r="F3465" s="1"/>
      <c r="G3465" s="1"/>
      <c r="H3465" s="1"/>
      <c r="I3465" s="1"/>
      <c r="J3465" s="1"/>
      <c r="K3465" s="1" t="s">
        <v>8822</v>
      </c>
    </row>
    <row r="3466" ht="14.25" customHeight="1">
      <c r="A3466" s="3" t="s">
        <v>1885</v>
      </c>
      <c r="B3466" s="1">
        <v>6.1</v>
      </c>
      <c r="C3466" s="1" t="s">
        <v>1885</v>
      </c>
      <c r="D3466" s="1"/>
      <c r="E3466" s="1"/>
      <c r="F3466" s="1"/>
      <c r="G3466" s="1"/>
      <c r="H3466" s="1"/>
      <c r="I3466" s="1"/>
      <c r="J3466" s="1"/>
      <c r="K3466" s="1" t="s">
        <v>9034</v>
      </c>
    </row>
    <row r="3467" ht="14.25" customHeight="1">
      <c r="A3467" s="3" t="s">
        <v>1885</v>
      </c>
      <c r="B3467" s="1">
        <v>7.0</v>
      </c>
      <c r="C3467" s="1" t="s">
        <v>1885</v>
      </c>
      <c r="D3467" s="1"/>
      <c r="E3467" s="1"/>
      <c r="F3467" s="1"/>
      <c r="G3467" s="1"/>
      <c r="H3467" s="1"/>
      <c r="I3467" s="1"/>
      <c r="J3467" s="1"/>
      <c r="K3467" s="1" t="s">
        <v>9292</v>
      </c>
    </row>
    <row r="3468" ht="14.25" customHeight="1">
      <c r="A3468" s="3" t="s">
        <v>1885</v>
      </c>
      <c r="B3468" s="1">
        <v>5.3</v>
      </c>
      <c r="C3468" s="1" t="s">
        <v>1885</v>
      </c>
      <c r="D3468" s="1"/>
      <c r="E3468" s="1"/>
      <c r="F3468" s="1"/>
      <c r="G3468" s="1"/>
      <c r="H3468" s="1"/>
      <c r="I3468" s="1"/>
      <c r="J3468" s="1"/>
      <c r="K3468" s="1" t="s">
        <v>9568</v>
      </c>
    </row>
    <row r="3469" ht="14.25" customHeight="1">
      <c r="A3469" s="3" t="s">
        <v>1885</v>
      </c>
      <c r="B3469" s="1">
        <v>4.7</v>
      </c>
      <c r="C3469" s="1" t="s">
        <v>1885</v>
      </c>
      <c r="D3469" s="1"/>
      <c r="E3469" s="1"/>
      <c r="F3469" s="1"/>
      <c r="G3469" s="1"/>
      <c r="H3469" s="1"/>
      <c r="I3469" s="1"/>
      <c r="J3469" s="1"/>
      <c r="K3469" s="1" t="s">
        <v>9590</v>
      </c>
    </row>
    <row r="3470" ht="14.25" customHeight="1">
      <c r="A3470" s="3" t="s">
        <v>1885</v>
      </c>
      <c r="B3470" s="1">
        <v>5.7</v>
      </c>
      <c r="C3470" s="1" t="s">
        <v>1885</v>
      </c>
      <c r="D3470" s="1"/>
      <c r="E3470" s="1"/>
      <c r="F3470" s="1"/>
      <c r="G3470" s="1"/>
      <c r="H3470" s="1"/>
      <c r="I3470" s="1"/>
      <c r="J3470" s="1"/>
      <c r="K3470" s="1" t="s">
        <v>9616</v>
      </c>
    </row>
    <row r="3471" ht="14.25" customHeight="1">
      <c r="A3471" s="3" t="s">
        <v>1885</v>
      </c>
      <c r="B3471" s="1">
        <v>7.8</v>
      </c>
      <c r="C3471" s="1" t="s">
        <v>1885</v>
      </c>
      <c r="D3471" s="1"/>
      <c r="E3471" s="1"/>
      <c r="F3471" s="1"/>
      <c r="G3471" s="1"/>
      <c r="H3471" s="1"/>
      <c r="I3471" s="1"/>
      <c r="J3471" s="1"/>
      <c r="K3471" s="1" t="s">
        <v>9707</v>
      </c>
    </row>
    <row r="3472" ht="14.25" customHeight="1">
      <c r="A3472" s="3" t="s">
        <v>1885</v>
      </c>
      <c r="B3472" s="1">
        <v>6.5</v>
      </c>
      <c r="C3472" s="1" t="s">
        <v>1885</v>
      </c>
      <c r="D3472" s="1"/>
      <c r="E3472" s="1"/>
      <c r="F3472" s="1"/>
      <c r="G3472" s="1"/>
      <c r="H3472" s="1"/>
      <c r="I3472" s="1"/>
      <c r="J3472" s="1"/>
      <c r="K3472" s="1" t="s">
        <v>9790</v>
      </c>
    </row>
    <row r="3473" ht="14.25" customHeight="1">
      <c r="A3473" s="3" t="s">
        <v>1885</v>
      </c>
      <c r="B3473" s="1">
        <v>8.0</v>
      </c>
      <c r="C3473" s="1" t="s">
        <v>1885</v>
      </c>
      <c r="D3473" s="1"/>
      <c r="E3473" s="1"/>
      <c r="F3473" s="1"/>
      <c r="G3473" s="1"/>
      <c r="H3473" s="1"/>
      <c r="I3473" s="1"/>
      <c r="J3473" s="1"/>
      <c r="K3473" s="1" t="s">
        <v>9829</v>
      </c>
    </row>
    <row r="3474" ht="14.25" customHeight="1">
      <c r="A3474" s="3" t="s">
        <v>1885</v>
      </c>
      <c r="B3474" s="1">
        <v>3.3</v>
      </c>
      <c r="C3474" s="1" t="s">
        <v>1885</v>
      </c>
      <c r="D3474" s="1"/>
      <c r="E3474" s="1"/>
      <c r="F3474" s="1"/>
      <c r="G3474" s="1"/>
      <c r="H3474" s="1"/>
      <c r="I3474" s="1"/>
      <c r="J3474" s="1"/>
      <c r="K3474" s="1" t="s">
        <v>9966</v>
      </c>
    </row>
    <row r="3475" ht="14.25" customHeight="1">
      <c r="A3475" s="3" t="s">
        <v>1885</v>
      </c>
      <c r="B3475" s="1">
        <v>6.9</v>
      </c>
      <c r="C3475" s="1" t="s">
        <v>1885</v>
      </c>
      <c r="D3475" s="1"/>
      <c r="E3475" s="1"/>
      <c r="F3475" s="1"/>
      <c r="G3475" s="1"/>
      <c r="H3475" s="1"/>
      <c r="I3475" s="1"/>
      <c r="J3475" s="1"/>
      <c r="K3475" s="1" t="s">
        <v>9997</v>
      </c>
    </row>
    <row r="3476" ht="14.25" customHeight="1">
      <c r="A3476" s="3" t="s">
        <v>1885</v>
      </c>
      <c r="B3476" s="1">
        <v>8.1</v>
      </c>
      <c r="C3476" s="1" t="s">
        <v>1885</v>
      </c>
      <c r="D3476" s="1"/>
      <c r="E3476" s="1"/>
      <c r="F3476" s="1"/>
      <c r="G3476" s="1"/>
      <c r="H3476" s="1"/>
      <c r="I3476" s="1"/>
      <c r="J3476" s="1"/>
      <c r="K3476" s="1" t="s">
        <v>10134</v>
      </c>
    </row>
    <row r="3477" ht="14.25" customHeight="1">
      <c r="A3477" s="3" t="s">
        <v>1885</v>
      </c>
      <c r="B3477" s="1">
        <v>6.8</v>
      </c>
      <c r="C3477" s="1" t="s">
        <v>1885</v>
      </c>
      <c r="D3477" s="1"/>
      <c r="E3477" s="1"/>
      <c r="F3477" s="1"/>
      <c r="G3477" s="1"/>
      <c r="H3477" s="1"/>
      <c r="I3477" s="1"/>
      <c r="J3477" s="1"/>
      <c r="K3477" s="1" t="s">
        <v>10150</v>
      </c>
    </row>
    <row r="3478" ht="14.25" customHeight="1">
      <c r="A3478" s="3" t="s">
        <v>1885</v>
      </c>
      <c r="B3478" s="1">
        <v>4.6</v>
      </c>
      <c r="C3478" s="1" t="s">
        <v>1885</v>
      </c>
      <c r="D3478" s="1"/>
      <c r="E3478" s="1"/>
      <c r="F3478" s="1"/>
      <c r="G3478" s="1"/>
      <c r="H3478" s="1"/>
      <c r="I3478" s="1"/>
      <c r="J3478" s="1"/>
      <c r="K3478" s="1" t="s">
        <v>10215</v>
      </c>
    </row>
    <row r="3479" ht="14.25" customHeight="1">
      <c r="A3479" s="3" t="s">
        <v>1885</v>
      </c>
      <c r="B3479" s="1">
        <v>7.0</v>
      </c>
      <c r="C3479" s="1" t="s">
        <v>1885</v>
      </c>
      <c r="D3479" s="1"/>
      <c r="E3479" s="1"/>
      <c r="F3479" s="1"/>
      <c r="G3479" s="1"/>
      <c r="H3479" s="1"/>
      <c r="I3479" s="1"/>
      <c r="J3479" s="1"/>
      <c r="K3479" s="1" t="s">
        <v>10236</v>
      </c>
    </row>
    <row r="3480" ht="14.25" customHeight="1">
      <c r="A3480" s="3" t="s">
        <v>1885</v>
      </c>
      <c r="B3480" s="1">
        <v>6.7</v>
      </c>
      <c r="C3480" s="1" t="s">
        <v>1885</v>
      </c>
      <c r="D3480" s="1"/>
      <c r="E3480" s="1"/>
      <c r="F3480" s="1"/>
      <c r="G3480" s="1"/>
      <c r="H3480" s="1"/>
      <c r="I3480" s="1"/>
      <c r="J3480" s="1"/>
      <c r="K3480" s="1" t="s">
        <v>10284</v>
      </c>
    </row>
    <row r="3481" ht="14.25" customHeight="1">
      <c r="A3481" s="3" t="s">
        <v>1885</v>
      </c>
      <c r="B3481" s="1">
        <v>5.8</v>
      </c>
      <c r="C3481" s="1" t="s">
        <v>1885</v>
      </c>
      <c r="D3481" s="1"/>
      <c r="E3481" s="1"/>
      <c r="F3481" s="1"/>
      <c r="G3481" s="1"/>
      <c r="H3481" s="1"/>
      <c r="I3481" s="1"/>
      <c r="J3481" s="1"/>
      <c r="K3481" s="1" t="s">
        <v>10297</v>
      </c>
    </row>
    <row r="3482" ht="14.25" customHeight="1">
      <c r="A3482" s="3" t="s">
        <v>1885</v>
      </c>
      <c r="B3482" s="1">
        <v>4.5</v>
      </c>
      <c r="C3482" s="1" t="s">
        <v>1885</v>
      </c>
      <c r="D3482" s="1"/>
      <c r="E3482" s="1"/>
      <c r="F3482" s="1"/>
      <c r="G3482" s="1"/>
      <c r="H3482" s="1"/>
      <c r="I3482" s="1"/>
      <c r="J3482" s="1"/>
      <c r="K3482" s="1" t="s">
        <v>9707</v>
      </c>
    </row>
    <row r="3483" ht="14.25" customHeight="1">
      <c r="A3483" s="3" t="s">
        <v>1885</v>
      </c>
      <c r="B3483" s="1">
        <v>6.6</v>
      </c>
      <c r="C3483" s="1" t="s">
        <v>1885</v>
      </c>
      <c r="D3483" s="1"/>
      <c r="E3483" s="1"/>
      <c r="F3483" s="1"/>
      <c r="G3483" s="1"/>
      <c r="H3483" s="1"/>
      <c r="I3483" s="1"/>
      <c r="J3483" s="1"/>
      <c r="K3483" s="1" t="s">
        <v>10531</v>
      </c>
    </row>
    <row r="3484" ht="14.25" customHeight="1">
      <c r="A3484" s="3" t="s">
        <v>1885</v>
      </c>
      <c r="B3484" s="1">
        <v>6.6</v>
      </c>
      <c r="C3484" s="1" t="s">
        <v>1885</v>
      </c>
      <c r="D3484" s="1"/>
      <c r="E3484" s="1"/>
      <c r="F3484" s="1"/>
      <c r="G3484" s="1"/>
      <c r="H3484" s="1"/>
      <c r="I3484" s="1"/>
      <c r="J3484" s="1"/>
      <c r="K3484" s="1" t="s">
        <v>10646</v>
      </c>
    </row>
    <row r="3485" ht="14.25" customHeight="1">
      <c r="A3485" s="3" t="s">
        <v>1885</v>
      </c>
      <c r="B3485" s="1">
        <v>5.1</v>
      </c>
      <c r="C3485" s="1" t="s">
        <v>1885</v>
      </c>
      <c r="D3485" s="1"/>
      <c r="E3485" s="1"/>
      <c r="F3485" s="1"/>
      <c r="G3485" s="1"/>
      <c r="H3485" s="1"/>
      <c r="I3485" s="1"/>
      <c r="J3485" s="1"/>
      <c r="K3485" s="1" t="s">
        <v>10657</v>
      </c>
    </row>
    <row r="3486" ht="14.25" customHeight="1">
      <c r="A3486" s="3" t="s">
        <v>1885</v>
      </c>
      <c r="B3486" s="1">
        <v>7.8</v>
      </c>
      <c r="C3486" s="1" t="s">
        <v>1885</v>
      </c>
      <c r="D3486" s="1"/>
      <c r="E3486" s="1"/>
      <c r="F3486" s="1"/>
      <c r="G3486" s="1"/>
      <c r="H3486" s="1"/>
      <c r="I3486" s="1"/>
      <c r="J3486" s="1"/>
      <c r="K3486" s="1" t="s">
        <v>10721</v>
      </c>
    </row>
    <row r="3487" ht="14.25" customHeight="1">
      <c r="A3487" s="3" t="s">
        <v>1885</v>
      </c>
      <c r="B3487" s="1">
        <v>7.7</v>
      </c>
      <c r="C3487" s="1" t="s">
        <v>1885</v>
      </c>
      <c r="D3487" s="1"/>
      <c r="E3487" s="1"/>
      <c r="F3487" s="1"/>
      <c r="G3487" s="1"/>
      <c r="H3487" s="1"/>
      <c r="I3487" s="1"/>
      <c r="J3487" s="1"/>
      <c r="K3487" s="1" t="s">
        <v>10813</v>
      </c>
    </row>
    <row r="3488" ht="14.25" customHeight="1">
      <c r="A3488" s="3" t="s">
        <v>1885</v>
      </c>
      <c r="B3488" s="1">
        <v>5.7</v>
      </c>
      <c r="C3488" s="1" t="s">
        <v>1885</v>
      </c>
      <c r="D3488" s="1"/>
      <c r="E3488" s="1"/>
      <c r="F3488" s="1"/>
      <c r="G3488" s="1"/>
      <c r="H3488" s="1"/>
      <c r="I3488" s="1"/>
      <c r="J3488" s="1"/>
      <c r="K3488" s="1" t="s">
        <v>10955</v>
      </c>
    </row>
    <row r="3489" ht="14.25" customHeight="1">
      <c r="A3489" s="3" t="s">
        <v>1885</v>
      </c>
      <c r="B3489" s="1">
        <v>7.1</v>
      </c>
      <c r="C3489" s="1" t="s">
        <v>1885</v>
      </c>
      <c r="D3489" s="1"/>
      <c r="E3489" s="1"/>
      <c r="F3489" s="1"/>
      <c r="G3489" s="1"/>
      <c r="H3489" s="1"/>
      <c r="I3489" s="1"/>
      <c r="J3489" s="1"/>
      <c r="K3489" s="1" t="s">
        <v>11013</v>
      </c>
    </row>
    <row r="3490" ht="14.25" customHeight="1">
      <c r="A3490" s="3" t="s">
        <v>1885</v>
      </c>
      <c r="B3490" s="1">
        <v>6.4</v>
      </c>
      <c r="C3490" s="1" t="s">
        <v>1885</v>
      </c>
      <c r="D3490" s="1"/>
      <c r="E3490" s="1"/>
      <c r="F3490" s="1"/>
      <c r="G3490" s="1"/>
      <c r="H3490" s="1"/>
      <c r="I3490" s="1"/>
      <c r="J3490" s="1"/>
      <c r="K3490" s="1" t="s">
        <v>11020</v>
      </c>
    </row>
    <row r="3491" ht="14.25" customHeight="1">
      <c r="A3491" s="3" t="s">
        <v>1885</v>
      </c>
      <c r="B3491" s="1">
        <v>7.0</v>
      </c>
      <c r="C3491" s="1" t="s">
        <v>1885</v>
      </c>
      <c r="D3491" s="1"/>
      <c r="E3491" s="1"/>
      <c r="F3491" s="1"/>
      <c r="G3491" s="1"/>
      <c r="H3491" s="1"/>
      <c r="I3491" s="1"/>
      <c r="J3491" s="1"/>
      <c r="K3491" s="1" t="s">
        <v>11063</v>
      </c>
    </row>
    <row r="3492" ht="14.25" customHeight="1">
      <c r="A3492" s="3" t="s">
        <v>1885</v>
      </c>
      <c r="B3492" s="1">
        <v>5.8</v>
      </c>
      <c r="C3492" s="1" t="s">
        <v>1885</v>
      </c>
      <c r="D3492" s="1"/>
      <c r="E3492" s="1"/>
      <c r="F3492" s="1"/>
      <c r="G3492" s="1"/>
      <c r="H3492" s="1"/>
      <c r="I3492" s="1"/>
      <c r="J3492" s="1"/>
      <c r="K3492" s="1" t="s">
        <v>11194</v>
      </c>
    </row>
    <row r="3493" ht="14.25" customHeight="1">
      <c r="A3493" s="3" t="s">
        <v>1885</v>
      </c>
      <c r="B3493" s="1">
        <v>5.9</v>
      </c>
      <c r="C3493" s="1" t="s">
        <v>1885</v>
      </c>
      <c r="D3493" s="1"/>
      <c r="E3493" s="1"/>
      <c r="F3493" s="1"/>
      <c r="G3493" s="1"/>
      <c r="H3493" s="1"/>
      <c r="I3493" s="1"/>
      <c r="J3493" s="1"/>
      <c r="K3493" s="1" t="s">
        <v>11208</v>
      </c>
    </row>
    <row r="3494" ht="14.25" customHeight="1">
      <c r="A3494" s="3" t="s">
        <v>1885</v>
      </c>
      <c r="B3494" s="1">
        <v>7.5</v>
      </c>
      <c r="C3494" s="1" t="s">
        <v>1885</v>
      </c>
      <c r="D3494" s="1"/>
      <c r="E3494" s="1"/>
      <c r="F3494" s="1"/>
      <c r="G3494" s="1"/>
      <c r="H3494" s="1"/>
      <c r="I3494" s="1"/>
      <c r="J3494" s="1"/>
      <c r="K3494" s="1" t="s">
        <v>11301</v>
      </c>
    </row>
    <row r="3495" ht="14.25" customHeight="1">
      <c r="A3495" s="3" t="s">
        <v>1885</v>
      </c>
      <c r="B3495" s="1">
        <v>7.8</v>
      </c>
      <c r="C3495" s="1" t="s">
        <v>1885</v>
      </c>
      <c r="D3495" s="1"/>
      <c r="E3495" s="1"/>
      <c r="F3495" s="1"/>
      <c r="G3495" s="1"/>
      <c r="H3495" s="1"/>
      <c r="I3495" s="1"/>
      <c r="J3495" s="1"/>
      <c r="K3495" s="1" t="s">
        <v>11367</v>
      </c>
    </row>
    <row r="3496" ht="14.25" customHeight="1">
      <c r="A3496" s="3" t="s">
        <v>1885</v>
      </c>
      <c r="B3496" s="1">
        <v>7.2</v>
      </c>
      <c r="C3496" s="1" t="s">
        <v>1885</v>
      </c>
      <c r="D3496" s="1"/>
      <c r="E3496" s="1"/>
      <c r="F3496" s="1"/>
      <c r="G3496" s="1"/>
      <c r="H3496" s="1"/>
      <c r="I3496" s="1"/>
      <c r="J3496" s="1"/>
      <c r="K3496" s="1" t="s">
        <v>11472</v>
      </c>
    </row>
    <row r="3497" ht="14.25" customHeight="1">
      <c r="A3497" s="3" t="s">
        <v>1885</v>
      </c>
      <c r="B3497" s="1">
        <v>5.6</v>
      </c>
      <c r="C3497" s="1" t="s">
        <v>1885</v>
      </c>
      <c r="D3497" s="1"/>
      <c r="E3497" s="1"/>
      <c r="F3497" s="1"/>
      <c r="G3497" s="1"/>
      <c r="H3497" s="1"/>
      <c r="I3497" s="1"/>
      <c r="J3497" s="1"/>
      <c r="K3497" s="1" t="s">
        <v>11534</v>
      </c>
    </row>
    <row r="3498" ht="14.25" customHeight="1">
      <c r="A3498" s="3" t="s">
        <v>1885</v>
      </c>
      <c r="B3498" s="1">
        <v>6.8</v>
      </c>
      <c r="C3498" s="1" t="s">
        <v>1885</v>
      </c>
      <c r="D3498" s="1"/>
      <c r="E3498" s="1"/>
      <c r="F3498" s="1"/>
      <c r="G3498" s="1"/>
      <c r="H3498" s="1"/>
      <c r="I3498" s="1"/>
      <c r="J3498" s="1"/>
      <c r="K3498" s="1" t="s">
        <v>11730</v>
      </c>
    </row>
    <row r="3499" ht="14.25" customHeight="1">
      <c r="A3499" s="3" t="s">
        <v>1885</v>
      </c>
      <c r="B3499" s="1">
        <v>7.3</v>
      </c>
      <c r="C3499" s="1" t="s">
        <v>1885</v>
      </c>
      <c r="D3499" s="1"/>
      <c r="E3499" s="1"/>
      <c r="F3499" s="1"/>
      <c r="G3499" s="1"/>
      <c r="H3499" s="1"/>
      <c r="I3499" s="1"/>
      <c r="J3499" s="1"/>
      <c r="K3499" s="1" t="s">
        <v>11764</v>
      </c>
    </row>
    <row r="3500" ht="14.25" customHeight="1">
      <c r="A3500" s="3" t="s">
        <v>1885</v>
      </c>
      <c r="B3500" s="1">
        <v>7.3</v>
      </c>
      <c r="C3500" s="1" t="s">
        <v>1885</v>
      </c>
      <c r="D3500" s="1"/>
      <c r="E3500" s="1"/>
      <c r="F3500" s="1"/>
      <c r="G3500" s="1"/>
      <c r="H3500" s="1"/>
      <c r="I3500" s="1"/>
      <c r="J3500" s="1"/>
      <c r="K3500" s="1" t="s">
        <v>11827</v>
      </c>
    </row>
    <row r="3501" ht="14.25" customHeight="1">
      <c r="A3501" s="3" t="s">
        <v>1885</v>
      </c>
      <c r="B3501" s="1">
        <v>7.8</v>
      </c>
      <c r="C3501" s="1" t="s">
        <v>1885</v>
      </c>
      <c r="D3501" s="1"/>
      <c r="E3501" s="1"/>
      <c r="F3501" s="1"/>
      <c r="G3501" s="1"/>
      <c r="H3501" s="1"/>
      <c r="I3501" s="1"/>
      <c r="J3501" s="1"/>
      <c r="K3501" s="1" t="s">
        <v>12079</v>
      </c>
    </row>
    <row r="3502" ht="14.25" customHeight="1">
      <c r="A3502" s="3" t="s">
        <v>1885</v>
      </c>
      <c r="B3502" s="1">
        <v>6.7</v>
      </c>
      <c r="C3502" s="1" t="s">
        <v>1885</v>
      </c>
      <c r="D3502" s="1"/>
      <c r="E3502" s="1"/>
      <c r="F3502" s="1"/>
      <c r="G3502" s="1"/>
      <c r="H3502" s="1"/>
      <c r="I3502" s="1"/>
      <c r="J3502" s="1"/>
      <c r="K3502" s="1" t="s">
        <v>12211</v>
      </c>
    </row>
    <row r="3503" ht="14.25" customHeight="1">
      <c r="A3503" s="3" t="s">
        <v>1885</v>
      </c>
      <c r="B3503" s="1">
        <v>7.5</v>
      </c>
      <c r="C3503" s="1" t="s">
        <v>1885</v>
      </c>
      <c r="D3503" s="1"/>
      <c r="E3503" s="1"/>
      <c r="F3503" s="1"/>
      <c r="G3503" s="1"/>
      <c r="H3503" s="1"/>
      <c r="I3503" s="1"/>
      <c r="J3503" s="1"/>
      <c r="K3503" s="1" t="s">
        <v>12262</v>
      </c>
    </row>
    <row r="3504" ht="14.25" customHeight="1">
      <c r="A3504" s="3" t="s">
        <v>1885</v>
      </c>
      <c r="B3504" s="1">
        <v>6.3</v>
      </c>
      <c r="C3504" s="1" t="s">
        <v>1885</v>
      </c>
      <c r="D3504" s="1"/>
      <c r="E3504" s="1"/>
      <c r="F3504" s="1"/>
      <c r="G3504" s="1"/>
      <c r="H3504" s="1"/>
      <c r="I3504" s="1"/>
      <c r="J3504" s="1"/>
      <c r="K3504" s="1" t="s">
        <v>12355</v>
      </c>
    </row>
    <row r="3505" ht="14.25" customHeight="1">
      <c r="A3505" s="3" t="s">
        <v>1885</v>
      </c>
      <c r="B3505" s="1">
        <v>6.3</v>
      </c>
      <c r="C3505" s="1" t="s">
        <v>1885</v>
      </c>
      <c r="D3505" s="1"/>
      <c r="E3505" s="1"/>
      <c r="F3505" s="1"/>
      <c r="G3505" s="1"/>
      <c r="H3505" s="1"/>
      <c r="I3505" s="1"/>
      <c r="J3505" s="1"/>
      <c r="K3505" s="1" t="s">
        <v>12362</v>
      </c>
    </row>
    <row r="3506" ht="14.25" customHeight="1">
      <c r="A3506" s="3" t="s">
        <v>1885</v>
      </c>
      <c r="B3506" s="1">
        <v>6.8</v>
      </c>
      <c r="C3506" s="1" t="s">
        <v>1885</v>
      </c>
      <c r="D3506" s="1"/>
      <c r="E3506" s="1"/>
      <c r="F3506" s="1"/>
      <c r="G3506" s="1"/>
      <c r="H3506" s="1"/>
      <c r="I3506" s="1"/>
      <c r="J3506" s="1"/>
      <c r="K3506" s="1" t="s">
        <v>12382</v>
      </c>
    </row>
    <row r="3507" ht="14.25" customHeight="1">
      <c r="A3507" s="3" t="s">
        <v>1885</v>
      </c>
      <c r="B3507" s="1">
        <v>7.8</v>
      </c>
      <c r="C3507" s="1" t="s">
        <v>1885</v>
      </c>
      <c r="D3507" s="1"/>
      <c r="E3507" s="1"/>
      <c r="F3507" s="1"/>
      <c r="G3507" s="1"/>
      <c r="H3507" s="1"/>
      <c r="I3507" s="1"/>
      <c r="J3507" s="1"/>
      <c r="K3507" s="1" t="s">
        <v>12555</v>
      </c>
    </row>
    <row r="3508" ht="14.25" customHeight="1">
      <c r="A3508" s="3" t="s">
        <v>1885</v>
      </c>
      <c r="B3508" s="1">
        <v>6.9</v>
      </c>
      <c r="C3508" s="1" t="s">
        <v>1885</v>
      </c>
      <c r="D3508" s="1"/>
      <c r="E3508" s="1"/>
      <c r="F3508" s="1"/>
      <c r="G3508" s="1"/>
      <c r="H3508" s="1"/>
      <c r="I3508" s="1"/>
      <c r="J3508" s="1"/>
      <c r="K3508" s="1" t="s">
        <v>12579</v>
      </c>
    </row>
    <row r="3509" ht="14.25" customHeight="1">
      <c r="A3509" s="3" t="s">
        <v>1885</v>
      </c>
      <c r="B3509" s="1">
        <v>7.2</v>
      </c>
      <c r="C3509" s="1" t="s">
        <v>1885</v>
      </c>
      <c r="D3509" s="1"/>
      <c r="E3509" s="1"/>
      <c r="F3509" s="1"/>
      <c r="G3509" s="1"/>
      <c r="H3509" s="1"/>
      <c r="I3509" s="1"/>
      <c r="J3509" s="1"/>
      <c r="K3509" s="1" t="s">
        <v>12653</v>
      </c>
    </row>
    <row r="3510" ht="14.25" customHeight="1">
      <c r="A3510" s="3" t="s">
        <v>1885</v>
      </c>
      <c r="B3510" s="1">
        <v>7.2</v>
      </c>
      <c r="C3510" s="1" t="s">
        <v>1885</v>
      </c>
      <c r="D3510" s="1"/>
      <c r="E3510" s="1"/>
      <c r="F3510" s="1"/>
      <c r="G3510" s="1"/>
      <c r="H3510" s="1"/>
      <c r="I3510" s="1"/>
      <c r="J3510" s="1"/>
      <c r="K3510" s="1" t="s">
        <v>12740</v>
      </c>
    </row>
    <row r="3511" ht="14.25" customHeight="1">
      <c r="A3511" s="3" t="s">
        <v>1885</v>
      </c>
      <c r="B3511" s="1">
        <v>5.4</v>
      </c>
      <c r="C3511" s="1" t="s">
        <v>1885</v>
      </c>
      <c r="D3511" s="1"/>
      <c r="E3511" s="1"/>
      <c r="F3511" s="1"/>
      <c r="G3511" s="1"/>
      <c r="H3511" s="1"/>
      <c r="I3511" s="1"/>
      <c r="J3511" s="1"/>
      <c r="K3511" s="1" t="s">
        <v>12777</v>
      </c>
    </row>
    <row r="3512" ht="14.25" customHeight="1">
      <c r="A3512" s="3" t="s">
        <v>1885</v>
      </c>
      <c r="B3512" s="1">
        <v>7.4</v>
      </c>
      <c r="C3512" s="1" t="s">
        <v>1885</v>
      </c>
      <c r="D3512" s="1"/>
      <c r="E3512" s="1"/>
      <c r="F3512" s="1"/>
      <c r="G3512" s="1"/>
      <c r="H3512" s="1"/>
      <c r="I3512" s="1"/>
      <c r="J3512" s="1"/>
      <c r="K3512" s="1" t="s">
        <v>12890</v>
      </c>
    </row>
    <row r="3513" ht="14.25" customHeight="1">
      <c r="A3513" s="3" t="s">
        <v>1885</v>
      </c>
      <c r="B3513" s="1">
        <v>7.1</v>
      </c>
      <c r="C3513" s="1" t="s">
        <v>1885</v>
      </c>
      <c r="D3513" s="1"/>
      <c r="E3513" s="1"/>
      <c r="F3513" s="1"/>
      <c r="G3513" s="1"/>
      <c r="H3513" s="1"/>
      <c r="I3513" s="1"/>
      <c r="J3513" s="1"/>
      <c r="K3513" s="1" t="s">
        <v>12922</v>
      </c>
    </row>
    <row r="3514" ht="14.25" customHeight="1">
      <c r="A3514" s="3" t="s">
        <v>1885</v>
      </c>
      <c r="B3514" s="1">
        <v>6.8</v>
      </c>
      <c r="C3514" s="1" t="s">
        <v>1885</v>
      </c>
      <c r="D3514" s="1"/>
      <c r="E3514" s="1"/>
      <c r="F3514" s="1"/>
      <c r="G3514" s="1"/>
      <c r="H3514" s="1"/>
      <c r="I3514" s="1"/>
      <c r="J3514" s="1"/>
      <c r="K3514" s="1" t="s">
        <v>12999</v>
      </c>
    </row>
    <row r="3515" ht="14.25" customHeight="1">
      <c r="A3515" s="3" t="s">
        <v>1885</v>
      </c>
      <c r="B3515" s="1">
        <v>7.4</v>
      </c>
      <c r="C3515" s="1" t="s">
        <v>1885</v>
      </c>
      <c r="D3515" s="1"/>
      <c r="E3515" s="1"/>
      <c r="F3515" s="1"/>
      <c r="G3515" s="1"/>
      <c r="H3515" s="1"/>
      <c r="I3515" s="1"/>
      <c r="J3515" s="1"/>
      <c r="K3515" s="1" t="s">
        <v>13009</v>
      </c>
    </row>
    <row r="3516" ht="14.25" customHeight="1">
      <c r="A3516" s="3" t="s">
        <v>1885</v>
      </c>
      <c r="B3516" s="1">
        <v>6.7</v>
      </c>
      <c r="C3516" s="1" t="s">
        <v>1885</v>
      </c>
      <c r="D3516" s="1"/>
      <c r="E3516" s="1"/>
      <c r="F3516" s="1"/>
      <c r="G3516" s="1"/>
      <c r="H3516" s="1"/>
      <c r="I3516" s="1"/>
      <c r="J3516" s="1"/>
      <c r="K3516" s="1" t="s">
        <v>13382</v>
      </c>
    </row>
    <row r="3517" ht="14.25" customHeight="1">
      <c r="A3517" s="3" t="s">
        <v>1885</v>
      </c>
      <c r="B3517" s="1">
        <v>7.2</v>
      </c>
      <c r="C3517" s="1" t="s">
        <v>1885</v>
      </c>
      <c r="D3517" s="1"/>
      <c r="E3517" s="1"/>
      <c r="F3517" s="1"/>
      <c r="G3517" s="1"/>
      <c r="H3517" s="1"/>
      <c r="I3517" s="1"/>
      <c r="J3517" s="1"/>
      <c r="K3517" s="1" t="s">
        <v>13408</v>
      </c>
    </row>
    <row r="3518" ht="14.25" customHeight="1">
      <c r="A3518" s="3" t="s">
        <v>1885</v>
      </c>
      <c r="B3518" s="1">
        <v>7.5</v>
      </c>
      <c r="C3518" s="1" t="s">
        <v>1885</v>
      </c>
      <c r="D3518" s="1"/>
      <c r="E3518" s="1"/>
      <c r="F3518" s="1"/>
      <c r="G3518" s="1"/>
      <c r="H3518" s="1"/>
      <c r="I3518" s="1"/>
      <c r="J3518" s="1"/>
      <c r="K3518" s="1" t="s">
        <v>13511</v>
      </c>
    </row>
    <row r="3519" ht="14.25" customHeight="1">
      <c r="A3519" s="3" t="s">
        <v>1885</v>
      </c>
      <c r="B3519" s="1">
        <v>6.8</v>
      </c>
      <c r="C3519" s="1" t="s">
        <v>1885</v>
      </c>
      <c r="D3519" s="1"/>
      <c r="E3519" s="1"/>
      <c r="F3519" s="1"/>
      <c r="G3519" s="1"/>
      <c r="H3519" s="1"/>
      <c r="I3519" s="1"/>
      <c r="J3519" s="1"/>
      <c r="K3519" s="1" t="s">
        <v>13571</v>
      </c>
    </row>
    <row r="3520" ht="14.25" customHeight="1">
      <c r="A3520" s="3" t="s">
        <v>1885</v>
      </c>
      <c r="B3520" s="1">
        <v>7.9</v>
      </c>
      <c r="C3520" s="1" t="s">
        <v>1885</v>
      </c>
      <c r="D3520" s="1"/>
      <c r="E3520" s="1"/>
      <c r="F3520" s="1"/>
      <c r="G3520" s="1"/>
      <c r="H3520" s="1"/>
      <c r="I3520" s="1"/>
      <c r="J3520" s="1"/>
      <c r="K3520" s="1" t="s">
        <v>13628</v>
      </c>
    </row>
    <row r="3521" ht="14.25" customHeight="1">
      <c r="A3521" s="3" t="s">
        <v>1885</v>
      </c>
      <c r="B3521" s="1">
        <v>6.7</v>
      </c>
      <c r="C3521" s="1" t="s">
        <v>1885</v>
      </c>
      <c r="D3521" s="1"/>
      <c r="E3521" s="1"/>
      <c r="F3521" s="1"/>
      <c r="G3521" s="1"/>
      <c r="H3521" s="1"/>
      <c r="I3521" s="1"/>
      <c r="J3521" s="1"/>
      <c r="K3521" s="1" t="s">
        <v>13671</v>
      </c>
    </row>
    <row r="3522" ht="14.25" customHeight="1">
      <c r="A3522" s="3" t="s">
        <v>1885</v>
      </c>
      <c r="B3522" s="1">
        <v>5.8</v>
      </c>
      <c r="C3522" s="1" t="s">
        <v>1885</v>
      </c>
      <c r="D3522" s="1"/>
      <c r="E3522" s="1"/>
      <c r="F3522" s="1"/>
      <c r="G3522" s="1"/>
      <c r="H3522" s="1"/>
      <c r="I3522" s="1"/>
      <c r="J3522" s="1"/>
      <c r="K3522" s="1" t="s">
        <v>13782</v>
      </c>
    </row>
    <row r="3523" ht="14.25" customHeight="1">
      <c r="A3523" s="3" t="s">
        <v>1885</v>
      </c>
      <c r="B3523" s="1">
        <v>6.5</v>
      </c>
      <c r="C3523" s="1" t="s">
        <v>1885</v>
      </c>
      <c r="D3523" s="1"/>
      <c r="E3523" s="1"/>
      <c r="F3523" s="1"/>
      <c r="G3523" s="1"/>
      <c r="H3523" s="1"/>
      <c r="I3523" s="1"/>
      <c r="J3523" s="1"/>
      <c r="K3523" s="1" t="s">
        <v>13865</v>
      </c>
    </row>
    <row r="3524" ht="14.25" customHeight="1">
      <c r="A3524" s="3" t="s">
        <v>1885</v>
      </c>
      <c r="B3524" s="1">
        <v>7.2</v>
      </c>
      <c r="C3524" s="1" t="s">
        <v>1885</v>
      </c>
      <c r="D3524" s="1"/>
      <c r="E3524" s="1"/>
      <c r="F3524" s="1"/>
      <c r="G3524" s="1"/>
      <c r="H3524" s="1"/>
      <c r="I3524" s="1"/>
      <c r="J3524" s="1"/>
      <c r="K3524" s="1" t="s">
        <v>13873</v>
      </c>
    </row>
    <row r="3525" ht="14.25" customHeight="1">
      <c r="A3525" s="3" t="s">
        <v>1885</v>
      </c>
      <c r="B3525" s="1">
        <v>6.5</v>
      </c>
      <c r="C3525" s="1" t="s">
        <v>1885</v>
      </c>
      <c r="D3525" s="1"/>
      <c r="E3525" s="1"/>
      <c r="F3525" s="1"/>
      <c r="G3525" s="1"/>
      <c r="H3525" s="1"/>
      <c r="I3525" s="1"/>
      <c r="J3525" s="1"/>
      <c r="K3525" s="1" t="s">
        <v>14031</v>
      </c>
    </row>
    <row r="3526" ht="14.25" customHeight="1">
      <c r="A3526" s="3" t="s">
        <v>1885</v>
      </c>
      <c r="B3526" s="1">
        <v>6.2</v>
      </c>
      <c r="C3526" s="1" t="s">
        <v>1885</v>
      </c>
      <c r="D3526" s="1"/>
      <c r="E3526" s="1"/>
      <c r="F3526" s="1"/>
      <c r="G3526" s="1"/>
      <c r="H3526" s="1"/>
      <c r="I3526" s="1"/>
      <c r="J3526" s="1"/>
      <c r="K3526" s="1" t="s">
        <v>14311</v>
      </c>
    </row>
    <row r="3527" ht="14.25" customHeight="1">
      <c r="A3527" s="3" t="s">
        <v>1885</v>
      </c>
      <c r="B3527" s="1">
        <v>8.6</v>
      </c>
      <c r="C3527" s="1" t="s">
        <v>1885</v>
      </c>
      <c r="D3527" s="1"/>
      <c r="E3527" s="1"/>
      <c r="F3527" s="1"/>
      <c r="G3527" s="1"/>
      <c r="H3527" s="1"/>
      <c r="I3527" s="1"/>
      <c r="J3527" s="1"/>
      <c r="K3527" s="1" t="s">
        <v>14436</v>
      </c>
    </row>
    <row r="3528" ht="14.25" customHeight="1">
      <c r="A3528" s="3" t="s">
        <v>1885</v>
      </c>
      <c r="B3528" s="1">
        <v>6.5</v>
      </c>
      <c r="C3528" s="1" t="s">
        <v>1885</v>
      </c>
      <c r="D3528" s="1"/>
      <c r="E3528" s="1"/>
      <c r="F3528" s="1"/>
      <c r="G3528" s="1"/>
      <c r="H3528" s="1"/>
      <c r="I3528" s="1"/>
      <c r="J3528" s="1"/>
      <c r="K3528" s="1" t="s">
        <v>14452</v>
      </c>
    </row>
    <row r="3529" ht="14.25" customHeight="1">
      <c r="A3529" s="3" t="s">
        <v>1885</v>
      </c>
      <c r="B3529" s="1">
        <v>6.3</v>
      </c>
      <c r="C3529" s="1" t="s">
        <v>1885</v>
      </c>
      <c r="D3529" s="1"/>
      <c r="E3529" s="1"/>
      <c r="F3529" s="1"/>
      <c r="G3529" s="1"/>
      <c r="H3529" s="1"/>
      <c r="I3529" s="1"/>
      <c r="J3529" s="1"/>
      <c r="K3529" s="1" t="s">
        <v>14467</v>
      </c>
    </row>
    <row r="3530" ht="14.25" customHeight="1">
      <c r="A3530" s="3" t="s">
        <v>1885</v>
      </c>
      <c r="B3530" s="1">
        <v>6.7</v>
      </c>
      <c r="C3530" s="1" t="s">
        <v>1885</v>
      </c>
      <c r="D3530" s="1"/>
      <c r="E3530" s="1"/>
      <c r="F3530" s="1"/>
      <c r="G3530" s="1"/>
      <c r="H3530" s="1"/>
      <c r="I3530" s="1"/>
      <c r="J3530" s="1"/>
      <c r="K3530" s="1" t="s">
        <v>14681</v>
      </c>
    </row>
    <row r="3531" ht="14.25" customHeight="1">
      <c r="A3531" s="3" t="s">
        <v>1885</v>
      </c>
      <c r="B3531" s="1">
        <v>6.7</v>
      </c>
      <c r="C3531" s="1" t="s">
        <v>1885</v>
      </c>
      <c r="D3531" s="1"/>
      <c r="E3531" s="1"/>
      <c r="F3531" s="1"/>
      <c r="G3531" s="1"/>
      <c r="H3531" s="1"/>
      <c r="I3531" s="1"/>
      <c r="J3531" s="1"/>
      <c r="K3531" s="1" t="s">
        <v>14752</v>
      </c>
    </row>
    <row r="3532" ht="14.25" customHeight="1">
      <c r="A3532" s="3" t="s">
        <v>1885</v>
      </c>
      <c r="B3532" s="1">
        <v>5.1</v>
      </c>
      <c r="C3532" s="1" t="s">
        <v>1885</v>
      </c>
      <c r="D3532" s="1"/>
      <c r="E3532" s="1"/>
      <c r="F3532" s="1"/>
      <c r="G3532" s="1"/>
      <c r="H3532" s="1"/>
      <c r="I3532" s="1"/>
      <c r="J3532" s="1"/>
      <c r="K3532" s="1" t="s">
        <v>14824</v>
      </c>
    </row>
    <row r="3533" ht="14.25" customHeight="1">
      <c r="A3533" s="3" t="s">
        <v>1885</v>
      </c>
      <c r="B3533" s="1">
        <v>7.0</v>
      </c>
      <c r="C3533" s="1" t="s">
        <v>1885</v>
      </c>
      <c r="D3533" s="1"/>
      <c r="E3533" s="1"/>
      <c r="F3533" s="1"/>
      <c r="G3533" s="1"/>
      <c r="H3533" s="1"/>
      <c r="I3533" s="1"/>
      <c r="J3533" s="1"/>
      <c r="K3533" s="1" t="s">
        <v>15045</v>
      </c>
    </row>
    <row r="3534" ht="14.25" customHeight="1">
      <c r="A3534" s="3" t="s">
        <v>1885</v>
      </c>
      <c r="B3534" s="1">
        <v>7.7</v>
      </c>
      <c r="C3534" s="1" t="s">
        <v>1885</v>
      </c>
      <c r="D3534" s="1"/>
      <c r="E3534" s="1"/>
      <c r="F3534" s="1"/>
      <c r="G3534" s="1"/>
      <c r="H3534" s="1"/>
      <c r="I3534" s="1"/>
      <c r="J3534" s="1"/>
      <c r="K3534" s="1" t="s">
        <v>15353</v>
      </c>
    </row>
    <row r="3535" ht="14.25" customHeight="1">
      <c r="A3535" s="3" t="s">
        <v>1885</v>
      </c>
      <c r="B3535" s="1">
        <v>6.7</v>
      </c>
      <c r="C3535" s="1" t="s">
        <v>1885</v>
      </c>
      <c r="D3535" s="1"/>
      <c r="E3535" s="1"/>
      <c r="F3535" s="1"/>
      <c r="G3535" s="1"/>
      <c r="H3535" s="1"/>
      <c r="I3535" s="1"/>
      <c r="J3535" s="1"/>
      <c r="K3535" s="1" t="s">
        <v>15439</v>
      </c>
    </row>
    <row r="3536" ht="14.25" customHeight="1">
      <c r="A3536" s="3" t="s">
        <v>1885</v>
      </c>
      <c r="B3536" s="1">
        <v>6.6</v>
      </c>
      <c r="C3536" s="1" t="s">
        <v>1885</v>
      </c>
      <c r="D3536" s="1"/>
      <c r="E3536" s="1"/>
      <c r="F3536" s="1"/>
      <c r="G3536" s="1"/>
      <c r="H3536" s="1"/>
      <c r="I3536" s="1"/>
      <c r="J3536" s="1"/>
      <c r="K3536" s="1" t="s">
        <v>15504</v>
      </c>
    </row>
    <row r="3537" ht="14.25" customHeight="1">
      <c r="A3537" s="3" t="s">
        <v>1885</v>
      </c>
      <c r="B3537" s="1">
        <v>8.2</v>
      </c>
      <c r="C3537" s="1" t="s">
        <v>1885</v>
      </c>
      <c r="D3537" s="1"/>
      <c r="E3537" s="1"/>
      <c r="F3537" s="1"/>
      <c r="G3537" s="1"/>
      <c r="H3537" s="1"/>
      <c r="I3537" s="1"/>
      <c r="J3537" s="1"/>
      <c r="K3537" s="1" t="s">
        <v>15508</v>
      </c>
    </row>
    <row r="3538" ht="14.25" customHeight="1">
      <c r="A3538" s="3" t="s">
        <v>1885</v>
      </c>
      <c r="B3538" s="1">
        <v>8.1</v>
      </c>
      <c r="C3538" s="1" t="s">
        <v>1885</v>
      </c>
      <c r="D3538" s="1"/>
      <c r="E3538" s="1"/>
      <c r="F3538" s="1"/>
      <c r="G3538" s="1"/>
      <c r="H3538" s="1"/>
      <c r="I3538" s="1"/>
      <c r="J3538" s="1"/>
      <c r="K3538" s="1" t="s">
        <v>15549</v>
      </c>
    </row>
    <row r="3539" ht="14.25" customHeight="1">
      <c r="A3539" s="3" t="s">
        <v>1885</v>
      </c>
      <c r="B3539" s="1">
        <v>7.2</v>
      </c>
      <c r="C3539" s="1" t="s">
        <v>1885</v>
      </c>
      <c r="D3539" s="1"/>
      <c r="E3539" s="1"/>
      <c r="F3539" s="1"/>
      <c r="G3539" s="1"/>
      <c r="H3539" s="1"/>
      <c r="I3539" s="1"/>
      <c r="J3539" s="1"/>
      <c r="K3539" s="1" t="s">
        <v>15553</v>
      </c>
    </row>
    <row r="3540" ht="14.25" customHeight="1">
      <c r="A3540" s="3" t="s">
        <v>1885</v>
      </c>
      <c r="B3540" s="1">
        <v>7.4</v>
      </c>
      <c r="C3540" s="1" t="s">
        <v>1885</v>
      </c>
      <c r="D3540" s="1"/>
      <c r="E3540" s="1"/>
      <c r="F3540" s="1"/>
      <c r="G3540" s="1"/>
      <c r="H3540" s="1"/>
      <c r="I3540" s="1"/>
      <c r="J3540" s="1"/>
      <c r="K3540" s="1" t="s">
        <v>15611</v>
      </c>
    </row>
    <row r="3541" ht="14.25" customHeight="1">
      <c r="A3541" s="3" t="s">
        <v>1885</v>
      </c>
      <c r="B3541" s="1">
        <v>6.5</v>
      </c>
      <c r="C3541" s="1" t="s">
        <v>1885</v>
      </c>
      <c r="D3541" s="1"/>
      <c r="E3541" s="1"/>
      <c r="F3541" s="1"/>
      <c r="G3541" s="1"/>
      <c r="H3541" s="1"/>
      <c r="I3541" s="1"/>
      <c r="J3541" s="1"/>
      <c r="K3541" s="1" t="s">
        <v>15620</v>
      </c>
    </row>
    <row r="3542" ht="14.25" customHeight="1">
      <c r="A3542" s="3" t="s">
        <v>1885</v>
      </c>
      <c r="B3542" s="1">
        <v>6.1</v>
      </c>
      <c r="C3542" s="1" t="s">
        <v>1885</v>
      </c>
      <c r="D3542" s="1"/>
      <c r="E3542" s="1"/>
      <c r="F3542" s="1"/>
      <c r="G3542" s="1"/>
      <c r="H3542" s="1"/>
      <c r="I3542" s="1"/>
      <c r="J3542" s="1"/>
      <c r="K3542" s="1" t="s">
        <v>15701</v>
      </c>
    </row>
    <row r="3543" ht="14.25" customHeight="1">
      <c r="A3543" s="3" t="s">
        <v>1885</v>
      </c>
      <c r="B3543" s="1">
        <v>6.2</v>
      </c>
      <c r="C3543" s="1" t="s">
        <v>1885</v>
      </c>
      <c r="D3543" s="1"/>
      <c r="E3543" s="1"/>
      <c r="F3543" s="1"/>
      <c r="G3543" s="1"/>
      <c r="H3543" s="1"/>
      <c r="I3543" s="1"/>
      <c r="J3543" s="1"/>
      <c r="K3543" s="1" t="s">
        <v>15723</v>
      </c>
    </row>
    <row r="3544" ht="14.25" customHeight="1">
      <c r="A3544" s="3" t="s">
        <v>1885</v>
      </c>
      <c r="B3544" s="1">
        <v>6.1</v>
      </c>
      <c r="C3544" s="1" t="s">
        <v>1885</v>
      </c>
      <c r="D3544" s="1"/>
      <c r="E3544" s="1"/>
      <c r="F3544" s="1"/>
      <c r="G3544" s="1"/>
      <c r="H3544" s="1"/>
      <c r="I3544" s="1"/>
      <c r="J3544" s="1"/>
      <c r="K3544" s="1" t="s">
        <v>15829</v>
      </c>
    </row>
    <row r="3545" ht="14.25" customHeight="1">
      <c r="A3545" s="3" t="s">
        <v>1885</v>
      </c>
      <c r="B3545" s="1">
        <v>7.2</v>
      </c>
      <c r="C3545" s="1" t="s">
        <v>1885</v>
      </c>
      <c r="D3545" s="1"/>
      <c r="E3545" s="1"/>
      <c r="F3545" s="1"/>
      <c r="G3545" s="1"/>
      <c r="H3545" s="1"/>
      <c r="I3545" s="1"/>
      <c r="J3545" s="1"/>
      <c r="K3545" s="1" t="s">
        <v>15848</v>
      </c>
    </row>
    <row r="3546" ht="14.25" customHeight="1">
      <c r="A3546" s="3" t="s">
        <v>1885</v>
      </c>
      <c r="B3546" s="1">
        <v>7.7</v>
      </c>
      <c r="C3546" s="1" t="s">
        <v>1885</v>
      </c>
      <c r="D3546" s="1"/>
      <c r="E3546" s="1"/>
      <c r="F3546" s="1"/>
      <c r="G3546" s="1"/>
      <c r="H3546" s="1"/>
      <c r="I3546" s="1"/>
      <c r="J3546" s="1"/>
      <c r="K3546" s="1" t="s">
        <v>15916</v>
      </c>
    </row>
    <row r="3547" ht="14.25" customHeight="1">
      <c r="A3547" s="3" t="s">
        <v>1885</v>
      </c>
      <c r="B3547" s="1">
        <v>7.1</v>
      </c>
      <c r="C3547" s="1" t="s">
        <v>1885</v>
      </c>
      <c r="D3547" s="1"/>
      <c r="E3547" s="1"/>
      <c r="F3547" s="1"/>
      <c r="G3547" s="1"/>
      <c r="H3547" s="1"/>
      <c r="I3547" s="1"/>
      <c r="J3547" s="1"/>
      <c r="K3547" s="1" t="s">
        <v>16020</v>
      </c>
    </row>
    <row r="3548" ht="14.25" customHeight="1">
      <c r="A3548" s="3" t="s">
        <v>1885</v>
      </c>
      <c r="B3548" s="1">
        <v>5.5</v>
      </c>
      <c r="C3548" s="1" t="s">
        <v>1885</v>
      </c>
      <c r="D3548" s="1"/>
      <c r="E3548" s="1"/>
      <c r="F3548" s="1"/>
      <c r="G3548" s="1"/>
      <c r="H3548" s="1"/>
      <c r="I3548" s="1"/>
      <c r="J3548" s="1"/>
      <c r="K3548" s="1" t="s">
        <v>16083</v>
      </c>
    </row>
    <row r="3549" ht="14.25" customHeight="1">
      <c r="A3549" s="3" t="s">
        <v>1885</v>
      </c>
      <c r="B3549" s="1">
        <v>7.4</v>
      </c>
      <c r="C3549" s="1" t="s">
        <v>1885</v>
      </c>
      <c r="D3549" s="1"/>
      <c r="E3549" s="1"/>
      <c r="F3549" s="1"/>
      <c r="G3549" s="1"/>
      <c r="H3549" s="1"/>
      <c r="I3549" s="1"/>
      <c r="J3549" s="1"/>
      <c r="K3549" s="1" t="s">
        <v>16416</v>
      </c>
    </row>
    <row r="3550" ht="14.25" customHeight="1">
      <c r="A3550" s="3" t="s">
        <v>1885</v>
      </c>
      <c r="B3550" s="1">
        <v>7.7</v>
      </c>
      <c r="C3550" s="1" t="s">
        <v>1885</v>
      </c>
      <c r="D3550" s="1"/>
      <c r="E3550" s="1"/>
      <c r="F3550" s="1"/>
      <c r="G3550" s="1"/>
      <c r="H3550" s="1"/>
      <c r="I3550" s="1"/>
      <c r="J3550" s="1"/>
      <c r="K3550" s="1" t="s">
        <v>16719</v>
      </c>
    </row>
    <row r="3551" ht="14.25" customHeight="1">
      <c r="A3551" s="3" t="s">
        <v>1885</v>
      </c>
      <c r="B3551" s="1">
        <v>7.8</v>
      </c>
      <c r="C3551" s="1" t="s">
        <v>1885</v>
      </c>
      <c r="D3551" s="1"/>
      <c r="E3551" s="1"/>
      <c r="F3551" s="1"/>
      <c r="G3551" s="1"/>
      <c r="H3551" s="1"/>
      <c r="I3551" s="1"/>
      <c r="J3551" s="1"/>
      <c r="K3551" s="1" t="s">
        <v>16788</v>
      </c>
    </row>
    <row r="3552" ht="14.25" customHeight="1">
      <c r="A3552" s="3" t="s">
        <v>1885</v>
      </c>
      <c r="B3552" s="1">
        <v>6.6</v>
      </c>
      <c r="C3552" s="1" t="s">
        <v>1885</v>
      </c>
      <c r="D3552" s="1"/>
      <c r="E3552" s="1"/>
      <c r="F3552" s="1"/>
      <c r="G3552" s="1"/>
      <c r="H3552" s="1"/>
      <c r="I3552" s="1"/>
      <c r="J3552" s="1"/>
      <c r="K3552" s="1" t="s">
        <v>17038</v>
      </c>
    </row>
    <row r="3553" ht="14.25" customHeight="1">
      <c r="A3553" s="3" t="s">
        <v>1885</v>
      </c>
      <c r="B3553" s="1">
        <v>6.0</v>
      </c>
      <c r="C3553" s="1" t="s">
        <v>1885</v>
      </c>
      <c r="D3553" s="1"/>
      <c r="E3553" s="1"/>
      <c r="F3553" s="1"/>
      <c r="G3553" s="1"/>
      <c r="H3553" s="1"/>
      <c r="I3553" s="1"/>
      <c r="J3553" s="1"/>
      <c r="K3553" s="1" t="s">
        <v>17074</v>
      </c>
    </row>
    <row r="3554" ht="14.25" customHeight="1">
      <c r="A3554" s="3" t="s">
        <v>1885</v>
      </c>
      <c r="B3554" s="1">
        <v>8.4</v>
      </c>
      <c r="C3554" s="1" t="s">
        <v>1885</v>
      </c>
      <c r="D3554" s="1"/>
      <c r="E3554" s="1"/>
      <c r="F3554" s="1"/>
      <c r="G3554" s="1"/>
      <c r="H3554" s="1"/>
      <c r="I3554" s="1"/>
      <c r="J3554" s="1"/>
      <c r="K3554" s="1" t="s">
        <v>17300</v>
      </c>
    </row>
    <row r="3555" ht="14.25" customHeight="1">
      <c r="A3555" s="3" t="s">
        <v>1885</v>
      </c>
      <c r="B3555" s="1">
        <v>8.9</v>
      </c>
      <c r="C3555" s="1" t="s">
        <v>1885</v>
      </c>
      <c r="D3555" s="1"/>
      <c r="E3555" s="1"/>
      <c r="F3555" s="1"/>
      <c r="G3555" s="1"/>
      <c r="H3555" s="1"/>
      <c r="I3555" s="1"/>
      <c r="J3555" s="1"/>
      <c r="K3555" s="1" t="s">
        <v>17366</v>
      </c>
    </row>
    <row r="3556" ht="14.25" customHeight="1">
      <c r="A3556" s="3" t="s">
        <v>1885</v>
      </c>
      <c r="B3556" s="1">
        <v>7.9</v>
      </c>
      <c r="C3556" s="1" t="s">
        <v>1885</v>
      </c>
      <c r="D3556" s="1"/>
      <c r="E3556" s="1"/>
      <c r="F3556" s="1"/>
      <c r="G3556" s="1"/>
      <c r="H3556" s="1"/>
      <c r="I3556" s="1"/>
      <c r="J3556" s="1"/>
      <c r="K3556" s="1" t="s">
        <v>17632</v>
      </c>
    </row>
    <row r="3557" ht="14.25" customHeight="1">
      <c r="A3557" s="3" t="s">
        <v>1885</v>
      </c>
      <c r="B3557" s="1">
        <v>6.0</v>
      </c>
      <c r="C3557" s="1" t="s">
        <v>1885</v>
      </c>
      <c r="D3557" s="1"/>
      <c r="E3557" s="1"/>
      <c r="F3557" s="1"/>
      <c r="G3557" s="1"/>
      <c r="H3557" s="1"/>
      <c r="I3557" s="1"/>
      <c r="J3557" s="1"/>
      <c r="K3557" s="1" t="s">
        <v>17666</v>
      </c>
    </row>
    <row r="3558" ht="14.25" customHeight="1">
      <c r="A3558" s="3" t="s">
        <v>1885</v>
      </c>
      <c r="B3558" s="1">
        <v>6.1</v>
      </c>
      <c r="C3558" s="1" t="s">
        <v>1885</v>
      </c>
      <c r="D3558" s="1"/>
      <c r="E3558" s="1"/>
      <c r="F3558" s="1"/>
      <c r="G3558" s="1"/>
      <c r="H3558" s="1"/>
      <c r="I3558" s="1"/>
      <c r="J3558" s="1"/>
      <c r="K3558" s="1" t="s">
        <v>17695</v>
      </c>
    </row>
    <row r="3559" ht="14.25" customHeight="1">
      <c r="A3559" s="3" t="s">
        <v>15542</v>
      </c>
      <c r="B3559" s="1">
        <v>6.2</v>
      </c>
      <c r="C3559" s="1" t="s">
        <v>15542</v>
      </c>
      <c r="D3559" s="1"/>
      <c r="E3559" s="1"/>
      <c r="F3559" s="1"/>
      <c r="G3559" s="1"/>
      <c r="H3559" s="1"/>
      <c r="I3559" s="1"/>
      <c r="J3559" s="1"/>
      <c r="K3559" s="1" t="s">
        <v>15541</v>
      </c>
    </row>
    <row r="3560" ht="14.25" customHeight="1">
      <c r="A3560" s="3" t="s">
        <v>15542</v>
      </c>
      <c r="B3560" s="1">
        <v>6.8</v>
      </c>
      <c r="C3560" s="1" t="s">
        <v>15542</v>
      </c>
      <c r="D3560" s="1"/>
      <c r="E3560" s="1"/>
      <c r="F3560" s="1"/>
      <c r="G3560" s="1"/>
      <c r="H3560" s="1"/>
      <c r="I3560" s="1"/>
      <c r="J3560" s="1"/>
      <c r="K3560" s="1" t="s">
        <v>15782</v>
      </c>
    </row>
    <row r="3561" ht="14.25" customHeight="1">
      <c r="A3561" s="3" t="s">
        <v>15542</v>
      </c>
      <c r="B3561" s="1">
        <v>5.9</v>
      </c>
      <c r="C3561" s="1" t="s">
        <v>15542</v>
      </c>
      <c r="D3561" s="1"/>
      <c r="E3561" s="1"/>
      <c r="F3561" s="1"/>
      <c r="G3561" s="1"/>
      <c r="H3561" s="1"/>
      <c r="I3561" s="1"/>
      <c r="J3561" s="1"/>
      <c r="K3561" s="1" t="s">
        <v>16120</v>
      </c>
    </row>
    <row r="3562" ht="14.25" customHeight="1">
      <c r="A3562" s="3" t="s">
        <v>15542</v>
      </c>
      <c r="B3562" s="1">
        <v>6.1</v>
      </c>
      <c r="C3562" s="1" t="s">
        <v>15542</v>
      </c>
      <c r="D3562" s="1"/>
      <c r="E3562" s="1"/>
      <c r="F3562" s="1"/>
      <c r="G3562" s="1"/>
      <c r="H3562" s="1"/>
      <c r="I3562" s="1"/>
      <c r="J3562" s="1"/>
      <c r="K3562" s="1" t="s">
        <v>16182</v>
      </c>
    </row>
    <row r="3563" ht="14.25" customHeight="1">
      <c r="A3563" s="3" t="s">
        <v>15542</v>
      </c>
      <c r="B3563" s="1">
        <v>7.6</v>
      </c>
      <c r="C3563" s="1" t="s">
        <v>15542</v>
      </c>
      <c r="D3563" s="1"/>
      <c r="E3563" s="1"/>
      <c r="F3563" s="1"/>
      <c r="G3563" s="1"/>
      <c r="H3563" s="1"/>
      <c r="I3563" s="1"/>
      <c r="J3563" s="1"/>
      <c r="K3563" s="1" t="s">
        <v>16192</v>
      </c>
    </row>
    <row r="3564" ht="14.25" customHeight="1">
      <c r="A3564" s="3" t="s">
        <v>15542</v>
      </c>
      <c r="B3564" s="1">
        <v>8.1</v>
      </c>
      <c r="C3564" s="1" t="s">
        <v>15542</v>
      </c>
      <c r="D3564" s="1"/>
      <c r="E3564" s="1"/>
      <c r="F3564" s="1"/>
      <c r="G3564" s="1"/>
      <c r="H3564" s="1"/>
      <c r="I3564" s="1"/>
      <c r="J3564" s="1"/>
      <c r="K3564" s="1" t="s">
        <v>16910</v>
      </c>
    </row>
    <row r="3565" ht="14.25" customHeight="1">
      <c r="A3565" s="3" t="s">
        <v>15542</v>
      </c>
      <c r="B3565" s="1">
        <v>6.8</v>
      </c>
      <c r="C3565" s="1" t="s">
        <v>15542</v>
      </c>
      <c r="D3565" s="1"/>
      <c r="E3565" s="1"/>
      <c r="F3565" s="1"/>
      <c r="G3565" s="1"/>
      <c r="H3565" s="1"/>
      <c r="I3565" s="1"/>
      <c r="J3565" s="1"/>
      <c r="K3565" s="1" t="s">
        <v>17258</v>
      </c>
    </row>
    <row r="3566" ht="14.25" customHeight="1">
      <c r="A3566" s="3" t="s">
        <v>15542</v>
      </c>
      <c r="B3566" s="1">
        <v>5.7</v>
      </c>
      <c r="C3566" s="1" t="s">
        <v>15542</v>
      </c>
      <c r="D3566" s="1"/>
      <c r="E3566" s="1"/>
      <c r="F3566" s="1"/>
      <c r="G3566" s="1"/>
      <c r="H3566" s="1"/>
      <c r="I3566" s="1"/>
      <c r="J3566" s="1"/>
      <c r="K3566" s="1" t="s">
        <v>17534</v>
      </c>
    </row>
    <row r="3567" ht="14.25" customHeight="1">
      <c r="A3567" s="3" t="s">
        <v>15542</v>
      </c>
      <c r="B3567" s="1">
        <v>6.6</v>
      </c>
      <c r="C3567" s="1" t="s">
        <v>15542</v>
      </c>
      <c r="D3567" s="1"/>
      <c r="E3567" s="1"/>
      <c r="F3567" s="1"/>
      <c r="G3567" s="1"/>
      <c r="H3567" s="1"/>
      <c r="I3567" s="1"/>
      <c r="J3567" s="1"/>
      <c r="K3567" s="1" t="s">
        <v>17609</v>
      </c>
    </row>
    <row r="3568" ht="14.25" customHeight="1">
      <c r="A3568" s="3" t="s">
        <v>15542</v>
      </c>
      <c r="B3568" s="1">
        <v>7.3</v>
      </c>
      <c r="C3568" s="1" t="s">
        <v>15542</v>
      </c>
      <c r="D3568" s="1"/>
      <c r="E3568" s="1"/>
      <c r="F3568" s="1"/>
      <c r="G3568" s="1"/>
      <c r="H3568" s="1"/>
      <c r="I3568" s="1"/>
      <c r="J3568" s="1"/>
      <c r="K3568" s="1" t="s">
        <v>17615</v>
      </c>
    </row>
    <row r="3569" ht="14.25" customHeight="1">
      <c r="A3569" s="3" t="s">
        <v>15542</v>
      </c>
      <c r="B3569" s="1">
        <v>5.0</v>
      </c>
      <c r="C3569" s="1" t="s">
        <v>15542</v>
      </c>
      <c r="D3569" s="1"/>
      <c r="E3569" s="1"/>
      <c r="F3569" s="1"/>
      <c r="G3569" s="1"/>
      <c r="H3569" s="1"/>
      <c r="I3569" s="1"/>
      <c r="J3569" s="1"/>
      <c r="K3569" s="1" t="s">
        <v>17738</v>
      </c>
    </row>
    <row r="3570" ht="14.25" customHeight="1">
      <c r="A3570" s="3" t="s">
        <v>3238</v>
      </c>
      <c r="B3570" s="1">
        <v>7.0</v>
      </c>
      <c r="C3570" s="1" t="s">
        <v>3238</v>
      </c>
      <c r="D3570" s="1"/>
      <c r="E3570" s="1"/>
      <c r="F3570" s="1"/>
      <c r="G3570" s="1"/>
      <c r="H3570" s="1"/>
      <c r="I3570" s="1"/>
      <c r="J3570" s="1"/>
      <c r="K3570" s="1" t="s">
        <v>3237</v>
      </c>
    </row>
    <row r="3571" ht="14.25" customHeight="1">
      <c r="A3571" s="3" t="s">
        <v>3238</v>
      </c>
      <c r="B3571" s="1">
        <v>3.4</v>
      </c>
      <c r="C3571" s="1" t="s">
        <v>3238</v>
      </c>
      <c r="D3571" s="1"/>
      <c r="E3571" s="1"/>
      <c r="F3571" s="1"/>
      <c r="G3571" s="1"/>
      <c r="H3571" s="1"/>
      <c r="I3571" s="1"/>
      <c r="J3571" s="1"/>
      <c r="K3571" s="1" t="s">
        <v>3527</v>
      </c>
    </row>
    <row r="3572" ht="14.25" customHeight="1">
      <c r="A3572" s="3" t="s">
        <v>3238</v>
      </c>
      <c r="B3572" s="1">
        <v>5.9</v>
      </c>
      <c r="C3572" s="1" t="s">
        <v>3238</v>
      </c>
      <c r="D3572" s="1"/>
      <c r="E3572" s="1"/>
      <c r="F3572" s="1"/>
      <c r="G3572" s="1"/>
      <c r="H3572" s="1"/>
      <c r="I3572" s="1"/>
      <c r="J3572" s="1"/>
      <c r="K3572" s="1" t="s">
        <v>3592</v>
      </c>
    </row>
    <row r="3573" ht="14.25" customHeight="1">
      <c r="A3573" s="3" t="s">
        <v>3238</v>
      </c>
      <c r="B3573" s="1">
        <v>6.0</v>
      </c>
      <c r="C3573" s="1" t="s">
        <v>3238</v>
      </c>
      <c r="D3573" s="1"/>
      <c r="E3573" s="1"/>
      <c r="F3573" s="1"/>
      <c r="G3573" s="1"/>
      <c r="H3573" s="1"/>
      <c r="I3573" s="1"/>
      <c r="J3573" s="1"/>
      <c r="K3573" s="1" t="s">
        <v>3913</v>
      </c>
    </row>
    <row r="3574" ht="14.25" customHeight="1">
      <c r="A3574" s="3" t="s">
        <v>3238</v>
      </c>
      <c r="B3574" s="1">
        <v>7.4</v>
      </c>
      <c r="C3574" s="1" t="s">
        <v>3238</v>
      </c>
      <c r="D3574" s="1"/>
      <c r="E3574" s="1"/>
      <c r="F3574" s="1"/>
      <c r="G3574" s="1"/>
      <c r="H3574" s="1"/>
      <c r="I3574" s="1"/>
      <c r="J3574" s="1"/>
      <c r="K3574" s="1" t="s">
        <v>5677</v>
      </c>
    </row>
    <row r="3575" ht="14.25" customHeight="1">
      <c r="A3575" s="3" t="s">
        <v>3238</v>
      </c>
      <c r="B3575" s="1">
        <v>7.4</v>
      </c>
      <c r="C3575" s="1" t="s">
        <v>3238</v>
      </c>
      <c r="D3575" s="1"/>
      <c r="E3575" s="1"/>
      <c r="F3575" s="1"/>
      <c r="G3575" s="1"/>
      <c r="H3575" s="1"/>
      <c r="I3575" s="1"/>
      <c r="J3575" s="1"/>
      <c r="K3575" s="1" t="s">
        <v>6199</v>
      </c>
    </row>
    <row r="3576" ht="14.25" customHeight="1">
      <c r="A3576" s="3" t="s">
        <v>3238</v>
      </c>
      <c r="B3576" s="1">
        <v>4.2</v>
      </c>
      <c r="C3576" s="1" t="s">
        <v>3238</v>
      </c>
      <c r="D3576" s="1"/>
      <c r="E3576" s="1"/>
      <c r="F3576" s="1"/>
      <c r="G3576" s="1"/>
      <c r="H3576" s="1"/>
      <c r="I3576" s="1"/>
      <c r="J3576" s="1"/>
      <c r="K3576" s="1" t="s">
        <v>6321</v>
      </c>
    </row>
    <row r="3577" ht="14.25" customHeight="1">
      <c r="A3577" s="3" t="s">
        <v>3238</v>
      </c>
      <c r="B3577" s="1">
        <v>6.2</v>
      </c>
      <c r="C3577" s="1" t="s">
        <v>3238</v>
      </c>
      <c r="D3577" s="1"/>
      <c r="E3577" s="1"/>
      <c r="F3577" s="1"/>
      <c r="G3577" s="1"/>
      <c r="H3577" s="1"/>
      <c r="I3577" s="1"/>
      <c r="J3577" s="1"/>
      <c r="K3577" s="1" t="s">
        <v>6389</v>
      </c>
    </row>
    <row r="3578" ht="14.25" customHeight="1">
      <c r="A3578" s="3" t="s">
        <v>3238</v>
      </c>
      <c r="B3578" s="1">
        <v>5.4</v>
      </c>
      <c r="C3578" s="1" t="s">
        <v>3238</v>
      </c>
      <c r="D3578" s="1"/>
      <c r="E3578" s="1"/>
      <c r="F3578" s="1"/>
      <c r="G3578" s="1"/>
      <c r="H3578" s="1"/>
      <c r="I3578" s="1"/>
      <c r="J3578" s="1"/>
      <c r="K3578" s="1" t="s">
        <v>6608</v>
      </c>
    </row>
    <row r="3579" ht="14.25" customHeight="1">
      <c r="A3579" s="3" t="s">
        <v>3238</v>
      </c>
      <c r="B3579" s="1">
        <v>7.2</v>
      </c>
      <c r="C3579" s="1" t="s">
        <v>3238</v>
      </c>
      <c r="D3579" s="1"/>
      <c r="E3579" s="1"/>
      <c r="F3579" s="1"/>
      <c r="G3579" s="1"/>
      <c r="H3579" s="1"/>
      <c r="I3579" s="1"/>
      <c r="J3579" s="1"/>
      <c r="K3579" s="1" t="s">
        <v>6647</v>
      </c>
    </row>
    <row r="3580" ht="14.25" customHeight="1">
      <c r="A3580" s="3" t="s">
        <v>3238</v>
      </c>
      <c r="B3580" s="1">
        <v>6.7</v>
      </c>
      <c r="C3580" s="1" t="s">
        <v>3238</v>
      </c>
      <c r="D3580" s="1"/>
      <c r="E3580" s="1"/>
      <c r="F3580" s="1"/>
      <c r="G3580" s="1"/>
      <c r="H3580" s="1"/>
      <c r="I3580" s="1"/>
      <c r="J3580" s="1"/>
      <c r="K3580" s="1" t="s">
        <v>6691</v>
      </c>
    </row>
    <row r="3581" ht="14.25" customHeight="1">
      <c r="A3581" s="3" t="s">
        <v>3238</v>
      </c>
      <c r="B3581" s="1">
        <v>7.5</v>
      </c>
      <c r="C3581" s="1" t="s">
        <v>3238</v>
      </c>
      <c r="D3581" s="1"/>
      <c r="E3581" s="1"/>
      <c r="F3581" s="1"/>
      <c r="G3581" s="1"/>
      <c r="H3581" s="1"/>
      <c r="I3581" s="1"/>
      <c r="J3581" s="1"/>
      <c r="K3581" s="1" t="s">
        <v>7161</v>
      </c>
    </row>
    <row r="3582" ht="14.25" customHeight="1">
      <c r="A3582" s="3" t="s">
        <v>3238</v>
      </c>
      <c r="B3582" s="1">
        <v>7.2</v>
      </c>
      <c r="C3582" s="1" t="s">
        <v>3238</v>
      </c>
      <c r="D3582" s="1"/>
      <c r="E3582" s="1"/>
      <c r="F3582" s="1"/>
      <c r="G3582" s="1"/>
      <c r="H3582" s="1"/>
      <c r="I3582" s="1"/>
      <c r="J3582" s="1"/>
      <c r="K3582" s="1" t="s">
        <v>7223</v>
      </c>
    </row>
    <row r="3583" ht="14.25" customHeight="1">
      <c r="A3583" s="3" t="s">
        <v>3238</v>
      </c>
      <c r="B3583" s="1">
        <v>7.4</v>
      </c>
      <c r="C3583" s="1" t="s">
        <v>3238</v>
      </c>
      <c r="D3583" s="1"/>
      <c r="E3583" s="1"/>
      <c r="F3583" s="1"/>
      <c r="G3583" s="1"/>
      <c r="H3583" s="1"/>
      <c r="I3583" s="1"/>
      <c r="J3583" s="1"/>
      <c r="K3583" s="1" t="s">
        <v>7500</v>
      </c>
    </row>
    <row r="3584" ht="14.25" customHeight="1">
      <c r="A3584" s="3" t="s">
        <v>3238</v>
      </c>
      <c r="B3584" s="1">
        <v>5.6</v>
      </c>
      <c r="C3584" s="1" t="s">
        <v>3238</v>
      </c>
      <c r="D3584" s="1"/>
      <c r="E3584" s="1"/>
      <c r="F3584" s="1"/>
      <c r="G3584" s="1"/>
      <c r="H3584" s="1"/>
      <c r="I3584" s="1"/>
      <c r="J3584" s="1"/>
      <c r="K3584" s="1" t="s">
        <v>7589</v>
      </c>
    </row>
    <row r="3585" ht="14.25" customHeight="1">
      <c r="A3585" s="3" t="s">
        <v>3238</v>
      </c>
      <c r="B3585" s="1">
        <v>6.8</v>
      </c>
      <c r="C3585" s="1" t="s">
        <v>3238</v>
      </c>
      <c r="D3585" s="1"/>
      <c r="E3585" s="1"/>
      <c r="F3585" s="1"/>
      <c r="G3585" s="1"/>
      <c r="H3585" s="1"/>
      <c r="I3585" s="1"/>
      <c r="J3585" s="1"/>
      <c r="K3585" s="1" t="s">
        <v>7928</v>
      </c>
    </row>
    <row r="3586" ht="14.25" customHeight="1">
      <c r="A3586" s="3" t="s">
        <v>3238</v>
      </c>
      <c r="B3586" s="1">
        <v>7.2</v>
      </c>
      <c r="C3586" s="1" t="s">
        <v>3238</v>
      </c>
      <c r="D3586" s="1"/>
      <c r="E3586" s="1"/>
      <c r="F3586" s="1"/>
      <c r="G3586" s="1"/>
      <c r="H3586" s="1"/>
      <c r="I3586" s="1"/>
      <c r="J3586" s="1"/>
      <c r="K3586" s="1" t="s">
        <v>7998</v>
      </c>
    </row>
    <row r="3587" ht="14.25" customHeight="1">
      <c r="A3587" s="3" t="s">
        <v>3238</v>
      </c>
      <c r="B3587" s="1">
        <v>7.7</v>
      </c>
      <c r="C3587" s="1" t="s">
        <v>3238</v>
      </c>
      <c r="D3587" s="1"/>
      <c r="E3587" s="1"/>
      <c r="F3587" s="1"/>
      <c r="G3587" s="1"/>
      <c r="H3587" s="1"/>
      <c r="I3587" s="1"/>
      <c r="J3587" s="1"/>
      <c r="K3587" s="1" t="s">
        <v>8082</v>
      </c>
    </row>
    <row r="3588" ht="14.25" customHeight="1">
      <c r="A3588" s="3" t="s">
        <v>3238</v>
      </c>
      <c r="B3588" s="1">
        <v>7.0</v>
      </c>
      <c r="C3588" s="1" t="s">
        <v>3238</v>
      </c>
      <c r="D3588" s="1"/>
      <c r="E3588" s="1"/>
      <c r="F3588" s="1"/>
      <c r="G3588" s="1"/>
      <c r="H3588" s="1"/>
      <c r="I3588" s="1"/>
      <c r="J3588" s="1"/>
      <c r="K3588" s="1" t="s">
        <v>8172</v>
      </c>
    </row>
    <row r="3589" ht="14.25" customHeight="1">
      <c r="A3589" s="3" t="s">
        <v>3238</v>
      </c>
      <c r="B3589" s="1">
        <v>6.4</v>
      </c>
      <c r="C3589" s="1" t="s">
        <v>3238</v>
      </c>
      <c r="D3589" s="1"/>
      <c r="E3589" s="1"/>
      <c r="F3589" s="1"/>
      <c r="G3589" s="1"/>
      <c r="H3589" s="1"/>
      <c r="I3589" s="1"/>
      <c r="J3589" s="1"/>
      <c r="K3589" s="1" t="s">
        <v>8412</v>
      </c>
    </row>
    <row r="3590" ht="14.25" customHeight="1">
      <c r="A3590" s="3" t="s">
        <v>3238</v>
      </c>
      <c r="B3590" s="1">
        <v>7.2</v>
      </c>
      <c r="C3590" s="1" t="s">
        <v>3238</v>
      </c>
      <c r="D3590" s="1"/>
      <c r="E3590" s="1"/>
      <c r="F3590" s="1"/>
      <c r="G3590" s="1"/>
      <c r="H3590" s="1"/>
      <c r="I3590" s="1"/>
      <c r="J3590" s="1"/>
      <c r="K3590" s="1" t="s">
        <v>8441</v>
      </c>
    </row>
    <row r="3591" ht="14.25" customHeight="1">
      <c r="A3591" s="3" t="s">
        <v>3238</v>
      </c>
      <c r="B3591" s="1">
        <v>7.2</v>
      </c>
      <c r="C3591" s="1" t="s">
        <v>3238</v>
      </c>
      <c r="D3591" s="1"/>
      <c r="E3591" s="1"/>
      <c r="F3591" s="1"/>
      <c r="G3591" s="1"/>
      <c r="H3591" s="1"/>
      <c r="I3591" s="1"/>
      <c r="J3591" s="1"/>
      <c r="K3591" s="1" t="s">
        <v>8677</v>
      </c>
    </row>
    <row r="3592" ht="14.25" customHeight="1">
      <c r="A3592" s="3" t="s">
        <v>3238</v>
      </c>
      <c r="B3592" s="1">
        <v>6.2</v>
      </c>
      <c r="C3592" s="1" t="s">
        <v>3238</v>
      </c>
      <c r="D3592" s="1"/>
      <c r="E3592" s="1"/>
      <c r="F3592" s="1"/>
      <c r="G3592" s="1"/>
      <c r="H3592" s="1"/>
      <c r="I3592" s="1"/>
      <c r="J3592" s="1"/>
      <c r="K3592" s="1" t="s">
        <v>8689</v>
      </c>
    </row>
    <row r="3593" ht="14.25" customHeight="1">
      <c r="A3593" s="3" t="s">
        <v>3238</v>
      </c>
      <c r="B3593" s="1">
        <v>6.9</v>
      </c>
      <c r="C3593" s="1" t="s">
        <v>3238</v>
      </c>
      <c r="D3593" s="1"/>
      <c r="E3593" s="1"/>
      <c r="F3593" s="1"/>
      <c r="G3593" s="1"/>
      <c r="H3593" s="1"/>
      <c r="I3593" s="1"/>
      <c r="J3593" s="1"/>
      <c r="K3593" s="1" t="s">
        <v>8692</v>
      </c>
    </row>
    <row r="3594" ht="14.25" customHeight="1">
      <c r="A3594" s="3" t="s">
        <v>3238</v>
      </c>
      <c r="B3594" s="1">
        <v>7.0</v>
      </c>
      <c r="C3594" s="1" t="s">
        <v>3238</v>
      </c>
      <c r="D3594" s="1"/>
      <c r="E3594" s="1"/>
      <c r="F3594" s="1"/>
      <c r="G3594" s="1"/>
      <c r="H3594" s="1"/>
      <c r="I3594" s="1"/>
      <c r="J3594" s="1"/>
      <c r="K3594" s="1" t="s">
        <v>8718</v>
      </c>
    </row>
    <row r="3595" ht="14.25" customHeight="1">
      <c r="A3595" s="3" t="s">
        <v>3238</v>
      </c>
      <c r="B3595" s="1">
        <v>6.7</v>
      </c>
      <c r="C3595" s="1" t="s">
        <v>3238</v>
      </c>
      <c r="D3595" s="1"/>
      <c r="E3595" s="1"/>
      <c r="F3595" s="1"/>
      <c r="G3595" s="1"/>
      <c r="H3595" s="1"/>
      <c r="I3595" s="1"/>
      <c r="J3595" s="1"/>
      <c r="K3595" s="1" t="s">
        <v>8855</v>
      </c>
    </row>
    <row r="3596" ht="14.25" customHeight="1">
      <c r="A3596" s="3" t="s">
        <v>3238</v>
      </c>
      <c r="B3596" s="1">
        <v>7.4</v>
      </c>
      <c r="C3596" s="1" t="s">
        <v>3238</v>
      </c>
      <c r="D3596" s="1"/>
      <c r="E3596" s="1"/>
      <c r="F3596" s="1"/>
      <c r="G3596" s="1"/>
      <c r="H3596" s="1"/>
      <c r="I3596" s="1"/>
      <c r="J3596" s="1"/>
      <c r="K3596" s="1" t="s">
        <v>8993</v>
      </c>
    </row>
    <row r="3597" ht="14.25" customHeight="1">
      <c r="A3597" s="3" t="s">
        <v>3238</v>
      </c>
      <c r="B3597" s="1">
        <v>6.1</v>
      </c>
      <c r="C3597" s="1" t="s">
        <v>3238</v>
      </c>
      <c r="D3597" s="1"/>
      <c r="E3597" s="1"/>
      <c r="F3597" s="1"/>
      <c r="G3597" s="1"/>
      <c r="H3597" s="1"/>
      <c r="I3597" s="1"/>
      <c r="J3597" s="1"/>
      <c r="K3597" s="1" t="s">
        <v>9052</v>
      </c>
    </row>
    <row r="3598" ht="14.25" customHeight="1">
      <c r="A3598" s="3" t="s">
        <v>3238</v>
      </c>
      <c r="B3598" s="1">
        <v>6.7</v>
      </c>
      <c r="C3598" s="1" t="s">
        <v>3238</v>
      </c>
      <c r="D3598" s="1"/>
      <c r="E3598" s="1"/>
      <c r="F3598" s="1"/>
      <c r="G3598" s="1"/>
      <c r="H3598" s="1"/>
      <c r="I3598" s="1"/>
      <c r="J3598" s="1"/>
      <c r="K3598" s="1" t="s">
        <v>9106</v>
      </c>
    </row>
    <row r="3599" ht="14.25" customHeight="1">
      <c r="A3599" s="3" t="s">
        <v>3238</v>
      </c>
      <c r="B3599" s="1">
        <v>8.2</v>
      </c>
      <c r="C3599" s="1" t="s">
        <v>3238</v>
      </c>
      <c r="D3599" s="1"/>
      <c r="E3599" s="1"/>
      <c r="F3599" s="1"/>
      <c r="G3599" s="1"/>
      <c r="H3599" s="1"/>
      <c r="I3599" s="1"/>
      <c r="J3599" s="1"/>
      <c r="K3599" s="1" t="s">
        <v>9229</v>
      </c>
    </row>
    <row r="3600" ht="14.25" customHeight="1">
      <c r="A3600" s="3" t="s">
        <v>3238</v>
      </c>
      <c r="B3600" s="1">
        <v>7.7</v>
      </c>
      <c r="C3600" s="1" t="s">
        <v>3238</v>
      </c>
      <c r="D3600" s="1"/>
      <c r="E3600" s="1"/>
      <c r="F3600" s="1"/>
      <c r="G3600" s="1"/>
      <c r="H3600" s="1"/>
      <c r="I3600" s="1"/>
      <c r="J3600" s="1"/>
      <c r="K3600" s="1" t="s">
        <v>9405</v>
      </c>
    </row>
    <row r="3601" ht="14.25" customHeight="1">
      <c r="A3601" s="3" t="s">
        <v>3238</v>
      </c>
      <c r="B3601" s="1">
        <v>7.3</v>
      </c>
      <c r="C3601" s="1" t="s">
        <v>3238</v>
      </c>
      <c r="D3601" s="1"/>
      <c r="E3601" s="1"/>
      <c r="F3601" s="1"/>
      <c r="G3601" s="1"/>
      <c r="H3601" s="1"/>
      <c r="I3601" s="1"/>
      <c r="J3601" s="1"/>
      <c r="K3601" s="1" t="s">
        <v>9452</v>
      </c>
    </row>
    <row r="3602" ht="14.25" customHeight="1">
      <c r="A3602" s="3" t="s">
        <v>3238</v>
      </c>
      <c r="B3602" s="1">
        <v>7.6</v>
      </c>
      <c r="C3602" s="1" t="s">
        <v>3238</v>
      </c>
      <c r="D3602" s="1"/>
      <c r="E3602" s="1"/>
      <c r="F3602" s="1"/>
      <c r="G3602" s="1"/>
      <c r="H3602" s="1"/>
      <c r="I3602" s="1"/>
      <c r="J3602" s="1"/>
      <c r="K3602" s="1" t="s">
        <v>9483</v>
      </c>
    </row>
    <row r="3603" ht="14.25" customHeight="1">
      <c r="A3603" s="3" t="s">
        <v>3238</v>
      </c>
      <c r="B3603" s="1">
        <v>5.6</v>
      </c>
      <c r="C3603" s="1" t="s">
        <v>3238</v>
      </c>
      <c r="D3603" s="1"/>
      <c r="E3603" s="1"/>
      <c r="F3603" s="1"/>
      <c r="G3603" s="1"/>
      <c r="H3603" s="1"/>
      <c r="I3603" s="1"/>
      <c r="J3603" s="1"/>
      <c r="K3603" s="1" t="s">
        <v>9544</v>
      </c>
    </row>
    <row r="3604" ht="14.25" customHeight="1">
      <c r="A3604" s="3" t="s">
        <v>3238</v>
      </c>
      <c r="B3604" s="1">
        <v>6.4</v>
      </c>
      <c r="C3604" s="1" t="s">
        <v>3238</v>
      </c>
      <c r="D3604" s="1"/>
      <c r="E3604" s="1"/>
      <c r="F3604" s="1"/>
      <c r="G3604" s="1"/>
      <c r="H3604" s="1"/>
      <c r="I3604" s="1"/>
      <c r="J3604" s="1"/>
      <c r="K3604" s="1" t="s">
        <v>9761</v>
      </c>
    </row>
    <row r="3605" ht="14.25" customHeight="1">
      <c r="A3605" s="3" t="s">
        <v>3238</v>
      </c>
      <c r="B3605" s="1">
        <v>6.8</v>
      </c>
      <c r="C3605" s="1" t="s">
        <v>3238</v>
      </c>
      <c r="D3605" s="1"/>
      <c r="E3605" s="1"/>
      <c r="F3605" s="1"/>
      <c r="G3605" s="1"/>
      <c r="H3605" s="1"/>
      <c r="I3605" s="1"/>
      <c r="J3605" s="1"/>
      <c r="K3605" s="1" t="s">
        <v>9971</v>
      </c>
    </row>
    <row r="3606" ht="14.25" customHeight="1">
      <c r="A3606" s="3" t="s">
        <v>3238</v>
      </c>
      <c r="B3606" s="1">
        <v>6.1</v>
      </c>
      <c r="C3606" s="1" t="s">
        <v>3238</v>
      </c>
      <c r="D3606" s="1"/>
      <c r="E3606" s="1"/>
      <c r="F3606" s="1"/>
      <c r="G3606" s="1"/>
      <c r="H3606" s="1"/>
      <c r="I3606" s="1"/>
      <c r="J3606" s="1"/>
      <c r="K3606" s="1" t="s">
        <v>10143</v>
      </c>
    </row>
    <row r="3607" ht="14.25" customHeight="1">
      <c r="A3607" s="3" t="s">
        <v>3238</v>
      </c>
      <c r="B3607" s="1">
        <v>6.0</v>
      </c>
      <c r="C3607" s="1" t="s">
        <v>3238</v>
      </c>
      <c r="D3607" s="1"/>
      <c r="E3607" s="1"/>
      <c r="F3607" s="1"/>
      <c r="G3607" s="1"/>
      <c r="H3607" s="1"/>
      <c r="I3607" s="1"/>
      <c r="J3607" s="1"/>
      <c r="K3607" s="1" t="s">
        <v>10184</v>
      </c>
    </row>
    <row r="3608" ht="14.25" customHeight="1">
      <c r="A3608" s="3" t="s">
        <v>3238</v>
      </c>
      <c r="B3608" s="1">
        <v>6.1</v>
      </c>
      <c r="C3608" s="1" t="s">
        <v>3238</v>
      </c>
      <c r="D3608" s="1"/>
      <c r="E3608" s="1"/>
      <c r="F3608" s="1"/>
      <c r="G3608" s="1"/>
      <c r="H3608" s="1"/>
      <c r="I3608" s="1"/>
      <c r="J3608" s="1"/>
      <c r="K3608" s="1" t="s">
        <v>10190</v>
      </c>
    </row>
    <row r="3609" ht="14.25" customHeight="1">
      <c r="A3609" s="3" t="s">
        <v>3238</v>
      </c>
      <c r="B3609" s="1">
        <v>5.5</v>
      </c>
      <c r="C3609" s="1" t="s">
        <v>3238</v>
      </c>
      <c r="D3609" s="1"/>
      <c r="E3609" s="1"/>
      <c r="F3609" s="1"/>
      <c r="G3609" s="1"/>
      <c r="H3609" s="1"/>
      <c r="I3609" s="1"/>
      <c r="J3609" s="1"/>
      <c r="K3609" s="1" t="s">
        <v>10739</v>
      </c>
    </row>
    <row r="3610" ht="14.25" customHeight="1">
      <c r="A3610" s="3" t="s">
        <v>3238</v>
      </c>
      <c r="B3610" s="1">
        <v>6.9</v>
      </c>
      <c r="C3610" s="1" t="s">
        <v>3238</v>
      </c>
      <c r="D3610" s="1"/>
      <c r="E3610" s="1"/>
      <c r="F3610" s="1"/>
      <c r="G3610" s="1"/>
      <c r="H3610" s="1"/>
      <c r="I3610" s="1"/>
      <c r="J3610" s="1"/>
      <c r="K3610" s="1" t="s">
        <v>10823</v>
      </c>
    </row>
    <row r="3611" ht="14.25" customHeight="1">
      <c r="A3611" s="3" t="s">
        <v>3238</v>
      </c>
      <c r="B3611" s="1">
        <v>4.1</v>
      </c>
      <c r="C3611" s="1" t="s">
        <v>3238</v>
      </c>
      <c r="D3611" s="1"/>
      <c r="E3611" s="1"/>
      <c r="F3611" s="1"/>
      <c r="G3611" s="1"/>
      <c r="H3611" s="1"/>
      <c r="I3611" s="1"/>
      <c r="J3611" s="1"/>
      <c r="K3611" s="1" t="s">
        <v>10853</v>
      </c>
    </row>
    <row r="3612" ht="14.25" customHeight="1">
      <c r="A3612" s="3" t="s">
        <v>3238</v>
      </c>
      <c r="B3612" s="1">
        <v>5.4</v>
      </c>
      <c r="C3612" s="1" t="s">
        <v>3238</v>
      </c>
      <c r="D3612" s="1"/>
      <c r="E3612" s="1"/>
      <c r="F3612" s="1"/>
      <c r="G3612" s="1"/>
      <c r="H3612" s="1"/>
      <c r="I3612" s="1"/>
      <c r="J3612" s="1"/>
      <c r="K3612" s="1" t="s">
        <v>10891</v>
      </c>
    </row>
    <row r="3613" ht="14.25" customHeight="1">
      <c r="A3613" s="3" t="s">
        <v>3238</v>
      </c>
      <c r="B3613" s="1">
        <v>7.0</v>
      </c>
      <c r="C3613" s="1" t="s">
        <v>3238</v>
      </c>
      <c r="D3613" s="1"/>
      <c r="E3613" s="1"/>
      <c r="F3613" s="1"/>
      <c r="G3613" s="1"/>
      <c r="H3613" s="1"/>
      <c r="I3613" s="1"/>
      <c r="J3613" s="1"/>
      <c r="K3613" s="1" t="s">
        <v>10909</v>
      </c>
    </row>
    <row r="3614" ht="14.25" customHeight="1">
      <c r="A3614" s="3" t="s">
        <v>3238</v>
      </c>
      <c r="B3614" s="1">
        <v>8.2</v>
      </c>
      <c r="C3614" s="1" t="s">
        <v>3238</v>
      </c>
      <c r="D3614" s="1"/>
      <c r="E3614" s="1"/>
      <c r="F3614" s="1"/>
      <c r="G3614" s="1"/>
      <c r="H3614" s="1"/>
      <c r="I3614" s="1"/>
      <c r="J3614" s="1"/>
      <c r="K3614" s="1" t="s">
        <v>11187</v>
      </c>
    </row>
    <row r="3615" ht="14.25" customHeight="1">
      <c r="A3615" s="3" t="s">
        <v>3238</v>
      </c>
      <c r="B3615" s="1">
        <v>5.7</v>
      </c>
      <c r="C3615" s="1" t="s">
        <v>3238</v>
      </c>
      <c r="D3615" s="1"/>
      <c r="E3615" s="1"/>
      <c r="F3615" s="1"/>
      <c r="G3615" s="1"/>
      <c r="H3615" s="1"/>
      <c r="I3615" s="1"/>
      <c r="J3615" s="1"/>
      <c r="K3615" s="1" t="s">
        <v>11203</v>
      </c>
    </row>
    <row r="3616" ht="14.25" customHeight="1">
      <c r="A3616" s="3" t="s">
        <v>3238</v>
      </c>
      <c r="B3616" s="1">
        <v>7.9</v>
      </c>
      <c r="C3616" s="1" t="s">
        <v>3238</v>
      </c>
      <c r="D3616" s="1"/>
      <c r="E3616" s="1"/>
      <c r="F3616" s="1"/>
      <c r="G3616" s="1"/>
      <c r="H3616" s="1"/>
      <c r="I3616" s="1"/>
      <c r="J3616" s="1"/>
      <c r="K3616" s="1" t="s">
        <v>11231</v>
      </c>
    </row>
    <row r="3617" ht="14.25" customHeight="1">
      <c r="A3617" s="3" t="s">
        <v>3238</v>
      </c>
      <c r="B3617" s="1">
        <v>7.1</v>
      </c>
      <c r="C3617" s="1" t="s">
        <v>3238</v>
      </c>
      <c r="D3617" s="1"/>
      <c r="E3617" s="1"/>
      <c r="F3617" s="1"/>
      <c r="G3617" s="1"/>
      <c r="H3617" s="1"/>
      <c r="I3617" s="1"/>
      <c r="J3617" s="1"/>
      <c r="K3617" s="1" t="s">
        <v>11288</v>
      </c>
    </row>
    <row r="3618" ht="14.25" customHeight="1">
      <c r="A3618" s="3" t="s">
        <v>3238</v>
      </c>
      <c r="B3618" s="1">
        <v>6.4</v>
      </c>
      <c r="C3618" s="1" t="s">
        <v>3238</v>
      </c>
      <c r="D3618" s="1"/>
      <c r="E3618" s="1"/>
      <c r="F3618" s="1"/>
      <c r="G3618" s="1"/>
      <c r="H3618" s="1"/>
      <c r="I3618" s="1"/>
      <c r="J3618" s="1"/>
      <c r="K3618" s="1" t="s">
        <v>11319</v>
      </c>
    </row>
    <row r="3619" ht="14.25" customHeight="1">
      <c r="A3619" s="3" t="s">
        <v>3238</v>
      </c>
      <c r="B3619" s="1">
        <v>7.5</v>
      </c>
      <c r="C3619" s="1" t="s">
        <v>3238</v>
      </c>
      <c r="D3619" s="1"/>
      <c r="E3619" s="1"/>
      <c r="F3619" s="1"/>
      <c r="G3619" s="1"/>
      <c r="H3619" s="1"/>
      <c r="I3619" s="1"/>
      <c r="J3619" s="1"/>
      <c r="K3619" s="1" t="s">
        <v>11344</v>
      </c>
    </row>
    <row r="3620" ht="14.25" customHeight="1">
      <c r="A3620" s="3" t="s">
        <v>3238</v>
      </c>
      <c r="B3620" s="1">
        <v>6.4</v>
      </c>
      <c r="C3620" s="1" t="s">
        <v>3238</v>
      </c>
      <c r="D3620" s="1"/>
      <c r="E3620" s="1"/>
      <c r="F3620" s="1"/>
      <c r="G3620" s="1"/>
      <c r="H3620" s="1"/>
      <c r="I3620" s="1"/>
      <c r="J3620" s="1"/>
      <c r="K3620" s="1" t="s">
        <v>11433</v>
      </c>
    </row>
    <row r="3621" ht="14.25" customHeight="1">
      <c r="A3621" s="3" t="s">
        <v>3238</v>
      </c>
      <c r="B3621" s="1">
        <v>6.5</v>
      </c>
      <c r="C3621" s="1" t="s">
        <v>3238</v>
      </c>
      <c r="D3621" s="1"/>
      <c r="E3621" s="1"/>
      <c r="F3621" s="1"/>
      <c r="G3621" s="1"/>
      <c r="H3621" s="1"/>
      <c r="I3621" s="1"/>
      <c r="J3621" s="1"/>
      <c r="K3621" s="1" t="s">
        <v>11448</v>
      </c>
    </row>
    <row r="3622" ht="14.25" customHeight="1">
      <c r="A3622" s="3" t="s">
        <v>3238</v>
      </c>
      <c r="B3622" s="1">
        <v>7.2</v>
      </c>
      <c r="C3622" s="1" t="s">
        <v>3238</v>
      </c>
      <c r="D3622" s="1"/>
      <c r="E3622" s="1"/>
      <c r="F3622" s="1"/>
      <c r="G3622" s="1"/>
      <c r="H3622" s="1"/>
      <c r="I3622" s="1"/>
      <c r="J3622" s="1"/>
      <c r="K3622" s="1" t="s">
        <v>11654</v>
      </c>
    </row>
    <row r="3623" ht="14.25" customHeight="1">
      <c r="A3623" s="3" t="s">
        <v>3238</v>
      </c>
      <c r="B3623" s="1">
        <v>6.0</v>
      </c>
      <c r="C3623" s="1" t="s">
        <v>3238</v>
      </c>
      <c r="D3623" s="1"/>
      <c r="E3623" s="1"/>
      <c r="F3623" s="1"/>
      <c r="G3623" s="1"/>
      <c r="H3623" s="1"/>
      <c r="I3623" s="1"/>
      <c r="J3623" s="1"/>
      <c r="K3623" s="1" t="s">
        <v>11857</v>
      </c>
    </row>
    <row r="3624" ht="14.25" customHeight="1">
      <c r="A3624" s="3" t="s">
        <v>3238</v>
      </c>
      <c r="B3624" s="1">
        <v>5.6</v>
      </c>
      <c r="C3624" s="1" t="s">
        <v>3238</v>
      </c>
      <c r="D3624" s="1"/>
      <c r="E3624" s="1"/>
      <c r="F3624" s="1"/>
      <c r="G3624" s="1"/>
      <c r="H3624" s="1"/>
      <c r="I3624" s="1"/>
      <c r="J3624" s="1"/>
      <c r="K3624" s="1" t="s">
        <v>11988</v>
      </c>
    </row>
    <row r="3625" ht="14.25" customHeight="1">
      <c r="A3625" s="3" t="s">
        <v>3238</v>
      </c>
      <c r="B3625" s="1">
        <v>8.4</v>
      </c>
      <c r="C3625" s="1" t="s">
        <v>3238</v>
      </c>
      <c r="D3625" s="1"/>
      <c r="E3625" s="1"/>
      <c r="F3625" s="1"/>
      <c r="G3625" s="1"/>
      <c r="H3625" s="1"/>
      <c r="I3625" s="1"/>
      <c r="J3625" s="1"/>
      <c r="K3625" s="1" t="s">
        <v>12128</v>
      </c>
    </row>
    <row r="3626" ht="14.25" customHeight="1">
      <c r="A3626" s="3" t="s">
        <v>3238</v>
      </c>
      <c r="B3626" s="1">
        <v>7.5</v>
      </c>
      <c r="C3626" s="1" t="s">
        <v>3238</v>
      </c>
      <c r="D3626" s="1"/>
      <c r="E3626" s="1"/>
      <c r="F3626" s="1"/>
      <c r="G3626" s="1"/>
      <c r="H3626" s="1"/>
      <c r="I3626" s="1"/>
      <c r="J3626" s="1"/>
      <c r="K3626" s="1" t="s">
        <v>12169</v>
      </c>
    </row>
    <row r="3627" ht="14.25" customHeight="1">
      <c r="A3627" s="3" t="s">
        <v>3238</v>
      </c>
      <c r="B3627" s="1">
        <v>7.2</v>
      </c>
      <c r="C3627" s="1" t="s">
        <v>3238</v>
      </c>
      <c r="D3627" s="1"/>
      <c r="E3627" s="1"/>
      <c r="F3627" s="1"/>
      <c r="G3627" s="1"/>
      <c r="H3627" s="1"/>
      <c r="I3627" s="1"/>
      <c r="J3627" s="1"/>
      <c r="K3627" s="1" t="s">
        <v>12236</v>
      </c>
    </row>
    <row r="3628" ht="14.25" customHeight="1">
      <c r="A3628" s="3" t="s">
        <v>3238</v>
      </c>
      <c r="B3628" s="1">
        <v>7.2</v>
      </c>
      <c r="C3628" s="1" t="s">
        <v>3238</v>
      </c>
      <c r="D3628" s="1"/>
      <c r="E3628" s="1"/>
      <c r="F3628" s="1"/>
      <c r="G3628" s="1"/>
      <c r="H3628" s="1"/>
      <c r="I3628" s="1"/>
      <c r="J3628" s="1"/>
      <c r="K3628" s="1" t="s">
        <v>12352</v>
      </c>
    </row>
    <row r="3629" ht="14.25" customHeight="1">
      <c r="A3629" s="3" t="s">
        <v>3238</v>
      </c>
      <c r="B3629" s="1">
        <v>6.5</v>
      </c>
      <c r="C3629" s="1" t="s">
        <v>3238</v>
      </c>
      <c r="D3629" s="1"/>
      <c r="E3629" s="1"/>
      <c r="F3629" s="1"/>
      <c r="G3629" s="1"/>
      <c r="H3629" s="1"/>
      <c r="I3629" s="1"/>
      <c r="J3629" s="1"/>
      <c r="K3629" s="1" t="s">
        <v>12472</v>
      </c>
    </row>
    <row r="3630" ht="14.25" customHeight="1">
      <c r="A3630" s="3" t="s">
        <v>3238</v>
      </c>
      <c r="B3630" s="1">
        <v>6.4</v>
      </c>
      <c r="C3630" s="1" t="s">
        <v>3238</v>
      </c>
      <c r="D3630" s="1"/>
      <c r="E3630" s="1"/>
      <c r="F3630" s="1"/>
      <c r="G3630" s="1"/>
      <c r="H3630" s="1"/>
      <c r="I3630" s="1"/>
      <c r="J3630" s="1"/>
      <c r="K3630" s="1" t="s">
        <v>12807</v>
      </c>
    </row>
    <row r="3631" ht="14.25" customHeight="1">
      <c r="A3631" s="3" t="s">
        <v>3238</v>
      </c>
      <c r="B3631" s="1">
        <v>7.5</v>
      </c>
      <c r="C3631" s="1" t="s">
        <v>3238</v>
      </c>
      <c r="D3631" s="1"/>
      <c r="E3631" s="1"/>
      <c r="F3631" s="1"/>
      <c r="G3631" s="1"/>
      <c r="H3631" s="1"/>
      <c r="I3631" s="1"/>
      <c r="J3631" s="1"/>
      <c r="K3631" s="1" t="s">
        <v>12825</v>
      </c>
    </row>
    <row r="3632" ht="14.25" customHeight="1">
      <c r="A3632" s="3" t="s">
        <v>3238</v>
      </c>
      <c r="B3632" s="1">
        <v>6.9</v>
      </c>
      <c r="C3632" s="1" t="s">
        <v>3238</v>
      </c>
      <c r="D3632" s="1"/>
      <c r="E3632" s="1"/>
      <c r="F3632" s="1"/>
      <c r="G3632" s="1"/>
      <c r="H3632" s="1"/>
      <c r="I3632" s="1"/>
      <c r="J3632" s="1"/>
      <c r="K3632" s="1" t="s">
        <v>12971</v>
      </c>
    </row>
    <row r="3633" ht="14.25" customHeight="1">
      <c r="A3633" s="3" t="s">
        <v>3238</v>
      </c>
      <c r="B3633" s="1">
        <v>7.0</v>
      </c>
      <c r="C3633" s="1" t="s">
        <v>3238</v>
      </c>
      <c r="D3633" s="1"/>
      <c r="E3633" s="1"/>
      <c r="F3633" s="1"/>
      <c r="G3633" s="1"/>
      <c r="H3633" s="1"/>
      <c r="I3633" s="1"/>
      <c r="J3633" s="1"/>
      <c r="K3633" s="1" t="s">
        <v>13086</v>
      </c>
    </row>
    <row r="3634" ht="14.25" customHeight="1">
      <c r="A3634" s="3" t="s">
        <v>3238</v>
      </c>
      <c r="B3634" s="1">
        <v>6.3</v>
      </c>
      <c r="C3634" s="1" t="s">
        <v>3238</v>
      </c>
      <c r="D3634" s="1"/>
      <c r="E3634" s="1"/>
      <c r="F3634" s="1"/>
      <c r="G3634" s="1"/>
      <c r="H3634" s="1"/>
      <c r="I3634" s="1"/>
      <c r="J3634" s="1"/>
      <c r="K3634" s="1" t="s">
        <v>13129</v>
      </c>
    </row>
    <row r="3635" ht="14.25" customHeight="1">
      <c r="A3635" s="3" t="s">
        <v>3238</v>
      </c>
      <c r="B3635" s="1">
        <v>5.5</v>
      </c>
      <c r="C3635" s="1" t="s">
        <v>3238</v>
      </c>
      <c r="D3635" s="1"/>
      <c r="E3635" s="1"/>
      <c r="F3635" s="1"/>
      <c r="G3635" s="1"/>
      <c r="H3635" s="1"/>
      <c r="I3635" s="1"/>
      <c r="J3635" s="1"/>
      <c r="K3635" s="1" t="s">
        <v>6608</v>
      </c>
    </row>
    <row r="3636" ht="14.25" customHeight="1">
      <c r="A3636" s="3" t="s">
        <v>3238</v>
      </c>
      <c r="B3636" s="1">
        <v>4.8</v>
      </c>
      <c r="C3636" s="1" t="s">
        <v>3238</v>
      </c>
      <c r="D3636" s="1"/>
      <c r="E3636" s="1"/>
      <c r="F3636" s="1"/>
      <c r="G3636" s="1"/>
      <c r="H3636" s="1"/>
      <c r="I3636" s="1"/>
      <c r="J3636" s="1"/>
      <c r="K3636" s="1" t="s">
        <v>13339</v>
      </c>
    </row>
    <row r="3637" ht="14.25" customHeight="1">
      <c r="A3637" s="3" t="s">
        <v>3238</v>
      </c>
      <c r="B3637" s="1">
        <v>6.6</v>
      </c>
      <c r="C3637" s="1" t="s">
        <v>3238</v>
      </c>
      <c r="D3637" s="1"/>
      <c r="E3637" s="1"/>
      <c r="F3637" s="1"/>
      <c r="G3637" s="1"/>
      <c r="H3637" s="1"/>
      <c r="I3637" s="1"/>
      <c r="J3637" s="1"/>
      <c r="K3637" s="1" t="s">
        <v>13456</v>
      </c>
    </row>
    <row r="3638" ht="14.25" customHeight="1">
      <c r="A3638" s="3" t="s">
        <v>3238</v>
      </c>
      <c r="B3638" s="1">
        <v>5.2</v>
      </c>
      <c r="C3638" s="1" t="s">
        <v>3238</v>
      </c>
      <c r="D3638" s="1"/>
      <c r="E3638" s="1"/>
      <c r="F3638" s="1"/>
      <c r="G3638" s="1"/>
      <c r="H3638" s="1"/>
      <c r="I3638" s="1"/>
      <c r="J3638" s="1"/>
      <c r="K3638" s="1" t="s">
        <v>13591</v>
      </c>
    </row>
    <row r="3639" ht="14.25" customHeight="1">
      <c r="A3639" s="3" t="s">
        <v>3238</v>
      </c>
      <c r="B3639" s="1">
        <v>8.3</v>
      </c>
      <c r="C3639" s="1" t="s">
        <v>3238</v>
      </c>
      <c r="D3639" s="1"/>
      <c r="E3639" s="1"/>
      <c r="F3639" s="1"/>
      <c r="G3639" s="1"/>
      <c r="H3639" s="1"/>
      <c r="I3639" s="1"/>
      <c r="J3639" s="1"/>
      <c r="K3639" s="1" t="s">
        <v>13813</v>
      </c>
    </row>
    <row r="3640" ht="14.25" customHeight="1">
      <c r="A3640" s="3" t="s">
        <v>3238</v>
      </c>
      <c r="B3640" s="1">
        <v>7.2</v>
      </c>
      <c r="C3640" s="1" t="s">
        <v>3238</v>
      </c>
      <c r="D3640" s="1"/>
      <c r="E3640" s="1"/>
      <c r="F3640" s="1"/>
      <c r="G3640" s="1"/>
      <c r="H3640" s="1"/>
      <c r="I3640" s="1"/>
      <c r="J3640" s="1"/>
      <c r="K3640" s="1" t="s">
        <v>13818</v>
      </c>
    </row>
    <row r="3641" ht="14.25" customHeight="1">
      <c r="A3641" s="3" t="s">
        <v>3238</v>
      </c>
      <c r="B3641" s="1">
        <v>7.2</v>
      </c>
      <c r="C3641" s="1" t="s">
        <v>3238</v>
      </c>
      <c r="D3641" s="1"/>
      <c r="E3641" s="1"/>
      <c r="F3641" s="1"/>
      <c r="G3641" s="1"/>
      <c r="H3641" s="1"/>
      <c r="I3641" s="1"/>
      <c r="J3641" s="1"/>
      <c r="K3641" s="1" t="s">
        <v>14176</v>
      </c>
    </row>
    <row r="3642" ht="14.25" customHeight="1">
      <c r="A3642" s="3" t="s">
        <v>3238</v>
      </c>
      <c r="B3642" s="1">
        <v>5.3</v>
      </c>
      <c r="C3642" s="1" t="s">
        <v>3238</v>
      </c>
      <c r="D3642" s="1"/>
      <c r="E3642" s="1"/>
      <c r="F3642" s="1"/>
      <c r="G3642" s="1"/>
      <c r="H3642" s="1"/>
      <c r="I3642" s="1"/>
      <c r="J3642" s="1"/>
      <c r="K3642" s="1" t="s">
        <v>14207</v>
      </c>
    </row>
    <row r="3643" ht="14.25" customHeight="1">
      <c r="A3643" s="3" t="s">
        <v>3238</v>
      </c>
      <c r="B3643" s="1">
        <v>7.2</v>
      </c>
      <c r="C3643" s="1" t="s">
        <v>3238</v>
      </c>
      <c r="D3643" s="1"/>
      <c r="E3643" s="1"/>
      <c r="F3643" s="1"/>
      <c r="G3643" s="1"/>
      <c r="H3643" s="1"/>
      <c r="I3643" s="1"/>
      <c r="J3643" s="1"/>
      <c r="K3643" s="1" t="s">
        <v>14349</v>
      </c>
    </row>
    <row r="3644" ht="14.25" customHeight="1">
      <c r="A3644" s="3" t="s">
        <v>3238</v>
      </c>
      <c r="B3644" s="1">
        <v>7.8</v>
      </c>
      <c r="C3644" s="1" t="s">
        <v>3238</v>
      </c>
      <c r="D3644" s="1"/>
      <c r="E3644" s="1"/>
      <c r="F3644" s="1"/>
      <c r="G3644" s="1"/>
      <c r="H3644" s="1"/>
      <c r="I3644" s="1"/>
      <c r="J3644" s="1"/>
      <c r="K3644" s="1" t="s">
        <v>14440</v>
      </c>
    </row>
    <row r="3645" ht="14.25" customHeight="1">
      <c r="A3645" s="3" t="s">
        <v>3238</v>
      </c>
      <c r="B3645" s="1">
        <v>6.4</v>
      </c>
      <c r="C3645" s="1" t="s">
        <v>3238</v>
      </c>
      <c r="D3645" s="1"/>
      <c r="E3645" s="1"/>
      <c r="F3645" s="1"/>
      <c r="G3645" s="1"/>
      <c r="H3645" s="1"/>
      <c r="I3645" s="1"/>
      <c r="J3645" s="1"/>
      <c r="K3645" s="1" t="s">
        <v>14459</v>
      </c>
    </row>
    <row r="3646" ht="14.25" customHeight="1">
      <c r="A3646" s="3" t="s">
        <v>3238</v>
      </c>
      <c r="B3646" s="1">
        <v>8.1</v>
      </c>
      <c r="C3646" s="1" t="s">
        <v>3238</v>
      </c>
      <c r="D3646" s="1"/>
      <c r="E3646" s="1"/>
      <c r="F3646" s="1"/>
      <c r="G3646" s="1"/>
      <c r="H3646" s="1"/>
      <c r="I3646" s="1"/>
      <c r="J3646" s="1"/>
      <c r="K3646" s="1" t="s">
        <v>14559</v>
      </c>
    </row>
    <row r="3647" ht="14.25" customHeight="1">
      <c r="A3647" s="3" t="s">
        <v>3238</v>
      </c>
      <c r="B3647" s="1">
        <v>5.6</v>
      </c>
      <c r="C3647" s="1" t="s">
        <v>3238</v>
      </c>
      <c r="D3647" s="1"/>
      <c r="E3647" s="1"/>
      <c r="F3647" s="1"/>
      <c r="G3647" s="1"/>
      <c r="H3647" s="1"/>
      <c r="I3647" s="1"/>
      <c r="J3647" s="1"/>
      <c r="K3647" s="1" t="s">
        <v>14634</v>
      </c>
    </row>
    <row r="3648" ht="14.25" customHeight="1">
      <c r="A3648" s="3" t="s">
        <v>3238</v>
      </c>
      <c r="B3648" s="1">
        <v>6.6</v>
      </c>
      <c r="C3648" s="1" t="s">
        <v>3238</v>
      </c>
      <c r="D3648" s="1"/>
      <c r="E3648" s="1"/>
      <c r="F3648" s="1"/>
      <c r="G3648" s="1"/>
      <c r="H3648" s="1"/>
      <c r="I3648" s="1"/>
      <c r="J3648" s="1"/>
      <c r="K3648" s="1" t="s">
        <v>14913</v>
      </c>
    </row>
    <row r="3649" ht="14.25" customHeight="1">
      <c r="A3649" s="3" t="s">
        <v>3238</v>
      </c>
      <c r="B3649" s="1">
        <v>7.7</v>
      </c>
      <c r="C3649" s="1" t="s">
        <v>3238</v>
      </c>
      <c r="D3649" s="1"/>
      <c r="E3649" s="1"/>
      <c r="F3649" s="1"/>
      <c r="G3649" s="1"/>
      <c r="H3649" s="1"/>
      <c r="I3649" s="1"/>
      <c r="J3649" s="1"/>
      <c r="K3649" s="1" t="s">
        <v>15068</v>
      </c>
    </row>
    <row r="3650" ht="14.25" customHeight="1">
      <c r="A3650" s="3" t="s">
        <v>3238</v>
      </c>
      <c r="B3650" s="1">
        <v>6.5</v>
      </c>
      <c r="C3650" s="1" t="s">
        <v>3238</v>
      </c>
      <c r="D3650" s="1"/>
      <c r="E3650" s="1"/>
      <c r="F3650" s="1"/>
      <c r="G3650" s="1"/>
      <c r="H3650" s="1"/>
      <c r="I3650" s="1"/>
      <c r="J3650" s="1"/>
      <c r="K3650" s="1" t="s">
        <v>15093</v>
      </c>
    </row>
    <row r="3651" ht="14.25" customHeight="1">
      <c r="A3651" s="3" t="s">
        <v>3238</v>
      </c>
      <c r="B3651" s="1">
        <v>6.1</v>
      </c>
      <c r="C3651" s="1" t="s">
        <v>3238</v>
      </c>
      <c r="D3651" s="1"/>
      <c r="E3651" s="1"/>
      <c r="F3651" s="1"/>
      <c r="G3651" s="1"/>
      <c r="H3651" s="1"/>
      <c r="I3651" s="1"/>
      <c r="J3651" s="1"/>
      <c r="K3651" s="1" t="s">
        <v>15097</v>
      </c>
    </row>
    <row r="3652" ht="14.25" customHeight="1">
      <c r="A3652" s="3" t="s">
        <v>3238</v>
      </c>
      <c r="B3652" s="1">
        <v>5.7</v>
      </c>
      <c r="C3652" s="1" t="s">
        <v>3238</v>
      </c>
      <c r="D3652" s="1"/>
      <c r="E3652" s="1"/>
      <c r="F3652" s="1"/>
      <c r="G3652" s="1"/>
      <c r="H3652" s="1"/>
      <c r="I3652" s="1"/>
      <c r="J3652" s="1"/>
      <c r="K3652" s="1" t="s">
        <v>15217</v>
      </c>
    </row>
    <row r="3653" ht="14.25" customHeight="1">
      <c r="A3653" s="3" t="s">
        <v>3238</v>
      </c>
      <c r="B3653" s="1">
        <v>5.9</v>
      </c>
      <c r="C3653" s="1" t="s">
        <v>3238</v>
      </c>
      <c r="D3653" s="1"/>
      <c r="E3653" s="1"/>
      <c r="F3653" s="1"/>
      <c r="G3653" s="1"/>
      <c r="H3653" s="1"/>
      <c r="I3653" s="1"/>
      <c r="J3653" s="1"/>
      <c r="K3653" s="1" t="s">
        <v>15222</v>
      </c>
    </row>
    <row r="3654" ht="14.25" customHeight="1">
      <c r="A3654" s="3" t="s">
        <v>3238</v>
      </c>
      <c r="B3654" s="1">
        <v>7.7</v>
      </c>
      <c r="C3654" s="1" t="s">
        <v>3238</v>
      </c>
      <c r="D3654" s="1"/>
      <c r="E3654" s="1"/>
      <c r="F3654" s="1"/>
      <c r="G3654" s="1"/>
      <c r="H3654" s="1"/>
      <c r="I3654" s="1"/>
      <c r="J3654" s="1"/>
      <c r="K3654" s="1" t="s">
        <v>15235</v>
      </c>
    </row>
    <row r="3655" ht="14.25" customHeight="1">
      <c r="A3655" s="3" t="s">
        <v>3238</v>
      </c>
      <c r="B3655" s="1">
        <v>7.1</v>
      </c>
      <c r="C3655" s="1" t="s">
        <v>3238</v>
      </c>
      <c r="D3655" s="1"/>
      <c r="E3655" s="1"/>
      <c r="F3655" s="1"/>
      <c r="G3655" s="1"/>
      <c r="H3655" s="1"/>
      <c r="I3655" s="1"/>
      <c r="J3655" s="1"/>
      <c r="K3655" s="1" t="s">
        <v>15260</v>
      </c>
    </row>
    <row r="3656" ht="14.25" customHeight="1">
      <c r="A3656" s="3" t="s">
        <v>3238</v>
      </c>
      <c r="B3656" s="1">
        <v>7.6</v>
      </c>
      <c r="C3656" s="1" t="s">
        <v>3238</v>
      </c>
      <c r="D3656" s="1"/>
      <c r="E3656" s="1"/>
      <c r="F3656" s="1"/>
      <c r="G3656" s="1"/>
      <c r="H3656" s="1"/>
      <c r="I3656" s="1"/>
      <c r="J3656" s="1"/>
      <c r="K3656" s="1" t="s">
        <v>15287</v>
      </c>
    </row>
    <row r="3657" ht="14.25" customHeight="1">
      <c r="A3657" s="3" t="s">
        <v>3238</v>
      </c>
      <c r="B3657" s="1">
        <v>7.4</v>
      </c>
      <c r="C3657" s="1" t="s">
        <v>3238</v>
      </c>
      <c r="D3657" s="1"/>
      <c r="E3657" s="1"/>
      <c r="F3657" s="1"/>
      <c r="G3657" s="1"/>
      <c r="H3657" s="1"/>
      <c r="I3657" s="1"/>
      <c r="J3657" s="1"/>
      <c r="K3657" s="1" t="s">
        <v>15313</v>
      </c>
    </row>
    <row r="3658" ht="14.25" customHeight="1">
      <c r="A3658" s="3" t="s">
        <v>3238</v>
      </c>
      <c r="B3658" s="1">
        <v>6.8</v>
      </c>
      <c r="C3658" s="1" t="s">
        <v>3238</v>
      </c>
      <c r="D3658" s="1"/>
      <c r="E3658" s="1"/>
      <c r="F3658" s="1"/>
      <c r="G3658" s="1"/>
      <c r="H3658" s="1"/>
      <c r="I3658" s="1"/>
      <c r="J3658" s="1"/>
      <c r="K3658" s="1" t="s">
        <v>15350</v>
      </c>
    </row>
    <row r="3659" ht="14.25" customHeight="1">
      <c r="A3659" s="3" t="s">
        <v>3238</v>
      </c>
      <c r="B3659" s="1">
        <v>6.5</v>
      </c>
      <c r="C3659" s="1" t="s">
        <v>3238</v>
      </c>
      <c r="D3659" s="1"/>
      <c r="E3659" s="1"/>
      <c r="F3659" s="1"/>
      <c r="G3659" s="1"/>
      <c r="H3659" s="1"/>
      <c r="I3659" s="1"/>
      <c r="J3659" s="1"/>
      <c r="K3659" s="1" t="s">
        <v>15361</v>
      </c>
    </row>
    <row r="3660" ht="14.25" customHeight="1">
      <c r="A3660" s="3" t="s">
        <v>3238</v>
      </c>
      <c r="B3660" s="1">
        <v>7.3</v>
      </c>
      <c r="C3660" s="1" t="s">
        <v>3238</v>
      </c>
      <c r="D3660" s="1"/>
      <c r="E3660" s="1"/>
      <c r="F3660" s="1"/>
      <c r="G3660" s="1"/>
      <c r="H3660" s="1"/>
      <c r="I3660" s="1"/>
      <c r="J3660" s="1"/>
      <c r="K3660" s="1" t="s">
        <v>15369</v>
      </c>
    </row>
    <row r="3661" ht="14.25" customHeight="1">
      <c r="A3661" s="3" t="s">
        <v>3238</v>
      </c>
      <c r="B3661" s="1">
        <v>7.3</v>
      </c>
      <c r="C3661" s="1" t="s">
        <v>3238</v>
      </c>
      <c r="D3661" s="1"/>
      <c r="E3661" s="1"/>
      <c r="F3661" s="1"/>
      <c r="G3661" s="1"/>
      <c r="H3661" s="1"/>
      <c r="I3661" s="1"/>
      <c r="J3661" s="1"/>
      <c r="K3661" s="1" t="s">
        <v>15415</v>
      </c>
    </row>
    <row r="3662" ht="14.25" customHeight="1">
      <c r="A3662" s="3" t="s">
        <v>3238</v>
      </c>
      <c r="B3662" s="1">
        <v>6.5</v>
      </c>
      <c r="C3662" s="1" t="s">
        <v>3238</v>
      </c>
      <c r="D3662" s="1"/>
      <c r="E3662" s="1"/>
      <c r="F3662" s="1"/>
      <c r="G3662" s="1"/>
      <c r="H3662" s="1"/>
      <c r="I3662" s="1"/>
      <c r="J3662" s="1"/>
      <c r="K3662" s="1" t="s">
        <v>15449</v>
      </c>
    </row>
    <row r="3663" ht="14.25" customHeight="1">
      <c r="A3663" s="3" t="s">
        <v>3238</v>
      </c>
      <c r="B3663" s="1">
        <v>6.0</v>
      </c>
      <c r="C3663" s="1" t="s">
        <v>3238</v>
      </c>
      <c r="D3663" s="1"/>
      <c r="E3663" s="1"/>
      <c r="F3663" s="1"/>
      <c r="G3663" s="1"/>
      <c r="H3663" s="1"/>
      <c r="I3663" s="1"/>
      <c r="J3663" s="1"/>
      <c r="K3663" s="1" t="s">
        <v>15494</v>
      </c>
    </row>
    <row r="3664" ht="14.25" customHeight="1">
      <c r="A3664" s="3" t="s">
        <v>3238</v>
      </c>
      <c r="B3664" s="1">
        <v>5.3</v>
      </c>
      <c r="C3664" s="1" t="s">
        <v>3238</v>
      </c>
      <c r="D3664" s="1"/>
      <c r="E3664" s="1"/>
      <c r="F3664" s="1"/>
      <c r="G3664" s="1"/>
      <c r="H3664" s="1"/>
      <c r="I3664" s="1"/>
      <c r="J3664" s="1"/>
      <c r="K3664" s="1" t="s">
        <v>15546</v>
      </c>
    </row>
    <row r="3665" ht="14.25" customHeight="1">
      <c r="A3665" s="3" t="s">
        <v>3238</v>
      </c>
      <c r="B3665" s="1">
        <v>6.6</v>
      </c>
      <c r="C3665" s="1" t="s">
        <v>3238</v>
      </c>
      <c r="D3665" s="1"/>
      <c r="E3665" s="1"/>
      <c r="F3665" s="1"/>
      <c r="G3665" s="1"/>
      <c r="H3665" s="1"/>
      <c r="I3665" s="1"/>
      <c r="J3665" s="1"/>
      <c r="K3665" s="1" t="s">
        <v>15588</v>
      </c>
    </row>
    <row r="3666" ht="14.25" customHeight="1">
      <c r="A3666" s="3" t="s">
        <v>3238</v>
      </c>
      <c r="B3666" s="1">
        <v>8.7</v>
      </c>
      <c r="C3666" s="1" t="s">
        <v>3238</v>
      </c>
      <c r="D3666" s="1"/>
      <c r="E3666" s="1"/>
      <c r="F3666" s="1"/>
      <c r="G3666" s="1"/>
      <c r="H3666" s="1"/>
      <c r="I3666" s="1"/>
      <c r="J3666" s="1"/>
      <c r="K3666" s="1" t="s">
        <v>15591</v>
      </c>
    </row>
    <row r="3667" ht="14.25" customHeight="1">
      <c r="A3667" s="3" t="s">
        <v>3238</v>
      </c>
      <c r="B3667" s="1">
        <v>6.2</v>
      </c>
      <c r="C3667" s="1" t="s">
        <v>3238</v>
      </c>
      <c r="D3667" s="1"/>
      <c r="E3667" s="1"/>
      <c r="F3667" s="1"/>
      <c r="G3667" s="1"/>
      <c r="H3667" s="1"/>
      <c r="I3667" s="1"/>
      <c r="J3667" s="1"/>
      <c r="K3667" s="1" t="s">
        <v>15643</v>
      </c>
    </row>
    <row r="3668" ht="14.25" customHeight="1">
      <c r="A3668" s="3" t="s">
        <v>3238</v>
      </c>
      <c r="B3668" s="1">
        <v>5.8</v>
      </c>
      <c r="C3668" s="1" t="s">
        <v>3238</v>
      </c>
      <c r="D3668" s="1"/>
      <c r="E3668" s="1"/>
      <c r="F3668" s="1"/>
      <c r="G3668" s="1"/>
      <c r="H3668" s="1"/>
      <c r="I3668" s="1"/>
      <c r="J3668" s="1"/>
      <c r="K3668" s="1" t="s">
        <v>15688</v>
      </c>
    </row>
    <row r="3669" ht="14.25" customHeight="1">
      <c r="A3669" s="3" t="s">
        <v>3238</v>
      </c>
      <c r="B3669" s="1">
        <v>6.7</v>
      </c>
      <c r="C3669" s="1" t="s">
        <v>3238</v>
      </c>
      <c r="D3669" s="1"/>
      <c r="E3669" s="1"/>
      <c r="F3669" s="1"/>
      <c r="G3669" s="1"/>
      <c r="H3669" s="1"/>
      <c r="I3669" s="1"/>
      <c r="J3669" s="1"/>
      <c r="K3669" s="1" t="s">
        <v>15808</v>
      </c>
    </row>
    <row r="3670" ht="14.25" customHeight="1">
      <c r="A3670" s="3" t="s">
        <v>3238</v>
      </c>
      <c r="B3670" s="1">
        <v>5.7</v>
      </c>
      <c r="C3670" s="1" t="s">
        <v>3238</v>
      </c>
      <c r="D3670" s="1"/>
      <c r="E3670" s="1"/>
      <c r="F3670" s="1"/>
      <c r="G3670" s="1"/>
      <c r="H3670" s="1"/>
      <c r="I3670" s="1"/>
      <c r="J3670" s="1"/>
      <c r="K3670" s="1" t="s">
        <v>15837</v>
      </c>
    </row>
    <row r="3671" ht="14.25" customHeight="1">
      <c r="A3671" s="3" t="s">
        <v>3238</v>
      </c>
      <c r="B3671" s="1">
        <v>6.1</v>
      </c>
      <c r="C3671" s="1" t="s">
        <v>3238</v>
      </c>
      <c r="D3671" s="1"/>
      <c r="E3671" s="1"/>
      <c r="F3671" s="1"/>
      <c r="G3671" s="1"/>
      <c r="H3671" s="1"/>
      <c r="I3671" s="1"/>
      <c r="J3671" s="1"/>
      <c r="K3671" s="1" t="s">
        <v>15969</v>
      </c>
    </row>
    <row r="3672" ht="14.25" customHeight="1">
      <c r="A3672" s="3" t="s">
        <v>3238</v>
      </c>
      <c r="B3672" s="1">
        <v>6.4</v>
      </c>
      <c r="C3672" s="1" t="s">
        <v>3238</v>
      </c>
      <c r="D3672" s="1"/>
      <c r="E3672" s="1"/>
      <c r="F3672" s="1"/>
      <c r="G3672" s="1"/>
      <c r="H3672" s="1"/>
      <c r="I3672" s="1"/>
      <c r="J3672" s="1"/>
      <c r="K3672" s="1" t="s">
        <v>16042</v>
      </c>
    </row>
    <row r="3673" ht="14.25" customHeight="1">
      <c r="A3673" s="3" t="s">
        <v>3238</v>
      </c>
      <c r="B3673" s="1">
        <v>4.6</v>
      </c>
      <c r="C3673" s="1" t="s">
        <v>3238</v>
      </c>
      <c r="D3673" s="1"/>
      <c r="E3673" s="1"/>
      <c r="F3673" s="1"/>
      <c r="G3673" s="1"/>
      <c r="H3673" s="1"/>
      <c r="I3673" s="1"/>
      <c r="J3673" s="1"/>
      <c r="K3673" s="1" t="s">
        <v>16091</v>
      </c>
    </row>
    <row r="3674" ht="14.25" customHeight="1">
      <c r="A3674" s="3" t="s">
        <v>3238</v>
      </c>
      <c r="B3674" s="1">
        <v>3.3</v>
      </c>
      <c r="C3674" s="1" t="s">
        <v>3238</v>
      </c>
      <c r="D3674" s="1"/>
      <c r="E3674" s="1"/>
      <c r="F3674" s="1"/>
      <c r="G3674" s="1"/>
      <c r="H3674" s="1"/>
      <c r="I3674" s="1"/>
      <c r="J3674" s="1"/>
      <c r="K3674" s="1" t="s">
        <v>16141</v>
      </c>
    </row>
    <row r="3675" ht="14.25" customHeight="1">
      <c r="A3675" s="3" t="s">
        <v>3238</v>
      </c>
      <c r="B3675" s="1">
        <v>6.4</v>
      </c>
      <c r="C3675" s="1" t="s">
        <v>3238</v>
      </c>
      <c r="D3675" s="1"/>
      <c r="E3675" s="1"/>
      <c r="F3675" s="1"/>
      <c r="G3675" s="1"/>
      <c r="H3675" s="1"/>
      <c r="I3675" s="1"/>
      <c r="J3675" s="1"/>
      <c r="K3675" s="1" t="s">
        <v>16155</v>
      </c>
    </row>
    <row r="3676" ht="14.25" customHeight="1">
      <c r="A3676" s="3" t="s">
        <v>3238</v>
      </c>
      <c r="B3676" s="1">
        <v>5.9</v>
      </c>
      <c r="C3676" s="1" t="s">
        <v>3238</v>
      </c>
      <c r="D3676" s="1"/>
      <c r="E3676" s="1"/>
      <c r="F3676" s="1"/>
      <c r="G3676" s="1"/>
      <c r="H3676" s="1"/>
      <c r="I3676" s="1"/>
      <c r="J3676" s="1"/>
      <c r="K3676" s="1" t="s">
        <v>16250</v>
      </c>
    </row>
    <row r="3677" ht="14.25" customHeight="1">
      <c r="A3677" s="3" t="s">
        <v>3238</v>
      </c>
      <c r="B3677" s="1">
        <v>7.7</v>
      </c>
      <c r="C3677" s="1" t="s">
        <v>3238</v>
      </c>
      <c r="D3677" s="1"/>
      <c r="E3677" s="1"/>
      <c r="F3677" s="1"/>
      <c r="G3677" s="1"/>
      <c r="H3677" s="1"/>
      <c r="I3677" s="1"/>
      <c r="J3677" s="1"/>
      <c r="K3677" s="1" t="s">
        <v>16312</v>
      </c>
    </row>
    <row r="3678" ht="14.25" customHeight="1">
      <c r="A3678" s="3" t="s">
        <v>3238</v>
      </c>
      <c r="B3678" s="1">
        <v>7.1</v>
      </c>
      <c r="C3678" s="1" t="s">
        <v>3238</v>
      </c>
      <c r="D3678" s="1"/>
      <c r="E3678" s="1"/>
      <c r="F3678" s="1"/>
      <c r="G3678" s="1"/>
      <c r="H3678" s="1"/>
      <c r="I3678" s="1"/>
      <c r="J3678" s="1"/>
      <c r="K3678" s="1" t="s">
        <v>16340</v>
      </c>
    </row>
    <row r="3679" ht="14.25" customHeight="1">
      <c r="A3679" s="3" t="s">
        <v>3238</v>
      </c>
      <c r="B3679" s="1">
        <v>6.2</v>
      </c>
      <c r="C3679" s="1" t="s">
        <v>3238</v>
      </c>
      <c r="D3679" s="1"/>
      <c r="E3679" s="1"/>
      <c r="F3679" s="1"/>
      <c r="G3679" s="1"/>
      <c r="H3679" s="1"/>
      <c r="I3679" s="1"/>
      <c r="J3679" s="1"/>
      <c r="K3679" s="1" t="s">
        <v>16345</v>
      </c>
    </row>
    <row r="3680" ht="14.25" customHeight="1">
      <c r="A3680" s="3" t="s">
        <v>3238</v>
      </c>
      <c r="B3680" s="1">
        <v>7.7</v>
      </c>
      <c r="C3680" s="1" t="s">
        <v>3238</v>
      </c>
      <c r="D3680" s="1"/>
      <c r="E3680" s="1"/>
      <c r="F3680" s="1"/>
      <c r="G3680" s="1"/>
      <c r="H3680" s="1"/>
      <c r="I3680" s="1"/>
      <c r="J3680" s="1"/>
      <c r="K3680" s="1" t="s">
        <v>10909</v>
      </c>
    </row>
    <row r="3681" ht="14.25" customHeight="1">
      <c r="A3681" s="3" t="s">
        <v>3238</v>
      </c>
      <c r="B3681" s="1">
        <v>7.5</v>
      </c>
      <c r="C3681" s="1" t="s">
        <v>3238</v>
      </c>
      <c r="D3681" s="1"/>
      <c r="E3681" s="1"/>
      <c r="F3681" s="1"/>
      <c r="G3681" s="1"/>
      <c r="H3681" s="1"/>
      <c r="I3681" s="1"/>
      <c r="J3681" s="1"/>
      <c r="K3681" s="1" t="s">
        <v>16438</v>
      </c>
    </row>
    <row r="3682" ht="14.25" customHeight="1">
      <c r="A3682" s="3" t="s">
        <v>3238</v>
      </c>
      <c r="B3682" s="1">
        <v>6.9</v>
      </c>
      <c r="C3682" s="1" t="s">
        <v>3238</v>
      </c>
      <c r="D3682" s="1"/>
      <c r="E3682" s="1"/>
      <c r="F3682" s="1"/>
      <c r="G3682" s="1"/>
      <c r="H3682" s="1"/>
      <c r="I3682" s="1"/>
      <c r="J3682" s="1"/>
      <c r="K3682" s="1" t="s">
        <v>16447</v>
      </c>
    </row>
    <row r="3683" ht="14.25" customHeight="1">
      <c r="A3683" s="3" t="s">
        <v>3238</v>
      </c>
      <c r="B3683" s="1">
        <v>7.1</v>
      </c>
      <c r="C3683" s="1" t="s">
        <v>3238</v>
      </c>
      <c r="D3683" s="1"/>
      <c r="E3683" s="1"/>
      <c r="F3683" s="1"/>
      <c r="G3683" s="1"/>
      <c r="H3683" s="1"/>
      <c r="I3683" s="1"/>
      <c r="J3683" s="1"/>
      <c r="K3683" s="1" t="s">
        <v>16486</v>
      </c>
    </row>
    <row r="3684" ht="14.25" customHeight="1">
      <c r="A3684" s="3" t="s">
        <v>3238</v>
      </c>
      <c r="B3684" s="1">
        <v>6.3</v>
      </c>
      <c r="C3684" s="1" t="s">
        <v>3238</v>
      </c>
      <c r="D3684" s="1"/>
      <c r="E3684" s="1"/>
      <c r="F3684" s="1"/>
      <c r="G3684" s="1"/>
      <c r="H3684" s="1"/>
      <c r="I3684" s="1"/>
      <c r="J3684" s="1"/>
      <c r="K3684" s="1" t="s">
        <v>16500</v>
      </c>
    </row>
    <row r="3685" ht="14.25" customHeight="1">
      <c r="A3685" s="3" t="s">
        <v>3238</v>
      </c>
      <c r="B3685" s="1">
        <v>8.3</v>
      </c>
      <c r="C3685" s="1" t="s">
        <v>3238</v>
      </c>
      <c r="D3685" s="1"/>
      <c r="E3685" s="1"/>
      <c r="F3685" s="1"/>
      <c r="G3685" s="1"/>
      <c r="H3685" s="1"/>
      <c r="I3685" s="1"/>
      <c r="J3685" s="1"/>
      <c r="K3685" s="1" t="s">
        <v>16621</v>
      </c>
    </row>
    <row r="3686" ht="14.25" customHeight="1">
      <c r="A3686" s="3" t="s">
        <v>3238</v>
      </c>
      <c r="B3686" s="1">
        <v>7.1</v>
      </c>
      <c r="C3686" s="1" t="s">
        <v>3238</v>
      </c>
      <c r="D3686" s="1"/>
      <c r="E3686" s="1"/>
      <c r="F3686" s="1"/>
      <c r="G3686" s="1"/>
      <c r="H3686" s="1"/>
      <c r="I3686" s="1"/>
      <c r="J3686" s="1"/>
      <c r="K3686" s="1" t="s">
        <v>16635</v>
      </c>
    </row>
    <row r="3687" ht="14.25" customHeight="1">
      <c r="A3687" s="3" t="s">
        <v>3238</v>
      </c>
      <c r="B3687" s="1">
        <v>7.2</v>
      </c>
      <c r="C3687" s="1" t="s">
        <v>3238</v>
      </c>
      <c r="D3687" s="1"/>
      <c r="E3687" s="1"/>
      <c r="F3687" s="1"/>
      <c r="G3687" s="1"/>
      <c r="H3687" s="1"/>
      <c r="I3687" s="1"/>
      <c r="J3687" s="1"/>
      <c r="K3687" s="1" t="s">
        <v>16655</v>
      </c>
    </row>
    <row r="3688" ht="14.25" customHeight="1">
      <c r="A3688" s="3" t="s">
        <v>3238</v>
      </c>
      <c r="B3688" s="1">
        <v>6.9</v>
      </c>
      <c r="C3688" s="1" t="s">
        <v>3238</v>
      </c>
      <c r="D3688" s="1"/>
      <c r="E3688" s="1"/>
      <c r="F3688" s="1"/>
      <c r="G3688" s="1"/>
      <c r="H3688" s="1"/>
      <c r="I3688" s="1"/>
      <c r="J3688" s="1"/>
      <c r="K3688" s="1" t="s">
        <v>16669</v>
      </c>
    </row>
    <row r="3689" ht="14.25" customHeight="1">
      <c r="A3689" s="3" t="s">
        <v>3238</v>
      </c>
      <c r="B3689" s="1">
        <v>6.1</v>
      </c>
      <c r="C3689" s="1" t="s">
        <v>3238</v>
      </c>
      <c r="D3689" s="1"/>
      <c r="E3689" s="1"/>
      <c r="F3689" s="1"/>
      <c r="G3689" s="1"/>
      <c r="H3689" s="1"/>
      <c r="I3689" s="1"/>
      <c r="J3689" s="1"/>
      <c r="K3689" s="1" t="s">
        <v>16683</v>
      </c>
    </row>
    <row r="3690" ht="14.25" customHeight="1">
      <c r="A3690" s="3" t="s">
        <v>3238</v>
      </c>
      <c r="B3690" s="1">
        <v>6.3</v>
      </c>
      <c r="C3690" s="1" t="s">
        <v>3238</v>
      </c>
      <c r="D3690" s="1"/>
      <c r="E3690" s="1"/>
      <c r="F3690" s="1"/>
      <c r="G3690" s="1"/>
      <c r="H3690" s="1"/>
      <c r="I3690" s="1"/>
      <c r="J3690" s="1"/>
      <c r="K3690" s="1" t="s">
        <v>16698</v>
      </c>
    </row>
    <row r="3691" ht="14.25" customHeight="1">
      <c r="A3691" s="3" t="s">
        <v>3238</v>
      </c>
      <c r="B3691" s="1">
        <v>6.1</v>
      </c>
      <c r="C3691" s="1" t="s">
        <v>3238</v>
      </c>
      <c r="D3691" s="1"/>
      <c r="E3691" s="1"/>
      <c r="F3691" s="1"/>
      <c r="G3691" s="1"/>
      <c r="H3691" s="1"/>
      <c r="I3691" s="1"/>
      <c r="J3691" s="1"/>
      <c r="K3691" s="1" t="s">
        <v>16707</v>
      </c>
    </row>
    <row r="3692" ht="14.25" customHeight="1">
      <c r="A3692" s="3" t="s">
        <v>3238</v>
      </c>
      <c r="B3692" s="1">
        <v>7.8</v>
      </c>
      <c r="C3692" s="1" t="s">
        <v>3238</v>
      </c>
      <c r="D3692" s="1"/>
      <c r="E3692" s="1"/>
      <c r="F3692" s="1"/>
      <c r="G3692" s="1"/>
      <c r="H3692" s="1"/>
      <c r="I3692" s="1"/>
      <c r="J3692" s="1"/>
      <c r="K3692" s="1" t="s">
        <v>16715</v>
      </c>
    </row>
    <row r="3693" ht="14.25" customHeight="1">
      <c r="A3693" s="3" t="s">
        <v>3238</v>
      </c>
      <c r="B3693" s="1">
        <v>4.7</v>
      </c>
      <c r="C3693" s="1" t="s">
        <v>3238</v>
      </c>
      <c r="D3693" s="1"/>
      <c r="E3693" s="1"/>
      <c r="F3693" s="1"/>
      <c r="G3693" s="1"/>
      <c r="H3693" s="1"/>
      <c r="I3693" s="1"/>
      <c r="J3693" s="1"/>
      <c r="K3693" s="1" t="s">
        <v>16728</v>
      </c>
    </row>
    <row r="3694" ht="14.25" customHeight="1">
      <c r="A3694" s="3" t="s">
        <v>3238</v>
      </c>
      <c r="B3694" s="1">
        <v>7.9</v>
      </c>
      <c r="C3694" s="1" t="s">
        <v>3238</v>
      </c>
      <c r="D3694" s="1"/>
      <c r="E3694" s="1"/>
      <c r="F3694" s="1"/>
      <c r="G3694" s="1"/>
      <c r="H3694" s="1"/>
      <c r="I3694" s="1"/>
      <c r="J3694" s="1"/>
      <c r="K3694" s="1" t="s">
        <v>16743</v>
      </c>
    </row>
    <row r="3695" ht="14.25" customHeight="1">
      <c r="A3695" s="3" t="s">
        <v>3238</v>
      </c>
      <c r="B3695" s="1">
        <v>6.7</v>
      </c>
      <c r="C3695" s="1" t="s">
        <v>3238</v>
      </c>
      <c r="D3695" s="1"/>
      <c r="E3695" s="1"/>
      <c r="F3695" s="1"/>
      <c r="G3695" s="1"/>
      <c r="H3695" s="1"/>
      <c r="I3695" s="1"/>
      <c r="J3695" s="1"/>
      <c r="K3695" s="1" t="s">
        <v>16842</v>
      </c>
    </row>
    <row r="3696" ht="14.25" customHeight="1">
      <c r="A3696" s="3" t="s">
        <v>3238</v>
      </c>
      <c r="B3696" s="1">
        <v>6.6</v>
      </c>
      <c r="C3696" s="1" t="s">
        <v>3238</v>
      </c>
      <c r="D3696" s="1"/>
      <c r="E3696" s="1"/>
      <c r="F3696" s="1"/>
      <c r="G3696" s="1"/>
      <c r="H3696" s="1"/>
      <c r="I3696" s="1"/>
      <c r="J3696" s="1"/>
      <c r="K3696" s="1" t="s">
        <v>16920</v>
      </c>
    </row>
    <row r="3697" ht="14.25" customHeight="1">
      <c r="A3697" s="3" t="s">
        <v>3238</v>
      </c>
      <c r="B3697" s="1">
        <v>6.9</v>
      </c>
      <c r="C3697" s="1" t="s">
        <v>3238</v>
      </c>
      <c r="D3697" s="1"/>
      <c r="E3697" s="1"/>
      <c r="F3697" s="1"/>
      <c r="G3697" s="1"/>
      <c r="H3697" s="1"/>
      <c r="I3697" s="1"/>
      <c r="J3697" s="1"/>
      <c r="K3697" s="1" t="s">
        <v>16944</v>
      </c>
    </row>
    <row r="3698" ht="14.25" customHeight="1">
      <c r="A3698" s="3" t="s">
        <v>3238</v>
      </c>
      <c r="B3698" s="1">
        <v>7.1</v>
      </c>
      <c r="C3698" s="1" t="s">
        <v>3238</v>
      </c>
      <c r="D3698" s="1"/>
      <c r="E3698" s="1"/>
      <c r="F3698" s="1"/>
      <c r="G3698" s="1"/>
      <c r="H3698" s="1"/>
      <c r="I3698" s="1"/>
      <c r="J3698" s="1"/>
      <c r="K3698" s="1" t="s">
        <v>17043</v>
      </c>
    </row>
    <row r="3699" ht="14.25" customHeight="1">
      <c r="A3699" s="3" t="s">
        <v>3238</v>
      </c>
      <c r="B3699" s="1">
        <v>6.7</v>
      </c>
      <c r="C3699" s="1" t="s">
        <v>3238</v>
      </c>
      <c r="D3699" s="1"/>
      <c r="E3699" s="1"/>
      <c r="F3699" s="1"/>
      <c r="G3699" s="1"/>
      <c r="H3699" s="1"/>
      <c r="I3699" s="1"/>
      <c r="J3699" s="1"/>
      <c r="K3699" s="1" t="s">
        <v>17139</v>
      </c>
    </row>
    <row r="3700" ht="14.25" customHeight="1">
      <c r="A3700" s="3" t="s">
        <v>3238</v>
      </c>
      <c r="B3700" s="1">
        <v>7.1</v>
      </c>
      <c r="C3700" s="1" t="s">
        <v>3238</v>
      </c>
      <c r="D3700" s="1"/>
      <c r="E3700" s="1"/>
      <c r="F3700" s="1"/>
      <c r="G3700" s="1"/>
      <c r="H3700" s="1"/>
      <c r="I3700" s="1"/>
      <c r="J3700" s="1"/>
      <c r="K3700" s="1" t="s">
        <v>17162</v>
      </c>
    </row>
    <row r="3701" ht="14.25" customHeight="1">
      <c r="A3701" s="3" t="s">
        <v>3238</v>
      </c>
      <c r="B3701" s="1">
        <v>6.6</v>
      </c>
      <c r="C3701" s="1" t="s">
        <v>3238</v>
      </c>
      <c r="D3701" s="1"/>
      <c r="E3701" s="1"/>
      <c r="F3701" s="1"/>
      <c r="G3701" s="1"/>
      <c r="H3701" s="1"/>
      <c r="I3701" s="1"/>
      <c r="J3701" s="1"/>
      <c r="K3701" s="1" t="s">
        <v>17195</v>
      </c>
    </row>
    <row r="3702" ht="14.25" customHeight="1">
      <c r="A3702" s="3" t="s">
        <v>3238</v>
      </c>
      <c r="B3702" s="1">
        <v>7.4</v>
      </c>
      <c r="C3702" s="1" t="s">
        <v>3238</v>
      </c>
      <c r="D3702" s="1"/>
      <c r="E3702" s="1"/>
      <c r="F3702" s="1"/>
      <c r="G3702" s="1"/>
      <c r="H3702" s="1"/>
      <c r="I3702" s="1"/>
      <c r="J3702" s="1"/>
      <c r="K3702" s="1" t="s">
        <v>17237</v>
      </c>
    </row>
    <row r="3703" ht="14.25" customHeight="1">
      <c r="A3703" s="3" t="s">
        <v>3238</v>
      </c>
      <c r="B3703" s="1">
        <v>4.8</v>
      </c>
      <c r="C3703" s="1" t="s">
        <v>3238</v>
      </c>
      <c r="D3703" s="1"/>
      <c r="E3703" s="1"/>
      <c r="F3703" s="1"/>
      <c r="G3703" s="1"/>
      <c r="H3703" s="1"/>
      <c r="I3703" s="1"/>
      <c r="J3703" s="1"/>
      <c r="K3703" s="1" t="s">
        <v>17250</v>
      </c>
    </row>
    <row r="3704" ht="14.25" customHeight="1">
      <c r="A3704" s="3" t="s">
        <v>3238</v>
      </c>
      <c r="B3704" s="1">
        <v>6.4</v>
      </c>
      <c r="C3704" s="1" t="s">
        <v>3238</v>
      </c>
      <c r="D3704" s="1"/>
      <c r="E3704" s="1"/>
      <c r="F3704" s="1"/>
      <c r="G3704" s="1"/>
      <c r="H3704" s="1"/>
      <c r="I3704" s="1"/>
      <c r="J3704" s="1"/>
      <c r="K3704" s="1" t="s">
        <v>17269</v>
      </c>
    </row>
    <row r="3705" ht="14.25" customHeight="1">
      <c r="A3705" s="3" t="s">
        <v>3238</v>
      </c>
      <c r="B3705" s="1">
        <v>7.3</v>
      </c>
      <c r="C3705" s="1" t="s">
        <v>3238</v>
      </c>
      <c r="D3705" s="1"/>
      <c r="E3705" s="1"/>
      <c r="F3705" s="1"/>
      <c r="G3705" s="1"/>
      <c r="H3705" s="1"/>
      <c r="I3705" s="1"/>
      <c r="J3705" s="1"/>
      <c r="K3705" s="1" t="s">
        <v>17384</v>
      </c>
    </row>
    <row r="3706" ht="14.25" customHeight="1">
      <c r="A3706" s="3" t="s">
        <v>3238</v>
      </c>
      <c r="B3706" s="1">
        <v>6.9</v>
      </c>
      <c r="C3706" s="1" t="s">
        <v>3238</v>
      </c>
      <c r="D3706" s="1"/>
      <c r="E3706" s="1"/>
      <c r="F3706" s="1"/>
      <c r="G3706" s="1"/>
      <c r="H3706" s="1"/>
      <c r="I3706" s="1"/>
      <c r="J3706" s="1"/>
      <c r="K3706" s="1" t="s">
        <v>17453</v>
      </c>
    </row>
    <row r="3707" ht="14.25" customHeight="1">
      <c r="A3707" s="3" t="s">
        <v>3238</v>
      </c>
      <c r="B3707" s="1">
        <v>7.2</v>
      </c>
      <c r="C3707" s="1" t="s">
        <v>3238</v>
      </c>
      <c r="D3707" s="1"/>
      <c r="E3707" s="1"/>
      <c r="F3707" s="1"/>
      <c r="G3707" s="1"/>
      <c r="H3707" s="1"/>
      <c r="I3707" s="1"/>
      <c r="J3707" s="1"/>
      <c r="K3707" s="1" t="s">
        <v>17458</v>
      </c>
    </row>
    <row r="3708" ht="14.25" customHeight="1">
      <c r="A3708" s="3" t="s">
        <v>3238</v>
      </c>
      <c r="B3708" s="1">
        <v>6.5</v>
      </c>
      <c r="C3708" s="1" t="s">
        <v>3238</v>
      </c>
      <c r="D3708" s="1"/>
      <c r="E3708" s="1"/>
      <c r="F3708" s="1"/>
      <c r="G3708" s="1"/>
      <c r="H3708" s="1"/>
      <c r="I3708" s="1"/>
      <c r="J3708" s="1"/>
      <c r="K3708" s="1" t="s">
        <v>17541</v>
      </c>
    </row>
    <row r="3709" ht="14.25" customHeight="1">
      <c r="A3709" s="3" t="s">
        <v>3238</v>
      </c>
      <c r="B3709" s="1">
        <v>6.6</v>
      </c>
      <c r="C3709" s="1" t="s">
        <v>3238</v>
      </c>
      <c r="D3709" s="1"/>
      <c r="E3709" s="1"/>
      <c r="F3709" s="1"/>
      <c r="G3709" s="1"/>
      <c r="H3709" s="1"/>
      <c r="I3709" s="1"/>
      <c r="J3709" s="1"/>
      <c r="K3709" s="1" t="s">
        <v>17684</v>
      </c>
    </row>
    <row r="3710" ht="14.25" customHeight="1">
      <c r="A3710" s="3" t="s">
        <v>3238</v>
      </c>
      <c r="B3710" s="1">
        <v>6.7</v>
      </c>
      <c r="C3710" s="1" t="s">
        <v>3238</v>
      </c>
      <c r="D3710" s="1"/>
      <c r="E3710" s="1"/>
      <c r="F3710" s="1"/>
      <c r="G3710" s="1"/>
      <c r="H3710" s="1"/>
      <c r="I3710" s="1"/>
      <c r="J3710" s="1"/>
      <c r="K3710" s="1" t="s">
        <v>17720</v>
      </c>
    </row>
    <row r="3711" ht="14.25" customHeight="1">
      <c r="A3711" s="3" t="s">
        <v>6019</v>
      </c>
      <c r="B3711" s="1">
        <v>7.3</v>
      </c>
      <c r="C3711" s="1" t="s">
        <v>6019</v>
      </c>
      <c r="D3711" s="1"/>
      <c r="E3711" s="1"/>
      <c r="F3711" s="1"/>
      <c r="G3711" s="1"/>
      <c r="H3711" s="1"/>
      <c r="I3711" s="1"/>
      <c r="J3711" s="1"/>
      <c r="K3711" s="1" t="s">
        <v>6018</v>
      </c>
    </row>
    <row r="3712" ht="14.25" customHeight="1">
      <c r="A3712" s="3" t="s">
        <v>6019</v>
      </c>
      <c r="B3712" s="1">
        <v>7.0</v>
      </c>
      <c r="C3712" s="1" t="s">
        <v>6019</v>
      </c>
      <c r="D3712" s="1"/>
      <c r="E3712" s="1"/>
      <c r="F3712" s="1"/>
      <c r="G3712" s="1"/>
      <c r="H3712" s="1"/>
      <c r="I3712" s="1"/>
      <c r="J3712" s="1"/>
      <c r="K3712" s="1" t="s">
        <v>6190</v>
      </c>
    </row>
    <row r="3713" ht="14.25" customHeight="1">
      <c r="A3713" s="3" t="s">
        <v>6019</v>
      </c>
      <c r="B3713" s="1">
        <v>5.5</v>
      </c>
      <c r="C3713" s="1" t="s">
        <v>6019</v>
      </c>
      <c r="D3713" s="1"/>
      <c r="E3713" s="1"/>
      <c r="F3713" s="1"/>
      <c r="G3713" s="1"/>
      <c r="H3713" s="1"/>
      <c r="I3713" s="1"/>
      <c r="J3713" s="1"/>
      <c r="K3713" s="1" t="s">
        <v>6881</v>
      </c>
    </row>
    <row r="3714" ht="14.25" customHeight="1">
      <c r="A3714" s="3" t="s">
        <v>6019</v>
      </c>
      <c r="B3714" s="1">
        <v>6.7</v>
      </c>
      <c r="C3714" s="1" t="s">
        <v>6019</v>
      </c>
      <c r="D3714" s="1"/>
      <c r="E3714" s="1"/>
      <c r="F3714" s="1"/>
      <c r="G3714" s="1"/>
      <c r="H3714" s="1"/>
      <c r="I3714" s="1"/>
      <c r="J3714" s="1"/>
      <c r="K3714" s="1" t="s">
        <v>7010</v>
      </c>
    </row>
    <row r="3715" ht="14.25" customHeight="1">
      <c r="A3715" s="3" t="s">
        <v>6019</v>
      </c>
      <c r="B3715" s="1">
        <v>3.9</v>
      </c>
      <c r="C3715" s="1" t="s">
        <v>6019</v>
      </c>
      <c r="D3715" s="1"/>
      <c r="E3715" s="1"/>
      <c r="F3715" s="1"/>
      <c r="G3715" s="1"/>
      <c r="H3715" s="1"/>
      <c r="I3715" s="1"/>
      <c r="J3715" s="1"/>
      <c r="K3715" s="1" t="s">
        <v>7406</v>
      </c>
    </row>
    <row r="3716" ht="14.25" customHeight="1">
      <c r="A3716" s="3" t="s">
        <v>6019</v>
      </c>
      <c r="B3716" s="1">
        <v>7.5</v>
      </c>
      <c r="C3716" s="1" t="s">
        <v>6019</v>
      </c>
      <c r="D3716" s="1"/>
      <c r="E3716" s="1"/>
      <c r="F3716" s="1"/>
      <c r="G3716" s="1"/>
      <c r="H3716" s="1"/>
      <c r="I3716" s="1"/>
      <c r="J3716" s="1"/>
      <c r="K3716" s="1" t="s">
        <v>7835</v>
      </c>
    </row>
    <row r="3717" ht="14.25" customHeight="1">
      <c r="A3717" s="3" t="s">
        <v>6019</v>
      </c>
      <c r="B3717" s="1">
        <v>7.0</v>
      </c>
      <c r="C3717" s="1" t="s">
        <v>6019</v>
      </c>
      <c r="D3717" s="1"/>
      <c r="E3717" s="1"/>
      <c r="F3717" s="1"/>
      <c r="G3717" s="1"/>
      <c r="H3717" s="1"/>
      <c r="I3717" s="1"/>
      <c r="J3717" s="1"/>
      <c r="K3717" s="1" t="s">
        <v>8791</v>
      </c>
    </row>
    <row r="3718" ht="14.25" customHeight="1">
      <c r="A3718" s="3" t="s">
        <v>6019</v>
      </c>
      <c r="B3718" s="1">
        <v>6.7</v>
      </c>
      <c r="C3718" s="1" t="s">
        <v>6019</v>
      </c>
      <c r="D3718" s="1"/>
      <c r="E3718" s="1"/>
      <c r="F3718" s="1"/>
      <c r="G3718" s="1"/>
      <c r="H3718" s="1"/>
      <c r="I3718" s="1"/>
      <c r="J3718" s="1"/>
      <c r="K3718" s="1" t="s">
        <v>8899</v>
      </c>
    </row>
    <row r="3719" ht="14.25" customHeight="1">
      <c r="A3719" s="3" t="s">
        <v>6019</v>
      </c>
      <c r="B3719" s="1">
        <v>7.4</v>
      </c>
      <c r="C3719" s="1" t="s">
        <v>6019</v>
      </c>
      <c r="D3719" s="1"/>
      <c r="E3719" s="1"/>
      <c r="F3719" s="1"/>
      <c r="G3719" s="1"/>
      <c r="H3719" s="1"/>
      <c r="I3719" s="1"/>
      <c r="J3719" s="1"/>
      <c r="K3719" s="1" t="s">
        <v>9068</v>
      </c>
    </row>
    <row r="3720" ht="14.25" customHeight="1">
      <c r="A3720" s="3" t="s">
        <v>6019</v>
      </c>
      <c r="B3720" s="1">
        <v>8.0</v>
      </c>
      <c r="C3720" s="1" t="s">
        <v>6019</v>
      </c>
      <c r="D3720" s="1"/>
      <c r="E3720" s="1"/>
      <c r="F3720" s="1"/>
      <c r="G3720" s="1"/>
      <c r="H3720" s="1"/>
      <c r="I3720" s="1"/>
      <c r="J3720" s="1"/>
      <c r="K3720" s="1" t="s">
        <v>10013</v>
      </c>
    </row>
    <row r="3721" ht="14.25" customHeight="1">
      <c r="A3721" s="3" t="s">
        <v>6019</v>
      </c>
      <c r="B3721" s="1">
        <v>7.1</v>
      </c>
      <c r="C3721" s="1" t="s">
        <v>6019</v>
      </c>
      <c r="D3721" s="1"/>
      <c r="E3721" s="1"/>
      <c r="F3721" s="1"/>
      <c r="G3721" s="1"/>
      <c r="H3721" s="1"/>
      <c r="I3721" s="1"/>
      <c r="J3721" s="1"/>
      <c r="K3721" s="1" t="s">
        <v>10546</v>
      </c>
    </row>
    <row r="3722" ht="14.25" customHeight="1">
      <c r="A3722" s="3" t="s">
        <v>6019</v>
      </c>
      <c r="B3722" s="1">
        <v>7.7</v>
      </c>
      <c r="C3722" s="1" t="s">
        <v>6019</v>
      </c>
      <c r="D3722" s="1"/>
      <c r="E3722" s="1"/>
      <c r="F3722" s="1"/>
      <c r="G3722" s="1"/>
      <c r="H3722" s="1"/>
      <c r="I3722" s="1"/>
      <c r="J3722" s="1"/>
      <c r="K3722" s="1" t="s">
        <v>10635</v>
      </c>
    </row>
    <row r="3723" ht="14.25" customHeight="1">
      <c r="A3723" s="3" t="s">
        <v>6019</v>
      </c>
      <c r="B3723" s="1">
        <v>8.5</v>
      </c>
      <c r="C3723" s="1" t="s">
        <v>6019</v>
      </c>
      <c r="D3723" s="1"/>
      <c r="E3723" s="1"/>
      <c r="F3723" s="1"/>
      <c r="G3723" s="1"/>
      <c r="H3723" s="1"/>
      <c r="I3723" s="1"/>
      <c r="J3723" s="1"/>
      <c r="K3723" s="1" t="s">
        <v>11059</v>
      </c>
    </row>
    <row r="3724" ht="14.25" customHeight="1">
      <c r="A3724" s="3" t="s">
        <v>6019</v>
      </c>
      <c r="B3724" s="1">
        <v>7.7</v>
      </c>
      <c r="C3724" s="1" t="s">
        <v>6019</v>
      </c>
      <c r="D3724" s="1"/>
      <c r="E3724" s="1"/>
      <c r="F3724" s="1"/>
      <c r="G3724" s="1"/>
      <c r="H3724" s="1"/>
      <c r="I3724" s="1"/>
      <c r="J3724" s="1"/>
      <c r="K3724" s="1" t="s">
        <v>11103</v>
      </c>
    </row>
    <row r="3725" ht="14.25" customHeight="1">
      <c r="A3725" s="3" t="s">
        <v>6019</v>
      </c>
      <c r="B3725" s="1">
        <v>6.5</v>
      </c>
      <c r="C3725" s="1" t="s">
        <v>6019</v>
      </c>
      <c r="D3725" s="1"/>
      <c r="E3725" s="1"/>
      <c r="F3725" s="1"/>
      <c r="G3725" s="1"/>
      <c r="H3725" s="1"/>
      <c r="I3725" s="1"/>
      <c r="J3725" s="1"/>
      <c r="K3725" s="1" t="s">
        <v>11227</v>
      </c>
    </row>
    <row r="3726" ht="14.25" customHeight="1">
      <c r="A3726" s="3" t="s">
        <v>6019</v>
      </c>
      <c r="B3726" s="1">
        <v>7.0</v>
      </c>
      <c r="C3726" s="1" t="s">
        <v>6019</v>
      </c>
      <c r="D3726" s="1"/>
      <c r="E3726" s="1"/>
      <c r="F3726" s="1"/>
      <c r="G3726" s="1"/>
      <c r="H3726" s="1"/>
      <c r="I3726" s="1"/>
      <c r="J3726" s="1"/>
      <c r="K3726" s="1" t="s">
        <v>11562</v>
      </c>
    </row>
    <row r="3727" ht="14.25" customHeight="1">
      <c r="A3727" s="3" t="s">
        <v>6019</v>
      </c>
      <c r="B3727" s="1">
        <v>5.5</v>
      </c>
      <c r="C3727" s="1" t="s">
        <v>6019</v>
      </c>
      <c r="D3727" s="1"/>
      <c r="E3727" s="1"/>
      <c r="F3727" s="1"/>
      <c r="G3727" s="1"/>
      <c r="H3727" s="1"/>
      <c r="I3727" s="1"/>
      <c r="J3727" s="1"/>
      <c r="K3727" s="1" t="s">
        <v>11669</v>
      </c>
    </row>
    <row r="3728" ht="14.25" customHeight="1">
      <c r="A3728" s="3" t="s">
        <v>6019</v>
      </c>
      <c r="B3728" s="1">
        <v>6.3</v>
      </c>
      <c r="C3728" s="1" t="s">
        <v>6019</v>
      </c>
      <c r="D3728" s="1"/>
      <c r="E3728" s="1"/>
      <c r="F3728" s="1"/>
      <c r="G3728" s="1"/>
      <c r="H3728" s="1"/>
      <c r="I3728" s="1"/>
      <c r="J3728" s="1"/>
      <c r="K3728" s="1" t="s">
        <v>12311</v>
      </c>
    </row>
    <row r="3729" ht="14.25" customHeight="1">
      <c r="A3729" s="3" t="s">
        <v>6019</v>
      </c>
      <c r="B3729" s="1">
        <v>7.9</v>
      </c>
      <c r="C3729" s="1" t="s">
        <v>6019</v>
      </c>
      <c r="D3729" s="1"/>
      <c r="E3729" s="1"/>
      <c r="F3729" s="1"/>
      <c r="G3729" s="1"/>
      <c r="H3729" s="1"/>
      <c r="I3729" s="1"/>
      <c r="J3729" s="1"/>
      <c r="K3729" s="1" t="s">
        <v>12546</v>
      </c>
    </row>
    <row r="3730" ht="14.25" customHeight="1">
      <c r="A3730" s="3" t="s">
        <v>6019</v>
      </c>
      <c r="B3730" s="1">
        <v>7.4</v>
      </c>
      <c r="C3730" s="1" t="s">
        <v>6019</v>
      </c>
      <c r="D3730" s="1"/>
      <c r="E3730" s="1"/>
      <c r="F3730" s="1"/>
      <c r="G3730" s="1"/>
      <c r="H3730" s="1"/>
      <c r="I3730" s="1"/>
      <c r="J3730" s="1"/>
      <c r="K3730" s="1" t="s">
        <v>13103</v>
      </c>
    </row>
    <row r="3731" ht="14.25" customHeight="1">
      <c r="A3731" s="3" t="s">
        <v>6019</v>
      </c>
      <c r="B3731" s="1">
        <v>7.5</v>
      </c>
      <c r="C3731" s="1" t="s">
        <v>6019</v>
      </c>
      <c r="D3731" s="1"/>
      <c r="E3731" s="1"/>
      <c r="F3731" s="1"/>
      <c r="G3731" s="1"/>
      <c r="H3731" s="1"/>
      <c r="I3731" s="1"/>
      <c r="J3731" s="1"/>
      <c r="K3731" s="1" t="s">
        <v>13763</v>
      </c>
    </row>
    <row r="3732" ht="14.25" customHeight="1">
      <c r="A3732" s="3" t="s">
        <v>6019</v>
      </c>
      <c r="B3732" s="1">
        <v>7.5</v>
      </c>
      <c r="C3732" s="1" t="s">
        <v>6019</v>
      </c>
      <c r="D3732" s="1"/>
      <c r="E3732" s="1"/>
      <c r="F3732" s="1"/>
      <c r="G3732" s="1"/>
      <c r="H3732" s="1"/>
      <c r="I3732" s="1"/>
      <c r="J3732" s="1"/>
      <c r="K3732" s="1" t="s">
        <v>13809</v>
      </c>
    </row>
    <row r="3733" ht="14.25" customHeight="1">
      <c r="A3733" s="3" t="s">
        <v>6019</v>
      </c>
      <c r="B3733" s="1">
        <v>6.7</v>
      </c>
      <c r="C3733" s="1" t="s">
        <v>6019</v>
      </c>
      <c r="D3733" s="1"/>
      <c r="E3733" s="1"/>
      <c r="F3733" s="1"/>
      <c r="G3733" s="1"/>
      <c r="H3733" s="1"/>
      <c r="I3733" s="1"/>
      <c r="J3733" s="1"/>
      <c r="K3733" s="1" t="s">
        <v>14172</v>
      </c>
    </row>
    <row r="3734" ht="14.25" customHeight="1">
      <c r="A3734" s="3" t="s">
        <v>6019</v>
      </c>
      <c r="B3734" s="1">
        <v>4.2</v>
      </c>
      <c r="C3734" s="1" t="s">
        <v>6019</v>
      </c>
      <c r="D3734" s="1"/>
      <c r="E3734" s="1"/>
      <c r="F3734" s="1"/>
      <c r="G3734" s="1"/>
      <c r="H3734" s="1"/>
      <c r="I3734" s="1"/>
      <c r="J3734" s="1"/>
      <c r="K3734" s="1" t="s">
        <v>14327</v>
      </c>
    </row>
    <row r="3735" ht="14.25" customHeight="1">
      <c r="A3735" s="3" t="s">
        <v>6019</v>
      </c>
      <c r="B3735" s="1">
        <v>7.0</v>
      </c>
      <c r="C3735" s="1" t="s">
        <v>6019</v>
      </c>
      <c r="D3735" s="1"/>
      <c r="E3735" s="1"/>
      <c r="F3735" s="1"/>
      <c r="G3735" s="1"/>
      <c r="H3735" s="1"/>
      <c r="I3735" s="1"/>
      <c r="J3735" s="1"/>
      <c r="K3735" s="1" t="s">
        <v>14864</v>
      </c>
    </row>
    <row r="3736" ht="14.25" customHeight="1">
      <c r="A3736" s="3" t="s">
        <v>6019</v>
      </c>
      <c r="B3736" s="1">
        <v>7.0</v>
      </c>
      <c r="C3736" s="1" t="s">
        <v>6019</v>
      </c>
      <c r="D3736" s="1"/>
      <c r="E3736" s="1"/>
      <c r="F3736" s="1"/>
      <c r="G3736" s="1"/>
      <c r="H3736" s="1"/>
      <c r="I3736" s="1"/>
      <c r="J3736" s="1"/>
      <c r="K3736" s="1" t="s">
        <v>14977</v>
      </c>
    </row>
    <row r="3737" ht="14.25" customHeight="1">
      <c r="A3737" s="3" t="s">
        <v>6019</v>
      </c>
      <c r="B3737" s="1">
        <v>6.8</v>
      </c>
      <c r="C3737" s="1" t="s">
        <v>6019</v>
      </c>
      <c r="D3737" s="1"/>
      <c r="E3737" s="1"/>
      <c r="F3737" s="1"/>
      <c r="G3737" s="1"/>
      <c r="H3737" s="1"/>
      <c r="I3737" s="1"/>
      <c r="J3737" s="1"/>
      <c r="K3737" s="1" t="s">
        <v>14982</v>
      </c>
    </row>
    <row r="3738" ht="14.25" customHeight="1">
      <c r="A3738" s="3" t="s">
        <v>6019</v>
      </c>
      <c r="B3738" s="1">
        <v>6.6</v>
      </c>
      <c r="C3738" s="1" t="s">
        <v>6019</v>
      </c>
      <c r="D3738" s="1"/>
      <c r="E3738" s="1"/>
      <c r="F3738" s="1"/>
      <c r="G3738" s="1"/>
      <c r="H3738" s="1"/>
      <c r="I3738" s="1"/>
      <c r="J3738" s="1"/>
      <c r="K3738" s="1" t="s">
        <v>15003</v>
      </c>
    </row>
    <row r="3739" ht="14.25" customHeight="1">
      <c r="A3739" s="3" t="s">
        <v>6019</v>
      </c>
      <c r="B3739" s="1">
        <v>7.5</v>
      </c>
      <c r="C3739" s="1" t="s">
        <v>6019</v>
      </c>
      <c r="D3739" s="1"/>
      <c r="E3739" s="1"/>
      <c r="F3739" s="1"/>
      <c r="G3739" s="1"/>
      <c r="H3739" s="1"/>
      <c r="I3739" s="1"/>
      <c r="J3739" s="1"/>
      <c r="K3739" s="1" t="s">
        <v>15316</v>
      </c>
    </row>
    <row r="3740" ht="14.25" customHeight="1">
      <c r="A3740" s="3" t="s">
        <v>6019</v>
      </c>
      <c r="B3740" s="1">
        <v>5.3</v>
      </c>
      <c r="C3740" s="1" t="s">
        <v>6019</v>
      </c>
      <c r="D3740" s="1"/>
      <c r="E3740" s="1"/>
      <c r="F3740" s="1"/>
      <c r="G3740" s="1"/>
      <c r="H3740" s="1"/>
      <c r="I3740" s="1"/>
      <c r="J3740" s="1"/>
      <c r="K3740" s="1" t="s">
        <v>15445</v>
      </c>
    </row>
    <row r="3741" ht="14.25" customHeight="1">
      <c r="A3741" s="3" t="s">
        <v>6019</v>
      </c>
      <c r="B3741" s="1">
        <v>7.3</v>
      </c>
      <c r="C3741" s="1" t="s">
        <v>6019</v>
      </c>
      <c r="D3741" s="1"/>
      <c r="E3741" s="1"/>
      <c r="F3741" s="1"/>
      <c r="G3741" s="1"/>
      <c r="H3741" s="1"/>
      <c r="I3741" s="1"/>
      <c r="J3741" s="1"/>
      <c r="K3741" s="1" t="s">
        <v>15844</v>
      </c>
    </row>
    <row r="3742" ht="14.25" customHeight="1">
      <c r="A3742" s="3" t="s">
        <v>6019</v>
      </c>
      <c r="B3742" s="1">
        <v>5.6</v>
      </c>
      <c r="C3742" s="1" t="s">
        <v>6019</v>
      </c>
      <c r="D3742" s="1"/>
      <c r="E3742" s="1"/>
      <c r="F3742" s="1"/>
      <c r="G3742" s="1"/>
      <c r="H3742" s="1"/>
      <c r="I3742" s="1"/>
      <c r="J3742" s="1"/>
      <c r="K3742" s="1" t="s">
        <v>16053</v>
      </c>
    </row>
    <row r="3743" ht="14.25" customHeight="1">
      <c r="A3743" s="3" t="s">
        <v>6019</v>
      </c>
      <c r="B3743" s="1">
        <v>5.6</v>
      </c>
      <c r="C3743" s="1" t="s">
        <v>6019</v>
      </c>
      <c r="D3743" s="1"/>
      <c r="E3743" s="1"/>
      <c r="F3743" s="1"/>
      <c r="G3743" s="1"/>
      <c r="H3743" s="1"/>
      <c r="I3743" s="1"/>
      <c r="J3743" s="1"/>
      <c r="K3743" s="1" t="s">
        <v>16072</v>
      </c>
    </row>
    <row r="3744" ht="14.25" customHeight="1">
      <c r="A3744" s="3" t="s">
        <v>6019</v>
      </c>
      <c r="B3744" s="1">
        <v>6.6</v>
      </c>
      <c r="C3744" s="1" t="s">
        <v>6019</v>
      </c>
      <c r="D3744" s="1"/>
      <c r="E3744" s="1"/>
      <c r="F3744" s="1"/>
      <c r="G3744" s="1"/>
      <c r="H3744" s="1"/>
      <c r="I3744" s="1"/>
      <c r="J3744" s="1"/>
      <c r="K3744" s="1" t="s">
        <v>16086</v>
      </c>
    </row>
    <row r="3745" ht="14.25" customHeight="1">
      <c r="A3745" s="3" t="s">
        <v>6019</v>
      </c>
      <c r="B3745" s="1">
        <v>6.3</v>
      </c>
      <c r="C3745" s="1" t="s">
        <v>6019</v>
      </c>
      <c r="D3745" s="1"/>
      <c r="E3745" s="1"/>
      <c r="F3745" s="1"/>
      <c r="G3745" s="1"/>
      <c r="H3745" s="1"/>
      <c r="I3745" s="1"/>
      <c r="J3745" s="1"/>
      <c r="K3745" s="1" t="s">
        <v>11562</v>
      </c>
    </row>
    <row r="3746" ht="14.25" customHeight="1">
      <c r="A3746" s="3" t="s">
        <v>6019</v>
      </c>
      <c r="B3746" s="1">
        <v>7.5</v>
      </c>
      <c r="C3746" s="1" t="s">
        <v>6019</v>
      </c>
      <c r="D3746" s="1"/>
      <c r="E3746" s="1"/>
      <c r="F3746" s="1"/>
      <c r="G3746" s="1"/>
      <c r="H3746" s="1"/>
      <c r="I3746" s="1"/>
      <c r="J3746" s="1"/>
      <c r="K3746" s="1" t="s">
        <v>6881</v>
      </c>
    </row>
    <row r="3747" ht="14.25" customHeight="1">
      <c r="A3747" s="3" t="s">
        <v>6019</v>
      </c>
      <c r="B3747" s="1">
        <v>7.6</v>
      </c>
      <c r="C3747" s="1" t="s">
        <v>6019</v>
      </c>
      <c r="D3747" s="1"/>
      <c r="E3747" s="1"/>
      <c r="F3747" s="1"/>
      <c r="G3747" s="1"/>
      <c r="H3747" s="1"/>
      <c r="I3747" s="1"/>
      <c r="J3747" s="1"/>
      <c r="K3747" s="1" t="s">
        <v>16822</v>
      </c>
    </row>
    <row r="3748" ht="14.25" customHeight="1">
      <c r="A3748" s="3" t="s">
        <v>6019</v>
      </c>
      <c r="B3748" s="1">
        <v>7.8</v>
      </c>
      <c r="C3748" s="1" t="s">
        <v>6019</v>
      </c>
      <c r="D3748" s="1"/>
      <c r="E3748" s="1"/>
      <c r="F3748" s="1"/>
      <c r="G3748" s="1"/>
      <c r="H3748" s="1"/>
      <c r="I3748" s="1"/>
      <c r="J3748" s="1"/>
      <c r="K3748" s="1" t="s">
        <v>16866</v>
      </c>
    </row>
    <row r="3749" ht="14.25" customHeight="1">
      <c r="A3749" s="3" t="s">
        <v>6019</v>
      </c>
      <c r="B3749" s="1">
        <v>7.3</v>
      </c>
      <c r="C3749" s="1" t="s">
        <v>6019</v>
      </c>
      <c r="D3749" s="1"/>
      <c r="E3749" s="1"/>
      <c r="F3749" s="1"/>
      <c r="G3749" s="1"/>
      <c r="H3749" s="1"/>
      <c r="I3749" s="1"/>
      <c r="J3749" s="1"/>
      <c r="K3749" s="1" t="s">
        <v>16991</v>
      </c>
    </row>
    <row r="3750" ht="14.25" customHeight="1">
      <c r="A3750" s="3" t="s">
        <v>6019</v>
      </c>
      <c r="B3750" s="1">
        <v>5.7</v>
      </c>
      <c r="C3750" s="1" t="s">
        <v>6019</v>
      </c>
      <c r="D3750" s="1"/>
      <c r="E3750" s="1"/>
      <c r="F3750" s="1"/>
      <c r="G3750" s="1"/>
      <c r="H3750" s="1"/>
      <c r="I3750" s="1"/>
      <c r="J3750" s="1"/>
      <c r="K3750" s="1" t="s">
        <v>17134</v>
      </c>
    </row>
    <row r="3751" ht="14.25" customHeight="1">
      <c r="A3751" s="3" t="s">
        <v>6019</v>
      </c>
      <c r="B3751" s="1">
        <v>7.1</v>
      </c>
      <c r="C3751" s="1" t="s">
        <v>6019</v>
      </c>
      <c r="D3751" s="1"/>
      <c r="E3751" s="1"/>
      <c r="F3751" s="1"/>
      <c r="G3751" s="1"/>
      <c r="H3751" s="1"/>
      <c r="I3751" s="1"/>
      <c r="J3751" s="1"/>
      <c r="K3751" s="1" t="s">
        <v>7010</v>
      </c>
    </row>
    <row r="3752" ht="14.25" customHeight="1">
      <c r="A3752" s="3" t="s">
        <v>6019</v>
      </c>
      <c r="B3752" s="1">
        <v>6.1</v>
      </c>
      <c r="C3752" s="1" t="s">
        <v>6019</v>
      </c>
      <c r="D3752" s="1"/>
      <c r="E3752" s="1"/>
      <c r="F3752" s="1"/>
      <c r="G3752" s="1"/>
      <c r="H3752" s="1"/>
      <c r="I3752" s="1"/>
      <c r="J3752" s="1"/>
      <c r="K3752" s="1" t="s">
        <v>17174</v>
      </c>
    </row>
    <row r="3753" ht="14.25" customHeight="1">
      <c r="A3753" s="3" t="s">
        <v>6019</v>
      </c>
      <c r="B3753" s="1">
        <v>6.9</v>
      </c>
      <c r="C3753" s="1" t="s">
        <v>6019</v>
      </c>
      <c r="D3753" s="1"/>
      <c r="E3753" s="1"/>
      <c r="F3753" s="1"/>
      <c r="G3753" s="1"/>
      <c r="H3753" s="1"/>
      <c r="I3753" s="1"/>
      <c r="J3753" s="1"/>
      <c r="K3753" s="1" t="s">
        <v>17375</v>
      </c>
    </row>
    <row r="3754" ht="14.25" customHeight="1">
      <c r="A3754" s="3" t="s">
        <v>6019</v>
      </c>
      <c r="B3754" s="1">
        <v>7.5</v>
      </c>
      <c r="C3754" s="1" t="s">
        <v>6019</v>
      </c>
      <c r="D3754" s="1"/>
      <c r="E3754" s="1"/>
      <c r="F3754" s="1"/>
      <c r="G3754" s="1"/>
      <c r="H3754" s="1"/>
      <c r="I3754" s="1"/>
      <c r="J3754" s="1"/>
      <c r="K3754" s="1" t="s">
        <v>17398</v>
      </c>
    </row>
    <row r="3755" ht="14.25" customHeight="1">
      <c r="A3755" s="3" t="s">
        <v>17471</v>
      </c>
      <c r="B3755" s="1">
        <v>7.0</v>
      </c>
      <c r="C3755" s="1" t="s">
        <v>17471</v>
      </c>
      <c r="D3755" s="1"/>
      <c r="E3755" s="1"/>
      <c r="F3755" s="1"/>
      <c r="G3755" s="1"/>
      <c r="H3755" s="1"/>
      <c r="I3755" s="1"/>
      <c r="J3755" s="1"/>
      <c r="K3755" s="1" t="s">
        <v>17470</v>
      </c>
    </row>
    <row r="3756" ht="14.25" customHeight="1">
      <c r="A3756" s="3" t="s">
        <v>14463</v>
      </c>
      <c r="B3756" s="1">
        <v>6.9</v>
      </c>
      <c r="C3756" s="1" t="s">
        <v>14463</v>
      </c>
      <c r="D3756" s="1"/>
      <c r="E3756" s="1"/>
      <c r="F3756" s="1"/>
      <c r="G3756" s="1"/>
      <c r="H3756" s="1"/>
      <c r="I3756" s="1"/>
      <c r="J3756" s="1"/>
      <c r="K3756" s="1" t="s">
        <v>14462</v>
      </c>
    </row>
    <row r="3757" ht="14.25" customHeight="1">
      <c r="A3757" s="5" t="s">
        <v>14463</v>
      </c>
      <c r="B3757" s="1">
        <v>6.6</v>
      </c>
      <c r="C3757" s="1" t="s">
        <v>14463</v>
      </c>
      <c r="D3757" s="1"/>
      <c r="E3757" s="1"/>
      <c r="F3757" s="1"/>
      <c r="G3757" s="1"/>
      <c r="H3757" s="1"/>
      <c r="I3757" s="1"/>
      <c r="J3757" s="1"/>
      <c r="K3757" s="1" t="s">
        <v>16757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4.29"/>
    <col customWidth="1" min="3" max="3" width="15.86"/>
    <col customWidth="1" min="4" max="4" width="8.71"/>
    <col customWidth="1" min="5" max="5" width="12.29"/>
    <col customWidth="1" min="6" max="6" width="9.29"/>
    <col customWidth="1" min="7" max="7" width="22.14"/>
    <col customWidth="1" min="8" max="8" width="26.57"/>
    <col customWidth="1" min="9" max="9" width="24.86"/>
    <col customWidth="1" min="10" max="10" width="19.29"/>
    <col customWidth="1" min="11" max="11" width="17.71"/>
    <col customWidth="1" min="12" max="12" width="15.29"/>
  </cols>
  <sheetData>
    <row r="1" ht="14.25" customHeight="1">
      <c r="A1" s="1" t="s">
        <v>1</v>
      </c>
      <c r="B1" s="1" t="s">
        <v>17743</v>
      </c>
    </row>
    <row r="2" ht="14.25" customHeight="1">
      <c r="A2" s="1" t="s">
        <v>27</v>
      </c>
      <c r="B2" s="1">
        <v>7.9</v>
      </c>
      <c r="C2" s="4" t="s">
        <v>17776</v>
      </c>
      <c r="D2" s="4" t="s">
        <v>17777</v>
      </c>
      <c r="E2" s="4" t="s">
        <v>17778</v>
      </c>
      <c r="F2" s="4" t="s">
        <v>17779</v>
      </c>
      <c r="G2" s="4" t="s">
        <v>17780</v>
      </c>
      <c r="H2" s="4" t="s">
        <v>17781</v>
      </c>
      <c r="I2" s="4" t="s">
        <v>17782</v>
      </c>
      <c r="J2" s="4" t="s">
        <v>17783</v>
      </c>
      <c r="K2" s="4" t="s">
        <v>17784</v>
      </c>
    </row>
    <row r="3" ht="14.25" customHeight="1">
      <c r="A3" s="1" t="s">
        <v>38</v>
      </c>
      <c r="B3" s="1">
        <v>7.1</v>
      </c>
      <c r="C3" s="4" t="str">
        <f>IFERROR(__xludf.DUMMYFUNCTION("ARRAY_CONSTRAIN(ARRAYFORMULA(UNIQUE(A2:A3757)), 1659, 1)"),"James Cameron")</f>
        <v>James Cameron</v>
      </c>
      <c r="D3" s="4">
        <f t="array" ref="D3">IFERROR(AVERAGEIFS($B$2:$B$3757, $A$2:$A$3757, C3:C3757), "")</f>
        <v>7.914285714</v>
      </c>
      <c r="E3" s="4">
        <f t="shared" ref="E3:E1661" si="1">_xlfn.PERCENTRANK.INC(D3:D1661, D3) * 100</f>
        <v>97.7</v>
      </c>
      <c r="F3" s="4" t="str">
        <f t="array" ref="F3">IF(D3&gt;=_xlfn.PERCENTILE.INC(D3:D1661, 0.9), "High", "Low")</f>
        <v>High</v>
      </c>
      <c r="G3" s="4">
        <f>MAX(E3:E1661)</f>
        <v>100</v>
      </c>
      <c r="H3" s="4" t="str">
        <f t="array" ref="H3">INDEX(C3:C1661, MATCH(MAX(E3:E1661), E3:E1661, 0))</f>
        <v>Akira Kurosawa</v>
      </c>
      <c r="I3" s="4">
        <v>8.7</v>
      </c>
      <c r="J3" s="4">
        <f>MAX(D3:D3757)</f>
        <v>8.7</v>
      </c>
      <c r="K3" s="4" t="s">
        <v>17293</v>
      </c>
      <c r="L3" s="4" t="str">
        <f>IF(D3 &gt;= MAX($E$3:$E$1661), "Top Director", "")</f>
        <v/>
      </c>
    </row>
    <row r="4" ht="14.25" customHeight="1">
      <c r="A4" s="1" t="s">
        <v>46</v>
      </c>
      <c r="B4" s="1">
        <v>6.8</v>
      </c>
      <c r="C4" s="4" t="str">
        <f>IFERROR(__xludf.DUMMYFUNCTION("""COMPUTED_VALUE"""),"Gore Verbinski")</f>
        <v>Gore Verbinski</v>
      </c>
      <c r="D4" s="4">
        <f t="array" ref="D4">IFERROR(AVERAGEIFS($B$2:$B$3757, $A$2:$A$3757, C4:C3758), "")</f>
        <v>6.985714286</v>
      </c>
      <c r="E4" s="4">
        <f t="shared" si="1"/>
        <v>72.8</v>
      </c>
      <c r="F4" s="4" t="str">
        <f t="array" ref="F4">IF(D4&gt;=_xlfn.PERCENTILE.INC(D4:D1662, 0.9), "High", "Low")</f>
        <v>Low</v>
      </c>
      <c r="H4" s="4" t="s">
        <v>17688</v>
      </c>
      <c r="I4" s="4">
        <v>7.6</v>
      </c>
      <c r="L4" s="4" t="str">
        <f t="shared" ref="L4:L1616" si="2">IF(D3 &gt;= PERCENTILE($D$2:$D$1661, 1), "Top Director", "")</f>
        <v/>
      </c>
    </row>
    <row r="5" ht="14.25" customHeight="1">
      <c r="A5" s="1" t="s">
        <v>55</v>
      </c>
      <c r="B5" s="1">
        <v>8.5</v>
      </c>
      <c r="C5" s="4" t="str">
        <f>IFERROR(__xludf.DUMMYFUNCTION("""COMPUTED_VALUE"""),"Sam Mendes")</f>
        <v>Sam Mendes</v>
      </c>
      <c r="D5" s="4">
        <f t="array" ref="D5">IFERROR(AVERAGEIFS($B$2:$B$3757, $A$2:$A$3757, C5:C3759), "")</f>
        <v>7.5</v>
      </c>
      <c r="E5" s="4">
        <f t="shared" si="1"/>
        <v>89.4</v>
      </c>
      <c r="F5" s="4" t="str">
        <f t="array" ref="F5">IF(D5&gt;=_xlfn.PERCENTILE.INC(D5:D1663, 0.9), "High", "Low")</f>
        <v>High</v>
      </c>
      <c r="H5" s="4" t="s">
        <v>17719</v>
      </c>
      <c r="I5" s="4">
        <v>7.5</v>
      </c>
      <c r="L5" s="4" t="str">
        <f t="shared" si="2"/>
        <v/>
      </c>
    </row>
    <row r="6" ht="14.25" customHeight="1">
      <c r="A6" s="1" t="s">
        <v>63</v>
      </c>
      <c r="B6" s="1">
        <v>6.6</v>
      </c>
      <c r="C6" s="4" t="str">
        <f>IFERROR(__xludf.DUMMYFUNCTION("""COMPUTED_VALUE"""),"Christopher Nolan")</f>
        <v>Christopher Nolan</v>
      </c>
      <c r="D6" s="4">
        <f t="array" ref="D6">IFERROR(AVERAGEIFS($B$2:$B$3757, $A$2:$A$3757, C6:C3760), "")</f>
        <v>8.425</v>
      </c>
      <c r="E6" s="4">
        <f t="shared" si="1"/>
        <v>99.5</v>
      </c>
      <c r="F6" s="4" t="str">
        <f t="array" ref="F6">IF(D6&gt;=_xlfn.PERCENTILE.INC(D6:D1664, 0.9), "High", "Low")</f>
        <v>High</v>
      </c>
      <c r="H6" s="4" t="s">
        <v>17726</v>
      </c>
      <c r="I6" s="4">
        <v>7.0</v>
      </c>
      <c r="L6" s="4" t="str">
        <f t="shared" si="2"/>
        <v/>
      </c>
    </row>
    <row r="7" ht="14.25" customHeight="1">
      <c r="A7" s="1" t="s">
        <v>71</v>
      </c>
      <c r="B7" s="1">
        <v>6.2</v>
      </c>
      <c r="C7" s="4" t="str">
        <f>IFERROR(__xludf.DUMMYFUNCTION("""COMPUTED_VALUE"""),"Andrew Stanton")</f>
        <v>Andrew Stanton</v>
      </c>
      <c r="D7" s="4">
        <f t="array" ref="D7">IFERROR(AVERAGEIFS($B$2:$B$3757, $A$2:$A$3757, C7:C3761), "")</f>
        <v>7.733333333</v>
      </c>
      <c r="E7" s="4">
        <f t="shared" si="1"/>
        <v>95.5</v>
      </c>
      <c r="F7" s="4" t="str">
        <f t="array" ref="F7">IF(D7&gt;=_xlfn.PERCENTILE.INC(D7:D1665, 0.9), "High", "Low")</f>
        <v>High</v>
      </c>
      <c r="H7" s="4" t="s">
        <v>17571</v>
      </c>
      <c r="I7" s="4">
        <v>8.5</v>
      </c>
      <c r="L7" s="4" t="str">
        <f t="shared" si="2"/>
        <v/>
      </c>
    </row>
    <row r="8" ht="14.25" customHeight="1">
      <c r="A8" s="1" t="s">
        <v>79</v>
      </c>
      <c r="B8" s="1">
        <v>7.8</v>
      </c>
      <c r="C8" s="4" t="str">
        <f>IFERROR(__xludf.DUMMYFUNCTION("""COMPUTED_VALUE"""),"Sam Raimi")</f>
        <v>Sam Raimi</v>
      </c>
      <c r="D8" s="4">
        <f t="array" ref="D8">IFERROR(AVERAGEIFS($B$2:$B$3757, $A$2:$A$3757, C8:C3762), "")</f>
        <v>6.85</v>
      </c>
      <c r="E8" s="4">
        <f t="shared" si="1"/>
        <v>68.5</v>
      </c>
      <c r="F8" s="4" t="str">
        <f t="array" ref="F8">IF(D8&gt;=_xlfn.PERCENTILE.INC(D8:D1666, 0.9), "High", "Low")</f>
        <v>Low</v>
      </c>
      <c r="H8" s="4" t="s">
        <v>17785</v>
      </c>
      <c r="I8" s="4">
        <v>7.7</v>
      </c>
      <c r="L8" s="4" t="str">
        <f t="shared" si="2"/>
        <v/>
      </c>
    </row>
    <row r="9" ht="14.25" customHeight="1">
      <c r="A9" s="1" t="s">
        <v>88</v>
      </c>
      <c r="B9" s="1">
        <v>7.5</v>
      </c>
      <c r="C9" s="4" t="str">
        <f>IFERROR(__xludf.DUMMYFUNCTION("""COMPUTED_VALUE"""),"Nathan Greno")</f>
        <v>Nathan Greno</v>
      </c>
      <c r="D9" s="4">
        <f t="array" ref="D9">IFERROR(AVERAGEIFS($B$2:$B$3757, $A$2:$A$3757, C9:C3763), "")</f>
        <v>7.8</v>
      </c>
      <c r="E9" s="4">
        <f t="shared" si="1"/>
        <v>96</v>
      </c>
      <c r="F9" s="4" t="str">
        <f t="array" ref="F9">IF(D9&gt;=_xlfn.PERCENTILE.INC(D9:D1667, 0.9), "High", "Low")</f>
        <v>High</v>
      </c>
      <c r="L9" s="4" t="str">
        <f t="shared" si="2"/>
        <v/>
      </c>
    </row>
    <row r="10" ht="14.25" customHeight="1">
      <c r="A10" s="1" t="s">
        <v>95</v>
      </c>
      <c r="B10" s="1">
        <v>7.5</v>
      </c>
      <c r="C10" s="4" t="str">
        <f>IFERROR(__xludf.DUMMYFUNCTION("""COMPUTED_VALUE"""),"Joss Whedon")</f>
        <v>Joss Whedon</v>
      </c>
      <c r="D10" s="4">
        <f t="array" ref="D10">IFERROR(AVERAGEIFS($B$2:$B$3757, $A$2:$A$3757, C10:C3764), "")</f>
        <v>7.925</v>
      </c>
      <c r="E10" s="4">
        <f t="shared" si="1"/>
        <v>97.8</v>
      </c>
      <c r="F10" s="4" t="str">
        <f t="array" ref="F10">IF(D10&gt;=_xlfn.PERCENTILE.INC(D10:D1668, 0.9), "High", "Low")</f>
        <v>High</v>
      </c>
      <c r="L10" s="4" t="str">
        <f t="shared" si="2"/>
        <v/>
      </c>
    </row>
    <row r="11" ht="14.25" customHeight="1">
      <c r="A11" s="1" t="s">
        <v>103</v>
      </c>
      <c r="B11" s="1">
        <v>6.9</v>
      </c>
      <c r="C11" s="4" t="str">
        <f>IFERROR(__xludf.DUMMYFUNCTION("""COMPUTED_VALUE"""),"David Yates")</f>
        <v>David Yates</v>
      </c>
      <c r="D11" s="4">
        <f t="array" ref="D11">IFERROR(AVERAGEIFS($B$2:$B$3757, $A$2:$A$3757, C11:C3765), "")</f>
        <v>7.05</v>
      </c>
      <c r="E11" s="4">
        <f t="shared" si="1"/>
        <v>77.3</v>
      </c>
      <c r="F11" s="4" t="str">
        <f t="array" ref="F11">IF(D11&gt;=_xlfn.PERCENTILE.INC(D11:D1669, 0.9), "High", "Low")</f>
        <v>Low</v>
      </c>
      <c r="L11" s="4" t="str">
        <f t="shared" si="2"/>
        <v/>
      </c>
    </row>
    <row r="12" ht="14.25" customHeight="1">
      <c r="A12" s="1" t="s">
        <v>110</v>
      </c>
      <c r="B12" s="1">
        <v>6.1</v>
      </c>
      <c r="C12" s="4" t="str">
        <f>IFERROR(__xludf.DUMMYFUNCTION("""COMPUTED_VALUE"""),"Zack Snyder")</f>
        <v>Zack Snyder</v>
      </c>
      <c r="D12" s="4">
        <f t="array" ref="D12">IFERROR(AVERAGEIFS($B$2:$B$3757, $A$2:$A$3757, C12:C3766), "")</f>
        <v>7.175</v>
      </c>
      <c r="E12" s="4">
        <f t="shared" si="1"/>
        <v>81.6</v>
      </c>
      <c r="F12" s="4" t="str">
        <f t="array" ref="F12">IF(D12&gt;=_xlfn.PERCENTILE.INC(D12:D1670, 0.9), "High", "Low")</f>
        <v>Low</v>
      </c>
      <c r="L12" s="4" t="str">
        <f t="shared" si="2"/>
        <v/>
      </c>
    </row>
    <row r="13" ht="14.25" customHeight="1">
      <c r="A13" s="1" t="s">
        <v>117</v>
      </c>
      <c r="B13" s="1">
        <v>6.7</v>
      </c>
      <c r="C13" s="4" t="str">
        <f>IFERROR(__xludf.DUMMYFUNCTION("""COMPUTED_VALUE"""),"Bryan Singer")</f>
        <v>Bryan Singer</v>
      </c>
      <c r="D13" s="4">
        <f t="array" ref="D13">IFERROR(AVERAGEIFS($B$2:$B$3757, $A$2:$A$3757, C13:C3767), "")</f>
        <v>7.2875</v>
      </c>
      <c r="E13" s="4">
        <f t="shared" si="1"/>
        <v>85.4</v>
      </c>
      <c r="F13" s="4" t="str">
        <f t="array" ref="F13">IF(D13&gt;=_xlfn.PERCENTILE.INC(D13:D1671, 0.9), "High", "Low")</f>
        <v>Low</v>
      </c>
      <c r="L13" s="4" t="str">
        <f t="shared" si="2"/>
        <v/>
      </c>
    </row>
    <row r="14" ht="14.25" customHeight="1">
      <c r="A14" s="1" t="s">
        <v>38</v>
      </c>
      <c r="B14" s="1">
        <v>7.3</v>
      </c>
      <c r="C14" s="4" t="str">
        <f>IFERROR(__xludf.DUMMYFUNCTION("""COMPUTED_VALUE"""),"Marc Forster")</f>
        <v>Marc Forster</v>
      </c>
      <c r="D14" s="4">
        <f t="array" ref="D14">IFERROR(AVERAGEIFS($B$2:$B$3757, $A$2:$A$3757, C14:C3768), "")</f>
        <v>7.228571429</v>
      </c>
      <c r="E14" s="4">
        <f t="shared" si="1"/>
        <v>84.6</v>
      </c>
      <c r="F14" s="4" t="str">
        <f t="array" ref="F14">IF(D14&gt;=_xlfn.PERCENTILE.INC(D14:D1672, 0.9), "High", "Low")</f>
        <v>Low</v>
      </c>
      <c r="L14" s="4" t="str">
        <f t="shared" si="2"/>
        <v/>
      </c>
    </row>
    <row r="15" ht="14.25" customHeight="1">
      <c r="A15" s="1" t="s">
        <v>38</v>
      </c>
      <c r="B15" s="1">
        <v>6.5</v>
      </c>
      <c r="C15" s="4" t="str">
        <f>IFERROR(__xludf.DUMMYFUNCTION("""COMPUTED_VALUE"""),"Andrew Adamson")</f>
        <v>Andrew Adamson</v>
      </c>
      <c r="D15" s="4">
        <f t="array" ref="D15">IFERROR(AVERAGEIFS($B$2:$B$3757, $A$2:$A$3757, C15:C3769), "")</f>
        <v>7.15</v>
      </c>
      <c r="E15" s="4">
        <f t="shared" si="1"/>
        <v>81.1</v>
      </c>
      <c r="F15" s="4" t="str">
        <f t="array" ref="F15">IF(D15&gt;=_xlfn.PERCENTILE.INC(D15:D1673, 0.9), "High", "Low")</f>
        <v>Low</v>
      </c>
      <c r="L15" s="4" t="str">
        <f t="shared" si="2"/>
        <v/>
      </c>
    </row>
    <row r="16" ht="14.25" customHeight="1">
      <c r="A16" s="1" t="s">
        <v>103</v>
      </c>
      <c r="B16" s="1">
        <v>7.2</v>
      </c>
      <c r="C16" s="4" t="str">
        <f>IFERROR(__xludf.DUMMYFUNCTION("""COMPUTED_VALUE"""),"Rob Marshall")</f>
        <v>Rob Marshall</v>
      </c>
      <c r="D16" s="4">
        <f t="array" ref="D16">IFERROR(AVERAGEIFS($B$2:$B$3757, $A$2:$A$3757, C16:C3770), "")</f>
        <v>6.6</v>
      </c>
      <c r="E16" s="4">
        <f t="shared" si="1"/>
        <v>56.2</v>
      </c>
      <c r="F16" s="4" t="str">
        <f t="array" ref="F16">IF(D16&gt;=_xlfn.PERCENTILE.INC(D16:D1674, 0.9), "High", "Low")</f>
        <v>Low</v>
      </c>
      <c r="L16" s="4" t="str">
        <f t="shared" si="2"/>
        <v/>
      </c>
    </row>
    <row r="17" ht="14.25" customHeight="1">
      <c r="A17" s="1" t="s">
        <v>138</v>
      </c>
      <c r="B17" s="1">
        <v>6.6</v>
      </c>
      <c r="C17" s="4" t="str">
        <f>IFERROR(__xludf.DUMMYFUNCTION("""COMPUTED_VALUE"""),"Barry Sonnenfeld")</f>
        <v>Barry Sonnenfeld</v>
      </c>
      <c r="D17" s="4">
        <f t="array" ref="D17">IFERROR(AVERAGEIFS($B$2:$B$3757, $A$2:$A$3757, C17:C3771), "")</f>
        <v>6.457142857</v>
      </c>
      <c r="E17" s="4">
        <f t="shared" si="1"/>
        <v>50.9</v>
      </c>
      <c r="F17" s="4" t="str">
        <f t="array" ref="F17">IF(D17&gt;=_xlfn.PERCENTILE.INC(D17:D1675, 0.9), "High", "Low")</f>
        <v>Low</v>
      </c>
      <c r="L17" s="4" t="str">
        <f t="shared" si="2"/>
        <v/>
      </c>
    </row>
    <row r="18" ht="14.25" customHeight="1">
      <c r="A18" s="1" t="s">
        <v>88</v>
      </c>
      <c r="B18" s="1">
        <v>8.1</v>
      </c>
      <c r="C18" s="4" t="str">
        <f>IFERROR(__xludf.DUMMYFUNCTION("""COMPUTED_VALUE"""),"Peter Jackson")</f>
        <v>Peter Jackson</v>
      </c>
      <c r="D18" s="4">
        <f t="array" ref="D18">IFERROR(AVERAGEIFS($B$2:$B$3757, $A$2:$A$3757, C18:C3772), "")</f>
        <v>7.654545455</v>
      </c>
      <c r="E18" s="4">
        <f t="shared" si="1"/>
        <v>93.9</v>
      </c>
      <c r="F18" s="4" t="str">
        <f t="array" ref="F18">IF(D18&gt;=_xlfn.PERCENTILE.INC(D18:D1676, 0.9), "High", "Low")</f>
        <v>High</v>
      </c>
      <c r="L18" s="4" t="str">
        <f t="shared" si="2"/>
        <v/>
      </c>
    </row>
    <row r="19" ht="14.25" customHeight="1">
      <c r="A19" s="1" t="s">
        <v>149</v>
      </c>
      <c r="B19" s="1">
        <v>6.7</v>
      </c>
      <c r="C19" s="4" t="str">
        <f>IFERROR(__xludf.DUMMYFUNCTION("""COMPUTED_VALUE"""),"Marc Webb")</f>
        <v>Marc Webb</v>
      </c>
      <c r="D19" s="4">
        <f t="array" ref="D19">IFERROR(AVERAGEIFS($B$2:$B$3757, $A$2:$A$3757, C19:C3773), "")</f>
        <v>7.133333333</v>
      </c>
      <c r="E19" s="4">
        <f t="shared" si="1"/>
        <v>80.9</v>
      </c>
      <c r="F19" s="4" t="str">
        <f t="array" ref="F19">IF(D19&gt;=_xlfn.PERCENTILE.INC(D19:D1677, 0.9), "High", "Low")</f>
        <v>Low</v>
      </c>
      <c r="L19" s="4" t="str">
        <f t="shared" si="2"/>
        <v/>
      </c>
    </row>
    <row r="20" ht="14.25" customHeight="1">
      <c r="A20" s="1" t="s">
        <v>155</v>
      </c>
      <c r="B20" s="1">
        <v>6.8</v>
      </c>
      <c r="C20" s="4" t="str">
        <f>IFERROR(__xludf.DUMMYFUNCTION("""COMPUTED_VALUE"""),"Ridley Scott")</f>
        <v>Ridley Scott</v>
      </c>
      <c r="D20" s="4">
        <f t="array" ref="D20">IFERROR(AVERAGEIFS($B$2:$B$3757, $A$2:$A$3757, C20:C3774), "")</f>
        <v>7.070588235</v>
      </c>
      <c r="E20" s="4">
        <f t="shared" si="1"/>
        <v>77.8</v>
      </c>
      <c r="F20" s="4" t="str">
        <f t="array" ref="F20">IF(D20&gt;=_xlfn.PERCENTILE.INC(D20:D1678, 0.9), "High", "Low")</f>
        <v>Low</v>
      </c>
      <c r="L20" s="4" t="str">
        <f t="shared" si="2"/>
        <v/>
      </c>
    </row>
    <row r="21" ht="14.25" customHeight="1">
      <c r="A21" s="1" t="s">
        <v>163</v>
      </c>
      <c r="B21" s="1">
        <v>7.5</v>
      </c>
      <c r="C21" s="4" t="str">
        <f>IFERROR(__xludf.DUMMYFUNCTION("""COMPUTED_VALUE"""),"Chris Weitz")</f>
        <v>Chris Weitz</v>
      </c>
      <c r="D21" s="4">
        <f t="array" ref="D21">IFERROR(AVERAGEIFS($B$2:$B$3757, $A$2:$A$3757, C21:C3775), "")</f>
        <v>6.08</v>
      </c>
      <c r="E21" s="4">
        <f t="shared" si="1"/>
        <v>35.6</v>
      </c>
      <c r="F21" s="4" t="str">
        <f t="array" ref="F21">IF(D21&gt;=_xlfn.PERCENTILE.INC(D21:D1679, 0.9), "High", "Low")</f>
        <v>Low</v>
      </c>
      <c r="L21" s="4" t="str">
        <f t="shared" si="2"/>
        <v/>
      </c>
    </row>
    <row r="22" ht="14.25" customHeight="1">
      <c r="A22" s="1" t="s">
        <v>172</v>
      </c>
      <c r="B22" s="1">
        <v>7.0</v>
      </c>
      <c r="C22" s="4" t="str">
        <f>IFERROR(__xludf.DUMMYFUNCTION("""COMPUTED_VALUE"""),"Anthony Russo")</f>
        <v>Anthony Russo</v>
      </c>
      <c r="D22" s="4">
        <f t="array" ref="D22">IFERROR(AVERAGEIFS($B$2:$B$3757, $A$2:$A$3757, C22:C3776), "")</f>
        <v>7</v>
      </c>
      <c r="E22" s="4">
        <f t="shared" si="1"/>
        <v>73.5</v>
      </c>
      <c r="F22" s="4" t="str">
        <f t="array" ref="F22">IF(D22&gt;=_xlfn.PERCENTILE.INC(D22:D1680, 0.9), "High", "Low")</f>
        <v>Low</v>
      </c>
      <c r="L22" s="4" t="str">
        <f t="shared" si="2"/>
        <v/>
      </c>
    </row>
    <row r="23" ht="14.25" customHeight="1">
      <c r="A23" s="1" t="s">
        <v>179</v>
      </c>
      <c r="B23" s="1">
        <v>6.7</v>
      </c>
      <c r="C23" s="4" t="str">
        <f>IFERROR(__xludf.DUMMYFUNCTION("""COMPUTED_VALUE"""),"Peter Berg")</f>
        <v>Peter Berg</v>
      </c>
      <c r="D23" s="4">
        <f t="array" ref="D23">IFERROR(AVERAGEIFS($B$2:$B$3757, $A$2:$A$3757, C23:C3777), "")</f>
        <v>6.666666667</v>
      </c>
      <c r="E23" s="4">
        <f t="shared" si="1"/>
        <v>60.1</v>
      </c>
      <c r="F23" s="4" t="str">
        <f t="array" ref="F23">IF(D23&gt;=_xlfn.PERCENTILE.INC(D23:D1681, 0.9), "High", "Low")</f>
        <v>Low</v>
      </c>
      <c r="L23" s="4" t="str">
        <f t="shared" si="2"/>
        <v/>
      </c>
    </row>
    <row r="24" ht="14.25" customHeight="1">
      <c r="A24" s="1" t="s">
        <v>163</v>
      </c>
      <c r="B24" s="1">
        <v>7.9</v>
      </c>
      <c r="C24" s="4" t="str">
        <f>IFERROR(__xludf.DUMMYFUNCTION("""COMPUTED_VALUE"""),"Colin Trevorrow")</f>
        <v>Colin Trevorrow</v>
      </c>
      <c r="D24" s="4">
        <f t="array" ref="D24">IFERROR(AVERAGEIFS($B$2:$B$3757, $A$2:$A$3757, C24:C3778), "")</f>
        <v>7</v>
      </c>
      <c r="E24" s="4">
        <f t="shared" si="1"/>
        <v>73.5</v>
      </c>
      <c r="F24" s="4" t="str">
        <f t="array" ref="F24">IF(D24&gt;=_xlfn.PERCENTILE.INC(D24:D1682, 0.9), "High", "Low")</f>
        <v>Low</v>
      </c>
      <c r="L24" s="4" t="str">
        <f t="shared" si="2"/>
        <v/>
      </c>
    </row>
    <row r="25" ht="14.25" customHeight="1">
      <c r="A25" s="1" t="s">
        <v>190</v>
      </c>
      <c r="B25" s="1">
        <v>6.1</v>
      </c>
      <c r="C25" s="4" t="str">
        <f>IFERROR(__xludf.DUMMYFUNCTION("""COMPUTED_VALUE"""),"Shane Black")</f>
        <v>Shane Black</v>
      </c>
      <c r="D25" s="4">
        <f t="array" ref="D25">IFERROR(AVERAGEIFS($B$2:$B$3757, $A$2:$A$3757, C25:C3779), "")</f>
        <v>7.4</v>
      </c>
      <c r="E25" s="4">
        <f t="shared" si="1"/>
        <v>88.1</v>
      </c>
      <c r="F25" s="4" t="str">
        <f t="array" ref="F25">IF(D25&gt;=_xlfn.PERCENTILE.INC(D25:D1683, 0.9), "High", "Low")</f>
        <v>Low</v>
      </c>
      <c r="L25" s="4" t="str">
        <f t="shared" si="2"/>
        <v/>
      </c>
    </row>
    <row r="26" ht="14.25" customHeight="1">
      <c r="A26" s="1" t="s">
        <v>163</v>
      </c>
      <c r="B26" s="1">
        <v>7.2</v>
      </c>
      <c r="C26" s="4" t="str">
        <f>IFERROR(__xludf.DUMMYFUNCTION("""COMPUTED_VALUE"""),"Tim Burton")</f>
        <v>Tim Burton</v>
      </c>
      <c r="D26" s="4">
        <f t="array" ref="D26">IFERROR(AVERAGEIFS($B$2:$B$3757, $A$2:$A$3757, C26:C3780), "")</f>
        <v>6.93125</v>
      </c>
      <c r="E26" s="4">
        <f t="shared" si="1"/>
        <v>72.7</v>
      </c>
      <c r="F26" s="4" t="str">
        <f t="array" ref="F26">IF(D26&gt;=_xlfn.PERCENTILE.INC(D26:D1684, 0.9), "High", "Low")</f>
        <v>Low</v>
      </c>
      <c r="L26" s="4" t="str">
        <f t="shared" si="2"/>
        <v/>
      </c>
    </row>
    <row r="27" ht="14.25" customHeight="1">
      <c r="A27" s="1" t="s">
        <v>27</v>
      </c>
      <c r="B27" s="1">
        <v>7.7</v>
      </c>
      <c r="C27" s="4" t="str">
        <f>IFERROR(__xludf.DUMMYFUNCTION("""COMPUTED_VALUE"""),"Brett Ratner")</f>
        <v>Brett Ratner</v>
      </c>
      <c r="D27" s="4">
        <f t="array" ref="D27">IFERROR(AVERAGEIFS($B$2:$B$3757, $A$2:$A$3757, C27:C3781), "")</f>
        <v>6.41</v>
      </c>
      <c r="E27" s="4">
        <f t="shared" si="1"/>
        <v>49.9</v>
      </c>
      <c r="F27" s="4" t="str">
        <f t="array" ref="F27">IF(D27&gt;=_xlfn.PERCENTILE.INC(D27:D1685, 0.9), "High", "Low")</f>
        <v>Low</v>
      </c>
      <c r="L27" s="4" t="str">
        <f t="shared" si="2"/>
        <v/>
      </c>
    </row>
    <row r="28" ht="14.25" customHeight="1">
      <c r="A28" s="1" t="s">
        <v>212</v>
      </c>
      <c r="B28" s="1">
        <v>8.2</v>
      </c>
      <c r="C28" s="4" t="str">
        <f>IFERROR(__xludf.DUMMYFUNCTION("""COMPUTED_VALUE"""),"Dan Scanlon")</f>
        <v>Dan Scanlon</v>
      </c>
      <c r="D28" s="4">
        <f t="array" ref="D28">IFERROR(AVERAGEIFS($B$2:$B$3757, $A$2:$A$3757, C28:C3782), "")</f>
        <v>7.3</v>
      </c>
      <c r="E28" s="4">
        <f t="shared" si="1"/>
        <v>85.5</v>
      </c>
      <c r="F28" s="4" t="str">
        <f t="array" ref="F28">IF(D28&gt;=_xlfn.PERCENTILE.INC(D28:D1686, 0.9), "High", "Low")</f>
        <v>Low</v>
      </c>
      <c r="L28" s="4" t="str">
        <f t="shared" si="2"/>
        <v/>
      </c>
    </row>
    <row r="29" ht="14.25" customHeight="1">
      <c r="A29" s="1" t="s">
        <v>217</v>
      </c>
      <c r="B29" s="1">
        <v>5.9</v>
      </c>
      <c r="C29" s="4" t="str">
        <f>IFERROR(__xludf.DUMMYFUNCTION("""COMPUTED_VALUE"""),"Michael Bay")</f>
        <v>Michael Bay</v>
      </c>
      <c r="D29" s="4">
        <f t="array" ref="D29">IFERROR(AVERAGEIFS($B$2:$B$3757, $A$2:$A$3757, C29:C3783), "")</f>
        <v>6.638461538</v>
      </c>
      <c r="E29" s="4">
        <f t="shared" si="1"/>
        <v>59.7</v>
      </c>
      <c r="F29" s="4" t="str">
        <f t="array" ref="F29">IF(D29&gt;=_xlfn.PERCENTILE.INC(D29:D1687, 0.9), "High", "Low")</f>
        <v>Low</v>
      </c>
      <c r="L29" s="4" t="str">
        <f t="shared" si="2"/>
        <v/>
      </c>
    </row>
    <row r="30" ht="14.25" customHeight="1">
      <c r="A30" s="1" t="s">
        <v>225</v>
      </c>
      <c r="B30" s="1">
        <v>7.0</v>
      </c>
      <c r="C30" s="4" t="str">
        <f>IFERROR(__xludf.DUMMYFUNCTION("""COMPUTED_VALUE"""),"Joseph Kosinski")</f>
        <v>Joseph Kosinski</v>
      </c>
      <c r="D30" s="4">
        <f t="array" ref="D30">IFERROR(AVERAGEIFS($B$2:$B$3757, $A$2:$A$3757, C30:C3784), "")</f>
        <v>6.866666667</v>
      </c>
      <c r="E30" s="4">
        <f t="shared" si="1"/>
        <v>69.2</v>
      </c>
      <c r="F30" s="4" t="str">
        <f t="array" ref="F30">IF(D30&gt;=_xlfn.PERCENTILE.INC(D30:D1688, 0.9), "High", "Low")</f>
        <v>Low</v>
      </c>
      <c r="L30" s="4" t="str">
        <f t="shared" si="2"/>
        <v/>
      </c>
    </row>
    <row r="31" ht="14.25" customHeight="1">
      <c r="A31" s="1" t="s">
        <v>46</v>
      </c>
      <c r="B31" s="1">
        <v>7.8</v>
      </c>
      <c r="C31" s="4" t="str">
        <f>IFERROR(__xludf.DUMMYFUNCTION("""COMPUTED_VALUE"""),"John Lasseter")</f>
        <v>John Lasseter</v>
      </c>
      <c r="D31" s="4">
        <f t="array" ref="D31">IFERROR(AVERAGEIFS($B$2:$B$3757, $A$2:$A$3757, C31:C3785), "")</f>
        <v>7.38</v>
      </c>
      <c r="E31" s="4">
        <f t="shared" si="1"/>
        <v>87.9</v>
      </c>
      <c r="F31" s="4" t="str">
        <f t="array" ref="F31">IF(D31&gt;=_xlfn.PERCENTILE.INC(D31:D1689, 0.9), "High", "Low")</f>
        <v>Low</v>
      </c>
      <c r="L31" s="4" t="str">
        <f t="shared" si="2"/>
        <v/>
      </c>
    </row>
    <row r="32" ht="14.25" customHeight="1">
      <c r="A32" s="1" t="s">
        <v>71</v>
      </c>
      <c r="B32" s="1">
        <v>7.3</v>
      </c>
      <c r="C32" s="4" t="str">
        <f>IFERROR(__xludf.DUMMYFUNCTION("""COMPUTED_VALUE"""),"Martin Campbell")</f>
        <v>Martin Campbell</v>
      </c>
      <c r="D32" s="4">
        <f t="array" ref="D32">IFERROR(AVERAGEIFS($B$2:$B$3757, $A$2:$A$3757, C32:C3786), "")</f>
        <v>6.711111111</v>
      </c>
      <c r="E32" s="4">
        <f t="shared" si="1"/>
        <v>63.4</v>
      </c>
      <c r="F32" s="4" t="str">
        <f t="array" ref="F32">IF(D32&gt;=_xlfn.PERCENTILE.INC(D32:D1690, 0.9), "High", "Low")</f>
        <v>Low</v>
      </c>
      <c r="L32" s="4" t="str">
        <f t="shared" si="2"/>
        <v/>
      </c>
    </row>
    <row r="33" ht="14.25" customHeight="1">
      <c r="A33" s="1" t="s">
        <v>241</v>
      </c>
      <c r="B33" s="1">
        <v>7.2</v>
      </c>
      <c r="C33" s="4" t="str">
        <f>IFERROR(__xludf.DUMMYFUNCTION("""COMPUTED_VALUE"""),"Lee Unkrich")</f>
        <v>Lee Unkrich</v>
      </c>
      <c r="D33" s="4">
        <f t="array" ref="D33">IFERROR(AVERAGEIFS($B$2:$B$3757, $A$2:$A$3757, C33:C3787), "")</f>
        <v>8.3</v>
      </c>
      <c r="E33" s="4">
        <f t="shared" si="1"/>
        <v>99.2</v>
      </c>
      <c r="F33" s="4" t="str">
        <f t="array" ref="F33">IF(D33&gt;=_xlfn.PERCENTILE.INC(D33:D1691, 0.9), "High", "Low")</f>
        <v>High</v>
      </c>
      <c r="L33" s="4" t="str">
        <f t="shared" si="2"/>
        <v/>
      </c>
    </row>
    <row r="34" ht="14.25" customHeight="1">
      <c r="A34" s="1" t="s">
        <v>247</v>
      </c>
      <c r="B34" s="1">
        <v>6.5</v>
      </c>
      <c r="C34" s="4" t="str">
        <f>IFERROR(__xludf.DUMMYFUNCTION("""COMPUTED_VALUE"""),"McG")</f>
        <v>McG</v>
      </c>
      <c r="D34" s="4">
        <f t="array" ref="D34">IFERROR(AVERAGEIFS($B$2:$B$3757, $A$2:$A$3757, C34:C3788), "")</f>
        <v>6.083333333</v>
      </c>
      <c r="E34" s="4">
        <f t="shared" si="1"/>
        <v>35.9</v>
      </c>
      <c r="F34" s="4" t="str">
        <f t="array" ref="F34">IF(D34&gt;=_xlfn.PERCENTILE.INC(D34:D1692, 0.9), "High", "Low")</f>
        <v>Low</v>
      </c>
      <c r="L34" s="4" t="str">
        <f t="shared" si="2"/>
        <v/>
      </c>
    </row>
    <row r="35" ht="14.25" customHeight="1">
      <c r="A35" s="1" t="s">
        <v>252</v>
      </c>
      <c r="B35" s="1">
        <v>6.8</v>
      </c>
      <c r="C35" s="4" t="str">
        <f>IFERROR(__xludf.DUMMYFUNCTION("""COMPUTED_VALUE"""),"James Wan")</f>
        <v>James Wan</v>
      </c>
      <c r="D35" s="4">
        <f t="array" ref="D35">IFERROR(AVERAGEIFS($B$2:$B$3757, $A$2:$A$3757, C35:C3789), "")</f>
        <v>7.2</v>
      </c>
      <c r="E35" s="4">
        <f t="shared" si="1"/>
        <v>81.9</v>
      </c>
      <c r="F35" s="4" t="str">
        <f t="array" ref="F35">IF(D35&gt;=_xlfn.PERCENTILE.INC(D35:D1693, 0.9), "High", "Low")</f>
        <v>Low</v>
      </c>
      <c r="L35" s="4" t="str">
        <f t="shared" si="2"/>
        <v/>
      </c>
    </row>
    <row r="36" ht="14.25" customHeight="1">
      <c r="A36" s="1" t="s">
        <v>261</v>
      </c>
      <c r="B36" s="1">
        <v>7.3</v>
      </c>
      <c r="C36" s="4" t="str">
        <f>IFERROR(__xludf.DUMMYFUNCTION("""COMPUTED_VALUE"""),"J.J. Abrams")</f>
        <v>J.J. Abrams</v>
      </c>
      <c r="D36" s="4">
        <f t="array" ref="D36">IFERROR(AVERAGEIFS($B$2:$B$3757, $A$2:$A$3757, C36:C3790), "")</f>
        <v>7.45</v>
      </c>
      <c r="E36" s="4">
        <f t="shared" si="1"/>
        <v>89.2</v>
      </c>
      <c r="F36" s="4" t="str">
        <f t="array" ref="F36">IF(D36&gt;=_xlfn.PERCENTILE.INC(D36:D1694, 0.9), "High", "Low")</f>
        <v>Low</v>
      </c>
      <c r="L36" s="4" t="str">
        <f t="shared" si="2"/>
        <v/>
      </c>
    </row>
    <row r="37" ht="14.25" customHeight="1">
      <c r="A37" s="1" t="s">
        <v>270</v>
      </c>
      <c r="B37" s="1">
        <v>6.0</v>
      </c>
      <c r="C37" s="4" t="str">
        <f>IFERROR(__xludf.DUMMYFUNCTION("""COMPUTED_VALUE"""),"Baz Luhrmann")</f>
        <v>Baz Luhrmann</v>
      </c>
      <c r="D37" s="4">
        <f t="array" ref="D37">IFERROR(AVERAGEIFS($B$2:$B$3757, $A$2:$A$3757, C37:C3791), "")</f>
        <v>7.12</v>
      </c>
      <c r="E37" s="4">
        <f t="shared" si="1"/>
        <v>81</v>
      </c>
      <c r="F37" s="4" t="str">
        <f t="array" ref="F37">IF(D37&gt;=_xlfn.PERCENTILE.INC(D37:D1695, 0.9), "High", "Low")</f>
        <v>Low</v>
      </c>
      <c r="L37" s="4" t="str">
        <f t="shared" si="2"/>
        <v/>
      </c>
    </row>
    <row r="38" ht="14.25" customHeight="1">
      <c r="A38" s="1" t="s">
        <v>270</v>
      </c>
      <c r="B38" s="1">
        <v>5.7</v>
      </c>
      <c r="C38" s="4" t="str">
        <f>IFERROR(__xludf.DUMMYFUNCTION("""COMPUTED_VALUE"""),"Mike Newell")</f>
        <v>Mike Newell</v>
      </c>
      <c r="D38" s="4">
        <f t="array" ref="D38">IFERROR(AVERAGEIFS($B$2:$B$3757, $A$2:$A$3757, C38:C3792), "")</f>
        <v>6.842857143</v>
      </c>
      <c r="E38" s="4">
        <f t="shared" si="1"/>
        <v>68.5</v>
      </c>
      <c r="F38" s="4" t="str">
        <f t="array" ref="F38">IF(D38&gt;=_xlfn.PERCENTILE.INC(D38:D1696, 0.9), "High", "Low")</f>
        <v>Low</v>
      </c>
      <c r="L38" s="4" t="str">
        <f t="shared" si="2"/>
        <v/>
      </c>
    </row>
    <row r="39" ht="14.25" customHeight="1">
      <c r="A39" s="1" t="s">
        <v>71</v>
      </c>
      <c r="B39" s="1">
        <v>6.4</v>
      </c>
      <c r="C39" s="4" t="str">
        <f>IFERROR(__xludf.DUMMYFUNCTION("""COMPUTED_VALUE"""),"Guillermo del Toro")</f>
        <v>Guillermo del Toro</v>
      </c>
      <c r="D39" s="4">
        <f t="array" ref="D39">IFERROR(AVERAGEIFS($B$2:$B$3757, $A$2:$A$3757, C39:C3793), "")</f>
        <v>7.14</v>
      </c>
      <c r="E39" s="4">
        <f t="shared" si="1"/>
        <v>81.3</v>
      </c>
      <c r="F39" s="4" t="str">
        <f t="array" ref="F39">IF(D39&gt;=_xlfn.PERCENTILE.INC(D39:D1697, 0.9), "High", "Low")</f>
        <v>Low</v>
      </c>
      <c r="L39" s="4" t="str">
        <f t="shared" si="2"/>
        <v/>
      </c>
    </row>
    <row r="40" ht="14.25" customHeight="1">
      <c r="A40" s="1" t="s">
        <v>172</v>
      </c>
      <c r="B40" s="1">
        <v>6.7</v>
      </c>
      <c r="C40" s="4" t="str">
        <f>IFERROR(__xludf.DUMMYFUNCTION("""COMPUTED_VALUE"""),"Steven Spielberg")</f>
        <v>Steven Spielberg</v>
      </c>
      <c r="D40" s="4">
        <f t="array" ref="D40">IFERROR(AVERAGEIFS($B$2:$B$3757, $A$2:$A$3757, C40:C3794), "")</f>
        <v>7.544</v>
      </c>
      <c r="E40" s="4">
        <f t="shared" si="1"/>
        <v>91.2</v>
      </c>
      <c r="F40" s="4" t="str">
        <f t="array" ref="F40">IF(D40&gt;=_xlfn.PERCENTILE.INC(D40:D1698, 0.9), "High", "Low")</f>
        <v>High</v>
      </c>
      <c r="L40" s="4" t="str">
        <f t="shared" si="2"/>
        <v/>
      </c>
    </row>
    <row r="41" ht="14.25" customHeight="1">
      <c r="A41" s="1" t="s">
        <v>291</v>
      </c>
      <c r="B41" s="1">
        <v>6.8</v>
      </c>
      <c r="C41" s="4" t="str">
        <f>IFERROR(__xludf.DUMMYFUNCTION("""COMPUTED_VALUE"""),"Mark Andrews")</f>
        <v>Mark Andrews</v>
      </c>
      <c r="D41" s="4">
        <f t="array" ref="D41">IFERROR(AVERAGEIFS($B$2:$B$3757, $A$2:$A$3757, C41:C3795), "")</f>
        <v>7.2</v>
      </c>
      <c r="E41" s="4">
        <f t="shared" si="1"/>
        <v>82</v>
      </c>
      <c r="F41" s="4" t="str">
        <f t="array" ref="F41">IF(D41&gt;=_xlfn.PERCENTILE.INC(D41:D1699, 0.9), "High", "Low")</f>
        <v>Low</v>
      </c>
      <c r="L41" s="4" t="str">
        <f t="shared" si="2"/>
        <v/>
      </c>
    </row>
    <row r="42" ht="14.25" customHeight="1">
      <c r="A42" s="1" t="s">
        <v>298</v>
      </c>
      <c r="B42" s="1">
        <v>6.3</v>
      </c>
      <c r="C42" s="4" t="str">
        <f>IFERROR(__xludf.DUMMYFUNCTION("""COMPUTED_VALUE"""),"Justin Lin")</f>
        <v>Justin Lin</v>
      </c>
      <c r="D42" s="4">
        <f t="array" ref="D42">IFERROR(AVERAGEIFS($B$2:$B$3757, $A$2:$A$3757, C42:C3796), "")</f>
        <v>6.84</v>
      </c>
      <c r="E42" s="4">
        <f t="shared" si="1"/>
        <v>68.4</v>
      </c>
      <c r="F42" s="4" t="str">
        <f t="array" ref="F42">IF(D42&gt;=_xlfn.PERCENTILE.INC(D42:D1700, 0.9), "High", "Low")</f>
        <v>Low</v>
      </c>
      <c r="L42" s="4" t="str">
        <f t="shared" si="2"/>
        <v/>
      </c>
    </row>
    <row r="43" ht="14.25" customHeight="1">
      <c r="A43" s="1" t="s">
        <v>305</v>
      </c>
      <c r="B43" s="1">
        <v>5.6</v>
      </c>
      <c r="C43" s="4" t="str">
        <f>IFERROR(__xludf.DUMMYFUNCTION("""COMPUTED_VALUE"""),"Roland Emmerich")</f>
        <v>Roland Emmerich</v>
      </c>
      <c r="D43" s="4">
        <f t="array" ref="D43">IFERROR(AVERAGEIFS($B$2:$B$3757, $A$2:$A$3757, C43:C3797), "")</f>
        <v>6.1875</v>
      </c>
      <c r="E43" s="4">
        <f t="shared" si="1"/>
        <v>40.4</v>
      </c>
      <c r="F43" s="4" t="str">
        <f t="array" ref="F43">IF(D43&gt;=_xlfn.PERCENTILE.INC(D43:D1701, 0.9), "High", "Low")</f>
        <v>Low</v>
      </c>
      <c r="L43" s="4" t="str">
        <f t="shared" si="2"/>
        <v/>
      </c>
    </row>
    <row r="44" ht="14.25" customHeight="1">
      <c r="A44" s="1" t="s">
        <v>312</v>
      </c>
      <c r="B44" s="1">
        <v>8.3</v>
      </c>
      <c r="C44" s="4" t="str">
        <f>IFERROR(__xludf.DUMMYFUNCTION("""COMPUTED_VALUE"""),"Robert Zemeckis")</f>
        <v>Robert Zemeckis</v>
      </c>
      <c r="D44" s="4">
        <f t="array" ref="D44">IFERROR(AVERAGEIFS($B$2:$B$3757, $A$2:$A$3757, C44:C3798), "")</f>
        <v>7.307692308</v>
      </c>
      <c r="E44" s="4">
        <f t="shared" si="1"/>
        <v>87.4</v>
      </c>
      <c r="F44" s="4" t="str">
        <f t="array" ref="F44">IF(D44&gt;=_xlfn.PERCENTILE.INC(D44:D1702, 0.9), "High", "Low")</f>
        <v>Low</v>
      </c>
      <c r="L44" s="4" t="str">
        <f t="shared" si="2"/>
        <v/>
      </c>
    </row>
    <row r="45" ht="14.25" customHeight="1">
      <c r="A45" s="1" t="s">
        <v>319</v>
      </c>
      <c r="B45" s="1">
        <v>6.6</v>
      </c>
      <c r="C45" s="4" t="str">
        <f>IFERROR(__xludf.DUMMYFUNCTION("""COMPUTED_VALUE"""),"Lana Wachowski")</f>
        <v>Lana Wachowski</v>
      </c>
      <c r="D45" s="4">
        <f t="array" ref="D45">IFERROR(AVERAGEIFS($B$2:$B$3757, $A$2:$A$3757, C45:C3799), "")</f>
        <v>6.916666667</v>
      </c>
      <c r="E45" s="4">
        <f t="shared" si="1"/>
        <v>72.6</v>
      </c>
      <c r="F45" s="4" t="str">
        <f t="array" ref="F45">IF(D45&gt;=_xlfn.PERCENTILE.INC(D45:D1703, 0.9), "High", "Low")</f>
        <v>Low</v>
      </c>
      <c r="L45" s="4" t="str">
        <f t="shared" si="2"/>
        <v/>
      </c>
    </row>
    <row r="46" ht="14.25" customHeight="1">
      <c r="A46" s="1" t="s">
        <v>324</v>
      </c>
      <c r="B46" s="1">
        <v>7.2</v>
      </c>
      <c r="C46" s="4" t="str">
        <f>IFERROR(__xludf.DUMMYFUNCTION("""COMPUTED_VALUE"""),"Pete Docter")</f>
        <v>Pete Docter</v>
      </c>
      <c r="D46" s="4">
        <f t="array" ref="D46">IFERROR(AVERAGEIFS($B$2:$B$3757, $A$2:$A$3757, C46:C3800), "")</f>
        <v>8.233333333</v>
      </c>
      <c r="E46" s="4">
        <f t="shared" si="1"/>
        <v>99.2</v>
      </c>
      <c r="F46" s="4" t="str">
        <f t="array" ref="F46">IF(D46&gt;=_xlfn.PERCENTILE.INC(D46:D1704, 0.9), "High", "Low")</f>
        <v>High</v>
      </c>
      <c r="L46" s="4" t="str">
        <f t="shared" si="2"/>
        <v/>
      </c>
    </row>
    <row r="47" ht="14.25" customHeight="1">
      <c r="A47" s="1" t="s">
        <v>117</v>
      </c>
      <c r="B47" s="1">
        <v>7.0</v>
      </c>
      <c r="C47" s="4" t="str">
        <f>IFERROR(__xludf.DUMMYFUNCTION("""COMPUTED_VALUE"""),"Rob Letterman")</f>
        <v>Rob Letterman</v>
      </c>
      <c r="D47" s="4">
        <f t="array" ref="D47">IFERROR(AVERAGEIFS($B$2:$B$3757, $A$2:$A$3757, C47:C3801), "")</f>
        <v>6.05</v>
      </c>
      <c r="E47" s="4">
        <f t="shared" si="1"/>
        <v>35.6</v>
      </c>
      <c r="F47" s="4" t="str">
        <f t="array" ref="F47">IF(D47&gt;=_xlfn.PERCENTILE.INC(D47:D1705, 0.9), "High", "Low")</f>
        <v>Low</v>
      </c>
      <c r="L47" s="4" t="str">
        <f t="shared" si="2"/>
        <v/>
      </c>
    </row>
    <row r="48" ht="14.25" customHeight="1">
      <c r="A48" s="1" t="s">
        <v>110</v>
      </c>
      <c r="B48" s="1">
        <v>8.0</v>
      </c>
      <c r="C48" s="4" t="str">
        <f>IFERROR(__xludf.DUMMYFUNCTION("""COMPUTED_VALUE"""),"Jon Favreau")</f>
        <v>Jon Favreau</v>
      </c>
      <c r="D48" s="4">
        <f t="array" ref="D48">IFERROR(AVERAGEIFS($B$2:$B$3757, $A$2:$A$3757, C48:C3802), "")</f>
        <v>7.128571429</v>
      </c>
      <c r="E48" s="4">
        <f t="shared" si="1"/>
        <v>81.2</v>
      </c>
      <c r="F48" s="4" t="str">
        <f t="array" ref="F48">IF(D48&gt;=_xlfn.PERCENTILE.INC(D48:D1706, 0.9), "High", "Low")</f>
        <v>Low</v>
      </c>
      <c r="L48" s="4" t="str">
        <f t="shared" si="2"/>
        <v/>
      </c>
    </row>
    <row r="49" ht="14.25" customHeight="1">
      <c r="A49" s="1" t="s">
        <v>343</v>
      </c>
      <c r="B49" s="1">
        <v>7.8</v>
      </c>
      <c r="C49" s="4" t="str">
        <f>IFERROR(__xludf.DUMMYFUNCTION("""COMPUTED_VALUE"""),"Martin Scorsese")</f>
        <v>Martin Scorsese</v>
      </c>
      <c r="D49" s="4">
        <f t="array" ref="D49">IFERROR(AVERAGEIFS($B$2:$B$3757, $A$2:$A$3757, C49:C3803), "")</f>
        <v>7.675</v>
      </c>
      <c r="E49" s="4">
        <f t="shared" si="1"/>
        <v>94.1</v>
      </c>
      <c r="F49" s="4" t="str">
        <f t="array" ref="F49">IF(D49&gt;=_xlfn.PERCENTILE.INC(D49:D1707, 0.9), "High", "Low")</f>
        <v>High</v>
      </c>
      <c r="L49" s="4" t="str">
        <f t="shared" si="2"/>
        <v/>
      </c>
    </row>
    <row r="50" ht="14.25" customHeight="1">
      <c r="A50" s="1" t="s">
        <v>110</v>
      </c>
      <c r="B50" s="1">
        <v>6.3</v>
      </c>
      <c r="C50" s="4" t="str">
        <f>IFERROR(__xludf.DUMMYFUNCTION("""COMPUTED_VALUE"""),"Rob Cohen")</f>
        <v>Rob Cohen</v>
      </c>
      <c r="D50" s="4">
        <f t="array" ref="D50">IFERROR(AVERAGEIFS($B$2:$B$3757, $A$2:$A$3757, C50:C3804), "")</f>
        <v>5.781818182</v>
      </c>
      <c r="E50" s="4">
        <f t="shared" si="1"/>
        <v>26.1</v>
      </c>
      <c r="F50" s="4" t="str">
        <f t="array" ref="F50">IF(D50&gt;=_xlfn.PERCENTILE.INC(D50:D1708, 0.9), "High", "Low")</f>
        <v>Low</v>
      </c>
      <c r="L50" s="4" t="str">
        <f t="shared" si="2"/>
        <v/>
      </c>
    </row>
    <row r="51" ht="14.25" customHeight="1">
      <c r="A51" s="1" t="s">
        <v>356</v>
      </c>
      <c r="B51" s="1">
        <v>7.3</v>
      </c>
      <c r="C51" s="4" t="str">
        <f>IFERROR(__xludf.DUMMYFUNCTION("""COMPUTED_VALUE"""),"David Ayer")</f>
        <v>David Ayer</v>
      </c>
      <c r="D51" s="4">
        <f t="array" ref="D51">IFERROR(AVERAGEIFS($B$2:$B$3757, $A$2:$A$3757, C51:C3805), "")</f>
        <v>6.771428571</v>
      </c>
      <c r="E51" s="4">
        <f t="shared" si="1"/>
        <v>65.2</v>
      </c>
      <c r="F51" s="4" t="str">
        <f t="array" ref="F51">IF(D51&gt;=_xlfn.PERCENTILE.INC(D51:D1709, 0.9), "High", "Low")</f>
        <v>Low</v>
      </c>
      <c r="L51" s="4" t="str">
        <f t="shared" si="2"/>
        <v/>
      </c>
    </row>
    <row r="52" ht="14.25" customHeight="1">
      <c r="A52" s="1" t="s">
        <v>363</v>
      </c>
      <c r="B52" s="1">
        <v>6.6</v>
      </c>
      <c r="C52" s="4" t="str">
        <f>IFERROR(__xludf.DUMMYFUNCTION("""COMPUTED_VALUE"""),"Tom Shadyac")</f>
        <v>Tom Shadyac</v>
      </c>
      <c r="D52" s="4">
        <f t="array" ref="D52">IFERROR(AVERAGEIFS($B$2:$B$3757, $A$2:$A$3757, C52:C3806), "")</f>
        <v>6.314285714</v>
      </c>
      <c r="E52" s="4">
        <f t="shared" si="1"/>
        <v>46.5</v>
      </c>
      <c r="F52" s="4" t="str">
        <f t="array" ref="F52">IF(D52&gt;=_xlfn.PERCENTILE.INC(D52:D1710, 0.9), "High", "Low")</f>
        <v>Low</v>
      </c>
      <c r="L52" s="4" t="str">
        <f t="shared" si="2"/>
        <v/>
      </c>
    </row>
    <row r="53" ht="14.25" customHeight="1">
      <c r="A53" s="1" t="s">
        <v>370</v>
      </c>
      <c r="B53" s="1">
        <v>7.0</v>
      </c>
      <c r="C53" s="4" t="str">
        <f>IFERROR(__xludf.DUMMYFUNCTION("""COMPUTED_VALUE"""),"Doug Liman")</f>
        <v>Doug Liman</v>
      </c>
      <c r="D53" s="4">
        <f t="array" ref="D53">IFERROR(AVERAGEIFS($B$2:$B$3757, $A$2:$A$3757, C53:C3807), "")</f>
        <v>7.128571429</v>
      </c>
      <c r="E53" s="4">
        <f t="shared" si="1"/>
        <v>81.3</v>
      </c>
      <c r="F53" s="4" t="str">
        <f t="array" ref="F53">IF(D53&gt;=_xlfn.PERCENTILE.INC(D53:D1711, 0.9), "High", "Low")</f>
        <v>Low</v>
      </c>
      <c r="L53" s="4" t="str">
        <f t="shared" si="2"/>
        <v/>
      </c>
    </row>
    <row r="54" ht="14.25" customHeight="1">
      <c r="A54" s="1" t="s">
        <v>270</v>
      </c>
      <c r="B54" s="1">
        <v>6.3</v>
      </c>
      <c r="C54" s="4" t="str">
        <f>IFERROR(__xludf.DUMMYFUNCTION("""COMPUTED_VALUE"""),"Kevin Reynolds")</f>
        <v>Kevin Reynolds</v>
      </c>
      <c r="D54" s="4">
        <f t="array" ref="D54">IFERROR(AVERAGEIFS($B$2:$B$3757, $A$2:$A$3757, C54:C3808), "")</f>
        <v>6.68</v>
      </c>
      <c r="E54" s="4">
        <f t="shared" si="1"/>
        <v>61.4</v>
      </c>
      <c r="F54" s="4" t="str">
        <f t="array" ref="F54">IF(D54&gt;=_xlfn.PERCENTILE.INC(D54:D1712, 0.9), "High", "Low")</f>
        <v>Low</v>
      </c>
      <c r="L54" s="4" t="str">
        <f t="shared" si="2"/>
        <v/>
      </c>
    </row>
    <row r="55" ht="14.25" customHeight="1">
      <c r="A55" s="1" t="s">
        <v>381</v>
      </c>
      <c r="B55" s="1">
        <v>6.2</v>
      </c>
      <c r="C55" s="4" t="str">
        <f>IFERROR(__xludf.DUMMYFUNCTION("""COMPUTED_VALUE"""),"Stephen Sommers")</f>
        <v>Stephen Sommers</v>
      </c>
      <c r="D55" s="4">
        <f t="array" ref="D55">IFERROR(AVERAGEIFS($B$2:$B$3757, $A$2:$A$3757, C55:C3809), "")</f>
        <v>6.075</v>
      </c>
      <c r="E55" s="4">
        <f t="shared" si="1"/>
        <v>36.1</v>
      </c>
      <c r="F55" s="4" t="str">
        <f t="array" ref="F55">IF(D55&gt;=_xlfn.PERCENTILE.INC(D55:D1713, 0.9), "High", "Low")</f>
        <v>Low</v>
      </c>
      <c r="L55" s="4" t="str">
        <f t="shared" si="2"/>
        <v/>
      </c>
    </row>
    <row r="56" ht="14.25" customHeight="1">
      <c r="A56" s="1" t="s">
        <v>388</v>
      </c>
      <c r="B56" s="1">
        <v>7.2</v>
      </c>
      <c r="C56" s="4" t="str">
        <f>IFERROR(__xludf.DUMMYFUNCTION("""COMPUTED_VALUE"""),"Rupert Sanders")</f>
        <v>Rupert Sanders</v>
      </c>
      <c r="D56" s="4">
        <f t="array" ref="D56">IFERROR(AVERAGEIFS($B$2:$B$3757, $A$2:$A$3757, C56:C3810), "")</f>
        <v>6.1</v>
      </c>
      <c r="E56" s="4">
        <f t="shared" si="1"/>
        <v>36.3</v>
      </c>
      <c r="F56" s="4" t="str">
        <f t="array" ref="F56">IF(D56&gt;=_xlfn.PERCENTILE.INC(D56:D1714, 0.9), "High", "Low")</f>
        <v>Low</v>
      </c>
      <c r="L56" s="4" t="str">
        <f t="shared" si="2"/>
        <v/>
      </c>
    </row>
    <row r="57" ht="14.25" customHeight="1">
      <c r="A57" s="1" t="s">
        <v>394</v>
      </c>
      <c r="B57" s="1">
        <v>7.5</v>
      </c>
      <c r="C57" s="4" t="str">
        <f>IFERROR(__xludf.DUMMYFUNCTION("""COMPUTED_VALUE"""),"Robert Stromberg")</f>
        <v>Robert Stromberg</v>
      </c>
      <c r="D57" s="4">
        <f t="array" ref="D57">IFERROR(AVERAGEIFS($B$2:$B$3757, $A$2:$A$3757, C57:C3811), "")</f>
        <v>7</v>
      </c>
      <c r="E57" s="4">
        <f t="shared" si="1"/>
        <v>73.9</v>
      </c>
      <c r="F57" s="4" t="str">
        <f t="array" ref="F57">IF(D57&gt;=_xlfn.PERCENTILE.INC(D57:D1715, 0.9), "High", "Low")</f>
        <v>Low</v>
      </c>
      <c r="L57" s="4" t="str">
        <f t="shared" si="2"/>
        <v/>
      </c>
    </row>
    <row r="58" ht="14.25" customHeight="1">
      <c r="A58" s="1" t="s">
        <v>63</v>
      </c>
      <c r="B58" s="1">
        <v>8.4</v>
      </c>
      <c r="C58" s="4" t="str">
        <f>IFERROR(__xludf.DUMMYFUNCTION("""COMPUTED_VALUE"""),"Matt Reeves")</f>
        <v>Matt Reeves</v>
      </c>
      <c r="D58" s="4">
        <f t="array" ref="D58">IFERROR(AVERAGEIFS($B$2:$B$3757, $A$2:$A$3757, C58:C3812), "")</f>
        <v>7.266666667</v>
      </c>
      <c r="E58" s="4">
        <f t="shared" si="1"/>
        <v>85.4</v>
      </c>
      <c r="F58" s="4" t="str">
        <f t="array" ref="F58">IF(D58&gt;=_xlfn.PERCENTILE.INC(D58:D1716, 0.9), "High", "Low")</f>
        <v>Low</v>
      </c>
      <c r="L58" s="4" t="str">
        <f t="shared" si="2"/>
        <v/>
      </c>
    </row>
    <row r="59" ht="14.25" customHeight="1">
      <c r="A59" s="1" t="s">
        <v>252</v>
      </c>
      <c r="B59" s="1">
        <v>6.2</v>
      </c>
      <c r="C59" s="4" t="str">
        <f>IFERROR(__xludf.DUMMYFUNCTION("""COMPUTED_VALUE"""),"Carl Rinsch")</f>
        <v>Carl Rinsch</v>
      </c>
      <c r="D59" s="4">
        <f t="array" ref="D59">IFERROR(AVERAGEIFS($B$2:$B$3757, $A$2:$A$3757, C59:C3813), "")</f>
        <v>6.3</v>
      </c>
      <c r="E59" s="4">
        <f t="shared" si="1"/>
        <v>43.7</v>
      </c>
      <c r="F59" s="4" t="str">
        <f t="array" ref="F59">IF(D59&gt;=_xlfn.PERCENTILE.INC(D59:D1717, 0.9), "High", "Low")</f>
        <v>Low</v>
      </c>
      <c r="L59" s="4" t="str">
        <f t="shared" si="2"/>
        <v/>
      </c>
    </row>
    <row r="60" ht="14.25" customHeight="1">
      <c r="A60" s="1" t="s">
        <v>414</v>
      </c>
      <c r="B60" s="1">
        <v>5.8</v>
      </c>
      <c r="C60" s="4" t="str">
        <f>IFERROR(__xludf.DUMMYFUNCTION("""COMPUTED_VALUE"""),"Mike Mitchell")</f>
        <v>Mike Mitchell</v>
      </c>
      <c r="D60" s="4">
        <f t="array" ref="D60">IFERROR(AVERAGEIFS($B$2:$B$3757, $A$2:$A$3757, C60:C3814), "")</f>
        <v>5.675</v>
      </c>
      <c r="E60" s="4">
        <f t="shared" si="1"/>
        <v>23.9</v>
      </c>
      <c r="F60" s="4" t="str">
        <f t="array" ref="F60">IF(D60&gt;=_xlfn.PERCENTILE.INC(D60:D1718, 0.9), "High", "Low")</f>
        <v>Low</v>
      </c>
      <c r="L60" s="4" t="str">
        <f t="shared" si="2"/>
        <v/>
      </c>
    </row>
    <row r="61" ht="14.25" customHeight="1">
      <c r="A61" s="1" t="s">
        <v>420</v>
      </c>
      <c r="B61" s="1">
        <v>6.8</v>
      </c>
      <c r="C61" s="4" t="str">
        <f>IFERROR(__xludf.DUMMYFUNCTION("""COMPUTED_VALUE"""),"Brad Bird")</f>
        <v>Brad Bird</v>
      </c>
      <c r="D61" s="4">
        <f t="array" ref="D61">IFERROR(AVERAGEIFS($B$2:$B$3757, $A$2:$A$3757, C61:C3815), "")</f>
        <v>7.58</v>
      </c>
      <c r="E61" s="4">
        <f t="shared" si="1"/>
        <v>91.7</v>
      </c>
      <c r="F61" s="4" t="str">
        <f t="array" ref="F61">IF(D61&gt;=_xlfn.PERCENTILE.INC(D61:D1719, 0.9), "High", "Low")</f>
        <v>High</v>
      </c>
      <c r="L61" s="4" t="str">
        <f t="shared" si="2"/>
        <v/>
      </c>
    </row>
    <row r="62" ht="14.25" customHeight="1">
      <c r="A62" s="1" t="s">
        <v>428</v>
      </c>
      <c r="B62" s="1">
        <v>5.4</v>
      </c>
      <c r="C62" s="4" t="str">
        <f>IFERROR(__xludf.DUMMYFUNCTION("""COMPUTED_VALUE"""),"Don Hall")</f>
        <v>Don Hall</v>
      </c>
      <c r="D62" s="4">
        <f t="array" ref="D62">IFERROR(AVERAGEIFS($B$2:$B$3757, $A$2:$A$3757, C62:C3816), "")</f>
        <v>7.9</v>
      </c>
      <c r="E62" s="4">
        <f t="shared" si="1"/>
        <v>97.3</v>
      </c>
      <c r="F62" s="4" t="str">
        <f t="array" ref="F62">IF(D62&gt;=_xlfn.PERCENTILE.INC(D62:D1720, 0.9), "High", "Low")</f>
        <v>High</v>
      </c>
      <c r="L62" s="4" t="str">
        <f t="shared" si="2"/>
        <v/>
      </c>
    </row>
    <row r="63" ht="14.25" customHeight="1">
      <c r="A63" s="1" t="s">
        <v>95</v>
      </c>
      <c r="B63" s="1">
        <v>6.6</v>
      </c>
      <c r="C63" s="4" t="str">
        <f>IFERROR(__xludf.DUMMYFUNCTION("""COMPUTED_VALUE"""),"Rich Moore")</f>
        <v>Rich Moore</v>
      </c>
      <c r="D63" s="4">
        <f t="array" ref="D63">IFERROR(AVERAGEIFS($B$2:$B$3757, $A$2:$A$3757, C63:C3817), "")</f>
        <v>7.8</v>
      </c>
      <c r="E63" s="4">
        <f t="shared" si="1"/>
        <v>96.2</v>
      </c>
      <c r="F63" s="4" t="str">
        <f t="array" ref="F63">IF(D63&gt;=_xlfn.PERCENTILE.INC(D63:D1721, 0.9), "High", "Low")</f>
        <v>High</v>
      </c>
      <c r="L63" s="4" t="str">
        <f t="shared" si="2"/>
        <v/>
      </c>
    </row>
    <row r="64" ht="14.25" customHeight="1">
      <c r="A64" s="1" t="s">
        <v>138</v>
      </c>
      <c r="B64" s="1">
        <v>6.9</v>
      </c>
      <c r="C64" s="4" t="str">
        <f>IFERROR(__xludf.DUMMYFUNCTION("""COMPUTED_VALUE"""),"Dean DeBlois")</f>
        <v>Dean DeBlois</v>
      </c>
      <c r="D64" s="4">
        <f t="array" ref="D64">IFERROR(AVERAGEIFS($B$2:$B$3757, $A$2:$A$3757, C64:C3818), "")</f>
        <v>7.766666667</v>
      </c>
      <c r="E64" s="4">
        <f t="shared" si="1"/>
        <v>96.2</v>
      </c>
      <c r="F64" s="4" t="str">
        <f t="array" ref="F64">IF(D64&gt;=_xlfn.PERCENTILE.INC(D64:D1722, 0.9), "High", "Low")</f>
        <v>High</v>
      </c>
      <c r="L64" s="4" t="str">
        <f t="shared" si="2"/>
        <v/>
      </c>
    </row>
    <row r="65" ht="14.25" customHeight="1">
      <c r="A65" s="1" t="s">
        <v>110</v>
      </c>
      <c r="B65" s="1">
        <v>7.3</v>
      </c>
      <c r="C65" s="4" t="str">
        <f>IFERROR(__xludf.DUMMYFUNCTION("""COMPUTED_VALUE"""),"Jonathan Mostow")</f>
        <v>Jonathan Mostow</v>
      </c>
      <c r="D65" s="4">
        <f t="array" ref="D65">IFERROR(AVERAGEIFS($B$2:$B$3757, $A$2:$A$3757, C65:C3819), "")</f>
        <v>6.55</v>
      </c>
      <c r="E65" s="4">
        <f t="shared" si="1"/>
        <v>56.1</v>
      </c>
      <c r="F65" s="4" t="str">
        <f t="array" ref="F65">IF(D65&gt;=_xlfn.PERCENTILE.INC(D65:D1723, 0.9), "High", "Low")</f>
        <v>Low</v>
      </c>
      <c r="L65" s="4" t="str">
        <f t="shared" si="2"/>
        <v/>
      </c>
    </row>
    <row r="66" ht="14.25" customHeight="1">
      <c r="A66" s="1" t="s">
        <v>55</v>
      </c>
      <c r="B66" s="1">
        <v>9.0</v>
      </c>
      <c r="C66" s="4" t="str">
        <f>IFERROR(__xludf.DUMMYFUNCTION("""COMPUTED_VALUE"""),"James Gunn")</f>
        <v>James Gunn</v>
      </c>
      <c r="D66" s="4">
        <f t="array" ref="D66">IFERROR(AVERAGEIFS($B$2:$B$3757, $A$2:$A$3757, C66:C3820), "")</f>
        <v>7.133333333</v>
      </c>
      <c r="E66" s="4">
        <f t="shared" si="1"/>
        <v>81.5</v>
      </c>
      <c r="F66" s="4" t="str">
        <f t="array" ref="F66">IF(D66&gt;=_xlfn.PERCENTILE.INC(D66:D1724, 0.9), "High", "Low")</f>
        <v>Low</v>
      </c>
      <c r="L66" s="4" t="str">
        <f t="shared" si="2"/>
        <v/>
      </c>
    </row>
    <row r="67" ht="14.25" customHeight="1">
      <c r="A67" s="1" t="s">
        <v>454</v>
      </c>
      <c r="B67" s="1">
        <v>8.3</v>
      </c>
      <c r="C67" s="4" t="str">
        <f>IFERROR(__xludf.DUMMYFUNCTION("""COMPUTED_VALUE"""),"David Fincher")</f>
        <v>David Fincher</v>
      </c>
      <c r="D67" s="4">
        <f t="array" ref="D67">IFERROR(AVERAGEIFS($B$2:$B$3757, $A$2:$A$3757, C67:C3821), "")</f>
        <v>7.75</v>
      </c>
      <c r="E67" s="4">
        <f t="shared" si="1"/>
        <v>95.9</v>
      </c>
      <c r="F67" s="4" t="str">
        <f t="array" ref="F67">IF(D67&gt;=_xlfn.PERCENTILE.INC(D67:D1725, 0.9), "High", "Low")</f>
        <v>High</v>
      </c>
      <c r="L67" s="4" t="str">
        <f t="shared" si="2"/>
        <v/>
      </c>
    </row>
    <row r="68" ht="14.25" customHeight="1">
      <c r="A68" s="1" t="s">
        <v>461</v>
      </c>
      <c r="B68" s="1">
        <v>6.5</v>
      </c>
      <c r="C68" s="4" t="str">
        <f>IFERROR(__xludf.DUMMYFUNCTION("""COMPUTED_VALUE"""),"Matthew Vaughn")</f>
        <v>Matthew Vaughn</v>
      </c>
      <c r="D68" s="4">
        <f t="array" ref="D68">IFERROR(AVERAGEIFS($B$2:$B$3757, $A$2:$A$3757, C68:C3822), "")</f>
        <v>7.65</v>
      </c>
      <c r="E68" s="4">
        <f t="shared" si="1"/>
        <v>94</v>
      </c>
      <c r="F68" s="4" t="str">
        <f t="array" ref="F68">IF(D68&gt;=_xlfn.PERCENTILE.INC(D68:D1726, 0.9), "High", "Low")</f>
        <v>High</v>
      </c>
      <c r="L68" s="4" t="str">
        <f t="shared" si="2"/>
        <v/>
      </c>
    </row>
    <row r="69" ht="14.25" customHeight="1">
      <c r="A69" s="1" t="s">
        <v>243</v>
      </c>
      <c r="B69" s="1">
        <v>7.9</v>
      </c>
      <c r="C69" s="4" t="str">
        <f>IFERROR(__xludf.DUMMYFUNCTION("""COMPUTED_VALUE"""),"Francis Lawrence")</f>
        <v>Francis Lawrence</v>
      </c>
      <c r="D69" s="4">
        <f t="array" ref="D69">IFERROR(AVERAGEIFS($B$2:$B$3757, $A$2:$A$3757, C69:C3823), "")</f>
        <v>7</v>
      </c>
      <c r="E69" s="4">
        <f t="shared" si="1"/>
        <v>74.3</v>
      </c>
      <c r="F69" s="4" t="str">
        <f t="array" ref="F69">IF(D69&gt;=_xlfn.PERCENTILE.INC(D69:D1727, 0.9), "High", "Low")</f>
        <v>Low</v>
      </c>
      <c r="L69" s="4" t="str">
        <f t="shared" si="2"/>
        <v/>
      </c>
    </row>
    <row r="70" ht="14.25" customHeight="1">
      <c r="A70" s="1" t="s">
        <v>472</v>
      </c>
      <c r="B70" s="1">
        <v>7.5</v>
      </c>
      <c r="C70" s="4" t="str">
        <f>IFERROR(__xludf.DUMMYFUNCTION("""COMPUTED_VALUE"""),"Jon Turteltaub")</f>
        <v>Jon Turteltaub</v>
      </c>
      <c r="D70" s="4">
        <f t="array" ref="D70">IFERROR(AVERAGEIFS($B$2:$B$3757, $A$2:$A$3757, C70:C3824), "")</f>
        <v>6.5</v>
      </c>
      <c r="E70" s="4">
        <f t="shared" si="1"/>
        <v>52.2</v>
      </c>
      <c r="F70" s="4" t="str">
        <f t="array" ref="F70">IF(D70&gt;=_xlfn.PERCENTILE.INC(D70:D1728, 0.9), "High", "Low")</f>
        <v>Low</v>
      </c>
      <c r="L70" s="4" t="str">
        <f t="shared" si="2"/>
        <v/>
      </c>
    </row>
    <row r="71" ht="14.25" customHeight="1">
      <c r="A71" s="1" t="s">
        <v>155</v>
      </c>
      <c r="B71" s="1">
        <v>4.8</v>
      </c>
      <c r="C71" s="4" t="str">
        <f>IFERROR(__xludf.DUMMYFUNCTION("""COMPUTED_VALUE"""),"Wolfgang Petersen")</f>
        <v>Wolfgang Petersen</v>
      </c>
      <c r="D71" s="4">
        <f t="array" ref="D71">IFERROR(AVERAGEIFS($B$2:$B$3757, $A$2:$A$3757, C71:C3825), "")</f>
        <v>6.766666667</v>
      </c>
      <c r="E71" s="4">
        <f t="shared" si="1"/>
        <v>65.3</v>
      </c>
      <c r="F71" s="4" t="str">
        <f t="array" ref="F71">IF(D71&gt;=_xlfn.PERCENTILE.INC(D71:D1729, 0.9), "High", "Low")</f>
        <v>Low</v>
      </c>
      <c r="L71" s="4" t="str">
        <f t="shared" si="2"/>
        <v/>
      </c>
    </row>
    <row r="72" ht="14.25" customHeight="1">
      <c r="A72" s="1" t="s">
        <v>484</v>
      </c>
      <c r="B72" s="1">
        <v>5.2</v>
      </c>
      <c r="C72" s="4" t="str">
        <f>IFERROR(__xludf.DUMMYFUNCTION("""COMPUTED_VALUE"""),"James Bobin")</f>
        <v>James Bobin</v>
      </c>
      <c r="D72" s="4">
        <f t="array" ref="D72">IFERROR(AVERAGEIFS($B$2:$B$3757, $A$2:$A$3757, C72:C3826), "")</f>
        <v>6.633333333</v>
      </c>
      <c r="E72" s="4">
        <f t="shared" si="1"/>
        <v>60.4</v>
      </c>
      <c r="F72" s="4" t="str">
        <f t="array" ref="F72">IF(D72&gt;=_xlfn.PERCENTILE.INC(D72:D1730, 0.9), "High", "Low")</f>
        <v>Low</v>
      </c>
      <c r="L72" s="4" t="str">
        <f t="shared" si="2"/>
        <v/>
      </c>
    </row>
    <row r="73" ht="14.25" customHeight="1">
      <c r="A73" s="1" t="s">
        <v>492</v>
      </c>
      <c r="B73" s="1">
        <v>6.9</v>
      </c>
      <c r="C73" s="4" t="str">
        <f>IFERROR(__xludf.DUMMYFUNCTION("""COMPUTED_VALUE"""),"Chris Miller")</f>
        <v>Chris Miller</v>
      </c>
      <c r="D73" s="4">
        <f t="array" ref="D73">IFERROR(AVERAGEIFS($B$2:$B$3757, $A$2:$A$3757, C73:C3827), "")</f>
        <v>6.4</v>
      </c>
      <c r="E73" s="4">
        <f t="shared" si="1"/>
        <v>48.3</v>
      </c>
      <c r="F73" s="4" t="str">
        <f t="array" ref="F73">IF(D73&gt;=_xlfn.PERCENTILE.INC(D73:D1731, 0.9), "High", "Low")</f>
        <v>Low</v>
      </c>
      <c r="L73" s="4" t="str">
        <f t="shared" si="2"/>
        <v/>
      </c>
    </row>
    <row r="74" ht="14.25" customHeight="1">
      <c r="A74" s="1" t="s">
        <v>499</v>
      </c>
      <c r="B74" s="1">
        <v>5.4</v>
      </c>
      <c r="C74" s="4" t="str">
        <f>IFERROR(__xludf.DUMMYFUNCTION("""COMPUTED_VALUE"""),"Duncan Jones")</f>
        <v>Duncan Jones</v>
      </c>
      <c r="D74" s="4">
        <f t="array" ref="D74">IFERROR(AVERAGEIFS($B$2:$B$3757, $A$2:$A$3757, C74:C3828), "")</f>
        <v>7.566666667</v>
      </c>
      <c r="E74" s="4">
        <f t="shared" si="1"/>
        <v>91.9</v>
      </c>
      <c r="F74" s="4" t="str">
        <f t="array" ref="F74">IF(D74&gt;=_xlfn.PERCENTILE.INC(D74:D1732, 0.9), "High", "Low")</f>
        <v>High</v>
      </c>
      <c r="L74" s="4" t="str">
        <f t="shared" si="2"/>
        <v/>
      </c>
    </row>
    <row r="75" ht="14.25" customHeight="1">
      <c r="A75" s="1" t="s">
        <v>506</v>
      </c>
      <c r="B75" s="1">
        <v>7.9</v>
      </c>
      <c r="C75" s="4" t="str">
        <f>IFERROR(__xludf.DUMMYFUNCTION("""COMPUTED_VALUE"""),"Alan Taylor")</f>
        <v>Alan Taylor</v>
      </c>
      <c r="D75" s="4">
        <f t="array" ref="D75">IFERROR(AVERAGEIFS($B$2:$B$3757, $A$2:$A$3757, C75:C3829), "")</f>
        <v>6.85</v>
      </c>
      <c r="E75" s="4">
        <f t="shared" si="1"/>
        <v>69</v>
      </c>
      <c r="F75" s="4" t="str">
        <f t="array" ref="F75">IF(D75&gt;=_xlfn.PERCENTILE.INC(D75:D1733, 0.9), "High", "Low")</f>
        <v>Low</v>
      </c>
      <c r="L75" s="4" t="str">
        <f t="shared" si="2"/>
        <v/>
      </c>
    </row>
    <row r="76" ht="14.25" customHeight="1">
      <c r="A76" s="1" t="s">
        <v>513</v>
      </c>
      <c r="B76" s="1">
        <v>6.1</v>
      </c>
      <c r="C76" s="4" t="str">
        <f>IFERROR(__xludf.DUMMYFUNCTION("""COMPUTED_VALUE"""),"Michael Apted")</f>
        <v>Michael Apted</v>
      </c>
      <c r="D76" s="4">
        <f t="array" ref="D76">IFERROR(AVERAGEIFS($B$2:$B$3757, $A$2:$A$3757, C76:C3830), "")</f>
        <v>6.32</v>
      </c>
      <c r="E76" s="4">
        <f t="shared" si="1"/>
        <v>46.9</v>
      </c>
      <c r="F76" s="4" t="str">
        <f t="array" ref="F76">IF(D76&gt;=_xlfn.PERCENTILE.INC(D76:D1734, 0.9), "High", "Low")</f>
        <v>Low</v>
      </c>
      <c r="L76" s="4" t="str">
        <f t="shared" si="2"/>
        <v/>
      </c>
    </row>
    <row r="77" ht="14.25" customHeight="1">
      <c r="A77" s="1" t="s">
        <v>520</v>
      </c>
      <c r="B77" s="1">
        <v>5.8</v>
      </c>
      <c r="C77" s="4" t="str">
        <f>IFERROR(__xludf.DUMMYFUNCTION("""COMPUTED_VALUE"""),"Oliver Stone")</f>
        <v>Oliver Stone</v>
      </c>
      <c r="D77" s="4">
        <f t="array" ref="D77">IFERROR(AVERAGEIFS($B$2:$B$3757, $A$2:$A$3757, C77:C3831), "")</f>
        <v>6.907692308</v>
      </c>
      <c r="E77" s="4">
        <f t="shared" si="1"/>
        <v>72.9</v>
      </c>
      <c r="F77" s="4" t="str">
        <f t="array" ref="F77">IF(D77&gt;=_xlfn.PERCENTILE.INC(D77:D1735, 0.9), "High", "Low")</f>
        <v>Low</v>
      </c>
      <c r="L77" s="4" t="str">
        <f t="shared" si="2"/>
        <v/>
      </c>
    </row>
    <row r="78" ht="14.25" customHeight="1">
      <c r="A78" s="1" t="s">
        <v>454</v>
      </c>
      <c r="B78" s="1">
        <v>8.3</v>
      </c>
      <c r="C78" s="4" t="str">
        <f>IFERROR(__xludf.DUMMYFUNCTION("""COMPUTED_VALUE"""),"Eric Darnell")</f>
        <v>Eric Darnell</v>
      </c>
      <c r="D78" s="4">
        <f t="array" ref="D78">IFERROR(AVERAGEIFS($B$2:$B$3757, $A$2:$A$3757, C78:C3832), "")</f>
        <v>6.76</v>
      </c>
      <c r="E78" s="4">
        <f t="shared" si="1"/>
        <v>65.1</v>
      </c>
      <c r="F78" s="4" t="str">
        <f t="array" ref="F78">IF(D78&gt;=_xlfn.PERCENTILE.INC(D78:D1736, 0.9), "High", "Low")</f>
        <v>Low</v>
      </c>
      <c r="L78" s="4" t="str">
        <f t="shared" si="2"/>
        <v/>
      </c>
    </row>
    <row r="79" ht="14.25" customHeight="1">
      <c r="A79" s="1" t="s">
        <v>243</v>
      </c>
      <c r="B79" s="1">
        <v>7.8</v>
      </c>
      <c r="C79" s="4" t="str">
        <f>IFERROR(__xludf.DUMMYFUNCTION("""COMPUTED_VALUE"""),"Shawn Levy")</f>
        <v>Shawn Levy</v>
      </c>
      <c r="D79" s="4">
        <f t="array" ref="D79">IFERROR(AVERAGEIFS($B$2:$B$3757, $A$2:$A$3757, C79:C3833), "")</f>
        <v>6.033333333</v>
      </c>
      <c r="E79" s="4">
        <f t="shared" si="1"/>
        <v>35.5</v>
      </c>
      <c r="F79" s="4" t="str">
        <f t="array" ref="F79">IF(D79&gt;=_xlfn.PERCENTILE.INC(D79:D1737, 0.9), "High", "Low")</f>
        <v>Low</v>
      </c>
      <c r="L79" s="4" t="str">
        <f t="shared" si="2"/>
        <v/>
      </c>
    </row>
    <row r="80" ht="14.25" customHeight="1">
      <c r="A80" s="1" t="s">
        <v>243</v>
      </c>
      <c r="B80" s="1">
        <v>7.0</v>
      </c>
      <c r="C80" s="4" t="str">
        <f>IFERROR(__xludf.DUMMYFUNCTION("""COMPUTED_VALUE"""),"Gavin Hood")</f>
        <v>Gavin Hood</v>
      </c>
      <c r="D80" s="4">
        <f t="array" ref="D80">IFERROR(AVERAGEIFS($B$2:$B$3757, $A$2:$A$3757, C80:C3834), "")</f>
        <v>6.875</v>
      </c>
      <c r="E80" s="4">
        <f t="shared" si="1"/>
        <v>70.1</v>
      </c>
      <c r="F80" s="4" t="str">
        <f t="array" ref="F80">IF(D80&gt;=_xlfn.PERCENTILE.INC(D80:D1738, 0.9), "High", "Low")</f>
        <v>Low</v>
      </c>
      <c r="L80" s="4" t="str">
        <f t="shared" si="2"/>
        <v/>
      </c>
    </row>
    <row r="81" ht="14.25" customHeight="1">
      <c r="A81" s="1" t="s">
        <v>541</v>
      </c>
      <c r="B81" s="1">
        <v>6.1</v>
      </c>
      <c r="C81" s="4" t="str">
        <f>IFERROR(__xludf.DUMMYFUNCTION("""COMPUTED_VALUE"""),"Chris Buck")</f>
        <v>Chris Buck</v>
      </c>
      <c r="D81" s="4">
        <f t="array" ref="D81">IFERROR(AVERAGEIFS($B$2:$B$3757, $A$2:$A$3757, C81:C3835), "")</f>
        <v>7.6</v>
      </c>
      <c r="E81" s="4">
        <f t="shared" si="1"/>
        <v>92.1</v>
      </c>
      <c r="F81" s="4" t="str">
        <f t="array" ref="F81">IF(D81&gt;=_xlfn.PERCENTILE.INC(D81:D1739, 0.9), "High", "Low")</f>
        <v>High</v>
      </c>
      <c r="L81" s="4" t="str">
        <f t="shared" si="2"/>
        <v/>
      </c>
    </row>
    <row r="82" ht="14.25" customHeight="1">
      <c r="A82" s="1" t="s">
        <v>547</v>
      </c>
      <c r="B82" s="1">
        <v>7.0</v>
      </c>
      <c r="C82" s="4" t="str">
        <f>IFERROR(__xludf.DUMMYFUNCTION("""COMPUTED_VALUE"""),"George Miller")</f>
        <v>George Miller</v>
      </c>
      <c r="D82" s="4">
        <f t="array" ref="D82">IFERROR(AVERAGEIFS($B$2:$B$3757, $A$2:$A$3757, C82:C3836), "")</f>
        <v>6.683333333</v>
      </c>
      <c r="E82" s="4">
        <f t="shared" si="1"/>
        <v>61.9</v>
      </c>
      <c r="F82" s="4" t="str">
        <f t="array" ref="F82">IF(D82&gt;=_xlfn.PERCENTILE.INC(D82:D1740, 0.9), "High", "Low")</f>
        <v>Low</v>
      </c>
      <c r="L82" s="4" t="str">
        <f t="shared" si="2"/>
        <v/>
      </c>
    </row>
    <row r="83" ht="14.25" customHeight="1">
      <c r="A83" s="1" t="s">
        <v>555</v>
      </c>
      <c r="B83" s="1">
        <v>7.6</v>
      </c>
      <c r="C83" s="4" t="str">
        <f>IFERROR(__xludf.DUMMYFUNCTION("""COMPUTED_VALUE"""),"Ron Howard")</f>
        <v>Ron Howard</v>
      </c>
      <c r="D83" s="4">
        <f t="array" ref="D83">IFERROR(AVERAGEIFS($B$2:$B$3757, $A$2:$A$3757, C83:C3837), "")</f>
        <v>6.930769231</v>
      </c>
      <c r="E83" s="4">
        <f t="shared" si="1"/>
        <v>73.3</v>
      </c>
      <c r="F83" s="4" t="str">
        <f t="array" ref="F83">IF(D83&gt;=_xlfn.PERCENTILE.INC(D83:D1741, 0.9), "High", "Low")</f>
        <v>Low</v>
      </c>
      <c r="L83" s="4" t="str">
        <f t="shared" si="2"/>
        <v/>
      </c>
    </row>
    <row r="84" ht="14.25" customHeight="1">
      <c r="A84" s="1" t="s">
        <v>561</v>
      </c>
      <c r="B84" s="1">
        <v>6.3</v>
      </c>
      <c r="C84" s="4" t="str">
        <f>IFERROR(__xludf.DUMMYFUNCTION("""COMPUTED_VALUE"""),"Kenneth Branagh")</f>
        <v>Kenneth Branagh</v>
      </c>
      <c r="D84" s="4">
        <f t="array" ref="D84">IFERROR(AVERAGEIFS($B$2:$B$3757, $A$2:$A$3757, C84:C3838), "")</f>
        <v>7.2375</v>
      </c>
      <c r="E84" s="4">
        <f t="shared" si="1"/>
        <v>85.3</v>
      </c>
      <c r="F84" s="4" t="str">
        <f t="array" ref="F84">IF(D84&gt;=_xlfn.PERCENTILE.INC(D84:D1742, 0.9), "High", "Low")</f>
        <v>Low</v>
      </c>
      <c r="L84" s="4" t="str">
        <f t="shared" si="2"/>
        <v/>
      </c>
    </row>
    <row r="85" ht="14.25" customHeight="1">
      <c r="A85" s="1" t="s">
        <v>212</v>
      </c>
      <c r="B85" s="1">
        <v>7.8</v>
      </c>
      <c r="C85" s="4" t="str">
        <f>IFERROR(__xludf.DUMMYFUNCTION("""COMPUTED_VALUE"""),"Byron Howard")</f>
        <v>Byron Howard</v>
      </c>
      <c r="D85" s="4">
        <f t="array" ref="D85">IFERROR(AVERAGEIFS($B$2:$B$3757, $A$2:$A$3757, C85:C3839), "")</f>
        <v>6.9</v>
      </c>
      <c r="E85" s="4">
        <f t="shared" si="1"/>
        <v>70.5</v>
      </c>
      <c r="F85" s="4" t="str">
        <f t="array" ref="F85">IF(D85&gt;=_xlfn.PERCENTILE.INC(D85:D1743, 0.9), "High", "Low")</f>
        <v>Low</v>
      </c>
      <c r="L85" s="4" t="str">
        <f t="shared" si="2"/>
        <v/>
      </c>
    </row>
    <row r="86" ht="14.25" customHeight="1">
      <c r="A86" s="1" t="s">
        <v>572</v>
      </c>
      <c r="B86" s="1">
        <v>6.4</v>
      </c>
      <c r="C86" s="4" t="str">
        <f>IFERROR(__xludf.DUMMYFUNCTION("""COMPUTED_VALUE"""),"Hoyt Yeatman")</f>
        <v>Hoyt Yeatman</v>
      </c>
      <c r="D86" s="4">
        <f t="array" ref="D86">IFERROR(AVERAGEIFS($B$2:$B$3757, $A$2:$A$3757, C86:C3840), "")</f>
        <v>5.1</v>
      </c>
      <c r="E86" s="4">
        <f t="shared" si="1"/>
        <v>10</v>
      </c>
      <c r="F86" s="4" t="str">
        <f t="array" ref="F86">IF(D86&gt;=_xlfn.PERCENTILE.INC(D86:D1744, 0.9), "High", "Low")</f>
        <v>Low</v>
      </c>
      <c r="L86" s="4" t="str">
        <f t="shared" si="2"/>
        <v/>
      </c>
    </row>
    <row r="87" ht="14.25" customHeight="1">
      <c r="A87" s="1" t="s">
        <v>579</v>
      </c>
      <c r="B87" s="1">
        <v>6.5</v>
      </c>
      <c r="C87" s="4" t="str">
        <f>IFERROR(__xludf.DUMMYFUNCTION("""COMPUTED_VALUE"""),"Jonathan Liebesman")</f>
        <v>Jonathan Liebesman</v>
      </c>
      <c r="D87" s="4">
        <f t="array" ref="D87">IFERROR(AVERAGEIFS($B$2:$B$3757, $A$2:$A$3757, C87:C3841), "")</f>
        <v>5.7</v>
      </c>
      <c r="E87" s="4">
        <f t="shared" si="1"/>
        <v>24.3</v>
      </c>
      <c r="F87" s="4" t="str">
        <f t="array" ref="F87">IF(D87&gt;=_xlfn.PERCENTILE.INC(D87:D1745, 0.9), "High", "Low")</f>
        <v>Low</v>
      </c>
      <c r="L87" s="4" t="str">
        <f t="shared" si="2"/>
        <v/>
      </c>
    </row>
    <row r="88" ht="14.25" customHeight="1">
      <c r="A88" s="1" t="s">
        <v>586</v>
      </c>
      <c r="B88" s="1">
        <v>7.9</v>
      </c>
      <c r="C88" s="4" t="str">
        <f>IFERROR(__xludf.DUMMYFUNCTION("""COMPUTED_VALUE"""),"Christopher McQuarrie")</f>
        <v>Christopher McQuarrie</v>
      </c>
      <c r="D88" s="4">
        <f t="array" ref="D88">IFERROR(AVERAGEIFS($B$2:$B$3757, $A$2:$A$3757, C88:C3842), "")</f>
        <v>7.025</v>
      </c>
      <c r="E88" s="4">
        <f t="shared" si="1"/>
        <v>77.9</v>
      </c>
      <c r="F88" s="4" t="str">
        <f t="array" ref="F88">IF(D88&gt;=_xlfn.PERCENTILE.INC(D88:D1746, 0.9), "High", "Low")</f>
        <v>Low</v>
      </c>
      <c r="L88" s="4" t="str">
        <f t="shared" si="2"/>
        <v/>
      </c>
    </row>
    <row r="89" ht="14.25" customHeight="1">
      <c r="A89" s="1" t="s">
        <v>594</v>
      </c>
      <c r="B89" s="1">
        <v>7.8</v>
      </c>
      <c r="C89" s="4" t="str">
        <f>IFERROR(__xludf.DUMMYFUNCTION("""COMPUTED_VALUE"""),"Joe Johnston")</f>
        <v>Joe Johnston</v>
      </c>
      <c r="D89" s="4">
        <f t="array" ref="D89">IFERROR(AVERAGEIFS($B$2:$B$3757, $A$2:$A$3757, C89:C3843), "")</f>
        <v>6.325</v>
      </c>
      <c r="E89" s="4">
        <f t="shared" si="1"/>
        <v>47.1</v>
      </c>
      <c r="F89" s="4" t="str">
        <f t="array" ref="F89">IF(D89&gt;=_xlfn.PERCENTILE.INC(D89:D1747, 0.9), "High", "Low")</f>
        <v>Low</v>
      </c>
      <c r="L89" s="4" t="str">
        <f t="shared" si="2"/>
        <v/>
      </c>
    </row>
    <row r="90" ht="14.25" customHeight="1">
      <c r="A90" s="1" t="s">
        <v>420</v>
      </c>
      <c r="B90" s="1">
        <v>6.6</v>
      </c>
      <c r="C90" s="4" t="str">
        <f>IFERROR(__xludf.DUMMYFUNCTION("""COMPUTED_VALUE"""),"Steve Hickner")</f>
        <v>Steve Hickner</v>
      </c>
      <c r="D90" s="4">
        <f t="array" ref="D90">IFERROR(AVERAGEIFS($B$2:$B$3757, $A$2:$A$3757, C90:C3844), "")</f>
        <v>6.2</v>
      </c>
      <c r="E90" s="4">
        <f t="shared" si="1"/>
        <v>41.3</v>
      </c>
      <c r="F90" s="4" t="str">
        <f t="array" ref="F90">IF(D90&gt;=_xlfn.PERCENTILE.INC(D90:D1748, 0.9), "High", "Low")</f>
        <v>Low</v>
      </c>
      <c r="L90" s="4" t="str">
        <f t="shared" si="2"/>
        <v/>
      </c>
    </row>
    <row r="91" ht="14.25" customHeight="1">
      <c r="A91" s="1" t="s">
        <v>414</v>
      </c>
      <c r="B91" s="1">
        <v>5.5</v>
      </c>
      <c r="C91" s="4" t="str">
        <f>IFERROR(__xludf.DUMMYFUNCTION("""COMPUTED_VALUE"""),"Jennifer Yuh Nelson")</f>
        <v>Jennifer Yuh Nelson</v>
      </c>
      <c r="D91" s="4">
        <f t="array" ref="D91">IFERROR(AVERAGEIFS($B$2:$B$3757, $A$2:$A$3757, C91:C3845), "")</f>
        <v>7.3</v>
      </c>
      <c r="E91" s="4">
        <f t="shared" si="1"/>
        <v>85.9</v>
      </c>
      <c r="F91" s="4" t="str">
        <f t="array" ref="F91">IF(D91&gt;=_xlfn.PERCENTILE.INC(D91:D1749, 0.9), "High", "Low")</f>
        <v>Low</v>
      </c>
      <c r="L91" s="4" t="str">
        <f t="shared" si="2"/>
        <v/>
      </c>
    </row>
    <row r="92" ht="14.25" customHeight="1">
      <c r="A92" s="1" t="s">
        <v>614</v>
      </c>
      <c r="B92" s="1">
        <v>8.2</v>
      </c>
      <c r="C92" s="4" t="str">
        <f>IFERROR(__xludf.DUMMYFUNCTION("""COMPUTED_VALUE"""),"M. Night Shyamalan")</f>
        <v>M. Night Shyamalan</v>
      </c>
      <c r="D92" s="4">
        <f t="array" ref="D92">IFERROR(AVERAGEIFS($B$2:$B$3757, $A$2:$A$3757, C92:C3846), "")</f>
        <v>6.025</v>
      </c>
      <c r="E92" s="4">
        <f t="shared" si="1"/>
        <v>35.5</v>
      </c>
      <c r="F92" s="4" t="str">
        <f t="array" ref="F92">IF(D92&gt;=_xlfn.PERCENTILE.INC(D92:D1750, 0.9), "High", "Low")</f>
        <v>Low</v>
      </c>
      <c r="L92" s="4" t="str">
        <f t="shared" si="2"/>
        <v/>
      </c>
    </row>
    <row r="93" ht="14.25" customHeight="1">
      <c r="A93" s="1" t="s">
        <v>621</v>
      </c>
      <c r="B93" s="1">
        <v>6.4</v>
      </c>
      <c r="C93" s="4" t="str">
        <f>IFERROR(__xludf.DUMMYFUNCTION("""COMPUTED_VALUE"""),"Simon Wells")</f>
        <v>Simon Wells</v>
      </c>
      <c r="D93" s="4">
        <f t="array" ref="D93">IFERROR(AVERAGEIFS($B$2:$B$3757, $A$2:$A$3757, C93:C3847), "")</f>
        <v>5.65</v>
      </c>
      <c r="E93" s="4">
        <f t="shared" si="1"/>
        <v>23.8</v>
      </c>
      <c r="F93" s="4" t="str">
        <f t="array" ref="F93">IF(D93&gt;=_xlfn.PERCENTILE.INC(D93:D1751, 0.9), "High", "Low")</f>
        <v>Low</v>
      </c>
      <c r="L93" s="4" t="str">
        <f t="shared" si="2"/>
        <v/>
      </c>
    </row>
    <row r="94" ht="14.25" customHeight="1">
      <c r="A94" s="1" t="s">
        <v>629</v>
      </c>
      <c r="B94" s="1">
        <v>8.1</v>
      </c>
      <c r="C94" s="4" t="str">
        <f>IFERROR(__xludf.DUMMYFUNCTION("""COMPUTED_VALUE"""),"David Bowers")</f>
        <v>David Bowers</v>
      </c>
      <c r="D94" s="4">
        <f t="array" ref="D94">IFERROR(AVERAGEIFS($B$2:$B$3757, $A$2:$A$3757, C94:C3848), "")</f>
        <v>6.5</v>
      </c>
      <c r="E94" s="4">
        <f t="shared" si="1"/>
        <v>52.5</v>
      </c>
      <c r="F94" s="4" t="str">
        <f t="array" ref="F94">IF(D94&gt;=_xlfn.PERCENTILE.INC(D94:D1752, 0.9), "High", "Low")</f>
        <v>Low</v>
      </c>
      <c r="L94" s="4" t="str">
        <f t="shared" si="2"/>
        <v/>
      </c>
    </row>
    <row r="95" ht="14.25" customHeight="1">
      <c r="A95" s="1" t="s">
        <v>55</v>
      </c>
      <c r="B95" s="1">
        <v>8.6</v>
      </c>
      <c r="C95" s="4" t="str">
        <f>IFERROR(__xludf.DUMMYFUNCTION("""COMPUTED_VALUE"""),"Joe Wright")</f>
        <v>Joe Wright</v>
      </c>
      <c r="D95" s="4">
        <f t="array" ref="D95">IFERROR(AVERAGEIFS($B$2:$B$3757, $A$2:$A$3757, C95:C3849), "")</f>
        <v>6.642857143</v>
      </c>
      <c r="E95" s="4">
        <f t="shared" si="1"/>
        <v>60.8</v>
      </c>
      <c r="F95" s="4" t="str">
        <f t="array" ref="F95">IF(D95&gt;=_xlfn.PERCENTILE.INC(D95:D1753, 0.9), "High", "Low")</f>
        <v>Low</v>
      </c>
      <c r="L95" s="4" t="str">
        <f t="shared" si="2"/>
        <v/>
      </c>
    </row>
    <row r="96" ht="14.25" customHeight="1">
      <c r="A96" s="1" t="s">
        <v>55</v>
      </c>
      <c r="B96" s="1">
        <v>8.8</v>
      </c>
      <c r="C96" s="4" t="str">
        <f>IFERROR(__xludf.DUMMYFUNCTION("""COMPUTED_VALUE"""),"Rob Minkoff")</f>
        <v>Rob Minkoff</v>
      </c>
      <c r="D96" s="4">
        <f t="array" ref="D96">IFERROR(AVERAGEIFS($B$2:$B$3757, $A$2:$A$3757, C96:C3850), "")</f>
        <v>5.94</v>
      </c>
      <c r="E96" s="4">
        <f t="shared" si="1"/>
        <v>32</v>
      </c>
      <c r="F96" s="4" t="str">
        <f t="array" ref="F96">IF(D96&gt;=_xlfn.PERCENTILE.INC(D96:D1754, 0.9), "High", "Low")</f>
        <v>Low</v>
      </c>
      <c r="L96" s="4" t="str">
        <f t="shared" si="2"/>
        <v/>
      </c>
    </row>
    <row r="97" ht="14.25" customHeight="1">
      <c r="A97" s="1" t="s">
        <v>484</v>
      </c>
      <c r="B97" s="1">
        <v>6.7</v>
      </c>
      <c r="C97" s="4" t="str">
        <f>IFERROR(__xludf.DUMMYFUNCTION("""COMPUTED_VALUE"""),"Lee Tamahori")</f>
        <v>Lee Tamahori</v>
      </c>
      <c r="D97" s="4">
        <f t="array" ref="D97">IFERROR(AVERAGEIFS($B$2:$B$3757, $A$2:$A$3757, C97:C3851), "")</f>
        <v>5.95</v>
      </c>
      <c r="E97" s="4">
        <f t="shared" si="1"/>
        <v>32</v>
      </c>
      <c r="F97" s="4" t="str">
        <f t="array" ref="F97">IF(D97&gt;=_xlfn.PERCENTILE.INC(D97:D1755, 0.9), "High", "Low")</f>
        <v>Low</v>
      </c>
      <c r="L97" s="4" t="str">
        <f t="shared" si="2"/>
        <v/>
      </c>
    </row>
    <row r="98" ht="14.25" customHeight="1">
      <c r="A98" s="1" t="s">
        <v>648</v>
      </c>
      <c r="B98" s="1">
        <v>7.8</v>
      </c>
      <c r="C98" s="4" t="str">
        <f>IFERROR(__xludf.DUMMYFUNCTION("""COMPUTED_VALUE"""),"Paul Feig")</f>
        <v>Paul Feig</v>
      </c>
      <c r="D98" s="4">
        <f t="array" ref="D98">IFERROR(AVERAGEIFS($B$2:$B$3757, $A$2:$A$3757, C98:C3852), "")</f>
        <v>5.9</v>
      </c>
      <c r="E98" s="4">
        <f t="shared" si="1"/>
        <v>28.8</v>
      </c>
      <c r="F98" s="4" t="str">
        <f t="array" ref="F98">IF(D98&gt;=_xlfn.PERCENTILE.INC(D98:D1756, 0.9), "High", "Low")</f>
        <v>Low</v>
      </c>
      <c r="L98" s="4" t="str">
        <f t="shared" si="2"/>
        <v/>
      </c>
    </row>
    <row r="99" ht="14.25" customHeight="1">
      <c r="A99" s="1" t="s">
        <v>655</v>
      </c>
      <c r="B99" s="1">
        <v>7.8</v>
      </c>
      <c r="C99" s="4" t="str">
        <f>IFERROR(__xludf.DUMMYFUNCTION("""COMPUTED_VALUE"""),"Alessandro Carloni")</f>
        <v>Alessandro Carloni</v>
      </c>
      <c r="D99" s="4">
        <f t="array" ref="D99">IFERROR(AVERAGEIFS($B$2:$B$3757, $A$2:$A$3757, C99:C3853), "")</f>
        <v>7.2</v>
      </c>
      <c r="E99" s="4">
        <f t="shared" si="1"/>
        <v>82.3</v>
      </c>
      <c r="F99" s="4" t="str">
        <f t="array" ref="F99">IF(D99&gt;=_xlfn.PERCENTILE.INC(D99:D1757, 0.9), "High", "Low")</f>
        <v>Low</v>
      </c>
      <c r="L99" s="4" t="str">
        <f t="shared" si="2"/>
        <v/>
      </c>
    </row>
    <row r="100" ht="14.25" customHeight="1">
      <c r="A100" s="1" t="s">
        <v>659</v>
      </c>
      <c r="B100" s="1">
        <v>6.6</v>
      </c>
      <c r="C100" s="4" t="str">
        <f>IFERROR(__xludf.DUMMYFUNCTION("""COMPUTED_VALUE"""),"Peter Ramsey")</f>
        <v>Peter Ramsey</v>
      </c>
      <c r="D100" s="4">
        <f t="array" ref="D100">IFERROR(AVERAGEIFS($B$2:$B$3757, $A$2:$A$3757, C100:C3854), "")</f>
        <v>7.3</v>
      </c>
      <c r="E100" s="4">
        <f t="shared" si="1"/>
        <v>85.9</v>
      </c>
      <c r="F100" s="4" t="str">
        <f t="array" ref="F100">IF(D100&gt;=_xlfn.PERCENTILE.INC(D100:D1758, 0.9), "High", "Low")</f>
        <v>Low</v>
      </c>
      <c r="L100" s="4" t="str">
        <f t="shared" si="2"/>
        <v/>
      </c>
    </row>
    <row r="101" ht="14.25" customHeight="1">
      <c r="A101" s="1" t="s">
        <v>666</v>
      </c>
      <c r="B101" s="1">
        <v>6.1</v>
      </c>
      <c r="C101" s="4" t="str">
        <f>IFERROR(__xludf.DUMMYFUNCTION("""COMPUTED_VALUE"""),"Dean Parisot")</f>
        <v>Dean Parisot</v>
      </c>
      <c r="D101" s="4">
        <f t="array" ref="D101">IFERROR(AVERAGEIFS($B$2:$B$3757, $A$2:$A$3757, C101:C3855), "")</f>
        <v>6.275</v>
      </c>
      <c r="E101" s="4">
        <f t="shared" si="1"/>
        <v>44.2</v>
      </c>
      <c r="F101" s="4" t="str">
        <f t="array" ref="F101">IF(D101&gt;=_xlfn.PERCENTILE.INC(D101:D1759, 0.9), "High", "Low")</f>
        <v>Low</v>
      </c>
      <c r="L101" s="4" t="str">
        <f t="shared" si="2"/>
        <v/>
      </c>
    </row>
    <row r="102" ht="14.25" customHeight="1">
      <c r="A102" s="1" t="s">
        <v>673</v>
      </c>
      <c r="B102" s="1">
        <v>5.6</v>
      </c>
      <c r="C102" s="4" t="str">
        <f>IFERROR(__xludf.DUMMYFUNCTION("""COMPUTED_VALUE"""),"Edward Zwick")</f>
        <v>Edward Zwick</v>
      </c>
      <c r="D102" s="4">
        <f t="array" ref="D102">IFERROR(AVERAGEIFS($B$2:$B$3757, $A$2:$A$3757, C102:C3856), "")</f>
        <v>7.325</v>
      </c>
      <c r="E102" s="4">
        <f t="shared" si="1"/>
        <v>87.6</v>
      </c>
      <c r="F102" s="4" t="str">
        <f t="array" ref="F102">IF(D102&gt;=_xlfn.PERCENTILE.INC(D102:D1760, 0.9), "High", "Low")</f>
        <v>Low</v>
      </c>
      <c r="L102" s="4" t="str">
        <f t="shared" si="2"/>
        <v/>
      </c>
    </row>
    <row r="103" ht="14.25" customHeight="1">
      <c r="A103" s="1" t="s">
        <v>680</v>
      </c>
      <c r="B103" s="1">
        <v>6.4</v>
      </c>
      <c r="C103" s="4" t="str">
        <f>IFERROR(__xludf.DUMMYFUNCTION("""COMPUTED_VALUE"""),"Alex Proyas")</f>
        <v>Alex Proyas</v>
      </c>
      <c r="D103" s="4">
        <f t="array" ref="D103">IFERROR(AVERAGEIFS($B$2:$B$3757, $A$2:$A$3757, C103:C3857), "")</f>
        <v>6.82</v>
      </c>
      <c r="E103" s="4">
        <f t="shared" si="1"/>
        <v>68.6</v>
      </c>
      <c r="F103" s="4" t="str">
        <f t="array" ref="F103">IF(D103&gt;=_xlfn.PERCENTILE.INC(D103:D1761, 0.9), "High", "Low")</f>
        <v>Low</v>
      </c>
      <c r="L103" s="4" t="str">
        <f t="shared" si="2"/>
        <v/>
      </c>
    </row>
    <row r="104" ht="14.25" customHeight="1">
      <c r="A104" s="1" t="s">
        <v>684</v>
      </c>
      <c r="B104" s="1">
        <v>6.1</v>
      </c>
      <c r="C104" s="4" t="str">
        <f>IFERROR(__xludf.DUMMYFUNCTION("""COMPUTED_VALUE"""),"Richard Donner")</f>
        <v>Richard Donner</v>
      </c>
      <c r="D104" s="4">
        <f t="array" ref="D104">IFERROR(AVERAGEIFS($B$2:$B$3757, $A$2:$A$3757, C104:C3858), "")</f>
        <v>6.633333333</v>
      </c>
      <c r="E104" s="4">
        <f t="shared" si="1"/>
        <v>60.8</v>
      </c>
      <c r="F104" s="4" t="str">
        <f t="array" ref="F104">IF(D104&gt;=_xlfn.PERCENTILE.INC(D104:D1762, 0.9), "High", "Low")</f>
        <v>Low</v>
      </c>
      <c r="L104" s="4" t="str">
        <f t="shared" si="2"/>
        <v/>
      </c>
    </row>
    <row r="105" ht="14.25" customHeight="1">
      <c r="A105" s="1" t="s">
        <v>691</v>
      </c>
      <c r="B105" s="1">
        <v>7.3</v>
      </c>
      <c r="C105" s="4" t="str">
        <f>IFERROR(__xludf.DUMMYFUNCTION("""COMPUTED_VALUE"""),"Ang Lee")</f>
        <v>Ang Lee</v>
      </c>
      <c r="D105" s="4">
        <f t="array" ref="D105">IFERROR(AVERAGEIFS($B$2:$B$3757, $A$2:$A$3757, C105:C3859), "")</f>
        <v>7.25</v>
      </c>
      <c r="E105" s="4">
        <f t="shared" si="1"/>
        <v>85.6</v>
      </c>
      <c r="F105" s="4" t="str">
        <f t="array" ref="F105">IF(D105&gt;=_xlfn.PERCENTILE.INC(D105:D1763, 0.9), "High", "Low")</f>
        <v>Low</v>
      </c>
      <c r="L105" s="4" t="str">
        <f t="shared" si="2"/>
        <v/>
      </c>
    </row>
    <row r="106" ht="14.25" customHeight="1">
      <c r="A106" s="1" t="s">
        <v>698</v>
      </c>
      <c r="B106" s="1">
        <v>6.6</v>
      </c>
      <c r="C106" s="4" t="str">
        <f>IFERROR(__xludf.DUMMYFUNCTION("""COMPUTED_VALUE"""),"Jon M. Chu")</f>
        <v>Jon M. Chu</v>
      </c>
      <c r="D106" s="4">
        <f t="array" ref="D106">IFERROR(AVERAGEIFS($B$2:$B$3757, $A$2:$A$3757, C106:C3860), "")</f>
        <v>5.34</v>
      </c>
      <c r="E106" s="4">
        <f t="shared" si="1"/>
        <v>16.1</v>
      </c>
      <c r="F106" s="4" t="str">
        <f t="array" ref="F106">IF(D106&gt;=_xlfn.PERCENTILE.INC(D106:D1764, 0.9), "High", "Low")</f>
        <v>Low</v>
      </c>
      <c r="L106" s="4" t="str">
        <f t="shared" si="2"/>
        <v/>
      </c>
    </row>
    <row r="107" ht="14.25" customHeight="1">
      <c r="A107" s="1" t="s">
        <v>704</v>
      </c>
      <c r="B107" s="1">
        <v>6.3</v>
      </c>
      <c r="C107" s="4" t="str">
        <f>IFERROR(__xludf.DUMMYFUNCTION("""COMPUTED_VALUE"""),"Breck Eisner")</f>
        <v>Breck Eisner</v>
      </c>
      <c r="D107" s="4">
        <f t="array" ref="D107">IFERROR(AVERAGEIFS($B$2:$B$3757, $A$2:$A$3757, C107:C3861), "")</f>
        <v>6.166666667</v>
      </c>
      <c r="E107" s="4">
        <f t="shared" si="1"/>
        <v>40.9</v>
      </c>
      <c r="F107" s="4" t="str">
        <f t="array" ref="F107">IF(D107&gt;=_xlfn.PERCENTILE.INC(D107:D1765, 0.9), "High", "Low")</f>
        <v>Low</v>
      </c>
      <c r="L107" s="4" t="str">
        <f t="shared" si="2"/>
        <v/>
      </c>
    </row>
    <row r="108" ht="14.25" customHeight="1">
      <c r="A108" s="1" t="s">
        <v>270</v>
      </c>
      <c r="B108" s="1">
        <v>6.1</v>
      </c>
      <c r="C108" s="4" t="str">
        <f>IFERROR(__xludf.DUMMYFUNCTION("""COMPUTED_VALUE"""),"Hironobu Sakaguchi")</f>
        <v>Hironobu Sakaguchi</v>
      </c>
      <c r="D108" s="4">
        <f t="array" ref="D108">IFERROR(AVERAGEIFS($B$2:$B$3757, $A$2:$A$3757, C108:C3862), "")</f>
        <v>6.4</v>
      </c>
      <c r="E108" s="4">
        <f t="shared" si="1"/>
        <v>48.5</v>
      </c>
      <c r="F108" s="4" t="str">
        <f t="array" ref="F108">IF(D108&gt;=_xlfn.PERCENTILE.INC(D108:D1766, 0.9), "High", "Low")</f>
        <v>Low</v>
      </c>
      <c r="L108" s="4" t="str">
        <f t="shared" si="2"/>
        <v/>
      </c>
    </row>
    <row r="109" ht="14.25" customHeight="1">
      <c r="A109" s="1" t="s">
        <v>270</v>
      </c>
      <c r="B109" s="1">
        <v>7.1</v>
      </c>
      <c r="C109" s="4" t="str">
        <f>IFERROR(__xludf.DUMMYFUNCTION("""COMPUTED_VALUE"""),"Peter Weir")</f>
        <v>Peter Weir</v>
      </c>
      <c r="D109" s="4">
        <f t="array" ref="D109">IFERROR(AVERAGEIFS($B$2:$B$3757, $A$2:$A$3757, C109:C3863), "")</f>
        <v>7.725</v>
      </c>
      <c r="E109" s="4">
        <f t="shared" si="1"/>
        <v>95.7</v>
      </c>
      <c r="F109" s="4" t="str">
        <f t="array" ref="F109">IF(D109&gt;=_xlfn.PERCENTILE.INC(D109:D1767, 0.9), "High", "Low")</f>
        <v>High</v>
      </c>
      <c r="L109" s="4" t="str">
        <f t="shared" si="2"/>
        <v/>
      </c>
    </row>
    <row r="110" ht="14.25" customHeight="1">
      <c r="A110" s="1" t="s">
        <v>723</v>
      </c>
      <c r="B110" s="1">
        <v>5.5</v>
      </c>
      <c r="C110" s="4" t="str">
        <f>IFERROR(__xludf.DUMMYFUNCTION("""COMPUTED_VALUE"""),"Bill Condon")</f>
        <v>Bill Condon</v>
      </c>
      <c r="D110" s="4">
        <f t="array" ref="D110">IFERROR(AVERAGEIFS($B$2:$B$3757, $A$2:$A$3757, C110:C3864), "")</f>
        <v>6.383333333</v>
      </c>
      <c r="E110" s="4">
        <f t="shared" si="1"/>
        <v>48.2</v>
      </c>
      <c r="F110" s="4" t="str">
        <f t="array" ref="F110">IF(D110&gt;=_xlfn.PERCENTILE.INC(D110:D1768, 0.9), "High", "Low")</f>
        <v>Low</v>
      </c>
      <c r="L110" s="4" t="str">
        <f t="shared" si="2"/>
        <v/>
      </c>
    </row>
    <row r="111" ht="14.25" customHeight="1">
      <c r="A111" s="1" t="s">
        <v>95</v>
      </c>
      <c r="B111" s="1">
        <v>7.5</v>
      </c>
      <c r="C111" s="4" t="str">
        <f>IFERROR(__xludf.DUMMYFUNCTION("""COMPUTED_VALUE"""),"Louis Leterrier")</f>
        <v>Louis Leterrier</v>
      </c>
      <c r="D111" s="4">
        <f t="array" ref="D111">IFERROR(AVERAGEIFS($B$2:$B$3757, $A$2:$A$3757, C111:C3865), "")</f>
        <v>6.542857143</v>
      </c>
      <c r="E111" s="4">
        <f t="shared" si="1"/>
        <v>56.5</v>
      </c>
      <c r="F111" s="4" t="str">
        <f t="array" ref="F111">IF(D111&gt;=_xlfn.PERCENTILE.INC(D111:D1769, 0.9), "High", "Low")</f>
        <v>Low</v>
      </c>
      <c r="L111" s="4" t="str">
        <f t="shared" si="2"/>
        <v/>
      </c>
    </row>
    <row r="112" ht="14.25" customHeight="1">
      <c r="A112" s="1" t="s">
        <v>363</v>
      </c>
      <c r="B112" s="1">
        <v>7.6</v>
      </c>
      <c r="C112" s="4" t="str">
        <f>IFERROR(__xludf.DUMMYFUNCTION("""COMPUTED_VALUE"""),"Alejandro G. IÃ±Ã¡rritu")</f>
        <v>Alejandro G. IÃ±Ã¡rritu</v>
      </c>
      <c r="D112" s="4">
        <f t="array" ref="D112">IFERROR(AVERAGEIFS($B$2:$B$3757, $A$2:$A$3757, C112:C3866), "")</f>
        <v>7.84</v>
      </c>
      <c r="E112" s="4">
        <f t="shared" si="1"/>
        <v>97.2</v>
      </c>
      <c r="F112" s="4" t="str">
        <f t="array" ref="F112">IF(D112&gt;=_xlfn.PERCENTILE.INC(D112:D1770, 0.9), "High", "Low")</f>
        <v>High</v>
      </c>
      <c r="L112" s="4" t="str">
        <f t="shared" si="2"/>
        <v/>
      </c>
    </row>
    <row r="113" ht="14.25" customHeight="1">
      <c r="A113" s="1" t="s">
        <v>217</v>
      </c>
      <c r="B113" s="1">
        <v>6.4</v>
      </c>
      <c r="C113" s="4" t="str">
        <f>IFERROR(__xludf.DUMMYFUNCTION("""COMPUTED_VALUE"""),"David Soren")</f>
        <v>David Soren</v>
      </c>
      <c r="D113" s="4">
        <f t="array" ref="D113">IFERROR(AVERAGEIFS($B$2:$B$3757, $A$2:$A$3757, C113:C3867), "")</f>
        <v>6.5</v>
      </c>
      <c r="E113" s="4">
        <f t="shared" si="1"/>
        <v>52.6</v>
      </c>
      <c r="F113" s="4" t="str">
        <f t="array" ref="F113">IF(D113&gt;=_xlfn.PERCENTILE.INC(D113:D1771, 0.9), "High", "Low")</f>
        <v>Low</v>
      </c>
      <c r="L113" s="4" t="str">
        <f t="shared" si="2"/>
        <v/>
      </c>
    </row>
    <row r="114" ht="14.25" customHeight="1">
      <c r="A114" s="1" t="s">
        <v>659</v>
      </c>
      <c r="B114" s="1">
        <v>7.2</v>
      </c>
      <c r="C114" s="4" t="str">
        <f>IFERROR(__xludf.DUMMYFUNCTION("""COMPUTED_VALUE"""),"Paul Greengrass")</f>
        <v>Paul Greengrass</v>
      </c>
      <c r="D114" s="4">
        <f t="array" ref="D114">IFERROR(AVERAGEIFS($B$2:$B$3757, $A$2:$A$3757, C114:C3868), "")</f>
        <v>7.585714286</v>
      </c>
      <c r="E114" s="4">
        <f t="shared" si="1"/>
        <v>92</v>
      </c>
      <c r="F114" s="4" t="str">
        <f t="array" ref="F114">IF(D114&gt;=_xlfn.PERCENTILE.INC(D114:D1772, 0.9), "High", "Low")</f>
        <v>High</v>
      </c>
      <c r="L114" s="4" t="str">
        <f t="shared" si="2"/>
        <v/>
      </c>
    </row>
    <row r="115" ht="14.25" customHeight="1">
      <c r="A115" s="1" t="s">
        <v>247</v>
      </c>
      <c r="B115" s="1">
        <v>6.7</v>
      </c>
      <c r="C115" s="4" t="str">
        <f>IFERROR(__xludf.DUMMYFUNCTION("""COMPUTED_VALUE"""),"Mark Osborne")</f>
        <v>Mark Osborne</v>
      </c>
      <c r="D115" s="4">
        <f t="array" ref="D115">IFERROR(AVERAGEIFS($B$2:$B$3757, $A$2:$A$3757, C115:C3869), "")</f>
        <v>7.7</v>
      </c>
      <c r="E115" s="4">
        <f t="shared" si="1"/>
        <v>94.3</v>
      </c>
      <c r="F115" s="4" t="str">
        <f t="array" ref="F115">IF(D115&gt;=_xlfn.PERCENTILE.INC(D115:D1773, 0.9), "High", "Low")</f>
        <v>High</v>
      </c>
      <c r="L115" s="4" t="str">
        <f t="shared" si="2"/>
        <v/>
      </c>
    </row>
    <row r="116" ht="14.25" customHeight="1">
      <c r="A116" s="1" t="s">
        <v>579</v>
      </c>
      <c r="B116" s="1">
        <v>8.0</v>
      </c>
      <c r="C116" s="4" t="str">
        <f>IFERROR(__xludf.DUMMYFUNCTION("""COMPUTED_VALUE"""),"Peyton Reed")</f>
        <v>Peyton Reed</v>
      </c>
      <c r="D116" s="4">
        <f t="array" ref="D116">IFERROR(AVERAGEIFS($B$2:$B$3757, $A$2:$A$3757, C116:C3870), "")</f>
        <v>6.475</v>
      </c>
      <c r="E116" s="4">
        <f t="shared" si="1"/>
        <v>52.5</v>
      </c>
      <c r="F116" s="4" t="str">
        <f t="array" ref="F116">IF(D116&gt;=_xlfn.PERCENTILE.INC(D116:D1774, 0.9), "High", "Low")</f>
        <v>Low</v>
      </c>
      <c r="L116" s="4" t="str">
        <f t="shared" si="2"/>
        <v/>
      </c>
    </row>
    <row r="117" ht="14.25" customHeight="1">
      <c r="A117" s="1" t="s">
        <v>55</v>
      </c>
      <c r="B117" s="1">
        <v>8.3</v>
      </c>
      <c r="C117" s="4" t="str">
        <f>IFERROR(__xludf.DUMMYFUNCTION("""COMPUTED_VALUE"""),"Tim Johnson")</f>
        <v>Tim Johnson</v>
      </c>
      <c r="D117" s="4">
        <f t="array" ref="D117">IFERROR(AVERAGEIFS($B$2:$B$3757, $A$2:$A$3757, C117:C3871), "")</f>
        <v>6.725</v>
      </c>
      <c r="E117" s="4">
        <f t="shared" si="1"/>
        <v>64.6</v>
      </c>
      <c r="F117" s="4" t="str">
        <f t="array" ref="F117">IF(D117&gt;=_xlfn.PERCENTILE.INC(D117:D1775, 0.9), "High", "Low")</f>
        <v>Low</v>
      </c>
      <c r="L117" s="4" t="str">
        <f t="shared" si="2"/>
        <v/>
      </c>
    </row>
    <row r="118" ht="14.25" customHeight="1">
      <c r="A118" s="1" t="s">
        <v>764</v>
      </c>
      <c r="B118" s="1">
        <v>6.7</v>
      </c>
      <c r="C118" s="4" t="str">
        <f>IFERROR(__xludf.DUMMYFUNCTION("""COMPUTED_VALUE"""),"Phillip Noyce")</f>
        <v>Phillip Noyce</v>
      </c>
      <c r="D118" s="4">
        <f t="array" ref="D118">IFERROR(AVERAGEIFS($B$2:$B$3757, $A$2:$A$3757, C118:C3872), "")</f>
        <v>6.766666667</v>
      </c>
      <c r="E118" s="4">
        <f t="shared" si="1"/>
        <v>65.6</v>
      </c>
      <c r="F118" s="4" t="str">
        <f t="array" ref="F118">IF(D118&gt;=_xlfn.PERCENTILE.INC(D118:D1776, 0.9), "High", "Low")</f>
        <v>Low</v>
      </c>
      <c r="L118" s="4" t="str">
        <f t="shared" si="2"/>
        <v/>
      </c>
    </row>
    <row r="119" ht="14.25" customHeight="1">
      <c r="A119" s="1" t="s">
        <v>772</v>
      </c>
      <c r="B119" s="1">
        <v>5.9</v>
      </c>
      <c r="C119" s="4" t="str">
        <f>IFERROR(__xludf.DUMMYFUNCTION("""COMPUTED_VALUE"""),"Darren Aronofsky")</f>
        <v>Darren Aronofsky</v>
      </c>
      <c r="D119" s="4">
        <f t="array" ref="D119">IFERROR(AVERAGEIFS($B$2:$B$3757, $A$2:$A$3757, C119:C3873), "")</f>
        <v>7.483333333</v>
      </c>
      <c r="E119" s="4">
        <f t="shared" si="1"/>
        <v>90</v>
      </c>
      <c r="F119" s="4" t="str">
        <f t="array" ref="F119">IF(D119&gt;=_xlfn.PERCENTILE.INC(D119:D1777, 0.9), "High", "Low")</f>
        <v>High</v>
      </c>
      <c r="L119" s="4" t="str">
        <f t="shared" si="2"/>
        <v/>
      </c>
    </row>
    <row r="120" ht="14.25" customHeight="1">
      <c r="A120" s="1" t="s">
        <v>779</v>
      </c>
      <c r="B120" s="1">
        <v>6.7</v>
      </c>
      <c r="C120" s="4" t="str">
        <f>IFERROR(__xludf.DUMMYFUNCTION("""COMPUTED_VALUE"""),"Alfonso CuarÃ³n")</f>
        <v>Alfonso CuarÃ³n</v>
      </c>
      <c r="D120" s="4">
        <f t="array" ref="D120">IFERROR(AVERAGEIFS($B$2:$B$3757, $A$2:$A$3757, C120:C3874), "")</f>
        <v>7.8</v>
      </c>
      <c r="E120" s="4">
        <f t="shared" si="1"/>
        <v>96.2</v>
      </c>
      <c r="F120" s="4" t="str">
        <f t="array" ref="F120">IF(D120&gt;=_xlfn.PERCENTILE.INC(D120:D1778, 0.9), "High", "Low")</f>
        <v>High</v>
      </c>
      <c r="L120" s="4" t="str">
        <f t="shared" si="2"/>
        <v/>
      </c>
    </row>
    <row r="121" ht="14.25" customHeight="1">
      <c r="A121" s="1" t="s">
        <v>428</v>
      </c>
      <c r="B121" s="1">
        <v>6.7</v>
      </c>
      <c r="C121" s="4" t="str">
        <f>IFERROR(__xludf.DUMMYFUNCTION("""COMPUTED_VALUE"""),"Eric Leighton")</f>
        <v>Eric Leighton</v>
      </c>
      <c r="D121" s="4">
        <f t="array" ref="D121">IFERROR(AVERAGEIFS($B$2:$B$3757, $A$2:$A$3757, C121:C3875), "")</f>
        <v>6.5</v>
      </c>
      <c r="E121" s="4">
        <f t="shared" si="1"/>
        <v>52.8</v>
      </c>
      <c r="F121" s="4" t="str">
        <f t="array" ref="F121">IF(D121&gt;=_xlfn.PERCENTILE.INC(D121:D1779, 0.9), "High", "Low")</f>
        <v>Low</v>
      </c>
      <c r="L121" s="4" t="str">
        <f t="shared" si="2"/>
        <v/>
      </c>
    </row>
    <row r="122" ht="14.25" customHeight="1">
      <c r="A122" s="1" t="s">
        <v>790</v>
      </c>
      <c r="B122" s="1">
        <v>7.6</v>
      </c>
      <c r="C122" s="4" t="str">
        <f>IFERROR(__xludf.DUMMYFUNCTION("""COMPUTED_VALUE"""),"Tom McGrath")</f>
        <v>Tom McGrath</v>
      </c>
      <c r="D122" s="4">
        <f t="array" ref="D122">IFERROR(AVERAGEIFS($B$2:$B$3757, $A$2:$A$3757, C122:C3876), "")</f>
        <v>7.3</v>
      </c>
      <c r="E122" s="4">
        <f t="shared" si="1"/>
        <v>86.2</v>
      </c>
      <c r="F122" s="4" t="str">
        <f t="array" ref="F122">IF(D122&gt;=_xlfn.PERCENTILE.INC(D122:D1780, 0.9), "High", "Low")</f>
        <v>Low</v>
      </c>
      <c r="L122" s="4" t="str">
        <f t="shared" si="2"/>
        <v/>
      </c>
    </row>
    <row r="123" ht="14.25" customHeight="1">
      <c r="A123" s="1" t="s">
        <v>428</v>
      </c>
      <c r="B123" s="1">
        <v>7.2</v>
      </c>
      <c r="C123" s="4" t="str">
        <f>IFERROR(__xludf.DUMMYFUNCTION("""COMPUTED_VALUE"""),"Chris Columbus")</f>
        <v>Chris Columbus</v>
      </c>
      <c r="D123" s="4">
        <f t="array" ref="D123">IFERROR(AVERAGEIFS($B$2:$B$3757, $A$2:$A$3757, C123:C3877), "")</f>
        <v>6.654545455</v>
      </c>
      <c r="E123" s="4">
        <f t="shared" si="1"/>
        <v>61.4</v>
      </c>
      <c r="F123" s="4" t="str">
        <f t="array" ref="F123">IF(D123&gt;=_xlfn.PERCENTILE.INC(D123:D1781, 0.9), "High", "Low")</f>
        <v>Low</v>
      </c>
      <c r="L123" s="4" t="str">
        <f t="shared" si="2"/>
        <v/>
      </c>
    </row>
    <row r="124" ht="14.25" customHeight="1">
      <c r="A124" s="1" t="s">
        <v>698</v>
      </c>
      <c r="B124" s="1">
        <v>7.1</v>
      </c>
      <c r="C124" s="4" t="str">
        <f>IFERROR(__xludf.DUMMYFUNCTION("""COMPUTED_VALUE"""),"Robert Schwentke")</f>
        <v>Robert Schwentke</v>
      </c>
      <c r="D124" s="4">
        <f t="array" ref="D124">IFERROR(AVERAGEIFS($B$2:$B$3757, $A$2:$A$3757, C124:C3878), "")</f>
        <v>6.35</v>
      </c>
      <c r="E124" s="4">
        <f t="shared" si="1"/>
        <v>47.9</v>
      </c>
      <c r="F124" s="4" t="str">
        <f t="array" ref="F124">IF(D124&gt;=_xlfn.PERCENTILE.INC(D124:D1782, 0.9), "High", "Low")</f>
        <v>Low</v>
      </c>
      <c r="L124" s="4" t="str">
        <f t="shared" si="2"/>
        <v/>
      </c>
    </row>
    <row r="125" ht="14.25" customHeight="1">
      <c r="A125" s="1" t="s">
        <v>808</v>
      </c>
      <c r="B125" s="1">
        <v>8.1</v>
      </c>
      <c r="C125" s="4" t="str">
        <f>IFERROR(__xludf.DUMMYFUNCTION("""COMPUTED_VALUE"""),"Carlos Saldanha")</f>
        <v>Carlos Saldanha</v>
      </c>
      <c r="D125" s="4">
        <f t="array" ref="D125">IFERROR(AVERAGEIFS($B$2:$B$3757, $A$2:$A$3757, C125:C3879), "")</f>
        <v>6.825</v>
      </c>
      <c r="E125" s="4">
        <f t="shared" si="1"/>
        <v>68.8</v>
      </c>
      <c r="F125" s="4" t="str">
        <f t="array" ref="F125">IF(D125&gt;=_xlfn.PERCENTILE.INC(D125:D1783, 0.9), "High", "Low")</f>
        <v>Low</v>
      </c>
      <c r="L125" s="4" t="str">
        <f t="shared" si="2"/>
        <v/>
      </c>
    </row>
    <row r="126" ht="14.25" customHeight="1">
      <c r="A126" s="1" t="s">
        <v>813</v>
      </c>
      <c r="B126" s="1">
        <v>6.7</v>
      </c>
      <c r="C126" s="4" t="str">
        <f>IFERROR(__xludf.DUMMYFUNCTION("""COMPUTED_VALUE"""),"Guy Ritchie")</f>
        <v>Guy Ritchie</v>
      </c>
      <c r="D126" s="4">
        <f t="array" ref="D126">IFERROR(AVERAGEIFS($B$2:$B$3757, $A$2:$A$3757, C126:C3880), "")</f>
        <v>7.2625</v>
      </c>
      <c r="E126" s="4">
        <f t="shared" si="1"/>
        <v>85.9</v>
      </c>
      <c r="F126" s="4" t="str">
        <f t="array" ref="F126">IF(D126&gt;=_xlfn.PERCENTILE.INC(D126:D1784, 0.9), "High", "Low")</f>
        <v>Low</v>
      </c>
      <c r="L126" s="4" t="str">
        <f t="shared" si="2"/>
        <v/>
      </c>
    </row>
    <row r="127" ht="14.25" customHeight="1">
      <c r="A127" s="1" t="s">
        <v>820</v>
      </c>
      <c r="B127" s="1">
        <v>7.0</v>
      </c>
      <c r="C127" s="4" t="str">
        <f>IFERROR(__xludf.DUMMYFUNCTION("""COMPUTED_VALUE"""),"Paul Verhoeven")</f>
        <v>Paul Verhoeven</v>
      </c>
      <c r="D127" s="4">
        <f t="array" ref="D127">IFERROR(AVERAGEIFS($B$2:$B$3757, $A$2:$A$3757, C127:C3881), "")</f>
        <v>6.716666667</v>
      </c>
      <c r="E127" s="4">
        <f t="shared" si="1"/>
        <v>64.7</v>
      </c>
      <c r="F127" s="4" t="str">
        <f t="array" ref="F127">IF(D127&gt;=_xlfn.PERCENTILE.INC(D127:D1785, 0.9), "High", "Low")</f>
        <v>Low</v>
      </c>
      <c r="L127" s="4" t="str">
        <f t="shared" si="2"/>
        <v/>
      </c>
    </row>
    <row r="128" ht="14.25" customHeight="1">
      <c r="A128" s="1" t="s">
        <v>824</v>
      </c>
      <c r="B128" s="1">
        <v>6.9</v>
      </c>
      <c r="C128" s="4" t="str">
        <f>IFERROR(__xludf.DUMMYFUNCTION("""COMPUTED_VALUE"""),"John McTiernan")</f>
        <v>John McTiernan</v>
      </c>
      <c r="D128" s="4">
        <f t="array" ref="D128">IFERROR(AVERAGEIFS($B$2:$B$3757, $A$2:$A$3757, C128:C3882), "")</f>
        <v>6.63</v>
      </c>
      <c r="E128" s="4">
        <f t="shared" si="1"/>
        <v>61.1</v>
      </c>
      <c r="F128" s="4" t="str">
        <f t="array" ref="F128">IF(D128&gt;=_xlfn.PERCENTILE.INC(D128:D1786, 0.9), "High", "Low")</f>
        <v>Low</v>
      </c>
      <c r="L128" s="4" t="str">
        <f t="shared" si="2"/>
        <v/>
      </c>
    </row>
    <row r="129" ht="14.25" customHeight="1">
      <c r="A129" s="1" t="s">
        <v>831</v>
      </c>
      <c r="B129" s="1">
        <v>5.1</v>
      </c>
      <c r="C129" s="4" t="str">
        <f>IFERROR(__xludf.DUMMYFUNCTION("""COMPUTED_VALUE"""),"Tony Gilroy")</f>
        <v>Tony Gilroy</v>
      </c>
      <c r="D129" s="4">
        <f t="array" ref="D129">IFERROR(AVERAGEIFS($B$2:$B$3757, $A$2:$A$3757, C129:C3883), "")</f>
        <v>6.733333333</v>
      </c>
      <c r="E129" s="4">
        <f t="shared" si="1"/>
        <v>64.8</v>
      </c>
      <c r="F129" s="4" t="str">
        <f t="array" ref="F129">IF(D129&gt;=_xlfn.PERCENTILE.INC(D129:D1787, 0.9), "High", "Low")</f>
        <v>Low</v>
      </c>
      <c r="L129" s="4" t="str">
        <f t="shared" si="2"/>
        <v/>
      </c>
    </row>
    <row r="130" ht="14.25" customHeight="1">
      <c r="A130" s="1" t="s">
        <v>839</v>
      </c>
      <c r="B130" s="1">
        <v>5.8</v>
      </c>
      <c r="C130" s="4" t="str">
        <f>IFERROR(__xludf.DUMMYFUNCTION("""COMPUTED_VALUE"""),"Joel Schumacher")</f>
        <v>Joel Schumacher</v>
      </c>
      <c r="D130" s="4">
        <f t="array" ref="D130">IFERROR(AVERAGEIFS($B$2:$B$3757, $A$2:$A$3757, C130:C3884), "")</f>
        <v>6.341666667</v>
      </c>
      <c r="E130" s="4">
        <f t="shared" si="1"/>
        <v>48</v>
      </c>
      <c r="F130" s="4" t="str">
        <f t="array" ref="F130">IF(D130&gt;=_xlfn.PERCENTILE.INC(D130:D1788, 0.9), "High", "Low")</f>
        <v>Low</v>
      </c>
      <c r="L130" s="4" t="str">
        <f t="shared" si="2"/>
        <v/>
      </c>
    </row>
    <row r="131" ht="14.25" customHeight="1">
      <c r="A131" s="1" t="s">
        <v>247</v>
      </c>
      <c r="B131" s="1">
        <v>6.2</v>
      </c>
      <c r="C131" s="4" t="str">
        <f>IFERROR(__xludf.DUMMYFUNCTION("""COMPUTED_VALUE"""),"John Woo")</f>
        <v>John Woo</v>
      </c>
      <c r="D131" s="4">
        <f t="array" ref="D131">IFERROR(AVERAGEIFS($B$2:$B$3757, $A$2:$A$3757, C131:C3885), "")</f>
        <v>6.516666667</v>
      </c>
      <c r="E131" s="4">
        <f t="shared" si="1"/>
        <v>56.4</v>
      </c>
      <c r="F131" s="4" t="str">
        <f t="array" ref="F131">IF(D131&gt;=_xlfn.PERCENTILE.INC(D131:D1789, 0.9), "High", "Low")</f>
        <v>Low</v>
      </c>
      <c r="L131" s="4" t="str">
        <f t="shared" si="2"/>
        <v/>
      </c>
    </row>
    <row r="132" ht="14.25" customHeight="1">
      <c r="A132" s="1" t="s">
        <v>849</v>
      </c>
      <c r="B132" s="1">
        <v>7.4</v>
      </c>
      <c r="C132" s="4" t="str">
        <f>IFERROR(__xludf.DUMMYFUNCTION("""COMPUTED_VALUE"""),"Tim Story")</f>
        <v>Tim Story</v>
      </c>
      <c r="D132" s="4">
        <f t="array" ref="D132">IFERROR(AVERAGEIFS($B$2:$B$3757, $A$2:$A$3757, C132:C3886), "")</f>
        <v>6.05</v>
      </c>
      <c r="E132" s="4">
        <f t="shared" si="1"/>
        <v>36.5</v>
      </c>
      <c r="F132" s="4" t="str">
        <f t="array" ref="F132">IF(D132&gt;=_xlfn.PERCENTILE.INC(D132:D1790, 0.9), "High", "Low")</f>
        <v>Low</v>
      </c>
      <c r="L132" s="4" t="str">
        <f t="shared" si="2"/>
        <v/>
      </c>
    </row>
    <row r="133" ht="14.25" customHeight="1">
      <c r="A133" s="1" t="s">
        <v>856</v>
      </c>
      <c r="B133" s="1">
        <v>5.8</v>
      </c>
      <c r="C133" s="4" t="str">
        <f>IFERROR(__xludf.DUMMYFUNCTION("""COMPUTED_VALUE"""),"Mark Steven Johnson")</f>
        <v>Mark Steven Johnson</v>
      </c>
      <c r="D133" s="4">
        <f t="array" ref="D133">IFERROR(AVERAGEIFS($B$2:$B$3757, $A$2:$A$3757, C133:C3887), "")</f>
        <v>6.05</v>
      </c>
      <c r="E133" s="4">
        <f t="shared" si="1"/>
        <v>36.8</v>
      </c>
      <c r="F133" s="4" t="str">
        <f t="array" ref="F133">IF(D133&gt;=_xlfn.PERCENTILE.INC(D133:D1791, 0.9), "High", "Low")</f>
        <v>Low</v>
      </c>
      <c r="L133" s="4" t="str">
        <f t="shared" si="2"/>
        <v/>
      </c>
    </row>
    <row r="134" ht="14.25" customHeight="1">
      <c r="A134" s="1" t="s">
        <v>95</v>
      </c>
      <c r="B134" s="1">
        <v>6.6</v>
      </c>
      <c r="C134" s="4" t="str">
        <f>IFERROR(__xludf.DUMMYFUNCTION("""COMPUTED_VALUE"""),"Neill Blomkamp")</f>
        <v>Neill Blomkamp</v>
      </c>
      <c r="D134" s="4">
        <f t="array" ref="D134">IFERROR(AVERAGEIFS($B$2:$B$3757, $A$2:$A$3757, C134:C3888), "")</f>
        <v>7.166666667</v>
      </c>
      <c r="E134" s="4">
        <f t="shared" si="1"/>
        <v>82.4</v>
      </c>
      <c r="F134" s="4" t="str">
        <f t="array" ref="F134">IF(D134&gt;=_xlfn.PERCENTILE.INC(D134:D1792, 0.9), "High", "Low")</f>
        <v>Low</v>
      </c>
      <c r="L134" s="4" t="str">
        <f t="shared" si="2"/>
        <v/>
      </c>
    </row>
    <row r="135" ht="14.25" customHeight="1">
      <c r="A135" s="1" t="s">
        <v>863</v>
      </c>
      <c r="B135" s="1">
        <v>6.2</v>
      </c>
      <c r="C135" s="4" t="str">
        <f>IFERROR(__xludf.DUMMYFUNCTION("""COMPUTED_VALUE"""),"David Twohy")</f>
        <v>David Twohy</v>
      </c>
      <c r="D135" s="4">
        <f t="array" ref="D135">IFERROR(AVERAGEIFS($B$2:$B$3757, $A$2:$A$3757, C135:C3889), "")</f>
        <v>6.675</v>
      </c>
      <c r="E135" s="4">
        <f t="shared" si="1"/>
        <v>62</v>
      </c>
      <c r="F135" s="4" t="str">
        <f t="array" ref="F135">IF(D135&gt;=_xlfn.PERCENTILE.INC(D135:D1793, 0.9), "High", "Low")</f>
        <v>Low</v>
      </c>
      <c r="L135" s="4" t="str">
        <f t="shared" si="2"/>
        <v/>
      </c>
    </row>
    <row r="136" ht="14.25" customHeight="1">
      <c r="A136" s="1" t="s">
        <v>870</v>
      </c>
      <c r="B136" s="1">
        <v>7.3</v>
      </c>
      <c r="C136" s="4" t="str">
        <f>IFERROR(__xludf.DUMMYFUNCTION("""COMPUTED_VALUE"""),"JosÃ© Padilha")</f>
        <v>JosÃ© Padilha</v>
      </c>
      <c r="D136" s="4">
        <f t="array" ref="D136">IFERROR(AVERAGEIFS($B$2:$B$3757, $A$2:$A$3757, C136:C3890), "")</f>
        <v>6.833333333</v>
      </c>
      <c r="E136" s="4">
        <f t="shared" si="1"/>
        <v>68.7</v>
      </c>
      <c r="F136" s="4" t="str">
        <f t="array" ref="F136">IF(D136&gt;=_xlfn.PERCENTILE.INC(D136:D1794, 0.9), "High", "Low")</f>
        <v>Low</v>
      </c>
      <c r="L136" s="4" t="str">
        <f t="shared" si="2"/>
        <v/>
      </c>
    </row>
    <row r="137" ht="14.25" customHeight="1">
      <c r="A137" s="1" t="s">
        <v>875</v>
      </c>
      <c r="B137" s="1">
        <v>4.2</v>
      </c>
      <c r="C137" s="4" t="str">
        <f>IFERROR(__xludf.DUMMYFUNCTION("""COMPUTED_VALUE"""),"James L. Brooks")</f>
        <v>James L. Brooks</v>
      </c>
      <c r="D137" s="4">
        <f t="array" ref="D137">IFERROR(AVERAGEIFS($B$2:$B$3757, $A$2:$A$3757, C137:C3891), "")</f>
        <v>6.5</v>
      </c>
      <c r="E137" s="4">
        <f t="shared" si="1"/>
        <v>53.1</v>
      </c>
      <c r="F137" s="4" t="str">
        <f t="array" ref="F137">IF(D137&gt;=_xlfn.PERCENTILE.INC(D137:D1795, 0.9), "High", "Low")</f>
        <v>Low</v>
      </c>
      <c r="L137" s="4" t="str">
        <f t="shared" si="2"/>
        <v/>
      </c>
    </row>
    <row r="138" ht="14.25" customHeight="1">
      <c r="A138" s="1" t="s">
        <v>343</v>
      </c>
      <c r="B138" s="1">
        <v>6.9</v>
      </c>
      <c r="C138" s="4" t="str">
        <f>IFERROR(__xludf.DUMMYFUNCTION("""COMPUTED_VALUE"""),"James Mangold")</f>
        <v>James Mangold</v>
      </c>
      <c r="D138" s="4">
        <f t="array" ref="D138">IFERROR(AVERAGEIFS($B$2:$B$3757, $A$2:$A$3757, C138:C3892), "")</f>
        <v>7.075</v>
      </c>
      <c r="E138" s="4">
        <f t="shared" si="1"/>
        <v>78.7</v>
      </c>
      <c r="F138" s="4" t="str">
        <f t="array" ref="F138">IF(D138&gt;=_xlfn.PERCENTILE.INC(D138:D1796, 0.9), "High", "Low")</f>
        <v>Low</v>
      </c>
      <c r="L138" s="4" t="str">
        <f t="shared" si="2"/>
        <v/>
      </c>
    </row>
    <row r="139" ht="14.25" customHeight="1">
      <c r="A139" s="1" t="s">
        <v>414</v>
      </c>
      <c r="B139" s="1">
        <v>6.4</v>
      </c>
      <c r="C139" s="4" t="str">
        <f>IFERROR(__xludf.DUMMYFUNCTION("""COMPUTED_VALUE"""),"George Lucas")</f>
        <v>George Lucas</v>
      </c>
      <c r="D139" s="4">
        <f t="array" ref="D139">IFERROR(AVERAGEIFS($B$2:$B$3757, $A$2:$A$3757, C139:C3893), "")</f>
        <v>7.4</v>
      </c>
      <c r="E139" s="4">
        <f t="shared" si="1"/>
        <v>88.5</v>
      </c>
      <c r="F139" s="4" t="str">
        <f t="array" ref="F139">IF(D139&gt;=_xlfn.PERCENTILE.INC(D139:D1797, 0.9), "High", "Low")</f>
        <v>Low</v>
      </c>
      <c r="L139" s="4" t="str">
        <f t="shared" si="2"/>
        <v/>
      </c>
    </row>
    <row r="140" ht="14.25" customHeight="1">
      <c r="A140" s="1" t="s">
        <v>891</v>
      </c>
      <c r="B140" s="1">
        <v>5.4</v>
      </c>
      <c r="C140" s="4" t="str">
        <f>IFERROR(__xludf.DUMMYFUNCTION("""COMPUTED_VALUE"""),"Kirk De Micco")</f>
        <v>Kirk De Micco</v>
      </c>
      <c r="D140" s="4">
        <f t="array" ref="D140">IFERROR(AVERAGEIFS($B$2:$B$3757, $A$2:$A$3757, C140:C3894), "")</f>
        <v>5.9</v>
      </c>
      <c r="E140" s="4">
        <f t="shared" si="1"/>
        <v>29.5</v>
      </c>
      <c r="F140" s="4" t="str">
        <f t="array" ref="F140">IF(D140&gt;=_xlfn.PERCENTILE.INC(D140:D1798, 0.9), "High", "Low")</f>
        <v>Low</v>
      </c>
      <c r="L140" s="4" t="str">
        <f t="shared" si="2"/>
        <v/>
      </c>
    </row>
    <row r="141" ht="14.25" customHeight="1">
      <c r="A141" s="1" t="s">
        <v>898</v>
      </c>
      <c r="B141" s="1">
        <v>6.7</v>
      </c>
      <c r="C141" s="4" t="str">
        <f>IFERROR(__xludf.DUMMYFUNCTION("""COMPUTED_VALUE"""),"Cedric Nicolas-Troyan")</f>
        <v>Cedric Nicolas-Troyan</v>
      </c>
      <c r="D141" s="4">
        <f t="array" ref="D141">IFERROR(AVERAGEIFS($B$2:$B$3757, $A$2:$A$3757, C141:C3895), "")</f>
        <v>6.1</v>
      </c>
      <c r="E141" s="4">
        <f t="shared" si="1"/>
        <v>37.5</v>
      </c>
      <c r="F141" s="4" t="str">
        <f t="array" ref="F141">IF(D141&gt;=_xlfn.PERCENTILE.INC(D141:D1799, 0.9), "High", "Low")</f>
        <v>Low</v>
      </c>
      <c r="L141" s="4" t="str">
        <f t="shared" si="2"/>
        <v/>
      </c>
    </row>
    <row r="142" ht="14.25" customHeight="1">
      <c r="A142" s="1" t="s">
        <v>903</v>
      </c>
      <c r="B142" s="1">
        <v>5.8</v>
      </c>
      <c r="C142" s="4" t="str">
        <f>IFERROR(__xludf.DUMMYFUNCTION("""COMPUTED_VALUE"""),"Roger Donaldson")</f>
        <v>Roger Donaldson</v>
      </c>
      <c r="D142" s="4">
        <f t="array" ref="D142">IFERROR(AVERAGEIFS($B$2:$B$3757, $A$2:$A$3757, C142:C3896), "")</f>
        <v>6.771428571</v>
      </c>
      <c r="E142" s="4">
        <f t="shared" si="1"/>
        <v>65.7</v>
      </c>
      <c r="F142" s="4" t="str">
        <f t="array" ref="F142">IF(D142&gt;=_xlfn.PERCENTILE.INC(D142:D1800, 0.9), "High", "Low")</f>
        <v>Low</v>
      </c>
      <c r="L142" s="4" t="str">
        <f t="shared" si="2"/>
        <v/>
      </c>
    </row>
    <row r="143" ht="14.25" customHeight="1">
      <c r="A143" s="1" t="s">
        <v>909</v>
      </c>
      <c r="B143" s="1">
        <v>6.9</v>
      </c>
      <c r="C143" s="4" t="str">
        <f>IFERROR(__xludf.DUMMYFUNCTION("""COMPUTED_VALUE"""),"Josh Trank")</f>
        <v>Josh Trank</v>
      </c>
      <c r="D143" s="4">
        <f t="array" ref="D143">IFERROR(AVERAGEIFS($B$2:$B$3757, $A$2:$A$3757, C143:C3897), "")</f>
        <v>5.233333333</v>
      </c>
      <c r="E143" s="4">
        <f t="shared" si="1"/>
        <v>13.4</v>
      </c>
      <c r="F143" s="4" t="str">
        <f t="array" ref="F143">IF(D143&gt;=_xlfn.PERCENTILE.INC(D143:D1801, 0.9), "High", "Low")</f>
        <v>Low</v>
      </c>
      <c r="L143" s="4" t="str">
        <f t="shared" si="2"/>
        <v/>
      </c>
    </row>
    <row r="144" ht="14.25" customHeight="1">
      <c r="A144" s="1" t="s">
        <v>673</v>
      </c>
      <c r="B144" s="1">
        <v>7.2</v>
      </c>
      <c r="C144" s="4" t="str">
        <f>IFERROR(__xludf.DUMMYFUNCTION("""COMPUTED_VALUE"""),"Brad Peyton")</f>
        <v>Brad Peyton</v>
      </c>
      <c r="D144" s="4">
        <f t="array" ref="D144">IFERROR(AVERAGEIFS($B$2:$B$3757, $A$2:$A$3757, C144:C3898), "")</f>
        <v>5.4</v>
      </c>
      <c r="E144" s="4">
        <f t="shared" si="1"/>
        <v>16.7</v>
      </c>
      <c r="F144" s="4" t="str">
        <f t="array" ref="F144">IF(D144&gt;=_xlfn.PERCENTILE.INC(D144:D1802, 0.9), "High", "Low")</f>
        <v>Low</v>
      </c>
      <c r="L144" s="4" t="str">
        <f t="shared" si="2"/>
        <v/>
      </c>
    </row>
    <row r="145" ht="14.25" customHeight="1">
      <c r="A145" s="1" t="s">
        <v>764</v>
      </c>
      <c r="B145" s="1">
        <v>6.9</v>
      </c>
      <c r="C145" s="4" t="str">
        <f>IFERROR(__xludf.DUMMYFUNCTION("""COMPUTED_VALUE"""),"Roger Spottiswoode")</f>
        <v>Roger Spottiswoode</v>
      </c>
      <c r="D145" s="4">
        <f t="array" ref="D145">IFERROR(AVERAGEIFS($B$2:$B$3757, $A$2:$A$3757, C145:C3899), "")</f>
        <v>6.5</v>
      </c>
      <c r="E145" s="4">
        <f t="shared" si="1"/>
        <v>53.1</v>
      </c>
      <c r="F145" s="4" t="str">
        <f t="array" ref="F145">IF(D145&gt;=_xlfn.PERCENTILE.INC(D145:D1803, 0.9), "High", "Low")</f>
        <v>Low</v>
      </c>
      <c r="L145" s="4" t="str">
        <f t="shared" si="2"/>
        <v/>
      </c>
    </row>
    <row r="146" ht="14.25" customHeight="1">
      <c r="A146" s="1" t="s">
        <v>925</v>
      </c>
      <c r="B146" s="1">
        <v>6.1</v>
      </c>
      <c r="C146" s="4" t="str">
        <f>IFERROR(__xludf.DUMMYFUNCTION("""COMPUTED_VALUE"""),"Steven Soderbergh")</f>
        <v>Steven Soderbergh</v>
      </c>
      <c r="D146" s="4">
        <f t="array" ref="D146">IFERROR(AVERAGEIFS($B$2:$B$3757, $A$2:$A$3757, C146:C3900), "")</f>
        <v>6.70625</v>
      </c>
      <c r="E146" s="4">
        <f t="shared" si="1"/>
        <v>64.6</v>
      </c>
      <c r="F146" s="4" t="str">
        <f t="array" ref="F146">IF(D146&gt;=_xlfn.PERCENTILE.INC(D146:D1804, 0.9), "High", "Low")</f>
        <v>Low</v>
      </c>
      <c r="L146" s="4" t="str">
        <f t="shared" si="2"/>
        <v/>
      </c>
    </row>
    <row r="147" ht="14.25" customHeight="1">
      <c r="A147" s="1" t="s">
        <v>932</v>
      </c>
      <c r="B147" s="1">
        <v>5.5</v>
      </c>
      <c r="C147" s="4" t="str">
        <f>IFERROR(__xludf.DUMMYFUNCTION("""COMPUTED_VALUE"""),"Michel Gondry")</f>
        <v>Michel Gondry</v>
      </c>
      <c r="D147" s="4">
        <f t="array" ref="D147">IFERROR(AVERAGEIFS($B$2:$B$3757, $A$2:$A$3757, C147:C3901), "")</f>
        <v>6.925</v>
      </c>
      <c r="E147" s="4">
        <f t="shared" si="1"/>
        <v>73.2</v>
      </c>
      <c r="F147" s="4" t="str">
        <f t="array" ref="F147">IF(D147&gt;=_xlfn.PERCENTILE.INC(D147:D1805, 0.9), "High", "Low")</f>
        <v>Low</v>
      </c>
      <c r="L147" s="4" t="str">
        <f t="shared" si="2"/>
        <v/>
      </c>
    </row>
    <row r="148" ht="14.25" customHeight="1">
      <c r="A148" s="1" t="s">
        <v>270</v>
      </c>
      <c r="B148" s="1">
        <v>6.6</v>
      </c>
      <c r="C148" s="4" t="str">
        <f>IFERROR(__xludf.DUMMYFUNCTION("""COMPUTED_VALUE"""),"Noam Murro")</f>
        <v>Noam Murro</v>
      </c>
      <c r="D148" s="4">
        <f t="array" ref="D148">IFERROR(AVERAGEIFS($B$2:$B$3757, $A$2:$A$3757, C148:C3902), "")</f>
        <v>6.2</v>
      </c>
      <c r="E148" s="4">
        <f t="shared" si="1"/>
        <v>42</v>
      </c>
      <c r="F148" s="4" t="str">
        <f t="array" ref="F148">IF(D148&gt;=_xlfn.PERCENTILE.INC(D148:D1806, 0.9), "High", "Low")</f>
        <v>Low</v>
      </c>
      <c r="L148" s="4" t="str">
        <f t="shared" si="2"/>
        <v/>
      </c>
    </row>
    <row r="149" ht="14.25" customHeight="1">
      <c r="A149" s="1" t="s">
        <v>155</v>
      </c>
      <c r="B149" s="1">
        <v>6.1</v>
      </c>
      <c r="C149" s="4" t="str">
        <f>IFERROR(__xludf.DUMMYFUNCTION("""COMPUTED_VALUE"""),"Raja Gosnell")</f>
        <v>Raja Gosnell</v>
      </c>
      <c r="D149" s="4">
        <f t="array" ref="D149">IFERROR(AVERAGEIFS($B$2:$B$3757, $A$2:$A$3757, C149:C3903), "")</f>
        <v>4.916666667</v>
      </c>
      <c r="E149" s="4">
        <f t="shared" si="1"/>
        <v>9.5</v>
      </c>
      <c r="F149" s="4" t="str">
        <f t="array" ref="F149">IF(D149&gt;=_xlfn.PERCENTILE.INC(D149:D1807, 0.9), "High", "Low")</f>
        <v>Low</v>
      </c>
      <c r="L149" s="4" t="str">
        <f t="shared" si="2"/>
        <v/>
      </c>
    </row>
    <row r="150" ht="14.25" customHeight="1">
      <c r="A150" s="1" t="s">
        <v>420</v>
      </c>
      <c r="B150" s="1">
        <v>6.3</v>
      </c>
      <c r="C150" s="4" t="str">
        <f>IFERROR(__xludf.DUMMYFUNCTION("""COMPUTED_VALUE"""),"Will Finn")</f>
        <v>Will Finn</v>
      </c>
      <c r="D150" s="4">
        <f t="array" ref="D150">IFERROR(AVERAGEIFS($B$2:$B$3757, $A$2:$A$3757, C150:C3904), "")</f>
        <v>5.4</v>
      </c>
      <c r="E150" s="4">
        <f t="shared" si="1"/>
        <v>16.7</v>
      </c>
      <c r="F150" s="4" t="str">
        <f t="array" ref="F150">IF(D150&gt;=_xlfn.PERCENTILE.INC(D150:D1808, 0.9), "High", "Low")</f>
        <v>Low</v>
      </c>
      <c r="L150" s="4" t="str">
        <f t="shared" si="2"/>
        <v/>
      </c>
    </row>
    <row r="151" ht="14.25" customHeight="1">
      <c r="A151" s="1" t="s">
        <v>955</v>
      </c>
      <c r="B151" s="1">
        <v>7.2</v>
      </c>
      <c r="C151" s="4" t="str">
        <f>IFERROR(__xludf.DUMMYFUNCTION("""COMPUTED_VALUE"""),"Jan de Bont")</f>
        <v>Jan de Bont</v>
      </c>
      <c r="D151" s="4">
        <f t="array" ref="D151">IFERROR(AVERAGEIFS($B$2:$B$3757, $A$2:$A$3757, C151:C3905), "")</f>
        <v>5.52</v>
      </c>
      <c r="E151" s="4">
        <f t="shared" si="1"/>
        <v>20.9</v>
      </c>
      <c r="F151" s="4" t="str">
        <f t="array" ref="F151">IF(D151&gt;=_xlfn.PERCENTILE.INC(D151:D1809, 0.9), "High", "Low")</f>
        <v>Low</v>
      </c>
      <c r="L151" s="4" t="str">
        <f t="shared" si="2"/>
        <v/>
      </c>
    </row>
    <row r="152" ht="14.25" customHeight="1">
      <c r="A152" s="1" t="s">
        <v>579</v>
      </c>
      <c r="B152" s="1">
        <v>7.4</v>
      </c>
      <c r="C152" s="4" t="str">
        <f>IFERROR(__xludf.DUMMYFUNCTION("""COMPUTED_VALUE"""),"Len Wiseman")</f>
        <v>Len Wiseman</v>
      </c>
      <c r="D152" s="4">
        <f t="array" ref="D152">IFERROR(AVERAGEIFS($B$2:$B$3757, $A$2:$A$3757, C152:C3906), "")</f>
        <v>7</v>
      </c>
      <c r="E152" s="4">
        <f t="shared" si="1"/>
        <v>74.3</v>
      </c>
      <c r="F152" s="4" t="str">
        <f t="array" ref="F152">IF(D152&gt;=_xlfn.PERCENTILE.INC(D152:D1810, 0.9), "High", "Low")</f>
        <v>Low</v>
      </c>
      <c r="L152" s="4" t="str">
        <f t="shared" si="2"/>
        <v/>
      </c>
    </row>
    <row r="153" ht="14.25" customHeight="1">
      <c r="A153" s="1" t="s">
        <v>964</v>
      </c>
      <c r="B153" s="1">
        <v>7.3</v>
      </c>
      <c r="C153" s="4" t="str">
        <f>IFERROR(__xludf.DUMMYFUNCTION("""COMPUTED_VALUE"""),"Frank Coraci")</f>
        <v>Frank Coraci</v>
      </c>
      <c r="D153" s="4">
        <f t="array" ref="D153">IFERROR(AVERAGEIFS($B$2:$B$3757, $A$2:$A$3757, C153:C3907), "")</f>
        <v>6.042857143</v>
      </c>
      <c r="E153" s="4">
        <f t="shared" si="1"/>
        <v>36.5</v>
      </c>
      <c r="F153" s="4" t="str">
        <f t="array" ref="F153">IF(D153&gt;=_xlfn.PERCENTILE.INC(D153:D1811, 0.9), "High", "Low")</f>
        <v>Low</v>
      </c>
      <c r="L153" s="4" t="str">
        <f t="shared" si="2"/>
        <v/>
      </c>
    </row>
    <row r="154" ht="14.25" customHeight="1">
      <c r="A154" s="1" t="s">
        <v>970</v>
      </c>
      <c r="B154" s="1">
        <v>6.1</v>
      </c>
      <c r="C154" s="4" t="str">
        <f>IFERROR(__xludf.DUMMYFUNCTION("""COMPUTED_VALUE"""),"Michael Mann")</f>
        <v>Michael Mann</v>
      </c>
      <c r="D154" s="4">
        <f t="array" ref="D154">IFERROR(AVERAGEIFS($B$2:$B$3757, $A$2:$A$3757, C154:C3908), "")</f>
        <v>7.083333333</v>
      </c>
      <c r="E154" s="4">
        <f t="shared" si="1"/>
        <v>78.7</v>
      </c>
      <c r="F154" s="4" t="str">
        <f t="array" ref="F154">IF(D154&gt;=_xlfn.PERCENTILE.INC(D154:D1812, 0.9), "High", "Low")</f>
        <v>Low</v>
      </c>
      <c r="L154" s="4" t="str">
        <f t="shared" si="2"/>
        <v/>
      </c>
    </row>
    <row r="155" ht="14.25" customHeight="1">
      <c r="A155" s="1" t="s">
        <v>978</v>
      </c>
      <c r="B155" s="1">
        <v>7.7</v>
      </c>
      <c r="C155" s="4" t="str">
        <f>IFERROR(__xludf.DUMMYFUNCTION("""COMPUTED_VALUE"""),"Bo Welch")</f>
        <v>Bo Welch</v>
      </c>
      <c r="D155" s="4">
        <f t="array" ref="D155">IFERROR(AVERAGEIFS($B$2:$B$3757, $A$2:$A$3757, C155:C3909), "")</f>
        <v>3.8</v>
      </c>
      <c r="E155" s="4">
        <f t="shared" si="1"/>
        <v>2.7</v>
      </c>
      <c r="F155" s="4" t="str">
        <f t="array" ref="F155">IF(D155&gt;=_xlfn.PERCENTILE.INC(D155:D1813, 0.9), "High", "Low")</f>
        <v>Low</v>
      </c>
      <c r="L155" s="4" t="str">
        <f t="shared" si="2"/>
        <v/>
      </c>
    </row>
    <row r="156" ht="14.25" customHeight="1">
      <c r="A156" s="1" t="s">
        <v>179</v>
      </c>
      <c r="B156" s="1">
        <v>6.1</v>
      </c>
      <c r="C156" s="4" t="str">
        <f>IFERROR(__xludf.DUMMYFUNCTION("""COMPUTED_VALUE"""),"Ron Clements")</f>
        <v>Ron Clements</v>
      </c>
      <c r="D156" s="4">
        <f t="array" ref="D156">IFERROR(AVERAGEIFS($B$2:$B$3757, $A$2:$A$3757, C156:C3910), "")</f>
        <v>7.4</v>
      </c>
      <c r="E156" s="4">
        <f t="shared" si="1"/>
        <v>88.3</v>
      </c>
      <c r="F156" s="4" t="str">
        <f t="array" ref="F156">IF(D156&gt;=_xlfn.PERCENTILE.INC(D156:D1814, 0.9), "High", "Low")</f>
        <v>Low</v>
      </c>
      <c r="L156" s="4" t="str">
        <f t="shared" si="2"/>
        <v/>
      </c>
    </row>
    <row r="157" ht="14.25" customHeight="1">
      <c r="A157" s="1" t="s">
        <v>343</v>
      </c>
      <c r="B157" s="1">
        <v>8.0</v>
      </c>
      <c r="C157" s="4" t="str">
        <f>IFERROR(__xludf.DUMMYFUNCTION("""COMPUTED_VALUE"""),"Peter Chelsom")</f>
        <v>Peter Chelsom</v>
      </c>
      <c r="D157" s="4">
        <f t="array" ref="D157">IFERROR(AVERAGEIFS($B$2:$B$3757, $A$2:$A$3757, C157:C3911), "")</f>
        <v>5.4</v>
      </c>
      <c r="E157" s="4">
        <f t="shared" si="1"/>
        <v>16.8</v>
      </c>
      <c r="F157" s="4" t="str">
        <f t="array" ref="F157">IF(D157&gt;=_xlfn.PERCENTILE.INC(D157:D1815, 0.9), "High", "Low")</f>
        <v>Low</v>
      </c>
      <c r="L157" s="4" t="str">
        <f t="shared" si="2"/>
        <v/>
      </c>
    </row>
    <row r="158" ht="14.25" customHeight="1">
      <c r="A158" s="1" t="s">
        <v>71</v>
      </c>
      <c r="B158" s="1">
        <v>7.3</v>
      </c>
      <c r="C158" s="4" t="str">
        <f>IFERROR(__xludf.DUMMYFUNCTION("""COMPUTED_VALUE"""),"Dominic Sena")</f>
        <v>Dominic Sena</v>
      </c>
      <c r="D158" s="4">
        <f t="array" ref="D158">IFERROR(AVERAGEIFS($B$2:$B$3757, $A$2:$A$3757, C158:C3912), "")</f>
        <v>6.166666667</v>
      </c>
      <c r="E158" s="4">
        <f t="shared" si="1"/>
        <v>41.5</v>
      </c>
      <c r="F158" s="4" t="str">
        <f t="array" ref="F158">IF(D158&gt;=_xlfn.PERCENTILE.INC(D158:D1816, 0.9), "High", "Low")</f>
        <v>Low</v>
      </c>
      <c r="L158" s="4" t="str">
        <f t="shared" si="2"/>
        <v/>
      </c>
    </row>
    <row r="159" ht="14.25" customHeight="1">
      <c r="A159" s="1" t="s">
        <v>614</v>
      </c>
      <c r="B159" s="1">
        <v>7.9</v>
      </c>
      <c r="C159" s="4" t="str">
        <f>IFERROR(__xludf.DUMMYFUNCTION("""COMPUTED_VALUE"""),"Tony Scott")</f>
        <v>Tony Scott</v>
      </c>
      <c r="D159" s="4">
        <f t="array" ref="D159">IFERROR(AVERAGEIFS($B$2:$B$3757, $A$2:$A$3757, C159:C3913), "")</f>
        <v>6.791666667</v>
      </c>
      <c r="E159" s="4">
        <f t="shared" si="1"/>
        <v>65.8</v>
      </c>
      <c r="F159" s="4" t="str">
        <f t="array" ref="F159">IF(D159&gt;=_xlfn.PERCENTILE.INC(D159:D1817, 0.9), "High", "Low")</f>
        <v>Low</v>
      </c>
      <c r="L159" s="4" t="str">
        <f t="shared" si="2"/>
        <v/>
      </c>
    </row>
    <row r="160" ht="14.25" customHeight="1">
      <c r="A160" s="1" t="s">
        <v>1002</v>
      </c>
      <c r="B160" s="1">
        <v>5.5</v>
      </c>
      <c r="C160" s="4" t="str">
        <f>IFERROR(__xludf.DUMMYFUNCTION("""COMPUTED_VALUE"""),"Paul Weitz")</f>
        <v>Paul Weitz</v>
      </c>
      <c r="D160" s="4">
        <f t="array" ref="D160">IFERROR(AVERAGEIFS($B$2:$B$3757, $A$2:$A$3757, C160:C3914), "")</f>
        <v>6.016666667</v>
      </c>
      <c r="E160" s="4">
        <f t="shared" si="1"/>
        <v>36.2</v>
      </c>
      <c r="F160" s="4" t="str">
        <f t="array" ref="F160">IF(D160&gt;=_xlfn.PERCENTILE.INC(D160:D1818, 0.9), "High", "Low")</f>
        <v>Low</v>
      </c>
      <c r="L160" s="4" t="str">
        <f t="shared" si="2"/>
        <v/>
      </c>
    </row>
    <row r="161" ht="14.25" customHeight="1">
      <c r="A161" s="1" t="s">
        <v>484</v>
      </c>
      <c r="B161" s="1">
        <v>5.0</v>
      </c>
      <c r="C161" s="4" t="str">
        <f>IFERROR(__xludf.DUMMYFUNCTION("""COMPUTED_VALUE"""),"Adam McKay")</f>
        <v>Adam McKay</v>
      </c>
      <c r="D161" s="4">
        <f t="array" ref="D161">IFERROR(AVERAGEIFS($B$2:$B$3757, $A$2:$A$3757, C161:C3915), "")</f>
        <v>6.916666667</v>
      </c>
      <c r="E161" s="4">
        <f t="shared" si="1"/>
        <v>73.1</v>
      </c>
      <c r="F161" s="4" t="str">
        <f t="array" ref="F161">IF(D161&gt;=_xlfn.PERCENTILE.INC(D161:D1819, 0.9), "High", "Low")</f>
        <v>Low</v>
      </c>
      <c r="L161" s="4" t="str">
        <f t="shared" si="2"/>
        <v/>
      </c>
    </row>
    <row r="162" ht="14.25" customHeight="1">
      <c r="A162" s="1" t="s">
        <v>103</v>
      </c>
      <c r="B162" s="1">
        <v>7.7</v>
      </c>
      <c r="C162" s="4" t="str">
        <f>IFERROR(__xludf.DUMMYFUNCTION("""COMPUTED_VALUE"""),"Chuck Russell")</f>
        <v>Chuck Russell</v>
      </c>
      <c r="D162" s="4">
        <f t="array" ref="D162">IFERROR(AVERAGEIFS($B$2:$B$3757, $A$2:$A$3757, C162:C3916), "")</f>
        <v>6.04</v>
      </c>
      <c r="E162" s="4">
        <f t="shared" si="1"/>
        <v>36.4</v>
      </c>
      <c r="F162" s="4" t="str">
        <f t="array" ref="F162">IF(D162&gt;=_xlfn.PERCENTILE.INC(D162:D1820, 0.9), "High", "Low")</f>
        <v>Low</v>
      </c>
      <c r="L162" s="4" t="str">
        <f t="shared" si="2"/>
        <v/>
      </c>
    </row>
    <row r="163" ht="14.25" customHeight="1">
      <c r="A163" s="1" t="s">
        <v>1021</v>
      </c>
      <c r="B163" s="1">
        <v>6.6</v>
      </c>
      <c r="C163" s="4" t="str">
        <f>IFERROR(__xludf.DUMMYFUNCTION("""COMPUTED_VALUE"""),"Quentin Tarantino")</f>
        <v>Quentin Tarantino</v>
      </c>
      <c r="D163" s="4">
        <f t="array" ref="D163">IFERROR(AVERAGEIFS($B$2:$B$3757, $A$2:$A$3757, C163:C3917), "")</f>
        <v>8.2</v>
      </c>
      <c r="E163" s="4">
        <f t="shared" si="1"/>
        <v>99.1</v>
      </c>
      <c r="F163" s="4" t="str">
        <f t="array" ref="F163">IF(D163&gt;=_xlfn.PERCENTILE.INC(D163:D1821, 0.9), "High", "Low")</f>
        <v>High</v>
      </c>
      <c r="L163" s="4" t="str">
        <f t="shared" si="2"/>
        <v/>
      </c>
    </row>
    <row r="164" ht="14.25" customHeight="1">
      <c r="A164" s="1" t="s">
        <v>1027</v>
      </c>
      <c r="B164" s="1">
        <v>5.7</v>
      </c>
      <c r="C164" s="4" t="str">
        <f>IFERROR(__xludf.DUMMYFUNCTION("""COMPUTED_VALUE"""),"Gary Trousdale")</f>
        <v>Gary Trousdale</v>
      </c>
      <c r="D164" s="4">
        <f t="array" ref="D164">IFERROR(AVERAGEIFS($B$2:$B$3757, $A$2:$A$3757, C164:C3918), "")</f>
        <v>6.85</v>
      </c>
      <c r="E164" s="4">
        <f t="shared" si="1"/>
        <v>69.2</v>
      </c>
      <c r="F164" s="4" t="str">
        <f t="array" ref="F164">IF(D164&gt;=_xlfn.PERCENTILE.INC(D164:D1822, 0.9), "High", "Low")</f>
        <v>Low</v>
      </c>
      <c r="L164" s="4" t="str">
        <f t="shared" si="2"/>
        <v/>
      </c>
    </row>
    <row r="165" ht="14.25" customHeight="1">
      <c r="A165" s="1" t="s">
        <v>1034</v>
      </c>
      <c r="B165" s="1">
        <v>5.8</v>
      </c>
      <c r="C165" s="4" t="str">
        <f>IFERROR(__xludf.DUMMYFUNCTION("""COMPUTED_VALUE"""),"Mark Dindal")</f>
        <v>Mark Dindal</v>
      </c>
      <c r="D165" s="4">
        <f t="array" ref="D165">IFERROR(AVERAGEIFS($B$2:$B$3757, $A$2:$A$3757, C165:C3919), "")</f>
        <v>6.666666667</v>
      </c>
      <c r="E165" s="4">
        <f t="shared" si="1"/>
        <v>61.8</v>
      </c>
      <c r="F165" s="4" t="str">
        <f t="array" ref="F165">IF(D165&gt;=_xlfn.PERCENTILE.INC(D165:D1823, 0.9), "High", "Low")</f>
        <v>Low</v>
      </c>
      <c r="L165" s="4" t="str">
        <f t="shared" si="2"/>
        <v/>
      </c>
    </row>
    <row r="166" ht="14.25" customHeight="1">
      <c r="A166" s="1" t="s">
        <v>1039</v>
      </c>
      <c r="B166" s="1">
        <v>6.0</v>
      </c>
      <c r="C166" s="4" t="str">
        <f>IFERROR(__xludf.DUMMYFUNCTION("""COMPUTED_VALUE"""),"Simon West")</f>
        <v>Simon West</v>
      </c>
      <c r="D166" s="4">
        <f t="array" ref="D166">IFERROR(AVERAGEIFS($B$2:$B$3757, $A$2:$A$3757, C166:C3920), "")</f>
        <v>6.085714286</v>
      </c>
      <c r="E166" s="4">
        <f t="shared" si="1"/>
        <v>37.4</v>
      </c>
      <c r="F166" s="4" t="str">
        <f t="array" ref="F166">IF(D166&gt;=_xlfn.PERCENTILE.INC(D166:D1824, 0.9), "High", "Low")</f>
        <v>Low</v>
      </c>
      <c r="L166" s="4" t="str">
        <f t="shared" si="2"/>
        <v/>
      </c>
    </row>
    <row r="167" ht="14.25" customHeight="1">
      <c r="A167" s="1" t="s">
        <v>1044</v>
      </c>
      <c r="B167" s="1">
        <v>6.4</v>
      </c>
      <c r="C167" s="4" t="str">
        <f>IFERROR(__xludf.DUMMYFUNCTION("""COMPUTED_VALUE"""),"Stefen Fangmeier")</f>
        <v>Stefen Fangmeier</v>
      </c>
      <c r="D167" s="4">
        <f t="array" ref="D167">IFERROR(AVERAGEIFS($B$2:$B$3757, $A$2:$A$3757, C167:C3921), "")</f>
        <v>5.1</v>
      </c>
      <c r="E167" s="4">
        <f t="shared" si="1"/>
        <v>10.4</v>
      </c>
      <c r="F167" s="4" t="str">
        <f t="array" ref="F167">IF(D167&gt;=_xlfn.PERCENTILE.INC(D167:D1825, 0.9), "High", "Low")</f>
        <v>Low</v>
      </c>
      <c r="L167" s="4" t="str">
        <f t="shared" si="2"/>
        <v/>
      </c>
    </row>
    <row r="168" ht="14.25" customHeight="1">
      <c r="A168" s="1" t="s">
        <v>856</v>
      </c>
      <c r="B168" s="1">
        <v>6.9</v>
      </c>
      <c r="C168" s="4" t="str">
        <f>IFERROR(__xludf.DUMMYFUNCTION("""COMPUTED_VALUE"""),"Spike Jonze")</f>
        <v>Spike Jonze</v>
      </c>
      <c r="D168" s="4">
        <f t="array" ref="D168">IFERROR(AVERAGEIFS($B$2:$B$3757, $A$2:$A$3757, C168:C3922), "")</f>
        <v>7.575</v>
      </c>
      <c r="E168" s="4">
        <f t="shared" si="1"/>
        <v>91.9</v>
      </c>
      <c r="F168" s="4" t="str">
        <f t="array" ref="F168">IF(D168&gt;=_xlfn.PERCENTILE.INC(D168:D1826, 0.9), "High", "Low")</f>
        <v>High</v>
      </c>
      <c r="L168" s="4" t="str">
        <f t="shared" si="2"/>
        <v/>
      </c>
    </row>
    <row r="169" ht="14.25" customHeight="1">
      <c r="A169" s="1" t="s">
        <v>704</v>
      </c>
      <c r="B169" s="1">
        <v>6.4</v>
      </c>
      <c r="C169" s="4" t="str">
        <f>IFERROR(__xludf.DUMMYFUNCTION("""COMPUTED_VALUE"""),"Chris Wedge")</f>
        <v>Chris Wedge</v>
      </c>
      <c r="D169" s="4">
        <f t="array" ref="D169">IFERROR(AVERAGEIFS($B$2:$B$3757, $A$2:$A$3757, C169:C3923), "")</f>
        <v>6.866666667</v>
      </c>
      <c r="E169" s="4">
        <f t="shared" si="1"/>
        <v>70</v>
      </c>
      <c r="F169" s="4" t="str">
        <f t="array" ref="F169">IF(D169&gt;=_xlfn.PERCENTILE.INC(D169:D1827, 0.9), "High", "Low")</f>
        <v>Low</v>
      </c>
      <c r="L169" s="4" t="str">
        <f t="shared" si="2"/>
        <v/>
      </c>
    </row>
    <row r="170" ht="14.25" customHeight="1">
      <c r="A170" s="1" t="s">
        <v>1059</v>
      </c>
      <c r="B170" s="1">
        <v>7.4</v>
      </c>
      <c r="C170" s="4" t="str">
        <f>IFERROR(__xludf.DUMMYFUNCTION("""COMPUTED_VALUE"""),"Florian Henckel von Donnersmarck")</f>
        <v>Florian Henckel von Donnersmarck</v>
      </c>
      <c r="D170" s="4">
        <f t="array" ref="D170">IFERROR(AVERAGEIFS($B$2:$B$3757, $A$2:$A$3757, C170:C3924), "")</f>
        <v>6.833333333</v>
      </c>
      <c r="E170" s="4">
        <f t="shared" si="1"/>
        <v>68.8</v>
      </c>
      <c r="F170" s="4" t="str">
        <f t="array" ref="F170">IF(D170&gt;=_xlfn.PERCENTILE.INC(D170:D1828, 0.9), "High", "Low")</f>
        <v>Low</v>
      </c>
      <c r="L170" s="4" t="str">
        <f t="shared" si="2"/>
        <v/>
      </c>
    </row>
    <row r="171" ht="14.25" customHeight="1">
      <c r="A171" s="1" t="s">
        <v>1067</v>
      </c>
      <c r="B171" s="1">
        <v>5.5</v>
      </c>
      <c r="C171" s="4" t="str">
        <f>IFERROR(__xludf.DUMMYFUNCTION("""COMPUTED_VALUE"""),"Peter Hyams")</f>
        <v>Peter Hyams</v>
      </c>
      <c r="D171" s="4">
        <f t="array" ref="D171">IFERROR(AVERAGEIFS($B$2:$B$3757, $A$2:$A$3757, C171:C3925), "")</f>
        <v>5.22</v>
      </c>
      <c r="E171" s="4">
        <f t="shared" si="1"/>
        <v>13.4</v>
      </c>
      <c r="F171" s="4" t="str">
        <f t="array" ref="F171">IF(D171&gt;=_xlfn.PERCENTILE.INC(D171:D1829, 0.9), "High", "Low")</f>
        <v>Low</v>
      </c>
      <c r="L171" s="4" t="str">
        <f t="shared" si="2"/>
        <v/>
      </c>
    </row>
    <row r="172" ht="14.25" customHeight="1">
      <c r="A172" s="1" t="s">
        <v>808</v>
      </c>
      <c r="B172" s="1">
        <v>5.9</v>
      </c>
      <c r="C172" s="4" t="str">
        <f>IFERROR(__xludf.DUMMYFUNCTION("""COMPUTED_VALUE"""),"Tom Tykwer")</f>
        <v>Tom Tykwer</v>
      </c>
      <c r="D172" s="4">
        <f t="array" ref="D172">IFERROR(AVERAGEIFS($B$2:$B$3757, $A$2:$A$3757, C172:C3926), "")</f>
        <v>7.325</v>
      </c>
      <c r="E172" s="4">
        <f t="shared" si="1"/>
        <v>87.8</v>
      </c>
      <c r="F172" s="4" t="str">
        <f t="array" ref="F172">IF(D172&gt;=_xlfn.PERCENTILE.INC(D172:D1830, 0.9), "High", "Low")</f>
        <v>Low</v>
      </c>
      <c r="L172" s="4" t="str">
        <f t="shared" si="2"/>
        <v/>
      </c>
    </row>
    <row r="173" ht="14.25" customHeight="1">
      <c r="A173" s="1" t="s">
        <v>1077</v>
      </c>
      <c r="B173" s="1">
        <v>6.8</v>
      </c>
      <c r="C173" s="4" t="str">
        <f>IFERROR(__xludf.DUMMYFUNCTION("""COMPUTED_VALUE"""),"Pitof")</f>
        <v>Pitof</v>
      </c>
      <c r="D173" s="4">
        <f t="array" ref="D173">IFERROR(AVERAGEIFS($B$2:$B$3757, $A$2:$A$3757, C173:C3927), "")</f>
        <v>3.3</v>
      </c>
      <c r="E173" s="4">
        <f t="shared" si="1"/>
        <v>1.2</v>
      </c>
      <c r="F173" s="4" t="str">
        <f t="array" ref="F173">IF(D173&gt;=_xlfn.PERCENTILE.INC(D173:D1831, 0.9), "High", "Low")</f>
        <v>Low</v>
      </c>
      <c r="L173" s="4" t="str">
        <f t="shared" si="2"/>
        <v/>
      </c>
    </row>
    <row r="174" ht="14.25" customHeight="1">
      <c r="A174" s="1" t="s">
        <v>381</v>
      </c>
      <c r="B174" s="1">
        <v>6.8</v>
      </c>
      <c r="C174" s="4" t="str">
        <f>IFERROR(__xludf.DUMMYFUNCTION("""COMPUTED_VALUE"""),"Brad Silberling")</f>
        <v>Brad Silberling</v>
      </c>
      <c r="D174" s="4">
        <f t="array" ref="D174">IFERROR(AVERAGEIFS($B$2:$B$3757, $A$2:$A$3757, C174:C3928), "")</f>
        <v>6.2</v>
      </c>
      <c r="E174" s="4">
        <f t="shared" si="1"/>
        <v>41.9</v>
      </c>
      <c r="F174" s="4" t="str">
        <f t="array" ref="F174">IF(D174&gt;=_xlfn.PERCENTILE.INC(D174:D1832, 0.9), "High", "Low")</f>
        <v>Low</v>
      </c>
      <c r="L174" s="4" t="str">
        <f t="shared" si="2"/>
        <v/>
      </c>
    </row>
    <row r="175" ht="14.25" customHeight="1">
      <c r="A175" s="1" t="s">
        <v>1088</v>
      </c>
      <c r="B175" s="1">
        <v>8.1</v>
      </c>
      <c r="C175" s="4" t="str">
        <f>IFERROR(__xludf.DUMMYFUNCTION("""COMPUTED_VALUE"""),"Patrick Hughes")</f>
        <v>Patrick Hughes</v>
      </c>
      <c r="D175" s="4">
        <f t="array" ref="D175">IFERROR(AVERAGEIFS($B$2:$B$3757, $A$2:$A$3757, C175:C3929), "")</f>
        <v>6.1</v>
      </c>
      <c r="E175" s="4">
        <f t="shared" si="1"/>
        <v>37.4</v>
      </c>
      <c r="F175" s="4" t="str">
        <f t="array" ref="F175">IF(D175&gt;=_xlfn.PERCENTILE.INC(D175:D1833, 0.9), "High", "Low")</f>
        <v>Low</v>
      </c>
      <c r="L175" s="4" t="str">
        <f t="shared" si="2"/>
        <v/>
      </c>
    </row>
    <row r="176" ht="14.25" customHeight="1">
      <c r="A176" s="1" t="s">
        <v>1094</v>
      </c>
      <c r="B176" s="1">
        <v>6.5</v>
      </c>
      <c r="C176" s="4" t="str">
        <f>IFERROR(__xludf.DUMMYFUNCTION("""COMPUTED_VALUE"""),"Ericson Core")</f>
        <v>Ericson Core</v>
      </c>
      <c r="D176" s="4">
        <f t="array" ref="D176">IFERROR(AVERAGEIFS($B$2:$B$3757, $A$2:$A$3757, C176:C3930), "")</f>
        <v>5.3</v>
      </c>
      <c r="E176" s="4">
        <f t="shared" si="1"/>
        <v>14.1</v>
      </c>
      <c r="F176" s="4" t="str">
        <f t="array" ref="F176">IF(D176&gt;=_xlfn.PERCENTILE.INC(D176:D1834, 0.9), "High", "Low")</f>
        <v>Low</v>
      </c>
      <c r="L176" s="4" t="str">
        <f t="shared" si="2"/>
        <v/>
      </c>
    </row>
    <row r="177" ht="14.25" customHeight="1">
      <c r="A177" s="1" t="s">
        <v>38</v>
      </c>
      <c r="B177" s="1">
        <v>7.2</v>
      </c>
      <c r="C177" s="4" t="str">
        <f>IFERROR(__xludf.DUMMYFUNCTION("""COMPUTED_VALUE"""),"Lawrence Guterman")</f>
        <v>Lawrence Guterman</v>
      </c>
      <c r="D177" s="4">
        <f t="array" ref="D177">IFERROR(AVERAGEIFS($B$2:$B$3757, $A$2:$A$3757, C177:C3931), "")</f>
        <v>3.7</v>
      </c>
      <c r="E177" s="4">
        <f t="shared" si="1"/>
        <v>2.6</v>
      </c>
      <c r="F177" s="4" t="str">
        <f t="array" ref="F177">IF(D177&gt;=_xlfn.PERCENTILE.INC(D177:D1835, 0.9), "High", "Low")</f>
        <v>Low</v>
      </c>
      <c r="L177" s="4" t="str">
        <f t="shared" si="2"/>
        <v/>
      </c>
    </row>
    <row r="178" ht="14.25" customHeight="1">
      <c r="A178" s="1" t="s">
        <v>764</v>
      </c>
      <c r="B178" s="1">
        <v>6.7</v>
      </c>
      <c r="C178" s="4" t="str">
        <f>IFERROR(__xludf.DUMMYFUNCTION("""COMPUTED_VALUE"""),"Ron Underwood")</f>
        <v>Ron Underwood</v>
      </c>
      <c r="D178" s="4">
        <f t="array" ref="D178">IFERROR(AVERAGEIFS($B$2:$B$3757, $A$2:$A$3757, C178:C3932), "")</f>
        <v>5.5</v>
      </c>
      <c r="E178" s="4">
        <f t="shared" si="1"/>
        <v>19</v>
      </c>
      <c r="F178" s="4" t="str">
        <f t="array" ref="F178">IF(D178&gt;=_xlfn.PERCENTILE.INC(D178:D1836, 0.9), "High", "Low")</f>
        <v>Low</v>
      </c>
      <c r="L178" s="4" t="str">
        <f t="shared" si="2"/>
        <v/>
      </c>
    </row>
    <row r="179" ht="14.25" customHeight="1">
      <c r="A179" s="1" t="s">
        <v>1110</v>
      </c>
      <c r="B179" s="1">
        <v>8.1</v>
      </c>
      <c r="C179" s="4" t="str">
        <f>IFERROR(__xludf.DUMMYFUNCTION("""COMPUTED_VALUE"""),"Steve Martino")</f>
        <v>Steve Martino</v>
      </c>
      <c r="D179" s="4">
        <f t="array" ref="D179">IFERROR(AVERAGEIFS($B$2:$B$3757, $A$2:$A$3757, C179:C3933), "")</f>
        <v>6.9</v>
      </c>
      <c r="E179" s="4">
        <f t="shared" si="1"/>
        <v>70.4</v>
      </c>
      <c r="F179" s="4" t="str">
        <f t="array" ref="F179">IF(D179&gt;=_xlfn.PERCENTILE.INC(D179:D1837, 0.9), "High", "Low")</f>
        <v>Low</v>
      </c>
      <c r="L179" s="4" t="str">
        <f t="shared" si="2"/>
        <v/>
      </c>
    </row>
    <row r="180" ht="14.25" customHeight="1">
      <c r="A180" s="1" t="s">
        <v>1116</v>
      </c>
      <c r="B180" s="1">
        <v>7.6</v>
      </c>
      <c r="C180" s="4" t="str">
        <f>IFERROR(__xludf.DUMMYFUNCTION("""COMPUTED_VALUE"""),"David Mamet")</f>
        <v>David Mamet</v>
      </c>
      <c r="D180" s="4">
        <f t="array" ref="D180">IFERROR(AVERAGEIFS($B$2:$B$3757, $A$2:$A$3757, C180:C3934), "")</f>
        <v>7.05</v>
      </c>
      <c r="E180" s="4">
        <f t="shared" si="1"/>
        <v>78.3</v>
      </c>
      <c r="F180" s="4" t="str">
        <f t="array" ref="F180">IF(D180&gt;=_xlfn.PERCENTILE.INC(D180:D1838, 0.9), "High", "Low")</f>
        <v>Low</v>
      </c>
      <c r="L180" s="4" t="str">
        <f t="shared" si="2"/>
        <v/>
      </c>
    </row>
    <row r="181" ht="14.25" customHeight="1">
      <c r="A181" s="1" t="s">
        <v>1120</v>
      </c>
      <c r="B181" s="1">
        <v>7.4</v>
      </c>
      <c r="C181" s="4" t="str">
        <f>IFERROR(__xludf.DUMMYFUNCTION("""COMPUTED_VALUE"""),"Yimou Zhang")</f>
        <v>Yimou Zhang</v>
      </c>
      <c r="D181" s="4">
        <f t="array" ref="D181">IFERROR(AVERAGEIFS($B$2:$B$3757, $A$2:$A$3757, C181:C3935), "")</f>
        <v>7.6</v>
      </c>
      <c r="E181" s="4">
        <f t="shared" si="1"/>
        <v>92</v>
      </c>
      <c r="F181" s="4" t="str">
        <f t="array" ref="F181">IF(D181&gt;=_xlfn.PERCENTILE.INC(D181:D1839, 0.9), "High", "Low")</f>
        <v>High</v>
      </c>
      <c r="L181" s="4" t="str">
        <f t="shared" si="2"/>
        <v/>
      </c>
    </row>
    <row r="182" ht="14.25" customHeight="1">
      <c r="A182" s="1" t="s">
        <v>659</v>
      </c>
      <c r="B182" s="1">
        <v>7.6</v>
      </c>
      <c r="C182" s="4" t="str">
        <f>IFERROR(__xludf.DUMMYFUNCTION("""COMPUTED_VALUE"""),"Ash Brannon")</f>
        <v>Ash Brannon</v>
      </c>
      <c r="D182" s="4">
        <f t="array" ref="D182">IFERROR(AVERAGEIFS($B$2:$B$3757, $A$2:$A$3757, C182:C3936), "")</f>
        <v>6.8</v>
      </c>
      <c r="E182" s="4">
        <f t="shared" si="1"/>
        <v>66.1</v>
      </c>
      <c r="F182" s="4" t="str">
        <f t="array" ref="F182">IF(D182&gt;=_xlfn.PERCENTILE.INC(D182:D1840, 0.9), "High", "Low")</f>
        <v>Low</v>
      </c>
      <c r="L182" s="4" t="str">
        <f t="shared" si="2"/>
        <v/>
      </c>
    </row>
    <row r="183" ht="14.25" customHeight="1">
      <c r="A183" s="1" t="s">
        <v>1067</v>
      </c>
      <c r="B183" s="1">
        <v>5.5</v>
      </c>
      <c r="C183" s="4" t="str">
        <f>IFERROR(__xludf.DUMMYFUNCTION("""COMPUTED_VALUE"""),"Frank Oz")</f>
        <v>Frank Oz</v>
      </c>
      <c r="D183" s="4">
        <f t="array" ref="D183">IFERROR(AVERAGEIFS($B$2:$B$3757, $A$2:$A$3757, C183:C3937), "")</f>
        <v>6.5375</v>
      </c>
      <c r="E183" s="4">
        <f t="shared" si="1"/>
        <v>56.9</v>
      </c>
      <c r="F183" s="4" t="str">
        <f t="array" ref="F183">IF(D183&gt;=_xlfn.PERCENTILE.INC(D183:D1841, 0.9), "High", "Low")</f>
        <v>Low</v>
      </c>
      <c r="L183" s="4" t="str">
        <f t="shared" si="2"/>
        <v/>
      </c>
    </row>
    <row r="184" ht="14.25" customHeight="1">
      <c r="A184" s="1" t="s">
        <v>1130</v>
      </c>
      <c r="B184" s="1">
        <v>6.7</v>
      </c>
      <c r="C184" s="4" t="str">
        <f>IFERROR(__xludf.DUMMYFUNCTION("""COMPUTED_VALUE"""),"Jay Roach")</f>
        <v>Jay Roach</v>
      </c>
      <c r="D184" s="4">
        <f t="array" ref="D184">IFERROR(AVERAGEIFS($B$2:$B$3757, $A$2:$A$3757, C184:C3938), "")</f>
        <v>6.571428571</v>
      </c>
      <c r="E184" s="4">
        <f t="shared" si="1"/>
        <v>57.7</v>
      </c>
      <c r="F184" s="4" t="str">
        <f t="array" ref="F184">IF(D184&gt;=_xlfn.PERCENTILE.INC(D184:D1842, 0.9), "High", "Low")</f>
        <v>Low</v>
      </c>
      <c r="L184" s="4" t="str">
        <f t="shared" si="2"/>
        <v/>
      </c>
    </row>
    <row r="185" ht="14.25" customHeight="1">
      <c r="A185" s="1" t="s">
        <v>381</v>
      </c>
      <c r="B185" s="1">
        <v>6.5</v>
      </c>
      <c r="C185" s="4" t="str">
        <f>IFERROR(__xludf.DUMMYFUNCTION("""COMPUTED_VALUE"""),"Luc Besson")</f>
        <v>Luc Besson</v>
      </c>
      <c r="D185" s="4">
        <f t="array" ref="D185">IFERROR(AVERAGEIFS($B$2:$B$3757, $A$2:$A$3757, C185:C3939), "")</f>
        <v>6.625</v>
      </c>
      <c r="E185" s="4">
        <f t="shared" si="1"/>
        <v>61.2</v>
      </c>
      <c r="F185" s="4" t="str">
        <f t="array" ref="F185">IF(D185&gt;=_xlfn.PERCENTILE.INC(D185:D1843, 0.9), "High", "Low")</f>
        <v>Low</v>
      </c>
      <c r="L185" s="4" t="str">
        <f t="shared" si="2"/>
        <v/>
      </c>
    </row>
    <row r="186" ht="14.25" customHeight="1">
      <c r="A186" s="1" t="s">
        <v>270</v>
      </c>
      <c r="B186" s="1">
        <v>6.6</v>
      </c>
      <c r="C186" s="4" t="str">
        <f>IFERROR(__xludf.DUMMYFUNCTION("""COMPUTED_VALUE"""),"Michael Patrick King")</f>
        <v>Michael Patrick King</v>
      </c>
      <c r="D186" s="4">
        <f t="array" ref="D186">IFERROR(AVERAGEIFS($B$2:$B$3757, $A$2:$A$3757, C186:C3940), "")</f>
        <v>4.3</v>
      </c>
      <c r="E186" s="4">
        <f t="shared" si="1"/>
        <v>4.9</v>
      </c>
      <c r="F186" s="4" t="str">
        <f t="array" ref="F186">IF(D186&gt;=_xlfn.PERCENTILE.INC(D186:D1844, 0.9), "High", "Low")</f>
        <v>Low</v>
      </c>
      <c r="L186" s="4" t="str">
        <f t="shared" si="2"/>
        <v/>
      </c>
    </row>
    <row r="187" ht="14.25" customHeight="1">
      <c r="A187" s="1" t="s">
        <v>684</v>
      </c>
      <c r="B187" s="1">
        <v>6.7</v>
      </c>
      <c r="C187" s="4" t="str">
        <f>IFERROR(__xludf.DUMMYFUNCTION("""COMPUTED_VALUE"""),"Bibo Bergeron")</f>
        <v>Bibo Bergeron</v>
      </c>
      <c r="D187" s="4">
        <f t="array" ref="D187">IFERROR(AVERAGEIFS($B$2:$B$3757, $A$2:$A$3757, C187:C3941), "")</f>
        <v>6.45</v>
      </c>
      <c r="E187" s="4">
        <f t="shared" si="1"/>
        <v>52.5</v>
      </c>
      <c r="F187" s="4" t="str">
        <f t="array" ref="F187">IF(D187&gt;=_xlfn.PERCENTILE.INC(D187:D1845, 0.9), "High", "Low")</f>
        <v>Low</v>
      </c>
      <c r="L187" s="4" t="str">
        <f t="shared" si="2"/>
        <v/>
      </c>
    </row>
    <row r="188" ht="14.25" customHeight="1">
      <c r="A188" s="1" t="s">
        <v>1153</v>
      </c>
      <c r="B188" s="1">
        <v>6.4</v>
      </c>
      <c r="C188" s="4" t="str">
        <f>IFERROR(__xludf.DUMMYFUNCTION("""COMPUTED_VALUE"""),"Sergey Bodrov")</f>
        <v>Sergey Bodrov</v>
      </c>
      <c r="D188" s="4">
        <f t="array" ref="D188">IFERROR(AVERAGEIFS($B$2:$B$3757, $A$2:$A$3757, C188:C3942), "")</f>
        <v>6.266666667</v>
      </c>
      <c r="E188" s="4">
        <f t="shared" si="1"/>
        <v>44.8</v>
      </c>
      <c r="F188" s="4" t="str">
        <f t="array" ref="F188">IF(D188&gt;=_xlfn.PERCENTILE.INC(D188:D1846, 0.9), "High", "Low")</f>
        <v>Low</v>
      </c>
      <c r="L188" s="4" t="str">
        <f t="shared" si="2"/>
        <v/>
      </c>
    </row>
    <row r="189" ht="14.25" customHeight="1">
      <c r="A189" s="1" t="s">
        <v>1159</v>
      </c>
      <c r="B189" s="1">
        <v>5.8</v>
      </c>
      <c r="C189" s="4" t="str">
        <f>IFERROR(__xludf.DUMMYFUNCTION("""COMPUTED_VALUE"""),"Wally Pfister")</f>
        <v>Wally Pfister</v>
      </c>
      <c r="D189" s="4">
        <f t="array" ref="D189">IFERROR(AVERAGEIFS($B$2:$B$3757, $A$2:$A$3757, C189:C3943), "")</f>
        <v>6.3</v>
      </c>
      <c r="E189" s="4">
        <f t="shared" si="1"/>
        <v>44.8</v>
      </c>
      <c r="F189" s="4" t="str">
        <f t="array" ref="F189">IF(D189&gt;=_xlfn.PERCENTILE.INC(D189:D1847, 0.9), "High", "Low")</f>
        <v>Low</v>
      </c>
      <c r="L189" s="4" t="str">
        <f t="shared" si="2"/>
        <v/>
      </c>
    </row>
    <row r="190" ht="14.25" customHeight="1">
      <c r="A190" s="1" t="s">
        <v>381</v>
      </c>
      <c r="B190" s="1">
        <v>7.4</v>
      </c>
      <c r="C190" s="4" t="str">
        <f>IFERROR(__xludf.DUMMYFUNCTION("""COMPUTED_VALUE"""),"Rupert Wyatt")</f>
        <v>Rupert Wyatt</v>
      </c>
      <c r="D190" s="4">
        <f t="array" ref="D190">IFERROR(AVERAGEIFS($B$2:$B$3757, $A$2:$A$3757, C190:C3944), "")</f>
        <v>6.533333333</v>
      </c>
      <c r="E190" s="4">
        <f t="shared" si="1"/>
        <v>56.7</v>
      </c>
      <c r="F190" s="4" t="str">
        <f t="array" ref="F190">IF(D190&gt;=_xlfn.PERCENTILE.INC(D190:D1848, 0.9), "High", "Low")</f>
        <v>Low</v>
      </c>
      <c r="L190" s="4" t="str">
        <f t="shared" si="2"/>
        <v/>
      </c>
    </row>
    <row r="191" ht="14.25" customHeight="1">
      <c r="A191" s="1" t="s">
        <v>1172</v>
      </c>
      <c r="B191" s="1">
        <v>7.8</v>
      </c>
      <c r="C191" s="4" t="str">
        <f>IFERROR(__xludf.DUMMYFUNCTION("""COMPUTED_VALUE"""),"Mark Waters")</f>
        <v>Mark Waters</v>
      </c>
      <c r="D191" s="4">
        <f t="array" ref="D191">IFERROR(AVERAGEIFS($B$2:$B$3757, $A$2:$A$3757, C191:C3945), "")</f>
        <v>6.3</v>
      </c>
      <c r="E191" s="4">
        <f t="shared" si="1"/>
        <v>44.9</v>
      </c>
      <c r="F191" s="4" t="str">
        <f t="array" ref="F191">IF(D191&gt;=_xlfn.PERCENTILE.INC(D191:D1849, 0.9), "High", "Low")</f>
        <v>Low</v>
      </c>
      <c r="L191" s="4" t="str">
        <f t="shared" si="2"/>
        <v/>
      </c>
    </row>
    <row r="192" ht="14.25" customHeight="1">
      <c r="A192" s="1" t="s">
        <v>356</v>
      </c>
      <c r="B192" s="1">
        <v>6.6</v>
      </c>
      <c r="C192" s="4" t="str">
        <f>IFERROR(__xludf.DUMMYFUNCTION("""COMPUTED_VALUE"""),"John Moore")</f>
        <v>John Moore</v>
      </c>
      <c r="D192" s="4">
        <f t="array" ref="D192">IFERROR(AVERAGEIFS($B$2:$B$3757, $A$2:$A$3757, C192:C3946), "")</f>
        <v>5.8</v>
      </c>
      <c r="E192" s="4">
        <f t="shared" si="1"/>
        <v>27.3</v>
      </c>
      <c r="F192" s="4" t="str">
        <f t="array" ref="F192">IF(D192&gt;=_xlfn.PERCENTILE.INC(D192:D1850, 0.9), "High", "Low")</f>
        <v>Low</v>
      </c>
      <c r="L192" s="4" t="str">
        <f t="shared" si="2"/>
        <v/>
      </c>
    </row>
    <row r="193" ht="14.25" customHeight="1">
      <c r="A193" s="1" t="s">
        <v>875</v>
      </c>
      <c r="B193" s="1">
        <v>4.9</v>
      </c>
      <c r="C193" s="4" t="str">
        <f>IFERROR(__xludf.DUMMYFUNCTION("""COMPUTED_VALUE"""),"John Lee Hancock")</f>
        <v>John Lee Hancock</v>
      </c>
      <c r="D193" s="4">
        <f t="array" ref="D193">IFERROR(AVERAGEIFS($B$2:$B$3757, $A$2:$A$3757, C193:C3947), "")</f>
        <v>6.84</v>
      </c>
      <c r="E193" s="4">
        <f t="shared" si="1"/>
        <v>68.9</v>
      </c>
      <c r="F193" s="4" t="str">
        <f t="array" ref="F193">IF(D193&gt;=_xlfn.PERCENTILE.INC(D193:D1851, 0.9), "High", "Low")</f>
        <v>Low</v>
      </c>
      <c r="L193" s="4" t="str">
        <f t="shared" si="2"/>
        <v/>
      </c>
    </row>
    <row r="194" ht="14.25" customHeight="1">
      <c r="A194" s="1" t="s">
        <v>1183</v>
      </c>
      <c r="B194" s="1">
        <v>6.5</v>
      </c>
      <c r="C194" s="4" t="str">
        <f>IFERROR(__xludf.DUMMYFUNCTION("""COMPUTED_VALUE"""),"Renny Harlin")</f>
        <v>Renny Harlin</v>
      </c>
      <c r="D194" s="4">
        <f t="array" ref="D194">IFERROR(AVERAGEIFS($B$2:$B$3757, $A$2:$A$3757, C194:C3948), "")</f>
        <v>5.746666667</v>
      </c>
      <c r="E194" s="4">
        <f t="shared" si="1"/>
        <v>26.9</v>
      </c>
      <c r="F194" s="4" t="str">
        <f t="array" ref="F194">IF(D194&gt;=_xlfn.PERCENTILE.INC(D194:D1852, 0.9), "High", "Low")</f>
        <v>Low</v>
      </c>
      <c r="L194" s="4" t="str">
        <f t="shared" si="2"/>
        <v/>
      </c>
    </row>
    <row r="195" ht="14.25" customHeight="1">
      <c r="A195" s="1" t="s">
        <v>772</v>
      </c>
      <c r="B195" s="1">
        <v>6.2</v>
      </c>
      <c r="C195" s="4" t="str">
        <f>IFERROR(__xludf.DUMMYFUNCTION("""COMPUTED_VALUE"""),"Phil Lord")</f>
        <v>Phil Lord</v>
      </c>
      <c r="D195" s="4">
        <f t="array" ref="D195">IFERROR(AVERAGEIFS($B$2:$B$3757, $A$2:$A$3757, C195:C3949), "")</f>
        <v>7.275</v>
      </c>
      <c r="E195" s="4">
        <f t="shared" si="1"/>
        <v>85.9</v>
      </c>
      <c r="F195" s="4" t="str">
        <f t="array" ref="F195">IF(D195&gt;=_xlfn.PERCENTILE.INC(D195:D1853, 0.9), "High", "Low")</f>
        <v>Low</v>
      </c>
      <c r="L195" s="4" t="str">
        <f t="shared" si="2"/>
        <v/>
      </c>
    </row>
    <row r="196" ht="14.25" customHeight="1">
      <c r="A196" s="1" t="s">
        <v>1194</v>
      </c>
      <c r="B196" s="1">
        <v>7.3</v>
      </c>
      <c r="C196" s="4" t="str">
        <f>IFERROR(__xludf.DUMMYFUNCTION("""COMPUTED_VALUE"""),"Ben Stiller")</f>
        <v>Ben Stiller</v>
      </c>
      <c r="D196" s="4">
        <f t="array" ref="D196">IFERROR(AVERAGEIFS($B$2:$B$3757, $A$2:$A$3757, C196:C3950), "")</f>
        <v>6.34</v>
      </c>
      <c r="E196" s="4">
        <f t="shared" si="1"/>
        <v>48</v>
      </c>
      <c r="F196" s="4" t="str">
        <f t="array" ref="F196">IF(D196&gt;=_xlfn.PERCENTILE.INC(D196:D1854, 0.9), "High", "Low")</f>
        <v>Low</v>
      </c>
      <c r="L196" s="4" t="str">
        <f t="shared" si="2"/>
        <v/>
      </c>
    </row>
    <row r="197" ht="14.25" customHeight="1">
      <c r="A197" s="1" t="s">
        <v>1200</v>
      </c>
      <c r="B197" s="1">
        <v>7.5</v>
      </c>
      <c r="C197" s="4" t="str">
        <f>IFERROR(__xludf.DUMMYFUNCTION("""COMPUTED_VALUE"""),"Tony Bancroft")</f>
        <v>Tony Bancroft</v>
      </c>
      <c r="D197" s="4">
        <f t="array" ref="D197">IFERROR(AVERAGEIFS($B$2:$B$3757, $A$2:$A$3757, C197:C3951), "")</f>
        <v>7.5</v>
      </c>
      <c r="E197" s="4">
        <f t="shared" si="1"/>
        <v>89.8</v>
      </c>
      <c r="F197" s="4" t="str">
        <f t="array" ref="F197">IF(D197&gt;=_xlfn.PERCENTILE.INC(D197:D1855, 0.9), "High", "Low")</f>
        <v>High</v>
      </c>
      <c r="L197" s="4" t="str">
        <f t="shared" si="2"/>
        <v/>
      </c>
    </row>
    <row r="198" ht="14.25" customHeight="1">
      <c r="A198" s="1" t="s">
        <v>1205</v>
      </c>
      <c r="B198" s="1">
        <v>5.6</v>
      </c>
      <c r="C198" s="4" t="str">
        <f>IFERROR(__xludf.DUMMYFUNCTION("""COMPUTED_VALUE"""),"Walt Becker")</f>
        <v>Walt Becker</v>
      </c>
      <c r="D198" s="4">
        <f t="array" ref="D198">IFERROR(AVERAGEIFS($B$2:$B$3757, $A$2:$A$3757, C198:C3952), "")</f>
        <v>5.6</v>
      </c>
      <c r="E198" s="4">
        <f t="shared" si="1"/>
        <v>24.1</v>
      </c>
      <c r="F198" s="4" t="str">
        <f t="array" ref="F198">IF(D198&gt;=_xlfn.PERCENTILE.INC(D198:D1856, 0.9), "High", "Low")</f>
        <v>Low</v>
      </c>
      <c r="L198" s="4" t="str">
        <f t="shared" si="2"/>
        <v/>
      </c>
    </row>
    <row r="199" ht="14.25" customHeight="1">
      <c r="A199" s="1" t="s">
        <v>38</v>
      </c>
      <c r="B199" s="1">
        <v>8.1</v>
      </c>
      <c r="C199" s="4" t="str">
        <f>IFERROR(__xludf.DUMMYFUNCTION("""COMPUTED_VALUE"""),"Dennis Dugan")</f>
        <v>Dennis Dugan</v>
      </c>
      <c r="D199" s="4">
        <f t="array" ref="D199">IFERROR(AVERAGEIFS($B$2:$B$3757, $A$2:$A$3757, C199:C3953), "")</f>
        <v>5.733333333</v>
      </c>
      <c r="E199" s="4">
        <f t="shared" si="1"/>
        <v>26.8</v>
      </c>
      <c r="F199" s="4" t="str">
        <f t="array" ref="F199">IF(D199&gt;=_xlfn.PERCENTILE.INC(D199:D1857, 0.9), "High", "Low")</f>
        <v>Low</v>
      </c>
      <c r="L199" s="4" t="str">
        <f t="shared" si="2"/>
        <v/>
      </c>
    </row>
    <row r="200" ht="14.25" customHeight="1">
      <c r="A200" s="1" t="s">
        <v>659</v>
      </c>
      <c r="B200" s="1">
        <v>6.7</v>
      </c>
      <c r="C200" s="4" t="str">
        <f>IFERROR(__xludf.DUMMYFUNCTION("""COMPUTED_VALUE"""),"Sydney Pollack")</f>
        <v>Sydney Pollack</v>
      </c>
      <c r="D200" s="4">
        <f t="array" ref="D200">IFERROR(AVERAGEIFS($B$2:$B$3757, $A$2:$A$3757, C200:C3954), "")</f>
        <v>6.58</v>
      </c>
      <c r="E200" s="4">
        <f t="shared" si="1"/>
        <v>57.6</v>
      </c>
      <c r="F200" s="4" t="str">
        <f t="array" ref="F200">IF(D200&gt;=_xlfn.PERCENTILE.INC(D200:D1858, 0.9), "High", "Low")</f>
        <v>Low</v>
      </c>
      <c r="L200" s="4" t="str">
        <f t="shared" si="2"/>
        <v/>
      </c>
    </row>
    <row r="201" ht="14.25" customHeight="1">
      <c r="A201" s="1" t="s">
        <v>813</v>
      </c>
      <c r="B201" s="1">
        <v>6.6</v>
      </c>
      <c r="C201" s="4" t="str">
        <f>IFERROR(__xludf.DUMMYFUNCTION("""COMPUTED_VALUE"""),"Thor Freudenthal")</f>
        <v>Thor Freudenthal</v>
      </c>
      <c r="D201" s="4">
        <f t="array" ref="D201">IFERROR(AVERAGEIFS($B$2:$B$3757, $A$2:$A$3757, C201:C3955), "")</f>
        <v>5.833333333</v>
      </c>
      <c r="E201" s="4">
        <f t="shared" si="1"/>
        <v>29.1</v>
      </c>
      <c r="F201" s="4" t="str">
        <f t="array" ref="F201">IF(D201&gt;=_xlfn.PERCENTILE.INC(D201:D1859, 0.9), "High", "Low")</f>
        <v>Low</v>
      </c>
      <c r="L201" s="4" t="str">
        <f t="shared" si="2"/>
        <v/>
      </c>
    </row>
    <row r="202" ht="14.25" customHeight="1">
      <c r="A202" s="1" t="s">
        <v>1222</v>
      </c>
      <c r="B202" s="1">
        <v>6.4</v>
      </c>
      <c r="C202" s="4" t="str">
        <f>IFERROR(__xludf.DUMMYFUNCTION("""COMPUTED_VALUE"""),"Brian De Palma")</f>
        <v>Brian De Palma</v>
      </c>
      <c r="D202" s="4">
        <f t="array" ref="D202">IFERROR(AVERAGEIFS($B$2:$B$3757, $A$2:$A$3757, C202:C3956), "")</f>
        <v>6.6</v>
      </c>
      <c r="E202" s="4">
        <f t="shared" si="1"/>
        <v>57.8</v>
      </c>
      <c r="F202" s="4" t="str">
        <f t="array" ref="F202">IF(D202&gt;=_xlfn.PERCENTILE.INC(D202:D1860, 0.9), "High", "Low")</f>
        <v>Low</v>
      </c>
      <c r="L202" s="4" t="str">
        <f t="shared" si="2"/>
        <v/>
      </c>
    </row>
    <row r="203" ht="14.25" customHeight="1">
      <c r="A203" s="1" t="s">
        <v>110</v>
      </c>
      <c r="B203" s="1">
        <v>7.5</v>
      </c>
      <c r="C203" s="4" t="str">
        <f>IFERROR(__xludf.DUMMYFUNCTION("""COMPUTED_VALUE"""),"Mick Jackson")</f>
        <v>Mick Jackson</v>
      </c>
      <c r="D203" s="4">
        <f t="array" ref="D203">IFERROR(AVERAGEIFS($B$2:$B$3757, $A$2:$A$3757, C203:C3957), "")</f>
        <v>5.75</v>
      </c>
      <c r="E203" s="4">
        <f t="shared" si="1"/>
        <v>27</v>
      </c>
      <c r="F203" s="4" t="str">
        <f t="array" ref="F203">IF(D203&gt;=_xlfn.PERCENTILE.INC(D203:D1861, 0.9), "High", "Low")</f>
        <v>Low</v>
      </c>
      <c r="L203" s="4" t="str">
        <f t="shared" si="2"/>
        <v/>
      </c>
    </row>
    <row r="204" ht="14.25" customHeight="1">
      <c r="A204" s="1" t="s">
        <v>394</v>
      </c>
      <c r="B204" s="1">
        <v>7.3</v>
      </c>
      <c r="C204" s="4" t="str">
        <f>IFERROR(__xludf.DUMMYFUNCTION("""COMPUTED_VALUE"""),"Alan J. Pakula")</f>
        <v>Alan J. Pakula</v>
      </c>
      <c r="D204" s="4">
        <f t="array" ref="D204">IFERROR(AVERAGEIFS($B$2:$B$3757, $A$2:$A$3757, C204:C3958), "")</f>
        <v>6.3</v>
      </c>
      <c r="E204" s="4">
        <f t="shared" si="1"/>
        <v>44.9</v>
      </c>
      <c r="F204" s="4" t="str">
        <f t="array" ref="F204">IF(D204&gt;=_xlfn.PERCENTILE.INC(D204:D1862, 0.9), "High", "Low")</f>
        <v>Low</v>
      </c>
      <c r="L204" s="4" t="str">
        <f t="shared" si="2"/>
        <v/>
      </c>
    </row>
    <row r="205" ht="14.25" customHeight="1">
      <c r="A205" s="1" t="s">
        <v>1238</v>
      </c>
      <c r="B205" s="1">
        <v>7.5</v>
      </c>
      <c r="C205" s="4" t="str">
        <f>IFERROR(__xludf.DUMMYFUNCTION("""COMPUTED_VALUE"""),"Kathryn Bigelow")</f>
        <v>Kathryn Bigelow</v>
      </c>
      <c r="D205" s="4">
        <f t="array" ref="D205">IFERROR(AVERAGEIFS($B$2:$B$3757, $A$2:$A$3757, C205:C3959), "")</f>
        <v>7.233333333</v>
      </c>
      <c r="E205" s="4">
        <f t="shared" si="1"/>
        <v>85.4</v>
      </c>
      <c r="F205" s="4" t="str">
        <f t="array" ref="F205">IF(D205&gt;=_xlfn.PERCENTILE.INC(D205:D1863, 0.9), "High", "Low")</f>
        <v>Low</v>
      </c>
      <c r="L205" s="4" t="str">
        <f t="shared" si="2"/>
        <v/>
      </c>
    </row>
    <row r="206" ht="14.25" customHeight="1">
      <c r="A206" s="1" t="s">
        <v>1077</v>
      </c>
      <c r="B206" s="1">
        <v>5.8</v>
      </c>
      <c r="C206" s="4" t="str">
        <f>IFERROR(__xludf.DUMMYFUNCTION("""COMPUTED_VALUE"""),"John Milius")</f>
        <v>John Milius</v>
      </c>
      <c r="D206" s="4">
        <f t="array" ref="D206">IFERROR(AVERAGEIFS($B$2:$B$3757, $A$2:$A$3757, C206:C3960), "")</f>
        <v>6.5</v>
      </c>
      <c r="E206" s="4">
        <f t="shared" si="1"/>
        <v>53.1</v>
      </c>
      <c r="F206" s="4" t="str">
        <f t="array" ref="F206">IF(D206&gt;=_xlfn.PERCENTILE.INC(D206:D1864, 0.9), "High", "Low")</f>
        <v>Low</v>
      </c>
      <c r="L206" s="4" t="str">
        <f t="shared" si="2"/>
        <v/>
      </c>
    </row>
    <row r="207" ht="14.25" customHeight="1">
      <c r="A207" s="1" t="s">
        <v>1248</v>
      </c>
      <c r="B207" s="1">
        <v>7.5</v>
      </c>
      <c r="C207" s="4" t="str">
        <f>IFERROR(__xludf.DUMMYFUNCTION("""COMPUTED_VALUE"""),"Andrey Konchalovskiy")</f>
        <v>Andrey Konchalovskiy</v>
      </c>
      <c r="D207" s="4">
        <f t="array" ref="D207">IFERROR(AVERAGEIFS($B$2:$B$3757, $A$2:$A$3757, C207:C3961), "")</f>
        <v>5.35</v>
      </c>
      <c r="E207" s="4">
        <f t="shared" si="1"/>
        <v>16.6</v>
      </c>
      <c r="F207" s="4" t="str">
        <f t="array" ref="F207">IF(D207&gt;=_xlfn.PERCENTILE.INC(D207:D1865, 0.9), "High", "Low")</f>
        <v>Low</v>
      </c>
      <c r="L207" s="4" t="str">
        <f t="shared" si="2"/>
        <v/>
      </c>
    </row>
    <row r="208" ht="14.25" customHeight="1">
      <c r="A208" s="1" t="s">
        <v>1255</v>
      </c>
      <c r="B208" s="1">
        <v>6.6</v>
      </c>
      <c r="C208" s="4" t="str">
        <f>IFERROR(__xludf.DUMMYFUNCTION("""COMPUTED_VALUE"""),"Gary Ross")</f>
        <v>Gary Ross</v>
      </c>
      <c r="D208" s="4">
        <f t="array" ref="D208">IFERROR(AVERAGEIFS($B$2:$B$3757, $A$2:$A$3757, C208:C3962), "")</f>
        <v>7.1</v>
      </c>
      <c r="E208" s="4">
        <f t="shared" si="1"/>
        <v>81.4</v>
      </c>
      <c r="F208" s="4" t="str">
        <f t="array" ref="F208">IF(D208&gt;=_xlfn.PERCENTILE.INC(D208:D1866, 0.9), "High", "Low")</f>
        <v>Low</v>
      </c>
      <c r="L208" s="4" t="str">
        <f t="shared" si="2"/>
        <v/>
      </c>
    </row>
    <row r="209" ht="14.25" customHeight="1">
      <c r="A209" s="1" t="s">
        <v>1262</v>
      </c>
      <c r="B209" s="1">
        <v>6.7</v>
      </c>
      <c r="C209" s="4" t="str">
        <f>IFERROR(__xludf.DUMMYFUNCTION("""COMPUTED_VALUE"""),"Paul W.S. Anderson")</f>
        <v>Paul W.S. Anderson</v>
      </c>
      <c r="D209" s="4">
        <f t="array" ref="D209">IFERROR(AVERAGEIFS($B$2:$B$3757, $A$2:$A$3757, C209:C3963), "")</f>
        <v>5.99</v>
      </c>
      <c r="E209" s="4">
        <f t="shared" si="1"/>
        <v>33.7</v>
      </c>
      <c r="F209" s="4" t="str">
        <f t="array" ref="F209">IF(D209&gt;=_xlfn.PERCENTILE.INC(D209:D1867, 0.9), "High", "Low")</f>
        <v>Low</v>
      </c>
      <c r="L209" s="4" t="str">
        <f t="shared" si="2"/>
        <v/>
      </c>
    </row>
    <row r="210" ht="14.25" customHeight="1">
      <c r="A210" s="1" t="s">
        <v>1268</v>
      </c>
      <c r="B210" s="1">
        <v>3.7</v>
      </c>
      <c r="C210" s="4" t="str">
        <f>IFERROR(__xludf.DUMMYFUNCTION("""COMPUTED_VALUE"""),"Genndy Tartakovsky")</f>
        <v>Genndy Tartakovsky</v>
      </c>
      <c r="D210" s="4">
        <f t="array" ref="D210">IFERROR(AVERAGEIFS($B$2:$B$3757, $A$2:$A$3757, C210:C3964), "")</f>
        <v>6.9</v>
      </c>
      <c r="E210" s="4">
        <f t="shared" si="1"/>
        <v>70.2</v>
      </c>
      <c r="F210" s="4" t="str">
        <f t="array" ref="F210">IF(D210&gt;=_xlfn.PERCENTILE.INC(D210:D1868, 0.9), "High", "Low")</f>
        <v>Low</v>
      </c>
      <c r="L210" s="4" t="str">
        <f t="shared" si="2"/>
        <v/>
      </c>
    </row>
    <row r="211" ht="14.25" customHeight="1">
      <c r="A211" s="1" t="s">
        <v>813</v>
      </c>
      <c r="B211" s="1">
        <v>6.0</v>
      </c>
      <c r="C211" s="4" t="str">
        <f>IFERROR(__xludf.DUMMYFUNCTION("""COMPUTED_VALUE"""),"Kevin Lima")</f>
        <v>Kevin Lima</v>
      </c>
      <c r="D211" s="4">
        <f t="array" ref="D211">IFERROR(AVERAGEIFS($B$2:$B$3757, $A$2:$A$3757, C211:C3965), "")</f>
        <v>5.95</v>
      </c>
      <c r="E211" s="4">
        <f t="shared" si="1"/>
        <v>32.9</v>
      </c>
      <c r="F211" s="4" t="str">
        <f t="array" ref="F211">IF(D211&gt;=_xlfn.PERCENTILE.INC(D211:D1869, 0.9), "High", "Low")</f>
        <v>Low</v>
      </c>
      <c r="L211" s="4" t="str">
        <f t="shared" si="2"/>
        <v/>
      </c>
    </row>
    <row r="212" ht="14.25" customHeight="1">
      <c r="A212" s="1" t="s">
        <v>414</v>
      </c>
      <c r="B212" s="1">
        <v>6.4</v>
      </c>
      <c r="C212" s="4" t="str">
        <f>IFERROR(__xludf.DUMMYFUNCTION("""COMPUTED_VALUE"""),"Daniel Espinosa")</f>
        <v>Daniel Espinosa</v>
      </c>
      <c r="D212" s="4">
        <f t="array" ref="D212">IFERROR(AVERAGEIFS($B$2:$B$3757, $A$2:$A$3757, C212:C3966), "")</f>
        <v>6.6</v>
      </c>
      <c r="E212" s="4">
        <f t="shared" si="1"/>
        <v>57.8</v>
      </c>
      <c r="F212" s="4" t="str">
        <f t="array" ref="F212">IF(D212&gt;=_xlfn.PERCENTILE.INC(D212:D1870, 0.9), "High", "Low")</f>
        <v>Low</v>
      </c>
      <c r="L212" s="4" t="str">
        <f t="shared" si="2"/>
        <v/>
      </c>
    </row>
    <row r="213" ht="14.25" customHeight="1">
      <c r="A213" s="1" t="s">
        <v>1284</v>
      </c>
      <c r="B213" s="1">
        <v>6.1</v>
      </c>
      <c r="C213" s="4" t="str">
        <f>IFERROR(__xludf.DUMMYFUNCTION("""COMPUTED_VALUE"""),"Nancy Meyers")</f>
        <v>Nancy Meyers</v>
      </c>
      <c r="D213" s="4">
        <f t="array" ref="D213">IFERROR(AVERAGEIFS($B$2:$B$3757, $A$2:$A$3757, C213:C3967), "")</f>
        <v>6.76</v>
      </c>
      <c r="E213" s="4">
        <f t="shared" si="1"/>
        <v>65.3</v>
      </c>
      <c r="F213" s="4" t="str">
        <f t="array" ref="F213">IF(D213&gt;=_xlfn.PERCENTILE.INC(D213:D1871, 0.9), "High", "Low")</f>
        <v>Low</v>
      </c>
      <c r="L213" s="4" t="str">
        <f t="shared" si="2"/>
        <v/>
      </c>
    </row>
    <row r="214" ht="14.25" customHeight="1">
      <c r="A214" s="1" t="s">
        <v>673</v>
      </c>
      <c r="B214" s="1">
        <v>6.4</v>
      </c>
      <c r="C214" s="4" t="str">
        <f>IFERROR(__xludf.DUMMYFUNCTION("""COMPUTED_VALUE"""),"Roger Allers")</f>
        <v>Roger Allers</v>
      </c>
      <c r="D214" s="4">
        <f t="array" ref="D214">IFERROR(AVERAGEIFS($B$2:$B$3757, $A$2:$A$3757, C214:C3968), "")</f>
        <v>7.35</v>
      </c>
      <c r="E214" s="4">
        <f t="shared" si="1"/>
        <v>87.9</v>
      </c>
      <c r="F214" s="4" t="str">
        <f t="array" ref="F214">IF(D214&gt;=_xlfn.PERCENTILE.INC(D214:D1872, 0.9), "High", "Low")</f>
        <v>Low</v>
      </c>
      <c r="L214" s="4" t="str">
        <f t="shared" si="2"/>
        <v/>
      </c>
    </row>
    <row r="215" ht="14.25" customHeight="1">
      <c r="A215" s="1" t="s">
        <v>1295</v>
      </c>
      <c r="B215" s="1">
        <v>5.6</v>
      </c>
      <c r="C215" s="4" t="str">
        <f>IFERROR(__xludf.DUMMYFUNCTION("""COMPUTED_VALUE"""),"Neil Burger")</f>
        <v>Neil Burger</v>
      </c>
      <c r="D215" s="4">
        <f t="array" ref="D215">IFERROR(AVERAGEIFS($B$2:$B$3757, $A$2:$A$3757, C215:C3969), "")</f>
        <v>7.1</v>
      </c>
      <c r="E215" s="4">
        <f t="shared" si="1"/>
        <v>78.6</v>
      </c>
      <c r="F215" s="4" t="str">
        <f t="array" ref="F215">IF(D215&gt;=_xlfn.PERCENTILE.INC(D215:D1873, 0.9), "High", "Low")</f>
        <v>Low</v>
      </c>
      <c r="L215" s="4" t="str">
        <f t="shared" si="2"/>
        <v/>
      </c>
    </row>
    <row r="216" ht="14.25" customHeight="1">
      <c r="A216" s="1" t="s">
        <v>1027</v>
      </c>
      <c r="B216" s="1">
        <v>8.0</v>
      </c>
      <c r="C216" s="4" t="str">
        <f>IFERROR(__xludf.DUMMYFUNCTION("""COMPUTED_VALUE"""),"Jean-Jacques Annaud")</f>
        <v>Jean-Jacques Annaud</v>
      </c>
      <c r="D216" s="4">
        <f t="array" ref="D216">IFERROR(AVERAGEIFS($B$2:$B$3757, $A$2:$A$3757, C216:C3970), "")</f>
        <v>7.233333333</v>
      </c>
      <c r="E216" s="4">
        <f t="shared" si="1"/>
        <v>85.4</v>
      </c>
      <c r="F216" s="4" t="str">
        <f t="array" ref="F216">IF(D216&gt;=_xlfn.PERCENTILE.INC(D216:D1874, 0.9), "High", "Low")</f>
        <v>Low</v>
      </c>
      <c r="L216" s="4" t="str">
        <f t="shared" si="2"/>
        <v/>
      </c>
    </row>
    <row r="217" ht="14.25" customHeight="1">
      <c r="A217" s="1" t="s">
        <v>1306</v>
      </c>
      <c r="B217" s="1">
        <v>5.2</v>
      </c>
      <c r="C217" s="4" t="str">
        <f>IFERROR(__xludf.DUMMYFUNCTION("""COMPUTED_VALUE"""),"Sarah Smith")</f>
        <v>Sarah Smith</v>
      </c>
      <c r="D217" s="4">
        <f t="array" ref="D217">IFERROR(AVERAGEIFS($B$2:$B$3757, $A$2:$A$3757, C217:C3971), "")</f>
        <v>7.1</v>
      </c>
      <c r="E217" s="4">
        <f t="shared" si="1"/>
        <v>78.7</v>
      </c>
      <c r="F217" s="4" t="str">
        <f t="array" ref="F217">IF(D217&gt;=_xlfn.PERCENTILE.INC(D217:D1875, 0.9), "High", "Low")</f>
        <v>Low</v>
      </c>
      <c r="L217" s="4" t="str">
        <f t="shared" si="2"/>
        <v/>
      </c>
    </row>
    <row r="218" ht="14.25" customHeight="1">
      <c r="A218" s="1" t="s">
        <v>1110</v>
      </c>
      <c r="B218" s="1">
        <v>7.1</v>
      </c>
      <c r="C218" s="4" t="str">
        <f>IFERROR(__xludf.DUMMYFUNCTION("""COMPUTED_VALUE"""),"Martin Brest")</f>
        <v>Martin Brest</v>
      </c>
      <c r="D218" s="4">
        <f t="array" ref="D218">IFERROR(AVERAGEIFS($B$2:$B$3757, $A$2:$A$3757, C218:C3972), "")</f>
        <v>6.1</v>
      </c>
      <c r="E218" s="4">
        <f t="shared" si="1"/>
        <v>40.9</v>
      </c>
      <c r="F218" s="4" t="str">
        <f t="array" ref="F218">IF(D218&gt;=_xlfn.PERCENTILE.INC(D218:D1876, 0.9), "High", "Low")</f>
        <v>Low</v>
      </c>
      <c r="L218" s="4" t="str">
        <f t="shared" si="2"/>
        <v/>
      </c>
    </row>
    <row r="219" ht="14.25" customHeight="1">
      <c r="A219" s="1" t="s">
        <v>319</v>
      </c>
      <c r="B219" s="1">
        <v>4.8</v>
      </c>
      <c r="C219" s="4" t="str">
        <f>IFERROR(__xludf.DUMMYFUNCTION("""COMPUTED_VALUE"""),"Andrew Davis")</f>
        <v>Andrew Davis</v>
      </c>
      <c r="D219" s="4">
        <f t="array" ref="D219">IFERROR(AVERAGEIFS($B$2:$B$3757, $A$2:$A$3757, C219:C3973), "")</f>
        <v>6.5</v>
      </c>
      <c r="E219" s="4">
        <f t="shared" si="1"/>
        <v>53.3</v>
      </c>
      <c r="F219" s="4" t="str">
        <f t="array" ref="F219">IF(D219&gt;=_xlfn.PERCENTILE.INC(D219:D1877, 0.9), "High", "Low")</f>
        <v>Low</v>
      </c>
      <c r="L219" s="4" t="str">
        <f t="shared" si="2"/>
        <v/>
      </c>
    </row>
    <row r="220" ht="14.25" customHeight="1">
      <c r="A220" s="1" t="s">
        <v>179</v>
      </c>
      <c r="B220" s="1">
        <v>7.0</v>
      </c>
      <c r="C220" s="4" t="str">
        <f>IFERROR(__xludf.DUMMYFUNCTION("""COMPUTED_VALUE"""),"Tarsem Singh")</f>
        <v>Tarsem Singh</v>
      </c>
      <c r="D220" s="4">
        <f t="array" ref="D220">IFERROR(AVERAGEIFS($B$2:$B$3757, $A$2:$A$3757, C220:C3974), "")</f>
        <v>6.125</v>
      </c>
      <c r="E220" s="4">
        <f t="shared" si="1"/>
        <v>41</v>
      </c>
      <c r="F220" s="4" t="str">
        <f t="array" ref="F220">IF(D220&gt;=_xlfn.PERCENTILE.INC(D220:D1878, 0.9), "High", "Low")</f>
        <v>Low</v>
      </c>
      <c r="L220" s="4" t="str">
        <f t="shared" si="2"/>
        <v/>
      </c>
    </row>
    <row r="221" ht="14.25" customHeight="1">
      <c r="A221" s="1" t="s">
        <v>909</v>
      </c>
      <c r="B221" s="1">
        <v>5.4</v>
      </c>
      <c r="C221" s="4" t="str">
        <f>IFERROR(__xludf.DUMMYFUNCTION("""COMPUTED_VALUE"""),"Edgar Wright")</f>
        <v>Edgar Wright</v>
      </c>
      <c r="D221" s="4">
        <f t="array" ref="D221">IFERROR(AVERAGEIFS($B$2:$B$3757, $A$2:$A$3757, C221:C3975), "")</f>
        <v>7.6</v>
      </c>
      <c r="E221" s="4">
        <f t="shared" si="1"/>
        <v>91.8</v>
      </c>
      <c r="F221" s="4" t="str">
        <f t="array" ref="F221">IF(D221&gt;=_xlfn.PERCENTILE.INC(D221:D1879, 0.9), "High", "Low")</f>
        <v>High</v>
      </c>
      <c r="L221" s="4" t="str">
        <f t="shared" si="2"/>
        <v/>
      </c>
    </row>
    <row r="222" ht="14.25" customHeight="1">
      <c r="A222" s="1" t="s">
        <v>1333</v>
      </c>
      <c r="B222" s="1">
        <v>6.6</v>
      </c>
      <c r="C222" s="4" t="str">
        <f>IFERROR(__xludf.DUMMYFUNCTION("""COMPUTED_VALUE"""),"Jon Amiel")</f>
        <v>Jon Amiel</v>
      </c>
      <c r="D222" s="4">
        <f t="array" ref="D222">IFERROR(AVERAGEIFS($B$2:$B$3757, $A$2:$A$3757, C222:C3976), "")</f>
        <v>6.2</v>
      </c>
      <c r="E222" s="4">
        <f t="shared" si="1"/>
        <v>44.4</v>
      </c>
      <c r="F222" s="4" t="str">
        <f t="array" ref="F222">IF(D222&gt;=_xlfn.PERCENTILE.INC(D222:D1880, 0.9), "High", "Low")</f>
        <v>Low</v>
      </c>
      <c r="L222" s="4" t="str">
        <f t="shared" si="2"/>
        <v/>
      </c>
    </row>
    <row r="223" ht="14.25" customHeight="1">
      <c r="A223" s="1" t="s">
        <v>1338</v>
      </c>
      <c r="B223" s="1">
        <v>6.7</v>
      </c>
      <c r="C223" s="4" t="str">
        <f>IFERROR(__xludf.DUMMYFUNCTION("""COMPUTED_VALUE"""),"Peter Segal")</f>
        <v>Peter Segal</v>
      </c>
      <c r="D223" s="4">
        <f t="array" ref="D223">IFERROR(AVERAGEIFS($B$2:$B$3757, $A$2:$A$3757, C223:C3977), "")</f>
        <v>6.185714286</v>
      </c>
      <c r="E223" s="4">
        <f t="shared" si="1"/>
        <v>41.9</v>
      </c>
      <c r="F223" s="4" t="str">
        <f t="array" ref="F223">IF(D223&gt;=_xlfn.PERCENTILE.INC(D223:D1881, 0.9), "High", "Low")</f>
        <v>Low</v>
      </c>
      <c r="L223" s="4" t="str">
        <f t="shared" si="2"/>
        <v/>
      </c>
    </row>
    <row r="224" ht="14.25" customHeight="1">
      <c r="A224" s="1" t="s">
        <v>1343</v>
      </c>
      <c r="B224" s="1">
        <v>6.2</v>
      </c>
      <c r="C224" s="4" t="str">
        <f>IFERROR(__xludf.DUMMYFUNCTION("""COMPUTED_VALUE"""),"Pete Travis")</f>
        <v>Pete Travis</v>
      </c>
      <c r="D224" s="4">
        <f t="array" ref="D224">IFERROR(AVERAGEIFS($B$2:$B$3757, $A$2:$A$3757, C224:C3978), "")</f>
        <v>6.933333333</v>
      </c>
      <c r="E224" s="4">
        <f t="shared" si="1"/>
        <v>73.2</v>
      </c>
      <c r="F224" s="4" t="str">
        <f t="array" ref="F224">IF(D224&gt;=_xlfn.PERCENTILE.INC(D224:D1882, 0.9), "High", "Low")</f>
        <v>Low</v>
      </c>
      <c r="L224" s="4" t="str">
        <f t="shared" si="2"/>
        <v/>
      </c>
    </row>
    <row r="225" ht="14.25" customHeight="1">
      <c r="A225" s="1" t="s">
        <v>428</v>
      </c>
      <c r="B225" s="1">
        <v>6.1</v>
      </c>
      <c r="C225" s="4" t="str">
        <f>IFERROR(__xludf.DUMMYFUNCTION("""COMPUTED_VALUE"""),"Sylvester Stallone")</f>
        <v>Sylvester Stallone</v>
      </c>
      <c r="D225" s="4">
        <f t="array" ref="D225">IFERROR(AVERAGEIFS($B$2:$B$3757, $A$2:$A$3757, C225:C3979), "")</f>
        <v>6.85</v>
      </c>
      <c r="E225" s="4">
        <f t="shared" si="1"/>
        <v>69.2</v>
      </c>
      <c r="F225" s="4" t="str">
        <f t="array" ref="F225">IF(D225&gt;=_xlfn.PERCENTILE.INC(D225:D1883, 0.9), "High", "Low")</f>
        <v>Low</v>
      </c>
      <c r="L225" s="4" t="str">
        <f t="shared" si="2"/>
        <v/>
      </c>
    </row>
    <row r="226" ht="14.25" customHeight="1">
      <c r="A226" s="1" t="s">
        <v>1357</v>
      </c>
      <c r="B226" s="1">
        <v>5.3</v>
      </c>
      <c r="C226" s="4" t="str">
        <f>IFERROR(__xludf.DUMMYFUNCTION("""COMPUTED_VALUE"""),"Todd Phillips")</f>
        <v>Todd Phillips</v>
      </c>
      <c r="D226" s="4">
        <f t="array" ref="D226">IFERROR(AVERAGEIFS($B$2:$B$3757, $A$2:$A$3757, C226:C3980), "")</f>
        <v>6.657142857</v>
      </c>
      <c r="E226" s="4">
        <f t="shared" si="1"/>
        <v>61.7</v>
      </c>
      <c r="F226" s="4" t="str">
        <f t="array" ref="F226">IF(D226&gt;=_xlfn.PERCENTILE.INC(D226:D1884, 0.9), "High", "Low")</f>
        <v>Low</v>
      </c>
      <c r="L226" s="4" t="str">
        <f t="shared" si="2"/>
        <v/>
      </c>
    </row>
    <row r="227" ht="14.25" customHeight="1">
      <c r="A227" s="1" t="s">
        <v>1365</v>
      </c>
      <c r="B227" s="1">
        <v>6.3</v>
      </c>
      <c r="C227" s="4" t="str">
        <f>IFERROR(__xludf.DUMMYFUNCTION("""COMPUTED_VALUE"""),"Mimi Leder")</f>
        <v>Mimi Leder</v>
      </c>
      <c r="D227" s="4">
        <f t="array" ref="D227">IFERROR(AVERAGEIFS($B$2:$B$3757, $A$2:$A$3757, C227:C3981), "")</f>
        <v>6.4</v>
      </c>
      <c r="E227" s="4">
        <f t="shared" si="1"/>
        <v>48.9</v>
      </c>
      <c r="F227" s="4" t="str">
        <f t="array" ref="F227">IF(D227&gt;=_xlfn.PERCENTILE.INC(D227:D1885, 0.9), "High", "Low")</f>
        <v>Low</v>
      </c>
      <c r="L227" s="4" t="str">
        <f t="shared" si="2"/>
        <v/>
      </c>
    </row>
    <row r="228" ht="14.25" customHeight="1">
      <c r="A228" s="1" t="s">
        <v>291</v>
      </c>
      <c r="B228" s="1">
        <v>7.0</v>
      </c>
      <c r="C228" s="4" t="str">
        <f>IFERROR(__xludf.DUMMYFUNCTION("""COMPUTED_VALUE"""),"Seth Gordon")</f>
        <v>Seth Gordon</v>
      </c>
      <c r="D228" s="4">
        <f t="array" ref="D228">IFERROR(AVERAGEIFS($B$2:$B$3757, $A$2:$A$3757, C228:C3982), "")</f>
        <v>6.066666667</v>
      </c>
      <c r="E228" s="4">
        <f t="shared" si="1"/>
        <v>37.6</v>
      </c>
      <c r="F228" s="4" t="str">
        <f t="array" ref="F228">IF(D228&gt;=_xlfn.PERCENTILE.INC(D228:D1886, 0.9), "High", "Low")</f>
        <v>Low</v>
      </c>
      <c r="L228" s="4" t="str">
        <f t="shared" si="2"/>
        <v/>
      </c>
    </row>
    <row r="229" ht="14.25" customHeight="1">
      <c r="A229" s="1" t="s">
        <v>1376</v>
      </c>
      <c r="B229" s="1">
        <v>7.6</v>
      </c>
      <c r="C229" s="4" t="str">
        <f>IFERROR(__xludf.DUMMYFUNCTION("""COMPUTED_VALUE"""),"Adam Shankman")</f>
        <v>Adam Shankman</v>
      </c>
      <c r="D229" s="4">
        <f t="array" ref="D229">IFERROR(AVERAGEIFS($B$2:$B$3757, $A$2:$A$3757, C229:C3983), "")</f>
        <v>5.9625</v>
      </c>
      <c r="E229" s="4">
        <f t="shared" si="1"/>
        <v>33.9</v>
      </c>
      <c r="F229" s="4" t="str">
        <f t="array" ref="F229">IF(D229&gt;=_xlfn.PERCENTILE.INC(D229:D1887, 0.9), "High", "Low")</f>
        <v>Low</v>
      </c>
      <c r="L229" s="4" t="str">
        <f t="shared" si="2"/>
        <v/>
      </c>
    </row>
    <row r="230" ht="14.25" customHeight="1">
      <c r="A230" s="1" t="s">
        <v>1376</v>
      </c>
      <c r="B230" s="1">
        <v>6.7</v>
      </c>
      <c r="C230" s="4" t="str">
        <f>IFERROR(__xludf.DUMMYFUNCTION("""COMPUTED_VALUE"""),"D.J. Caruso")</f>
        <v>D.J. Caruso</v>
      </c>
      <c r="D230" s="4">
        <f t="array" ref="D230">IFERROR(AVERAGEIFS($B$2:$B$3757, $A$2:$A$3757, C230:C3984), "")</f>
        <v>6.74</v>
      </c>
      <c r="E230" s="4">
        <f t="shared" si="1"/>
        <v>65</v>
      </c>
      <c r="F230" s="4" t="str">
        <f t="array" ref="F230">IF(D230&gt;=_xlfn.PERCENTILE.INC(D230:D1888, 0.9), "High", "Low")</f>
        <v>Low</v>
      </c>
      <c r="L230" s="4" t="str">
        <f t="shared" si="2"/>
        <v/>
      </c>
    </row>
    <row r="231" ht="14.25" customHeight="1">
      <c r="A231" s="1" t="s">
        <v>454</v>
      </c>
      <c r="B231" s="1">
        <v>8.1</v>
      </c>
      <c r="C231" s="4" t="str">
        <f>IFERROR(__xludf.DUMMYFUNCTION("""COMPUTED_VALUE"""),"Anthony Minghella")</f>
        <v>Anthony Minghella</v>
      </c>
      <c r="D231" s="4">
        <f t="array" ref="D231">IFERROR(AVERAGEIFS($B$2:$B$3757, $A$2:$A$3757, C231:C3985), "")</f>
        <v>7.3</v>
      </c>
      <c r="E231" s="4">
        <f t="shared" si="1"/>
        <v>85.9</v>
      </c>
      <c r="F231" s="4" t="str">
        <f t="array" ref="F231">IF(D231&gt;=_xlfn.PERCENTILE.INC(D231:D1889, 0.9), "High", "Low")</f>
        <v>Low</v>
      </c>
      <c r="L231" s="4" t="str">
        <f t="shared" si="2"/>
        <v/>
      </c>
    </row>
    <row r="232" ht="14.25" customHeight="1">
      <c r="A232" s="1" t="s">
        <v>1365</v>
      </c>
      <c r="B232" s="1">
        <v>6.7</v>
      </c>
      <c r="C232" s="4" t="str">
        <f>IFERROR(__xludf.DUMMYFUNCTION("""COMPUTED_VALUE"""),"Albert Hughes")</f>
        <v>Albert Hughes</v>
      </c>
      <c r="D232" s="4">
        <f t="array" ref="D232">IFERROR(AVERAGEIFS($B$2:$B$3757, $A$2:$A$3757, C232:C3986), "")</f>
        <v>7</v>
      </c>
      <c r="E232" s="4">
        <f t="shared" si="1"/>
        <v>74.1</v>
      </c>
      <c r="F232" s="4" t="str">
        <f t="array" ref="F232">IF(D232&gt;=_xlfn.PERCENTILE.INC(D232:D1890, 0.9), "High", "Low")</f>
        <v>Low</v>
      </c>
      <c r="L232" s="4" t="str">
        <f t="shared" si="2"/>
        <v/>
      </c>
    </row>
    <row r="233" ht="14.25" customHeight="1">
      <c r="A233" s="1" t="s">
        <v>1376</v>
      </c>
      <c r="B233" s="1">
        <v>6.5</v>
      </c>
      <c r="C233" s="4" t="str">
        <f>IFERROR(__xludf.DUMMYFUNCTION("""COMPUTED_VALUE"""),"Les Mayfield")</f>
        <v>Les Mayfield</v>
      </c>
      <c r="D233" s="4">
        <f t="array" ref="D233">IFERROR(AVERAGEIFS($B$2:$B$3757, $A$2:$A$3757, C233:C3987), "")</f>
        <v>5.5</v>
      </c>
      <c r="E233" s="4">
        <f t="shared" si="1"/>
        <v>19.6</v>
      </c>
      <c r="F233" s="4" t="str">
        <f t="array" ref="F233">IF(D233&gt;=_xlfn.PERCENTILE.INC(D233:D1891, 0.9), "High", "Low")</f>
        <v>Low</v>
      </c>
      <c r="L233" s="4" t="str">
        <f t="shared" si="2"/>
        <v/>
      </c>
    </row>
    <row r="234" ht="14.25" customHeight="1">
      <c r="A234" s="1" t="s">
        <v>1397</v>
      </c>
      <c r="B234" s="1">
        <v>7.3</v>
      </c>
      <c r="C234" s="4" t="str">
        <f>IFERROR(__xludf.DUMMYFUNCTION("""COMPUTED_VALUE"""),"Joe Pytka")</f>
        <v>Joe Pytka</v>
      </c>
      <c r="D234" s="4">
        <f t="array" ref="D234">IFERROR(AVERAGEIFS($B$2:$B$3757, $A$2:$A$3757, C234:C3988), "")</f>
        <v>6.3</v>
      </c>
      <c r="E234" s="4">
        <f t="shared" si="1"/>
        <v>45.1</v>
      </c>
      <c r="F234" s="4" t="str">
        <f t="array" ref="F234">IF(D234&gt;=_xlfn.PERCENTILE.INC(D234:D1892, 0.9), "High", "Low")</f>
        <v>Low</v>
      </c>
      <c r="L234" s="4" t="str">
        <f t="shared" si="2"/>
        <v/>
      </c>
    </row>
    <row r="235" ht="14.25" customHeight="1">
      <c r="A235" s="1" t="s">
        <v>1284</v>
      </c>
      <c r="B235" s="1">
        <v>6.0</v>
      </c>
      <c r="C235" s="4" t="str">
        <f>IFERROR(__xludf.DUMMYFUNCTION("""COMPUTED_VALUE"""),"Scott Derrickson")</f>
        <v>Scott Derrickson</v>
      </c>
      <c r="D235" s="4">
        <f t="array" ref="D235">IFERROR(AVERAGEIFS($B$2:$B$3757, $A$2:$A$3757, C235:C3989), "")</f>
        <v>6.14</v>
      </c>
      <c r="E235" s="4">
        <f t="shared" si="1"/>
        <v>41.5</v>
      </c>
      <c r="F235" s="4" t="str">
        <f t="array" ref="F235">IF(D235&gt;=_xlfn.PERCENTILE.INC(D235:D1893, 0.9), "High", "Low")</f>
        <v>Low</v>
      </c>
      <c r="L235" s="4" t="str">
        <f t="shared" si="2"/>
        <v/>
      </c>
    </row>
    <row r="236" ht="14.25" customHeight="1">
      <c r="A236" s="1" t="s">
        <v>1407</v>
      </c>
      <c r="B236" s="1">
        <v>6.1</v>
      </c>
      <c r="C236" s="4" t="str">
        <f>IFERROR(__xludf.DUMMYFUNCTION("""COMPUTED_VALUE"""),"Ivan Reitman")</f>
        <v>Ivan Reitman</v>
      </c>
      <c r="D236" s="4">
        <f t="array" ref="D236">IFERROR(AVERAGEIFS($B$2:$B$3757, $A$2:$A$3757, C236:C3990), "")</f>
        <v>6.075</v>
      </c>
      <c r="E236" s="4">
        <f t="shared" si="1"/>
        <v>37.7</v>
      </c>
      <c r="F236" s="4" t="str">
        <f t="array" ref="F236">IF(D236&gt;=_xlfn.PERCENTILE.INC(D236:D1894, 0.9), "High", "Low")</f>
        <v>Low</v>
      </c>
      <c r="L236" s="4" t="str">
        <f t="shared" si="2"/>
        <v/>
      </c>
    </row>
    <row r="237" ht="14.25" customHeight="1">
      <c r="A237" s="1" t="s">
        <v>839</v>
      </c>
      <c r="B237" s="1">
        <v>5.9</v>
      </c>
      <c r="C237" s="4" t="str">
        <f>IFERROR(__xludf.DUMMYFUNCTION("""COMPUTED_VALUE"""),"Eric Brevig")</f>
        <v>Eric Brevig</v>
      </c>
      <c r="D237" s="4">
        <f t="array" ref="D237">IFERROR(AVERAGEIFS($B$2:$B$3757, $A$2:$A$3757, C237:C3991), "")</f>
        <v>5.2</v>
      </c>
      <c r="E237" s="4">
        <f t="shared" si="1"/>
        <v>12.4</v>
      </c>
      <c r="F237" s="4" t="str">
        <f t="array" ref="F237">IF(D237&gt;=_xlfn.PERCENTILE.INC(D237:D1895, 0.9), "High", "Low")</f>
        <v>Low</v>
      </c>
      <c r="L237" s="4" t="str">
        <f t="shared" si="2"/>
        <v/>
      </c>
    </row>
    <row r="238" ht="14.25" customHeight="1">
      <c r="A238" s="1" t="s">
        <v>1172</v>
      </c>
      <c r="B238" s="1">
        <v>7.8</v>
      </c>
      <c r="C238" s="4" t="str">
        <f>IFERROR(__xludf.DUMMYFUNCTION("""COMPUTED_VALUE"""),"Kelly Asbury")</f>
        <v>Kelly Asbury</v>
      </c>
      <c r="D238" s="4">
        <f t="array" ref="D238">IFERROR(AVERAGEIFS($B$2:$B$3757, $A$2:$A$3757, C238:C3992), "")</f>
        <v>7</v>
      </c>
      <c r="E238" s="4">
        <f t="shared" si="1"/>
        <v>74.1</v>
      </c>
      <c r="F238" s="4" t="str">
        <f t="array" ref="F238">IF(D238&gt;=_xlfn.PERCENTILE.INC(D238:D1896, 0.9), "High", "Low")</f>
        <v>Low</v>
      </c>
      <c r="L238" s="4" t="str">
        <f t="shared" si="2"/>
        <v/>
      </c>
    </row>
    <row r="239" ht="14.25" customHeight="1">
      <c r="A239" s="1" t="s">
        <v>1424</v>
      </c>
      <c r="B239" s="1">
        <v>5.8</v>
      </c>
      <c r="C239" s="4" t="str">
        <f>IFERROR(__xludf.DUMMYFUNCTION("""COMPUTED_VALUE"""),"Stephen Hopkins")</f>
        <v>Stephen Hopkins</v>
      </c>
      <c r="D239" s="4">
        <f t="array" ref="D239">IFERROR(AVERAGEIFS($B$2:$B$3757, $A$2:$A$3757, C239:C3993), "")</f>
        <v>5.78</v>
      </c>
      <c r="E239" s="4">
        <f t="shared" si="1"/>
        <v>27.6</v>
      </c>
      <c r="F239" s="4" t="str">
        <f t="array" ref="F239">IF(D239&gt;=_xlfn.PERCENTILE.INC(D239:D1897, 0.9), "High", "Low")</f>
        <v>Low</v>
      </c>
      <c r="L239" s="4" t="str">
        <f t="shared" si="2"/>
        <v/>
      </c>
    </row>
    <row r="240" ht="14.25" customHeight="1">
      <c r="A240" s="1" t="s">
        <v>1430</v>
      </c>
      <c r="B240" s="1">
        <v>4.3</v>
      </c>
      <c r="C240" s="4" t="str">
        <f>IFERROR(__xludf.DUMMYFUNCTION("""COMPUTED_VALUE"""),"Jonathan Demme")</f>
        <v>Jonathan Demme</v>
      </c>
      <c r="D240" s="4">
        <f t="array" ref="D240">IFERROR(AVERAGEIFS($B$2:$B$3757, $A$2:$A$3757, C240:C3994), "")</f>
        <v>7.2</v>
      </c>
      <c r="E240" s="4">
        <f t="shared" si="1"/>
        <v>82.3</v>
      </c>
      <c r="F240" s="4" t="str">
        <f t="array" ref="F240">IF(D240&gt;=_xlfn.PERCENTILE.INC(D240:D1898, 0.9), "High", "Low")</f>
        <v>Low</v>
      </c>
      <c r="L240" s="4" t="str">
        <f t="shared" si="2"/>
        <v/>
      </c>
    </row>
    <row r="241" ht="14.25" customHeight="1">
      <c r="A241" s="1" t="s">
        <v>772</v>
      </c>
      <c r="B241" s="1">
        <v>6.4</v>
      </c>
      <c r="C241" s="4" t="str">
        <f>IFERROR(__xludf.DUMMYFUNCTION("""COMPUTED_VALUE"""),"James Algar")</f>
        <v>James Algar</v>
      </c>
      <c r="D241" s="4">
        <f t="array" ref="D241">IFERROR(AVERAGEIFS($B$2:$B$3757, $A$2:$A$3757, C241:C3995), "")</f>
        <v>7.3</v>
      </c>
      <c r="E241" s="4">
        <f t="shared" si="1"/>
        <v>85.8</v>
      </c>
      <c r="F241" s="4" t="str">
        <f t="array" ref="F241">IF(D241&gt;=_xlfn.PERCENTILE.INC(D241:D1899, 0.9), "High", "Low")</f>
        <v>Low</v>
      </c>
      <c r="L241" s="4" t="str">
        <f t="shared" si="2"/>
        <v/>
      </c>
    </row>
    <row r="242" ht="14.25" customHeight="1">
      <c r="A242" s="1" t="s">
        <v>1441</v>
      </c>
      <c r="B242" s="1">
        <v>6.1</v>
      </c>
      <c r="C242" s="4" t="str">
        <f>IFERROR(__xludf.DUMMYFUNCTION("""COMPUTED_VALUE"""),"Vincent Ward")</f>
        <v>Vincent Ward</v>
      </c>
      <c r="D242" s="4">
        <f t="array" ref="D242">IFERROR(AVERAGEIFS($B$2:$B$3757, $A$2:$A$3757, C242:C3996), "")</f>
        <v>7</v>
      </c>
      <c r="E242" s="4">
        <f t="shared" si="1"/>
        <v>74.2</v>
      </c>
      <c r="F242" s="4" t="str">
        <f t="array" ref="F242">IF(D242&gt;=_xlfn.PERCENTILE.INC(D242:D1900, 0.9), "High", "Low")</f>
        <v>Low</v>
      </c>
      <c r="L242" s="4" t="str">
        <f t="shared" si="2"/>
        <v/>
      </c>
    </row>
    <row r="243" ht="14.25" customHeight="1">
      <c r="A243" s="1" t="s">
        <v>1446</v>
      </c>
      <c r="B243" s="1">
        <v>6.5</v>
      </c>
      <c r="C243" s="4" t="str">
        <f>IFERROR(__xludf.DUMMYFUNCTION("""COMPUTED_VALUE"""),"Steven Brill")</f>
        <v>Steven Brill</v>
      </c>
      <c r="D243" s="4">
        <f t="array" ref="D243">IFERROR(AVERAGEIFS($B$2:$B$3757, $A$2:$A$3757, C243:C3997), "")</f>
        <v>5.675</v>
      </c>
      <c r="E243" s="4">
        <f t="shared" si="1"/>
        <v>25.5</v>
      </c>
      <c r="F243" s="4" t="str">
        <f t="array" ref="F243">IF(D243&gt;=_xlfn.PERCENTILE.INC(D243:D1901, 0.9), "High", "Low")</f>
        <v>Low</v>
      </c>
      <c r="L243" s="4" t="str">
        <f t="shared" si="2"/>
        <v/>
      </c>
    </row>
    <row r="244" ht="14.25" customHeight="1">
      <c r="A244" s="1" t="s">
        <v>414</v>
      </c>
      <c r="B244" s="1">
        <v>7.1</v>
      </c>
      <c r="C244" s="4" t="str">
        <f>IFERROR(__xludf.DUMMYFUNCTION("""COMPUTED_VALUE"""),"Terry Gilliam")</f>
        <v>Terry Gilliam</v>
      </c>
      <c r="D244" s="4">
        <f t="array" ref="D244">IFERROR(AVERAGEIFS($B$2:$B$3757, $A$2:$A$3757, C244:C3998), "")</f>
        <v>7.328571429</v>
      </c>
      <c r="E244" s="4">
        <f t="shared" si="1"/>
        <v>87.6</v>
      </c>
      <c r="F244" s="4" t="str">
        <f t="array" ref="F244">IF(D244&gt;=_xlfn.PERCENTILE.INC(D244:D1902, 0.9), "High", "Low")</f>
        <v>Low</v>
      </c>
      <c r="L244" s="4" t="str">
        <f t="shared" si="2"/>
        <v/>
      </c>
    </row>
    <row r="245" ht="14.25" customHeight="1">
      <c r="A245" s="1" t="s">
        <v>1456</v>
      </c>
      <c r="B245" s="1">
        <v>6.4</v>
      </c>
      <c r="C245" s="4" t="str">
        <f>IFERROR(__xludf.DUMMYFUNCTION("""COMPUTED_VALUE"""),"Barry Cook")</f>
        <v>Barry Cook</v>
      </c>
      <c r="D245" s="4">
        <f t="array" ref="D245">IFERROR(AVERAGEIFS($B$2:$B$3757, $A$2:$A$3757, C245:C3999), "")</f>
        <v>5.2</v>
      </c>
      <c r="E245" s="4">
        <f t="shared" si="1"/>
        <v>12.5</v>
      </c>
      <c r="F245" s="4" t="str">
        <f t="array" ref="F245">IF(D245&gt;=_xlfn.PERCENTILE.INC(D245:D1903, 0.9), "High", "Low")</f>
        <v>Low</v>
      </c>
      <c r="L245" s="4" t="str">
        <f t="shared" si="2"/>
        <v/>
      </c>
    </row>
    <row r="246" ht="14.25" customHeight="1">
      <c r="A246" s="1" t="s">
        <v>506</v>
      </c>
      <c r="B246" s="1">
        <v>6.5</v>
      </c>
      <c r="C246" s="4" t="str">
        <f>IFERROR(__xludf.DUMMYFUNCTION("""COMPUTED_VALUE"""),"Roger Christian")</f>
        <v>Roger Christian</v>
      </c>
      <c r="D246" s="4">
        <f t="array" ref="D246">IFERROR(AVERAGEIFS($B$2:$B$3757, $A$2:$A$3757, C246:C4000), "")</f>
        <v>2.4</v>
      </c>
      <c r="E246" s="4">
        <f t="shared" si="1"/>
        <v>0.1</v>
      </c>
      <c r="F246" s="4" t="str">
        <f t="array" ref="F246">IF(D246&gt;=_xlfn.PERCENTILE.INC(D246:D1904, 0.9), "High", "Low")</f>
        <v>Low</v>
      </c>
      <c r="L246" s="4" t="str">
        <f t="shared" si="2"/>
        <v/>
      </c>
    </row>
    <row r="247" ht="14.25" customHeight="1">
      <c r="A247" s="1" t="s">
        <v>1205</v>
      </c>
      <c r="B247" s="1">
        <v>6.3</v>
      </c>
      <c r="C247" s="4" t="str">
        <f>IFERROR(__xludf.DUMMYFUNCTION("""COMPUTED_VALUE"""),"Joe Dante")</f>
        <v>Joe Dante</v>
      </c>
      <c r="D247" s="4">
        <f t="array" ref="D247">IFERROR(AVERAGEIFS($B$2:$B$3757, $A$2:$A$3757, C247:C4001), "")</f>
        <v>6.4</v>
      </c>
      <c r="E247" s="4">
        <f t="shared" si="1"/>
        <v>48.8</v>
      </c>
      <c r="F247" s="4" t="str">
        <f t="array" ref="F247">IF(D247&gt;=_xlfn.PERCENTILE.INC(D247:D1905, 0.9), "High", "Low")</f>
        <v>Low</v>
      </c>
      <c r="L247" s="4" t="str">
        <f t="shared" si="2"/>
        <v/>
      </c>
    </row>
    <row r="248" ht="14.25" customHeight="1">
      <c r="A248" s="1" t="s">
        <v>472</v>
      </c>
      <c r="B248" s="1">
        <v>7.5</v>
      </c>
      <c r="C248" s="4" t="str">
        <f>IFERROR(__xludf.DUMMYFUNCTION("""COMPUTED_VALUE"""),"Kevin Costner")</f>
        <v>Kevin Costner</v>
      </c>
      <c r="D248" s="4">
        <f t="array" ref="D248">IFERROR(AVERAGEIFS($B$2:$B$3757, $A$2:$A$3757, C248:C4002), "")</f>
        <v>7.166666667</v>
      </c>
      <c r="E248" s="4">
        <f t="shared" si="1"/>
        <v>82.2</v>
      </c>
      <c r="F248" s="4" t="str">
        <f t="array" ref="F248">IF(D248&gt;=_xlfn.PERCENTILE.INC(D248:D1906, 0.9), "High", "Low")</f>
        <v>Low</v>
      </c>
      <c r="L248" s="4" t="str">
        <f t="shared" si="2"/>
        <v/>
      </c>
    </row>
    <row r="249" ht="14.25" customHeight="1">
      <c r="A249" s="1" t="s">
        <v>461</v>
      </c>
      <c r="B249" s="1">
        <v>4.9</v>
      </c>
      <c r="C249" s="4" t="str">
        <f>IFERROR(__xludf.DUMMYFUNCTION("""COMPUTED_VALUE"""),"Antony Hoffman")</f>
        <v>Antony Hoffman</v>
      </c>
      <c r="D249" s="4">
        <f t="array" ref="D249">IFERROR(AVERAGEIFS($B$2:$B$3757, $A$2:$A$3757, C249:C4003), "")</f>
        <v>5.7</v>
      </c>
      <c r="E249" s="4">
        <f t="shared" si="1"/>
        <v>25.8</v>
      </c>
      <c r="F249" s="4" t="str">
        <f t="array" ref="F249">IF(D249&gt;=_xlfn.PERCENTILE.INC(D249:D1907, 0.9), "High", "Low")</f>
        <v>Low</v>
      </c>
      <c r="L249" s="4" t="str">
        <f t="shared" si="2"/>
        <v/>
      </c>
    </row>
    <row r="250" ht="14.25" customHeight="1">
      <c r="A250" s="1" t="s">
        <v>1485</v>
      </c>
      <c r="B250" s="1">
        <v>5.8</v>
      </c>
      <c r="C250" s="4" t="str">
        <f>IFERROR(__xludf.DUMMYFUNCTION("""COMPUTED_VALUE"""),"Jacques Perrin")</f>
        <v>Jacques Perrin</v>
      </c>
      <c r="D250" s="4">
        <f t="array" ref="D250">IFERROR(AVERAGEIFS($B$2:$B$3757, $A$2:$A$3757, C250:C4004), "")</f>
        <v>7.8</v>
      </c>
      <c r="E250" s="4">
        <f t="shared" si="1"/>
        <v>96</v>
      </c>
      <c r="F250" s="4" t="str">
        <f t="array" ref="F250">IF(D250&gt;=_xlfn.PERCENTILE.INC(D250:D1908, 0.9), "High", "Low")</f>
        <v>High</v>
      </c>
      <c r="L250" s="4" t="str">
        <f t="shared" si="2"/>
        <v/>
      </c>
    </row>
    <row r="251" ht="14.25" customHeight="1">
      <c r="A251" s="1" t="s">
        <v>1491</v>
      </c>
      <c r="B251" s="1">
        <v>6.2</v>
      </c>
      <c r="C251" s="4" t="str">
        <f>IFERROR(__xludf.DUMMYFUNCTION("""COMPUTED_VALUE"""),"Cody Cameron")</f>
        <v>Cody Cameron</v>
      </c>
      <c r="D251" s="4">
        <f t="array" ref="D251">IFERROR(AVERAGEIFS($B$2:$B$3757, $A$2:$A$3757, C251:C4005), "")</f>
        <v>6.5</v>
      </c>
      <c r="E251" s="4">
        <f t="shared" si="1"/>
        <v>53.3</v>
      </c>
      <c r="F251" s="4" t="str">
        <f t="array" ref="F251">IF(D251&gt;=_xlfn.PERCENTILE.INC(D251:D1909, 0.9), "High", "Low")</f>
        <v>Low</v>
      </c>
      <c r="L251" s="4" t="str">
        <f t="shared" si="2"/>
        <v/>
      </c>
    </row>
    <row r="252" ht="14.25" customHeight="1">
      <c r="A252" s="1" t="s">
        <v>1497</v>
      </c>
      <c r="B252" s="1">
        <v>5.5</v>
      </c>
      <c r="C252" s="4" t="str">
        <f>IFERROR(__xludf.DUMMYFUNCTION("""COMPUTED_VALUE"""),"John Singleton")</f>
        <v>John Singleton</v>
      </c>
      <c r="D252" s="4">
        <f t="array" ref="D252">IFERROR(AVERAGEIFS($B$2:$B$3757, $A$2:$A$3757, C252:C4006), "")</f>
        <v>6.257142857</v>
      </c>
      <c r="E252" s="4">
        <f t="shared" si="1"/>
        <v>45</v>
      </c>
      <c r="F252" s="4" t="str">
        <f t="array" ref="F252">IF(D252&gt;=_xlfn.PERCENTILE.INC(D252:D1910, 0.9), "High", "Low")</f>
        <v>Low</v>
      </c>
      <c r="L252" s="4" t="str">
        <f t="shared" si="2"/>
        <v/>
      </c>
    </row>
    <row r="253" ht="14.25" customHeight="1">
      <c r="A253" s="1" t="s">
        <v>1504</v>
      </c>
      <c r="B253" s="1">
        <v>5.4</v>
      </c>
      <c r="C253" s="4" t="str">
        <f>IFERROR(__xludf.DUMMYFUNCTION("""COMPUTED_VALUE"""),"Oliver Hirschbiegel")</f>
        <v>Oliver Hirschbiegel</v>
      </c>
      <c r="D253" s="4">
        <f t="array" ref="D253">IFERROR(AVERAGEIFS($B$2:$B$3757, $A$2:$A$3757, C253:C4007), "")</f>
        <v>7.1</v>
      </c>
      <c r="E253" s="4">
        <f t="shared" si="1"/>
        <v>81.5</v>
      </c>
      <c r="F253" s="4" t="str">
        <f t="array" ref="F253">IF(D253&gt;=_xlfn.PERCENTILE.INC(D253:D1911, 0.9), "High", "Low")</f>
        <v>Low</v>
      </c>
      <c r="L253" s="4" t="str">
        <f t="shared" si="2"/>
        <v/>
      </c>
    </row>
    <row r="254" ht="14.25" customHeight="1">
      <c r="A254" s="1" t="s">
        <v>1205</v>
      </c>
      <c r="B254" s="1">
        <v>5.8</v>
      </c>
      <c r="C254" s="4" t="str">
        <f>IFERROR(__xludf.DUMMYFUNCTION("""COMPUTED_VALUE"""),"Des McAnuff")</f>
        <v>Des McAnuff</v>
      </c>
      <c r="D254" s="4">
        <f t="array" ref="D254">IFERROR(AVERAGEIFS($B$2:$B$3757, $A$2:$A$3757, C254:C4008), "")</f>
        <v>4.1</v>
      </c>
      <c r="E254" s="4">
        <f t="shared" si="1"/>
        <v>3.8</v>
      </c>
      <c r="F254" s="4" t="str">
        <f t="array" ref="F254">IF(D254&gt;=_xlfn.PERCENTILE.INC(D254:D1912, 0.9), "High", "Low")</f>
        <v>Low</v>
      </c>
      <c r="L254" s="4" t="str">
        <f t="shared" si="2"/>
        <v/>
      </c>
    </row>
    <row r="255" ht="14.25" customHeight="1">
      <c r="A255" s="1" t="s">
        <v>772</v>
      </c>
      <c r="B255" s="1">
        <v>7.1</v>
      </c>
      <c r="C255" s="4" t="str">
        <f>IFERROR(__xludf.DUMMYFUNCTION("""COMPUTED_VALUE"""),"Yarrow Cheney")</f>
        <v>Yarrow Cheney</v>
      </c>
      <c r="D255" s="4">
        <f t="array" ref="D255">IFERROR(AVERAGEIFS($B$2:$B$3757, $A$2:$A$3757, C255:C4009), "")</f>
        <v>6.8</v>
      </c>
      <c r="E255" s="4">
        <f t="shared" si="1"/>
        <v>66.1</v>
      </c>
      <c r="F255" s="4" t="str">
        <f t="array" ref="F255">IF(D255&gt;=_xlfn.PERCENTILE.INC(D255:D1913, 0.9), "High", "Low")</f>
        <v>Low</v>
      </c>
      <c r="L255" s="4" t="str">
        <f t="shared" si="2"/>
        <v/>
      </c>
    </row>
    <row r="256" ht="14.25" customHeight="1">
      <c r="A256" s="1" t="s">
        <v>1497</v>
      </c>
      <c r="B256" s="1">
        <v>5.4</v>
      </c>
      <c r="C256" s="4" t="str">
        <f>IFERROR(__xludf.DUMMYFUNCTION("""COMPUTED_VALUE"""),"Stephen Norrington")</f>
        <v>Stephen Norrington</v>
      </c>
      <c r="D256" s="4">
        <f t="array" ref="D256">IFERROR(AVERAGEIFS($B$2:$B$3757, $A$2:$A$3757, C256:C4010), "")</f>
        <v>6.45</v>
      </c>
      <c r="E256" s="4">
        <f t="shared" si="1"/>
        <v>52.1</v>
      </c>
      <c r="F256" s="4" t="str">
        <f t="array" ref="F256">IF(D256&gt;=_xlfn.PERCENTILE.INC(D256:D1914, 0.9), "High", "Low")</f>
        <v>Low</v>
      </c>
      <c r="L256" s="4" t="str">
        <f t="shared" si="2"/>
        <v/>
      </c>
    </row>
    <row r="257" ht="14.25" customHeight="1">
      <c r="A257" s="1" t="s">
        <v>1527</v>
      </c>
      <c r="B257" s="1">
        <v>3.7</v>
      </c>
      <c r="C257" s="4" t="str">
        <f>IFERROR(__xludf.DUMMYFUNCTION("""COMPUTED_VALUE"""),"Pierre Coffin")</f>
        <v>Pierre Coffin</v>
      </c>
      <c r="D257" s="4">
        <f t="array" ref="D257">IFERROR(AVERAGEIFS($B$2:$B$3757, $A$2:$A$3757, C257:C4011), "")</f>
        <v>7.6</v>
      </c>
      <c r="E257" s="4">
        <f t="shared" si="1"/>
        <v>91.7</v>
      </c>
      <c r="F257" s="4" t="str">
        <f t="array" ref="F257">IF(D257&gt;=_xlfn.PERCENTILE.INC(D257:D1915, 0.9), "High", "Low")</f>
        <v>High</v>
      </c>
      <c r="L257" s="4" t="str">
        <f t="shared" si="2"/>
        <v/>
      </c>
    </row>
    <row r="258" ht="14.25" customHeight="1">
      <c r="A258" s="1" t="s">
        <v>779</v>
      </c>
      <c r="B258" s="1">
        <v>6.7</v>
      </c>
      <c r="C258" s="4" t="str">
        <f>IFERROR(__xludf.DUMMYFUNCTION("""COMPUTED_VALUE"""),"Timur Bekmambetov")</f>
        <v>Timur Bekmambetov</v>
      </c>
      <c r="D258" s="4">
        <f t="array" ref="D258">IFERROR(AVERAGEIFS($B$2:$B$3757, $A$2:$A$3757, C258:C4012), "")</f>
        <v>6.366666667</v>
      </c>
      <c r="E258" s="4">
        <f t="shared" si="1"/>
        <v>48.7</v>
      </c>
      <c r="F258" s="4" t="str">
        <f t="array" ref="F258">IF(D258&gt;=_xlfn.PERCENTILE.INC(D258:D1916, 0.9), "High", "Low")</f>
        <v>Low</v>
      </c>
      <c r="L258" s="4" t="str">
        <f t="shared" si="2"/>
        <v/>
      </c>
    </row>
    <row r="259" ht="14.25" customHeight="1">
      <c r="A259" s="1" t="s">
        <v>1539</v>
      </c>
      <c r="B259" s="1">
        <v>7.2</v>
      </c>
      <c r="C259" s="4" t="str">
        <f>IFERROR(__xludf.DUMMYFUNCTION("""COMPUTED_VALUE"""),"David Kellogg")</f>
        <v>David Kellogg</v>
      </c>
      <c r="D259" s="4">
        <f t="array" ref="D259">IFERROR(AVERAGEIFS($B$2:$B$3757, $A$2:$A$3757, C259:C4013), "")</f>
        <v>4.1</v>
      </c>
      <c r="E259" s="4">
        <f t="shared" si="1"/>
        <v>3.9</v>
      </c>
      <c r="F259" s="4" t="str">
        <f t="array" ref="F259">IF(D259&gt;=_xlfn.PERCENTILE.INC(D259:D1917, 0.9), "High", "Low")</f>
        <v>Low</v>
      </c>
      <c r="L259" s="4" t="str">
        <f t="shared" si="2"/>
        <v/>
      </c>
    </row>
    <row r="260" ht="14.25" customHeight="1">
      <c r="A260" s="1" t="s">
        <v>163</v>
      </c>
      <c r="B260" s="1">
        <v>8.8</v>
      </c>
      <c r="C260" s="4" t="str">
        <f>IFERROR(__xludf.DUMMYFUNCTION("""COMPUTED_VALUE"""),"Mike Nichols")</f>
        <v>Mike Nichols</v>
      </c>
      <c r="D260" s="4">
        <f t="array" ref="D260">IFERROR(AVERAGEIFS($B$2:$B$3757, $A$2:$A$3757, C260:C4014), "")</f>
        <v>6.58</v>
      </c>
      <c r="E260" s="4">
        <f t="shared" si="1"/>
        <v>57.8</v>
      </c>
      <c r="F260" s="4" t="str">
        <f t="array" ref="F260">IF(D260&gt;=_xlfn.PERCENTILE.INC(D260:D1918, 0.9), "High", "Low")</f>
        <v>Low</v>
      </c>
      <c r="L260" s="4" t="str">
        <f t="shared" si="2"/>
        <v/>
      </c>
    </row>
    <row r="261" ht="14.25" customHeight="1">
      <c r="A261" s="1" t="s">
        <v>1549</v>
      </c>
      <c r="B261" s="1">
        <v>5.8</v>
      </c>
      <c r="C261" s="4" t="str">
        <f>IFERROR(__xludf.DUMMYFUNCTION("""COMPUTED_VALUE"""),"F. Gary Gray")</f>
        <v>F. Gary Gray</v>
      </c>
      <c r="D261" s="4">
        <f t="array" ref="D261">IFERROR(AVERAGEIFS($B$2:$B$3757, $A$2:$A$3757, C261:C4015), "")</f>
        <v>6.9375</v>
      </c>
      <c r="E261" s="4">
        <f t="shared" si="1"/>
        <v>73.6</v>
      </c>
      <c r="F261" s="4" t="str">
        <f t="array" ref="F261">IF(D261&gt;=_xlfn.PERCENTILE.INC(D261:D1919, 0.9), "High", "Low")</f>
        <v>Low</v>
      </c>
      <c r="L261" s="4" t="str">
        <f t="shared" si="2"/>
        <v/>
      </c>
    </row>
    <row r="262" ht="14.25" customHeight="1">
      <c r="A262" s="1" t="s">
        <v>1555</v>
      </c>
      <c r="B262" s="1">
        <v>6.8</v>
      </c>
      <c r="C262" s="4" t="str">
        <f>IFERROR(__xludf.DUMMYFUNCTION("""COMPUTED_VALUE"""),"Antoine Fuqua")</f>
        <v>Antoine Fuqua</v>
      </c>
      <c r="D262" s="4">
        <f t="array" ref="D262">IFERROR(AVERAGEIFS($B$2:$B$3757, $A$2:$A$3757, C262:C4016), "")</f>
        <v>6.9375</v>
      </c>
      <c r="E262" s="4">
        <f t="shared" si="1"/>
        <v>73.6</v>
      </c>
      <c r="F262" s="4" t="str">
        <f t="array" ref="F262">IF(D262&gt;=_xlfn.PERCENTILE.INC(D262:D1920, 0.9), "High", "Low")</f>
        <v>Low</v>
      </c>
      <c r="L262" s="4" t="str">
        <f t="shared" si="2"/>
        <v/>
      </c>
    </row>
    <row r="263" ht="14.25" customHeight="1">
      <c r="A263" s="1" t="s">
        <v>1560</v>
      </c>
      <c r="B263" s="1">
        <v>3.8</v>
      </c>
      <c r="C263" s="4" t="str">
        <f>IFERROR(__xludf.DUMMYFUNCTION("""COMPUTED_VALUE"""),"Robert Luketic")</f>
        <v>Robert Luketic</v>
      </c>
      <c r="D263" s="4">
        <f t="array" ref="D263">IFERROR(AVERAGEIFS($B$2:$B$3757, $A$2:$A$3757, C263:C4017), "")</f>
        <v>6</v>
      </c>
      <c r="E263" s="4">
        <f t="shared" si="1"/>
        <v>34.3</v>
      </c>
      <c r="F263" s="4" t="str">
        <f t="array" ref="F263">IF(D263&gt;=_xlfn.PERCENTILE.INC(D263:D1921, 0.9), "High", "Low")</f>
        <v>Low</v>
      </c>
      <c r="L263" s="4" t="str">
        <f t="shared" si="2"/>
        <v/>
      </c>
    </row>
    <row r="264" ht="14.25" customHeight="1">
      <c r="A264" s="1" t="s">
        <v>1002</v>
      </c>
      <c r="B264" s="1">
        <v>7.1</v>
      </c>
      <c r="C264" s="4" t="str">
        <f>IFERROR(__xludf.DUMMYFUNCTION("""COMPUTED_VALUE"""),"Gil Kenan")</f>
        <v>Gil Kenan</v>
      </c>
      <c r="D264" s="4">
        <f t="array" ref="D264">IFERROR(AVERAGEIFS($B$2:$B$3757, $A$2:$A$3757, C264:C4018), "")</f>
        <v>6.55</v>
      </c>
      <c r="E264" s="4">
        <f t="shared" si="1"/>
        <v>57.1</v>
      </c>
      <c r="F264" s="4" t="str">
        <f t="array" ref="F264">IF(D264&gt;=_xlfn.PERCENTILE.INC(D264:D1922, 0.9), "High", "Low")</f>
        <v>Low</v>
      </c>
      <c r="L264" s="4" t="str">
        <f t="shared" si="2"/>
        <v/>
      </c>
    </row>
    <row r="265" ht="14.25" customHeight="1">
      <c r="A265" s="1" t="s">
        <v>179</v>
      </c>
      <c r="B265" s="1">
        <v>7.2</v>
      </c>
      <c r="C265" s="4" t="str">
        <f>IFERROR(__xludf.DUMMYFUNCTION("""COMPUTED_VALUE"""),"Barry Levinson")</f>
        <v>Barry Levinson</v>
      </c>
      <c r="D265" s="4">
        <f t="array" ref="D265">IFERROR(AVERAGEIFS($B$2:$B$3757, $A$2:$A$3757, C265:C4019), "")</f>
        <v>6.576923077</v>
      </c>
      <c r="E265" s="4">
        <f t="shared" si="1"/>
        <v>57.8</v>
      </c>
      <c r="F265" s="4" t="str">
        <f t="array" ref="F265">IF(D265&gt;=_xlfn.PERCENTILE.INC(D265:D1923, 0.9), "High", "Low")</f>
        <v>Low</v>
      </c>
      <c r="L265" s="4" t="str">
        <f t="shared" si="2"/>
        <v/>
      </c>
    </row>
    <row r="266" ht="14.25" customHeight="1">
      <c r="A266" s="1" t="s">
        <v>909</v>
      </c>
      <c r="B266" s="1">
        <v>5.9</v>
      </c>
      <c r="C266" s="4" t="str">
        <f>IFERROR(__xludf.DUMMYFUNCTION("""COMPUTED_VALUE"""),"Jerry Zucker")</f>
        <v>Jerry Zucker</v>
      </c>
      <c r="D266" s="4">
        <f t="array" ref="D266">IFERROR(AVERAGEIFS($B$2:$B$3757, $A$2:$A$3757, C266:C4020), "")</f>
        <v>6.433333333</v>
      </c>
      <c r="E266" s="4">
        <f t="shared" si="1"/>
        <v>52.1</v>
      </c>
      <c r="F266" s="4" t="str">
        <f t="array" ref="F266">IF(D266&gt;=_xlfn.PERCENTILE.INC(D266:D1924, 0.9), "High", "Low")</f>
        <v>Low</v>
      </c>
      <c r="L266" s="4" t="str">
        <f t="shared" si="2"/>
        <v/>
      </c>
    </row>
    <row r="267" ht="14.25" customHeight="1">
      <c r="A267" s="1" t="s">
        <v>1580</v>
      </c>
      <c r="B267" s="1">
        <v>7.1</v>
      </c>
      <c r="C267" s="4" t="str">
        <f>IFERROR(__xludf.DUMMYFUNCTION("""COMPUTED_VALUE"""),"Andy Tennant")</f>
        <v>Andy Tennant</v>
      </c>
      <c r="D267" s="4">
        <f t="array" ref="D267">IFERROR(AVERAGEIFS($B$2:$B$3757, $A$2:$A$3757, C267:C4021), "")</f>
        <v>6.25</v>
      </c>
      <c r="E267" s="4">
        <f t="shared" si="1"/>
        <v>45.1</v>
      </c>
      <c r="F267" s="4" t="str">
        <f t="array" ref="F267">IF(D267&gt;=_xlfn.PERCENTILE.INC(D267:D1925, 0.9), "High", "Low")</f>
        <v>Low</v>
      </c>
      <c r="L267" s="4" t="str">
        <f t="shared" si="2"/>
        <v/>
      </c>
    </row>
    <row r="268" ht="14.25" customHeight="1">
      <c r="A268" s="1" t="s">
        <v>179</v>
      </c>
      <c r="B268" s="1">
        <v>8.1</v>
      </c>
      <c r="C268" s="4" t="str">
        <f>IFERROR(__xludf.DUMMYFUNCTION("""COMPUTED_VALUE"""),"Florent-Emilio Siri")</f>
        <v>Florent-Emilio Siri</v>
      </c>
      <c r="D268" s="4">
        <f t="array" ref="D268">IFERROR(AVERAGEIFS($B$2:$B$3757, $A$2:$A$3757, C268:C4022), "")</f>
        <v>6.6</v>
      </c>
      <c r="E268" s="4">
        <f t="shared" si="1"/>
        <v>57.9</v>
      </c>
      <c r="F268" s="4" t="str">
        <f t="array" ref="F268">IF(D268&gt;=_xlfn.PERCENTILE.INC(D268:D1926, 0.9), "High", "Low")</f>
        <v>Low</v>
      </c>
      <c r="L268" s="4" t="str">
        <f t="shared" si="2"/>
        <v/>
      </c>
    </row>
    <row r="269" ht="14.25" customHeight="1">
      <c r="A269" s="1" t="s">
        <v>270</v>
      </c>
      <c r="B269" s="1">
        <v>6.9</v>
      </c>
      <c r="C269" s="4" t="str">
        <f>IFERROR(__xludf.DUMMYFUNCTION("""COMPUTED_VALUE"""),"Don Bluth")</f>
        <v>Don Bluth</v>
      </c>
      <c r="D269" s="4">
        <f t="array" ref="D269">IFERROR(AVERAGEIFS($B$2:$B$3757, $A$2:$A$3757, C269:C4023), "")</f>
        <v>7</v>
      </c>
      <c r="E269" s="4">
        <f t="shared" si="1"/>
        <v>74.1</v>
      </c>
      <c r="F269" s="4" t="str">
        <f t="array" ref="F269">IF(D269&gt;=_xlfn.PERCENTILE.INC(D269:D1927, 0.9), "High", "Low")</f>
        <v>Low</v>
      </c>
      <c r="L269" s="4" t="str">
        <f t="shared" si="2"/>
        <v/>
      </c>
    </row>
    <row r="270" ht="14.25" customHeight="1">
      <c r="A270" s="1" t="s">
        <v>1596</v>
      </c>
      <c r="B270" s="1">
        <v>4.4</v>
      </c>
      <c r="C270" s="4" t="str">
        <f>IFERROR(__xludf.DUMMYFUNCTION("""COMPUTED_VALUE"""),"Ron Shelton")</f>
        <v>Ron Shelton</v>
      </c>
      <c r="D270" s="4">
        <f t="array" ref="D270">IFERROR(AVERAGEIFS($B$2:$B$3757, $A$2:$A$3757, C270:C4024), "")</f>
        <v>5.9</v>
      </c>
      <c r="E270" s="4">
        <f t="shared" si="1"/>
        <v>30.1</v>
      </c>
      <c r="F270" s="4" t="str">
        <f t="array" ref="F270">IF(D270&gt;=_xlfn.PERCENTILE.INC(D270:D1928, 0.9), "High", "Low")</f>
        <v>Low</v>
      </c>
      <c r="L270" s="4" t="str">
        <f t="shared" si="2"/>
        <v/>
      </c>
    </row>
    <row r="271" ht="14.25" customHeight="1">
      <c r="A271" s="1" t="s">
        <v>1604</v>
      </c>
      <c r="B271" s="1">
        <v>6.5</v>
      </c>
      <c r="C271" s="4" t="str">
        <f>IFERROR(__xludf.DUMMYFUNCTION("""COMPUTED_VALUE"""),"Henry Selick")</f>
        <v>Henry Selick</v>
      </c>
      <c r="D271" s="4">
        <f t="array" ref="D271">IFERROR(AVERAGEIFS($B$2:$B$3757, $A$2:$A$3757, C271:C4025), "")</f>
        <v>6.2</v>
      </c>
      <c r="E271" s="4">
        <f t="shared" si="1"/>
        <v>42.5</v>
      </c>
      <c r="F271" s="4" t="str">
        <f t="array" ref="F271">IF(D271&gt;=_xlfn.PERCENTILE.INC(D271:D1929, 0.9), "High", "Low")</f>
        <v>Low</v>
      </c>
      <c r="L271" s="4" t="str">
        <f t="shared" si="2"/>
        <v/>
      </c>
    </row>
    <row r="272" ht="14.25" customHeight="1">
      <c r="A272" s="1" t="s">
        <v>179</v>
      </c>
      <c r="B272" s="1">
        <v>8.5</v>
      </c>
      <c r="C272" s="4" t="str">
        <f>IFERROR(__xludf.DUMMYFUNCTION("""COMPUTED_VALUE"""),"Kyle Balda")</f>
        <v>Kyle Balda</v>
      </c>
      <c r="D272" s="4">
        <f t="array" ref="D272">IFERROR(AVERAGEIFS($B$2:$B$3757, $A$2:$A$3757, C272:C4026), "")</f>
        <v>6.4</v>
      </c>
      <c r="E272" s="4">
        <f t="shared" si="1"/>
        <v>49.2</v>
      </c>
      <c r="F272" s="4" t="str">
        <f t="array" ref="F272">IF(D272&gt;=_xlfn.PERCENTILE.INC(D272:D1930, 0.9), "High", "Low")</f>
        <v>Low</v>
      </c>
      <c r="L272" s="4" t="str">
        <f t="shared" si="2"/>
        <v/>
      </c>
    </row>
    <row r="273" ht="14.25" customHeight="1">
      <c r="A273" s="1" t="s">
        <v>381</v>
      </c>
      <c r="B273" s="1">
        <v>7.7</v>
      </c>
      <c r="C273" s="4" t="str">
        <f>IFERROR(__xludf.DUMMYFUNCTION("""COMPUTED_VALUE"""),"Clay Kaytis")</f>
        <v>Clay Kaytis</v>
      </c>
      <c r="D273" s="4">
        <f t="array" ref="D273">IFERROR(AVERAGEIFS($B$2:$B$3757, $A$2:$A$3757, C273:C4027), "")</f>
        <v>6.3</v>
      </c>
      <c r="E273" s="4">
        <f t="shared" si="1"/>
        <v>45.3</v>
      </c>
      <c r="F273" s="4" t="str">
        <f t="array" ref="F273">IF(D273&gt;=_xlfn.PERCENTILE.INC(D273:D1931, 0.9), "High", "Low")</f>
        <v>Low</v>
      </c>
      <c r="L273" s="4" t="str">
        <f t="shared" si="2"/>
        <v/>
      </c>
    </row>
    <row r="274" ht="14.25" customHeight="1">
      <c r="A274" s="1" t="s">
        <v>1200</v>
      </c>
      <c r="B274" s="1">
        <v>7.4</v>
      </c>
      <c r="C274" s="4" t="str">
        <f>IFERROR(__xludf.DUMMYFUNCTION("""COMPUTED_VALUE"""),"Judd Apatow")</f>
        <v>Judd Apatow</v>
      </c>
      <c r="D274" s="4">
        <f t="array" ref="D274">IFERROR(AVERAGEIFS($B$2:$B$3757, $A$2:$A$3757, C274:C4028), "")</f>
        <v>6.6</v>
      </c>
      <c r="E274" s="4">
        <f t="shared" si="1"/>
        <v>57.8</v>
      </c>
      <c r="F274" s="4" t="str">
        <f t="array" ref="F274">IF(D274&gt;=_xlfn.PERCENTILE.INC(D274:D1932, 0.9), "High", "Low")</f>
        <v>Low</v>
      </c>
      <c r="L274" s="4" t="str">
        <f t="shared" si="2"/>
        <v/>
      </c>
    </row>
    <row r="275" ht="14.25" customHeight="1">
      <c r="A275" s="1" t="s">
        <v>305</v>
      </c>
      <c r="B275" s="1">
        <v>8.0</v>
      </c>
      <c r="C275" s="4" t="str">
        <f>IFERROR(__xludf.DUMMYFUNCTION("""COMPUTED_VALUE"""),"Steve Carr")</f>
        <v>Steve Carr</v>
      </c>
      <c r="D275" s="4">
        <f t="array" ref="D275">IFERROR(AVERAGEIFS($B$2:$B$3757, $A$2:$A$3757, C275:C4029), "")</f>
        <v>5.35</v>
      </c>
      <c r="E275" s="4">
        <f t="shared" si="1"/>
        <v>17.1</v>
      </c>
      <c r="F275" s="4" t="str">
        <f t="array" ref="F275">IF(D275&gt;=_xlfn.PERCENTILE.INC(D275:D1933, 0.9), "High", "Low")</f>
        <v>Low</v>
      </c>
      <c r="L275" s="4" t="str">
        <f t="shared" si="2"/>
        <v/>
      </c>
    </row>
    <row r="276" ht="14.25" customHeight="1">
      <c r="A276" s="1" t="s">
        <v>247</v>
      </c>
      <c r="B276" s="1">
        <v>5.7</v>
      </c>
      <c r="C276" s="4" t="str">
        <f>IFERROR(__xludf.DUMMYFUNCTION("""COMPUTED_VALUE"""),"Mel Gibson")</f>
        <v>Mel Gibson</v>
      </c>
      <c r="D276" s="4">
        <f t="array" ref="D276">IFERROR(AVERAGEIFS($B$2:$B$3757, $A$2:$A$3757, C276:C4030), "")</f>
        <v>7.766666667</v>
      </c>
      <c r="E276" s="4">
        <f t="shared" si="1"/>
        <v>95.9</v>
      </c>
      <c r="F276" s="4" t="str">
        <f t="array" ref="F276">IF(D276&gt;=_xlfn.PERCENTILE.INC(D276:D1934, 0.9), "High", "Low")</f>
        <v>High</v>
      </c>
      <c r="L276" s="4" t="str">
        <f t="shared" si="2"/>
        <v/>
      </c>
    </row>
    <row r="277" ht="14.25" customHeight="1">
      <c r="A277" s="1" t="s">
        <v>27</v>
      </c>
      <c r="B277" s="1">
        <v>8.5</v>
      </c>
      <c r="C277" s="4" t="str">
        <f>IFERROR(__xludf.DUMMYFUNCTION("""COMPUTED_VALUE"""),"David Silverman")</f>
        <v>David Silverman</v>
      </c>
      <c r="D277" s="4">
        <f t="array" ref="D277">IFERROR(AVERAGEIFS($B$2:$B$3757, $A$2:$A$3757, C277:C4031), "")</f>
        <v>7.4</v>
      </c>
      <c r="E277" s="4">
        <f t="shared" si="1"/>
        <v>88</v>
      </c>
      <c r="F277" s="4" t="str">
        <f t="array" ref="F277">IF(D277&gt;=_xlfn.PERCENTILE.INC(D277:D1935, 0.9), "High", "Low")</f>
        <v>Low</v>
      </c>
      <c r="L277" s="4" t="str">
        <f t="shared" si="2"/>
        <v/>
      </c>
    </row>
    <row r="278" ht="14.25" customHeight="1">
      <c r="A278" s="1" t="s">
        <v>1555</v>
      </c>
      <c r="B278" s="1">
        <v>7.0</v>
      </c>
      <c r="C278" s="4" t="str">
        <f>IFERROR(__xludf.DUMMYFUNCTION("""COMPUTED_VALUE"""),"Frank Darabont")</f>
        <v>Frank Darabont</v>
      </c>
      <c r="D278" s="4">
        <f t="array" ref="D278">IFERROR(AVERAGEIFS($B$2:$B$3757, $A$2:$A$3757, C278:C4032), "")</f>
        <v>7.975</v>
      </c>
      <c r="E278" s="4">
        <f t="shared" si="1"/>
        <v>97.8</v>
      </c>
      <c r="F278" s="4" t="str">
        <f t="array" ref="F278">IF(D278&gt;=_xlfn.PERCENTILE.INC(D278:D1936, 0.9), "High", "Low")</f>
        <v>High</v>
      </c>
      <c r="L278" s="4" t="str">
        <f t="shared" si="2"/>
        <v/>
      </c>
    </row>
    <row r="279" ht="14.25" customHeight="1">
      <c r="A279" s="1" t="s">
        <v>179</v>
      </c>
      <c r="B279" s="1">
        <v>7.8</v>
      </c>
      <c r="C279" s="4" t="str">
        <f>IFERROR(__xludf.DUMMYFUNCTION("""COMPUTED_VALUE"""),"Betty Thomas")</f>
        <v>Betty Thomas</v>
      </c>
      <c r="D279" s="4">
        <f t="array" ref="D279">IFERROR(AVERAGEIFS($B$2:$B$3757, $A$2:$A$3757, C279:C4033), "")</f>
        <v>5.3</v>
      </c>
      <c r="E279" s="4">
        <f t="shared" si="1"/>
        <v>17</v>
      </c>
      <c r="F279" s="4" t="str">
        <f t="array" ref="F279">IF(D279&gt;=_xlfn.PERCENTILE.INC(D279:D1937, 0.9), "High", "Low")</f>
        <v>Low</v>
      </c>
      <c r="L279" s="4" t="str">
        <f t="shared" si="2"/>
        <v/>
      </c>
    </row>
    <row r="280" ht="14.25" customHeight="1">
      <c r="A280" s="1" t="s">
        <v>27</v>
      </c>
      <c r="B280" s="1">
        <v>7.2</v>
      </c>
      <c r="C280" s="4" t="str">
        <f>IFERROR(__xludf.DUMMYFUNCTION("""COMPUTED_VALUE"""),"Garry Marshall")</f>
        <v>Garry Marshall</v>
      </c>
      <c r="D280" s="4">
        <f t="array" ref="D280">IFERROR(AVERAGEIFS($B$2:$B$3757, $A$2:$A$3757, C280:C4034), "")</f>
        <v>5.95</v>
      </c>
      <c r="E280" s="4">
        <f t="shared" si="1"/>
        <v>33.7</v>
      </c>
      <c r="F280" s="4" t="str">
        <f t="array" ref="F280">IF(D280&gt;=_xlfn.PERCENTILE.INC(D280:D1938, 0.9), "High", "Low")</f>
        <v>Low</v>
      </c>
      <c r="L280" s="4" t="str">
        <f t="shared" si="2"/>
        <v/>
      </c>
    </row>
    <row r="281" ht="14.25" customHeight="1">
      <c r="A281" s="1" t="s">
        <v>1656</v>
      </c>
      <c r="B281" s="1">
        <v>6.4</v>
      </c>
      <c r="C281" s="4" t="str">
        <f>IFERROR(__xludf.DUMMYFUNCTION("""COMPUTED_VALUE"""),"Paul Tibbitt")</f>
        <v>Paul Tibbitt</v>
      </c>
      <c r="D281" s="4">
        <f t="array" ref="D281">IFERROR(AVERAGEIFS($B$2:$B$3757, $A$2:$A$3757, C281:C4035), "")</f>
        <v>6</v>
      </c>
      <c r="E281" s="4">
        <f t="shared" si="1"/>
        <v>34.4</v>
      </c>
      <c r="F281" s="4" t="str">
        <f t="array" ref="F281">IF(D281&gt;=_xlfn.PERCENTILE.INC(D281:D1939, 0.9), "High", "Low")</f>
        <v>Low</v>
      </c>
      <c r="L281" s="4" t="str">
        <f t="shared" si="2"/>
        <v/>
      </c>
    </row>
    <row r="282" ht="14.25" customHeight="1">
      <c r="A282" s="1" t="s">
        <v>1661</v>
      </c>
      <c r="B282" s="1">
        <v>5.5</v>
      </c>
      <c r="C282" s="4" t="str">
        <f>IFERROR(__xludf.DUMMYFUNCTION("""COMPUTED_VALUE"""),"Clark Johnson")</f>
        <v>Clark Johnson</v>
      </c>
      <c r="D282" s="4">
        <f t="array" ref="D282">IFERROR(AVERAGEIFS($B$2:$B$3757, $A$2:$A$3757, C282:C4036), "")</f>
        <v>6.05</v>
      </c>
      <c r="E282" s="4">
        <f t="shared" si="1"/>
        <v>37.3</v>
      </c>
      <c r="F282" s="4" t="str">
        <f t="array" ref="F282">IF(D282&gt;=_xlfn.PERCENTILE.INC(D282:D1940, 0.9), "High", "Low")</f>
        <v>Low</v>
      </c>
      <c r="L282" s="4" t="str">
        <f t="shared" si="2"/>
        <v/>
      </c>
    </row>
    <row r="283" ht="14.25" customHeight="1">
      <c r="A283" s="1" t="s">
        <v>1668</v>
      </c>
      <c r="B283" s="1">
        <v>6.7</v>
      </c>
      <c r="C283" s="4" t="str">
        <f>IFERROR(__xludf.DUMMYFUNCTION("""COMPUTED_VALUE"""),"Cameron Crowe")</f>
        <v>Cameron Crowe</v>
      </c>
      <c r="D283" s="4">
        <f t="array" ref="D283">IFERROR(AVERAGEIFS($B$2:$B$3757, $A$2:$A$3757, C283:C4037), "")</f>
        <v>6.55</v>
      </c>
      <c r="E283" s="4">
        <f t="shared" si="1"/>
        <v>57.4</v>
      </c>
      <c r="F283" s="4" t="str">
        <f t="array" ref="F283">IF(D283&gt;=_xlfn.PERCENTILE.INC(D283:D1941, 0.9), "High", "Low")</f>
        <v>Low</v>
      </c>
      <c r="L283" s="4" t="str">
        <f t="shared" si="2"/>
        <v/>
      </c>
    </row>
    <row r="284" ht="14.25" customHeight="1">
      <c r="A284" s="1" t="s">
        <v>1674</v>
      </c>
      <c r="B284" s="1">
        <v>6.1</v>
      </c>
      <c r="C284" s="4" t="str">
        <f>IFERROR(__xludf.DUMMYFUNCTION("""COMPUTED_VALUE"""),"Randall Wallace")</f>
        <v>Randall Wallace</v>
      </c>
      <c r="D284" s="4">
        <f t="array" ref="D284">IFERROR(AVERAGEIFS($B$2:$B$3757, $A$2:$A$3757, C284:C4038), "")</f>
        <v>6.9</v>
      </c>
      <c r="E284" s="4">
        <f t="shared" si="1"/>
        <v>70.2</v>
      </c>
      <c r="F284" s="4" t="str">
        <f t="array" ref="F284">IF(D284&gt;=_xlfn.PERCENTILE.INC(D284:D1942, 0.9), "High", "Low")</f>
        <v>Low</v>
      </c>
      <c r="L284" s="4" t="str">
        <f t="shared" si="2"/>
        <v/>
      </c>
    </row>
    <row r="285" ht="14.25" customHeight="1">
      <c r="A285" s="1" t="s">
        <v>1681</v>
      </c>
      <c r="B285" s="1">
        <v>8.5</v>
      </c>
      <c r="C285" s="4" t="str">
        <f>IFERROR(__xludf.DUMMYFUNCTION("""COMPUTED_VALUE"""),"Jonathan Frakes")</f>
        <v>Jonathan Frakes</v>
      </c>
      <c r="D285" s="4">
        <f t="array" ref="D285">IFERROR(AVERAGEIFS($B$2:$B$3757, $A$2:$A$3757, C285:C4039), "")</f>
        <v>5.85</v>
      </c>
      <c r="E285" s="4">
        <f t="shared" si="1"/>
        <v>30.2</v>
      </c>
      <c r="F285" s="4" t="str">
        <f t="array" ref="F285">IF(D285&gt;=_xlfn.PERCENTILE.INC(D285:D1943, 0.9), "High", "Low")</f>
        <v>Low</v>
      </c>
      <c r="L285" s="4" t="str">
        <f t="shared" si="2"/>
        <v/>
      </c>
    </row>
    <row r="286" ht="14.25" customHeight="1">
      <c r="A286" s="1" t="s">
        <v>1686</v>
      </c>
      <c r="B286" s="1">
        <v>6.9</v>
      </c>
      <c r="C286" s="4" t="str">
        <f>IFERROR(__xludf.DUMMYFUNCTION("""COMPUTED_VALUE"""),"George Clooney")</f>
        <v>George Clooney</v>
      </c>
      <c r="D286" s="4">
        <f t="array" ref="D286">IFERROR(AVERAGEIFS($B$2:$B$3757, $A$2:$A$3757, C286:C4040), "")</f>
        <v>6.675</v>
      </c>
      <c r="E286" s="4">
        <f t="shared" si="1"/>
        <v>61.8</v>
      </c>
      <c r="F286" s="4" t="str">
        <f t="array" ref="F286">IF(D286&gt;=_xlfn.PERCENTILE.INC(D286:D1944, 0.9), "High", "Low")</f>
        <v>Low</v>
      </c>
      <c r="L286" s="4" t="str">
        <f t="shared" si="2"/>
        <v/>
      </c>
    </row>
    <row r="287" ht="14.25" customHeight="1">
      <c r="A287" s="1" t="s">
        <v>1693</v>
      </c>
      <c r="B287" s="1">
        <v>7.3</v>
      </c>
      <c r="C287" s="4" t="str">
        <f>IFERROR(__xludf.DUMMYFUNCTION("""COMPUTED_VALUE"""),"Gary Shore")</f>
        <v>Gary Shore</v>
      </c>
      <c r="D287" s="4">
        <f t="array" ref="D287">IFERROR(AVERAGEIFS($B$2:$B$3757, $A$2:$A$3757, C287:C4041), "")</f>
        <v>6.3</v>
      </c>
      <c r="E287" s="4">
        <f t="shared" si="1"/>
        <v>45.3</v>
      </c>
      <c r="F287" s="4" t="str">
        <f t="array" ref="F287">IF(D287&gt;=_xlfn.PERCENTILE.INC(D287:D1945, 0.9), "High", "Low")</f>
        <v>Low</v>
      </c>
      <c r="L287" s="4" t="str">
        <f t="shared" si="2"/>
        <v/>
      </c>
    </row>
    <row r="288" ht="14.25" customHeight="1">
      <c r="A288" s="1" t="s">
        <v>1700</v>
      </c>
      <c r="B288" s="1">
        <v>6.7</v>
      </c>
      <c r="C288" s="4" t="str">
        <f>IFERROR(__xludf.DUMMYFUNCTION("""COMPUTED_VALUE"""),"Andrzej Bartkowiak")</f>
        <v>Andrzej Bartkowiak</v>
      </c>
      <c r="D288" s="4">
        <f t="array" ref="D288">IFERROR(AVERAGEIFS($B$2:$B$3757, $A$2:$A$3757, C288:C4042), "")</f>
        <v>5.26</v>
      </c>
      <c r="E288" s="4">
        <f t="shared" si="1"/>
        <v>14.3</v>
      </c>
      <c r="F288" s="4" t="str">
        <f t="array" ref="F288">IF(D288&gt;=_xlfn.PERCENTILE.INC(D288:D1946, 0.9), "High", "Low")</f>
        <v>Low</v>
      </c>
      <c r="L288" s="4" t="str">
        <f t="shared" si="2"/>
        <v/>
      </c>
    </row>
    <row r="289" ht="14.25" customHeight="1">
      <c r="A289" s="1" t="s">
        <v>666</v>
      </c>
      <c r="B289" s="1">
        <v>6.9</v>
      </c>
      <c r="C289" s="4" t="str">
        <f>IFERROR(__xludf.DUMMYFUNCTION("""COMPUTED_VALUE"""),"MÃ¥ns MÃ¥rlind")</f>
        <v>MÃ¥ns MÃ¥rlind</v>
      </c>
      <c r="D289" s="4">
        <f t="array" ref="D289">IFERROR(AVERAGEIFS($B$2:$B$3757, $A$2:$A$3757, C289:C4043), "")</f>
        <v>6.4</v>
      </c>
      <c r="E289" s="4">
        <f t="shared" si="1"/>
        <v>49.2</v>
      </c>
      <c r="F289" s="4" t="str">
        <f t="array" ref="F289">IF(D289&gt;=_xlfn.PERCENTILE.INC(D289:D1947, 0.9), "High", "Low")</f>
        <v>Low</v>
      </c>
      <c r="L289" s="4" t="str">
        <f t="shared" si="2"/>
        <v/>
      </c>
    </row>
    <row r="290" ht="14.25" customHeight="1">
      <c r="A290" s="1" t="s">
        <v>1711</v>
      </c>
      <c r="B290" s="1">
        <v>5.1</v>
      </c>
      <c r="C290" s="4" t="str">
        <f>IFERROR(__xludf.DUMMYFUNCTION("""COMPUTED_VALUE"""),"Gregory Hoblit")</f>
        <v>Gregory Hoblit</v>
      </c>
      <c r="D290" s="4">
        <f t="array" ref="D290">IFERROR(AVERAGEIFS($B$2:$B$3757, $A$2:$A$3757, C290:C4044), "")</f>
        <v>6.6</v>
      </c>
      <c r="E290" s="4">
        <f t="shared" si="1"/>
        <v>60.7</v>
      </c>
      <c r="F290" s="4" t="str">
        <f t="array" ref="F290">IF(D290&gt;=_xlfn.PERCENTILE.INC(D290:D1948, 0.9), "High", "Low")</f>
        <v>Low</v>
      </c>
      <c r="L290" s="4" t="str">
        <f t="shared" si="2"/>
        <v/>
      </c>
    </row>
    <row r="291" ht="14.25" customHeight="1">
      <c r="A291" s="1" t="s">
        <v>1717</v>
      </c>
      <c r="B291" s="1">
        <v>6.8</v>
      </c>
      <c r="C291" s="4" t="str">
        <f>IFERROR(__xludf.DUMMYFUNCTION("""COMPUTED_VALUE"""),"Gary McKendry")</f>
        <v>Gary McKendry</v>
      </c>
      <c r="D291" s="4">
        <f t="array" ref="D291">IFERROR(AVERAGEIFS($B$2:$B$3757, $A$2:$A$3757, C291:C4045), "")</f>
        <v>6.5</v>
      </c>
      <c r="E291" s="4">
        <f t="shared" si="1"/>
        <v>53.4</v>
      </c>
      <c r="F291" s="4" t="str">
        <f t="array" ref="F291">IF(D291&gt;=_xlfn.PERCENTILE.INC(D291:D1949, 0.9), "High", "Low")</f>
        <v>Low</v>
      </c>
      <c r="L291" s="4" t="str">
        <f t="shared" si="2"/>
        <v/>
      </c>
    </row>
    <row r="292" ht="14.25" customHeight="1">
      <c r="A292" s="1" t="s">
        <v>903</v>
      </c>
      <c r="B292" s="1">
        <v>5.8</v>
      </c>
      <c r="C292" s="4" t="str">
        <f>IFERROR(__xludf.DUMMYFUNCTION("""COMPUTED_VALUE"""),"Wych Kaosayananda")</f>
        <v>Wych Kaosayananda</v>
      </c>
      <c r="D292" s="4">
        <f t="array" ref="D292">IFERROR(AVERAGEIFS($B$2:$B$3757, $A$2:$A$3757, C292:C4046), "")</f>
        <v>3.6</v>
      </c>
      <c r="E292" s="4">
        <f t="shared" si="1"/>
        <v>2.3</v>
      </c>
      <c r="F292" s="4" t="str">
        <f t="array" ref="F292">IF(D292&gt;=_xlfn.PERCENTILE.INC(D292:D1950, 0.9), "High", "Low")</f>
        <v>Low</v>
      </c>
      <c r="L292" s="4" t="str">
        <f t="shared" si="2"/>
        <v/>
      </c>
    </row>
    <row r="293" ht="14.25" customHeight="1">
      <c r="A293" s="1" t="s">
        <v>1724</v>
      </c>
      <c r="B293" s="1">
        <v>6.7</v>
      </c>
      <c r="C293" s="4" t="str">
        <f>IFERROR(__xludf.DUMMYFUNCTION("""COMPUTED_VALUE"""),"Mikael Salomon")</f>
        <v>Mikael Salomon</v>
      </c>
      <c r="D293" s="4">
        <f t="array" ref="D293">IFERROR(AVERAGEIFS($B$2:$B$3757, $A$2:$A$3757, C293:C4047), "")</f>
        <v>5.8</v>
      </c>
      <c r="E293" s="4">
        <f t="shared" si="1"/>
        <v>28</v>
      </c>
      <c r="F293" s="4" t="str">
        <f t="array" ref="F293">IF(D293&gt;=_xlfn.PERCENTILE.INC(D293:D1951, 0.9), "High", "Low")</f>
        <v>Low</v>
      </c>
      <c r="L293" s="4" t="str">
        <f t="shared" si="2"/>
        <v/>
      </c>
    </row>
    <row r="294" ht="14.25" customHeight="1">
      <c r="A294" s="1" t="s">
        <v>1730</v>
      </c>
      <c r="B294" s="1">
        <v>6.0</v>
      </c>
      <c r="C294" s="4" t="str">
        <f>IFERROR(__xludf.DUMMYFUNCTION("""COMPUTED_VALUE"""),"Bobby Farrelly")</f>
        <v>Bobby Farrelly</v>
      </c>
      <c r="D294" s="4">
        <f t="array" ref="D294">IFERROR(AVERAGEIFS($B$2:$B$3757, $A$2:$A$3757, C294:C4048), "")</f>
        <v>6.244444444</v>
      </c>
      <c r="E294" s="4">
        <f t="shared" si="1"/>
        <v>45.1</v>
      </c>
      <c r="F294" s="4" t="str">
        <f t="array" ref="F294">IF(D294&gt;=_xlfn.PERCENTILE.INC(D294:D1952, 0.9), "High", "Low")</f>
        <v>Low</v>
      </c>
      <c r="L294" s="4" t="str">
        <f t="shared" si="2"/>
        <v/>
      </c>
    </row>
    <row r="295" ht="14.25" customHeight="1">
      <c r="A295" s="1" t="s">
        <v>1736</v>
      </c>
      <c r="B295" s="1">
        <v>5.7</v>
      </c>
      <c r="C295" s="4" t="str">
        <f>IFERROR(__xludf.DUMMYFUNCTION("""COMPUTED_VALUE"""),"Kerry Conran")</f>
        <v>Kerry Conran</v>
      </c>
      <c r="D295" s="4">
        <f t="array" ref="D295">IFERROR(AVERAGEIFS($B$2:$B$3757, $A$2:$A$3757, C295:C4049), "")</f>
        <v>6.1</v>
      </c>
      <c r="E295" s="4">
        <f t="shared" si="1"/>
        <v>38.1</v>
      </c>
      <c r="F295" s="4" t="str">
        <f t="array" ref="F295">IF(D295&gt;=_xlfn.PERCENTILE.INC(D295:D1953, 0.9), "High", "Low")</f>
        <v>Low</v>
      </c>
      <c r="L295" s="4" t="str">
        <f t="shared" si="2"/>
        <v/>
      </c>
    </row>
    <row r="296" ht="14.25" customHeight="1">
      <c r="A296" s="1" t="s">
        <v>978</v>
      </c>
      <c r="B296" s="1">
        <v>8.0</v>
      </c>
      <c r="C296" s="4" t="str">
        <f>IFERROR(__xludf.DUMMYFUNCTION("""COMPUTED_VALUE"""),"Michael Caton-Jones")</f>
        <v>Michael Caton-Jones</v>
      </c>
      <c r="D296" s="4">
        <f t="array" ref="D296">IFERROR(AVERAGEIFS($B$2:$B$3757, $A$2:$A$3757, C296:C4050), "")</f>
        <v>5.9</v>
      </c>
      <c r="E296" s="4">
        <f t="shared" si="1"/>
        <v>30.3</v>
      </c>
      <c r="F296" s="4" t="str">
        <f t="array" ref="F296">IF(D296&gt;=_xlfn.PERCENTILE.INC(D296:D1954, 0.9), "High", "Low")</f>
        <v>Low</v>
      </c>
      <c r="L296" s="4" t="str">
        <f t="shared" si="2"/>
        <v/>
      </c>
    </row>
    <row r="297" ht="14.25" customHeight="1">
      <c r="A297" s="1" t="s">
        <v>472</v>
      </c>
      <c r="B297" s="1">
        <v>8.2</v>
      </c>
      <c r="C297" s="4" t="str">
        <f>IFERROR(__xludf.DUMMYFUNCTION("""COMPUTED_VALUE"""),"Mikael HÃ¥fstrÃ¶m")</f>
        <v>Mikael HÃ¥fstrÃ¶m</v>
      </c>
      <c r="D297" s="4">
        <f t="array" ref="D297">IFERROR(AVERAGEIFS($B$2:$B$3757, $A$2:$A$3757, C297:C4051), "")</f>
        <v>6.525</v>
      </c>
      <c r="E297" s="4">
        <f t="shared" si="1"/>
        <v>56.6</v>
      </c>
      <c r="F297" s="4" t="str">
        <f t="array" ref="F297">IF(D297&gt;=_xlfn.PERCENTILE.INC(D297:D1955, 0.9), "High", "Low")</f>
        <v>Low</v>
      </c>
      <c r="L297" s="4" t="str">
        <f t="shared" si="2"/>
        <v/>
      </c>
    </row>
    <row r="298" ht="14.25" customHeight="1">
      <c r="A298" s="1" t="s">
        <v>1268</v>
      </c>
      <c r="B298" s="1">
        <v>5.4</v>
      </c>
      <c r="C298" s="4" t="str">
        <f>IFERROR(__xludf.DUMMYFUNCTION("""COMPUTED_VALUE"""),"Phil Alden Robinson")</f>
        <v>Phil Alden Robinson</v>
      </c>
      <c r="D298" s="4">
        <f t="array" ref="D298">IFERROR(AVERAGEIFS($B$2:$B$3757, $A$2:$A$3757, C298:C4052), "")</f>
        <v>6.4</v>
      </c>
      <c r="E298" s="4">
        <f t="shared" si="1"/>
        <v>49.2</v>
      </c>
      <c r="F298" s="4" t="str">
        <f t="array" ref="F298">IF(D298&gt;=_xlfn.PERCENTILE.INC(D298:D1956, 0.9), "High", "Low")</f>
        <v>Low</v>
      </c>
      <c r="L298" s="4" t="str">
        <f t="shared" si="2"/>
        <v/>
      </c>
    </row>
    <row r="299" ht="14.25" customHeight="1">
      <c r="A299" s="1" t="s">
        <v>1248</v>
      </c>
      <c r="B299" s="1">
        <v>7.2</v>
      </c>
      <c r="C299" s="4" t="str">
        <f>IFERROR(__xludf.DUMMYFUNCTION("""COMPUTED_VALUE"""),"David Slade")</f>
        <v>David Slade</v>
      </c>
      <c r="D299" s="4">
        <f t="array" ref="D299">IFERROR(AVERAGEIFS($B$2:$B$3757, $A$2:$A$3757, C299:C4053), "")</f>
        <v>6.2</v>
      </c>
      <c r="E299" s="4">
        <f t="shared" si="1"/>
        <v>42.6</v>
      </c>
      <c r="F299" s="4" t="str">
        <f t="array" ref="F299">IF(D299&gt;=_xlfn.PERCENTILE.INC(D299:D1957, 0.9), "High", "Low")</f>
        <v>Low</v>
      </c>
      <c r="L299" s="4" t="str">
        <f t="shared" si="2"/>
        <v/>
      </c>
    </row>
    <row r="300" ht="14.25" customHeight="1">
      <c r="A300" s="1" t="s">
        <v>1764</v>
      </c>
      <c r="B300" s="1">
        <v>7.5</v>
      </c>
      <c r="C300" s="4" t="str">
        <f>IFERROR(__xludf.DUMMYFUNCTION("""COMPUTED_VALUE"""),"Joseph Ruben")</f>
        <v>Joseph Ruben</v>
      </c>
      <c r="D300" s="4">
        <f t="array" ref="D300">IFERROR(AVERAGEIFS($B$2:$B$3757, $A$2:$A$3757, C300:C4054), "")</f>
        <v>5.6</v>
      </c>
      <c r="E300" s="4">
        <f t="shared" si="1"/>
        <v>22.3</v>
      </c>
      <c r="F300" s="4" t="str">
        <f t="array" ref="F300">IF(D300&gt;=_xlfn.PERCENTILE.INC(D300:D1958, 0.9), "High", "Low")</f>
        <v>Low</v>
      </c>
      <c r="L300" s="4" t="str">
        <f t="shared" si="2"/>
        <v/>
      </c>
    </row>
    <row r="301" ht="14.25" customHeight="1">
      <c r="A301" s="1" t="s">
        <v>103</v>
      </c>
      <c r="B301" s="1">
        <v>7.0</v>
      </c>
      <c r="C301" s="4" t="str">
        <f>IFERROR(__xludf.DUMMYFUNCTION("""COMPUTED_VALUE"""),"Seth MacFarlane")</f>
        <v>Seth MacFarlane</v>
      </c>
      <c r="D301" s="4">
        <f t="array" ref="D301">IFERROR(AVERAGEIFS($B$2:$B$3757, $A$2:$A$3757, C301:C4055), "")</f>
        <v>6.5</v>
      </c>
      <c r="E301" s="4">
        <f t="shared" si="1"/>
        <v>53.2</v>
      </c>
      <c r="F301" s="4" t="str">
        <f t="array" ref="F301">IF(D301&gt;=_xlfn.PERCENTILE.INC(D301:D1959, 0.9), "High", "Low")</f>
        <v>Low</v>
      </c>
      <c r="L301" s="4" t="str">
        <f t="shared" si="2"/>
        <v/>
      </c>
    </row>
    <row r="302" ht="14.25" customHeight="1">
      <c r="A302" s="1" t="s">
        <v>1775</v>
      </c>
      <c r="B302" s="1">
        <v>3.3</v>
      </c>
      <c r="C302" s="4" t="str">
        <f>IFERROR(__xludf.DUMMYFUNCTION("""COMPUTED_VALUE"""),"Alejandro AmenÃ¡bar")</f>
        <v>Alejandro AmenÃ¡bar</v>
      </c>
      <c r="D302" s="4">
        <f t="array" ref="D302">IFERROR(AVERAGEIFS($B$2:$B$3757, $A$2:$A$3757, C302:C4056), "")</f>
        <v>7.633333333</v>
      </c>
      <c r="E302" s="4">
        <f t="shared" si="1"/>
        <v>93.4</v>
      </c>
      <c r="F302" s="4" t="str">
        <f t="array" ref="F302">IF(D302&gt;=_xlfn.PERCENTILE.INC(D302:D1960, 0.9), "High", "Low")</f>
        <v>High</v>
      </c>
      <c r="L302" s="4" t="str">
        <f t="shared" si="2"/>
        <v/>
      </c>
    </row>
    <row r="303" ht="14.25" customHeight="1">
      <c r="A303" s="1" t="s">
        <v>252</v>
      </c>
      <c r="B303" s="1">
        <v>6.0</v>
      </c>
      <c r="C303" s="4" t="str">
        <f>IFERROR(__xludf.DUMMYFUNCTION("""COMPUTED_VALUE"""),"Kinka Usher")</f>
        <v>Kinka Usher</v>
      </c>
      <c r="D303" s="4">
        <f t="array" ref="D303">IFERROR(AVERAGEIFS($B$2:$B$3757, $A$2:$A$3757, C303:C4057), "")</f>
        <v>6</v>
      </c>
      <c r="E303" s="4">
        <f t="shared" si="1"/>
        <v>34.5</v>
      </c>
      <c r="F303" s="4" t="str">
        <f t="array" ref="F303">IF(D303&gt;=_xlfn.PERCENTILE.INC(D303:D1961, 0.9), "High", "Low")</f>
        <v>Low</v>
      </c>
      <c r="L303" s="4" t="str">
        <f t="shared" si="2"/>
        <v/>
      </c>
    </row>
    <row r="304" ht="14.25" customHeight="1">
      <c r="A304" s="1" t="s">
        <v>1580</v>
      </c>
      <c r="B304" s="1">
        <v>7.1</v>
      </c>
      <c r="C304" s="4" t="str">
        <f>IFERROR(__xludf.DUMMYFUNCTION("""COMPUTED_VALUE"""),"Rob Bowman")</f>
        <v>Rob Bowman</v>
      </c>
      <c r="D304" s="4">
        <f t="array" ref="D304">IFERROR(AVERAGEIFS($B$2:$B$3757, $A$2:$A$3757, C304:C4058), "")</f>
        <v>6.05</v>
      </c>
      <c r="E304" s="4">
        <f t="shared" si="1"/>
        <v>37.4</v>
      </c>
      <c r="F304" s="4" t="str">
        <f t="array" ref="F304">IF(D304&gt;=_xlfn.PERCENTILE.INC(D304:D1962, 0.9), "High", "Low")</f>
        <v>Low</v>
      </c>
      <c r="L304" s="4" t="str">
        <f t="shared" si="2"/>
        <v/>
      </c>
    </row>
    <row r="305" ht="14.25" customHeight="1">
      <c r="A305" s="1" t="s">
        <v>1790</v>
      </c>
      <c r="B305" s="1">
        <v>5.4</v>
      </c>
      <c r="C305" s="4" t="str">
        <f>IFERROR(__xludf.DUMMYFUNCTION("""COMPUTED_VALUE"""),"Doug Lefler")</f>
        <v>Doug Lefler</v>
      </c>
      <c r="D305" s="4">
        <f t="array" ref="D305">IFERROR(AVERAGEIFS($B$2:$B$3757, $A$2:$A$3757, C305:C4059), "")</f>
        <v>5.4</v>
      </c>
      <c r="E305" s="4">
        <f t="shared" si="1"/>
        <v>17.4</v>
      </c>
      <c r="F305" s="4" t="str">
        <f t="array" ref="F305">IF(D305&gt;=_xlfn.PERCENTILE.INC(D305:D1963, 0.9), "High", "Low")</f>
        <v>Low</v>
      </c>
      <c r="L305" s="4" t="str">
        <f t="shared" si="2"/>
        <v/>
      </c>
    </row>
    <row r="306" ht="14.25" customHeight="1">
      <c r="A306" s="1" t="s">
        <v>1797</v>
      </c>
      <c r="B306" s="1">
        <v>6.1</v>
      </c>
      <c r="C306" s="4" t="str">
        <f>IFERROR(__xludf.DUMMYFUNCTION("""COMPUTED_VALUE"""),"Scott Waugh")</f>
        <v>Scott Waugh</v>
      </c>
      <c r="D306" s="4">
        <f t="array" ref="D306">IFERROR(AVERAGEIFS($B$2:$B$3757, $A$2:$A$3757, C306:C4060), "")</f>
        <v>6.5</v>
      </c>
      <c r="E306" s="4">
        <f t="shared" si="1"/>
        <v>53.1</v>
      </c>
      <c r="F306" s="4" t="str">
        <f t="array" ref="F306">IF(D306&gt;=_xlfn.PERCENTILE.INC(D306:D1964, 0.9), "High", "Low")</f>
        <v>Low</v>
      </c>
      <c r="L306" s="4" t="str">
        <f t="shared" si="2"/>
        <v/>
      </c>
    </row>
    <row r="307" ht="14.25" customHeight="1">
      <c r="A307" s="1" t="s">
        <v>1801</v>
      </c>
      <c r="B307" s="1">
        <v>5.3</v>
      </c>
      <c r="C307" s="4" t="str">
        <f>IFERROR(__xludf.DUMMYFUNCTION("""COMPUTED_VALUE"""),"Lawrence Kasdan")</f>
        <v>Lawrence Kasdan</v>
      </c>
      <c r="D307" s="4">
        <f t="array" ref="D307">IFERROR(AVERAGEIFS($B$2:$B$3757, $A$2:$A$3757, C307:C4061), "")</f>
        <v>6.55</v>
      </c>
      <c r="E307" s="4">
        <f t="shared" si="1"/>
        <v>56.6</v>
      </c>
      <c r="F307" s="4" t="str">
        <f t="array" ref="F307">IF(D307&gt;=_xlfn.PERCENTILE.INC(D307:D1965, 0.9), "High", "Low")</f>
        <v>Low</v>
      </c>
      <c r="L307" s="4" t="str">
        <f t="shared" si="2"/>
        <v/>
      </c>
    </row>
    <row r="308" ht="14.25" customHeight="1">
      <c r="A308" s="1" t="s">
        <v>1806</v>
      </c>
      <c r="B308" s="1">
        <v>2.2</v>
      </c>
      <c r="C308" s="4" t="str">
        <f>IFERROR(__xludf.DUMMYFUNCTION("""COMPUTED_VALUE"""),"Michael Lembeck")</f>
        <v>Michael Lembeck</v>
      </c>
      <c r="D308" s="4">
        <f t="array" ref="D308">IFERROR(AVERAGEIFS($B$2:$B$3757, $A$2:$A$3757, C308:C4062), "")</f>
        <v>5.9</v>
      </c>
      <c r="E308" s="4">
        <f t="shared" si="1"/>
        <v>30.4</v>
      </c>
      <c r="F308" s="4" t="str">
        <f t="array" ref="F308">IF(D308&gt;=_xlfn.PERCENTILE.INC(D308:D1966, 0.9), "High", "Low")</f>
        <v>Low</v>
      </c>
      <c r="L308" s="4" t="str">
        <f t="shared" si="2"/>
        <v/>
      </c>
    </row>
    <row r="309" ht="14.25" customHeight="1">
      <c r="A309" s="1" t="s">
        <v>813</v>
      </c>
      <c r="B309" s="1">
        <v>7.0</v>
      </c>
      <c r="C309" s="4" t="str">
        <f>IFERROR(__xludf.DUMMYFUNCTION("""COMPUTED_VALUE"""),"Tom Hooper")</f>
        <v>Tom Hooper</v>
      </c>
      <c r="D309" s="4">
        <f t="array" ref="D309">IFERROR(AVERAGEIFS($B$2:$B$3757, $A$2:$A$3757, C309:C4063), "")</f>
        <v>7.733333333</v>
      </c>
      <c r="E309" s="4">
        <f t="shared" si="1"/>
        <v>95.6</v>
      </c>
      <c r="F309" s="4" t="str">
        <f t="array" ref="F309">IF(D309&gt;=_xlfn.PERCENTILE.INC(D309:D1967, 0.9), "High", "Low")</f>
        <v>High</v>
      </c>
      <c r="L309" s="4" t="str">
        <f t="shared" si="2"/>
        <v/>
      </c>
    </row>
    <row r="310" ht="14.25" customHeight="1">
      <c r="A310" s="1" t="s">
        <v>1819</v>
      </c>
      <c r="B310" s="1">
        <v>3.8</v>
      </c>
      <c r="C310" s="4" t="str">
        <f>IFERROR(__xludf.DUMMYFUNCTION("""COMPUTED_VALUE"""),"Nora Ephron")</f>
        <v>Nora Ephron</v>
      </c>
      <c r="D310" s="4">
        <f t="array" ref="D310">IFERROR(AVERAGEIFS($B$2:$B$3757, $A$2:$A$3757, C310:C4064), "")</f>
        <v>6.166666667</v>
      </c>
      <c r="E310" s="4">
        <f t="shared" si="1"/>
        <v>42.2</v>
      </c>
      <c r="F310" s="4" t="str">
        <f t="array" ref="F310">IF(D310&gt;=_xlfn.PERCENTILE.INC(D310:D1968, 0.9), "High", "Low")</f>
        <v>Low</v>
      </c>
      <c r="L310" s="4" t="str">
        <f t="shared" si="2"/>
        <v/>
      </c>
    </row>
    <row r="311" ht="14.25" customHeight="1">
      <c r="A311" s="1" t="s">
        <v>1110</v>
      </c>
      <c r="B311" s="1">
        <v>6.9</v>
      </c>
      <c r="C311" s="4" t="str">
        <f>IFERROR(__xludf.DUMMYFUNCTION("""COMPUTED_VALUE"""),"Angelina Jolie Pitt")</f>
        <v>Angelina Jolie Pitt</v>
      </c>
      <c r="D311" s="4">
        <f t="array" ref="D311">IFERROR(AVERAGEIFS($B$2:$B$3757, $A$2:$A$3757, C311:C4065), "")</f>
        <v>6</v>
      </c>
      <c r="E311" s="4">
        <f t="shared" si="1"/>
        <v>34.6</v>
      </c>
      <c r="F311" s="4" t="str">
        <f t="array" ref="F311">IF(D311&gt;=_xlfn.PERCENTILE.INC(D311:D1969, 0.9), "High", "Low")</f>
        <v>Low</v>
      </c>
      <c r="L311" s="4" t="str">
        <f t="shared" si="2"/>
        <v/>
      </c>
    </row>
    <row r="312" ht="14.25" customHeight="1">
      <c r="A312" s="1" t="s">
        <v>1833</v>
      </c>
      <c r="B312" s="1">
        <v>7.2</v>
      </c>
      <c r="C312" s="4" t="str">
        <f>IFERROR(__xludf.DUMMYFUNCTION("""COMPUTED_VALUE"""),"Clint Eastwood")</f>
        <v>Clint Eastwood</v>
      </c>
      <c r="D312" s="4">
        <f t="array" ref="D312">IFERROR(AVERAGEIFS($B$2:$B$3757, $A$2:$A$3757, C312:C4066), "")</f>
        <v>7.205263158</v>
      </c>
      <c r="E312" s="4">
        <f t="shared" si="1"/>
        <v>85.2</v>
      </c>
      <c r="F312" s="4" t="str">
        <f t="array" ref="F312">IF(D312&gt;=_xlfn.PERCENTILE.INC(D312:D1970, 0.9), "High", "Low")</f>
        <v>Low</v>
      </c>
      <c r="L312" s="4" t="str">
        <f t="shared" si="2"/>
        <v/>
      </c>
    </row>
    <row r="313" ht="14.25" customHeight="1">
      <c r="A313" s="1" t="s">
        <v>1840</v>
      </c>
      <c r="B313" s="1">
        <v>7.3</v>
      </c>
      <c r="C313" s="4" t="str">
        <f>IFERROR(__xludf.DUMMYFUNCTION("""COMPUTED_VALUE"""),"Larry Charles")</f>
        <v>Larry Charles</v>
      </c>
      <c r="D313" s="4">
        <f t="array" ref="D313">IFERROR(AVERAGEIFS($B$2:$B$3757, $A$2:$A$3757, C313:C4067), "")</f>
        <v>6.8</v>
      </c>
      <c r="E313" s="4">
        <f t="shared" si="1"/>
        <v>65.5</v>
      </c>
      <c r="F313" s="4" t="str">
        <f t="array" ref="F313">IF(D313&gt;=_xlfn.PERCENTILE.INC(D313:D1971, 0.9), "High", "Low")</f>
        <v>Low</v>
      </c>
      <c r="L313" s="4" t="str">
        <f t="shared" si="2"/>
        <v/>
      </c>
    </row>
    <row r="314" ht="14.25" customHeight="1">
      <c r="A314" s="1" t="s">
        <v>520</v>
      </c>
      <c r="B314" s="1">
        <v>6.3</v>
      </c>
      <c r="C314" s="4" t="str">
        <f>IFERROR(__xludf.DUMMYFUNCTION("""COMPUTED_VALUE"""),"Stanley Kubrick")</f>
        <v>Stanley Kubrick</v>
      </c>
      <c r="D314" s="4">
        <f t="array" ref="D314">IFERROR(AVERAGEIFS($B$2:$B$3757, $A$2:$A$3757, C314:C4068), "")</f>
        <v>7.8</v>
      </c>
      <c r="E314" s="4">
        <f t="shared" si="1"/>
        <v>96.9</v>
      </c>
      <c r="F314" s="4" t="str">
        <f t="array" ref="F314">IF(D314&gt;=_xlfn.PERCENTILE.INC(D314:D1972, 0.9), "High", "Low")</f>
        <v>High</v>
      </c>
      <c r="L314" s="4" t="str">
        <f t="shared" si="2"/>
        <v/>
      </c>
    </row>
    <row r="315" ht="14.25" customHeight="1">
      <c r="A315" s="1" t="s">
        <v>472</v>
      </c>
      <c r="B315" s="1">
        <v>7.5</v>
      </c>
      <c r="C315" s="4" t="str">
        <f>IFERROR(__xludf.DUMMYFUNCTION("""COMPUTED_VALUE"""),"Will Gluck")</f>
        <v>Will Gluck</v>
      </c>
      <c r="D315" s="4">
        <f t="array" ref="D315">IFERROR(AVERAGEIFS($B$2:$B$3757, $A$2:$A$3757, C315:C4069), "")</f>
        <v>6.3</v>
      </c>
      <c r="E315" s="4">
        <f t="shared" si="1"/>
        <v>45.2</v>
      </c>
      <c r="F315" s="4" t="str">
        <f t="array" ref="F315">IF(D315&gt;=_xlfn.PERCENTILE.INC(D315:D1973, 0.9), "High", "Low")</f>
        <v>Low</v>
      </c>
      <c r="L315" s="4" t="str">
        <f t="shared" si="2"/>
        <v/>
      </c>
    </row>
    <row r="316" ht="14.25" customHeight="1">
      <c r="A316" s="1" t="s">
        <v>1857</v>
      </c>
      <c r="B316" s="1">
        <v>7.6</v>
      </c>
      <c r="C316" s="4" t="str">
        <f>IFERROR(__xludf.DUMMYFUNCTION("""COMPUTED_VALUE"""),"Glenn Ficarra")</f>
        <v>Glenn Ficarra</v>
      </c>
      <c r="D316" s="4">
        <f t="array" ref="D316">IFERROR(AVERAGEIFS($B$2:$B$3757, $A$2:$A$3757, C316:C4070), "")</f>
        <v>6.866666667</v>
      </c>
      <c r="E316" s="4">
        <f t="shared" si="1"/>
        <v>69.6</v>
      </c>
      <c r="F316" s="4" t="str">
        <f t="array" ref="F316">IF(D316&gt;=_xlfn.PERCENTILE.INC(D316:D1974, 0.9), "High", "Low")</f>
        <v>Low</v>
      </c>
      <c r="L316" s="4" t="str">
        <f t="shared" si="2"/>
        <v/>
      </c>
    </row>
    <row r="317" ht="14.25" customHeight="1">
      <c r="A317" s="1" t="s">
        <v>1865</v>
      </c>
      <c r="B317" s="1">
        <v>6.8</v>
      </c>
      <c r="C317" s="4" t="str">
        <f>IFERROR(__xludf.DUMMYFUNCTION("""COMPUTED_VALUE"""),"David S. Goyer")</f>
        <v>David S. Goyer</v>
      </c>
      <c r="D317" s="4">
        <f t="array" ref="D317">IFERROR(AVERAGEIFS($B$2:$B$3757, $A$2:$A$3757, C317:C4071), "")</f>
        <v>5.166666667</v>
      </c>
      <c r="E317" s="4">
        <f t="shared" si="1"/>
        <v>12.6</v>
      </c>
      <c r="F317" s="4" t="str">
        <f t="array" ref="F317">IF(D317&gt;=_xlfn.PERCENTILE.INC(D317:D1975, 0.9), "High", "Low")</f>
        <v>Low</v>
      </c>
      <c r="L317" s="4" t="str">
        <f t="shared" si="2"/>
        <v/>
      </c>
    </row>
    <row r="318" ht="14.25" customHeight="1">
      <c r="A318" s="1" t="s">
        <v>1872</v>
      </c>
      <c r="B318" s="1">
        <v>5.2</v>
      </c>
      <c r="C318" s="4" t="str">
        <f>IFERROR(__xludf.DUMMYFUNCTION("""COMPUTED_VALUE"""),"Taylor Hackford")</f>
        <v>Taylor Hackford</v>
      </c>
      <c r="D318" s="4">
        <f t="array" ref="D318">IFERROR(AVERAGEIFS($B$2:$B$3757, $A$2:$A$3757, C318:C4072), "")</f>
        <v>6.883333333</v>
      </c>
      <c r="E318" s="4">
        <f t="shared" si="1"/>
        <v>69.7</v>
      </c>
      <c r="F318" s="4" t="str">
        <f t="array" ref="F318">IF(D318&gt;=_xlfn.PERCENTILE.INC(D318:D1976, 0.9), "High", "Low")</f>
        <v>Low</v>
      </c>
      <c r="L318" s="4" t="str">
        <f t="shared" si="2"/>
        <v/>
      </c>
    </row>
    <row r="319" ht="14.25" customHeight="1">
      <c r="A319" s="1" t="s">
        <v>179</v>
      </c>
      <c r="B319" s="1">
        <v>7.7</v>
      </c>
      <c r="C319" s="4" t="str">
        <f>IFERROR(__xludf.DUMMYFUNCTION("""COMPUTED_VALUE"""),"Michael Lehmann")</f>
        <v>Michael Lehmann</v>
      </c>
      <c r="D319" s="4">
        <f t="array" ref="D319">IFERROR(AVERAGEIFS($B$2:$B$3757, $A$2:$A$3757, C319:C4073), "")</f>
        <v>5.65</v>
      </c>
      <c r="E319" s="4">
        <f t="shared" si="1"/>
        <v>25.6</v>
      </c>
      <c r="F319" s="4" t="str">
        <f t="array" ref="F319">IF(D319&gt;=_xlfn.PERCENTILE.INC(D319:D1977, 0.9), "High", "Low")</f>
        <v>Low</v>
      </c>
      <c r="L319" s="4" t="str">
        <f t="shared" si="2"/>
        <v/>
      </c>
    </row>
    <row r="320" ht="14.25" customHeight="1">
      <c r="A320" s="1" t="s">
        <v>1883</v>
      </c>
      <c r="B320" s="1">
        <v>6.2</v>
      </c>
      <c r="C320" s="4" t="str">
        <f>IFERROR(__xludf.DUMMYFUNCTION("""COMPUTED_VALUE"""),"Stuart Beattie")</f>
        <v>Stuart Beattie</v>
      </c>
      <c r="D320" s="4">
        <f t="array" ref="D320">IFERROR(AVERAGEIFS($B$2:$B$3757, $A$2:$A$3757, C320:C4074), "")</f>
        <v>5.1</v>
      </c>
      <c r="E320" s="4">
        <f t="shared" si="1"/>
        <v>11.1</v>
      </c>
      <c r="F320" s="4" t="str">
        <f t="array" ref="F320">IF(D320&gt;=_xlfn.PERCENTILE.INC(D320:D1978, 0.9), "High", "Low")</f>
        <v>Low</v>
      </c>
      <c r="L320" s="4" t="str">
        <f t="shared" si="2"/>
        <v/>
      </c>
    </row>
    <row r="321" ht="14.25" customHeight="1">
      <c r="A321" s="1" t="s">
        <v>1890</v>
      </c>
      <c r="B321" s="1">
        <v>7.7</v>
      </c>
      <c r="C321" s="4" t="str">
        <f>IFERROR(__xludf.DUMMYFUNCTION("""COMPUTED_VALUE"""),"Roman Polanski")</f>
        <v>Roman Polanski</v>
      </c>
      <c r="D321" s="4">
        <f t="array" ref="D321">IFERROR(AVERAGEIFS($B$2:$B$3757, $A$2:$A$3757, C321:C4075), "")</f>
        <v>7.325</v>
      </c>
      <c r="E321" s="4">
        <f t="shared" si="1"/>
        <v>87.5</v>
      </c>
      <c r="F321" s="4" t="str">
        <f t="array" ref="F321">IF(D321&gt;=_xlfn.PERCENTILE.INC(D321:D1979, 0.9), "High", "Low")</f>
        <v>Low</v>
      </c>
      <c r="L321" s="4" t="str">
        <f t="shared" si="2"/>
        <v/>
      </c>
    </row>
    <row r="322" ht="14.25" customHeight="1">
      <c r="A322" s="1" t="s">
        <v>1895</v>
      </c>
      <c r="B322" s="1">
        <v>4.3</v>
      </c>
      <c r="C322" s="4" t="str">
        <f>IFERROR(__xludf.DUMMYFUNCTION("""COMPUTED_VALUE"""),"Frank Miller")</f>
        <v>Frank Miller</v>
      </c>
      <c r="D322" s="4">
        <f t="array" ref="D322">IFERROR(AVERAGEIFS($B$2:$B$3757, $A$2:$A$3757, C322:C4076), "")</f>
        <v>6.466666667</v>
      </c>
      <c r="E322" s="4">
        <f t="shared" si="1"/>
        <v>52.9</v>
      </c>
      <c r="F322" s="4" t="str">
        <f t="array" ref="F322">IF(D322&gt;=_xlfn.PERCENTILE.INC(D322:D1980, 0.9), "High", "Low")</f>
        <v>Low</v>
      </c>
      <c r="L322" s="4" t="str">
        <f t="shared" si="2"/>
        <v/>
      </c>
    </row>
    <row r="323" ht="14.25" customHeight="1">
      <c r="A323" s="1" t="s">
        <v>1902</v>
      </c>
      <c r="B323" s="1">
        <v>6.9</v>
      </c>
      <c r="C323" s="4" t="str">
        <f>IFERROR(__xludf.DUMMYFUNCTION("""COMPUTED_VALUE"""),"Baltasar KormÃ¡kur")</f>
        <v>Baltasar KormÃ¡kur</v>
      </c>
      <c r="D323" s="4">
        <f t="array" ref="D323">IFERROR(AVERAGEIFS($B$2:$B$3757, $A$2:$A$3757, C323:C4077), "")</f>
        <v>6.766666667</v>
      </c>
      <c r="E323" s="4">
        <f t="shared" si="1"/>
        <v>65.2</v>
      </c>
      <c r="F323" s="4" t="str">
        <f t="array" ref="F323">IF(D323&gt;=_xlfn.PERCENTILE.INC(D323:D1981, 0.9), "High", "Low")</f>
        <v>Low</v>
      </c>
      <c r="L323" s="4" t="str">
        <f t="shared" si="2"/>
        <v/>
      </c>
    </row>
    <row r="324" ht="14.25" customHeight="1">
      <c r="A324" s="1" t="s">
        <v>1833</v>
      </c>
      <c r="B324" s="1">
        <v>6.6</v>
      </c>
      <c r="C324" s="4" t="str">
        <f>IFERROR(__xludf.DUMMYFUNCTION("""COMPUTED_VALUE"""),"Daniel Lee")</f>
        <v>Daniel Lee</v>
      </c>
      <c r="D324" s="4">
        <f t="array" ref="D324">IFERROR(AVERAGEIFS($B$2:$B$3757, $A$2:$A$3757, C324:C4078), "")</f>
        <v>6.1</v>
      </c>
      <c r="E324" s="4">
        <f t="shared" si="1"/>
        <v>38.1</v>
      </c>
      <c r="F324" s="4" t="str">
        <f t="array" ref="F324">IF(D324&gt;=_xlfn.PERCENTILE.INC(D324:D1982, 0.9), "High", "Low")</f>
        <v>Low</v>
      </c>
      <c r="L324" s="4" t="str">
        <f t="shared" si="2"/>
        <v/>
      </c>
    </row>
    <row r="325" ht="14.25" customHeight="1">
      <c r="A325" s="1" t="s">
        <v>820</v>
      </c>
      <c r="B325" s="1">
        <v>7.0</v>
      </c>
      <c r="C325" s="4" t="str">
        <f>IFERROR(__xludf.DUMMYFUNCTION("""COMPUTED_VALUE"""),"Keenen Ivory Wayans")</f>
        <v>Keenen Ivory Wayans</v>
      </c>
      <c r="D325" s="4">
        <f t="array" ref="D325">IFERROR(AVERAGEIFS($B$2:$B$3757, $A$2:$A$3757, C325:C4079), "")</f>
        <v>5.175</v>
      </c>
      <c r="E325" s="4">
        <f t="shared" si="1"/>
        <v>12.6</v>
      </c>
      <c r="F325" s="4" t="str">
        <f t="array" ref="F325">IF(D325&gt;=_xlfn.PERCENTILE.INC(D325:D1983, 0.9), "High", "Low")</f>
        <v>Low</v>
      </c>
      <c r="L325" s="4" t="str">
        <f t="shared" si="2"/>
        <v/>
      </c>
    </row>
    <row r="326" ht="14.25" customHeight="1">
      <c r="A326" s="1" t="s">
        <v>163</v>
      </c>
      <c r="B326" s="1">
        <v>6.7</v>
      </c>
      <c r="C326" s="4" t="str">
        <f>IFERROR(__xludf.DUMMYFUNCTION("""COMPUTED_VALUE"""),"Rob Reiner")</f>
        <v>Rob Reiner</v>
      </c>
      <c r="D326" s="4">
        <f t="array" ref="D326">IFERROR(AVERAGEIFS($B$2:$B$3757, $A$2:$A$3757, C326:C4080), "")</f>
        <v>7.018181818</v>
      </c>
      <c r="E326" s="4">
        <f t="shared" si="1"/>
        <v>77.5</v>
      </c>
      <c r="F326" s="4" t="str">
        <f t="array" ref="F326">IF(D326&gt;=_xlfn.PERCENTILE.INC(D326:D1984, 0.9), "High", "Low")</f>
        <v>Low</v>
      </c>
      <c r="L326" s="4" t="str">
        <f t="shared" si="2"/>
        <v/>
      </c>
    </row>
    <row r="327" ht="14.25" customHeight="1">
      <c r="A327" s="1" t="s">
        <v>63</v>
      </c>
      <c r="B327" s="1">
        <v>8.2</v>
      </c>
      <c r="C327" s="4" t="str">
        <f>IFERROR(__xludf.DUMMYFUNCTION("""COMPUTED_VALUE"""),"Marco Schnabel")</f>
        <v>Marco Schnabel</v>
      </c>
      <c r="D327" s="4">
        <f t="array" ref="D327">IFERROR(AVERAGEIFS($B$2:$B$3757, $A$2:$A$3757, C327:C4081), "")</f>
        <v>3.8</v>
      </c>
      <c r="E327" s="4">
        <f t="shared" si="1"/>
        <v>2.7</v>
      </c>
      <c r="F327" s="4" t="str">
        <f t="array" ref="F327">IF(D327&gt;=_xlfn.PERCENTILE.INC(D327:D1985, 0.9), "High", "Low")</f>
        <v>Low</v>
      </c>
      <c r="L327" s="4" t="str">
        <f t="shared" si="2"/>
        <v/>
      </c>
    </row>
    <row r="328" ht="14.25" customHeight="1">
      <c r="A328" s="1" t="s">
        <v>163</v>
      </c>
      <c r="B328" s="1">
        <v>8.9</v>
      </c>
      <c r="C328" s="4" t="str">
        <f>IFERROR(__xludf.DUMMYFUNCTION("""COMPUTED_VALUE"""),"Demian Lichtenstein")</f>
        <v>Demian Lichtenstein</v>
      </c>
      <c r="D328" s="4">
        <f t="array" ref="D328">IFERROR(AVERAGEIFS($B$2:$B$3757, $A$2:$A$3757, C328:C4082), "")</f>
        <v>5.9</v>
      </c>
      <c r="E328" s="4">
        <f t="shared" si="1"/>
        <v>30.5</v>
      </c>
      <c r="F328" s="4" t="str">
        <f t="array" ref="F328">IF(D328&gt;=_xlfn.PERCENTILE.INC(D328:D1986, 0.9), "High", "Low")</f>
        <v>Low</v>
      </c>
      <c r="L328" s="4" t="str">
        <f t="shared" si="2"/>
        <v/>
      </c>
    </row>
    <row r="329" ht="14.25" customHeight="1">
      <c r="A329" s="1" t="s">
        <v>163</v>
      </c>
      <c r="B329" s="1">
        <v>8.7</v>
      </c>
      <c r="C329" s="4" t="str">
        <f>IFERROR(__xludf.DUMMYFUNCTION("""COMPUTED_VALUE"""),"Josh Gordon")</f>
        <v>Josh Gordon</v>
      </c>
      <c r="D329" s="4">
        <f t="array" ref="D329">IFERROR(AVERAGEIFS($B$2:$B$3757, $A$2:$A$3757, C329:C4083), "")</f>
        <v>6.2</v>
      </c>
      <c r="E329" s="4">
        <f t="shared" si="1"/>
        <v>42.3</v>
      </c>
      <c r="F329" s="4" t="str">
        <f t="array" ref="F329">IF(D329&gt;=_xlfn.PERCENTILE.INC(D329:D1987, 0.9), "High", "Low")</f>
        <v>Low</v>
      </c>
      <c r="L329" s="4" t="str">
        <f t="shared" si="2"/>
        <v/>
      </c>
    </row>
    <row r="330" ht="14.25" customHeight="1">
      <c r="A330" s="1" t="s">
        <v>1936</v>
      </c>
      <c r="B330" s="1">
        <v>5.5</v>
      </c>
      <c r="C330" s="4" t="str">
        <f>IFERROR(__xludf.DUMMYFUNCTION("""COMPUTED_VALUE"""),"Tim Hill")</f>
        <v>Tim Hill</v>
      </c>
      <c r="D330" s="4">
        <f t="array" ref="D330">IFERROR(AVERAGEIFS($B$2:$B$3757, $A$2:$A$3757, C330:C4084), "")</f>
        <v>5.55</v>
      </c>
      <c r="E330" s="4">
        <f t="shared" si="1"/>
        <v>21.9</v>
      </c>
      <c r="F330" s="4" t="str">
        <f t="array" ref="F330">IF(D330&gt;=_xlfn.PERCENTILE.INC(D330:D1988, 0.9), "High", "Low")</f>
        <v>Low</v>
      </c>
      <c r="L330" s="4" t="str">
        <f t="shared" si="2"/>
        <v/>
      </c>
    </row>
    <row r="331" ht="14.25" customHeight="1">
      <c r="A331" s="1" t="s">
        <v>1700</v>
      </c>
      <c r="B331" s="1">
        <v>5.7</v>
      </c>
      <c r="C331" s="4" t="str">
        <f>IFERROR(__xludf.DUMMYFUNCTION("""COMPUTED_VALUE"""),"David Frankel")</f>
        <v>David Frankel</v>
      </c>
      <c r="D331" s="4">
        <f t="array" ref="D331">IFERROR(AVERAGEIFS($B$2:$B$3757, $A$2:$A$3757, C331:C4085), "")</f>
        <v>6.6</v>
      </c>
      <c r="E331" s="4">
        <f t="shared" si="1"/>
        <v>60.3</v>
      </c>
      <c r="F331" s="4" t="str">
        <f t="array" ref="F331">IF(D331&gt;=_xlfn.PERCENTILE.INC(D331:D1989, 0.9), "High", "Low")</f>
        <v>Low</v>
      </c>
      <c r="L331" s="4" t="str">
        <f t="shared" si="2"/>
        <v/>
      </c>
    </row>
    <row r="332" ht="14.25" customHeight="1">
      <c r="A332" s="1" t="s">
        <v>1945</v>
      </c>
      <c r="B332" s="1">
        <v>6.3</v>
      </c>
      <c r="C332" s="4" t="str">
        <f>IFERROR(__xludf.DUMMYFUNCTION("""COMPUTED_VALUE"""),"Brenda Chapman")</f>
        <v>Brenda Chapman</v>
      </c>
      <c r="D332" s="4">
        <f t="array" ref="D332">IFERROR(AVERAGEIFS($B$2:$B$3757, $A$2:$A$3757, C332:C4086), "")</f>
        <v>7</v>
      </c>
      <c r="E332" s="4">
        <f t="shared" si="1"/>
        <v>73.7</v>
      </c>
      <c r="F332" s="4" t="str">
        <f t="array" ref="F332">IF(D332&gt;=_xlfn.PERCENTILE.INC(D332:D1990, 0.9), "High", "Low")</f>
        <v>Low</v>
      </c>
      <c r="L332" s="4" t="str">
        <f t="shared" si="2"/>
        <v/>
      </c>
    </row>
    <row r="333" ht="14.25" customHeight="1">
      <c r="A333" s="1" t="s">
        <v>856</v>
      </c>
      <c r="B333" s="1">
        <v>5.9</v>
      </c>
      <c r="C333" s="4" t="str">
        <f>IFERROR(__xludf.DUMMYFUNCTION("""COMPUTED_VALUE"""),"Marc Lawrence")</f>
        <v>Marc Lawrence</v>
      </c>
      <c r="D333" s="4">
        <f t="array" ref="D333">IFERROR(AVERAGEIFS($B$2:$B$3757, $A$2:$A$3757, C333:C4087), "")</f>
        <v>5.4</v>
      </c>
      <c r="E333" s="4">
        <f t="shared" si="1"/>
        <v>17.5</v>
      </c>
      <c r="F333" s="4" t="str">
        <f t="array" ref="F333">IF(D333&gt;=_xlfn.PERCENTILE.INC(D333:D1991, 0.9), "High", "Low")</f>
        <v>Low</v>
      </c>
      <c r="L333" s="4" t="str">
        <f t="shared" si="2"/>
        <v/>
      </c>
    </row>
    <row r="334" ht="14.25" customHeight="1">
      <c r="A334" s="1" t="s">
        <v>1956</v>
      </c>
      <c r="B334" s="1">
        <v>7.6</v>
      </c>
      <c r="C334" s="4" t="str">
        <f>IFERROR(__xludf.DUMMYFUNCTION("""COMPUTED_VALUE"""),"Peter Billingsley")</f>
        <v>Peter Billingsley</v>
      </c>
      <c r="D334" s="4">
        <f t="array" ref="D334">IFERROR(AVERAGEIFS($B$2:$B$3757, $A$2:$A$3757, C334:C4088), "")</f>
        <v>5.5</v>
      </c>
      <c r="E334" s="4">
        <f t="shared" si="1"/>
        <v>20</v>
      </c>
      <c r="F334" s="4" t="str">
        <f t="array" ref="F334">IF(D334&gt;=_xlfn.PERCENTILE.INC(D334:D1992, 0.9), "High", "Low")</f>
        <v>Low</v>
      </c>
      <c r="L334" s="4" t="str">
        <f t="shared" si="2"/>
        <v/>
      </c>
    </row>
    <row r="335" ht="14.25" customHeight="1">
      <c r="A335" s="1" t="s">
        <v>1961</v>
      </c>
      <c r="B335" s="1">
        <v>6.6</v>
      </c>
      <c r="C335" s="4" t="str">
        <f>IFERROR(__xludf.DUMMYFUNCTION("""COMPUTED_VALUE"""),"Wes Ball")</f>
        <v>Wes Ball</v>
      </c>
      <c r="D335" s="4">
        <f t="array" ref="D335">IFERROR(AVERAGEIFS($B$2:$B$3757, $A$2:$A$3757, C335:C4089), "")</f>
        <v>6.6</v>
      </c>
      <c r="E335" s="4">
        <f t="shared" si="1"/>
        <v>57.3</v>
      </c>
      <c r="F335" s="4" t="str">
        <f t="array" ref="F335">IF(D335&gt;=_xlfn.PERCENTILE.INC(D335:D1993, 0.9), "High", "Low")</f>
        <v>Low</v>
      </c>
      <c r="L335" s="4" t="str">
        <f t="shared" si="2"/>
        <v/>
      </c>
    </row>
    <row r="336" ht="14.25" customHeight="1">
      <c r="A336" s="1" t="s">
        <v>1967</v>
      </c>
      <c r="B336" s="1">
        <v>5.3</v>
      </c>
      <c r="C336" s="4" t="str">
        <f>IFERROR(__xludf.DUMMYFUNCTION("""COMPUTED_VALUE"""),"Ryan Murphy")</f>
        <v>Ryan Murphy</v>
      </c>
      <c r="D336" s="4">
        <f t="array" ref="D336">IFERROR(AVERAGEIFS($B$2:$B$3757, $A$2:$A$3757, C336:C4090), "")</f>
        <v>5.95</v>
      </c>
      <c r="E336" s="4">
        <f t="shared" si="1"/>
        <v>33.9</v>
      </c>
      <c r="F336" s="4" t="str">
        <f t="array" ref="F336">IF(D336&gt;=_xlfn.PERCENTILE.INC(D336:D1994, 0.9), "High", "Low")</f>
        <v>Low</v>
      </c>
      <c r="L336" s="4" t="str">
        <f t="shared" si="2"/>
        <v/>
      </c>
    </row>
    <row r="337" ht="14.25" customHeight="1">
      <c r="A337" s="1" t="s">
        <v>1973</v>
      </c>
      <c r="B337" s="1">
        <v>6.0</v>
      </c>
      <c r="C337" s="4" t="str">
        <f>IFERROR(__xludf.DUMMYFUNCTION("""COMPUTED_VALUE"""),"Robert Redford")</f>
        <v>Robert Redford</v>
      </c>
      <c r="D337" s="4">
        <f t="array" ref="D337">IFERROR(AVERAGEIFS($B$2:$B$3757, $A$2:$A$3757, C337:C4091), "")</f>
        <v>6.84</v>
      </c>
      <c r="E337" s="4">
        <f t="shared" si="1"/>
        <v>68.5</v>
      </c>
      <c r="F337" s="4" t="str">
        <f t="array" ref="F337">IF(D337&gt;=_xlfn.PERCENTILE.INC(D337:D1995, 0.9), "High", "Low")</f>
        <v>Low</v>
      </c>
      <c r="L337" s="4" t="str">
        <f t="shared" si="2"/>
        <v/>
      </c>
    </row>
    <row r="338" ht="14.25" customHeight="1">
      <c r="A338" s="1" t="s">
        <v>579</v>
      </c>
      <c r="B338" s="1">
        <v>8.0</v>
      </c>
      <c r="C338" s="4" t="str">
        <f>IFERROR(__xludf.DUMMYFUNCTION("""COMPUTED_VALUE"""),"Jay Russell")</f>
        <v>Jay Russell</v>
      </c>
      <c r="D338" s="4">
        <f t="array" ref="D338">IFERROR(AVERAGEIFS($B$2:$B$3757, $A$2:$A$3757, C338:C4092), "")</f>
        <v>6.733333333</v>
      </c>
      <c r="E338" s="4">
        <f t="shared" si="1"/>
        <v>64.3</v>
      </c>
      <c r="F338" s="4" t="str">
        <f t="array" ref="F338">IF(D338&gt;=_xlfn.PERCENTILE.INC(D338:D1996, 0.9), "High", "Low")</f>
        <v>Low</v>
      </c>
      <c r="L338" s="4" t="str">
        <f t="shared" si="2"/>
        <v/>
      </c>
    </row>
    <row r="339" ht="14.25" customHeight="1">
      <c r="A339" s="1" t="s">
        <v>1985</v>
      </c>
      <c r="B339" s="1">
        <v>5.6</v>
      </c>
      <c r="C339" s="4" t="str">
        <f>IFERROR(__xludf.DUMMYFUNCTION("""COMPUTED_VALUE"""),"Kenny Ortega")</f>
        <v>Kenny Ortega</v>
      </c>
      <c r="D339" s="4">
        <f t="array" ref="D339">IFERROR(AVERAGEIFS($B$2:$B$3757, $A$2:$A$3757, C339:C4093), "")</f>
        <v>6.166666667</v>
      </c>
      <c r="E339" s="4">
        <f t="shared" si="1"/>
        <v>42.2</v>
      </c>
      <c r="F339" s="4" t="str">
        <f t="array" ref="F339">IF(D339&gt;=_xlfn.PERCENTILE.INC(D339:D1997, 0.9), "High", "Low")</f>
        <v>Low</v>
      </c>
      <c r="L339" s="4" t="str">
        <f t="shared" si="2"/>
        <v/>
      </c>
    </row>
    <row r="340" ht="14.25" customHeight="1">
      <c r="A340" s="1" t="s">
        <v>1200</v>
      </c>
      <c r="B340" s="1">
        <v>5.9</v>
      </c>
      <c r="C340" s="4" t="str">
        <f>IFERROR(__xludf.DUMMYFUNCTION("""COMPUTED_VALUE"""),"David McNally")</f>
        <v>David McNally</v>
      </c>
      <c r="D340" s="4">
        <f t="array" ref="D340">IFERROR(AVERAGEIFS($B$2:$B$3757, $A$2:$A$3757, C340:C4094), "")</f>
        <v>5</v>
      </c>
      <c r="E340" s="4">
        <f t="shared" si="1"/>
        <v>10.1</v>
      </c>
      <c r="F340" s="4" t="str">
        <f t="array" ref="F340">IF(D340&gt;=_xlfn.PERCENTILE.INC(D340:D1998, 0.9), "High", "Low")</f>
        <v>Low</v>
      </c>
      <c r="L340" s="4" t="str">
        <f t="shared" si="2"/>
        <v/>
      </c>
    </row>
    <row r="341" ht="14.25" customHeight="1">
      <c r="A341" s="1" t="s">
        <v>155</v>
      </c>
      <c r="B341" s="1">
        <v>7.3</v>
      </c>
      <c r="C341" s="4" t="str">
        <f>IFERROR(__xludf.DUMMYFUNCTION("""COMPUTED_VALUE"""),"Brian Robbins")</f>
        <v>Brian Robbins</v>
      </c>
      <c r="D341" s="4">
        <f t="array" ref="D341">IFERROR(AVERAGEIFS($B$2:$B$3757, $A$2:$A$3757, C341:C4095), "")</f>
        <v>5.533333333</v>
      </c>
      <c r="E341" s="4">
        <f t="shared" si="1"/>
        <v>21.7</v>
      </c>
      <c r="F341" s="4" t="str">
        <f t="array" ref="F341">IF(D341&gt;=_xlfn.PERCENTILE.INC(D341:D1999, 0.9), "High", "Low")</f>
        <v>Low</v>
      </c>
      <c r="L341" s="4" t="str">
        <f t="shared" si="2"/>
        <v/>
      </c>
    </row>
    <row r="342" ht="14.25" customHeight="1">
      <c r="A342" s="1" t="s">
        <v>298</v>
      </c>
      <c r="B342" s="1">
        <v>7.9</v>
      </c>
      <c r="C342" s="4" t="str">
        <f>IFERROR(__xludf.DUMMYFUNCTION("""COMPUTED_VALUE"""),"Brian Levant")</f>
        <v>Brian Levant</v>
      </c>
      <c r="D342" s="4">
        <f t="array" ref="D342">IFERROR(AVERAGEIFS($B$2:$B$3757, $A$2:$A$3757, C342:C4096), "")</f>
        <v>4.816666667</v>
      </c>
      <c r="E342" s="4">
        <f t="shared" si="1"/>
        <v>9.3</v>
      </c>
      <c r="F342" s="4" t="str">
        <f t="array" ref="F342">IF(D342&gt;=_xlfn.PERCENTILE.INC(D342:D2000, 0.9), "High", "Low")</f>
        <v>Low</v>
      </c>
      <c r="L342" s="4" t="str">
        <f t="shared" si="2"/>
        <v/>
      </c>
    </row>
    <row r="343" ht="14.25" customHeight="1">
      <c r="A343" s="1" t="s">
        <v>1656</v>
      </c>
      <c r="B343" s="1">
        <v>6.8</v>
      </c>
      <c r="C343" s="4" t="str">
        <f>IFERROR(__xludf.DUMMYFUNCTION("""COMPUTED_VALUE"""),"Steven Zaillian")</f>
        <v>Steven Zaillian</v>
      </c>
      <c r="D343" s="4">
        <f t="array" ref="D343">IFERROR(AVERAGEIFS($B$2:$B$3757, $A$2:$A$3757, C343:C4097), "")</f>
        <v>6.35</v>
      </c>
      <c r="E343" s="4">
        <f t="shared" si="1"/>
        <v>48</v>
      </c>
      <c r="F343" s="4" t="str">
        <f t="array" ref="F343">IF(D343&gt;=_xlfn.PERCENTILE.INC(D343:D2001, 0.9), "High", "Low")</f>
        <v>Low</v>
      </c>
      <c r="L343" s="4" t="str">
        <f t="shared" si="2"/>
        <v/>
      </c>
    </row>
    <row r="344" ht="14.25" customHeight="1">
      <c r="A344" s="1" t="s">
        <v>252</v>
      </c>
      <c r="B344" s="1">
        <v>6.6</v>
      </c>
      <c r="C344" s="4" t="str">
        <f>IFERROR(__xludf.DUMMYFUNCTION("""COMPUTED_VALUE"""),"Chris Butler")</f>
        <v>Chris Butler</v>
      </c>
      <c r="D344" s="4">
        <f t="array" ref="D344">IFERROR(AVERAGEIFS($B$2:$B$3757, $A$2:$A$3757, C344:C4098), "")</f>
        <v>7</v>
      </c>
      <c r="E344" s="4">
        <f t="shared" si="1"/>
        <v>73.5</v>
      </c>
      <c r="F344" s="4" t="str">
        <f t="array" ref="F344">IF(D344&gt;=_xlfn.PERCENTILE.INC(D344:D2002, 0.9), "High", "Low")</f>
        <v>Low</v>
      </c>
      <c r="L344" s="4" t="str">
        <f t="shared" si="2"/>
        <v/>
      </c>
    </row>
    <row r="345" ht="14.25" customHeight="1">
      <c r="A345" s="1" t="s">
        <v>420</v>
      </c>
      <c r="B345" s="1">
        <v>6.6</v>
      </c>
      <c r="C345" s="4" t="str">
        <f>IFERROR(__xludf.DUMMYFUNCTION("""COMPUTED_VALUE"""),"Jon Avnet")</f>
        <v>Jon Avnet</v>
      </c>
      <c r="D345" s="4">
        <f t="array" ref="D345">IFERROR(AVERAGEIFS($B$2:$B$3757, $A$2:$A$3757, C345:C4099), "")</f>
        <v>6</v>
      </c>
      <c r="E345" s="4">
        <f t="shared" si="1"/>
        <v>34.5</v>
      </c>
      <c r="F345" s="4" t="str">
        <f t="array" ref="F345">IF(D345&gt;=_xlfn.PERCENTILE.INC(D345:D2003, 0.9), "High", "Low")</f>
        <v>Low</v>
      </c>
      <c r="L345" s="4" t="str">
        <f t="shared" si="2"/>
        <v/>
      </c>
    </row>
    <row r="346" ht="14.25" customHeight="1">
      <c r="A346" s="1" t="s">
        <v>2018</v>
      </c>
      <c r="B346" s="1">
        <v>7.0</v>
      </c>
      <c r="C346" s="4" t="str">
        <f>IFERROR(__xludf.DUMMYFUNCTION("""COMPUTED_VALUE"""),"Sam Fell")</f>
        <v>Sam Fell</v>
      </c>
      <c r="D346" s="4">
        <f t="array" ref="D346">IFERROR(AVERAGEIFS($B$2:$B$3757, $A$2:$A$3757, C346:C4100), "")</f>
        <v>6.1</v>
      </c>
      <c r="E346" s="4">
        <f t="shared" si="1"/>
        <v>37.9</v>
      </c>
      <c r="F346" s="4" t="str">
        <f t="array" ref="F346">IF(D346&gt;=_xlfn.PERCENTILE.INC(D346:D2004, 0.9), "High", "Low")</f>
        <v>Low</v>
      </c>
      <c r="L346" s="4" t="str">
        <f t="shared" si="2"/>
        <v/>
      </c>
    </row>
    <row r="347" ht="14.25" customHeight="1">
      <c r="A347" s="1" t="s">
        <v>1222</v>
      </c>
      <c r="B347" s="1">
        <v>7.0</v>
      </c>
      <c r="C347" s="4" t="str">
        <f>IFERROR(__xludf.DUMMYFUNCTION("""COMPUTED_VALUE"""),"Kevin Donovan")</f>
        <v>Kevin Donovan</v>
      </c>
      <c r="D347" s="4">
        <f t="array" ref="D347">IFERROR(AVERAGEIFS($B$2:$B$3757, $A$2:$A$3757, C347:C4101), "")</f>
        <v>5.3</v>
      </c>
      <c r="E347" s="4">
        <f t="shared" si="1"/>
        <v>14.8</v>
      </c>
      <c r="F347" s="4" t="str">
        <f t="array" ref="F347">IF(D347&gt;=_xlfn.PERCENTILE.INC(D347:D2005, 0.9), "High", "Low")</f>
        <v>Low</v>
      </c>
      <c r="L347" s="4" t="str">
        <f t="shared" si="2"/>
        <v/>
      </c>
    </row>
    <row r="348" ht="14.25" customHeight="1">
      <c r="A348" s="1" t="s">
        <v>2031</v>
      </c>
      <c r="B348" s="1">
        <v>7.3</v>
      </c>
      <c r="C348" s="4" t="str">
        <f>IFERROR(__xludf.DUMMYFUNCTION("""COMPUTED_VALUE"""),"Geoff Murphy")</f>
        <v>Geoff Murphy</v>
      </c>
      <c r="D348" s="4">
        <f t="array" ref="D348">IFERROR(AVERAGEIFS($B$2:$B$3757, $A$2:$A$3757, C348:C4102), "")</f>
        <v>5.4</v>
      </c>
      <c r="E348" s="4">
        <f t="shared" si="1"/>
        <v>17.4</v>
      </c>
      <c r="F348" s="4" t="str">
        <f t="array" ref="F348">IF(D348&gt;=_xlfn.PERCENTILE.INC(D348:D2006, 0.9), "High", "Low")</f>
        <v>Low</v>
      </c>
      <c r="L348" s="4" t="str">
        <f t="shared" si="2"/>
        <v/>
      </c>
    </row>
    <row r="349" ht="14.25" customHeight="1">
      <c r="A349" s="1" t="s">
        <v>319</v>
      </c>
      <c r="B349" s="1">
        <v>5.5</v>
      </c>
      <c r="C349" s="4" t="str">
        <f>IFERROR(__xludf.DUMMYFUNCTION("""COMPUTED_VALUE"""),"David O. Russell")</f>
        <v>David O. Russell</v>
      </c>
      <c r="D349" s="4">
        <f t="array" ref="D349">IFERROR(AVERAGEIFS($B$2:$B$3757, $A$2:$A$3757, C349:C4103), "")</f>
        <v>7.171428571</v>
      </c>
      <c r="E349" s="4">
        <f t="shared" si="1"/>
        <v>81.7</v>
      </c>
      <c r="F349" s="4" t="str">
        <f t="array" ref="F349">IF(D349&gt;=_xlfn.PERCENTILE.INC(D349:D2007, 0.9), "High", "Low")</f>
        <v>Low</v>
      </c>
      <c r="L349" s="4" t="str">
        <f t="shared" si="2"/>
        <v/>
      </c>
    </row>
    <row r="350" ht="14.25" customHeight="1">
      <c r="A350" s="1" t="s">
        <v>472</v>
      </c>
      <c r="B350" s="1">
        <v>8.5</v>
      </c>
      <c r="C350" s="4" t="str">
        <f>IFERROR(__xludf.DUMMYFUNCTION("""COMPUTED_VALUE"""),"Babak Najafi")</f>
        <v>Babak Najafi</v>
      </c>
      <c r="D350" s="4">
        <f t="array" ref="D350">IFERROR(AVERAGEIFS($B$2:$B$3757, $A$2:$A$3757, C350:C4104), "")</f>
        <v>5.9</v>
      </c>
      <c r="E350" s="4">
        <f t="shared" si="1"/>
        <v>30.4</v>
      </c>
      <c r="F350" s="4" t="str">
        <f t="array" ref="F350">IF(D350&gt;=_xlfn.PERCENTILE.INC(D350:D2008, 0.9), "High", "Low")</f>
        <v>Low</v>
      </c>
      <c r="L350" s="4" t="str">
        <f t="shared" si="2"/>
        <v/>
      </c>
    </row>
    <row r="351" ht="14.25" customHeight="1">
      <c r="A351" s="1" t="s">
        <v>2048</v>
      </c>
      <c r="B351" s="1">
        <v>7.5</v>
      </c>
      <c r="C351" s="4" t="str">
        <f>IFERROR(__xludf.DUMMYFUNCTION("""COMPUTED_VALUE"""),"Jean-Pierre Jeunet")</f>
        <v>Jean-Pierre Jeunet</v>
      </c>
      <c r="D351" s="4">
        <f t="array" ref="D351">IFERROR(AVERAGEIFS($B$2:$B$3757, $A$2:$A$3757, C351:C4105), "")</f>
        <v>7.34</v>
      </c>
      <c r="E351" s="4">
        <f t="shared" si="1"/>
        <v>87.3</v>
      </c>
      <c r="F351" s="4" t="str">
        <f t="array" ref="F351">IF(D351&gt;=_xlfn.PERCENTILE.INC(D351:D2009, 0.9), "High", "Low")</f>
        <v>Low</v>
      </c>
      <c r="L351" s="4" t="str">
        <f t="shared" si="2"/>
        <v/>
      </c>
    </row>
    <row r="352" ht="14.25" customHeight="1">
      <c r="A352" s="1" t="s">
        <v>2031</v>
      </c>
      <c r="B352" s="1">
        <v>7.0</v>
      </c>
      <c r="C352" s="4" t="str">
        <f>IFERROR(__xludf.DUMMYFUNCTION("""COMPUTED_VALUE"""),"Graham Annable")</f>
        <v>Graham Annable</v>
      </c>
      <c r="D352" s="4">
        <f t="array" ref="D352">IFERROR(AVERAGEIFS($B$2:$B$3757, $A$2:$A$3757, C352:C4106), "")</f>
        <v>6.8</v>
      </c>
      <c r="E352" s="4">
        <f t="shared" si="1"/>
        <v>65.3</v>
      </c>
      <c r="F352" s="4" t="str">
        <f t="array" ref="F352">IF(D352&gt;=_xlfn.PERCENTILE.INC(D352:D2010, 0.9), "High", "Low")</f>
        <v>Low</v>
      </c>
      <c r="L352" s="4" t="str">
        <f t="shared" si="2"/>
        <v/>
      </c>
    </row>
    <row r="353" ht="14.25" customHeight="1">
      <c r="A353" s="1" t="s">
        <v>648</v>
      </c>
      <c r="B353" s="1">
        <v>7.8</v>
      </c>
      <c r="C353" s="4" t="str">
        <f>IFERROR(__xludf.DUMMYFUNCTION("""COMPUTED_VALUE"""),"Griffin Dunne")</f>
        <v>Griffin Dunne</v>
      </c>
      <c r="D353" s="4">
        <f t="array" ref="D353">IFERROR(AVERAGEIFS($B$2:$B$3757, $A$2:$A$3757, C353:C4107), "")</f>
        <v>6.1</v>
      </c>
      <c r="E353" s="4">
        <f t="shared" si="1"/>
        <v>37.9</v>
      </c>
      <c r="F353" s="4" t="str">
        <f t="array" ref="F353">IF(D353&gt;=_xlfn.PERCENTILE.INC(D353:D2011, 0.9), "High", "Low")</f>
        <v>Low</v>
      </c>
      <c r="L353" s="4" t="str">
        <f t="shared" si="2"/>
        <v/>
      </c>
    </row>
    <row r="354" ht="14.25" customHeight="1">
      <c r="A354" s="1" t="s">
        <v>1255</v>
      </c>
      <c r="B354" s="1">
        <v>7.6</v>
      </c>
      <c r="C354" s="4" t="str">
        <f>IFERROR(__xludf.DUMMYFUNCTION("""COMPUTED_VALUE"""),"John Pasquin")</f>
        <v>John Pasquin</v>
      </c>
      <c r="D354" s="4">
        <f t="array" ref="D354">IFERROR(AVERAGEIFS($B$2:$B$3757, $A$2:$A$3757, C354:C4108), "")</f>
        <v>5.633333333</v>
      </c>
      <c r="E354" s="4">
        <f t="shared" si="1"/>
        <v>25.2</v>
      </c>
      <c r="F354" s="4" t="str">
        <f t="array" ref="F354">IF(D354&gt;=_xlfn.PERCENTILE.INC(D354:D2012, 0.9), "High", "Low")</f>
        <v>Low</v>
      </c>
      <c r="L354" s="4" t="str">
        <f t="shared" si="2"/>
        <v/>
      </c>
    </row>
    <row r="355" ht="14.25" customHeight="1">
      <c r="A355" s="1" t="s">
        <v>1238</v>
      </c>
      <c r="B355" s="1">
        <v>7.6</v>
      </c>
      <c r="C355" s="4" t="str">
        <f>IFERROR(__xludf.DUMMYFUNCTION("""COMPUTED_VALUE"""),"Ruben Fleischer")</f>
        <v>Ruben Fleischer</v>
      </c>
      <c r="D355" s="4">
        <f t="array" ref="D355">IFERROR(AVERAGEIFS($B$2:$B$3757, $A$2:$A$3757, C355:C4109), "")</f>
        <v>6.833333333</v>
      </c>
      <c r="E355" s="4">
        <f t="shared" si="1"/>
        <v>68.1</v>
      </c>
      <c r="F355" s="4" t="str">
        <f t="array" ref="F355">IF(D355&gt;=_xlfn.PERCENTILE.INC(D355:D2013, 0.9), "High", "Low")</f>
        <v>Low</v>
      </c>
      <c r="L355" s="4" t="str">
        <f t="shared" si="2"/>
        <v/>
      </c>
    </row>
    <row r="356" ht="14.25" customHeight="1">
      <c r="A356" s="1" t="s">
        <v>1686</v>
      </c>
      <c r="B356" s="1">
        <v>6.8</v>
      </c>
      <c r="C356" s="4" t="str">
        <f>IFERROR(__xludf.DUMMYFUNCTION("""COMPUTED_VALUE"""),"Harold Ramis")</f>
        <v>Harold Ramis</v>
      </c>
      <c r="D356" s="4">
        <f t="array" ref="D356">IFERROR(AVERAGEIFS($B$2:$B$3757, $A$2:$A$3757, C356:C4110), "")</f>
        <v>6.55</v>
      </c>
      <c r="E356" s="4">
        <f t="shared" si="1"/>
        <v>56.6</v>
      </c>
      <c r="F356" s="4" t="str">
        <f t="array" ref="F356">IF(D356&gt;=_xlfn.PERCENTILE.INC(D356:D2014, 0.9), "High", "Low")</f>
        <v>Low</v>
      </c>
      <c r="L356" s="4" t="str">
        <f t="shared" si="2"/>
        <v/>
      </c>
    </row>
    <row r="357" ht="14.25" customHeight="1">
      <c r="A357" s="1" t="s">
        <v>2081</v>
      </c>
      <c r="B357" s="1">
        <v>5.0</v>
      </c>
      <c r="C357" s="4" t="str">
        <f>IFERROR(__xludf.DUMMYFUNCTION("""COMPUTED_VALUE"""),"Donald Petrie")</f>
        <v>Donald Petrie</v>
      </c>
      <c r="D357" s="4">
        <f t="array" ref="D357">IFERROR(AVERAGEIFS($B$2:$B$3757, $A$2:$A$3757, C357:C4111), "")</f>
        <v>5.6625</v>
      </c>
      <c r="E357" s="4">
        <f t="shared" si="1"/>
        <v>25.7</v>
      </c>
      <c r="F357" s="4" t="str">
        <f t="array" ref="F357">IF(D357&gt;=_xlfn.PERCENTILE.INC(D357:D2015, 0.9), "High", "Low")</f>
        <v>Low</v>
      </c>
      <c r="L357" s="4" t="str">
        <f t="shared" si="2"/>
        <v/>
      </c>
    </row>
    <row r="358" ht="14.25" customHeight="1">
      <c r="A358" s="1" t="s">
        <v>110</v>
      </c>
      <c r="B358" s="1">
        <v>7.1</v>
      </c>
      <c r="C358" s="4" t="str">
        <f>IFERROR(__xludf.DUMMYFUNCTION("""COMPUTED_VALUE"""),"Jorge Blanco")</f>
        <v>Jorge Blanco</v>
      </c>
      <c r="D358" s="4">
        <f t="array" ref="D358">IFERROR(AVERAGEIFS($B$2:$B$3757, $A$2:$A$3757, C358:C4112), "")</f>
        <v>6.1</v>
      </c>
      <c r="E358" s="4">
        <f t="shared" si="1"/>
        <v>37.9</v>
      </c>
      <c r="F358" s="4" t="str">
        <f t="array" ref="F358">IF(D358&gt;=_xlfn.PERCENTILE.INC(D358:D2016, 0.9), "High", "Low")</f>
        <v>Low</v>
      </c>
      <c r="L358" s="4" t="str">
        <f t="shared" si="2"/>
        <v/>
      </c>
    </row>
    <row r="359" ht="14.25" customHeight="1">
      <c r="A359" s="1" t="s">
        <v>2093</v>
      </c>
      <c r="B359" s="1">
        <v>5.5</v>
      </c>
      <c r="C359" s="4" t="str">
        <f>IFERROR(__xludf.DUMMYFUNCTION("""COMPUTED_VALUE"""),"Stuart Baird")</f>
        <v>Stuart Baird</v>
      </c>
      <c r="D359" s="4">
        <f t="array" ref="D359">IFERROR(AVERAGEIFS($B$2:$B$3757, $A$2:$A$3757, C359:C4113), "")</f>
        <v>6.4</v>
      </c>
      <c r="E359" s="4">
        <f t="shared" si="1"/>
        <v>48.8</v>
      </c>
      <c r="F359" s="4" t="str">
        <f t="array" ref="F359">IF(D359&gt;=_xlfn.PERCENTILE.INC(D359:D2017, 0.9), "High", "Low")</f>
        <v>Low</v>
      </c>
      <c r="L359" s="4" t="str">
        <f t="shared" si="2"/>
        <v/>
      </c>
    </row>
    <row r="360" ht="14.25" customHeight="1">
      <c r="A360" s="1" t="s">
        <v>1200</v>
      </c>
      <c r="B360" s="1">
        <v>5.6</v>
      </c>
      <c r="C360" s="4" t="str">
        <f>IFERROR(__xludf.DUMMYFUNCTION("""COMPUTED_VALUE"""),"Joel Coen")</f>
        <v>Joel Coen</v>
      </c>
      <c r="D360" s="4">
        <f t="array" ref="D360">IFERROR(AVERAGEIFS($B$2:$B$3757, $A$2:$A$3757, C360:C4114), "")</f>
        <v>7.4</v>
      </c>
      <c r="E360" s="4">
        <f t="shared" si="1"/>
        <v>87.5</v>
      </c>
      <c r="F360" s="4" t="str">
        <f t="array" ref="F360">IF(D360&gt;=_xlfn.PERCENTILE.INC(D360:D2018, 0.9), "High", "Low")</f>
        <v>Low</v>
      </c>
      <c r="L360" s="4" t="str">
        <f t="shared" si="2"/>
        <v/>
      </c>
    </row>
    <row r="361" ht="14.25" customHeight="1">
      <c r="A361" s="1" t="s">
        <v>381</v>
      </c>
      <c r="B361" s="1">
        <v>7.1</v>
      </c>
      <c r="C361" s="4" t="str">
        <f>IFERROR(__xludf.DUMMYFUNCTION("""COMPUTED_VALUE"""),"Harold Becker")</f>
        <v>Harold Becker</v>
      </c>
      <c r="D361" s="4">
        <f t="array" ref="D361">IFERROR(AVERAGEIFS($B$2:$B$3757, $A$2:$A$3757, C361:C4115), "")</f>
        <v>6.14</v>
      </c>
      <c r="E361" s="4">
        <f t="shared" si="1"/>
        <v>41.6</v>
      </c>
      <c r="F361" s="4" t="str">
        <f t="array" ref="F361">IF(D361&gt;=_xlfn.PERCENTILE.INC(D361:D2019, 0.9), "High", "Low")</f>
        <v>Low</v>
      </c>
      <c r="L361" s="4" t="str">
        <f t="shared" si="2"/>
        <v/>
      </c>
    </row>
    <row r="362" ht="14.25" customHeight="1">
      <c r="A362" s="1" t="s">
        <v>909</v>
      </c>
      <c r="B362" s="1">
        <v>4.9</v>
      </c>
      <c r="C362" s="4" t="str">
        <f>IFERROR(__xludf.DUMMYFUNCTION("""COMPUTED_VALUE"""),"Scott Stewart")</f>
        <v>Scott Stewart</v>
      </c>
      <c r="D362" s="4">
        <f t="array" ref="D362">IFERROR(AVERAGEIFS($B$2:$B$3757, $A$2:$A$3757, C362:C4116), "")</f>
        <v>5.45</v>
      </c>
      <c r="E362" s="4">
        <f t="shared" si="1"/>
        <v>19.5</v>
      </c>
      <c r="F362" s="4" t="str">
        <f t="array" ref="F362">IF(D362&gt;=_xlfn.PERCENTILE.INC(D362:D2020, 0.9), "High", "Low")</f>
        <v>Low</v>
      </c>
      <c r="L362" s="4" t="str">
        <f t="shared" si="2"/>
        <v/>
      </c>
    </row>
    <row r="363" ht="14.25" customHeight="1">
      <c r="A363" s="1" t="s">
        <v>420</v>
      </c>
      <c r="B363" s="1">
        <v>7.4</v>
      </c>
      <c r="C363" s="4" t="str">
        <f>IFERROR(__xludf.DUMMYFUNCTION("""COMPUTED_VALUE"""),"Patrick Gilmore")</f>
        <v>Patrick Gilmore</v>
      </c>
      <c r="D363" s="4">
        <f t="array" ref="D363">IFERROR(AVERAGEIFS($B$2:$B$3757, $A$2:$A$3757, C363:C4117), "")</f>
        <v>6.7</v>
      </c>
      <c r="E363" s="4">
        <f t="shared" si="1"/>
        <v>61.3</v>
      </c>
      <c r="F363" s="4" t="str">
        <f t="array" ref="F363">IF(D363&gt;=_xlfn.PERCENTILE.INC(D363:D2021, 0.9), "High", "Low")</f>
        <v>Low</v>
      </c>
      <c r="L363" s="4" t="str">
        <f t="shared" si="2"/>
        <v/>
      </c>
    </row>
    <row r="364" ht="14.25" customHeight="1">
      <c r="A364" s="1" t="s">
        <v>1248</v>
      </c>
      <c r="B364" s="1">
        <v>5.7</v>
      </c>
      <c r="C364" s="4" t="str">
        <f>IFERROR(__xludf.DUMMYFUNCTION("""COMPUTED_VALUE"""),"Tony Bill")</f>
        <v>Tony Bill</v>
      </c>
      <c r="D364" s="4">
        <f t="array" ref="D364">IFERROR(AVERAGEIFS($B$2:$B$3757, $A$2:$A$3757, C364:C4118), "")</f>
        <v>6.6</v>
      </c>
      <c r="E364" s="4">
        <f t="shared" si="1"/>
        <v>57.1</v>
      </c>
      <c r="F364" s="4" t="str">
        <f t="array" ref="F364">IF(D364&gt;=_xlfn.PERCENTILE.INC(D364:D2022, 0.9), "High", "Low")</f>
        <v>Low</v>
      </c>
      <c r="L364" s="4" t="str">
        <f t="shared" si="2"/>
        <v/>
      </c>
    </row>
    <row r="365" ht="14.25" customHeight="1">
      <c r="A365" s="1" t="s">
        <v>2128</v>
      </c>
      <c r="B365" s="1">
        <v>6.4</v>
      </c>
      <c r="C365" s="4" t="str">
        <f>IFERROR(__xludf.DUMMYFUNCTION("""COMPUTED_VALUE"""),"Rod Lurie")</f>
        <v>Rod Lurie</v>
      </c>
      <c r="D365" s="4">
        <f t="array" ref="D365">IFERROR(AVERAGEIFS($B$2:$B$3757, $A$2:$A$3757, C365:C4119), "")</f>
        <v>6.6</v>
      </c>
      <c r="E365" s="4">
        <f t="shared" si="1"/>
        <v>57.2</v>
      </c>
      <c r="F365" s="4" t="str">
        <f t="array" ref="F365">IF(D365&gt;=_xlfn.PERCENTILE.INC(D365:D2023, 0.9), "High", "Low")</f>
        <v>Low</v>
      </c>
      <c r="L365" s="4" t="str">
        <f t="shared" si="2"/>
        <v/>
      </c>
    </row>
    <row r="366" ht="14.25" customHeight="1">
      <c r="A366" s="1" t="s">
        <v>2137</v>
      </c>
      <c r="B366" s="1">
        <v>5.9</v>
      </c>
      <c r="C366" s="4" t="str">
        <f>IFERROR(__xludf.DUMMYFUNCTION("""COMPUTED_VALUE"""),"Walter Hill")</f>
        <v>Walter Hill</v>
      </c>
      <c r="D366" s="4">
        <f t="array" ref="D366">IFERROR(AVERAGEIFS($B$2:$B$3757, $A$2:$A$3757, C366:C4120), "")</f>
        <v>5.533333333</v>
      </c>
      <c r="E366" s="4">
        <f t="shared" si="1"/>
        <v>21.9</v>
      </c>
      <c r="F366" s="4" t="str">
        <f t="array" ref="F366">IF(D366&gt;=_xlfn.PERCENTILE.INC(D366:D2024, 0.9), "High", "Low")</f>
        <v>Low</v>
      </c>
      <c r="L366" s="4" t="str">
        <f t="shared" si="2"/>
        <v/>
      </c>
    </row>
    <row r="367" ht="14.25" customHeight="1">
      <c r="A367" s="1" t="s">
        <v>1527</v>
      </c>
      <c r="B367" s="1">
        <v>5.5</v>
      </c>
      <c r="C367" s="4" t="str">
        <f>IFERROR(__xludf.DUMMYFUNCTION("""COMPUTED_VALUE"""),"Akiva Goldsman")</f>
        <v>Akiva Goldsman</v>
      </c>
      <c r="D367" s="4">
        <f t="array" ref="D367">IFERROR(AVERAGEIFS($B$2:$B$3757, $A$2:$A$3757, C367:C4121), "")</f>
        <v>6.2</v>
      </c>
      <c r="E367" s="4">
        <f t="shared" si="1"/>
        <v>42.1</v>
      </c>
      <c r="F367" s="4" t="str">
        <f t="array" ref="F367">IF(D367&gt;=_xlfn.PERCENTILE.INC(D367:D2025, 0.9), "High", "Low")</f>
        <v>Low</v>
      </c>
      <c r="L367" s="4" t="str">
        <f t="shared" si="2"/>
        <v/>
      </c>
    </row>
    <row r="368" ht="14.25" customHeight="1">
      <c r="A368" s="1" t="s">
        <v>1034</v>
      </c>
      <c r="B368" s="1">
        <v>6.9</v>
      </c>
      <c r="C368" s="4" t="str">
        <f>IFERROR(__xludf.DUMMYFUNCTION("""COMPUTED_VALUE"""),"Harald Zwart")</f>
        <v>Harald Zwart</v>
      </c>
      <c r="D368" s="4">
        <f t="array" ref="D368">IFERROR(AVERAGEIFS($B$2:$B$3757, $A$2:$A$3757, C368:C4122), "")</f>
        <v>5.5</v>
      </c>
      <c r="E368" s="4">
        <f t="shared" si="1"/>
        <v>20.1</v>
      </c>
      <c r="F368" s="4" t="str">
        <f t="array" ref="F368">IF(D368&gt;=_xlfn.PERCENTILE.INC(D368:D2026, 0.9), "High", "Low")</f>
        <v>Low</v>
      </c>
      <c r="L368" s="4" t="str">
        <f t="shared" si="2"/>
        <v/>
      </c>
    </row>
    <row r="369" ht="14.25" customHeight="1">
      <c r="A369" s="1" t="s">
        <v>1153</v>
      </c>
      <c r="B369" s="1">
        <v>6.2</v>
      </c>
      <c r="C369" s="4" t="str">
        <f>IFERROR(__xludf.DUMMYFUNCTION("""COMPUTED_VALUE"""),"Walter Salles")</f>
        <v>Walter Salles</v>
      </c>
      <c r="D369" s="4">
        <f t="array" ref="D369">IFERROR(AVERAGEIFS($B$2:$B$3757, $A$2:$A$3757, C369:C4123), "")</f>
        <v>6.566666667</v>
      </c>
      <c r="E369" s="4">
        <f t="shared" si="1"/>
        <v>56.8</v>
      </c>
      <c r="F369" s="4" t="str">
        <f t="array" ref="F369">IF(D369&gt;=_xlfn.PERCENTILE.INC(D369:D2027, 0.9), "High", "Low")</f>
        <v>Low</v>
      </c>
      <c r="L369" s="4" t="str">
        <f t="shared" si="2"/>
        <v/>
      </c>
    </row>
    <row r="370" ht="14.25" customHeight="1">
      <c r="A370" s="1" t="s">
        <v>1656</v>
      </c>
      <c r="B370" s="1">
        <v>7.0</v>
      </c>
      <c r="C370" s="4" t="str">
        <f>IFERROR(__xludf.DUMMYFUNCTION("""COMPUTED_VALUE"""),"Iain Softley")</f>
        <v>Iain Softley</v>
      </c>
      <c r="D370" s="4">
        <f t="array" ref="D370">IFERROR(AVERAGEIFS($B$2:$B$3757, $A$2:$A$3757, C370:C4124), "")</f>
        <v>6.55</v>
      </c>
      <c r="E370" s="4">
        <f t="shared" si="1"/>
        <v>56.5</v>
      </c>
      <c r="F370" s="4" t="str">
        <f t="array" ref="F370">IF(D370&gt;=_xlfn.PERCENTILE.INC(D370:D2028, 0.9), "High", "Low")</f>
        <v>Low</v>
      </c>
      <c r="L370" s="4" t="str">
        <f t="shared" si="2"/>
        <v/>
      </c>
    </row>
    <row r="371" ht="14.25" customHeight="1">
      <c r="A371" s="1" t="s">
        <v>2161</v>
      </c>
      <c r="B371" s="1">
        <v>5.6</v>
      </c>
      <c r="C371" s="4" t="str">
        <f>IFERROR(__xludf.DUMMYFUNCTION("""COMPUTED_VALUE"""),"David Koepp")</f>
        <v>David Koepp</v>
      </c>
      <c r="D371" s="4">
        <f t="array" ref="D371">IFERROR(AVERAGEIFS($B$2:$B$3757, $A$2:$A$3757, C371:C4125), "")</f>
        <v>6.46</v>
      </c>
      <c r="E371" s="4">
        <f t="shared" si="1"/>
        <v>52.6</v>
      </c>
      <c r="F371" s="4" t="str">
        <f t="array" ref="F371">IF(D371&gt;=_xlfn.PERCENTILE.INC(D371:D2029, 0.9), "High", "Low")</f>
        <v>Low</v>
      </c>
      <c r="L371" s="4" t="str">
        <f t="shared" si="2"/>
        <v/>
      </c>
    </row>
    <row r="372" ht="14.25" customHeight="1">
      <c r="A372" s="1" t="s">
        <v>1222</v>
      </c>
      <c r="B372" s="1">
        <v>7.0</v>
      </c>
      <c r="C372" s="4" t="str">
        <f>IFERROR(__xludf.DUMMYFUNCTION("""COMPUTED_VALUE"""),"Uwe Boll")</f>
        <v>Uwe Boll</v>
      </c>
      <c r="D372" s="4">
        <f t="array" ref="D372">IFERROR(AVERAGEIFS($B$2:$B$3757, $A$2:$A$3757, C372:C4126), "")</f>
        <v>3</v>
      </c>
      <c r="E372" s="4">
        <f t="shared" si="1"/>
        <v>0.8</v>
      </c>
      <c r="F372" s="4" t="str">
        <f t="array" ref="F372">IF(D372&gt;=_xlfn.PERCENTILE.INC(D372:D2030, 0.9), "High", "Low")</f>
        <v>Low</v>
      </c>
      <c r="L372" s="4" t="str">
        <f t="shared" si="2"/>
        <v/>
      </c>
    </row>
    <row r="373" ht="14.25" customHeight="1">
      <c r="A373" s="1" t="s">
        <v>1200</v>
      </c>
      <c r="B373" s="1">
        <v>6.8</v>
      </c>
      <c r="C373" s="4" t="str">
        <f>IFERROR(__xludf.DUMMYFUNCTION("""COMPUTED_VALUE"""),"John Dahl")</f>
        <v>John Dahl</v>
      </c>
      <c r="D373" s="4">
        <f t="array" ref="D373">IFERROR(AVERAGEIFS($B$2:$B$3757, $A$2:$A$3757, C373:C4127), "")</f>
        <v>6.8</v>
      </c>
      <c r="E373" s="4">
        <f t="shared" si="1"/>
        <v>67.8</v>
      </c>
      <c r="F373" s="4" t="str">
        <f t="array" ref="F373">IF(D373&gt;=_xlfn.PERCENTILE.INC(D373:D2031, 0.9), "High", "Low")</f>
        <v>Low</v>
      </c>
      <c r="L373" s="4" t="str">
        <f t="shared" si="2"/>
        <v/>
      </c>
    </row>
    <row r="374" ht="14.25" customHeight="1">
      <c r="A374" s="1" t="s">
        <v>2175</v>
      </c>
      <c r="B374" s="1">
        <v>5.4</v>
      </c>
      <c r="C374" s="4" t="str">
        <f>IFERROR(__xludf.DUMMYFUNCTION("""COMPUTED_VALUE"""),"Tim Miller")</f>
        <v>Tim Miller</v>
      </c>
      <c r="D374" s="4">
        <f t="array" ref="D374">IFERROR(AVERAGEIFS($B$2:$B$3757, $A$2:$A$3757, C374:C4128), "")</f>
        <v>8.1</v>
      </c>
      <c r="E374" s="4">
        <f t="shared" si="1"/>
        <v>98.1</v>
      </c>
      <c r="F374" s="4" t="str">
        <f t="array" ref="F374">IF(D374&gt;=_xlfn.PERCENTILE.INC(D374:D2032, 0.9), "High", "Low")</f>
        <v>High</v>
      </c>
      <c r="L374" s="4" t="str">
        <f t="shared" si="2"/>
        <v/>
      </c>
    </row>
    <row r="375" ht="14.25" customHeight="1">
      <c r="A375" s="1" t="s">
        <v>2181</v>
      </c>
      <c r="B375" s="1">
        <v>6.1</v>
      </c>
      <c r="C375" s="4" t="str">
        <f>IFERROR(__xludf.DUMMYFUNCTION("""COMPUTED_VALUE"""),"Stephen Herek")</f>
        <v>Stephen Herek</v>
      </c>
      <c r="D375" s="4">
        <f t="array" ref="D375">IFERROR(AVERAGEIFS($B$2:$B$3757, $A$2:$A$3757, C375:C4129), "")</f>
        <v>6.128571429</v>
      </c>
      <c r="E375" s="4">
        <f t="shared" si="1"/>
        <v>41.6</v>
      </c>
      <c r="F375" s="4" t="str">
        <f t="array" ref="F375">IF(D375&gt;=_xlfn.PERCENTILE.INC(D375:D2033, 0.9), "High", "Low")</f>
        <v>Low</v>
      </c>
      <c r="L375" s="4" t="str">
        <f t="shared" si="2"/>
        <v/>
      </c>
    </row>
    <row r="376" ht="14.25" customHeight="1">
      <c r="A376" s="1" t="s">
        <v>2186</v>
      </c>
      <c r="B376" s="1">
        <v>6.7</v>
      </c>
      <c r="C376" s="4" t="str">
        <f>IFERROR(__xludf.DUMMYFUNCTION("""COMPUTED_VALUE"""),"Peter MacDonald")</f>
        <v>Peter MacDonald</v>
      </c>
      <c r="D376" s="4">
        <f t="array" ref="D376">IFERROR(AVERAGEIFS($B$2:$B$3757, $A$2:$A$3757, C376:C4130), "")</f>
        <v>5.7</v>
      </c>
      <c r="E376" s="4">
        <f t="shared" si="1"/>
        <v>26.2</v>
      </c>
      <c r="F376" s="4" t="str">
        <f t="array" ref="F376">IF(D376&gt;=_xlfn.PERCENTILE.INC(D376:D2034, 0.9), "High", "Low")</f>
        <v>Low</v>
      </c>
      <c r="L376" s="4" t="str">
        <f t="shared" si="2"/>
        <v/>
      </c>
    </row>
    <row r="377" ht="14.25" customHeight="1">
      <c r="A377" s="1" t="s">
        <v>1430</v>
      </c>
      <c r="B377" s="1">
        <v>4.3</v>
      </c>
      <c r="C377" s="4" t="str">
        <f>IFERROR(__xludf.DUMMYFUNCTION("""COMPUTED_VALUE"""),"Anthony Hemingway")</f>
        <v>Anthony Hemingway</v>
      </c>
      <c r="D377" s="4">
        <f t="array" ref="D377">IFERROR(AVERAGEIFS($B$2:$B$3757, $A$2:$A$3757, C377:C4131), "")</f>
        <v>5.9</v>
      </c>
      <c r="E377" s="4">
        <f t="shared" si="1"/>
        <v>30.5</v>
      </c>
      <c r="F377" s="4" t="str">
        <f t="array" ref="F377">IF(D377&gt;=_xlfn.PERCENTILE.INC(D377:D2035, 0.9), "High", "Low")</f>
        <v>Low</v>
      </c>
      <c r="L377" s="4" t="str">
        <f t="shared" si="2"/>
        <v/>
      </c>
    </row>
    <row r="378" ht="14.25" customHeight="1">
      <c r="A378" s="1" t="s">
        <v>2192</v>
      </c>
      <c r="B378" s="1">
        <v>6.9</v>
      </c>
      <c r="C378" s="4" t="str">
        <f>IFERROR(__xludf.DUMMYFUNCTION("""COMPUTED_VALUE"""),"Sean Anders")</f>
        <v>Sean Anders</v>
      </c>
      <c r="D378" s="4">
        <f t="array" ref="D378">IFERROR(AVERAGEIFS($B$2:$B$3757, $A$2:$A$3757, C378:C4132), "")</f>
        <v>6.125</v>
      </c>
      <c r="E378" s="4">
        <f t="shared" si="1"/>
        <v>41.4</v>
      </c>
      <c r="F378" s="4" t="str">
        <f t="array" ref="F378">IF(D378&gt;=_xlfn.PERCENTILE.INC(D378:D2036, 0.9), "High", "Low")</f>
        <v>Low</v>
      </c>
      <c r="L378" s="4" t="str">
        <f t="shared" si="2"/>
        <v/>
      </c>
    </row>
    <row r="379" ht="14.25" customHeight="1">
      <c r="A379" s="1" t="s">
        <v>813</v>
      </c>
      <c r="B379" s="1">
        <v>8.0</v>
      </c>
      <c r="C379" s="4" t="str">
        <f>IFERROR(__xludf.DUMMYFUNCTION("""COMPUTED_VALUE"""),"Mark Neveldine")</f>
        <v>Mark Neveldine</v>
      </c>
      <c r="D379" s="4">
        <f t="array" ref="D379">IFERROR(AVERAGEIFS($B$2:$B$3757, $A$2:$A$3757, C379:C4133), "")</f>
        <v>5.56</v>
      </c>
      <c r="E379" s="4">
        <f t="shared" si="1"/>
        <v>22.1</v>
      </c>
      <c r="F379" s="4" t="str">
        <f t="array" ref="F379">IF(D379&gt;=_xlfn.PERCENTILE.INC(D379:D2037, 0.9), "High", "Low")</f>
        <v>Low</v>
      </c>
      <c r="L379" s="4" t="str">
        <f t="shared" si="2"/>
        <v/>
      </c>
    </row>
    <row r="380" ht="14.25" customHeight="1">
      <c r="A380" s="1" t="s">
        <v>2204</v>
      </c>
      <c r="B380" s="1">
        <v>4.4</v>
      </c>
      <c r="C380" s="4" t="str">
        <f>IFERROR(__xludf.DUMMYFUNCTION("""COMPUTED_VALUE"""),"John Madden")</f>
        <v>John Madden</v>
      </c>
      <c r="D380" s="4">
        <f t="array" ref="D380">IFERROR(AVERAGEIFS($B$2:$B$3757, $A$2:$A$3757, C380:C4134), "")</f>
        <v>6.78</v>
      </c>
      <c r="E380" s="4">
        <f t="shared" si="1"/>
        <v>64.7</v>
      </c>
      <c r="F380" s="4" t="str">
        <f t="array" ref="F380">IF(D380&gt;=_xlfn.PERCENTILE.INC(D380:D2038, 0.9), "High", "Low")</f>
        <v>Low</v>
      </c>
      <c r="L380" s="4" t="str">
        <f t="shared" si="2"/>
        <v/>
      </c>
    </row>
    <row r="381" ht="14.25" customHeight="1">
      <c r="A381" s="1" t="s">
        <v>2211</v>
      </c>
      <c r="B381" s="1">
        <v>7.3</v>
      </c>
      <c r="C381" s="4" t="str">
        <f>IFERROR(__xludf.DUMMYFUNCTION("""COMPUTED_VALUE"""),"Kevin Bray")</f>
        <v>Kevin Bray</v>
      </c>
      <c r="D381" s="4">
        <f t="array" ref="D381">IFERROR(AVERAGEIFS($B$2:$B$3757, $A$2:$A$3757, C381:C4135), "")</f>
        <v>5.95</v>
      </c>
      <c r="E381" s="4">
        <f t="shared" si="1"/>
        <v>33.9</v>
      </c>
      <c r="F381" s="4" t="str">
        <f t="array" ref="F381">IF(D381&gt;=_xlfn.PERCENTILE.INC(D381:D2039, 0.9), "High", "Low")</f>
        <v>Low</v>
      </c>
      <c r="L381" s="4" t="str">
        <f t="shared" si="2"/>
        <v/>
      </c>
    </row>
    <row r="382" ht="14.25" customHeight="1">
      <c r="A382" s="1" t="s">
        <v>1527</v>
      </c>
      <c r="B382" s="1">
        <v>6.3</v>
      </c>
      <c r="C382" s="4" t="str">
        <f>IFERROR(__xludf.DUMMYFUNCTION("""COMPUTED_VALUE"""),"Mike Gabriel")</f>
        <v>Mike Gabriel</v>
      </c>
      <c r="D382" s="4">
        <f t="array" ref="D382">IFERROR(AVERAGEIFS($B$2:$B$3757, $A$2:$A$3757, C382:C4136), "")</f>
        <v>6.6</v>
      </c>
      <c r="E382" s="4">
        <f t="shared" si="1"/>
        <v>56.9</v>
      </c>
      <c r="F382" s="4" t="str">
        <f t="array" ref="F382">IF(D382&gt;=_xlfn.PERCENTILE.INC(D382:D2040, 0.9), "High", "Low")</f>
        <v>Low</v>
      </c>
      <c r="L382" s="4" t="str">
        <f t="shared" si="2"/>
        <v/>
      </c>
    </row>
    <row r="383" ht="14.25" customHeight="1">
      <c r="A383" s="1" t="s">
        <v>484</v>
      </c>
      <c r="B383" s="1">
        <v>6.7</v>
      </c>
      <c r="C383" s="4" t="str">
        <f>IFERROR(__xludf.DUMMYFUNCTION("""COMPUTED_VALUE"""),"Sam Weisman")</f>
        <v>Sam Weisman</v>
      </c>
      <c r="D383" s="4">
        <f t="array" ref="D383">IFERROR(AVERAGEIFS($B$2:$B$3757, $A$2:$A$3757, C383:C4137), "")</f>
        <v>5.45</v>
      </c>
      <c r="E383" s="4">
        <f t="shared" si="1"/>
        <v>19.6</v>
      </c>
      <c r="F383" s="4" t="str">
        <f t="array" ref="F383">IF(D383&gt;=_xlfn.PERCENTILE.INC(D383:D2041, 0.9), "High", "Low")</f>
        <v>Low</v>
      </c>
      <c r="L383" s="4" t="str">
        <f t="shared" si="2"/>
        <v/>
      </c>
    </row>
    <row r="384" ht="14.25" customHeight="1">
      <c r="A384" s="1" t="s">
        <v>420</v>
      </c>
      <c r="B384" s="1">
        <v>7.7</v>
      </c>
      <c r="C384" s="4" t="str">
        <f>IFERROR(__xludf.DUMMYFUNCTION("""COMPUTED_VALUE"""),"Jesse Dylan")</f>
        <v>Jesse Dylan</v>
      </c>
      <c r="D384" s="4">
        <f t="array" ref="D384">IFERROR(AVERAGEIFS($B$2:$B$3757, $A$2:$A$3757, C384:C4138), "")</f>
        <v>6.033333333</v>
      </c>
      <c r="E384" s="4">
        <f t="shared" si="1"/>
        <v>37.1</v>
      </c>
      <c r="F384" s="4" t="str">
        <f t="array" ref="F384">IF(D384&gt;=_xlfn.PERCENTILE.INC(D384:D2042, 0.9), "High", "Low")</f>
        <v>Low</v>
      </c>
      <c r="L384" s="4" t="str">
        <f t="shared" si="2"/>
        <v/>
      </c>
    </row>
    <row r="385" ht="14.25" customHeight="1">
      <c r="A385" s="1" t="s">
        <v>808</v>
      </c>
      <c r="B385" s="1">
        <v>6.5</v>
      </c>
      <c r="C385" s="4" t="str">
        <f>IFERROR(__xludf.DUMMYFUNCTION("""COMPUTED_VALUE"""),"Wayne Wang")</f>
        <v>Wayne Wang</v>
      </c>
      <c r="D385" s="4">
        <f t="array" ref="D385">IFERROR(AVERAGEIFS($B$2:$B$3757, $A$2:$A$3757, C385:C4139), "")</f>
        <v>6</v>
      </c>
      <c r="E385" s="4">
        <f t="shared" si="1"/>
        <v>34.5</v>
      </c>
      <c r="F385" s="4" t="str">
        <f t="array" ref="F385">IF(D385&gt;=_xlfn.PERCENTILE.INC(D385:D2043, 0.9), "High", "Low")</f>
        <v>Low</v>
      </c>
      <c r="L385" s="4" t="str">
        <f t="shared" si="2"/>
        <v/>
      </c>
    </row>
    <row r="386" ht="14.25" customHeight="1">
      <c r="A386" s="1" t="s">
        <v>1110</v>
      </c>
      <c r="B386" s="1">
        <v>7.8</v>
      </c>
      <c r="C386" s="4" t="str">
        <f>IFERROR(__xludf.DUMMYFUNCTION("""COMPUTED_VALUE"""),"Gabriele Muccino")</f>
        <v>Gabriele Muccino</v>
      </c>
      <c r="D386" s="4">
        <f t="array" ref="D386">IFERROR(AVERAGEIFS($B$2:$B$3757, $A$2:$A$3757, C386:C4140), "")</f>
        <v>6.975</v>
      </c>
      <c r="E386" s="4">
        <f t="shared" si="1"/>
        <v>72.7</v>
      </c>
      <c r="F386" s="4" t="str">
        <f t="array" ref="F386">IF(D386&gt;=_xlfn.PERCENTILE.INC(D386:D2044, 0.9), "High", "Low")</f>
        <v>Low</v>
      </c>
      <c r="L386" s="4" t="str">
        <f t="shared" si="2"/>
        <v/>
      </c>
    </row>
    <row r="387" ht="14.25" customHeight="1">
      <c r="A387" s="1" t="s">
        <v>673</v>
      </c>
      <c r="B387" s="1">
        <v>6.4</v>
      </c>
      <c r="C387" s="4" t="str">
        <f>IFERROR(__xludf.DUMMYFUNCTION("""COMPUTED_VALUE"""),"Tom Dey")</f>
        <v>Tom Dey</v>
      </c>
      <c r="D387" s="4">
        <f t="array" ref="D387">IFERROR(AVERAGEIFS($B$2:$B$3757, $A$2:$A$3757, C387:C4141), "")</f>
        <v>5.466666667</v>
      </c>
      <c r="E387" s="4">
        <f t="shared" si="1"/>
        <v>20.2</v>
      </c>
      <c r="F387" s="4" t="str">
        <f t="array" ref="F387">IF(D387&gt;=_xlfn.PERCENTILE.INC(D387:D2045, 0.9), "High", "Low")</f>
        <v>Low</v>
      </c>
      <c r="L387" s="4" t="str">
        <f t="shared" si="2"/>
        <v/>
      </c>
    </row>
    <row r="388" ht="14.25" customHeight="1">
      <c r="A388" s="1" t="s">
        <v>1456</v>
      </c>
      <c r="B388" s="1">
        <v>7.8</v>
      </c>
      <c r="C388" s="4" t="str">
        <f>IFERROR(__xludf.DUMMYFUNCTION("""COMPUTED_VALUE"""),"Jimmy Hayward")</f>
        <v>Jimmy Hayward</v>
      </c>
      <c r="D388" s="4">
        <f t="array" ref="D388">IFERROR(AVERAGEIFS($B$2:$B$3757, $A$2:$A$3757, C388:C4142), "")</f>
        <v>5.3</v>
      </c>
      <c r="E388" s="4">
        <f t="shared" si="1"/>
        <v>17.7</v>
      </c>
      <c r="F388" s="4" t="str">
        <f t="array" ref="F388">IF(D388&gt;=_xlfn.PERCENTILE.INC(D388:D2046, 0.9), "High", "Low")</f>
        <v>Low</v>
      </c>
      <c r="L388" s="4" t="str">
        <f t="shared" si="2"/>
        <v/>
      </c>
    </row>
    <row r="389" ht="14.25" customHeight="1">
      <c r="A389" s="1" t="s">
        <v>2246</v>
      </c>
      <c r="B389" s="1">
        <v>5.8</v>
      </c>
      <c r="C389" s="4" t="str">
        <f>IFERROR(__xludf.DUMMYFUNCTION("""COMPUTED_VALUE"""),"Alan Parker")</f>
        <v>Alan Parker</v>
      </c>
      <c r="D389" s="4">
        <f t="array" ref="D389">IFERROR(AVERAGEIFS($B$2:$B$3757, $A$2:$A$3757, C389:C4143), "")</f>
        <v>7.033333333</v>
      </c>
      <c r="E389" s="4">
        <f t="shared" si="1"/>
        <v>76.9</v>
      </c>
      <c r="F389" s="4" t="str">
        <f t="array" ref="F389">IF(D389&gt;=_xlfn.PERCENTILE.INC(D389:D2047, 0.9), "High", "Low")</f>
        <v>Low</v>
      </c>
      <c r="L389" s="4" t="str">
        <f t="shared" si="2"/>
        <v/>
      </c>
    </row>
    <row r="390" ht="14.25" customHeight="1">
      <c r="A390" s="1" t="s">
        <v>2250</v>
      </c>
      <c r="B390" s="1">
        <v>7.1</v>
      </c>
      <c r="C390" s="4" t="str">
        <f>IFERROR(__xludf.DUMMYFUNCTION("""COMPUTED_VALUE"""),"John Frankenheimer")</f>
        <v>John Frankenheimer</v>
      </c>
      <c r="D390" s="4">
        <f t="array" ref="D390">IFERROR(AVERAGEIFS($B$2:$B$3757, $A$2:$A$3757, C390:C4144), "")</f>
        <v>5.8</v>
      </c>
      <c r="E390" s="4">
        <f t="shared" si="1"/>
        <v>28.1</v>
      </c>
      <c r="F390" s="4" t="str">
        <f t="array" ref="F390">IF(D390&gt;=_xlfn.PERCENTILE.INC(D390:D2048, 0.9), "High", "Low")</f>
        <v>Low</v>
      </c>
      <c r="L390" s="4" t="str">
        <f t="shared" si="2"/>
        <v/>
      </c>
    </row>
    <row r="391" ht="14.25" customHeight="1">
      <c r="A391" s="1" t="s">
        <v>2254</v>
      </c>
      <c r="B391" s="1">
        <v>7.1</v>
      </c>
      <c r="C391" s="4" t="str">
        <f>IFERROR(__xludf.DUMMYFUNCTION("""COMPUTED_VALUE"""),"Paul King")</f>
        <v>Paul King</v>
      </c>
      <c r="D391" s="4">
        <f t="array" ref="D391">IFERROR(AVERAGEIFS($B$2:$B$3757, $A$2:$A$3757, C391:C4145), "")</f>
        <v>7.2</v>
      </c>
      <c r="E391" s="4">
        <f t="shared" si="1"/>
        <v>81.4</v>
      </c>
      <c r="F391" s="4" t="str">
        <f t="array" ref="F391">IF(D391&gt;=_xlfn.PERCENTILE.INC(D391:D2049, 0.9), "High", "Low")</f>
        <v>Low</v>
      </c>
      <c r="L391" s="4" t="str">
        <f t="shared" si="2"/>
        <v/>
      </c>
    </row>
    <row r="392" ht="14.25" customHeight="1">
      <c r="A392" s="1" t="s">
        <v>2262</v>
      </c>
      <c r="B392" s="1">
        <v>6.8</v>
      </c>
      <c r="C392" s="4" t="str">
        <f>IFERROR(__xludf.DUMMYFUNCTION("""COMPUTED_VALUE"""),"Akiva Schaffer")</f>
        <v>Akiva Schaffer</v>
      </c>
      <c r="D392" s="4">
        <f t="array" ref="D392">IFERROR(AVERAGEIFS($B$2:$B$3757, $A$2:$A$3757, C392:C4146), "")</f>
        <v>5.7</v>
      </c>
      <c r="E392" s="4">
        <f t="shared" si="1"/>
        <v>26.2</v>
      </c>
      <c r="F392" s="4" t="str">
        <f t="array" ref="F392">IF(D392&gt;=_xlfn.PERCENTILE.INC(D392:D2050, 0.9), "High", "Low")</f>
        <v>Low</v>
      </c>
      <c r="L392" s="4" t="str">
        <f t="shared" si="2"/>
        <v/>
      </c>
    </row>
    <row r="393" ht="14.25" customHeight="1">
      <c r="A393" s="1" t="s">
        <v>2254</v>
      </c>
      <c r="B393" s="1">
        <v>4.8</v>
      </c>
      <c r="C393" s="4" t="str">
        <f>IFERROR(__xludf.DUMMYFUNCTION("""COMPUTED_VALUE"""),"William Friedkin")</f>
        <v>William Friedkin</v>
      </c>
      <c r="D393" s="4">
        <f t="array" ref="D393">IFERROR(AVERAGEIFS($B$2:$B$3757, $A$2:$A$3757, C393:C4147), "")</f>
        <v>6.45</v>
      </c>
      <c r="E393" s="4">
        <f t="shared" si="1"/>
        <v>52.1</v>
      </c>
      <c r="F393" s="4" t="str">
        <f t="array" ref="F393">IF(D393&gt;=_xlfn.PERCENTILE.INC(D393:D2051, 0.9), "High", "Low")</f>
        <v>Low</v>
      </c>
      <c r="L393" s="4" t="str">
        <f t="shared" si="2"/>
        <v/>
      </c>
    </row>
    <row r="394" ht="14.25" customHeight="1">
      <c r="A394" s="1" t="s">
        <v>252</v>
      </c>
      <c r="B394" s="1">
        <v>6.2</v>
      </c>
      <c r="C394" s="4" t="str">
        <f>IFERROR(__xludf.DUMMYFUNCTION("""COMPUTED_VALUE"""),"Kent Alterman")</f>
        <v>Kent Alterman</v>
      </c>
      <c r="D394" s="4">
        <f t="array" ref="D394">IFERROR(AVERAGEIFS($B$2:$B$3757, $A$2:$A$3757, C394:C4148), "")</f>
        <v>5.8</v>
      </c>
      <c r="E394" s="4">
        <f t="shared" si="1"/>
        <v>28.1</v>
      </c>
      <c r="F394" s="4" t="str">
        <f t="array" ref="F394">IF(D394&gt;=_xlfn.PERCENTILE.INC(D394:D2052, 0.9), "High", "Low")</f>
        <v>Low</v>
      </c>
      <c r="L394" s="4" t="str">
        <f t="shared" si="2"/>
        <v/>
      </c>
    </row>
    <row r="395" ht="14.25" customHeight="1">
      <c r="A395" s="1" t="s">
        <v>2275</v>
      </c>
      <c r="B395" s="1">
        <v>6.9</v>
      </c>
      <c r="C395" s="4" t="str">
        <f>IFERROR(__xludf.DUMMYFUNCTION("""COMPUTED_VALUE"""),"Peter Lord")</f>
        <v>Peter Lord</v>
      </c>
      <c r="D395" s="4">
        <f t="array" ref="D395">IFERROR(AVERAGEIFS($B$2:$B$3757, $A$2:$A$3757, C395:C4149), "")</f>
        <v>6.85</v>
      </c>
      <c r="E395" s="4">
        <f t="shared" si="1"/>
        <v>67.9</v>
      </c>
      <c r="F395" s="4" t="str">
        <f t="array" ref="F395">IF(D395&gt;=_xlfn.PERCENTILE.INC(D395:D2053, 0.9), "High", "Low")</f>
        <v>Low</v>
      </c>
      <c r="L395" s="4" t="str">
        <f t="shared" si="2"/>
        <v/>
      </c>
    </row>
    <row r="396" ht="14.25" customHeight="1">
      <c r="A396" s="1" t="s">
        <v>1656</v>
      </c>
      <c r="B396" s="1">
        <v>7.3</v>
      </c>
      <c r="C396" s="4" t="str">
        <f>IFERROR(__xludf.DUMMYFUNCTION("""COMPUTED_VALUE"""),"Shekhar Kapur")</f>
        <v>Shekhar Kapur</v>
      </c>
      <c r="D396" s="4">
        <f t="array" ref="D396">IFERROR(AVERAGEIFS($B$2:$B$3757, $A$2:$A$3757, C396:C4150), "")</f>
        <v>6.966666667</v>
      </c>
      <c r="E396" s="4">
        <f t="shared" si="1"/>
        <v>72.6</v>
      </c>
      <c r="F396" s="4" t="str">
        <f t="array" ref="F396">IF(D396&gt;=_xlfn.PERCENTILE.INC(D396:D2054, 0.9), "High", "Low")</f>
        <v>Low</v>
      </c>
      <c r="L396" s="4" t="str">
        <f t="shared" si="2"/>
        <v/>
      </c>
    </row>
    <row r="397" ht="14.25" customHeight="1">
      <c r="A397" s="1" t="s">
        <v>2275</v>
      </c>
      <c r="B397" s="1">
        <v>6.6</v>
      </c>
      <c r="C397" s="4" t="str">
        <f>IFERROR(__xludf.DUMMYFUNCTION("""COMPUTED_VALUE"""),"Karyn Kusama")</f>
        <v>Karyn Kusama</v>
      </c>
      <c r="D397" s="4">
        <f t="array" ref="D397">IFERROR(AVERAGEIFS($B$2:$B$3757, $A$2:$A$3757, C397:C4151), "")</f>
        <v>5.3</v>
      </c>
      <c r="E397" s="4">
        <f t="shared" si="1"/>
        <v>15.3</v>
      </c>
      <c r="F397" s="4" t="str">
        <f t="array" ref="F397">IF(D397&gt;=_xlfn.PERCENTILE.INC(D397:D2055, 0.9), "High", "Low")</f>
        <v>Low</v>
      </c>
      <c r="L397" s="4" t="str">
        <f t="shared" si="2"/>
        <v/>
      </c>
    </row>
    <row r="398" ht="14.25" customHeight="1">
      <c r="A398" s="1" t="s">
        <v>1456</v>
      </c>
      <c r="B398" s="1">
        <v>6.9</v>
      </c>
      <c r="C398" s="4" t="str">
        <f>IFERROR(__xludf.DUMMYFUNCTION("""COMPUTED_VALUE"""),"Ron Maxwell")</f>
        <v>Ron Maxwell</v>
      </c>
      <c r="D398" s="4">
        <f t="array" ref="D398">IFERROR(AVERAGEIFS($B$2:$B$3757, $A$2:$A$3757, C398:C4152), "")</f>
        <v>7</v>
      </c>
      <c r="E398" s="4">
        <f t="shared" si="1"/>
        <v>72.9</v>
      </c>
      <c r="F398" s="4" t="str">
        <f t="array" ref="F398">IF(D398&gt;=_xlfn.PERCENTILE.INC(D398:D2056, 0.9), "High", "Low")</f>
        <v>Low</v>
      </c>
      <c r="L398" s="4" t="str">
        <f t="shared" si="2"/>
        <v/>
      </c>
    </row>
    <row r="399" ht="14.25" customHeight="1">
      <c r="A399" s="1" t="s">
        <v>2295</v>
      </c>
      <c r="B399" s="1">
        <v>6.2</v>
      </c>
      <c r="C399" s="4" t="str">
        <f>IFERROR(__xludf.DUMMYFUNCTION("""COMPUTED_VALUE"""),"Robert Butler")</f>
        <v>Robert Butler</v>
      </c>
      <c r="D399" s="4">
        <f t="array" ref="D399">IFERROR(AVERAGEIFS($B$2:$B$3757, $A$2:$A$3757, C399:C4153), "")</f>
        <v>4.7</v>
      </c>
      <c r="E399" s="4">
        <f t="shared" si="1"/>
        <v>7.8</v>
      </c>
      <c r="F399" s="4" t="str">
        <f t="array" ref="F399">IF(D399&gt;=_xlfn.PERCENTILE.INC(D399:D2057, 0.9), "High", "Low")</f>
        <v>Low</v>
      </c>
      <c r="L399" s="4" t="str">
        <f t="shared" si="2"/>
        <v/>
      </c>
    </row>
    <row r="400" ht="14.25" customHeight="1">
      <c r="A400" s="1" t="s">
        <v>2301</v>
      </c>
      <c r="B400" s="1">
        <v>6.7</v>
      </c>
      <c r="C400" s="4" t="str">
        <f>IFERROR(__xludf.DUMMYFUNCTION("""COMPUTED_VALUE"""),"Karey Kirkpatrick")</f>
        <v>Karey Kirkpatrick</v>
      </c>
      <c r="D400" s="4">
        <f t="array" ref="D400">IFERROR(AVERAGEIFS($B$2:$B$3757, $A$2:$A$3757, C400:C4154), "")</f>
        <v>5.6</v>
      </c>
      <c r="E400" s="4">
        <f t="shared" si="1"/>
        <v>22.2</v>
      </c>
      <c r="F400" s="4" t="str">
        <f t="array" ref="F400">IF(D400&gt;=_xlfn.PERCENTILE.INC(D400:D2058, 0.9), "High", "Low")</f>
        <v>Low</v>
      </c>
      <c r="L400" s="4" t="str">
        <f t="shared" si="2"/>
        <v/>
      </c>
    </row>
    <row r="401" ht="14.25" customHeight="1">
      <c r="A401" s="1" t="s">
        <v>2305</v>
      </c>
      <c r="B401" s="1">
        <v>7.6</v>
      </c>
      <c r="C401" s="4" t="str">
        <f>IFERROR(__xludf.DUMMYFUNCTION("""COMPUTED_VALUE"""),"Steve Antin")</f>
        <v>Steve Antin</v>
      </c>
      <c r="D401" s="4">
        <f t="array" ref="D401">IFERROR(AVERAGEIFS($B$2:$B$3757, $A$2:$A$3757, C401:C4155), "")</f>
        <v>6.4</v>
      </c>
      <c r="E401" s="4">
        <f t="shared" si="1"/>
        <v>48.6</v>
      </c>
      <c r="F401" s="4" t="str">
        <f t="array" ref="F401">IF(D401&gt;=_xlfn.PERCENTILE.INC(D401:D2059, 0.9), "High", "Low")</f>
        <v>Low</v>
      </c>
      <c r="L401" s="4" t="str">
        <f t="shared" si="2"/>
        <v/>
      </c>
    </row>
    <row r="402" ht="14.25" customHeight="1">
      <c r="A402" s="1" t="s">
        <v>217</v>
      </c>
      <c r="B402" s="1">
        <v>6.7</v>
      </c>
      <c r="C402" s="4" t="str">
        <f>IFERROR(__xludf.DUMMYFUNCTION("""COMPUTED_VALUE"""),"Francis Ford Coppola")</f>
        <v>Francis Ford Coppola</v>
      </c>
      <c r="D402" s="4">
        <f t="array" ref="D402">IFERROR(AVERAGEIFS($B$2:$B$3757, $A$2:$A$3757, C402:C4156), "")</f>
        <v>7.655555556</v>
      </c>
      <c r="E402" s="4">
        <f t="shared" si="1"/>
        <v>93.6</v>
      </c>
      <c r="F402" s="4" t="str">
        <f t="array" ref="F402">IF(D402&gt;=_xlfn.PERCENTILE.INC(D402:D2060, 0.9), "High", "Low")</f>
        <v>High</v>
      </c>
      <c r="L402" s="4" t="str">
        <f t="shared" si="2"/>
        <v/>
      </c>
    </row>
    <row r="403" ht="14.25" customHeight="1">
      <c r="A403" s="1" t="s">
        <v>1255</v>
      </c>
      <c r="B403" s="1">
        <v>6.2</v>
      </c>
      <c r="C403" s="4" t="str">
        <f>IFERROR(__xludf.DUMMYFUNCTION("""COMPUTED_VALUE"""),"Richard Lester")</f>
        <v>Richard Lester</v>
      </c>
      <c r="D403" s="4">
        <f t="array" ref="D403">IFERROR(AVERAGEIFS($B$2:$B$3757, $A$2:$A$3757, C403:C4157), "")</f>
        <v>6.466666667</v>
      </c>
      <c r="E403" s="4">
        <f t="shared" si="1"/>
        <v>52.4</v>
      </c>
      <c r="F403" s="4" t="str">
        <f t="array" ref="F403">IF(D403&gt;=_xlfn.PERCENTILE.INC(D403:D2061, 0.9), "High", "Low")</f>
        <v>Low</v>
      </c>
      <c r="L403" s="4" t="str">
        <f t="shared" si="2"/>
        <v/>
      </c>
    </row>
    <row r="404" ht="14.25" customHeight="1">
      <c r="A404" s="1" t="s">
        <v>149</v>
      </c>
      <c r="B404" s="1">
        <v>7.3</v>
      </c>
      <c r="C404" s="4" t="str">
        <f>IFERROR(__xludf.DUMMYFUNCTION("""COMPUTED_VALUE"""),"Scott Cooper")</f>
        <v>Scott Cooper</v>
      </c>
      <c r="D404" s="4">
        <f t="array" ref="D404">IFERROR(AVERAGEIFS($B$2:$B$3757, $A$2:$A$3757, C404:C4158), "")</f>
        <v>7.033333333</v>
      </c>
      <c r="E404" s="4">
        <f t="shared" si="1"/>
        <v>76.8</v>
      </c>
      <c r="F404" s="4" t="str">
        <f t="array" ref="F404">IF(D404&gt;=_xlfn.PERCENTILE.INC(D404:D2062, 0.9), "High", "Low")</f>
        <v>Low</v>
      </c>
      <c r="L404" s="4" t="str">
        <f t="shared" si="2"/>
        <v/>
      </c>
    </row>
    <row r="405" ht="14.25" customHeight="1">
      <c r="A405" s="1" t="s">
        <v>394</v>
      </c>
      <c r="B405" s="1">
        <v>6.0</v>
      </c>
      <c r="C405" s="4" t="str">
        <f>IFERROR(__xludf.DUMMYFUNCTION("""COMPUTED_VALUE"""),"Robert Rodriguez")</f>
        <v>Robert Rodriguez</v>
      </c>
      <c r="D405" s="4">
        <f t="array" ref="D405">IFERROR(AVERAGEIFS($B$2:$B$3757, $A$2:$A$3757, C405:C4159), "")</f>
        <v>5.692307692</v>
      </c>
      <c r="E405" s="4">
        <f t="shared" si="1"/>
        <v>25.9</v>
      </c>
      <c r="F405" s="4" t="str">
        <f t="array" ref="F405">IF(D405&gt;=_xlfn.PERCENTILE.INC(D405:D2063, 0.9), "High", "Low")</f>
        <v>Low</v>
      </c>
      <c r="L405" s="4" t="str">
        <f t="shared" si="2"/>
        <v/>
      </c>
    </row>
    <row r="406" ht="14.25" customHeight="1">
      <c r="A406" s="1" t="s">
        <v>2332</v>
      </c>
      <c r="B406" s="1">
        <v>7.1</v>
      </c>
      <c r="C406" s="4" t="str">
        <f>IFERROR(__xludf.DUMMYFUNCTION("""COMPUTED_VALUE"""),"Curtis Hanson")</f>
        <v>Curtis Hanson</v>
      </c>
      <c r="D406" s="4">
        <f t="array" ref="D406">IFERROR(AVERAGEIFS($B$2:$B$3757, $A$2:$A$3757, C406:C4160), "")</f>
        <v>6.98</v>
      </c>
      <c r="E406" s="4">
        <f t="shared" si="1"/>
        <v>72.7</v>
      </c>
      <c r="F406" s="4" t="str">
        <f t="array" ref="F406">IF(D406&gt;=_xlfn.PERCENTILE.INC(D406:D2064, 0.9), "High", "Low")</f>
        <v>Low</v>
      </c>
      <c r="L406" s="4" t="str">
        <f t="shared" si="2"/>
        <v/>
      </c>
    </row>
    <row r="407" ht="14.25" customHeight="1">
      <c r="A407" s="1" t="s">
        <v>2338</v>
      </c>
      <c r="B407" s="1">
        <v>7.1</v>
      </c>
      <c r="C407" s="4" t="str">
        <f>IFERROR(__xludf.DUMMYFUNCTION("""COMPUTED_VALUE"""),"Phyllida Lloyd")</f>
        <v>Phyllida Lloyd</v>
      </c>
      <c r="D407" s="4">
        <f t="array" ref="D407">IFERROR(AVERAGEIFS($B$2:$B$3757, $A$2:$A$3757, C407:C4161), "")</f>
        <v>6.35</v>
      </c>
      <c r="E407" s="4">
        <f t="shared" si="1"/>
        <v>47.8</v>
      </c>
      <c r="F407" s="4" t="str">
        <f t="array" ref="F407">IF(D407&gt;=_xlfn.PERCENTILE.INC(D407:D2065, 0.9), "High", "Low")</f>
        <v>Low</v>
      </c>
      <c r="L407" s="4" t="str">
        <f t="shared" si="2"/>
        <v/>
      </c>
    </row>
    <row r="408" ht="14.25" customHeight="1">
      <c r="A408" s="1" t="s">
        <v>2342</v>
      </c>
      <c r="B408" s="1">
        <v>5.5</v>
      </c>
      <c r="C408" s="4" t="str">
        <f>IFERROR(__xludf.DUMMYFUNCTION("""COMPUTED_VALUE"""),"Jay Chandrasekhar")</f>
        <v>Jay Chandrasekhar</v>
      </c>
      <c r="D408" s="4">
        <f t="array" ref="D408">IFERROR(AVERAGEIFS($B$2:$B$3757, $A$2:$A$3757, C408:C4162), "")</f>
        <v>6.025</v>
      </c>
      <c r="E408" s="4">
        <f t="shared" si="1"/>
        <v>37</v>
      </c>
      <c r="F408" s="4" t="str">
        <f t="array" ref="F408">IF(D408&gt;=_xlfn.PERCENTILE.INC(D408:D2066, 0.9), "High", "Low")</f>
        <v>Low</v>
      </c>
      <c r="L408" s="4" t="str">
        <f t="shared" si="2"/>
        <v/>
      </c>
    </row>
    <row r="409" ht="14.25" customHeight="1">
      <c r="A409" s="1" t="s">
        <v>2349</v>
      </c>
      <c r="B409" s="1">
        <v>5.6</v>
      </c>
      <c r="C409" s="4" t="str">
        <f>IFERROR(__xludf.DUMMYFUNCTION("""COMPUTED_VALUE"""),"Terrence Malick")</f>
        <v>Terrence Malick</v>
      </c>
      <c r="D409" s="4">
        <f t="array" ref="D409">IFERROR(AVERAGEIFS($B$2:$B$3757, $A$2:$A$3757, C409:C4163), "")</f>
        <v>7</v>
      </c>
      <c r="E409" s="4">
        <f t="shared" si="1"/>
        <v>72.9</v>
      </c>
      <c r="F409" s="4" t="str">
        <f t="array" ref="F409">IF(D409&gt;=_xlfn.PERCENTILE.INC(D409:D2067, 0.9), "High", "Low")</f>
        <v>Low</v>
      </c>
      <c r="L409" s="4" t="str">
        <f t="shared" si="2"/>
        <v/>
      </c>
    </row>
    <row r="410" ht="14.25" customHeight="1">
      <c r="A410" s="1" t="s">
        <v>2354</v>
      </c>
      <c r="B410" s="1">
        <v>7.5</v>
      </c>
      <c r="C410" s="4" t="str">
        <f>IFERROR(__xludf.DUMMYFUNCTION("""COMPUTED_VALUE"""),"David Dobkin")</f>
        <v>David Dobkin</v>
      </c>
      <c r="D410" s="4">
        <f t="array" ref="D410">IFERROR(AVERAGEIFS($B$2:$B$3757, $A$2:$A$3757, C410:C4164), "")</f>
        <v>6.65</v>
      </c>
      <c r="E410" s="4">
        <f t="shared" si="1"/>
        <v>60</v>
      </c>
      <c r="F410" s="4" t="str">
        <f t="array" ref="F410">IF(D410&gt;=_xlfn.PERCENTILE.INC(D410:D2068, 0.9), "High", "Low")</f>
        <v>Low</v>
      </c>
      <c r="L410" s="4" t="str">
        <f t="shared" si="2"/>
        <v/>
      </c>
    </row>
    <row r="411" ht="14.25" customHeight="1">
      <c r="A411" s="1" t="s">
        <v>2362</v>
      </c>
      <c r="B411" s="1">
        <v>5.4</v>
      </c>
      <c r="C411" s="4" t="str">
        <f>IFERROR(__xludf.DUMMYFUNCTION("""COMPUTED_VALUE"""),"Milos Forman")</f>
        <v>Milos Forman</v>
      </c>
      <c r="D411" s="4">
        <f t="array" ref="D411">IFERROR(AVERAGEIFS($B$2:$B$3757, $A$2:$A$3757, C411:C4165), "")</f>
        <v>8.133333333</v>
      </c>
      <c r="E411" s="4">
        <f t="shared" si="1"/>
        <v>98.5</v>
      </c>
      <c r="F411" s="4" t="str">
        <f t="array" ref="F411">IF(D411&gt;=_xlfn.PERCENTILE.INC(D411:D2069, 0.9), "High", "Low")</f>
        <v>High</v>
      </c>
      <c r="L411" s="4" t="str">
        <f t="shared" si="2"/>
        <v/>
      </c>
    </row>
    <row r="412" ht="14.25" customHeight="1">
      <c r="A412" s="1" t="s">
        <v>2368</v>
      </c>
      <c r="B412" s="1">
        <v>4.3</v>
      </c>
      <c r="C412" s="4" t="str">
        <f>IFERROR(__xludf.DUMMYFUNCTION("""COMPUTED_VALUE"""),"Pierre Morel")</f>
        <v>Pierre Morel</v>
      </c>
      <c r="D412" s="4">
        <f t="array" ref="D412">IFERROR(AVERAGEIFS($B$2:$B$3757, $A$2:$A$3757, C412:C4166), "")</f>
        <v>6.85</v>
      </c>
      <c r="E412" s="4">
        <f t="shared" si="1"/>
        <v>68.7</v>
      </c>
      <c r="F412" s="4" t="str">
        <f t="array" ref="F412">IF(D412&gt;=_xlfn.PERCENTILE.INC(D412:D2070, 0.9), "High", "Low")</f>
        <v>Low</v>
      </c>
      <c r="L412" s="4" t="str">
        <f t="shared" si="2"/>
        <v/>
      </c>
    </row>
    <row r="413" ht="14.25" customHeight="1">
      <c r="A413" s="1" t="s">
        <v>1497</v>
      </c>
      <c r="B413" s="1">
        <v>4.9</v>
      </c>
      <c r="C413" s="4" t="str">
        <f>IFERROR(__xludf.DUMMYFUNCTION("""COMPUTED_VALUE"""),"Paul Hunter")</f>
        <v>Paul Hunter</v>
      </c>
      <c r="D413" s="4">
        <f t="array" ref="D413">IFERROR(AVERAGEIFS($B$2:$B$3757, $A$2:$A$3757, C413:C4167), "")</f>
        <v>5.5</v>
      </c>
      <c r="E413" s="4">
        <f t="shared" si="1"/>
        <v>20.4</v>
      </c>
      <c r="F413" s="4" t="str">
        <f t="array" ref="F413">IF(D413&gt;=_xlfn.PERCENTILE.INC(D413:D2071, 0.9), "High", "Low")</f>
        <v>Low</v>
      </c>
      <c r="L413" s="4" t="str">
        <f t="shared" si="2"/>
        <v/>
      </c>
    </row>
    <row r="414" ht="14.25" customHeight="1">
      <c r="A414" s="1" t="s">
        <v>2383</v>
      </c>
      <c r="B414" s="1">
        <v>7.1</v>
      </c>
      <c r="C414" s="4" t="str">
        <f>IFERROR(__xludf.DUMMYFUNCTION("""COMPUTED_VALUE"""),"Steve Oedekerk")</f>
        <v>Steve Oedekerk</v>
      </c>
      <c r="D414" s="4">
        <f t="array" ref="D414">IFERROR(AVERAGEIFS($B$2:$B$3757, $A$2:$A$3757, C414:C4168), "")</f>
        <v>6.2</v>
      </c>
      <c r="E414" s="4">
        <f t="shared" si="1"/>
        <v>41.8</v>
      </c>
      <c r="F414" s="4" t="str">
        <f t="array" ref="F414">IF(D414&gt;=_xlfn.PERCENTILE.INC(D414:D2072, 0.9), "High", "Low")</f>
        <v>Low</v>
      </c>
      <c r="L414" s="4" t="str">
        <f t="shared" si="2"/>
        <v/>
      </c>
    </row>
    <row r="415" ht="14.25" customHeight="1">
      <c r="A415" s="1" t="s">
        <v>1549</v>
      </c>
      <c r="B415" s="1">
        <v>6.4</v>
      </c>
      <c r="C415" s="4" t="str">
        <f>IFERROR(__xludf.DUMMYFUNCTION("""COMPUTED_VALUE"""),"George Nolfi")</f>
        <v>George Nolfi</v>
      </c>
      <c r="D415" s="4">
        <f t="array" ref="D415">IFERROR(AVERAGEIFS($B$2:$B$3757, $A$2:$A$3757, C415:C4169), "")</f>
        <v>7.1</v>
      </c>
      <c r="E415" s="4">
        <f t="shared" si="1"/>
        <v>77.4</v>
      </c>
      <c r="F415" s="4" t="str">
        <f t="array" ref="F415">IF(D415&gt;=_xlfn.PERCENTILE.INC(D415:D2073, 0.9), "High", "Low")</f>
        <v>Low</v>
      </c>
      <c r="L415" s="4" t="str">
        <f t="shared" si="2"/>
        <v/>
      </c>
    </row>
    <row r="416" ht="14.25" customHeight="1">
      <c r="A416" s="1" t="s">
        <v>1441</v>
      </c>
      <c r="B416" s="1">
        <v>4.3</v>
      </c>
      <c r="C416" s="4" t="str">
        <f>IFERROR(__xludf.DUMMYFUNCTION("""COMPUTED_VALUE"""),"Neil Jordan")</f>
        <v>Neil Jordan</v>
      </c>
      <c r="D416" s="4">
        <f t="array" ref="D416">IFERROR(AVERAGEIFS($B$2:$B$3757, $A$2:$A$3757, C416:C4170), "")</f>
        <v>6.7625</v>
      </c>
      <c r="E416" s="4">
        <f t="shared" si="1"/>
        <v>64.5</v>
      </c>
      <c r="F416" s="4" t="str">
        <f t="array" ref="F416">IF(D416&gt;=_xlfn.PERCENTILE.INC(D416:D2074, 0.9), "High", "Low")</f>
        <v>Low</v>
      </c>
      <c r="L416" s="4" t="str">
        <f t="shared" si="2"/>
        <v/>
      </c>
    </row>
    <row r="417" ht="14.25" customHeight="1">
      <c r="A417" s="1" t="s">
        <v>506</v>
      </c>
      <c r="B417" s="1">
        <v>6.1</v>
      </c>
      <c r="C417" s="4" t="str">
        <f>IFERROR(__xludf.DUMMYFUNCTION("""COMPUTED_VALUE"""),"Rawson Marshall Thurber")</f>
        <v>Rawson Marshall Thurber</v>
      </c>
      <c r="D417" s="4">
        <f t="array" ref="D417">IFERROR(AVERAGEIFS($B$2:$B$3757, $A$2:$A$3757, C417:C4171), "")</f>
        <v>6.75</v>
      </c>
      <c r="E417" s="4">
        <f t="shared" si="1"/>
        <v>64.1</v>
      </c>
      <c r="F417" s="4" t="str">
        <f t="array" ref="F417">IF(D417&gt;=_xlfn.PERCENTILE.INC(D417:D2075, 0.9), "High", "Low")</f>
        <v>Low</v>
      </c>
      <c r="L417" s="4" t="str">
        <f t="shared" si="2"/>
        <v/>
      </c>
    </row>
    <row r="418" ht="14.25" customHeight="1">
      <c r="A418" s="1" t="s">
        <v>370</v>
      </c>
      <c r="B418" s="1">
        <v>7.0</v>
      </c>
      <c r="C418" s="4" t="str">
        <f>IFERROR(__xludf.DUMMYFUNCTION("""COMPUTED_VALUE"""),"Spike Lee")</f>
        <v>Spike Lee</v>
      </c>
      <c r="D418" s="4">
        <f t="array" ref="D418">IFERROR(AVERAGEIFS($B$2:$B$3757, $A$2:$A$3757, C418:C4172), "")</f>
        <v>6.733333333</v>
      </c>
      <c r="E418" s="4">
        <f t="shared" si="1"/>
        <v>64</v>
      </c>
      <c r="F418" s="4" t="str">
        <f t="array" ref="F418">IF(D418&gt;=_xlfn.PERCENTILE.INC(D418:D2076, 0.9), "High", "Low")</f>
        <v>Low</v>
      </c>
      <c r="L418" s="4" t="str">
        <f t="shared" si="2"/>
        <v/>
      </c>
    </row>
    <row r="419" ht="14.25" customHeight="1">
      <c r="A419" s="1" t="s">
        <v>648</v>
      </c>
      <c r="B419" s="1">
        <v>7.7</v>
      </c>
      <c r="C419" s="4" t="str">
        <f>IFERROR(__xludf.DUMMYFUNCTION("""COMPUTED_VALUE"""),"Brian Helgeland")</f>
        <v>Brian Helgeland</v>
      </c>
      <c r="D419" s="4">
        <f t="array" ref="D419">IFERROR(AVERAGEIFS($B$2:$B$3757, $A$2:$A$3757, C419:C4173), "")</f>
        <v>6.72</v>
      </c>
      <c r="E419" s="4">
        <f t="shared" si="1"/>
        <v>64</v>
      </c>
      <c r="F419" s="4" t="str">
        <f t="array" ref="F419">IF(D419&gt;=_xlfn.PERCENTILE.INC(D419:D2077, 0.9), "High", "Low")</f>
        <v>Low</v>
      </c>
      <c r="L419" s="4" t="str">
        <f t="shared" si="2"/>
        <v/>
      </c>
    </row>
    <row r="420" ht="14.25" customHeight="1">
      <c r="A420" s="1" t="s">
        <v>1446</v>
      </c>
      <c r="B420" s="1">
        <v>5.9</v>
      </c>
      <c r="C420" s="4" t="str">
        <f>IFERROR(__xludf.DUMMYFUNCTION("""COMPUTED_VALUE"""),"Frank Marshall")</f>
        <v>Frank Marshall</v>
      </c>
      <c r="D420" s="4">
        <f t="array" ref="D420">IFERROR(AVERAGEIFS($B$2:$B$3757, $A$2:$A$3757, C420:C4174), "")</f>
        <v>6.425</v>
      </c>
      <c r="E420" s="4">
        <f t="shared" si="1"/>
        <v>51.6</v>
      </c>
      <c r="F420" s="4" t="str">
        <f t="array" ref="F420">IF(D420&gt;=_xlfn.PERCENTILE.INC(D420:D2078, 0.9), "High", "Low")</f>
        <v>Low</v>
      </c>
      <c r="L420" s="4" t="str">
        <f t="shared" si="2"/>
        <v/>
      </c>
    </row>
    <row r="421" ht="14.25" customHeight="1">
      <c r="A421" s="1" t="s">
        <v>499</v>
      </c>
      <c r="B421" s="1">
        <v>6.7</v>
      </c>
      <c r="C421" s="4" t="str">
        <f>IFERROR(__xludf.DUMMYFUNCTION("""COMPUTED_VALUE"""),"Peter Hewitt")</f>
        <v>Peter Hewitt</v>
      </c>
      <c r="D421" s="4">
        <f t="array" ref="D421">IFERROR(AVERAGEIFS($B$2:$B$3757, $A$2:$A$3757, C421:C4175), "")</f>
        <v>5.3</v>
      </c>
      <c r="E421" s="4">
        <f t="shared" si="1"/>
        <v>15.5</v>
      </c>
      <c r="F421" s="4" t="str">
        <f t="array" ref="F421">IF(D421&gt;=_xlfn.PERCENTILE.INC(D421:D2079, 0.9), "High", "Low")</f>
        <v>Low</v>
      </c>
      <c r="L421" s="4" t="str">
        <f t="shared" si="2"/>
        <v/>
      </c>
    </row>
    <row r="422" ht="14.25" customHeight="1">
      <c r="A422" s="1" t="s">
        <v>1702</v>
      </c>
      <c r="B422" s="1">
        <v>6.5</v>
      </c>
      <c r="C422" s="4" t="str">
        <f>IFERROR(__xludf.DUMMYFUNCTION("""COMPUTED_VALUE"""),"Joe Roth")</f>
        <v>Joe Roth</v>
      </c>
      <c r="D422" s="4">
        <f t="array" ref="D422">IFERROR(AVERAGEIFS($B$2:$B$3757, $A$2:$A$3757, C422:C4176), "")</f>
        <v>5.45</v>
      </c>
      <c r="E422" s="4">
        <f t="shared" si="1"/>
        <v>19.9</v>
      </c>
      <c r="F422" s="4" t="str">
        <f t="array" ref="F422">IF(D422&gt;=_xlfn.PERCENTILE.INC(D422:D2080, 0.9), "High", "Low")</f>
        <v>Low</v>
      </c>
      <c r="L422" s="4" t="str">
        <f t="shared" si="2"/>
        <v/>
      </c>
    </row>
    <row r="423" ht="14.25" customHeight="1">
      <c r="A423" s="1" t="s">
        <v>2161</v>
      </c>
      <c r="B423" s="1">
        <v>7.1</v>
      </c>
      <c r="C423" s="4" t="str">
        <f>IFERROR(__xludf.DUMMYFUNCTION("""COMPUTED_VALUE"""),"Bennett Miller")</f>
        <v>Bennett Miller</v>
      </c>
      <c r="D423" s="4">
        <f t="array" ref="D423">IFERROR(AVERAGEIFS($B$2:$B$3757, $A$2:$A$3757, C423:C4177), "")</f>
        <v>7.5</v>
      </c>
      <c r="E423" s="4">
        <f t="shared" si="1"/>
        <v>88.9</v>
      </c>
      <c r="F423" s="4" t="str">
        <f t="array" ref="F423">IF(D423&gt;=_xlfn.PERCENTILE.INC(D423:D2081, 0.9), "High", "Low")</f>
        <v>High</v>
      </c>
      <c r="L423" s="4" t="str">
        <f t="shared" si="2"/>
        <v/>
      </c>
    </row>
    <row r="424" ht="14.25" customHeight="1">
      <c r="A424" s="1" t="s">
        <v>2211</v>
      </c>
      <c r="B424" s="1">
        <v>7.3</v>
      </c>
      <c r="C424" s="4" t="str">
        <f>IFERROR(__xludf.DUMMYFUNCTION("""COMPUTED_VALUE"""),"Jaume Collet-Serra")</f>
        <v>Jaume Collet-Serra</v>
      </c>
      <c r="D424" s="4">
        <f t="array" ref="D424">IFERROR(AVERAGEIFS($B$2:$B$3757, $A$2:$A$3757, C424:C4178), "")</f>
        <v>6.4</v>
      </c>
      <c r="E424" s="4">
        <f t="shared" si="1"/>
        <v>48.7</v>
      </c>
      <c r="F424" s="4" t="str">
        <f t="array" ref="F424">IF(D424&gt;=_xlfn.PERCENTILE.INC(D424:D2082, 0.9), "High", "Low")</f>
        <v>Low</v>
      </c>
      <c r="L424" s="4" t="str">
        <f t="shared" si="2"/>
        <v/>
      </c>
    </row>
    <row r="425" ht="14.25" customHeight="1">
      <c r="A425" s="1" t="s">
        <v>2436</v>
      </c>
      <c r="B425" s="1">
        <v>6.5</v>
      </c>
      <c r="C425" s="4" t="str">
        <f>IFERROR(__xludf.DUMMYFUNCTION("""COMPUTED_VALUE"""),"Andy Fickman")</f>
        <v>Andy Fickman</v>
      </c>
      <c r="D425" s="4">
        <f t="array" ref="D425">IFERROR(AVERAGEIFS($B$2:$B$3757, $A$2:$A$3757, C425:C4179), "")</f>
        <v>5.766666667</v>
      </c>
      <c r="E425" s="4">
        <f t="shared" si="1"/>
        <v>28.2</v>
      </c>
      <c r="F425" s="4" t="str">
        <f t="array" ref="F425">IF(D425&gt;=_xlfn.PERCENTILE.INC(D425:D2083, 0.9), "High", "Low")</f>
        <v>Low</v>
      </c>
      <c r="L425" s="4" t="str">
        <f t="shared" si="2"/>
        <v/>
      </c>
    </row>
    <row r="426" ht="14.25" customHeight="1">
      <c r="A426" s="1" t="s">
        <v>247</v>
      </c>
      <c r="B426" s="1">
        <v>7.0</v>
      </c>
      <c r="C426" s="4" t="str">
        <f>IFERROR(__xludf.DUMMYFUNCTION("""COMPUTED_VALUE"""),"James McTeigue")</f>
        <v>James McTeigue</v>
      </c>
      <c r="D426" s="4">
        <f t="array" ref="D426">IFERROR(AVERAGEIFS($B$2:$B$3757, $A$2:$A$3757, C426:C4180), "")</f>
        <v>7</v>
      </c>
      <c r="E426" s="4">
        <f t="shared" si="1"/>
        <v>72.9</v>
      </c>
      <c r="F426" s="4" t="str">
        <f t="array" ref="F426">IF(D426&gt;=_xlfn.PERCENTILE.INC(D426:D2084, 0.9), "High", "Low")</f>
        <v>Low</v>
      </c>
      <c r="L426" s="4" t="str">
        <f t="shared" si="2"/>
        <v/>
      </c>
    </row>
    <row r="427" ht="14.25" customHeight="1">
      <c r="A427" s="1" t="s">
        <v>1130</v>
      </c>
      <c r="B427" s="1">
        <v>6.8</v>
      </c>
      <c r="C427" s="4" t="str">
        <f>IFERROR(__xludf.DUMMYFUNCTION("""COMPUTED_VALUE"""),"Matthew O'Callaghan")</f>
        <v>Matthew O'Callaghan</v>
      </c>
      <c r="D427" s="4">
        <f t="array" ref="D427">IFERROR(AVERAGEIFS($B$2:$B$3757, $A$2:$A$3757, C427:C4181), "")</f>
        <v>6.6</v>
      </c>
      <c r="E427" s="4">
        <f t="shared" si="1"/>
        <v>57.1</v>
      </c>
      <c r="F427" s="4" t="str">
        <f t="array" ref="F427">IF(D427&gt;=_xlfn.PERCENTILE.INC(D427:D2085, 0.9), "High", "Low")</f>
        <v>Low</v>
      </c>
      <c r="L427" s="4" t="str">
        <f t="shared" si="2"/>
        <v/>
      </c>
    </row>
    <row r="428" ht="14.25" customHeight="1">
      <c r="A428" s="1" t="s">
        <v>614</v>
      </c>
      <c r="B428" s="1">
        <v>7.2</v>
      </c>
      <c r="C428" s="4" t="str">
        <f>IFERROR(__xludf.DUMMYFUNCTION("""COMPUTED_VALUE"""),"Angela Robinson")</f>
        <v>Angela Robinson</v>
      </c>
      <c r="D428" s="4">
        <f t="array" ref="D428">IFERROR(AVERAGEIFS($B$2:$B$3757, $A$2:$A$3757, C428:C4182), "")</f>
        <v>5</v>
      </c>
      <c r="E428" s="4">
        <f t="shared" si="1"/>
        <v>10.6</v>
      </c>
      <c r="F428" s="4" t="str">
        <f t="array" ref="F428">IF(D428&gt;=_xlfn.PERCENTILE.INC(D428:D2086, 0.9), "High", "Low")</f>
        <v>Low</v>
      </c>
      <c r="L428" s="4" t="str">
        <f t="shared" si="2"/>
        <v/>
      </c>
    </row>
    <row r="429" ht="14.25" customHeight="1">
      <c r="A429" s="1" t="s">
        <v>2455</v>
      </c>
      <c r="B429" s="1">
        <v>6.1</v>
      </c>
      <c r="C429" s="4" t="str">
        <f>IFERROR(__xludf.DUMMYFUNCTION("""COMPUTED_VALUE"""),"Gary Fleder")</f>
        <v>Gary Fleder</v>
      </c>
      <c r="D429" s="4">
        <f t="array" ref="D429">IFERROR(AVERAGEIFS($B$2:$B$3757, $A$2:$A$3757, C429:C4183), "")</f>
        <v>6.616666667</v>
      </c>
      <c r="E429" s="4">
        <f t="shared" si="1"/>
        <v>60</v>
      </c>
      <c r="F429" s="4" t="str">
        <f t="array" ref="F429">IF(D429&gt;=_xlfn.PERCENTILE.INC(D429:D2087, 0.9), "High", "Low")</f>
        <v>Low</v>
      </c>
      <c r="L429" s="4" t="str">
        <f t="shared" si="2"/>
        <v/>
      </c>
    </row>
    <row r="430" ht="14.25" customHeight="1">
      <c r="A430" s="1" t="s">
        <v>970</v>
      </c>
      <c r="B430" s="1">
        <v>6.7</v>
      </c>
      <c r="C430" s="4" t="str">
        <f>IFERROR(__xludf.DUMMYFUNCTION("""COMPUTED_VALUE"""),"Tommy Wirkola")</f>
        <v>Tommy Wirkola</v>
      </c>
      <c r="D430" s="4">
        <f t="array" ref="D430">IFERROR(AVERAGEIFS($B$2:$B$3757, $A$2:$A$3757, C430:C4184), "")</f>
        <v>6.25</v>
      </c>
      <c r="E430" s="4">
        <f t="shared" si="1"/>
        <v>44.7</v>
      </c>
      <c r="F430" s="4" t="str">
        <f t="array" ref="F430">IF(D430&gt;=_xlfn.PERCENTILE.INC(D430:D2088, 0.9), "High", "Low")</f>
        <v>Low</v>
      </c>
      <c r="L430" s="4" t="str">
        <f t="shared" si="2"/>
        <v/>
      </c>
    </row>
    <row r="431" ht="14.25" customHeight="1">
      <c r="A431" s="1" t="s">
        <v>2368</v>
      </c>
      <c r="B431" s="1">
        <v>6.4</v>
      </c>
      <c r="C431" s="4" t="str">
        <f>IFERROR(__xludf.DUMMYFUNCTION("""COMPUTED_VALUE"""),"Adrian Lyne")</f>
        <v>Adrian Lyne</v>
      </c>
      <c r="D431" s="4">
        <f t="array" ref="D431">IFERROR(AVERAGEIFS($B$2:$B$3757, $A$2:$A$3757, C431:C4185), "")</f>
        <v>6.4</v>
      </c>
      <c r="E431" s="4">
        <f t="shared" si="1"/>
        <v>48.9</v>
      </c>
      <c r="F431" s="4" t="str">
        <f t="array" ref="F431">IF(D431&gt;=_xlfn.PERCENTILE.INC(D431:D2089, 0.9), "High", "Low")</f>
        <v>Low</v>
      </c>
      <c r="L431" s="4" t="str">
        <f t="shared" si="2"/>
        <v/>
      </c>
    </row>
    <row r="432" ht="14.25" customHeight="1">
      <c r="A432" s="1" t="s">
        <v>572</v>
      </c>
      <c r="B432" s="1">
        <v>4.4</v>
      </c>
      <c r="C432" s="4" t="str">
        <f>IFERROR(__xludf.DUMMYFUNCTION("""COMPUTED_VALUE"""),"Stephen Gaghan")</f>
        <v>Stephen Gaghan</v>
      </c>
      <c r="D432" s="4">
        <f t="array" ref="D432">IFERROR(AVERAGEIFS($B$2:$B$3757, $A$2:$A$3757, C432:C4186), "")</f>
        <v>6.3</v>
      </c>
      <c r="E432" s="4">
        <f t="shared" si="1"/>
        <v>44.9</v>
      </c>
      <c r="F432" s="4" t="str">
        <f t="array" ref="F432">IF(D432&gt;=_xlfn.PERCENTILE.INC(D432:D2090, 0.9), "High", "Low")</f>
        <v>Low</v>
      </c>
      <c r="L432" s="4" t="str">
        <f t="shared" si="2"/>
        <v/>
      </c>
    </row>
    <row r="433" ht="14.25" customHeight="1">
      <c r="A433" s="1" t="s">
        <v>2093</v>
      </c>
      <c r="B433" s="1">
        <v>5.4</v>
      </c>
      <c r="C433" s="4" t="str">
        <f>IFERROR(__xludf.DUMMYFUNCTION("""COMPUTED_VALUE"""),"Jorge R. GutiÃ©rrez")</f>
        <v>Jorge R. GutiÃ©rrez</v>
      </c>
      <c r="D433" s="4">
        <f t="array" ref="D433">IFERROR(AVERAGEIFS($B$2:$B$3757, $A$2:$A$3757, C433:C4187), "")</f>
        <v>7.3</v>
      </c>
      <c r="E433" s="4">
        <f t="shared" si="1"/>
        <v>85</v>
      </c>
      <c r="F433" s="4" t="str">
        <f t="array" ref="F433">IF(D433&gt;=_xlfn.PERCENTILE.INC(D433:D2091, 0.9), "High", "Low")</f>
        <v>Low</v>
      </c>
      <c r="L433" s="4" t="str">
        <f t="shared" si="2"/>
        <v/>
      </c>
    </row>
    <row r="434" ht="14.25" customHeight="1">
      <c r="A434" s="1" t="s">
        <v>2368</v>
      </c>
      <c r="B434" s="1">
        <v>6.5</v>
      </c>
      <c r="C434" s="4" t="str">
        <f>IFERROR(__xludf.DUMMYFUNCTION("""COMPUTED_VALUE"""),"Richard Loncraine")</f>
        <v>Richard Loncraine</v>
      </c>
      <c r="D434" s="4">
        <f t="array" ref="D434">IFERROR(AVERAGEIFS($B$2:$B$3757, $A$2:$A$3757, C434:C4188), "")</f>
        <v>6.533333333</v>
      </c>
      <c r="E434" s="4">
        <f t="shared" si="1"/>
        <v>56.4</v>
      </c>
      <c r="F434" s="4" t="str">
        <f t="array" ref="F434">IF(D434&gt;=_xlfn.PERCENTILE.INC(D434:D2092, 0.9), "High", "Low")</f>
        <v>Low</v>
      </c>
      <c r="L434" s="4" t="str">
        <f t="shared" si="2"/>
        <v/>
      </c>
    </row>
    <row r="435" ht="14.25" customHeight="1">
      <c r="A435" s="1" t="s">
        <v>2275</v>
      </c>
      <c r="B435" s="1">
        <v>6.7</v>
      </c>
      <c r="C435" s="4" t="str">
        <f>IFERROR(__xludf.DUMMYFUNCTION("""COMPUTED_VALUE"""),"Christophe Gans")</f>
        <v>Christophe Gans</v>
      </c>
      <c r="D435" s="4">
        <f t="array" ref="D435">IFERROR(AVERAGEIFS($B$2:$B$3757, $A$2:$A$3757, C435:C4189), "")</f>
        <v>6.6</v>
      </c>
      <c r="E435" s="4">
        <f t="shared" si="1"/>
        <v>57</v>
      </c>
      <c r="F435" s="4" t="str">
        <f t="array" ref="F435">IF(D435&gt;=_xlfn.PERCENTILE.INC(D435:D2093, 0.9), "High", "Low")</f>
        <v>Low</v>
      </c>
      <c r="L435" s="4" t="str">
        <f t="shared" si="2"/>
        <v/>
      </c>
    </row>
    <row r="436" ht="14.25" customHeight="1">
      <c r="A436" s="1" t="s">
        <v>472</v>
      </c>
      <c r="B436" s="1">
        <v>8.1</v>
      </c>
      <c r="C436" s="4" t="str">
        <f>IFERROR(__xludf.DUMMYFUNCTION("""COMPUTED_VALUE"""),"Howard Deutch")</f>
        <v>Howard Deutch</v>
      </c>
      <c r="D436" s="4">
        <f t="array" ref="D436">IFERROR(AVERAGEIFS($B$2:$B$3757, $A$2:$A$3757, C436:C4190), "")</f>
        <v>5.966666667</v>
      </c>
      <c r="E436" s="4">
        <f t="shared" si="1"/>
        <v>34.6</v>
      </c>
      <c r="F436" s="4" t="str">
        <f t="array" ref="F436">IF(D436&gt;=_xlfn.PERCENTILE.INC(D436:D2094, 0.9), "High", "Low")</f>
        <v>Low</v>
      </c>
      <c r="L436" s="4" t="str">
        <f t="shared" si="2"/>
        <v/>
      </c>
    </row>
    <row r="437" ht="14.25" customHeight="1">
      <c r="A437" s="1" t="s">
        <v>2489</v>
      </c>
      <c r="B437" s="1">
        <v>5.6</v>
      </c>
      <c r="C437" s="4" t="str">
        <f>IFERROR(__xludf.DUMMYFUNCTION("""COMPUTED_VALUE"""),"Jon Hurwitz")</f>
        <v>Jon Hurwitz</v>
      </c>
      <c r="D437" s="4">
        <f t="array" ref="D437">IFERROR(AVERAGEIFS($B$2:$B$3757, $A$2:$A$3757, C437:C4191), "")</f>
        <v>6.65</v>
      </c>
      <c r="E437" s="4">
        <f t="shared" si="1"/>
        <v>60</v>
      </c>
      <c r="F437" s="4" t="str">
        <f t="array" ref="F437">IF(D437&gt;=_xlfn.PERCENTILE.INC(D437:D2095, 0.9), "High", "Low")</f>
        <v>Low</v>
      </c>
      <c r="L437" s="4" t="str">
        <f t="shared" si="2"/>
        <v/>
      </c>
    </row>
    <row r="438" ht="14.25" customHeight="1">
      <c r="A438" s="1" t="s">
        <v>1724</v>
      </c>
      <c r="B438" s="1">
        <v>6.3</v>
      </c>
      <c r="C438" s="4" t="str">
        <f>IFERROR(__xludf.DUMMYFUNCTION("""COMPUTED_VALUE"""),"Steven Quale")</f>
        <v>Steven Quale</v>
      </c>
      <c r="D438" s="4">
        <f t="array" ref="D438">IFERROR(AVERAGEIFS($B$2:$B$3757, $A$2:$A$3757, C438:C4192), "")</f>
        <v>5.85</v>
      </c>
      <c r="E438" s="4">
        <f t="shared" si="1"/>
        <v>30.3</v>
      </c>
      <c r="F438" s="4" t="str">
        <f t="array" ref="F438">IF(D438&gt;=_xlfn.PERCENTILE.INC(D438:D2096, 0.9), "High", "Low")</f>
        <v>Low</v>
      </c>
      <c r="L438" s="4" t="str">
        <f t="shared" si="2"/>
        <v/>
      </c>
    </row>
    <row r="439" ht="14.25" customHeight="1">
      <c r="A439" s="1" t="s">
        <v>1284</v>
      </c>
      <c r="B439" s="1">
        <v>7.3</v>
      </c>
      <c r="C439" s="4" t="str">
        <f>IFERROR(__xludf.DUMMYFUNCTION("""COMPUTED_VALUE"""),"John Landis")</f>
        <v>John Landis</v>
      </c>
      <c r="D439" s="4">
        <f t="array" ref="D439">IFERROR(AVERAGEIFS($B$2:$B$3757, $A$2:$A$3757, C439:C4193), "")</f>
        <v>7</v>
      </c>
      <c r="E439" s="4">
        <f t="shared" si="1"/>
        <v>72.7</v>
      </c>
      <c r="F439" s="4" t="str">
        <f t="array" ref="F439">IF(D439&gt;=_xlfn.PERCENTILE.INC(D439:D2097, 0.9), "High", "Low")</f>
        <v>Low</v>
      </c>
      <c r="L439" s="4" t="str">
        <f t="shared" si="2"/>
        <v/>
      </c>
    </row>
    <row r="440" ht="14.25" customHeight="1">
      <c r="A440" s="1" t="s">
        <v>2502</v>
      </c>
      <c r="B440" s="1">
        <v>6.1</v>
      </c>
      <c r="C440" s="4" t="str">
        <f>IFERROR(__xludf.DUMMYFUNCTION("""COMPUTED_VALUE"""),"Alexander Witt")</f>
        <v>Alexander Witt</v>
      </c>
      <c r="D440" s="4">
        <f t="array" ref="D440">IFERROR(AVERAGEIFS($B$2:$B$3757, $A$2:$A$3757, C440:C4194), "")</f>
        <v>6.2</v>
      </c>
      <c r="E440" s="4">
        <f t="shared" si="1"/>
        <v>42.3</v>
      </c>
      <c r="F440" s="4" t="str">
        <f t="array" ref="F440">IF(D440&gt;=_xlfn.PERCENTILE.INC(D440:D2098, 0.9), "High", "Low")</f>
        <v>Low</v>
      </c>
      <c r="L440" s="4" t="str">
        <f t="shared" si="2"/>
        <v/>
      </c>
    </row>
    <row r="441" ht="14.25" customHeight="1">
      <c r="A441" s="1" t="s">
        <v>46</v>
      </c>
      <c r="B441" s="1">
        <v>7.7</v>
      </c>
      <c r="C441" s="4" t="str">
        <f>IFERROR(__xludf.DUMMYFUNCTION("""COMPUTED_VALUE"""),"Beeban Kidron")</f>
        <v>Beeban Kidron</v>
      </c>
      <c r="D441" s="4">
        <f t="array" ref="D441">IFERROR(AVERAGEIFS($B$2:$B$3757, $A$2:$A$3757, C441:C4195), "")</f>
        <v>5.9</v>
      </c>
      <c r="E441" s="4">
        <f t="shared" si="1"/>
        <v>30.7</v>
      </c>
      <c r="F441" s="4" t="str">
        <f t="array" ref="F441">IF(D441&gt;=_xlfn.PERCENTILE.INC(D441:D2099, 0.9), "High", "Low")</f>
        <v>Low</v>
      </c>
      <c r="L441" s="4" t="str">
        <f t="shared" si="2"/>
        <v/>
      </c>
    </row>
    <row r="442" ht="14.25" customHeight="1">
      <c r="A442" s="1" t="s">
        <v>2093</v>
      </c>
      <c r="B442" s="1">
        <v>6.4</v>
      </c>
      <c r="C442" s="4" t="str">
        <f>IFERROR(__xludf.DUMMYFUNCTION("""COMPUTED_VALUE"""),"Carl Franklin")</f>
        <v>Carl Franklin</v>
      </c>
      <c r="D442" s="4">
        <f t="array" ref="D442">IFERROR(AVERAGEIFS($B$2:$B$3757, $A$2:$A$3757, C442:C4196), "")</f>
        <v>6.6</v>
      </c>
      <c r="E442" s="4">
        <f t="shared" si="1"/>
        <v>59.8</v>
      </c>
      <c r="F442" s="4" t="str">
        <f t="array" ref="F442">IF(D442&gt;=_xlfn.PERCENTILE.INC(D442:D2100, 0.9), "High", "Low")</f>
        <v>Low</v>
      </c>
      <c r="L442" s="4" t="str">
        <f t="shared" si="2"/>
        <v/>
      </c>
    </row>
    <row r="443" ht="14.25" customHeight="1">
      <c r="A443" s="1" t="s">
        <v>1700</v>
      </c>
      <c r="B443" s="1">
        <v>6.8</v>
      </c>
      <c r="C443" s="4" t="str">
        <f>IFERROR(__xludf.DUMMYFUNCTION("""COMPUTED_VALUE"""),"Steven Seagal")</f>
        <v>Steven Seagal</v>
      </c>
      <c r="D443" s="4">
        <f t="array" ref="D443">IFERROR(AVERAGEIFS($B$2:$B$3757, $A$2:$A$3757, C443:C4197), "")</f>
        <v>4.4</v>
      </c>
      <c r="E443" s="4">
        <f t="shared" si="1"/>
        <v>5.9</v>
      </c>
      <c r="F443" s="4" t="str">
        <f t="array" ref="F443">IF(D443&gt;=_xlfn.PERCENTILE.INC(D443:D2101, 0.9), "High", "Low")</f>
        <v>Low</v>
      </c>
      <c r="L443" s="4" t="str">
        <f t="shared" si="2"/>
        <v/>
      </c>
    </row>
    <row r="444" ht="14.25" customHeight="1">
      <c r="A444" s="1" t="s">
        <v>2523</v>
      </c>
      <c r="B444" s="1">
        <v>6.6</v>
      </c>
      <c r="C444" s="4" t="str">
        <f>IFERROR(__xludf.DUMMYFUNCTION("""COMPUTED_VALUE"""),"Danny Boyle")</f>
        <v>Danny Boyle</v>
      </c>
      <c r="D444" s="4">
        <f t="array" ref="D444">IFERROR(AVERAGEIFS($B$2:$B$3757, $A$2:$A$3757, C444:C4198), "")</f>
        <v>7.388888889</v>
      </c>
      <c r="E444" s="4">
        <f t="shared" si="1"/>
        <v>87</v>
      </c>
      <c r="F444" s="4" t="str">
        <f t="array" ref="F444">IF(D444&gt;=_xlfn.PERCENTILE.INC(D444:D2102, 0.9), "High", "Low")</f>
        <v>Low</v>
      </c>
      <c r="L444" s="4" t="str">
        <f t="shared" si="2"/>
        <v/>
      </c>
    </row>
    <row r="445" ht="14.25" customHeight="1">
      <c r="A445" s="1" t="s">
        <v>2529</v>
      </c>
      <c r="B445" s="1">
        <v>7.2</v>
      </c>
      <c r="C445" s="4" t="str">
        <f>IFERROR(__xludf.DUMMYFUNCTION("""COMPUTED_VALUE"""),"Andrew Bergman")</f>
        <v>Andrew Bergman</v>
      </c>
      <c r="D445" s="4">
        <f t="array" ref="D445">IFERROR(AVERAGEIFS($B$2:$B$3757, $A$2:$A$3757, C445:C4199), "")</f>
        <v>4.8</v>
      </c>
      <c r="E445" s="4">
        <f t="shared" si="1"/>
        <v>8.9</v>
      </c>
      <c r="F445" s="4" t="str">
        <f t="array" ref="F445">IF(D445&gt;=_xlfn.PERCENTILE.INC(D445:D2103, 0.9), "High", "Low")</f>
        <v>Low</v>
      </c>
      <c r="L445" s="4" t="str">
        <f t="shared" si="2"/>
        <v/>
      </c>
    </row>
    <row r="446" ht="14.25" customHeight="1">
      <c r="A446" s="1" t="s">
        <v>2534</v>
      </c>
      <c r="B446" s="1">
        <v>6.9</v>
      </c>
      <c r="C446" s="4" t="str">
        <f>IFERROR(__xludf.DUMMYFUNCTION("""COMPUTED_VALUE"""),"Barbet Schroeder")</f>
        <v>Barbet Schroeder</v>
      </c>
      <c r="D446" s="4">
        <f t="array" ref="D446">IFERROR(AVERAGEIFS($B$2:$B$3757, $A$2:$A$3757, C446:C4200), "")</f>
        <v>6.033333333</v>
      </c>
      <c r="E446" s="4">
        <f t="shared" si="1"/>
        <v>37.3</v>
      </c>
      <c r="F446" s="4" t="str">
        <f t="array" ref="F446">IF(D446&gt;=_xlfn.PERCENTILE.INC(D446:D2104, 0.9), "High", "Low")</f>
        <v>Low</v>
      </c>
      <c r="L446" s="4" t="str">
        <f t="shared" si="2"/>
        <v/>
      </c>
    </row>
    <row r="447" ht="14.25" customHeight="1">
      <c r="A447" s="1" t="s">
        <v>2538</v>
      </c>
      <c r="B447" s="1">
        <v>5.2</v>
      </c>
      <c r="C447" s="4" t="str">
        <f>IFERROR(__xludf.DUMMYFUNCTION("""COMPUTED_VALUE"""),"Peter Webber")</f>
        <v>Peter Webber</v>
      </c>
      <c r="D447" s="4">
        <f t="array" ref="D447">IFERROR(AVERAGEIFS($B$2:$B$3757, $A$2:$A$3757, C447:C4201), "")</f>
        <v>6.2</v>
      </c>
      <c r="E447" s="4">
        <f t="shared" si="1"/>
        <v>42.2</v>
      </c>
      <c r="F447" s="4" t="str">
        <f t="array" ref="F447">IF(D447&gt;=_xlfn.PERCENTILE.INC(D447:D2105, 0.9), "High", "Low")</f>
        <v>Low</v>
      </c>
      <c r="L447" s="4" t="str">
        <f t="shared" si="2"/>
        <v/>
      </c>
    </row>
    <row r="448" ht="14.25" customHeight="1">
      <c r="A448" s="1" t="s">
        <v>1527</v>
      </c>
      <c r="B448" s="1">
        <v>4.9</v>
      </c>
      <c r="C448" s="4" t="str">
        <f>IFERROR(__xludf.DUMMYFUNCTION("""COMPUTED_VALUE"""),"Andrew Niccol")</f>
        <v>Andrew Niccol</v>
      </c>
      <c r="D448" s="4">
        <f t="array" ref="D448">IFERROR(AVERAGEIFS($B$2:$B$3757, $A$2:$A$3757, C448:C4202), "")</f>
        <v>7</v>
      </c>
      <c r="E448" s="4">
        <f t="shared" si="1"/>
        <v>72.7</v>
      </c>
      <c r="F448" s="4" t="str">
        <f t="array" ref="F448">IF(D448&gt;=_xlfn.PERCENTILE.INC(D448:D2106, 0.9), "High", "Low")</f>
        <v>Low</v>
      </c>
      <c r="L448" s="4" t="str">
        <f t="shared" si="2"/>
        <v/>
      </c>
    </row>
    <row r="449" ht="14.25" customHeight="1">
      <c r="A449" s="1" t="s">
        <v>2551</v>
      </c>
      <c r="B449" s="1">
        <v>6.3</v>
      </c>
      <c r="C449" s="4" t="str">
        <f>IFERROR(__xludf.DUMMYFUNCTION("""COMPUTED_VALUE"""),"John Carpenter")</f>
        <v>John Carpenter</v>
      </c>
      <c r="D449" s="4">
        <f t="array" ref="D449">IFERROR(AVERAGEIFS($B$2:$B$3757, $A$2:$A$3757, C449:C4203), "")</f>
        <v>6.915384615</v>
      </c>
      <c r="E449" s="4">
        <f t="shared" si="1"/>
        <v>71.8</v>
      </c>
      <c r="F449" s="4" t="str">
        <f t="array" ref="F449">IF(D449&gt;=_xlfn.PERCENTILE.INC(D449:D2107, 0.9), "High", "Low")</f>
        <v>Low</v>
      </c>
      <c r="L449" s="4" t="str">
        <f t="shared" si="2"/>
        <v/>
      </c>
    </row>
    <row r="450" ht="14.25" customHeight="1">
      <c r="A450" s="1" t="s">
        <v>772</v>
      </c>
      <c r="B450" s="1">
        <v>5.6</v>
      </c>
      <c r="C450" s="4" t="str">
        <f>IFERROR(__xludf.DUMMYFUNCTION("""COMPUTED_VALUE"""),"Wes Anderson")</f>
        <v>Wes Anderson</v>
      </c>
      <c r="D450" s="4">
        <f t="array" ref="D450">IFERROR(AVERAGEIFS($B$2:$B$3757, $A$2:$A$3757, C450:C4204), "")</f>
        <v>7.628571429</v>
      </c>
      <c r="E450" s="4">
        <f t="shared" si="1"/>
        <v>93</v>
      </c>
      <c r="F450" s="4" t="str">
        <f t="array" ref="F450">IF(D450&gt;=_xlfn.PERCENTILE.INC(D450:D2108, 0.9), "High", "Low")</f>
        <v>High</v>
      </c>
      <c r="L450" s="4" t="str">
        <f t="shared" si="2"/>
        <v/>
      </c>
    </row>
    <row r="451" ht="14.25" customHeight="1">
      <c r="A451" s="1" t="s">
        <v>2564</v>
      </c>
      <c r="B451" s="1">
        <v>5.5</v>
      </c>
      <c r="C451" s="4" t="str">
        <f>IFERROR(__xludf.DUMMYFUNCTION("""COMPUTED_VALUE"""),"David Cronenberg")</f>
        <v>David Cronenberg</v>
      </c>
      <c r="D451" s="4">
        <f t="array" ref="D451">IFERROR(AVERAGEIFS($B$2:$B$3757, $A$2:$A$3757, C451:C4205), "")</f>
        <v>7.06</v>
      </c>
      <c r="E451" s="4">
        <f t="shared" si="1"/>
        <v>76.8</v>
      </c>
      <c r="F451" s="4" t="str">
        <f t="array" ref="F451">IF(D451&gt;=_xlfn.PERCENTILE.INC(D451:D2109, 0.9), "High", "Low")</f>
        <v>Low</v>
      </c>
      <c r="L451" s="4" t="str">
        <f t="shared" si="2"/>
        <v/>
      </c>
    </row>
    <row r="452" ht="14.25" customHeight="1">
      <c r="A452" s="1" t="s">
        <v>1021</v>
      </c>
      <c r="B452" s="1">
        <v>6.7</v>
      </c>
      <c r="C452" s="4" t="str">
        <f>IFERROR(__xludf.DUMMYFUNCTION("""COMPUTED_VALUE"""),"John Stockwell")</f>
        <v>John Stockwell</v>
      </c>
      <c r="D452" s="4">
        <f t="array" ref="D452">IFERROR(AVERAGEIFS($B$2:$B$3757, $A$2:$A$3757, C452:C4206), "")</f>
        <v>5.966666667</v>
      </c>
      <c r="E452" s="4">
        <f t="shared" si="1"/>
        <v>34.7</v>
      </c>
      <c r="F452" s="4" t="str">
        <f t="array" ref="F452">IF(D452&gt;=_xlfn.PERCENTILE.INC(D452:D2110, 0.9), "High", "Low")</f>
        <v>Low</v>
      </c>
      <c r="L452" s="4" t="str">
        <f t="shared" si="2"/>
        <v/>
      </c>
    </row>
    <row r="453" ht="14.25" customHeight="1">
      <c r="A453" s="1" t="s">
        <v>492</v>
      </c>
      <c r="B453" s="1">
        <v>7.6</v>
      </c>
      <c r="C453" s="4" t="str">
        <f>IFERROR(__xludf.DUMMYFUNCTION("""COMPUTED_VALUE"""),"David Gordon Green")</f>
        <v>David Gordon Green</v>
      </c>
      <c r="D453" s="4">
        <f t="array" ref="D453">IFERROR(AVERAGEIFS($B$2:$B$3757, $A$2:$A$3757, C453:C4207), "")</f>
        <v>6.666666667</v>
      </c>
      <c r="E453" s="4">
        <f t="shared" si="1"/>
        <v>60.3</v>
      </c>
      <c r="F453" s="4" t="str">
        <f t="array" ref="F453">IF(D453&gt;=_xlfn.PERCENTILE.INC(D453:D2111, 0.9), "High", "Low")</f>
        <v>Low</v>
      </c>
      <c r="L453" s="4" t="str">
        <f t="shared" si="2"/>
        <v/>
      </c>
    </row>
    <row r="454" ht="14.25" customHeight="1">
      <c r="A454" s="1" t="s">
        <v>2580</v>
      </c>
      <c r="B454" s="1">
        <v>5.7</v>
      </c>
      <c r="C454" s="4" t="str">
        <f>IFERROR(__xludf.DUMMYFUNCTION("""COMPUTED_VALUE"""),"Jim Sheridan")</f>
        <v>Jim Sheridan</v>
      </c>
      <c r="D454" s="4">
        <f t="array" ref="D454">IFERROR(AVERAGEIFS($B$2:$B$3757, $A$2:$A$3757, C454:C4208), "")</f>
        <v>6.3</v>
      </c>
      <c r="E454" s="4">
        <f t="shared" si="1"/>
        <v>47.8</v>
      </c>
      <c r="F454" s="4" t="str">
        <f t="array" ref="F454">IF(D454&gt;=_xlfn.PERCENTILE.INC(D454:D2112, 0.9), "High", "Low")</f>
        <v>Low</v>
      </c>
      <c r="L454" s="4" t="str">
        <f t="shared" si="2"/>
        <v/>
      </c>
    </row>
    <row r="455" ht="14.25" customHeight="1">
      <c r="A455" s="1" t="s">
        <v>2585</v>
      </c>
      <c r="B455" s="1">
        <v>4.6</v>
      </c>
      <c r="C455" s="4" t="str">
        <f>IFERROR(__xludf.DUMMYFUNCTION("""COMPUTED_VALUE"""),"Costa-Gavras")</f>
        <v>Costa-Gavras</v>
      </c>
      <c r="D455" s="4">
        <f t="array" ref="D455">IFERROR(AVERAGEIFS($B$2:$B$3757, $A$2:$A$3757, C455:C4209), "")</f>
        <v>6.75</v>
      </c>
      <c r="E455" s="4">
        <f t="shared" si="1"/>
        <v>63.8</v>
      </c>
      <c r="F455" s="4" t="str">
        <f t="array" ref="F455">IF(D455&gt;=_xlfn.PERCENTILE.INC(D455:D2113, 0.9), "High", "Low")</f>
        <v>Low</v>
      </c>
      <c r="L455" s="4" t="str">
        <f t="shared" si="2"/>
        <v/>
      </c>
    </row>
    <row r="456" ht="14.25" customHeight="1">
      <c r="A456" s="1" t="s">
        <v>2591</v>
      </c>
      <c r="B456" s="1">
        <v>7.0</v>
      </c>
      <c r="C456" s="4" t="str">
        <f>IFERROR(__xludf.DUMMYFUNCTION("""COMPUTED_VALUE"""),"Patrick Read Johnson")</f>
        <v>Patrick Read Johnson</v>
      </c>
      <c r="D456" s="4">
        <f t="array" ref="D456">IFERROR(AVERAGEIFS($B$2:$B$3757, $A$2:$A$3757, C456:C4210), "")</f>
        <v>5.6</v>
      </c>
      <c r="E456" s="4">
        <f t="shared" si="1"/>
        <v>22.7</v>
      </c>
      <c r="F456" s="4" t="str">
        <f t="array" ref="F456">IF(D456&gt;=_xlfn.PERCENTILE.INC(D456:D2114, 0.9), "High", "Low")</f>
        <v>Low</v>
      </c>
      <c r="L456" s="4" t="str">
        <f t="shared" si="2"/>
        <v/>
      </c>
    </row>
    <row r="457" ht="14.25" customHeight="1">
      <c r="A457" s="1" t="s">
        <v>1549</v>
      </c>
      <c r="B457" s="1">
        <v>5.2</v>
      </c>
      <c r="C457" s="4" t="str">
        <f>IFERROR(__xludf.DUMMYFUNCTION("""COMPUTED_VALUE"""),"Roland JoffÃ©")</f>
        <v>Roland JoffÃ©</v>
      </c>
      <c r="D457" s="4">
        <f t="array" ref="D457">IFERROR(AVERAGEIFS($B$2:$B$3757, $A$2:$A$3757, C457:C4211), "")</f>
        <v>5.5</v>
      </c>
      <c r="E457" s="4">
        <f t="shared" si="1"/>
        <v>20.7</v>
      </c>
      <c r="F457" s="4" t="str">
        <f t="array" ref="F457">IF(D457&gt;=_xlfn.PERCENTILE.INC(D457:D2115, 0.9), "High", "Low")</f>
        <v>Low</v>
      </c>
      <c r="L457" s="4" t="str">
        <f t="shared" si="2"/>
        <v/>
      </c>
    </row>
    <row r="458" ht="14.25" customHeight="1">
      <c r="A458" s="1" t="s">
        <v>2604</v>
      </c>
      <c r="B458" s="1">
        <v>5.1</v>
      </c>
      <c r="C458" s="4" t="str">
        <f>IFERROR(__xludf.DUMMYFUNCTION("""COMPUTED_VALUE"""),"Richard LaGravenese")</f>
        <v>Richard LaGravenese</v>
      </c>
      <c r="D458" s="4">
        <f t="array" ref="D458">IFERROR(AVERAGEIFS($B$2:$B$3757, $A$2:$A$3757, C458:C4212), "")</f>
        <v>6.85</v>
      </c>
      <c r="E458" s="4">
        <f t="shared" si="1"/>
        <v>67.7</v>
      </c>
      <c r="F458" s="4" t="str">
        <f t="array" ref="F458">IF(D458&gt;=_xlfn.PERCENTILE.INC(D458:D2116, 0.9), "High", "Low")</f>
        <v>Low</v>
      </c>
      <c r="L458" s="4" t="str">
        <f t="shared" si="2"/>
        <v/>
      </c>
    </row>
    <row r="459" ht="14.25" customHeight="1">
      <c r="A459" s="1" t="s">
        <v>2610</v>
      </c>
      <c r="B459" s="1">
        <v>6.6</v>
      </c>
      <c r="C459" s="4" t="str">
        <f>IFERROR(__xludf.DUMMYFUNCTION("""COMPUTED_VALUE"""),"Danny DeVito")</f>
        <v>Danny DeVito</v>
      </c>
      <c r="D459" s="4">
        <f t="array" ref="D459">IFERROR(AVERAGEIFS($B$2:$B$3757, $A$2:$A$3757, C459:C4213), "")</f>
        <v>6.266666667</v>
      </c>
      <c r="E459" s="4">
        <f t="shared" si="1"/>
        <v>44.9</v>
      </c>
      <c r="F459" s="4" t="str">
        <f t="array" ref="F459">IF(D459&gt;=_xlfn.PERCENTILE.INC(D459:D2117, 0.9), "High", "Low")</f>
        <v>Low</v>
      </c>
      <c r="L459" s="4" t="str">
        <f t="shared" si="2"/>
        <v/>
      </c>
    </row>
    <row r="460" ht="14.25" customHeight="1">
      <c r="A460" s="1" t="s">
        <v>2250</v>
      </c>
      <c r="B460" s="1">
        <v>6.7</v>
      </c>
      <c r="C460" s="4" t="str">
        <f>IFERROR(__xludf.DUMMYFUNCTION("""COMPUTED_VALUE"""),"George Armitage")</f>
        <v>George Armitage</v>
      </c>
      <c r="D460" s="4">
        <f t="array" ref="D460">IFERROR(AVERAGEIFS($B$2:$B$3757, $A$2:$A$3757, C460:C4214), "")</f>
        <v>6.15</v>
      </c>
      <c r="E460" s="4">
        <f t="shared" si="1"/>
        <v>42</v>
      </c>
      <c r="F460" s="4" t="str">
        <f t="array" ref="F460">IF(D460&gt;=_xlfn.PERCENTILE.INC(D460:D2118, 0.9), "High", "Low")</f>
        <v>Low</v>
      </c>
      <c r="L460" s="4" t="str">
        <f t="shared" si="2"/>
        <v/>
      </c>
    </row>
    <row r="461" ht="14.25" customHeight="1">
      <c r="A461" s="1" t="s">
        <v>2620</v>
      </c>
      <c r="B461" s="1">
        <v>7.3</v>
      </c>
      <c r="C461" s="4" t="str">
        <f>IFERROR(__xludf.DUMMYFUNCTION("""COMPUTED_VALUE"""),"Patrick Lussier")</f>
        <v>Patrick Lussier</v>
      </c>
      <c r="D461" s="4">
        <f t="array" ref="D461">IFERROR(AVERAGEIFS($B$2:$B$3757, $A$2:$A$3757, C461:C4215), "")</f>
        <v>5.3</v>
      </c>
      <c r="E461" s="4">
        <f t="shared" si="1"/>
        <v>15.8</v>
      </c>
      <c r="F461" s="4" t="str">
        <f t="array" ref="F461">IF(D461&gt;=_xlfn.PERCENTILE.INC(D461:D2119, 0.9), "High", "Low")</f>
        <v>Low</v>
      </c>
      <c r="L461" s="4" t="str">
        <f t="shared" si="2"/>
        <v/>
      </c>
    </row>
    <row r="462" ht="14.25" customHeight="1">
      <c r="A462" s="1" t="s">
        <v>891</v>
      </c>
      <c r="B462" s="1">
        <v>5.9</v>
      </c>
      <c r="C462" s="4" t="str">
        <f>IFERROR(__xludf.DUMMYFUNCTION("""COMPUTED_VALUE"""),"James Wong")</f>
        <v>James Wong</v>
      </c>
      <c r="D462" s="4">
        <f t="array" ref="D462">IFERROR(AVERAGEIFS($B$2:$B$3757, $A$2:$A$3757, C462:C4216), "")</f>
        <v>5.275</v>
      </c>
      <c r="E462" s="4">
        <f t="shared" si="1"/>
        <v>15.7</v>
      </c>
      <c r="F462" s="4" t="str">
        <f t="array" ref="F462">IF(D462&gt;=_xlfn.PERCENTILE.INC(D462:D2120, 0.9), "High", "Low")</f>
        <v>Low</v>
      </c>
      <c r="L462" s="4" t="str">
        <f t="shared" si="2"/>
        <v/>
      </c>
    </row>
    <row r="463" ht="14.25" customHeight="1">
      <c r="A463" s="1" t="s">
        <v>1819</v>
      </c>
      <c r="B463" s="1">
        <v>5.6</v>
      </c>
      <c r="C463" s="4" t="str">
        <f>IFERROR(__xludf.DUMMYFUNCTION("""COMPUTED_VALUE"""),"Olivier Megaton")</f>
        <v>Olivier Megaton</v>
      </c>
      <c r="D463" s="4">
        <f t="array" ref="D463">IFERROR(AVERAGEIFS($B$2:$B$3757, $A$2:$A$3757, C463:C4217), "")</f>
        <v>6.233333333</v>
      </c>
      <c r="E463" s="4">
        <f t="shared" si="1"/>
        <v>44.7</v>
      </c>
      <c r="F463" s="4" t="str">
        <f t="array" ref="F463">IF(D463&gt;=_xlfn.PERCENTILE.INC(D463:D2121, 0.9), "High", "Low")</f>
        <v>Low</v>
      </c>
      <c r="L463" s="4" t="str">
        <f t="shared" si="2"/>
        <v/>
      </c>
    </row>
    <row r="464" ht="14.25" customHeight="1">
      <c r="A464" s="1" t="s">
        <v>1604</v>
      </c>
      <c r="B464" s="1">
        <v>6.5</v>
      </c>
      <c r="C464" s="4" t="str">
        <f>IFERROR(__xludf.DUMMYFUNCTION("""COMPUTED_VALUE"""),"Warren Beatty")</f>
        <v>Warren Beatty</v>
      </c>
      <c r="D464" s="4">
        <f t="array" ref="D464">IFERROR(AVERAGEIFS($B$2:$B$3757, $A$2:$A$3757, C464:C4218), "")</f>
        <v>6.45</v>
      </c>
      <c r="E464" s="4">
        <f t="shared" si="1"/>
        <v>51.5</v>
      </c>
      <c r="F464" s="4" t="str">
        <f t="array" ref="F464">IF(D464&gt;=_xlfn.PERCENTILE.INC(D464:D2122, 0.9), "High", "Low")</f>
        <v>Low</v>
      </c>
      <c r="L464" s="4" t="str">
        <f t="shared" si="2"/>
        <v/>
      </c>
    </row>
    <row r="465" ht="14.25" customHeight="1">
      <c r="A465" s="1" t="s">
        <v>305</v>
      </c>
      <c r="B465" s="1">
        <v>5.9</v>
      </c>
      <c r="C465" s="4" t="str">
        <f>IFERROR(__xludf.DUMMYFUNCTION("""COMPUTED_VALUE"""),"Penny Marshall")</f>
        <v>Penny Marshall</v>
      </c>
      <c r="D465" s="4">
        <f t="array" ref="D465">IFERROR(AVERAGEIFS($B$2:$B$3757, $A$2:$A$3757, C465:C4219), "")</f>
        <v>6.75</v>
      </c>
      <c r="E465" s="4">
        <f t="shared" si="1"/>
        <v>63.9</v>
      </c>
      <c r="F465" s="4" t="str">
        <f t="array" ref="F465">IF(D465&gt;=_xlfn.PERCENTILE.INC(D465:D2123, 0.9), "High", "Low")</f>
        <v>Low</v>
      </c>
      <c r="L465" s="4" t="str">
        <f t="shared" si="2"/>
        <v/>
      </c>
    </row>
    <row r="466" ht="14.25" customHeight="1">
      <c r="A466" s="1" t="s">
        <v>2649</v>
      </c>
      <c r="B466" s="1">
        <v>7.0</v>
      </c>
      <c r="C466" s="4" t="str">
        <f>IFERROR(__xludf.DUMMYFUNCTION("""COMPUTED_VALUE"""),"Paul Bolger")</f>
        <v>Paul Bolger</v>
      </c>
      <c r="D466" s="4">
        <f t="array" ref="D466">IFERROR(AVERAGEIFS($B$2:$B$3757, $A$2:$A$3757, C466:C4220), "")</f>
        <v>4.5</v>
      </c>
      <c r="E466" s="4">
        <f t="shared" si="1"/>
        <v>6.6</v>
      </c>
      <c r="F466" s="4" t="str">
        <f t="array" ref="F466">IF(D466&gt;=_xlfn.PERCENTILE.INC(D466:D2124, 0.9), "High", "Low")</f>
        <v>Low</v>
      </c>
      <c r="L466" s="4" t="str">
        <f t="shared" si="2"/>
        <v/>
      </c>
    </row>
    <row r="467" ht="14.25" customHeight="1">
      <c r="A467" s="1" t="s">
        <v>2655</v>
      </c>
      <c r="B467" s="1">
        <v>5.3</v>
      </c>
      <c r="C467" s="4" t="str">
        <f>IFERROR(__xludf.DUMMYFUNCTION("""COMPUTED_VALUE"""),"Stephen Frears")</f>
        <v>Stephen Frears</v>
      </c>
      <c r="D467" s="4">
        <f t="array" ref="D467">IFERROR(AVERAGEIFS($B$2:$B$3757, $A$2:$A$3757, C467:C4221), "")</f>
        <v>7.155555556</v>
      </c>
      <c r="E467" s="4">
        <f t="shared" si="1"/>
        <v>80.7</v>
      </c>
      <c r="F467" s="4" t="str">
        <f t="array" ref="F467">IF(D467&gt;=_xlfn.PERCENTILE.INC(D467:D2125, 0.9), "High", "Low")</f>
        <v>Low</v>
      </c>
      <c r="L467" s="4" t="str">
        <f t="shared" si="2"/>
        <v/>
      </c>
    </row>
    <row r="468" ht="14.25" customHeight="1">
      <c r="A468" s="1" t="s">
        <v>2661</v>
      </c>
      <c r="B468" s="1">
        <v>5.9</v>
      </c>
      <c r="C468" s="4" t="str">
        <f>IFERROR(__xludf.DUMMYFUNCTION("""COMPUTED_VALUE"""),"P.J. Hogan")</f>
        <v>P.J. Hogan</v>
      </c>
      <c r="D468" s="4">
        <f t="array" ref="D468">IFERROR(AVERAGEIFS($B$2:$B$3757, $A$2:$A$3757, C468:C4222), "")</f>
        <v>6.3</v>
      </c>
      <c r="E468" s="4">
        <f t="shared" si="1"/>
        <v>44.8</v>
      </c>
      <c r="F468" s="4" t="str">
        <f t="array" ref="F468">IF(D468&gt;=_xlfn.PERCENTILE.INC(D468:D2126, 0.9), "High", "Low")</f>
        <v>Low</v>
      </c>
      <c r="L468" s="4" t="str">
        <f t="shared" si="2"/>
        <v/>
      </c>
    </row>
    <row r="469" ht="14.25" customHeight="1">
      <c r="A469" s="1" t="s">
        <v>247</v>
      </c>
      <c r="B469" s="1">
        <v>6.3</v>
      </c>
      <c r="C469" s="4" t="str">
        <f>IFERROR(__xludf.DUMMYFUNCTION("""COMPUTED_VALUE"""),"David Zucker")</f>
        <v>David Zucker</v>
      </c>
      <c r="D469" s="4">
        <f t="array" ref="D469">IFERROR(AVERAGEIFS($B$2:$B$3757, $A$2:$A$3757, C469:C4223), "")</f>
        <v>5.26</v>
      </c>
      <c r="E469" s="4">
        <f t="shared" si="1"/>
        <v>15.4</v>
      </c>
      <c r="F469" s="4" t="str">
        <f t="array" ref="F469">IF(D469&gt;=_xlfn.PERCENTILE.INC(D469:D2127, 0.9), "High", "Low")</f>
        <v>Low</v>
      </c>
      <c r="L469" s="4" t="str">
        <f t="shared" si="2"/>
        <v/>
      </c>
    </row>
    <row r="470" ht="14.25" customHeight="1">
      <c r="A470" s="1" t="s">
        <v>621</v>
      </c>
      <c r="B470" s="1">
        <v>6.3</v>
      </c>
      <c r="C470" s="4" t="str">
        <f>IFERROR(__xludf.DUMMYFUNCTION("""COMPUTED_VALUE"""),"Denis Villeneuve")</f>
        <v>Denis Villeneuve</v>
      </c>
      <c r="D470" s="4">
        <f t="array" ref="D470">IFERROR(AVERAGEIFS($B$2:$B$3757, $A$2:$A$3757, C470:C4224), "")</f>
        <v>7.966666667</v>
      </c>
      <c r="E470" s="4">
        <f t="shared" si="1"/>
        <v>97.6</v>
      </c>
      <c r="F470" s="4" t="str">
        <f t="array" ref="F470">IF(D470&gt;=_xlfn.PERCENTILE.INC(D470:D2128, 0.9), "High", "Low")</f>
        <v>High</v>
      </c>
      <c r="L470" s="4" t="str">
        <f t="shared" si="2"/>
        <v/>
      </c>
    </row>
    <row r="471" ht="14.25" customHeight="1">
      <c r="A471" s="1" t="s">
        <v>1424</v>
      </c>
      <c r="B471" s="1">
        <v>7.3</v>
      </c>
      <c r="C471" s="4" t="str">
        <f>IFERROR(__xludf.DUMMYFUNCTION("""COMPUTED_VALUE"""),"Thomas Carter")</f>
        <v>Thomas Carter</v>
      </c>
      <c r="D471" s="4">
        <f t="array" ref="D471">IFERROR(AVERAGEIFS($B$2:$B$3757, $A$2:$A$3757, C471:C4225), "")</f>
        <v>6.666666667</v>
      </c>
      <c r="E471" s="4">
        <f t="shared" si="1"/>
        <v>60.3</v>
      </c>
      <c r="F471" s="4" t="str">
        <f t="array" ref="F471">IF(D471&gt;=_xlfn.PERCENTILE.INC(D471:D2129, 0.9), "High", "Low")</f>
        <v>Low</v>
      </c>
      <c r="L471" s="4" t="str">
        <f t="shared" si="2"/>
        <v/>
      </c>
    </row>
    <row r="472" ht="14.25" customHeight="1">
      <c r="A472" s="1" t="s">
        <v>484</v>
      </c>
      <c r="B472" s="1">
        <v>5.8</v>
      </c>
      <c r="C472" s="4" t="str">
        <f>IFERROR(__xludf.DUMMYFUNCTION("""COMPUTED_VALUE"""),"Roger Michell")</f>
        <v>Roger Michell</v>
      </c>
      <c r="D472" s="4">
        <f t="array" ref="D472">IFERROR(AVERAGEIFS($B$2:$B$3757, $A$2:$A$3757, C472:C4226), "")</f>
        <v>6.666666667</v>
      </c>
      <c r="E472" s="4">
        <f t="shared" si="1"/>
        <v>60.3</v>
      </c>
      <c r="F472" s="4" t="str">
        <f t="array" ref="F472">IF(D472&gt;=_xlfn.PERCENTILE.INC(D472:D2130, 0.9), "High", "Low")</f>
        <v>Low</v>
      </c>
      <c r="L472" s="4" t="str">
        <f t="shared" si="2"/>
        <v/>
      </c>
    </row>
    <row r="473" ht="14.25" customHeight="1">
      <c r="A473" s="1" t="s">
        <v>2686</v>
      </c>
      <c r="B473" s="1">
        <v>5.2</v>
      </c>
      <c r="C473" s="4" t="str">
        <f>IFERROR(__xludf.DUMMYFUNCTION("""COMPUTED_VALUE"""),"Luis Llosa")</f>
        <v>Luis Llosa</v>
      </c>
      <c r="D473" s="4">
        <f t="array" ref="D473">IFERROR(AVERAGEIFS($B$2:$B$3757, $A$2:$A$3757, C473:C4227), "")</f>
        <v>5</v>
      </c>
      <c r="E473" s="4">
        <f t="shared" si="1"/>
        <v>10.8</v>
      </c>
      <c r="F473" s="4" t="str">
        <f t="array" ref="F473">IF(D473&gt;=_xlfn.PERCENTILE.INC(D473:D2131, 0.9), "High", "Low")</f>
        <v>Low</v>
      </c>
      <c r="L473" s="4" t="str">
        <f t="shared" si="2"/>
        <v/>
      </c>
    </row>
    <row r="474" ht="14.25" customHeight="1">
      <c r="A474" s="1" t="s">
        <v>2694</v>
      </c>
      <c r="B474" s="1">
        <v>2.4</v>
      </c>
      <c r="C474" s="4" t="str">
        <f>IFERROR(__xludf.DUMMYFUNCTION("""COMPUTED_VALUE"""),"Richard Curtis")</f>
        <v>Richard Curtis</v>
      </c>
      <c r="D474" s="4">
        <f t="array" ref="D474">IFERROR(AVERAGEIFS($B$2:$B$3757, $A$2:$A$3757, C474:C4228), "")</f>
        <v>7.75</v>
      </c>
      <c r="E474" s="4">
        <f t="shared" si="1"/>
        <v>95.5</v>
      </c>
      <c r="F474" s="4" t="str">
        <f t="array" ref="F474">IF(D474&gt;=_xlfn.PERCENTILE.INC(D474:D2132, 0.9), "High", "Low")</f>
        <v>High</v>
      </c>
      <c r="L474" s="4" t="str">
        <f t="shared" si="2"/>
        <v/>
      </c>
    </row>
    <row r="475" ht="14.25" customHeight="1">
      <c r="A475" s="1" t="s">
        <v>2700</v>
      </c>
      <c r="B475" s="1">
        <v>5.7</v>
      </c>
      <c r="C475" s="4" t="str">
        <f>IFERROR(__xludf.DUMMYFUNCTION("""COMPUTED_VALUE"""),"Garth Jennings")</f>
        <v>Garth Jennings</v>
      </c>
      <c r="D475" s="4">
        <f t="array" ref="D475">IFERROR(AVERAGEIFS($B$2:$B$3757, $A$2:$A$3757, C475:C4229), "")</f>
        <v>6.8</v>
      </c>
      <c r="E475" s="4">
        <f t="shared" si="1"/>
        <v>64.3</v>
      </c>
      <c r="F475" s="4" t="str">
        <f t="array" ref="F475">IF(D475&gt;=_xlfn.PERCENTILE.INC(D475:D2133, 0.9), "High", "Low")</f>
        <v>Low</v>
      </c>
      <c r="L475" s="4" t="str">
        <f t="shared" si="2"/>
        <v/>
      </c>
    </row>
    <row r="476" ht="14.25" customHeight="1">
      <c r="A476" s="1" t="s">
        <v>149</v>
      </c>
      <c r="B476" s="1">
        <v>5.8</v>
      </c>
      <c r="C476" s="4" t="str">
        <f>IFERROR(__xludf.DUMMYFUNCTION("""COMPUTED_VALUE"""),"Joel Zwick")</f>
        <v>Joel Zwick</v>
      </c>
      <c r="D476" s="4">
        <f t="array" ref="D476">IFERROR(AVERAGEIFS($B$2:$B$3757, $A$2:$A$3757, C476:C4230), "")</f>
        <v>5.45</v>
      </c>
      <c r="E476" s="4">
        <f t="shared" si="1"/>
        <v>20.1</v>
      </c>
      <c r="F476" s="4" t="str">
        <f t="array" ref="F476">IF(D476&gt;=_xlfn.PERCENTILE.INC(D476:D2134, 0.9), "High", "Low")</f>
        <v>Low</v>
      </c>
      <c r="L476" s="4" t="str">
        <f t="shared" si="2"/>
        <v/>
      </c>
    </row>
    <row r="477" ht="14.25" customHeight="1">
      <c r="A477" s="1" t="s">
        <v>1021</v>
      </c>
      <c r="B477" s="1">
        <v>5.6</v>
      </c>
      <c r="C477" s="4" t="str">
        <f>IFERROR(__xludf.DUMMYFUNCTION("""COMPUTED_VALUE"""),"Russell Mulcahy")</f>
        <v>Russell Mulcahy</v>
      </c>
      <c r="D477" s="4">
        <f t="array" ref="D477">IFERROR(AVERAGEIFS($B$2:$B$3757, $A$2:$A$3757, C477:C4231), "")</f>
        <v>6.5</v>
      </c>
      <c r="E477" s="4">
        <f t="shared" si="1"/>
        <v>52.7</v>
      </c>
      <c r="F477" s="4" t="str">
        <f t="array" ref="F477">IF(D477&gt;=_xlfn.PERCENTILE.INC(D477:D2135, 0.9), "High", "Low")</f>
        <v>Low</v>
      </c>
      <c r="L477" s="4" t="str">
        <f t="shared" si="2"/>
        <v/>
      </c>
    </row>
    <row r="478" ht="14.25" customHeight="1">
      <c r="A478" s="1" t="s">
        <v>2716</v>
      </c>
      <c r="B478" s="1">
        <v>6.0</v>
      </c>
      <c r="C478" s="4" t="str">
        <f>IFERROR(__xludf.DUMMYFUNCTION("""COMPUTED_VALUE"""),"David R. Ellis")</f>
        <v>David R. Ellis</v>
      </c>
      <c r="D478" s="4">
        <f t="array" ref="D478">IFERROR(AVERAGEIFS($B$2:$B$3757, $A$2:$A$3757, C478:C4232), "")</f>
        <v>5.516666667</v>
      </c>
      <c r="E478" s="4">
        <f t="shared" si="1"/>
        <v>22.1</v>
      </c>
      <c r="F478" s="4" t="str">
        <f t="array" ref="F478">IF(D478&gt;=_xlfn.PERCENTILE.INC(D478:D2136, 0.9), "High", "Low")</f>
        <v>Low</v>
      </c>
      <c r="L478" s="4" t="str">
        <f t="shared" si="2"/>
        <v/>
      </c>
    </row>
    <row r="479" ht="14.25" customHeight="1">
      <c r="A479" s="1" t="s">
        <v>808</v>
      </c>
      <c r="B479" s="1">
        <v>5.8</v>
      </c>
      <c r="C479" s="4" t="str">
        <f>IFERROR(__xludf.DUMMYFUNCTION("""COMPUTED_VALUE"""),"Peter Howitt")</f>
        <v>Peter Howitt</v>
      </c>
      <c r="D479" s="4">
        <f t="array" ref="D479">IFERROR(AVERAGEIFS($B$2:$B$3757, $A$2:$A$3757, C479:C4233), "")</f>
        <v>6.225</v>
      </c>
      <c r="E479" s="4">
        <f t="shared" si="1"/>
        <v>44.7</v>
      </c>
      <c r="F479" s="4" t="str">
        <f t="array" ref="F479">IF(D479&gt;=_xlfn.PERCENTILE.INC(D479:D2137, 0.9), "High", "Low")</f>
        <v>Low</v>
      </c>
      <c r="L479" s="4" t="str">
        <f t="shared" si="2"/>
        <v/>
      </c>
    </row>
    <row r="480" ht="14.25" customHeight="1">
      <c r="A480" s="1" t="s">
        <v>1039</v>
      </c>
      <c r="B480" s="1">
        <v>6.0</v>
      </c>
      <c r="C480" s="4" t="str">
        <f>IFERROR(__xludf.DUMMYFUNCTION("""COMPUTED_VALUE"""),"John A. Davis")</f>
        <v>John A. Davis</v>
      </c>
      <c r="D480" s="4">
        <f t="array" ref="D480">IFERROR(AVERAGEIFS($B$2:$B$3757, $A$2:$A$3757, C480:C4234), "")</f>
        <v>5.95</v>
      </c>
      <c r="E480" s="4">
        <f t="shared" si="1"/>
        <v>34.4</v>
      </c>
      <c r="F480" s="4" t="str">
        <f t="array" ref="F480">IF(D480&gt;=_xlfn.PERCENTILE.INC(D480:D2138, 0.9), "High", "Low")</f>
        <v>Low</v>
      </c>
      <c r="L480" s="4" t="str">
        <f t="shared" si="2"/>
        <v/>
      </c>
    </row>
    <row r="481" ht="14.25" customHeight="1">
      <c r="A481" s="1" t="s">
        <v>2732</v>
      </c>
      <c r="B481" s="1">
        <v>5.7</v>
      </c>
      <c r="C481" s="4" t="str">
        <f>IFERROR(__xludf.DUMMYFUNCTION("""COMPUTED_VALUE"""),"David Lynch")</f>
        <v>David Lynch</v>
      </c>
      <c r="D481" s="4">
        <f t="array" ref="D481">IFERROR(AVERAGEIFS($B$2:$B$3757, $A$2:$A$3757, C481:C4235), "")</f>
        <v>7.533333333</v>
      </c>
      <c r="E481" s="4">
        <f t="shared" si="1"/>
        <v>90.7</v>
      </c>
      <c r="F481" s="4" t="str">
        <f t="array" ref="F481">IF(D481&gt;=_xlfn.PERCENTILE.INC(D481:D2139, 0.9), "High", "Low")</f>
        <v>High</v>
      </c>
      <c r="L481" s="4" t="str">
        <f t="shared" si="2"/>
        <v/>
      </c>
    </row>
    <row r="482" ht="14.25" customHeight="1">
      <c r="A482" s="1" t="s">
        <v>1890</v>
      </c>
      <c r="B482" s="1">
        <v>6.0</v>
      </c>
      <c r="C482" s="4" t="str">
        <f>IFERROR(__xludf.DUMMYFUNCTION("""COMPUTED_VALUE"""),"Julie Taymor")</f>
        <v>Julie Taymor</v>
      </c>
      <c r="D482" s="4">
        <f t="array" ref="D482">IFERROR(AVERAGEIFS($B$2:$B$3757, $A$2:$A$3757, C482:C4236), "")</f>
        <v>6.9</v>
      </c>
      <c r="E482" s="4">
        <f t="shared" si="1"/>
        <v>68.4</v>
      </c>
      <c r="F482" s="4" t="str">
        <f t="array" ref="F482">IF(D482&gt;=_xlfn.PERCENTILE.INC(D482:D2140, 0.9), "High", "Low")</f>
        <v>Low</v>
      </c>
      <c r="L482" s="4" t="str">
        <f t="shared" si="2"/>
        <v/>
      </c>
    </row>
    <row r="483" ht="14.25" customHeight="1">
      <c r="A483" s="1" t="s">
        <v>2745</v>
      </c>
      <c r="B483" s="1">
        <v>7.8</v>
      </c>
      <c r="C483" s="4" t="str">
        <f>IFERROR(__xludf.DUMMYFUNCTION("""COMPUTED_VALUE"""),"Mathieu Kassovitz")</f>
        <v>Mathieu Kassovitz</v>
      </c>
      <c r="D483" s="4">
        <f t="array" ref="D483">IFERROR(AVERAGEIFS($B$2:$B$3757, $A$2:$A$3757, C483:C4237), "")</f>
        <v>5.7</v>
      </c>
      <c r="E483" s="4">
        <f t="shared" si="1"/>
        <v>26.3</v>
      </c>
      <c r="F483" s="4" t="str">
        <f t="array" ref="F483">IF(D483&gt;=_xlfn.PERCENTILE.INC(D483:D2141, 0.9), "High", "Low")</f>
        <v>Low</v>
      </c>
      <c r="L483" s="4" t="str">
        <f t="shared" si="2"/>
        <v/>
      </c>
    </row>
    <row r="484" ht="14.25" customHeight="1">
      <c r="A484" s="1" t="s">
        <v>1736</v>
      </c>
      <c r="B484" s="1">
        <v>4.2</v>
      </c>
      <c r="C484" s="4" t="str">
        <f>IFERROR(__xludf.DUMMYFUNCTION("""COMPUTED_VALUE"""),"John Gray")</f>
        <v>John Gray</v>
      </c>
      <c r="D484" s="4">
        <f t="array" ref="D484">IFERROR(AVERAGEIFS($B$2:$B$3757, $A$2:$A$3757, C484:C4238), "")</f>
        <v>5.3</v>
      </c>
      <c r="E484" s="4">
        <f t="shared" si="1"/>
        <v>15.7</v>
      </c>
      <c r="F484" s="4" t="str">
        <f t="array" ref="F484">IF(D484&gt;=_xlfn.PERCENTILE.INC(D484:D2142, 0.9), "High", "Low")</f>
        <v>Low</v>
      </c>
      <c r="L484" s="4" t="str">
        <f t="shared" si="2"/>
        <v/>
      </c>
    </row>
    <row r="485" ht="14.25" customHeight="1">
      <c r="A485" s="1" t="s">
        <v>2246</v>
      </c>
      <c r="B485" s="1">
        <v>5.6</v>
      </c>
      <c r="C485" s="4" t="str">
        <f>IFERROR(__xludf.DUMMYFUNCTION("""COMPUTED_VALUE"""),"John Schultz")</f>
        <v>John Schultz</v>
      </c>
      <c r="D485" s="4">
        <f t="array" ref="D485">IFERROR(AVERAGEIFS($B$2:$B$3757, $A$2:$A$3757, C485:C4239), "")</f>
        <v>5.4</v>
      </c>
      <c r="E485" s="4">
        <f t="shared" si="1"/>
        <v>18.2</v>
      </c>
      <c r="F485" s="4" t="str">
        <f t="array" ref="F485">IF(D485&gt;=_xlfn.PERCENTILE.INC(D485:D2143, 0.9), "High", "Low")</f>
        <v>Low</v>
      </c>
      <c r="L485" s="4" t="str">
        <f t="shared" si="2"/>
        <v/>
      </c>
    </row>
    <row r="486" ht="14.25" customHeight="1">
      <c r="A486" s="1" t="s">
        <v>813</v>
      </c>
      <c r="B486" s="1">
        <v>8.2</v>
      </c>
      <c r="C486" s="4" t="str">
        <f>IFERROR(__xludf.DUMMYFUNCTION("""COMPUTED_VALUE"""),"Sean Penn")</f>
        <v>Sean Penn</v>
      </c>
      <c r="D486" s="4">
        <f t="array" ref="D486">IFERROR(AVERAGEIFS($B$2:$B$3757, $A$2:$A$3757, C486:C4240), "")</f>
        <v>7.5</v>
      </c>
      <c r="E486" s="4">
        <f t="shared" si="1"/>
        <v>88.8</v>
      </c>
      <c r="F486" s="4" t="str">
        <f t="array" ref="F486">IF(D486&gt;=_xlfn.PERCENTILE.INC(D486:D2144, 0.9), "High", "Low")</f>
        <v>High</v>
      </c>
      <c r="L486" s="4" t="str">
        <f t="shared" si="2"/>
        <v/>
      </c>
    </row>
    <row r="487" ht="14.25" customHeight="1">
      <c r="A487" s="1" t="s">
        <v>2295</v>
      </c>
      <c r="B487" s="1">
        <v>8.5</v>
      </c>
      <c r="C487" s="4" t="str">
        <f>IFERROR(__xludf.DUMMYFUNCTION("""COMPUTED_VALUE"""),"Susan Stroman")</f>
        <v>Susan Stroman</v>
      </c>
      <c r="D487" s="4">
        <f t="array" ref="D487">IFERROR(AVERAGEIFS($B$2:$B$3757, $A$2:$A$3757, C487:C4241), "")</f>
        <v>6.4</v>
      </c>
      <c r="E487" s="4">
        <f t="shared" si="1"/>
        <v>48.7</v>
      </c>
      <c r="F487" s="4" t="str">
        <f t="array" ref="F487">IF(D487&gt;=_xlfn.PERCENTILE.INC(D487:D2145, 0.9), "High", "Low")</f>
        <v>Low</v>
      </c>
      <c r="L487" s="4" t="str">
        <f t="shared" si="2"/>
        <v/>
      </c>
    </row>
    <row r="488" ht="14.25" customHeight="1">
      <c r="A488" s="1" t="s">
        <v>1441</v>
      </c>
      <c r="B488" s="1">
        <v>5.8</v>
      </c>
      <c r="C488" s="4" t="str">
        <f>IFERROR(__xludf.DUMMYFUNCTION("""COMPUTED_VALUE"""),"Simon Wincer")</f>
        <v>Simon Wincer</v>
      </c>
      <c r="D488" s="4">
        <f t="array" ref="D488">IFERROR(AVERAGEIFS($B$2:$B$3757, $A$2:$A$3757, C488:C4242), "")</f>
        <v>5.625</v>
      </c>
      <c r="E488" s="4">
        <f t="shared" si="1"/>
        <v>25.6</v>
      </c>
      <c r="F488" s="4" t="str">
        <f t="array" ref="F488">IF(D488&gt;=_xlfn.PERCENTILE.INC(D488:D2146, 0.9), "High", "Low")</f>
        <v>Low</v>
      </c>
      <c r="L488" s="4" t="str">
        <f t="shared" si="2"/>
        <v/>
      </c>
    </row>
    <row r="489" ht="14.25" customHeight="1">
      <c r="A489" s="1" t="s">
        <v>2776</v>
      </c>
      <c r="B489" s="1">
        <v>6.5</v>
      </c>
      <c r="C489" s="4" t="str">
        <f>IFERROR(__xludf.DUMMYFUNCTION("""COMPUTED_VALUE"""),"Billy Bob Thornton")</f>
        <v>Billy Bob Thornton</v>
      </c>
      <c r="D489" s="4">
        <f t="array" ref="D489">IFERROR(AVERAGEIFS($B$2:$B$3757, $A$2:$A$3757, C489:C4243), "")</f>
        <v>6.9</v>
      </c>
      <c r="E489" s="4">
        <f t="shared" si="1"/>
        <v>68.4</v>
      </c>
      <c r="F489" s="4" t="str">
        <f t="array" ref="F489">IF(D489&gt;=_xlfn.PERCENTILE.INC(D489:D2147, 0.9), "High", "Low")</f>
        <v>Low</v>
      </c>
      <c r="L489" s="4" t="str">
        <f t="shared" si="2"/>
        <v/>
      </c>
    </row>
    <row r="490" ht="14.25" customHeight="1">
      <c r="A490" s="1" t="s">
        <v>252</v>
      </c>
      <c r="B490" s="1">
        <v>7.2</v>
      </c>
      <c r="C490" s="4" t="str">
        <f>IFERROR(__xludf.DUMMYFUNCTION("""COMPUTED_VALUE"""),"Danny Pang")</f>
        <v>Danny Pang</v>
      </c>
      <c r="D490" s="4">
        <f t="array" ref="D490">IFERROR(AVERAGEIFS($B$2:$B$3757, $A$2:$A$3757, C490:C4244), "")</f>
        <v>5.4</v>
      </c>
      <c r="E490" s="4">
        <f t="shared" si="1"/>
        <v>18.3</v>
      </c>
      <c r="F490" s="4" t="str">
        <f t="array" ref="F490">IF(D490&gt;=_xlfn.PERCENTILE.INC(D490:D2148, 0.9), "High", "Low")</f>
        <v>Low</v>
      </c>
      <c r="L490" s="4" t="str">
        <f t="shared" si="2"/>
        <v/>
      </c>
    </row>
    <row r="491" ht="14.25" customHeight="1">
      <c r="A491" s="1" t="s">
        <v>856</v>
      </c>
      <c r="B491" s="1">
        <v>6.7</v>
      </c>
      <c r="C491" s="4" t="str">
        <f>IFERROR(__xludf.DUMMYFUNCTION("""COMPUTED_VALUE"""),"George P. Cosmatos")</f>
        <v>George P. Cosmatos</v>
      </c>
      <c r="D491" s="4">
        <f t="array" ref="D491">IFERROR(AVERAGEIFS($B$2:$B$3757, $A$2:$A$3757, C491:C4245), "")</f>
        <v>6.366666667</v>
      </c>
      <c r="E491" s="4">
        <f t="shared" si="1"/>
        <v>48.3</v>
      </c>
      <c r="F491" s="4" t="str">
        <f t="array" ref="F491">IF(D491&gt;=_xlfn.PERCENTILE.INC(D491:D2149, 0.9), "High", "Low")</f>
        <v>Low</v>
      </c>
      <c r="L491" s="4" t="str">
        <f t="shared" si="2"/>
        <v/>
      </c>
    </row>
    <row r="492" ht="14.25" customHeight="1">
      <c r="A492" s="1" t="s">
        <v>2093</v>
      </c>
      <c r="B492" s="1">
        <v>3.4</v>
      </c>
      <c r="C492" s="4" t="str">
        <f>IFERROR(__xludf.DUMMYFUNCTION("""COMPUTED_VALUE"""),"Oliver Parker")</f>
        <v>Oliver Parker</v>
      </c>
      <c r="D492" s="4">
        <f t="array" ref="D492">IFERROR(AVERAGEIFS($B$2:$B$3757, $A$2:$A$3757, C492:C4246), "")</f>
        <v>6.7</v>
      </c>
      <c r="E492" s="4">
        <f t="shared" si="1"/>
        <v>60.6</v>
      </c>
      <c r="F492" s="4" t="str">
        <f t="array" ref="F492">IF(D492&gt;=_xlfn.PERCENTILE.INC(D492:D2150, 0.9), "High", "Low")</f>
        <v>Low</v>
      </c>
      <c r="L492" s="4" t="str">
        <f t="shared" si="2"/>
        <v/>
      </c>
    </row>
    <row r="493" ht="14.25" customHeight="1">
      <c r="A493" s="1" t="s">
        <v>2793</v>
      </c>
      <c r="B493" s="1">
        <v>5.9</v>
      </c>
      <c r="C493" s="4" t="str">
        <f>IFERROR(__xludf.DUMMYFUNCTION("""COMPUTED_VALUE"""),"Ben Affleck")</f>
        <v>Ben Affleck</v>
      </c>
      <c r="D493" s="4">
        <f t="array" ref="D493">IFERROR(AVERAGEIFS($B$2:$B$3757, $A$2:$A$3757, C493:C4247), "")</f>
        <v>7.65</v>
      </c>
      <c r="E493" s="4">
        <f t="shared" si="1"/>
        <v>93.2</v>
      </c>
      <c r="F493" s="4" t="str">
        <f t="array" ref="F493">IF(D493&gt;=_xlfn.PERCENTILE.INC(D493:D2151, 0.9), "High", "Low")</f>
        <v>High</v>
      </c>
      <c r="L493" s="4" t="str">
        <f t="shared" si="2"/>
        <v/>
      </c>
    </row>
    <row r="494" ht="14.25" customHeight="1">
      <c r="A494" s="1" t="s">
        <v>1116</v>
      </c>
      <c r="B494" s="1">
        <v>7.8</v>
      </c>
      <c r="C494" s="4" t="str">
        <f>IFERROR(__xludf.DUMMYFUNCTION("""COMPUTED_VALUE"""),"Brian Gibson")</f>
        <v>Brian Gibson</v>
      </c>
      <c r="D494" s="4">
        <f t="array" ref="D494">IFERROR(AVERAGEIFS($B$2:$B$3757, $A$2:$A$3757, C494:C4248), "")</f>
        <v>5.6</v>
      </c>
      <c r="E494" s="4">
        <f t="shared" si="1"/>
        <v>22.5</v>
      </c>
      <c r="F494" s="4" t="str">
        <f t="array" ref="F494">IF(D494&gt;=_xlfn.PERCENTILE.INC(D494:D2152, 0.9), "High", "Low")</f>
        <v>Low</v>
      </c>
      <c r="L494" s="4" t="str">
        <f t="shared" si="2"/>
        <v/>
      </c>
    </row>
    <row r="495" ht="14.25" customHeight="1">
      <c r="A495" s="1" t="s">
        <v>2802</v>
      </c>
      <c r="B495" s="1">
        <v>5.9</v>
      </c>
      <c r="C495" s="4" t="str">
        <f>IFERROR(__xludf.DUMMYFUNCTION("""COMPUTED_VALUE"""),"Norman Ferguson")</f>
        <v>Norman Ferguson</v>
      </c>
      <c r="D495" s="4">
        <f t="array" ref="D495">IFERROR(AVERAGEIFS($B$2:$B$3757, $A$2:$A$3757, C495:C4249), "")</f>
        <v>7.5</v>
      </c>
      <c r="E495" s="4">
        <f t="shared" si="1"/>
        <v>88.9</v>
      </c>
      <c r="F495" s="4" t="str">
        <f t="array" ref="F495">IF(D495&gt;=_xlfn.PERCENTILE.INC(D495:D2153, 0.9), "High", "Low")</f>
        <v>High</v>
      </c>
      <c r="L495" s="4" t="str">
        <f t="shared" si="2"/>
        <v/>
      </c>
    </row>
    <row r="496" ht="14.25" customHeight="1">
      <c r="A496" s="1" t="s">
        <v>2809</v>
      </c>
      <c r="B496" s="1">
        <v>4.1</v>
      </c>
      <c r="C496" s="4" t="str">
        <f>IFERROR(__xludf.DUMMYFUNCTION("""COMPUTED_VALUE"""),"Michael Cimino")</f>
        <v>Michael Cimino</v>
      </c>
      <c r="D496" s="4">
        <f t="array" ref="D496">IFERROR(AVERAGEIFS($B$2:$B$3757, $A$2:$A$3757, C496:C4250), "")</f>
        <v>6.8</v>
      </c>
      <c r="E496" s="4">
        <f t="shared" si="1"/>
        <v>64.3</v>
      </c>
      <c r="F496" s="4" t="str">
        <f t="array" ref="F496">IF(D496&gt;=_xlfn.PERCENTILE.INC(D496:D2154, 0.9), "High", "Low")</f>
        <v>Low</v>
      </c>
      <c r="L496" s="4" t="str">
        <f t="shared" si="2"/>
        <v/>
      </c>
    </row>
    <row r="497" ht="14.25" customHeight="1">
      <c r="A497" s="1" t="s">
        <v>2814</v>
      </c>
      <c r="B497" s="1">
        <v>6.8</v>
      </c>
      <c r="C497" s="4" t="str">
        <f>IFERROR(__xludf.DUMMYFUNCTION("""COMPUTED_VALUE"""),"Paul McGuigan")</f>
        <v>Paul McGuigan</v>
      </c>
      <c r="D497" s="4">
        <f t="array" ref="D497">IFERROR(AVERAGEIFS($B$2:$B$3757, $A$2:$A$3757, C497:C4251), "")</f>
        <v>6.8</v>
      </c>
      <c r="E497" s="4">
        <f t="shared" si="1"/>
        <v>64.3</v>
      </c>
      <c r="F497" s="4" t="str">
        <f t="array" ref="F497">IF(D497&gt;=_xlfn.PERCENTILE.INC(D497:D2155, 0.9), "High", "Low")</f>
        <v>Low</v>
      </c>
      <c r="L497" s="4" t="str">
        <f t="shared" si="2"/>
        <v/>
      </c>
    </row>
    <row r="498" ht="14.25" customHeight="1">
      <c r="A498" s="1" t="s">
        <v>2822</v>
      </c>
      <c r="B498" s="1">
        <v>5.8</v>
      </c>
      <c r="C498" s="4" t="str">
        <f>IFERROR(__xludf.DUMMYFUNCTION("""COMPUTED_VALUE"""),"Gus Van Sant")</f>
        <v>Gus Van Sant</v>
      </c>
      <c r="D498" s="4">
        <f t="array" ref="D498">IFERROR(AVERAGEIFS($B$2:$B$3757, $A$2:$A$3757, C498:C4252), "")</f>
        <v>7.283333333</v>
      </c>
      <c r="E498" s="4">
        <f t="shared" si="1"/>
        <v>84.9</v>
      </c>
      <c r="F498" s="4" t="str">
        <f t="array" ref="F498">IF(D498&gt;=_xlfn.PERCENTILE.INC(D498:D2156, 0.9), "High", "Low")</f>
        <v>Low</v>
      </c>
      <c r="L498" s="4" t="str">
        <f t="shared" si="2"/>
        <v/>
      </c>
    </row>
    <row r="499" ht="14.25" customHeight="1">
      <c r="A499" s="1" t="s">
        <v>2827</v>
      </c>
      <c r="B499" s="1">
        <v>7.5</v>
      </c>
      <c r="C499" s="4" t="str">
        <f>IFERROR(__xludf.DUMMYFUNCTION("""COMPUTED_VALUE"""),"Roger Kumble")</f>
        <v>Roger Kumble</v>
      </c>
      <c r="D499" s="4">
        <f t="array" ref="D499">IFERROR(AVERAGEIFS($B$2:$B$3757, $A$2:$A$3757, C499:C4253), "")</f>
        <v>5.266666667</v>
      </c>
      <c r="E499" s="4">
        <f t="shared" si="1"/>
        <v>15.7</v>
      </c>
      <c r="F499" s="4" t="str">
        <f t="array" ref="F499">IF(D499&gt;=_xlfn.PERCENTILE.INC(D499:D2157, 0.9), "High", "Low")</f>
        <v>Low</v>
      </c>
      <c r="L499" s="4" t="str">
        <f t="shared" si="2"/>
        <v/>
      </c>
    </row>
    <row r="500" ht="14.25" customHeight="1">
      <c r="A500" s="1" t="s">
        <v>414</v>
      </c>
      <c r="B500" s="1">
        <v>6.9</v>
      </c>
      <c r="C500" s="4" t="str">
        <f>IFERROR(__xludf.DUMMYFUNCTION("""COMPUTED_VALUE"""),"Burr Steers")</f>
        <v>Burr Steers</v>
      </c>
      <c r="D500" s="4">
        <f t="array" ref="D500">IFERROR(AVERAGEIFS($B$2:$B$3757, $A$2:$A$3757, C500:C4254), "")</f>
        <v>6.425</v>
      </c>
      <c r="E500" s="4">
        <f t="shared" si="1"/>
        <v>51.5</v>
      </c>
      <c r="F500" s="4" t="str">
        <f t="array" ref="F500">IF(D500&gt;=_xlfn.PERCENTILE.INC(D500:D2158, 0.9), "High", "Low")</f>
        <v>Low</v>
      </c>
      <c r="L500" s="4" t="str">
        <f t="shared" si="2"/>
        <v/>
      </c>
    </row>
    <row r="501" ht="14.25" customHeight="1">
      <c r="A501" s="1" t="s">
        <v>381</v>
      </c>
      <c r="B501" s="1">
        <v>6.5</v>
      </c>
      <c r="C501" s="4" t="str">
        <f>IFERROR(__xludf.DUMMYFUNCTION("""COMPUTED_VALUE"""),"John Hamburg")</f>
        <v>John Hamburg</v>
      </c>
      <c r="D501" s="4">
        <f t="array" ref="D501">IFERROR(AVERAGEIFS($B$2:$B$3757, $A$2:$A$3757, C501:C4255), "")</f>
        <v>6.366666667</v>
      </c>
      <c r="E501" s="4">
        <f t="shared" si="1"/>
        <v>48.5</v>
      </c>
      <c r="F501" s="4" t="str">
        <f t="array" ref="F501">IF(D501&gt;=_xlfn.PERCENTILE.INC(D501:D2159, 0.9), "High", "Low")</f>
        <v>Low</v>
      </c>
      <c r="L501" s="4" t="str">
        <f t="shared" si="2"/>
        <v/>
      </c>
    </row>
    <row r="502" ht="14.25" customHeight="1">
      <c r="A502" s="1" t="s">
        <v>764</v>
      </c>
      <c r="B502" s="1">
        <v>6.9</v>
      </c>
      <c r="C502" s="4" t="str">
        <f>IFERROR(__xludf.DUMMYFUNCTION("""COMPUTED_VALUE"""),"Reginald Hudlin")</f>
        <v>Reginald Hudlin</v>
      </c>
      <c r="D502" s="4">
        <f t="array" ref="D502">IFERROR(AVERAGEIFS($B$2:$B$3757, $A$2:$A$3757, C502:C4256), "")</f>
        <v>5.266666667</v>
      </c>
      <c r="E502" s="4">
        <f t="shared" si="1"/>
        <v>15.8</v>
      </c>
      <c r="F502" s="4" t="str">
        <f t="array" ref="F502">IF(D502&gt;=_xlfn.PERCENTILE.INC(D502:D2160, 0.9), "High", "Low")</f>
        <v>Low</v>
      </c>
      <c r="L502" s="4" t="str">
        <f t="shared" si="2"/>
        <v/>
      </c>
    </row>
    <row r="503" ht="14.25" customHeight="1">
      <c r="A503" s="1" t="s">
        <v>1172</v>
      </c>
      <c r="B503" s="1">
        <v>7.9</v>
      </c>
      <c r="C503" s="4" t="str">
        <f>IFERROR(__xludf.DUMMYFUNCTION("""COMPUTED_VALUE"""),"Joseph L. Mankiewicz")</f>
        <v>Joseph L. Mankiewicz</v>
      </c>
      <c r="D503" s="4">
        <f t="array" ref="D503">IFERROR(AVERAGEIFS($B$2:$B$3757, $A$2:$A$3757, C503:C4257), "")</f>
        <v>7</v>
      </c>
      <c r="E503" s="4">
        <f t="shared" si="1"/>
        <v>72.4</v>
      </c>
      <c r="F503" s="4" t="str">
        <f t="array" ref="F503">IF(D503&gt;=_xlfn.PERCENTILE.INC(D503:D2161, 0.9), "High", "Low")</f>
        <v>Low</v>
      </c>
      <c r="L503" s="4" t="str">
        <f t="shared" si="2"/>
        <v/>
      </c>
    </row>
    <row r="504" ht="14.25" customHeight="1">
      <c r="A504" s="1" t="s">
        <v>110</v>
      </c>
      <c r="B504" s="1">
        <v>7.4</v>
      </c>
      <c r="C504" s="4" t="str">
        <f>IFERROR(__xludf.DUMMYFUNCTION("""COMPUTED_VALUE"""),"Barbra Streisand")</f>
        <v>Barbra Streisand</v>
      </c>
      <c r="D504" s="4">
        <f t="array" ref="D504">IFERROR(AVERAGEIFS($B$2:$B$3757, $A$2:$A$3757, C504:C4258), "")</f>
        <v>6.566666667</v>
      </c>
      <c r="E504" s="4">
        <f t="shared" si="1"/>
        <v>56.8</v>
      </c>
      <c r="F504" s="4" t="str">
        <f t="array" ref="F504">IF(D504&gt;=_xlfn.PERCENTILE.INC(D504:D2162, 0.9), "High", "Low")</f>
        <v>Low</v>
      </c>
      <c r="L504" s="4" t="str">
        <f t="shared" si="2"/>
        <v/>
      </c>
    </row>
    <row r="505" ht="14.25" customHeight="1">
      <c r="A505" s="1" t="s">
        <v>2854</v>
      </c>
      <c r="B505" s="1">
        <v>6.7</v>
      </c>
      <c r="C505" s="4" t="str">
        <f>IFERROR(__xludf.DUMMYFUNCTION("""COMPUTED_VALUE"""),"Mark Pellington")</f>
        <v>Mark Pellington</v>
      </c>
      <c r="D505" s="4">
        <f t="array" ref="D505">IFERROR(AVERAGEIFS($B$2:$B$3757, $A$2:$A$3757, C505:C4259), "")</f>
        <v>6.85</v>
      </c>
      <c r="E505" s="4">
        <f t="shared" si="1"/>
        <v>67.5</v>
      </c>
      <c r="F505" s="4" t="str">
        <f t="array" ref="F505">IF(D505&gt;=_xlfn.PERCENTILE.INC(D505:D2163, 0.9), "High", "Low")</f>
        <v>Low</v>
      </c>
      <c r="L505" s="4" t="str">
        <f t="shared" si="2"/>
        <v/>
      </c>
    </row>
    <row r="506" ht="14.25" customHeight="1">
      <c r="A506" s="1" t="s">
        <v>270</v>
      </c>
      <c r="B506" s="1">
        <v>7.4</v>
      </c>
      <c r="C506" s="4" t="str">
        <f>IFERROR(__xludf.DUMMYFUNCTION("""COMPUTED_VALUE"""),"John Glen")</f>
        <v>John Glen</v>
      </c>
      <c r="D506" s="4">
        <f t="array" ref="D506">IFERROR(AVERAGEIFS($B$2:$B$3757, $A$2:$A$3757, C506:C4260), "")</f>
        <v>6.6</v>
      </c>
      <c r="E506" s="4">
        <f t="shared" si="1"/>
        <v>57.1</v>
      </c>
      <c r="F506" s="4" t="str">
        <f t="array" ref="F506">IF(D506&gt;=_xlfn.PERCENTILE.INC(D506:D2164, 0.9), "High", "Low")</f>
        <v>Low</v>
      </c>
      <c r="L506" s="4" t="str">
        <f t="shared" si="2"/>
        <v/>
      </c>
    </row>
    <row r="507" ht="14.25" customHeight="1">
      <c r="A507" s="1" t="s">
        <v>1222</v>
      </c>
      <c r="B507" s="1">
        <v>6.9</v>
      </c>
      <c r="C507" s="4" t="str">
        <f>IFERROR(__xludf.DUMMYFUNCTION("""COMPUTED_VALUE"""),"Catherine Hardwicke")</f>
        <v>Catherine Hardwicke</v>
      </c>
      <c r="D507" s="4">
        <f t="array" ref="D507">IFERROR(AVERAGEIFS($B$2:$B$3757, $A$2:$A$3757, C507:C4261), "")</f>
        <v>6.083333333</v>
      </c>
      <c r="E507" s="4">
        <f t="shared" si="1"/>
        <v>38.3</v>
      </c>
      <c r="F507" s="4" t="str">
        <f t="array" ref="F507">IF(D507&gt;=_xlfn.PERCENTILE.INC(D507:D2165, 0.9), "High", "Low")</f>
        <v>Low</v>
      </c>
      <c r="L507" s="4" t="str">
        <f t="shared" si="2"/>
        <v/>
      </c>
    </row>
    <row r="508" ht="14.25" customHeight="1">
      <c r="A508" s="1" t="s">
        <v>2368</v>
      </c>
      <c r="B508" s="1">
        <v>6.8</v>
      </c>
      <c r="C508" s="4" t="str">
        <f>IFERROR(__xludf.DUMMYFUNCTION("""COMPUTED_VALUE"""),"John Herzfeld")</f>
        <v>John Herzfeld</v>
      </c>
      <c r="D508" s="4">
        <f t="array" ref="D508">IFERROR(AVERAGEIFS($B$2:$B$3757, $A$2:$A$3757, C508:C4262), "")</f>
        <v>6.1</v>
      </c>
      <c r="E508" s="4">
        <f t="shared" si="1"/>
        <v>38.3</v>
      </c>
      <c r="F508" s="4" t="str">
        <f t="array" ref="F508">IF(D508&gt;=_xlfn.PERCENTILE.INC(D508:D2166, 0.9), "High", "Low")</f>
        <v>Low</v>
      </c>
      <c r="L508" s="4" t="str">
        <f t="shared" si="2"/>
        <v/>
      </c>
    </row>
    <row r="509" ht="14.25" customHeight="1">
      <c r="A509" s="1" t="s">
        <v>2502</v>
      </c>
      <c r="B509" s="1">
        <v>6.7</v>
      </c>
      <c r="C509" s="4" t="str">
        <f>IFERROR(__xludf.DUMMYFUNCTION("""COMPUTED_VALUE"""),"Annabel Jankel")</f>
        <v>Annabel Jankel</v>
      </c>
      <c r="D509" s="4">
        <f t="array" ref="D509">IFERROR(AVERAGEIFS($B$2:$B$3757, $A$2:$A$3757, C509:C4263), "")</f>
        <v>4</v>
      </c>
      <c r="E509" s="4">
        <f t="shared" si="1"/>
        <v>3.9</v>
      </c>
      <c r="F509" s="4" t="str">
        <f t="array" ref="F509">IF(D509&gt;=_xlfn.PERCENTILE.INC(D509:D2167, 0.9), "High", "Low")</f>
        <v>Low</v>
      </c>
      <c r="L509" s="4" t="str">
        <f t="shared" si="2"/>
        <v/>
      </c>
    </row>
    <row r="510" ht="14.25" customHeight="1">
      <c r="A510" s="1" t="s">
        <v>1985</v>
      </c>
      <c r="B510" s="1">
        <v>5.1</v>
      </c>
      <c r="C510" s="4" t="str">
        <f>IFERROR(__xludf.DUMMYFUNCTION("""COMPUTED_VALUE"""),"Julie Anne Robinson")</f>
        <v>Julie Anne Robinson</v>
      </c>
      <c r="D510" s="4">
        <f t="array" ref="D510">IFERROR(AVERAGEIFS($B$2:$B$3757, $A$2:$A$3757, C510:C4264), "")</f>
        <v>5.55</v>
      </c>
      <c r="E510" s="4">
        <f t="shared" si="1"/>
        <v>22.2</v>
      </c>
      <c r="F510" s="4" t="str">
        <f t="array" ref="F510">IF(D510&gt;=_xlfn.PERCENTILE.INC(D510:D2168, 0.9), "High", "Low")</f>
        <v>Low</v>
      </c>
      <c r="L510" s="4" t="str">
        <f t="shared" si="2"/>
        <v/>
      </c>
    </row>
    <row r="511" ht="14.25" customHeight="1">
      <c r="A511" s="1" t="s">
        <v>2887</v>
      </c>
      <c r="B511" s="1">
        <v>4.1</v>
      </c>
      <c r="C511" s="4" t="str">
        <f>IFERROR(__xludf.DUMMYFUNCTION("""COMPUTED_VALUE"""),"Evan Goldberg")</f>
        <v>Evan Goldberg</v>
      </c>
      <c r="D511" s="4">
        <f t="array" ref="D511">IFERROR(AVERAGEIFS($B$2:$B$3757, $A$2:$A$3757, C511:C4265), "")</f>
        <v>6.65</v>
      </c>
      <c r="E511" s="4">
        <f t="shared" si="1"/>
        <v>59.9</v>
      </c>
      <c r="F511" s="4" t="str">
        <f t="array" ref="F511">IF(D511&gt;=_xlfn.PERCENTILE.INC(D511:D2169, 0.9), "High", "Low")</f>
        <v>Low</v>
      </c>
      <c r="L511" s="4" t="str">
        <f t="shared" si="2"/>
        <v/>
      </c>
    </row>
    <row r="512" ht="14.25" customHeight="1">
      <c r="A512" s="1" t="s">
        <v>1077</v>
      </c>
      <c r="B512" s="1">
        <v>7.3</v>
      </c>
      <c r="C512" s="4" t="str">
        <f>IFERROR(__xludf.DUMMYFUNCTION("""COMPUTED_VALUE"""),"Sngmoo Lee")</f>
        <v>Sngmoo Lee</v>
      </c>
      <c r="D512" s="4">
        <f t="array" ref="D512">IFERROR(AVERAGEIFS($B$2:$B$3757, $A$2:$A$3757, C512:C4266), "")</f>
        <v>6.3</v>
      </c>
      <c r="E512" s="4">
        <f t="shared" si="1"/>
        <v>45</v>
      </c>
      <c r="F512" s="4" t="str">
        <f t="array" ref="F512">IF(D512&gt;=_xlfn.PERCENTILE.INC(D512:D2170, 0.9), "High", "Low")</f>
        <v>Low</v>
      </c>
      <c r="L512" s="4" t="str">
        <f t="shared" si="2"/>
        <v/>
      </c>
    </row>
    <row r="513" ht="14.25" customHeight="1">
      <c r="A513" s="1" t="s">
        <v>2093</v>
      </c>
      <c r="B513" s="1">
        <v>6.0</v>
      </c>
      <c r="C513" s="4" t="str">
        <f>IFERROR(__xludf.DUMMYFUNCTION("""COMPUTED_VALUE"""),"Gordon Chan")</f>
        <v>Gordon Chan</v>
      </c>
      <c r="D513" s="4">
        <f t="array" ref="D513">IFERROR(AVERAGEIFS($B$2:$B$3757, $A$2:$A$3757, C513:C4267), "")</f>
        <v>5.2</v>
      </c>
      <c r="E513" s="4">
        <f t="shared" si="1"/>
        <v>13.9</v>
      </c>
      <c r="F513" s="4" t="str">
        <f t="array" ref="F513">IF(D513&gt;=_xlfn.PERCENTILE.INC(D513:D2171, 0.9), "High", "Low")</f>
        <v>Low</v>
      </c>
      <c r="L513" s="4" t="str">
        <f t="shared" si="2"/>
        <v/>
      </c>
    </row>
    <row r="514" ht="14.25" customHeight="1">
      <c r="A514" s="1" t="s">
        <v>381</v>
      </c>
      <c r="B514" s="1">
        <v>7.3</v>
      </c>
      <c r="C514" s="4" t="str">
        <f>IFERROR(__xludf.DUMMYFUNCTION("""COMPUTED_VALUE"""),"Asger Leth")</f>
        <v>Asger Leth</v>
      </c>
      <c r="D514" s="4">
        <f t="array" ref="D514">IFERROR(AVERAGEIFS($B$2:$B$3757, $A$2:$A$3757, C514:C4268), "")</f>
        <v>6.6</v>
      </c>
      <c r="E514" s="4">
        <f t="shared" si="1"/>
        <v>56.9</v>
      </c>
      <c r="F514" s="4" t="str">
        <f t="array" ref="F514">IF(D514&gt;=_xlfn.PERCENTILE.INC(D514:D2172, 0.9), "High", "Low")</f>
        <v>Low</v>
      </c>
      <c r="L514" s="4" t="str">
        <f t="shared" si="2"/>
        <v/>
      </c>
    </row>
    <row r="515" ht="14.25" customHeight="1">
      <c r="A515" s="1" t="s">
        <v>2137</v>
      </c>
      <c r="B515" s="1">
        <v>5.4</v>
      </c>
      <c r="C515" s="4" t="str">
        <f>IFERROR(__xludf.DUMMYFUNCTION("""COMPUTED_VALUE"""),"John G. Avildsen")</f>
        <v>John G. Avildsen</v>
      </c>
      <c r="D515" s="4">
        <f t="array" ref="D515">IFERROR(AVERAGEIFS($B$2:$B$3757, $A$2:$A$3757, C515:C4269), "")</f>
        <v>7.5</v>
      </c>
      <c r="E515" s="4">
        <f t="shared" si="1"/>
        <v>88.7</v>
      </c>
      <c r="F515" s="4" t="str">
        <f t="array" ref="F515">IF(D515&gt;=_xlfn.PERCENTILE.INC(D515:D2173, 0.9), "High", "Low")</f>
        <v>High</v>
      </c>
      <c r="L515" s="4" t="str">
        <f t="shared" si="2"/>
        <v/>
      </c>
    </row>
    <row r="516" ht="14.25" customHeight="1">
      <c r="A516" s="1" t="s">
        <v>305</v>
      </c>
      <c r="B516" s="1">
        <v>5.9</v>
      </c>
      <c r="C516" s="4" t="str">
        <f>IFERROR(__xludf.DUMMYFUNCTION("""COMPUTED_VALUE"""),"Anne Fletcher")</f>
        <v>Anne Fletcher</v>
      </c>
      <c r="D516" s="4">
        <f t="array" ref="D516">IFERROR(AVERAGEIFS($B$2:$B$3757, $A$2:$A$3757, C516:C4270), "")</f>
        <v>6.04</v>
      </c>
      <c r="E516" s="4">
        <f t="shared" si="1"/>
        <v>37.6</v>
      </c>
      <c r="F516" s="4" t="str">
        <f t="array" ref="F516">IF(D516&gt;=_xlfn.PERCENTILE.INC(D516:D2174, 0.9), "High", "Low")</f>
        <v>Low</v>
      </c>
      <c r="L516" s="4" t="str">
        <f t="shared" si="2"/>
        <v/>
      </c>
    </row>
    <row r="517" ht="14.25" customHeight="1">
      <c r="A517" s="1" t="s">
        <v>2913</v>
      </c>
      <c r="B517" s="1">
        <v>7.1</v>
      </c>
      <c r="C517" s="4" t="str">
        <f>IFERROR(__xludf.DUMMYFUNCTION("""COMPUTED_VALUE"""),"Bruce Beresford")</f>
        <v>Bruce Beresford</v>
      </c>
      <c r="D517" s="4">
        <f t="array" ref="D517">IFERROR(AVERAGEIFS($B$2:$B$3757, $A$2:$A$3757, C517:C4271), "")</f>
        <v>6.9</v>
      </c>
      <c r="E517" s="4">
        <f t="shared" si="1"/>
        <v>68.2</v>
      </c>
      <c r="F517" s="4" t="str">
        <f t="array" ref="F517">IF(D517&gt;=_xlfn.PERCENTILE.INC(D517:D2175, 0.9), "High", "Low")</f>
        <v>Low</v>
      </c>
      <c r="L517" s="4" t="str">
        <f t="shared" si="2"/>
        <v/>
      </c>
    </row>
    <row r="518" ht="14.25" customHeight="1">
      <c r="A518" s="1" t="s">
        <v>1902</v>
      </c>
      <c r="B518" s="1">
        <v>6.0</v>
      </c>
      <c r="C518" s="4" t="str">
        <f>IFERROR(__xludf.DUMMYFUNCTION("""COMPUTED_VALUE"""),"Sam Taylor-Johnson")</f>
        <v>Sam Taylor-Johnson</v>
      </c>
      <c r="D518" s="4">
        <f t="array" ref="D518">IFERROR(AVERAGEIFS($B$2:$B$3757, $A$2:$A$3757, C518:C4272), "")</f>
        <v>4.1</v>
      </c>
      <c r="E518" s="4">
        <f t="shared" si="1"/>
        <v>4.4</v>
      </c>
      <c r="F518" s="4" t="str">
        <f t="array" ref="F518">IF(D518&gt;=_xlfn.PERCENTILE.INC(D518:D2176, 0.9), "High", "Low")</f>
        <v>Low</v>
      </c>
      <c r="L518" s="4" t="str">
        <f t="shared" si="2"/>
        <v/>
      </c>
    </row>
    <row r="519" ht="14.25" customHeight="1">
      <c r="A519" s="1" t="s">
        <v>1067</v>
      </c>
      <c r="B519" s="1">
        <v>6.5</v>
      </c>
      <c r="C519" s="4" t="str">
        <f>IFERROR(__xludf.DUMMYFUNCTION("""COMPUTED_VALUE"""),"Ken Kwapis")</f>
        <v>Ken Kwapis</v>
      </c>
      <c r="D519" s="4">
        <f t="array" ref="D519">IFERROR(AVERAGEIFS($B$2:$B$3757, $A$2:$A$3757, C519:C4273), "")</f>
        <v>6.2</v>
      </c>
      <c r="E519" s="4">
        <f t="shared" si="1"/>
        <v>42.4</v>
      </c>
      <c r="F519" s="4" t="str">
        <f t="array" ref="F519">IF(D519&gt;=_xlfn.PERCENTILE.INC(D519:D2177, 0.9), "High", "Low")</f>
        <v>Low</v>
      </c>
      <c r="L519" s="4" t="str">
        <f t="shared" si="2"/>
        <v/>
      </c>
    </row>
    <row r="520" ht="14.25" customHeight="1">
      <c r="A520" s="1" t="s">
        <v>2928</v>
      </c>
      <c r="B520" s="1">
        <v>5.7</v>
      </c>
      <c r="C520" s="4" t="str">
        <f>IFERROR(__xludf.DUMMYFUNCTION("""COMPUTED_VALUE"""),"Wes Craven")</f>
        <v>Wes Craven</v>
      </c>
      <c r="D520" s="4">
        <f t="array" ref="D520">IFERROR(AVERAGEIFS($B$2:$B$3757, $A$2:$A$3757, C520:C4274), "")</f>
        <v>6</v>
      </c>
      <c r="E520" s="4">
        <f t="shared" si="1"/>
        <v>34.9</v>
      </c>
      <c r="F520" s="4" t="str">
        <f t="array" ref="F520">IF(D520&gt;=_xlfn.PERCENTILE.INC(D520:D2178, 0.9), "High", "Low")</f>
        <v>Low</v>
      </c>
      <c r="L520" s="4" t="str">
        <f t="shared" si="2"/>
        <v/>
      </c>
    </row>
    <row r="521" ht="14.25" customHeight="1">
      <c r="A521" s="1" t="s">
        <v>381</v>
      </c>
      <c r="B521" s="1">
        <v>7.6</v>
      </c>
      <c r="C521" s="4" t="str">
        <f>IFERROR(__xludf.DUMMYFUNCTION("""COMPUTED_VALUE"""),"Etan Cohen")</f>
        <v>Etan Cohen</v>
      </c>
      <c r="D521" s="4">
        <f t="array" ref="D521">IFERROR(AVERAGEIFS($B$2:$B$3757, $A$2:$A$3757, C521:C4275), "")</f>
        <v>6</v>
      </c>
      <c r="E521" s="4">
        <f t="shared" si="1"/>
        <v>34.9</v>
      </c>
      <c r="F521" s="4" t="str">
        <f t="array" ref="F521">IF(D521&gt;=_xlfn.PERCENTILE.INC(D521:D2179, 0.9), "High", "Low")</f>
        <v>Low</v>
      </c>
      <c r="L521" s="4" t="str">
        <f t="shared" si="2"/>
        <v/>
      </c>
    </row>
    <row r="522" ht="14.25" customHeight="1">
      <c r="A522" s="1" t="s">
        <v>2938</v>
      </c>
      <c r="B522" s="1">
        <v>6.6</v>
      </c>
      <c r="C522" s="4" t="str">
        <f>IFERROR(__xludf.DUMMYFUNCTION("""COMPUTED_VALUE"""),"John Whitesell")</f>
        <v>John Whitesell</v>
      </c>
      <c r="D522" s="4">
        <f t="array" ref="D522">IFERROR(AVERAGEIFS($B$2:$B$3757, $A$2:$A$3757, C522:C4276), "")</f>
        <v>4.875</v>
      </c>
      <c r="E522" s="4">
        <f t="shared" si="1"/>
        <v>10.2</v>
      </c>
      <c r="F522" s="4" t="str">
        <f t="array" ref="F522">IF(D522&gt;=_xlfn.PERCENTILE.INC(D522:D2180, 0.9), "High", "Low")</f>
        <v>Low</v>
      </c>
      <c r="L522" s="4" t="str">
        <f t="shared" si="2"/>
        <v/>
      </c>
    </row>
    <row r="523" ht="14.25" customHeight="1">
      <c r="A523" s="1" t="s">
        <v>2942</v>
      </c>
      <c r="B523" s="1">
        <v>5.4</v>
      </c>
      <c r="C523" s="4" t="str">
        <f>IFERROR(__xludf.DUMMYFUNCTION("""COMPUTED_VALUE"""),"Nick Cassavetes")</f>
        <v>Nick Cassavetes</v>
      </c>
      <c r="D523" s="4">
        <f t="array" ref="D523">IFERROR(AVERAGEIFS($B$2:$B$3757, $A$2:$A$3757, C523:C4277), "")</f>
        <v>7.075</v>
      </c>
      <c r="E523" s="4">
        <f t="shared" si="1"/>
        <v>76.3</v>
      </c>
      <c r="F523" s="4" t="str">
        <f t="array" ref="F523">IF(D523&gt;=_xlfn.PERCENTILE.INC(D523:D2181, 0.9), "High", "Low")</f>
        <v>Low</v>
      </c>
      <c r="L523" s="4" t="str">
        <f t="shared" si="2"/>
        <v/>
      </c>
    </row>
    <row r="524" ht="14.25" customHeight="1">
      <c r="A524" s="1" t="s">
        <v>1238</v>
      </c>
      <c r="B524" s="1">
        <v>7.3</v>
      </c>
      <c r="C524" s="4" t="str">
        <f>IFERROR(__xludf.DUMMYFUNCTION("""COMPUTED_VALUE"""),"Mark A.Z. DippÃ©")</f>
        <v>Mark A.Z. DippÃ©</v>
      </c>
      <c r="D524" s="4">
        <f t="array" ref="D524">IFERROR(AVERAGEIFS($B$2:$B$3757, $A$2:$A$3757, C524:C4278), "")</f>
        <v>5.2</v>
      </c>
      <c r="E524" s="4">
        <f t="shared" si="1"/>
        <v>13.8</v>
      </c>
      <c r="F524" s="4" t="str">
        <f t="array" ref="F524">IF(D524&gt;=_xlfn.PERCENTILE.INC(D524:D2182, 0.9), "High", "Low")</f>
        <v>Low</v>
      </c>
      <c r="L524" s="4" t="str">
        <f t="shared" si="2"/>
        <v/>
      </c>
    </row>
    <row r="525" ht="14.25" customHeight="1">
      <c r="A525" s="1" t="s">
        <v>1357</v>
      </c>
      <c r="B525" s="1">
        <v>6.5</v>
      </c>
      <c r="C525" s="4" t="str">
        <f>IFERROR(__xludf.DUMMYFUNCTION("""COMPUTED_VALUE"""),"Brad Furman")</f>
        <v>Brad Furman</v>
      </c>
      <c r="D525" s="4">
        <f t="array" ref="D525">IFERROR(AVERAGEIFS($B$2:$B$3757, $A$2:$A$3757, C525:C4279), "")</f>
        <v>6.45</v>
      </c>
      <c r="E525" s="4">
        <f t="shared" si="1"/>
        <v>51.4</v>
      </c>
      <c r="F525" s="4" t="str">
        <f t="array" ref="F525">IF(D525&gt;=_xlfn.PERCENTILE.INC(D525:D2183, 0.9), "High", "Low")</f>
        <v>Low</v>
      </c>
      <c r="L525" s="4" t="str">
        <f t="shared" si="2"/>
        <v/>
      </c>
    </row>
    <row r="526" ht="14.25" customHeight="1">
      <c r="A526" s="1" t="s">
        <v>2957</v>
      </c>
      <c r="B526" s="1">
        <v>6.6</v>
      </c>
      <c r="C526" s="4" t="str">
        <f>IFERROR(__xludf.DUMMYFUNCTION("""COMPUTED_VALUE"""),"Cal Brunker")</f>
        <v>Cal Brunker</v>
      </c>
      <c r="D526" s="4">
        <f t="array" ref="D526">IFERROR(AVERAGEIFS($B$2:$B$3757, $A$2:$A$3757, C526:C4280), "")</f>
        <v>5.9</v>
      </c>
      <c r="E526" s="4">
        <f t="shared" si="1"/>
        <v>30.7</v>
      </c>
      <c r="F526" s="4" t="str">
        <f t="array" ref="F526">IF(D526&gt;=_xlfn.PERCENTILE.INC(D526:D2184, 0.9), "High", "Low")</f>
        <v>Low</v>
      </c>
      <c r="L526" s="4" t="str">
        <f t="shared" si="2"/>
        <v/>
      </c>
    </row>
    <row r="527" ht="14.25" customHeight="1">
      <c r="A527" s="1" t="s">
        <v>2962</v>
      </c>
      <c r="B527" s="1">
        <v>6.6</v>
      </c>
      <c r="C527" s="4" t="str">
        <f>IFERROR(__xludf.DUMMYFUNCTION("""COMPUTED_VALUE"""),"NimrÃ³d Antal")</f>
        <v>NimrÃ³d Antal</v>
      </c>
      <c r="D527" s="4">
        <f t="array" ref="D527">IFERROR(AVERAGEIFS($B$2:$B$3757, $A$2:$A$3757, C527:C4281), "")</f>
        <v>6.05</v>
      </c>
      <c r="E527" s="4">
        <f t="shared" si="1"/>
        <v>37.7</v>
      </c>
      <c r="F527" s="4" t="str">
        <f t="array" ref="F527">IF(D527&gt;=_xlfn.PERCENTILE.INC(D527:D2185, 0.9), "High", "Low")</f>
        <v>Low</v>
      </c>
      <c r="L527" s="4" t="str">
        <f t="shared" si="2"/>
        <v/>
      </c>
    </row>
    <row r="528" ht="14.25" customHeight="1">
      <c r="A528" s="1" t="s">
        <v>2969</v>
      </c>
      <c r="B528" s="1">
        <v>5.9</v>
      </c>
      <c r="C528" s="4" t="str">
        <f>IFERROR(__xludf.DUMMYFUNCTION("""COMPUTED_VALUE"""),"Alejandro Agresti")</f>
        <v>Alejandro Agresti</v>
      </c>
      <c r="D528" s="4">
        <f t="array" ref="D528">IFERROR(AVERAGEIFS($B$2:$B$3757, $A$2:$A$3757, C528:C4282), "")</f>
        <v>6.8</v>
      </c>
      <c r="E528" s="4">
        <f t="shared" si="1"/>
        <v>63.9</v>
      </c>
      <c r="F528" s="4" t="str">
        <f t="array" ref="F528">IF(D528&gt;=_xlfn.PERCENTILE.INC(D528:D2186, 0.9), "High", "Low")</f>
        <v>Low</v>
      </c>
      <c r="L528" s="4" t="str">
        <f t="shared" si="2"/>
        <v/>
      </c>
    </row>
    <row r="529" ht="14.25" customHeight="1">
      <c r="A529" s="1" t="s">
        <v>2976</v>
      </c>
      <c r="B529" s="1">
        <v>6.7</v>
      </c>
      <c r="C529" s="4" t="str">
        <f>IFERROR(__xludf.DUMMYFUNCTION("""COMPUTED_VALUE"""),"Peter Hedges")</f>
        <v>Peter Hedges</v>
      </c>
      <c r="D529" s="4">
        <f t="array" ref="D529">IFERROR(AVERAGEIFS($B$2:$B$3757, $A$2:$A$3757, C529:C4283), "")</f>
        <v>6.85</v>
      </c>
      <c r="E529" s="4">
        <f t="shared" si="1"/>
        <v>67.1</v>
      </c>
      <c r="F529" s="4" t="str">
        <f t="array" ref="F529">IF(D529&gt;=_xlfn.PERCENTILE.INC(D529:D2187, 0.9), "High", "Low")</f>
        <v>Low</v>
      </c>
      <c r="L529" s="4" t="str">
        <f t="shared" si="2"/>
        <v/>
      </c>
    </row>
    <row r="530" ht="14.25" customHeight="1">
      <c r="A530" s="1" t="s">
        <v>2349</v>
      </c>
      <c r="B530" s="1">
        <v>6.1</v>
      </c>
      <c r="C530" s="4" t="str">
        <f>IFERROR(__xludf.DUMMYFUNCTION("""COMPUTED_VALUE"""),"Paul Weiland")</f>
        <v>Paul Weiland</v>
      </c>
      <c r="D530" s="4">
        <f t="array" ref="D530">IFERROR(AVERAGEIFS($B$2:$B$3757, $A$2:$A$3757, C530:C4284), "")</f>
        <v>5.8</v>
      </c>
      <c r="E530" s="4">
        <f t="shared" si="1"/>
        <v>28.5</v>
      </c>
      <c r="F530" s="4" t="str">
        <f t="array" ref="F530">IF(D530&gt;=_xlfn.PERCENTILE.INC(D530:D2188, 0.9), "High", "Low")</f>
        <v>Low</v>
      </c>
      <c r="L530" s="4" t="str">
        <f t="shared" si="2"/>
        <v/>
      </c>
    </row>
    <row r="531" ht="14.25" customHeight="1">
      <c r="A531" s="1" t="s">
        <v>2989</v>
      </c>
      <c r="B531" s="1">
        <v>6.6</v>
      </c>
      <c r="C531" s="4" t="str">
        <f>IFERROR(__xludf.DUMMYFUNCTION("""COMPUTED_VALUE"""),"Colin Strause")</f>
        <v>Colin Strause</v>
      </c>
      <c r="D531" s="4">
        <f t="array" ref="D531">IFERROR(AVERAGEIFS($B$2:$B$3757, $A$2:$A$3757, C531:C4285), "")</f>
        <v>4.55</v>
      </c>
      <c r="E531" s="4">
        <f t="shared" si="1"/>
        <v>7.3</v>
      </c>
      <c r="F531" s="4" t="str">
        <f t="array" ref="F531">IF(D531&gt;=_xlfn.PERCENTILE.INC(D531:D2189, 0.9), "High", "Low")</f>
        <v>Low</v>
      </c>
      <c r="L531" s="4" t="str">
        <f t="shared" si="2"/>
        <v/>
      </c>
    </row>
    <row r="532" ht="14.25" customHeight="1">
      <c r="A532" s="1" t="s">
        <v>2994</v>
      </c>
      <c r="B532" s="1">
        <v>6.6</v>
      </c>
      <c r="C532" s="4" t="str">
        <f>IFERROR(__xludf.DUMMYFUNCTION("""COMPUTED_VALUE"""),"Joan Chen")</f>
        <v>Joan Chen</v>
      </c>
      <c r="D532" s="4">
        <f t="array" ref="D532">IFERROR(AVERAGEIFS($B$2:$B$3757, $A$2:$A$3757, C532:C4286), "")</f>
        <v>5.5</v>
      </c>
      <c r="E532" s="4">
        <f t="shared" si="1"/>
        <v>20.5</v>
      </c>
      <c r="F532" s="4" t="str">
        <f t="array" ref="F532">IF(D532&gt;=_xlfn.PERCENTILE.INC(D532:D2190, 0.9), "High", "Low")</f>
        <v>Low</v>
      </c>
      <c r="L532" s="4" t="str">
        <f t="shared" si="2"/>
        <v/>
      </c>
    </row>
    <row r="533" ht="14.25" customHeight="1">
      <c r="A533" s="1" t="s">
        <v>2999</v>
      </c>
      <c r="B533" s="1">
        <v>5.3</v>
      </c>
      <c r="C533" s="4" t="str">
        <f>IFERROR(__xludf.DUMMYFUNCTION("""COMPUTED_VALUE"""),"Greg Mottola")</f>
        <v>Greg Mottola</v>
      </c>
      <c r="D533" s="4">
        <f t="array" ref="D533">IFERROR(AVERAGEIFS($B$2:$B$3757, $A$2:$A$3757, C533:C4287), "")</f>
        <v>7.3</v>
      </c>
      <c r="E533" s="4">
        <f t="shared" si="1"/>
        <v>84.6</v>
      </c>
      <c r="F533" s="4" t="str">
        <f t="array" ref="F533">IF(D533&gt;=_xlfn.PERCENTILE.INC(D533:D2191, 0.9), "High", "Low")</f>
        <v>Low</v>
      </c>
      <c r="L533" s="4" t="str">
        <f t="shared" si="2"/>
        <v/>
      </c>
    </row>
    <row r="534" ht="14.25" customHeight="1">
      <c r="A534" s="1" t="s">
        <v>2246</v>
      </c>
      <c r="B534" s="1">
        <v>6.0</v>
      </c>
      <c r="C534" s="4" t="str">
        <f>IFERROR(__xludf.DUMMYFUNCTION("""COMPUTED_VALUE"""),"Jake Kasdan")</f>
        <v>Jake Kasdan</v>
      </c>
      <c r="D534" s="4">
        <f t="array" ref="D534">IFERROR(AVERAGEIFS($B$2:$B$3757, $A$2:$A$3757, C534:C4288), "")</f>
        <v>6.125</v>
      </c>
      <c r="E534" s="4">
        <f t="shared" si="1"/>
        <v>41.7</v>
      </c>
      <c r="F534" s="4" t="str">
        <f t="array" ref="F534">IF(D534&gt;=_xlfn.PERCENTILE.INC(D534:D2192, 0.9), "High", "Low")</f>
        <v>Low</v>
      </c>
      <c r="L534" s="4" t="str">
        <f t="shared" si="2"/>
        <v/>
      </c>
    </row>
    <row r="535" ht="14.25" customHeight="1">
      <c r="A535" s="1" t="s">
        <v>3009</v>
      </c>
      <c r="B535" s="1">
        <v>4.7</v>
      </c>
      <c r="C535" s="4" t="str">
        <f>IFERROR(__xludf.DUMMYFUNCTION("""COMPUTED_VALUE"""),"Diane Keaton")</f>
        <v>Diane Keaton</v>
      </c>
      <c r="D535" s="4">
        <f t="array" ref="D535">IFERROR(AVERAGEIFS($B$2:$B$3757, $A$2:$A$3757, C535:C4289), "")</f>
        <v>4.7</v>
      </c>
      <c r="E535" s="4">
        <f t="shared" si="1"/>
        <v>8.3</v>
      </c>
      <c r="F535" s="4" t="str">
        <f t="array" ref="F535">IF(D535&gt;=_xlfn.PERCENTILE.INC(D535:D2193, 0.9), "High", "Low")</f>
        <v>Low</v>
      </c>
      <c r="L535" s="4" t="str">
        <f t="shared" si="2"/>
        <v/>
      </c>
    </row>
    <row r="536" ht="14.25" customHeight="1">
      <c r="A536" s="1" t="s">
        <v>1967</v>
      </c>
      <c r="B536" s="1">
        <v>6.1</v>
      </c>
      <c r="C536" s="4" t="str">
        <f>IFERROR(__xludf.DUMMYFUNCTION("""COMPUTED_VALUE"""),"Kelly Makin")</f>
        <v>Kelly Makin</v>
      </c>
      <c r="D536" s="4">
        <f t="array" ref="D536">IFERROR(AVERAGEIFS($B$2:$B$3757, $A$2:$A$3757, C536:C4290), "")</f>
        <v>5.8</v>
      </c>
      <c r="E536" s="4">
        <f t="shared" si="1"/>
        <v>28.4</v>
      </c>
      <c r="F536" s="4" t="str">
        <f t="array" ref="F536">IF(D536&gt;=_xlfn.PERCENTILE.INC(D536:D2194, 0.9), "High", "Low")</f>
        <v>Low</v>
      </c>
      <c r="L536" s="4" t="str">
        <f t="shared" si="2"/>
        <v/>
      </c>
    </row>
    <row r="537" ht="14.25" customHeight="1">
      <c r="A537" s="1" t="s">
        <v>875</v>
      </c>
      <c r="B537" s="1">
        <v>7.2</v>
      </c>
      <c r="C537" s="4" t="str">
        <f>IFERROR(__xludf.DUMMYFUNCTION("""COMPUTED_VALUE"""),"Stephen Daldry")</f>
        <v>Stephen Daldry</v>
      </c>
      <c r="D537" s="4">
        <f t="array" ref="D537">IFERROR(AVERAGEIFS($B$2:$B$3757, $A$2:$A$3757, C537:C4291), "")</f>
        <v>7.45</v>
      </c>
      <c r="E537" s="4">
        <f t="shared" si="1"/>
        <v>88.3</v>
      </c>
      <c r="F537" s="4" t="str">
        <f t="array" ref="F537">IF(D537&gt;=_xlfn.PERCENTILE.INC(D537:D2195, 0.9), "High", "Low")</f>
        <v>Low</v>
      </c>
      <c r="L537" s="4" t="str">
        <f t="shared" si="2"/>
        <v/>
      </c>
    </row>
    <row r="538" ht="14.25" customHeight="1">
      <c r="A538" s="1" t="s">
        <v>3022</v>
      </c>
      <c r="B538" s="1">
        <v>6.4</v>
      </c>
      <c r="C538" s="4" t="str">
        <f>IFERROR(__xludf.DUMMYFUNCTION("""COMPUTED_VALUE"""),"Christian Duguay")</f>
        <v>Christian Duguay</v>
      </c>
      <c r="D538" s="4">
        <f t="array" ref="D538">IFERROR(AVERAGEIFS($B$2:$B$3757, $A$2:$A$3757, C538:C4292), "")</f>
        <v>5.1</v>
      </c>
      <c r="E538" s="4">
        <f t="shared" si="1"/>
        <v>11.9</v>
      </c>
      <c r="F538" s="4" t="str">
        <f t="array" ref="F538">IF(D538&gt;=_xlfn.PERCENTILE.INC(D538:D2196, 0.9), "High", "Low")</f>
        <v>Low</v>
      </c>
      <c r="L538" s="4" t="str">
        <f t="shared" si="2"/>
        <v/>
      </c>
    </row>
    <row r="539" ht="14.25" customHeight="1">
      <c r="A539" s="1" t="s">
        <v>103</v>
      </c>
      <c r="B539" s="1">
        <v>6.1</v>
      </c>
      <c r="C539" s="4" t="str">
        <f>IFERROR(__xludf.DUMMYFUNCTION("""COMPUTED_VALUE"""),"Justin Chadwick")</f>
        <v>Justin Chadwick</v>
      </c>
      <c r="D539" s="4">
        <f t="array" ref="D539">IFERROR(AVERAGEIFS($B$2:$B$3757, $A$2:$A$3757, C539:C4293), "")</f>
        <v>6.9</v>
      </c>
      <c r="E539" s="4">
        <f t="shared" si="1"/>
        <v>67.9</v>
      </c>
      <c r="F539" s="4" t="str">
        <f t="array" ref="F539">IF(D539&gt;=_xlfn.PERCENTILE.INC(D539:D2197, 0.9), "High", "Low")</f>
        <v>Low</v>
      </c>
      <c r="L539" s="4" t="str">
        <f t="shared" si="2"/>
        <v/>
      </c>
    </row>
    <row r="540" ht="14.25" customHeight="1">
      <c r="A540" s="1" t="s">
        <v>2161</v>
      </c>
      <c r="B540" s="1">
        <v>5.9</v>
      </c>
      <c r="C540" s="4" t="str">
        <f>IFERROR(__xludf.DUMMYFUNCTION("""COMPUTED_VALUE"""),"Pat O'Connor")</f>
        <v>Pat O'Connor</v>
      </c>
      <c r="D540" s="4">
        <f t="array" ref="D540">IFERROR(AVERAGEIFS($B$2:$B$3757, $A$2:$A$3757, C540:C4294), "")</f>
        <v>6.7</v>
      </c>
      <c r="E540" s="4">
        <f t="shared" si="1"/>
        <v>60.3</v>
      </c>
      <c r="F540" s="4" t="str">
        <f t="array" ref="F540">IF(D540&gt;=_xlfn.PERCENTILE.INC(D540:D2198, 0.9), "High", "Low")</f>
        <v>Low</v>
      </c>
      <c r="L540" s="4" t="str">
        <f t="shared" si="2"/>
        <v/>
      </c>
    </row>
    <row r="541" ht="14.25" customHeight="1">
      <c r="A541" s="1" t="s">
        <v>2962</v>
      </c>
      <c r="B541" s="1">
        <v>6.0</v>
      </c>
      <c r="C541" s="4" t="str">
        <f>IFERROR(__xludf.DUMMYFUNCTION("""COMPUTED_VALUE"""),"Frederik Du Chau")</f>
        <v>Frederik Du Chau</v>
      </c>
      <c r="D541" s="4">
        <f t="array" ref="D541">IFERROR(AVERAGEIFS($B$2:$B$3757, $A$2:$A$3757, C541:C4295), "")</f>
        <v>6.2</v>
      </c>
      <c r="E541" s="4">
        <f t="shared" si="1"/>
        <v>42.1</v>
      </c>
      <c r="F541" s="4" t="str">
        <f t="array" ref="F541">IF(D541&gt;=_xlfn.PERCENTILE.INC(D541:D2199, 0.9), "High", "Low")</f>
        <v>Low</v>
      </c>
      <c r="L541" s="4" t="str">
        <f t="shared" si="2"/>
        <v/>
      </c>
    </row>
    <row r="542" ht="14.25" customHeight="1">
      <c r="A542" s="1" t="s">
        <v>3041</v>
      </c>
      <c r="B542" s="1">
        <v>6.3</v>
      </c>
      <c r="C542" s="4" t="str">
        <f>IFERROR(__xludf.DUMMYFUNCTION("""COMPUTED_VALUE"""),"Irwin Winkler")</f>
        <v>Irwin Winkler</v>
      </c>
      <c r="D542" s="4">
        <f t="array" ref="D542">IFERROR(AVERAGEIFS($B$2:$B$3757, $A$2:$A$3757, C542:C4296), "")</f>
        <v>6.45</v>
      </c>
      <c r="E542" s="4">
        <f t="shared" si="1"/>
        <v>51.3</v>
      </c>
      <c r="F542" s="4" t="str">
        <f t="array" ref="F542">IF(D542&gt;=_xlfn.PERCENTILE.INC(D542:D2200, 0.9), "High", "Low")</f>
        <v>Low</v>
      </c>
      <c r="L542" s="4" t="str">
        <f t="shared" si="2"/>
        <v/>
      </c>
    </row>
    <row r="543" ht="14.25" customHeight="1">
      <c r="A543" s="1" t="s">
        <v>2976</v>
      </c>
      <c r="B543" s="1">
        <v>5.6</v>
      </c>
      <c r="C543" s="4" t="str">
        <f>IFERROR(__xludf.DUMMYFUNCTION("""COMPUTED_VALUE"""),"Joseph Kahn")</f>
        <v>Joseph Kahn</v>
      </c>
      <c r="D543" s="4">
        <f t="array" ref="D543">IFERROR(AVERAGEIFS($B$2:$B$3757, $A$2:$A$3757, C543:C4297), "")</f>
        <v>4</v>
      </c>
      <c r="E543" s="4">
        <f t="shared" si="1"/>
        <v>4</v>
      </c>
      <c r="F543" s="4" t="str">
        <f t="array" ref="F543">IF(D543&gt;=_xlfn.PERCENTILE.INC(D543:D2201, 0.9), "High", "Low")</f>
        <v>Low</v>
      </c>
      <c r="L543" s="4" t="str">
        <f t="shared" si="2"/>
        <v/>
      </c>
    </row>
    <row r="544" ht="14.25" customHeight="1">
      <c r="A544" s="1" t="s">
        <v>3052</v>
      </c>
      <c r="B544" s="1">
        <v>6.4</v>
      </c>
      <c r="C544" s="4" t="str">
        <f>IFERROR(__xludf.DUMMYFUNCTION("""COMPUTED_VALUE"""),"Sofia Coppola")</f>
        <v>Sofia Coppola</v>
      </c>
      <c r="D544" s="4">
        <f t="array" ref="D544">IFERROR(AVERAGEIFS($B$2:$B$3757, $A$2:$A$3757, C544:C4298), "")</f>
        <v>6.925</v>
      </c>
      <c r="E544" s="4">
        <f t="shared" si="1"/>
        <v>70.8</v>
      </c>
      <c r="F544" s="4" t="str">
        <f t="array" ref="F544">IF(D544&gt;=_xlfn.PERCENTILE.INC(D544:D2202, 0.9), "High", "Low")</f>
        <v>Low</v>
      </c>
      <c r="L544" s="4" t="str">
        <f t="shared" si="2"/>
        <v/>
      </c>
    </row>
    <row r="545" ht="14.25" customHeight="1">
      <c r="A545" s="1" t="s">
        <v>217</v>
      </c>
      <c r="B545" s="1">
        <v>7.1</v>
      </c>
      <c r="C545" s="4" t="str">
        <f>IFERROR(__xludf.DUMMYFUNCTION("""COMPUTED_VALUE"""),"Stephen Kay")</f>
        <v>Stephen Kay</v>
      </c>
      <c r="D545" s="4">
        <f t="array" ref="D545">IFERROR(AVERAGEIFS($B$2:$B$3757, $A$2:$A$3757, C545:C4299), "")</f>
        <v>5</v>
      </c>
      <c r="E545" s="4">
        <f t="shared" si="1"/>
        <v>10.9</v>
      </c>
      <c r="F545" s="4" t="str">
        <f t="array" ref="F545">IF(D545&gt;=_xlfn.PERCENTILE.INC(D545:D2203, 0.9), "High", "Low")</f>
        <v>Low</v>
      </c>
      <c r="L545" s="4" t="str">
        <f t="shared" si="2"/>
        <v/>
      </c>
    </row>
    <row r="546" ht="14.25" customHeight="1">
      <c r="A546" s="1" t="s">
        <v>1668</v>
      </c>
      <c r="B546" s="1">
        <v>6.6</v>
      </c>
      <c r="C546" s="4" t="str">
        <f>IFERROR(__xludf.DUMMYFUNCTION("""COMPUTED_VALUE"""),"J.A. Bayona")</f>
        <v>J.A. Bayona</v>
      </c>
      <c r="D546" s="4">
        <f t="array" ref="D546">IFERROR(AVERAGEIFS($B$2:$B$3757, $A$2:$A$3757, C546:C4300), "")</f>
        <v>7.55</v>
      </c>
      <c r="E546" s="4">
        <f t="shared" si="1"/>
        <v>90.3</v>
      </c>
      <c r="F546" s="4" t="str">
        <f t="array" ref="F546">IF(D546&gt;=_xlfn.PERCENTILE.INC(D546:D2204, 0.9), "High", "Low")</f>
        <v>High</v>
      </c>
      <c r="L546" s="4" t="str">
        <f t="shared" si="2"/>
        <v/>
      </c>
    </row>
    <row r="547" ht="14.25" customHeight="1">
      <c r="A547" s="1" t="s">
        <v>3067</v>
      </c>
      <c r="B547" s="1">
        <v>4.6</v>
      </c>
      <c r="C547" s="4" t="str">
        <f>IFERROR(__xludf.DUMMYFUNCTION("""COMPUTED_VALUE"""),"Elaine May")</f>
        <v>Elaine May</v>
      </c>
      <c r="D547" s="4">
        <f t="array" ref="D547">IFERROR(AVERAGEIFS($B$2:$B$3757, $A$2:$A$3757, C547:C4301), "")</f>
        <v>4.2</v>
      </c>
      <c r="E547" s="4">
        <f t="shared" si="1"/>
        <v>5.4</v>
      </c>
      <c r="F547" s="4" t="str">
        <f t="array" ref="F547">IF(D547&gt;=_xlfn.PERCENTILE.INC(D547:D2205, 0.9), "High", "Low")</f>
        <v>Low</v>
      </c>
      <c r="L547" s="4" t="str">
        <f t="shared" si="2"/>
        <v/>
      </c>
    </row>
    <row r="548" ht="14.25" customHeight="1">
      <c r="A548" s="1" t="s">
        <v>3073</v>
      </c>
      <c r="B548" s="1">
        <v>8.4</v>
      </c>
      <c r="C548" s="4" t="str">
        <f>IFERROR(__xludf.DUMMYFUNCTION("""COMPUTED_VALUE"""),"Dennie Gordon")</f>
        <v>Dennie Gordon</v>
      </c>
      <c r="D548" s="4">
        <f t="array" ref="D548">IFERROR(AVERAGEIFS($B$2:$B$3757, $A$2:$A$3757, C548:C4302), "")</f>
        <v>5.5</v>
      </c>
      <c r="E548" s="4">
        <f t="shared" si="1"/>
        <v>20.4</v>
      </c>
      <c r="F548" s="4" t="str">
        <f t="array" ref="F548">IF(D548&gt;=_xlfn.PERCENTILE.INC(D548:D2206, 0.9), "High", "Low")</f>
        <v>Low</v>
      </c>
      <c r="L548" s="4" t="str">
        <f t="shared" si="2"/>
        <v/>
      </c>
    </row>
    <row r="549" ht="14.25" customHeight="1">
      <c r="A549" s="1" t="s">
        <v>46</v>
      </c>
      <c r="B549" s="1">
        <v>7.1</v>
      </c>
      <c r="C549" s="4" t="str">
        <f>IFERROR(__xludf.DUMMYFUNCTION("""COMPUTED_VALUE"""),"Charles Shyer")</f>
        <v>Charles Shyer</v>
      </c>
      <c r="D549" s="4">
        <f t="array" ref="D549">IFERROR(AVERAGEIFS($B$2:$B$3757, $A$2:$A$3757, C549:C4303), "")</f>
        <v>6.2</v>
      </c>
      <c r="E549" s="4">
        <f t="shared" si="1"/>
        <v>42</v>
      </c>
      <c r="F549" s="4" t="str">
        <f t="array" ref="F549">IF(D549&gt;=_xlfn.PERCENTILE.INC(D549:D2207, 0.9), "High", "Low")</f>
        <v>Low</v>
      </c>
      <c r="L549" s="4" t="str">
        <f t="shared" si="2"/>
        <v/>
      </c>
    </row>
    <row r="550" ht="14.25" customHeight="1">
      <c r="A550" s="1" t="s">
        <v>3086</v>
      </c>
      <c r="B550" s="1">
        <v>7.4</v>
      </c>
      <c r="C550" s="4" t="str">
        <f>IFERROR(__xludf.DUMMYFUNCTION("""COMPUTED_VALUE"""),"Ulu Grosbard")</f>
        <v>Ulu Grosbard</v>
      </c>
      <c r="D550" s="4">
        <f t="array" ref="D550">IFERROR(AVERAGEIFS($B$2:$B$3757, $A$2:$A$3757, C550:C4304), "")</f>
        <v>6.3</v>
      </c>
      <c r="E550" s="4">
        <f t="shared" si="1"/>
        <v>44.5</v>
      </c>
      <c r="F550" s="4" t="str">
        <f t="array" ref="F550">IF(D550&gt;=_xlfn.PERCENTILE.INC(D550:D2208, 0.9), "High", "Low")</f>
        <v>Low</v>
      </c>
      <c r="L550" s="4" t="str">
        <f t="shared" si="2"/>
        <v/>
      </c>
    </row>
    <row r="551" ht="14.25" customHeight="1">
      <c r="A551" s="1" t="s">
        <v>3093</v>
      </c>
      <c r="B551" s="1">
        <v>6.9</v>
      </c>
      <c r="C551" s="4" t="str">
        <f>IFERROR(__xludf.DUMMYFUNCTION("""COMPUTED_VALUE"""),"William Malone")</f>
        <v>William Malone</v>
      </c>
      <c r="D551" s="4">
        <f t="array" ref="D551">IFERROR(AVERAGEIFS($B$2:$B$3757, $A$2:$A$3757, C551:C4305), "")</f>
        <v>4.45</v>
      </c>
      <c r="E551" s="4">
        <f t="shared" si="1"/>
        <v>6.7</v>
      </c>
      <c r="F551" s="4" t="str">
        <f t="array" ref="F551">IF(D551&gt;=_xlfn.PERCENTILE.INC(D551:D2209, 0.9), "High", "Low")</f>
        <v>Low</v>
      </c>
      <c r="L551" s="4" t="str">
        <f t="shared" si="2"/>
        <v/>
      </c>
    </row>
    <row r="552" ht="14.25" customHeight="1">
      <c r="A552" s="1" t="s">
        <v>1985</v>
      </c>
      <c r="B552" s="1">
        <v>4.5</v>
      </c>
      <c r="C552" s="4" t="str">
        <f>IFERROR(__xludf.DUMMYFUNCTION("""COMPUTED_VALUE"""),"Jerry Jameson")</f>
        <v>Jerry Jameson</v>
      </c>
      <c r="D552" s="4">
        <f t="array" ref="D552">IFERROR(AVERAGEIFS($B$2:$B$3757, $A$2:$A$3757, C552:C4306), "")</f>
        <v>5</v>
      </c>
      <c r="E552" s="4">
        <f t="shared" si="1"/>
        <v>10.8</v>
      </c>
      <c r="F552" s="4" t="str">
        <f t="array" ref="F552">IF(D552&gt;=_xlfn.PERCENTILE.INC(D552:D2210, 0.9), "High", "Low")</f>
        <v>Low</v>
      </c>
      <c r="L552" s="4" t="str">
        <f t="shared" si="2"/>
        <v/>
      </c>
    </row>
    <row r="553" ht="14.25" customHeight="1">
      <c r="A553" s="1" t="s">
        <v>2305</v>
      </c>
      <c r="B553" s="1">
        <v>7.1</v>
      </c>
      <c r="C553" s="4" t="str">
        <f>IFERROR(__xludf.DUMMYFUNCTION("""COMPUTED_VALUE"""),"Mic Rodgers")</f>
        <v>Mic Rodgers</v>
      </c>
      <c r="D553" s="4">
        <f t="array" ref="D553">IFERROR(AVERAGEIFS($B$2:$B$3757, $A$2:$A$3757, C553:C4307), "")</f>
        <v>4.1</v>
      </c>
      <c r="E553" s="4">
        <f t="shared" si="1"/>
        <v>4.4</v>
      </c>
      <c r="F553" s="4" t="str">
        <f t="array" ref="F553">IF(D553&gt;=_xlfn.PERCENTILE.INC(D553:D2211, 0.9), "High", "Low")</f>
        <v>Low</v>
      </c>
      <c r="L553" s="4" t="str">
        <f t="shared" si="2"/>
        <v/>
      </c>
    </row>
    <row r="554" ht="14.25" customHeight="1">
      <c r="A554" s="1" t="s">
        <v>875</v>
      </c>
      <c r="B554" s="1">
        <v>6.5</v>
      </c>
      <c r="C554" s="4" t="str">
        <f>IFERROR(__xludf.DUMMYFUNCTION("""COMPUTED_VALUE"""),"Christian Alvart")</f>
        <v>Christian Alvart</v>
      </c>
      <c r="D554" s="4">
        <f t="array" ref="D554">IFERROR(AVERAGEIFS($B$2:$B$3757, $A$2:$A$3757, C554:C4308), "")</f>
        <v>6.5</v>
      </c>
      <c r="E554" s="4">
        <f t="shared" si="1"/>
        <v>51.9</v>
      </c>
      <c r="F554" s="4" t="str">
        <f t="array" ref="F554">IF(D554&gt;=_xlfn.PERCENTILE.INC(D554:D2212, 0.9), "High", "Low")</f>
        <v>Low</v>
      </c>
      <c r="L554" s="4" t="str">
        <f t="shared" si="2"/>
        <v/>
      </c>
    </row>
    <row r="555" ht="14.25" customHeight="1">
      <c r="A555" s="1" t="s">
        <v>3116</v>
      </c>
      <c r="B555" s="1">
        <v>5.3</v>
      </c>
      <c r="C555" s="4" t="str">
        <f>IFERROR(__xludf.DUMMYFUNCTION("""COMPUTED_VALUE"""),"Jean-Marie PoirÃ©")</f>
        <v>Jean-Marie PoirÃ©</v>
      </c>
      <c r="D555" s="4">
        <f t="array" ref="D555">IFERROR(AVERAGEIFS($B$2:$B$3757, $A$2:$A$3757, C555:C4309), "")</f>
        <v>6.4</v>
      </c>
      <c r="E555" s="4">
        <f t="shared" si="1"/>
        <v>48.2</v>
      </c>
      <c r="F555" s="4" t="str">
        <f t="array" ref="F555">IF(D555&gt;=_xlfn.PERCENTILE.INC(D555:D2213, 0.9), "High", "Low")</f>
        <v>Low</v>
      </c>
      <c r="L555" s="4" t="str">
        <f t="shared" si="2"/>
        <v/>
      </c>
    </row>
    <row r="556" ht="14.25" customHeight="1">
      <c r="A556" s="1" t="s">
        <v>875</v>
      </c>
      <c r="B556" s="1">
        <v>6.7</v>
      </c>
      <c r="C556" s="4" t="str">
        <f>IFERROR(__xludf.DUMMYFUNCTION("""COMPUTED_VALUE"""),"Marc F. Adler")</f>
        <v>Marc F. Adler</v>
      </c>
      <c r="D556" s="4">
        <f t="array" ref="D556">IFERROR(AVERAGEIFS($B$2:$B$3757, $A$2:$A$3757, C556:C4310), "")</f>
        <v>4.4</v>
      </c>
      <c r="E556" s="4">
        <f t="shared" si="1"/>
        <v>6.1</v>
      </c>
      <c r="F556" s="4" t="str">
        <f t="array" ref="F556">IF(D556&gt;=_xlfn.PERCENTILE.INC(D556:D2214, 0.9), "High", "Low")</f>
        <v>Low</v>
      </c>
      <c r="L556" s="4" t="str">
        <f t="shared" si="2"/>
        <v/>
      </c>
    </row>
    <row r="557" ht="14.25" customHeight="1">
      <c r="A557" s="1" t="s">
        <v>138</v>
      </c>
      <c r="B557" s="1">
        <v>7.2</v>
      </c>
      <c r="C557" s="4" t="str">
        <f>IFERROR(__xludf.DUMMYFUNCTION("""COMPUTED_VALUE"""),"Geoffrey Sax")</f>
        <v>Geoffrey Sax</v>
      </c>
      <c r="D557" s="4">
        <f t="array" ref="D557">IFERROR(AVERAGEIFS($B$2:$B$3757, $A$2:$A$3757, C557:C4311), "")</f>
        <v>5.3</v>
      </c>
      <c r="E557" s="4">
        <f t="shared" si="1"/>
        <v>15.2</v>
      </c>
      <c r="F557" s="4" t="str">
        <f t="array" ref="F557">IF(D557&gt;=_xlfn.PERCENTILE.INC(D557:D2215, 0.9), "High", "Low")</f>
        <v>Low</v>
      </c>
      <c r="L557" s="4" t="str">
        <f t="shared" si="2"/>
        <v/>
      </c>
    </row>
    <row r="558" ht="14.25" customHeight="1">
      <c r="A558" s="1" t="s">
        <v>298</v>
      </c>
      <c r="B558" s="1">
        <v>7.2</v>
      </c>
      <c r="C558" s="4" t="str">
        <f>IFERROR(__xludf.DUMMYFUNCTION("""COMPUTED_VALUE"""),"Richard Shepard")</f>
        <v>Richard Shepard</v>
      </c>
      <c r="D558" s="4">
        <f t="array" ref="D558">IFERROR(AVERAGEIFS($B$2:$B$3757, $A$2:$A$3757, C558:C4312), "")</f>
        <v>6.85</v>
      </c>
      <c r="E558" s="4">
        <f t="shared" si="1"/>
        <v>66.8</v>
      </c>
      <c r="F558" s="4" t="str">
        <f t="array" ref="F558">IF(D558&gt;=_xlfn.PERCENTILE.INC(D558:D2216, 0.9), "High", "Low")</f>
        <v>Low</v>
      </c>
      <c r="L558" s="4" t="str">
        <f t="shared" si="2"/>
        <v/>
      </c>
    </row>
    <row r="559" ht="14.25" customHeight="1">
      <c r="A559" s="1" t="s">
        <v>3138</v>
      </c>
      <c r="B559" s="1">
        <v>5.5</v>
      </c>
      <c r="C559" s="4" t="str">
        <f>IFERROR(__xludf.DUMMYFUNCTION("""COMPUTED_VALUE"""),"Peter Ho-Sun Chan")</f>
        <v>Peter Ho-Sun Chan</v>
      </c>
      <c r="D559" s="4">
        <f t="array" ref="D559">IFERROR(AVERAGEIFS($B$2:$B$3757, $A$2:$A$3757, C559:C4313), "")</f>
        <v>7.1</v>
      </c>
      <c r="E559" s="4">
        <f t="shared" si="1"/>
        <v>76</v>
      </c>
      <c r="F559" s="4" t="str">
        <f t="array" ref="F559">IF(D559&gt;=_xlfn.PERCENTILE.INC(D559:D2217, 0.9), "High", "Low")</f>
        <v>Low</v>
      </c>
      <c r="L559" s="4" t="str">
        <f t="shared" si="2"/>
        <v/>
      </c>
    </row>
    <row r="560" ht="14.25" customHeight="1">
      <c r="A560" s="1" t="s">
        <v>484</v>
      </c>
      <c r="B560" s="1">
        <v>5.8</v>
      </c>
      <c r="C560" s="4" t="str">
        <f>IFERROR(__xludf.DUMMYFUNCTION("""COMPUTED_VALUE"""),"Joon-ho Bong")</f>
        <v>Joon-ho Bong</v>
      </c>
      <c r="D560" s="4">
        <f t="array" ref="D560">IFERROR(AVERAGEIFS($B$2:$B$3757, $A$2:$A$3757, C560:C4314), "")</f>
        <v>7</v>
      </c>
      <c r="E560" s="4">
        <f t="shared" si="1"/>
        <v>71.6</v>
      </c>
      <c r="F560" s="4" t="str">
        <f t="array" ref="F560">IF(D560&gt;=_xlfn.PERCENTILE.INC(D560:D2218, 0.9), "High", "Low")</f>
        <v>Low</v>
      </c>
      <c r="L560" s="4" t="str">
        <f t="shared" si="2"/>
        <v/>
      </c>
    </row>
    <row r="561" ht="14.25" customHeight="1">
      <c r="A561" s="1" t="s">
        <v>3148</v>
      </c>
      <c r="B561" s="1">
        <v>6.0</v>
      </c>
      <c r="C561" s="4" t="str">
        <f>IFERROR(__xludf.DUMMYFUNCTION("""COMPUTED_VALUE"""),"Charles S. Dutton")</f>
        <v>Charles S. Dutton</v>
      </c>
      <c r="D561" s="4">
        <f t="array" ref="D561">IFERROR(AVERAGEIFS($B$2:$B$3757, $A$2:$A$3757, C561:C4315), "")</f>
        <v>5.3</v>
      </c>
      <c r="E561" s="4">
        <f t="shared" si="1"/>
        <v>15.3</v>
      </c>
      <c r="F561" s="4" t="str">
        <f t="array" ref="F561">IF(D561&gt;=_xlfn.PERCENTILE.INC(D561:D2219, 0.9), "High", "Low")</f>
        <v>Low</v>
      </c>
      <c r="L561" s="4" t="str">
        <f t="shared" si="2"/>
        <v/>
      </c>
    </row>
    <row r="562" ht="14.25" customHeight="1">
      <c r="A562" s="1" t="s">
        <v>813</v>
      </c>
      <c r="B562" s="1">
        <v>6.6</v>
      </c>
      <c r="C562" s="4" t="str">
        <f>IFERROR(__xludf.DUMMYFUNCTION("""COMPUTED_VALUE"""),"Jonathan Lynn")</f>
        <v>Jonathan Lynn</v>
      </c>
      <c r="D562" s="4">
        <f t="array" ref="D562">IFERROR(AVERAGEIFS($B$2:$B$3757, $A$2:$A$3757, C562:C4316), "")</f>
        <v>6.7</v>
      </c>
      <c r="E562" s="4">
        <f t="shared" si="1"/>
        <v>60</v>
      </c>
      <c r="F562" s="4" t="str">
        <f t="array" ref="F562">IF(D562&gt;=_xlfn.PERCENTILE.INC(D562:D2220, 0.9), "High", "Low")</f>
        <v>Low</v>
      </c>
      <c r="L562" s="4" t="str">
        <f t="shared" si="2"/>
        <v/>
      </c>
    </row>
    <row r="563" ht="14.25" customHeight="1">
      <c r="A563" s="1" t="s">
        <v>1681</v>
      </c>
      <c r="B563" s="1">
        <v>8.3</v>
      </c>
      <c r="C563" s="4" t="str">
        <f>IFERROR(__xludf.DUMMYFUNCTION("""COMPUTED_VALUE"""),"David Carson")</f>
        <v>David Carson</v>
      </c>
      <c r="D563" s="4">
        <f t="array" ref="D563">IFERROR(AVERAGEIFS($B$2:$B$3757, $A$2:$A$3757, C563:C4317), "")</f>
        <v>6.6</v>
      </c>
      <c r="E563" s="4">
        <f t="shared" si="1"/>
        <v>56.5</v>
      </c>
      <c r="F563" s="4" t="str">
        <f t="array" ref="F563">IF(D563&gt;=_xlfn.PERCENTILE.INC(D563:D2221, 0.9), "High", "Low")</f>
        <v>Low</v>
      </c>
      <c r="L563" s="4" t="str">
        <f t="shared" si="2"/>
        <v/>
      </c>
    </row>
    <row r="564" ht="14.25" customHeight="1">
      <c r="A564" s="1" t="s">
        <v>381</v>
      </c>
      <c r="B564" s="1">
        <v>6.7</v>
      </c>
      <c r="C564" s="4" t="str">
        <f>IFERROR(__xludf.DUMMYFUNCTION("""COMPUTED_VALUE"""),"Kar-Wai Wong")</f>
        <v>Kar-Wai Wong</v>
      </c>
      <c r="D564" s="4">
        <f t="array" ref="D564">IFERROR(AVERAGEIFS($B$2:$B$3757, $A$2:$A$3757, C564:C4318), "")</f>
        <v>6.9</v>
      </c>
      <c r="E564" s="4">
        <f t="shared" si="1"/>
        <v>67.5</v>
      </c>
      <c r="F564" s="4" t="str">
        <f t="array" ref="F564">IF(D564&gt;=_xlfn.PERCENTILE.INC(D564:D2222, 0.9), "High", "Low")</f>
        <v>Low</v>
      </c>
      <c r="L564" s="4" t="str">
        <f t="shared" si="2"/>
        <v/>
      </c>
    </row>
    <row r="565" ht="14.25" customHeight="1">
      <c r="A565" s="1" t="s">
        <v>252</v>
      </c>
      <c r="B565" s="1">
        <v>6.0</v>
      </c>
      <c r="C565" s="4" t="str">
        <f>IFERROR(__xludf.DUMMYFUNCTION("""COMPUTED_VALUE"""),"Norman Jewison")</f>
        <v>Norman Jewison</v>
      </c>
      <c r="D565" s="4">
        <f t="array" ref="D565">IFERROR(AVERAGEIFS($B$2:$B$3757, $A$2:$A$3757, C565:C4319), "")</f>
        <v>6.775</v>
      </c>
      <c r="E565" s="4">
        <f t="shared" si="1"/>
        <v>63.5</v>
      </c>
      <c r="F565" s="4" t="str">
        <f t="array" ref="F565">IF(D565&gt;=_xlfn.PERCENTILE.INC(D565:D2223, 0.9), "High", "Low")</f>
        <v>Low</v>
      </c>
      <c r="L565" s="4" t="str">
        <f t="shared" si="2"/>
        <v/>
      </c>
    </row>
    <row r="566" ht="14.25" customHeight="1">
      <c r="A566" s="1" t="s">
        <v>1985</v>
      </c>
      <c r="B566" s="1">
        <v>7.1</v>
      </c>
      <c r="C566" s="4" t="str">
        <f>IFERROR(__xludf.DUMMYFUNCTION("""COMPUTED_VALUE"""),"David Mirkin")</f>
        <v>David Mirkin</v>
      </c>
      <c r="D566" s="4">
        <f t="array" ref="D566">IFERROR(AVERAGEIFS($B$2:$B$3757, $A$2:$A$3757, C566:C4320), "")</f>
        <v>6.2</v>
      </c>
      <c r="E566" s="4">
        <f t="shared" si="1"/>
        <v>42.1</v>
      </c>
      <c r="F566" s="4" t="str">
        <f t="array" ref="F566">IF(D566&gt;=_xlfn.PERCENTILE.INC(D566:D2224, 0.9), "High", "Low")</f>
        <v>Low</v>
      </c>
      <c r="L566" s="4" t="str">
        <f t="shared" si="2"/>
        <v/>
      </c>
    </row>
    <row r="567" ht="14.25" customHeight="1">
      <c r="A567" s="1" t="s">
        <v>3169</v>
      </c>
      <c r="B567" s="1">
        <v>6.0</v>
      </c>
      <c r="C567" s="4" t="str">
        <f>IFERROR(__xludf.DUMMYFUNCTION("""COMPUTED_VALUE"""),"Luis Mandoki")</f>
        <v>Luis Mandoki</v>
      </c>
      <c r="D567" s="4">
        <f t="array" ref="D567">IFERROR(AVERAGEIFS($B$2:$B$3757, $A$2:$A$3757, C567:C4321), "")</f>
        <v>5.85</v>
      </c>
      <c r="E567" s="4">
        <f t="shared" si="1"/>
        <v>30.2</v>
      </c>
      <c r="F567" s="4" t="str">
        <f t="array" ref="F567">IF(D567&gt;=_xlfn.PERCENTILE.INC(D567:D2225, 0.9), "High", "Low")</f>
        <v>Low</v>
      </c>
      <c r="L567" s="4" t="str">
        <f t="shared" si="2"/>
        <v/>
      </c>
    </row>
    <row r="568" ht="14.25" customHeight="1">
      <c r="A568" s="1" t="s">
        <v>3175</v>
      </c>
      <c r="B568" s="1">
        <v>6.9</v>
      </c>
      <c r="C568" s="4" t="str">
        <f>IFERROR(__xludf.DUMMYFUNCTION("""COMPUTED_VALUE"""),"Lee Daniels")</f>
        <v>Lee Daniels</v>
      </c>
      <c r="D568" s="4">
        <f t="array" ref="D568">IFERROR(AVERAGEIFS($B$2:$B$3757, $A$2:$A$3757, C568:C4322), "")</f>
        <v>7.266666667</v>
      </c>
      <c r="E568" s="4">
        <f t="shared" si="1"/>
        <v>84.2</v>
      </c>
      <c r="F568" s="4" t="str">
        <f t="array" ref="F568">IF(D568&gt;=_xlfn.PERCENTILE.INC(D568:D2226, 0.9), "High", "Low")</f>
        <v>Low</v>
      </c>
      <c r="L568" s="4" t="str">
        <f t="shared" si="2"/>
        <v/>
      </c>
    </row>
    <row r="569" ht="14.25" customHeight="1">
      <c r="A569" s="1" t="s">
        <v>875</v>
      </c>
      <c r="B569" s="1">
        <v>5.6</v>
      </c>
      <c r="C569" s="4" t="str">
        <f>IFERROR(__xludf.DUMMYFUNCTION("""COMPUTED_VALUE"""),"Jeb Stuart")</f>
        <v>Jeb Stuart</v>
      </c>
      <c r="D569" s="4">
        <f t="array" ref="D569">IFERROR(AVERAGEIFS($B$2:$B$3757, $A$2:$A$3757, C569:C4323), "")</f>
        <v>6.4</v>
      </c>
      <c r="E569" s="4">
        <f t="shared" si="1"/>
        <v>48.4</v>
      </c>
      <c r="F569" s="4" t="str">
        <f t="array" ref="F569">IF(D569&gt;=_xlfn.PERCENTILE.INC(D569:D2227, 0.9), "High", "Low")</f>
        <v>Low</v>
      </c>
      <c r="L569" s="4" t="str">
        <f t="shared" si="2"/>
        <v/>
      </c>
    </row>
    <row r="570" ht="14.25" customHeight="1">
      <c r="A570" s="1" t="s">
        <v>2246</v>
      </c>
      <c r="B570" s="1">
        <v>5.6</v>
      </c>
      <c r="C570" s="4" t="str">
        <f>IFERROR(__xludf.DUMMYFUNCTION("""COMPUTED_VALUE"""),"Steve Miner")</f>
        <v>Steve Miner</v>
      </c>
      <c r="D570" s="4">
        <f t="array" ref="D570">IFERROR(AVERAGEIFS($B$2:$B$3757, $A$2:$A$3757, C570:C4324), "")</f>
        <v>5.76</v>
      </c>
      <c r="E570" s="4">
        <f t="shared" si="1"/>
        <v>28</v>
      </c>
      <c r="F570" s="4" t="str">
        <f t="array" ref="F570">IF(D570&gt;=_xlfn.PERCENTILE.INC(D570:D2228, 0.9), "High", "Low")</f>
        <v>Low</v>
      </c>
      <c r="L570" s="4" t="str">
        <f t="shared" si="2"/>
        <v/>
      </c>
    </row>
    <row r="571" ht="14.25" customHeight="1">
      <c r="A571" s="1" t="s">
        <v>3116</v>
      </c>
      <c r="B571" s="1">
        <v>4.5</v>
      </c>
      <c r="C571" s="4" t="str">
        <f>IFERROR(__xludf.DUMMYFUNCTION("""COMPUTED_VALUE"""),"Paul Thomas Anderson")</f>
        <v>Paul Thomas Anderson</v>
      </c>
      <c r="D571" s="4">
        <f t="array" ref="D571">IFERROR(AVERAGEIFS($B$2:$B$3757, $A$2:$A$3757, C571:C4325), "")</f>
        <v>7.516666667</v>
      </c>
      <c r="E571" s="4">
        <f t="shared" si="1"/>
        <v>90.1</v>
      </c>
      <c r="F571" s="4" t="str">
        <f t="array" ref="F571">IF(D571&gt;=_xlfn.PERCENTILE.INC(D571:D2229, 0.9), "High", "Low")</f>
        <v>High</v>
      </c>
      <c r="L571" s="4" t="str">
        <f t="shared" si="2"/>
        <v/>
      </c>
    </row>
    <row r="572" ht="14.25" customHeight="1">
      <c r="A572" s="1" t="s">
        <v>3195</v>
      </c>
      <c r="B572" s="1">
        <v>7.1</v>
      </c>
      <c r="C572" s="4" t="str">
        <f>IFERROR(__xludf.DUMMYFUNCTION("""COMPUTED_VALUE"""),"J Blakeson")</f>
        <v>J Blakeson</v>
      </c>
      <c r="D572" s="4">
        <f t="array" ref="D572">IFERROR(AVERAGEIFS($B$2:$B$3757, $A$2:$A$3757, C572:C4326), "")</f>
        <v>5.2</v>
      </c>
      <c r="E572" s="4">
        <f t="shared" si="1"/>
        <v>13.5</v>
      </c>
      <c r="F572" s="4" t="str">
        <f t="array" ref="F572">IF(D572&gt;=_xlfn.PERCENTILE.INC(D572:D2230, 0.9), "High", "Low")</f>
        <v>Low</v>
      </c>
      <c r="L572" s="4" t="str">
        <f t="shared" si="2"/>
        <v/>
      </c>
    </row>
    <row r="573" ht="14.25" customHeight="1">
      <c r="A573" s="1" t="s">
        <v>2938</v>
      </c>
      <c r="B573" s="1">
        <v>6.5</v>
      </c>
      <c r="C573" s="4" t="str">
        <f>IFERROR(__xludf.DUMMYFUNCTION("""COMPUTED_VALUE"""),"Ryan Coogler")</f>
        <v>Ryan Coogler</v>
      </c>
      <c r="D573" s="4">
        <f t="array" ref="D573">IFERROR(AVERAGEIFS($B$2:$B$3757, $A$2:$A$3757, C573:C4327), "")</f>
        <v>7.6</v>
      </c>
      <c r="E573" s="4">
        <f t="shared" si="1"/>
        <v>90.5</v>
      </c>
      <c r="F573" s="4" t="str">
        <f t="array" ref="F573">IF(D573&gt;=_xlfn.PERCENTILE.INC(D573:D2231, 0.9), "High", "Low")</f>
        <v>High</v>
      </c>
      <c r="L573" s="4" t="str">
        <f t="shared" si="2"/>
        <v/>
      </c>
    </row>
    <row r="574" ht="14.25" customHeight="1">
      <c r="A574" s="1" t="s">
        <v>3204</v>
      </c>
      <c r="B574" s="1">
        <v>6.4</v>
      </c>
      <c r="C574" s="4" t="str">
        <f>IFERROR(__xludf.DUMMYFUNCTION("""COMPUTED_VALUE"""),"Kirk Jones")</f>
        <v>Kirk Jones</v>
      </c>
      <c r="D574" s="4">
        <f t="array" ref="D574">IFERROR(AVERAGEIFS($B$2:$B$3757, $A$2:$A$3757, C574:C4328), "")</f>
        <v>6.6</v>
      </c>
      <c r="E574" s="4">
        <f t="shared" si="1"/>
        <v>56.6</v>
      </c>
      <c r="F574" s="4" t="str">
        <f t="array" ref="F574">IF(D574&gt;=_xlfn.PERCENTILE.INC(D574:D2232, 0.9), "High", "Low")</f>
        <v>Low</v>
      </c>
      <c r="L574" s="4" t="str">
        <f t="shared" si="2"/>
        <v/>
      </c>
    </row>
    <row r="575" ht="14.25" customHeight="1">
      <c r="A575" s="1" t="s">
        <v>839</v>
      </c>
      <c r="B575" s="1">
        <v>5.8</v>
      </c>
      <c r="C575" s="4" t="str">
        <f>IFERROR(__xludf.DUMMYFUNCTION("""COMPUTED_VALUE"""),"Ethan Coen")</f>
        <v>Ethan Coen</v>
      </c>
      <c r="D575" s="4">
        <f t="array" ref="D575">IFERROR(AVERAGEIFS($B$2:$B$3757, $A$2:$A$3757, C575:C4329), "")</f>
        <v>7.114285714</v>
      </c>
      <c r="E575" s="4">
        <f t="shared" si="1"/>
        <v>79.5</v>
      </c>
      <c r="F575" s="4" t="str">
        <f t="array" ref="F575">IF(D575&gt;=_xlfn.PERCENTILE.INC(D575:D2233, 0.9), "High", "Low")</f>
        <v>Low</v>
      </c>
      <c r="L575" s="4" t="str">
        <f t="shared" si="2"/>
        <v/>
      </c>
    </row>
    <row r="576" ht="14.25" customHeight="1">
      <c r="A576" s="1" t="s">
        <v>247</v>
      </c>
      <c r="B576" s="1">
        <v>8.0</v>
      </c>
      <c r="C576" s="4" t="str">
        <f>IFERROR(__xludf.DUMMYFUNCTION("""COMPUTED_VALUE"""),"Jennifer Flackett")</f>
        <v>Jennifer Flackett</v>
      </c>
      <c r="D576" s="4">
        <f t="array" ref="D576">IFERROR(AVERAGEIFS($B$2:$B$3757, $A$2:$A$3757, C576:C4330), "")</f>
        <v>6</v>
      </c>
      <c r="E576" s="4">
        <f t="shared" si="1"/>
        <v>34.7</v>
      </c>
      <c r="F576" s="4" t="str">
        <f t="array" ref="F576">IF(D576&gt;=_xlfn.PERCENTILE.INC(D576:D2234, 0.9), "High", "Low")</f>
        <v>Low</v>
      </c>
      <c r="L576" s="4" t="str">
        <f t="shared" si="2"/>
        <v/>
      </c>
    </row>
    <row r="577" ht="14.25" customHeight="1">
      <c r="A577" s="1" t="s">
        <v>2913</v>
      </c>
      <c r="B577" s="1">
        <v>6.2</v>
      </c>
      <c r="C577" s="4" t="str">
        <f>IFERROR(__xludf.DUMMYFUNCTION("""COMPUTED_VALUE"""),"Kevin Smith")</f>
        <v>Kevin Smith</v>
      </c>
      <c r="D577" s="4">
        <f t="array" ref="D577">IFERROR(AVERAGEIFS($B$2:$B$3757, $A$2:$A$3757, C577:C4331), "")</f>
        <v>6.78</v>
      </c>
      <c r="E577" s="4">
        <f t="shared" si="1"/>
        <v>63.6</v>
      </c>
      <c r="F577" s="4" t="str">
        <f t="array" ref="F577">IF(D577&gt;=_xlfn.PERCENTILE.INC(D577:D2235, 0.9), "High", "Low")</f>
        <v>Low</v>
      </c>
      <c r="L577" s="4" t="str">
        <f t="shared" si="2"/>
        <v/>
      </c>
    </row>
    <row r="578" ht="14.25" customHeight="1">
      <c r="A578" s="1" t="s">
        <v>381</v>
      </c>
      <c r="B578" s="1">
        <v>7.2</v>
      </c>
      <c r="C578" s="4" t="str">
        <f>IFERROR(__xludf.DUMMYFUNCTION("""COMPUTED_VALUE"""),"Christian Ditter")</f>
        <v>Christian Ditter</v>
      </c>
      <c r="D578" s="4">
        <f t="array" ref="D578">IFERROR(AVERAGEIFS($B$2:$B$3757, $A$2:$A$3757, C578:C4332), "")</f>
        <v>6.1</v>
      </c>
      <c r="E578" s="4">
        <f t="shared" si="1"/>
        <v>38</v>
      </c>
      <c r="F578" s="4" t="str">
        <f t="array" ref="F578">IF(D578&gt;=_xlfn.PERCENTILE.INC(D578:D2236, 0.9), "High", "Low")</f>
        <v>Low</v>
      </c>
      <c r="L578" s="4" t="str">
        <f t="shared" si="2"/>
        <v/>
      </c>
    </row>
    <row r="579" ht="14.25" customHeight="1">
      <c r="A579" s="1" t="s">
        <v>3229</v>
      </c>
      <c r="B579" s="1">
        <v>6.1</v>
      </c>
      <c r="C579" s="4" t="str">
        <f>IFERROR(__xludf.DUMMYFUNCTION("""COMPUTED_VALUE"""),"Charles Martin Smith")</f>
        <v>Charles Martin Smith</v>
      </c>
      <c r="D579" s="4">
        <f t="array" ref="D579">IFERROR(AVERAGEIFS($B$2:$B$3757, $A$2:$A$3757, C579:C4333), "")</f>
        <v>6.133333333</v>
      </c>
      <c r="E579" s="4">
        <f t="shared" si="1"/>
        <v>41.8</v>
      </c>
      <c r="F579" s="4" t="str">
        <f t="array" ref="F579">IF(D579&gt;=_xlfn.PERCENTILE.INC(D579:D2237, 0.9), "High", "Low")</f>
        <v>Low</v>
      </c>
      <c r="L579" s="4" t="str">
        <f t="shared" si="2"/>
        <v/>
      </c>
    </row>
    <row r="580" ht="14.25" customHeight="1">
      <c r="A580" s="1" t="s">
        <v>27</v>
      </c>
      <c r="B580" s="1">
        <v>7.6</v>
      </c>
      <c r="C580" s="4" t="str">
        <f>IFERROR(__xludf.DUMMYFUNCTION("""COMPUTED_VALUE"""),"Irvin Kershner")</f>
        <v>Irvin Kershner</v>
      </c>
      <c r="D580" s="4">
        <f t="array" ref="D580">IFERROR(AVERAGEIFS($B$2:$B$3757, $A$2:$A$3757, C580:C4334), "")</f>
        <v>7.5</v>
      </c>
      <c r="E580" s="4">
        <f t="shared" si="1"/>
        <v>88.4</v>
      </c>
      <c r="F580" s="4" t="str">
        <f t="array" ref="F580">IF(D580&gt;=_xlfn.PERCENTILE.INC(D580:D2238, 0.9), "High", "Low")</f>
        <v>High</v>
      </c>
      <c r="L580" s="4" t="str">
        <f t="shared" si="2"/>
        <v/>
      </c>
    </row>
    <row r="581" ht="14.25" customHeight="1">
      <c r="A581" s="1" t="s">
        <v>723</v>
      </c>
      <c r="B581" s="1">
        <v>6.3</v>
      </c>
      <c r="C581" s="4" t="str">
        <f>IFERROR(__xludf.DUMMYFUNCTION("""COMPUTED_VALUE"""),"Steve Pink")</f>
        <v>Steve Pink</v>
      </c>
      <c r="D581" s="4">
        <f t="array" ref="D581">IFERROR(AVERAGEIFS($B$2:$B$3757, $A$2:$A$3757, C581:C4335), "")</f>
        <v>5.866666667</v>
      </c>
      <c r="E581" s="4">
        <f t="shared" si="1"/>
        <v>30.5</v>
      </c>
      <c r="F581" s="4" t="str">
        <f t="array" ref="F581">IF(D581&gt;=_xlfn.PERCENTILE.INC(D581:D2239, 0.9), "High", "Low")</f>
        <v>Low</v>
      </c>
      <c r="L581" s="4" t="str">
        <f t="shared" si="2"/>
        <v/>
      </c>
    </row>
    <row r="582" ht="14.25" customHeight="1">
      <c r="A582" s="1" t="s">
        <v>3242</v>
      </c>
      <c r="B582" s="1">
        <v>6.3</v>
      </c>
      <c r="C582" s="4" t="str">
        <f>IFERROR(__xludf.DUMMYFUNCTION("""COMPUTED_VALUE"""),"Scott Hicks")</f>
        <v>Scott Hicks</v>
      </c>
      <c r="D582" s="4">
        <f t="array" ref="D582">IFERROR(AVERAGEIFS($B$2:$B$3757, $A$2:$A$3757, C582:C4336), "")</f>
        <v>6.84</v>
      </c>
      <c r="E582" s="4">
        <f t="shared" si="1"/>
        <v>66.8</v>
      </c>
      <c r="F582" s="4" t="str">
        <f t="array" ref="F582">IF(D582&gt;=_xlfn.PERCENTILE.INC(D582:D2240, 0.9), "High", "Low")</f>
        <v>Low</v>
      </c>
      <c r="L582" s="4" t="str">
        <f t="shared" si="2"/>
        <v/>
      </c>
    </row>
    <row r="583" ht="14.25" customHeight="1">
      <c r="A583" s="1" t="s">
        <v>978</v>
      </c>
      <c r="B583" s="1">
        <v>6.3</v>
      </c>
      <c r="C583" s="4" t="str">
        <f>IFERROR(__xludf.DUMMYFUNCTION("""COMPUTED_VALUE"""),"Chris Rock")</f>
        <v>Chris Rock</v>
      </c>
      <c r="D583" s="4">
        <f t="array" ref="D583">IFERROR(AVERAGEIFS($B$2:$B$3757, $A$2:$A$3757, C583:C4337), "")</f>
        <v>5.95</v>
      </c>
      <c r="E583" s="4">
        <f t="shared" si="1"/>
        <v>34.4</v>
      </c>
      <c r="F583" s="4" t="str">
        <f t="array" ref="F583">IF(D583&gt;=_xlfn.PERCENTILE.INC(D583:D2241, 0.9), "High", "Low")</f>
        <v>Low</v>
      </c>
      <c r="L583" s="4" t="str">
        <f t="shared" si="2"/>
        <v/>
      </c>
    </row>
    <row r="584" ht="14.25" customHeight="1">
      <c r="A584" s="1" t="s">
        <v>655</v>
      </c>
      <c r="B584" s="1">
        <v>7.7</v>
      </c>
      <c r="C584" s="4" t="str">
        <f>IFERROR(__xludf.DUMMYFUNCTION("""COMPUTED_VALUE"""),"Wilson Yip")</f>
        <v>Wilson Yip</v>
      </c>
      <c r="D584" s="4">
        <f t="array" ref="D584">IFERROR(AVERAGEIFS($B$2:$B$3757, $A$2:$A$3757, C584:C4338), "")</f>
        <v>7.2</v>
      </c>
      <c r="E584" s="4">
        <f t="shared" si="1"/>
        <v>80.1</v>
      </c>
      <c r="F584" s="4" t="str">
        <f t="array" ref="F584">IF(D584&gt;=_xlfn.PERCENTILE.INC(D584:D2242, 0.9), "High", "Low")</f>
        <v>Low</v>
      </c>
      <c r="L584" s="4" t="str">
        <f t="shared" si="2"/>
        <v/>
      </c>
    </row>
    <row r="585" ht="14.25" customHeight="1">
      <c r="A585" s="1" t="s">
        <v>2305</v>
      </c>
      <c r="B585" s="1">
        <v>7.0</v>
      </c>
      <c r="C585" s="4" t="str">
        <f>IFERROR(__xludf.DUMMYFUNCTION("""COMPUTED_VALUE"""),"Robert Wise")</f>
        <v>Robert Wise</v>
      </c>
      <c r="D585" s="4">
        <f t="array" ref="D585">IFERROR(AVERAGEIFS($B$2:$B$3757, $A$2:$A$3757, C585:C4339), "")</f>
        <v>7.2</v>
      </c>
      <c r="E585" s="4">
        <f t="shared" si="1"/>
        <v>80.2</v>
      </c>
      <c r="F585" s="4" t="str">
        <f t="array" ref="F585">IF(D585&gt;=_xlfn.PERCENTILE.INC(D585:D2243, 0.9), "High", "Low")</f>
        <v>Low</v>
      </c>
      <c r="L585" s="4" t="str">
        <f t="shared" si="2"/>
        <v/>
      </c>
    </row>
    <row r="586" ht="14.25" customHeight="1">
      <c r="A586" s="1" t="s">
        <v>813</v>
      </c>
      <c r="B586" s="1">
        <v>5.3</v>
      </c>
      <c r="C586" s="4" t="str">
        <f>IFERROR(__xludf.DUMMYFUNCTION("""COMPUTED_VALUE"""),"Kevin Rodney Sullivan")</f>
        <v>Kevin Rodney Sullivan</v>
      </c>
      <c r="D586" s="4">
        <f t="array" ref="D586">IFERROR(AVERAGEIFS($B$2:$B$3757, $A$2:$A$3757, C586:C4340), "")</f>
        <v>5.7</v>
      </c>
      <c r="E586" s="4">
        <f t="shared" si="1"/>
        <v>26.5</v>
      </c>
      <c r="F586" s="4" t="str">
        <f t="array" ref="F586">IF(D586&gt;=_xlfn.PERCENTILE.INC(D586:D2244, 0.9), "High", "Low")</f>
        <v>Low</v>
      </c>
      <c r="L586" s="4" t="str">
        <f t="shared" si="2"/>
        <v/>
      </c>
    </row>
    <row r="587" ht="14.25" customHeight="1">
      <c r="A587" s="1" t="s">
        <v>1268</v>
      </c>
      <c r="B587" s="1">
        <v>5.6</v>
      </c>
      <c r="C587" s="4" t="str">
        <f>IFERROR(__xludf.DUMMYFUNCTION("""COMPUTED_VALUE"""),"Kevin Munroe")</f>
        <v>Kevin Munroe</v>
      </c>
      <c r="D587" s="4">
        <f t="array" ref="D587">IFERROR(AVERAGEIFS($B$2:$B$3757, $A$2:$A$3757, C587:C4341), "")</f>
        <v>5.7</v>
      </c>
      <c r="E587" s="4">
        <f t="shared" si="1"/>
        <v>26.3</v>
      </c>
      <c r="F587" s="4" t="str">
        <f t="array" ref="F587">IF(D587&gt;=_xlfn.PERCENTILE.INC(D587:D2245, 0.9), "High", "Low")</f>
        <v>Low</v>
      </c>
      <c r="L587" s="4" t="str">
        <f t="shared" si="2"/>
        <v/>
      </c>
    </row>
    <row r="588" ht="14.25" customHeight="1">
      <c r="A588" s="1" t="s">
        <v>3272</v>
      </c>
      <c r="B588" s="1">
        <v>5.2</v>
      </c>
      <c r="C588" s="4" t="str">
        <f>IFERROR(__xludf.DUMMYFUNCTION("""COMPUTED_VALUE"""),"Michael Tollin")</f>
        <v>Michael Tollin</v>
      </c>
      <c r="D588" s="4">
        <f t="array" ref="D588">IFERROR(AVERAGEIFS($B$2:$B$3757, $A$2:$A$3757, C588:C4342), "")</f>
        <v>5.9</v>
      </c>
      <c r="E588" s="4">
        <f t="shared" si="1"/>
        <v>30.5</v>
      </c>
      <c r="F588" s="4" t="str">
        <f t="array" ref="F588">IF(D588&gt;=_xlfn.PERCENTILE.INC(D588:D2246, 0.9), "High", "Low")</f>
        <v>Low</v>
      </c>
      <c r="L588" s="4" t="str">
        <f t="shared" si="2"/>
        <v/>
      </c>
    </row>
    <row r="589" ht="14.25" customHeight="1">
      <c r="A589" s="1" t="s">
        <v>3116</v>
      </c>
      <c r="B589" s="1">
        <v>5.4</v>
      </c>
      <c r="C589" s="4" t="str">
        <f>IFERROR(__xludf.DUMMYFUNCTION("""COMPUTED_VALUE"""),"Nicholas Stoller")</f>
        <v>Nicholas Stoller</v>
      </c>
      <c r="D589" s="4">
        <f t="array" ref="D589">IFERROR(AVERAGEIFS($B$2:$B$3757, $A$2:$A$3757, C589:C4343), "")</f>
        <v>6.45</v>
      </c>
      <c r="E589" s="4">
        <f t="shared" si="1"/>
        <v>51.1</v>
      </c>
      <c r="F589" s="4" t="str">
        <f t="array" ref="F589">IF(D589&gt;=_xlfn.PERCENTILE.INC(D589:D2247, 0.9), "High", "Low")</f>
        <v>Low</v>
      </c>
      <c r="L589" s="4" t="str">
        <f t="shared" si="2"/>
        <v/>
      </c>
    </row>
    <row r="590" ht="14.25" customHeight="1">
      <c r="A590" s="1" t="s">
        <v>3284</v>
      </c>
      <c r="B590" s="1">
        <v>6.4</v>
      </c>
      <c r="C590" s="4" t="str">
        <f>IFERROR(__xludf.DUMMYFUNCTION("""COMPUTED_VALUE"""),"Patrick Tatopoulos")</f>
        <v>Patrick Tatopoulos</v>
      </c>
      <c r="D590" s="4">
        <f t="array" ref="D590">IFERROR(AVERAGEIFS($B$2:$B$3757, $A$2:$A$3757, C590:C4344), "")</f>
        <v>6.6</v>
      </c>
      <c r="E590" s="4">
        <f t="shared" si="1"/>
        <v>56.6</v>
      </c>
      <c r="F590" s="4" t="str">
        <f t="array" ref="F590">IF(D590&gt;=_xlfn.PERCENTILE.INC(D590:D2248, 0.9), "High", "Low")</f>
        <v>Low</v>
      </c>
      <c r="L590" s="4" t="str">
        <f t="shared" si="2"/>
        <v/>
      </c>
    </row>
    <row r="591" ht="14.25" customHeight="1">
      <c r="A591" s="1" t="s">
        <v>2502</v>
      </c>
      <c r="B591" s="1">
        <v>5.9</v>
      </c>
      <c r="C591" s="4" t="str">
        <f>IFERROR(__xludf.DUMMYFUNCTION("""COMPUTED_VALUE"""),"Gary David Goldberg")</f>
        <v>Gary David Goldberg</v>
      </c>
      <c r="D591" s="4">
        <f t="array" ref="D591">IFERROR(AVERAGEIFS($B$2:$B$3757, $A$2:$A$3757, C591:C4345), "")</f>
        <v>5.9</v>
      </c>
      <c r="E591" s="4">
        <f t="shared" si="1"/>
        <v>30.6</v>
      </c>
      <c r="F591" s="4" t="str">
        <f t="array" ref="F591">IF(D591&gt;=_xlfn.PERCENTILE.INC(D591:D2249, 0.9), "High", "Low")</f>
        <v>Low</v>
      </c>
      <c r="L591" s="4" t="str">
        <f t="shared" si="2"/>
        <v/>
      </c>
    </row>
    <row r="592" ht="14.25" customHeight="1">
      <c r="A592" s="1" t="s">
        <v>3298</v>
      </c>
      <c r="B592" s="1">
        <v>6.3</v>
      </c>
      <c r="C592" s="4" t="str">
        <f>IFERROR(__xludf.DUMMYFUNCTION("""COMPUTED_VALUE"""),"Tobe Hooper")</f>
        <v>Tobe Hooper</v>
      </c>
      <c r="D592" s="4">
        <f t="array" ref="D592">IFERROR(AVERAGEIFS($B$2:$B$3757, $A$2:$A$3757, C592:C4346), "")</f>
        <v>6.8</v>
      </c>
      <c r="E592" s="4">
        <f t="shared" si="1"/>
        <v>63.5</v>
      </c>
      <c r="F592" s="4" t="str">
        <f t="array" ref="F592">IF(D592&gt;=_xlfn.PERCENTILE.INC(D592:D2250, 0.9), "High", "Low")</f>
        <v>Low</v>
      </c>
      <c r="L592" s="4" t="str">
        <f t="shared" si="2"/>
        <v/>
      </c>
    </row>
    <row r="593" ht="14.25" customHeight="1">
      <c r="A593" s="1" t="s">
        <v>3303</v>
      </c>
      <c r="B593" s="1">
        <v>6.5</v>
      </c>
      <c r="C593" s="4" t="str">
        <f>IFERROR(__xludf.DUMMYFUNCTION("""COMPUTED_VALUE"""),"Alan Poul")</f>
        <v>Alan Poul</v>
      </c>
      <c r="D593" s="4">
        <f t="array" ref="D593">IFERROR(AVERAGEIFS($B$2:$B$3757, $A$2:$A$3757, C593:C4347), "")</f>
        <v>5.3</v>
      </c>
      <c r="E593" s="4">
        <f t="shared" si="1"/>
        <v>15.6</v>
      </c>
      <c r="F593" s="4" t="str">
        <f t="array" ref="F593">IF(D593&gt;=_xlfn.PERCENTILE.INC(D593:D2251, 0.9), "High", "Low")</f>
        <v>Low</v>
      </c>
      <c r="L593" s="4" t="str">
        <f t="shared" si="2"/>
        <v/>
      </c>
    </row>
    <row r="594" ht="14.25" customHeight="1">
      <c r="A594" s="1" t="s">
        <v>1255</v>
      </c>
      <c r="B594" s="1">
        <v>3.0</v>
      </c>
      <c r="C594" s="4" t="str">
        <f>IFERROR(__xludf.DUMMYFUNCTION("""COMPUTED_VALUE"""),"Luke Greenfield")</f>
        <v>Luke Greenfield</v>
      </c>
      <c r="D594" s="4">
        <f t="array" ref="D594">IFERROR(AVERAGEIFS($B$2:$B$3757, $A$2:$A$3757, C594:C4348), "")</f>
        <v>6</v>
      </c>
      <c r="E594" s="4">
        <f t="shared" si="1"/>
        <v>34.6</v>
      </c>
      <c r="F594" s="4" t="str">
        <f t="array" ref="F594">IF(D594&gt;=_xlfn.PERCENTILE.INC(D594:D2252, 0.9), "High", "Low")</f>
        <v>Low</v>
      </c>
      <c r="L594" s="4" t="str">
        <f t="shared" si="2"/>
        <v/>
      </c>
    </row>
    <row r="595" ht="14.25" customHeight="1">
      <c r="A595" s="1" t="s">
        <v>3311</v>
      </c>
      <c r="B595" s="1">
        <v>3.6</v>
      </c>
      <c r="C595" s="4" t="str">
        <f>IFERROR(__xludf.DUMMYFUNCTION("""COMPUTED_VALUE"""),"Gil Junger")</f>
        <v>Gil Junger</v>
      </c>
      <c r="D595" s="4">
        <f t="array" ref="D595">IFERROR(AVERAGEIFS($B$2:$B$3757, $A$2:$A$3757, C595:C4349), "")</f>
        <v>6</v>
      </c>
      <c r="E595" s="4">
        <f t="shared" si="1"/>
        <v>34.6</v>
      </c>
      <c r="F595" s="4" t="str">
        <f t="array" ref="F595">IF(D595&gt;=_xlfn.PERCENTILE.INC(D595:D2253, 0.9), "High", "Low")</f>
        <v>Low</v>
      </c>
      <c r="L595" s="4" t="str">
        <f t="shared" si="2"/>
        <v/>
      </c>
    </row>
    <row r="596" ht="14.25" customHeight="1">
      <c r="A596" s="1" t="s">
        <v>3317</v>
      </c>
      <c r="B596" s="1">
        <v>5.8</v>
      </c>
      <c r="C596" s="4" t="str">
        <f>IFERROR(__xludf.DUMMYFUNCTION("""COMPUTED_VALUE"""),"Steven E. de Souza")</f>
        <v>Steven E. de Souza</v>
      </c>
      <c r="D596" s="4">
        <f t="array" ref="D596">IFERROR(AVERAGEIFS($B$2:$B$3757, $A$2:$A$3757, C596:C4350), "")</f>
        <v>3.8</v>
      </c>
      <c r="E596" s="4">
        <f t="shared" si="1"/>
        <v>3.3</v>
      </c>
      <c r="F596" s="4" t="str">
        <f t="array" ref="F596">IF(D596&gt;=_xlfn.PERCENTILE.INC(D596:D2254, 0.9), "High", "Low")</f>
        <v>Low</v>
      </c>
      <c r="L596" s="4" t="str">
        <f t="shared" si="2"/>
        <v/>
      </c>
    </row>
    <row r="597" ht="14.25" customHeight="1">
      <c r="A597" s="1" t="s">
        <v>3322</v>
      </c>
      <c r="B597" s="1">
        <v>6.2</v>
      </c>
      <c r="C597" s="4" t="str">
        <f>IFERROR(__xludf.DUMMYFUNCTION("""COMPUTED_VALUE"""),"Alexandre Aja")</f>
        <v>Alexandre Aja</v>
      </c>
      <c r="D597" s="4">
        <f t="array" ref="D597">IFERROR(AVERAGEIFS($B$2:$B$3757, $A$2:$A$3757, C597:C4351), "")</f>
        <v>6.225</v>
      </c>
      <c r="E597" s="4">
        <f t="shared" si="1"/>
        <v>44.1</v>
      </c>
      <c r="F597" s="4" t="str">
        <f t="array" ref="F597">IF(D597&gt;=_xlfn.PERCENTILE.INC(D597:D2255, 0.9), "High", "Low")</f>
        <v>Low</v>
      </c>
      <c r="L597" s="4" t="str">
        <f t="shared" si="2"/>
        <v/>
      </c>
    </row>
    <row r="598" ht="14.25" customHeight="1">
      <c r="A598" s="1" t="s">
        <v>1555</v>
      </c>
      <c r="B598" s="1">
        <v>5.4</v>
      </c>
      <c r="C598" s="4" t="str">
        <f>IFERROR(__xludf.DUMMYFUNCTION("""COMPUTED_VALUE"""),"Michael Rymer")</f>
        <v>Michael Rymer</v>
      </c>
      <c r="D598" s="4">
        <f t="array" ref="D598">IFERROR(AVERAGEIFS($B$2:$B$3757, $A$2:$A$3757, C598:C4352), "")</f>
        <v>5.65</v>
      </c>
      <c r="E598" s="4">
        <f t="shared" si="1"/>
        <v>25.9</v>
      </c>
      <c r="F598" s="4" t="str">
        <f t="array" ref="F598">IF(D598&gt;=_xlfn.PERCENTILE.INC(D598:D2256, 0.9), "High", "Low")</f>
        <v>Low</v>
      </c>
      <c r="L598" s="4" t="str">
        <f t="shared" si="2"/>
        <v/>
      </c>
    </row>
    <row r="599" ht="14.25" customHeight="1">
      <c r="A599" s="1" t="s">
        <v>3333</v>
      </c>
      <c r="B599" s="1">
        <v>6.1</v>
      </c>
      <c r="C599" s="4" t="str">
        <f>IFERROR(__xludf.DUMMYFUNCTION("""COMPUTED_VALUE"""),"Hugh Wilson")</f>
        <v>Hugh Wilson</v>
      </c>
      <c r="D599" s="4">
        <f t="array" ref="D599">IFERROR(AVERAGEIFS($B$2:$B$3757, $A$2:$A$3757, C599:C4353), "")</f>
        <v>5.825</v>
      </c>
      <c r="E599" s="4">
        <f t="shared" si="1"/>
        <v>30.3</v>
      </c>
      <c r="F599" s="4" t="str">
        <f t="array" ref="F599">IF(D599&gt;=_xlfn.PERCENTILE.INC(D599:D2257, 0.9), "High", "Low")</f>
        <v>Low</v>
      </c>
      <c r="L599" s="4" t="str">
        <f t="shared" si="2"/>
        <v/>
      </c>
    </row>
    <row r="600" ht="14.25" customHeight="1">
      <c r="A600" s="1" t="s">
        <v>3338</v>
      </c>
      <c r="B600" s="1">
        <v>4.2</v>
      </c>
      <c r="C600" s="4" t="str">
        <f>IFERROR(__xludf.DUMMYFUNCTION("""COMPUTED_VALUE"""),"Susanna White")</f>
        <v>Susanna White</v>
      </c>
      <c r="D600" s="4">
        <f t="array" ref="D600">IFERROR(AVERAGEIFS($B$2:$B$3757, $A$2:$A$3757, C600:C4354), "")</f>
        <v>6.1</v>
      </c>
      <c r="E600" s="4">
        <f t="shared" si="1"/>
        <v>37.6</v>
      </c>
      <c r="F600" s="4" t="str">
        <f t="array" ref="F600">IF(D600&gt;=_xlfn.PERCENTILE.INC(D600:D2258, 0.9), "High", "Low")</f>
        <v>Low</v>
      </c>
      <c r="L600" s="4" t="str">
        <f t="shared" si="2"/>
        <v/>
      </c>
    </row>
    <row r="601" ht="14.25" customHeight="1">
      <c r="A601" s="1" t="s">
        <v>3345</v>
      </c>
      <c r="B601" s="1">
        <v>6.7</v>
      </c>
      <c r="C601" s="4" t="str">
        <f>IFERROR(__xludf.DUMMYFUNCTION("""COMPUTED_VALUE"""),"Chris Carter")</f>
        <v>Chris Carter</v>
      </c>
      <c r="D601" s="4">
        <f t="array" ref="D601">IFERROR(AVERAGEIFS($B$2:$B$3757, $A$2:$A$3757, C601:C4355), "")</f>
        <v>5.9</v>
      </c>
      <c r="E601" s="4">
        <f t="shared" si="1"/>
        <v>30.5</v>
      </c>
      <c r="F601" s="4" t="str">
        <f t="array" ref="F601">IF(D601&gt;=_xlfn.PERCENTILE.INC(D601:D2259, 0.9), "High", "Low")</f>
        <v>Low</v>
      </c>
      <c r="L601" s="4" t="str">
        <f t="shared" si="2"/>
        <v/>
      </c>
    </row>
    <row r="602" ht="14.25" customHeight="1">
      <c r="A602" s="1" t="s">
        <v>1985</v>
      </c>
      <c r="B602" s="1">
        <v>4.2</v>
      </c>
      <c r="C602" s="4" t="str">
        <f>IFERROR(__xludf.DUMMYFUNCTION("""COMPUTED_VALUE"""),"Tommy O'Haver")</f>
        <v>Tommy O'Haver</v>
      </c>
      <c r="D602" s="4">
        <f t="array" ref="D602">IFERROR(AVERAGEIFS($B$2:$B$3757, $A$2:$A$3757, C602:C4356), "")</f>
        <v>6.05</v>
      </c>
      <c r="E602" s="4">
        <f t="shared" si="1"/>
        <v>37</v>
      </c>
      <c r="F602" s="4" t="str">
        <f t="array" ref="F602">IF(D602&gt;=_xlfn.PERCENTILE.INC(D602:D2260, 0.9), "High", "Low")</f>
        <v>Low</v>
      </c>
      <c r="L602" s="4" t="str">
        <f t="shared" si="2"/>
        <v/>
      </c>
    </row>
    <row r="603" ht="14.25" customHeight="1">
      <c r="A603" s="1" t="s">
        <v>3358</v>
      </c>
      <c r="B603" s="1">
        <v>6.4</v>
      </c>
      <c r="C603" s="4" t="str">
        <f>IFERROR(__xludf.DUMMYFUNCTION("""COMPUTED_VALUE"""),"Peter Landesman")</f>
        <v>Peter Landesman</v>
      </c>
      <c r="D603" s="4">
        <f t="array" ref="D603">IFERROR(AVERAGEIFS($B$2:$B$3757, $A$2:$A$3757, C603:C4357), "")</f>
        <v>7.1</v>
      </c>
      <c r="E603" s="4">
        <f t="shared" si="1"/>
        <v>75.7</v>
      </c>
      <c r="F603" s="4" t="str">
        <f t="array" ref="F603">IF(D603&gt;=_xlfn.PERCENTILE.INC(D603:D2261, 0.9), "High", "Low")</f>
        <v>Low</v>
      </c>
      <c r="L603" s="4" t="str">
        <f t="shared" si="2"/>
        <v/>
      </c>
    </row>
    <row r="604" ht="14.25" customHeight="1">
      <c r="A604" s="1" t="s">
        <v>3363</v>
      </c>
      <c r="B604" s="1">
        <v>4.9</v>
      </c>
      <c r="C604" s="4" t="str">
        <f>IFERROR(__xludf.DUMMYFUNCTION("""COMPUTED_VALUE"""),"Gary Chapman")</f>
        <v>Gary Chapman</v>
      </c>
      <c r="D604" s="4">
        <f t="array" ref="D604">IFERROR(AVERAGEIFS($B$2:$B$3757, $A$2:$A$3757, C604:C4358), "")</f>
        <v>5.6</v>
      </c>
      <c r="E604" s="4">
        <f t="shared" si="1"/>
        <v>22.5</v>
      </c>
      <c r="F604" s="4" t="str">
        <f t="array" ref="F604">IF(D604&gt;=_xlfn.PERCENTILE.INC(D604:D2262, 0.9), "High", "Low")</f>
        <v>Low</v>
      </c>
      <c r="L604" s="4" t="str">
        <f t="shared" si="2"/>
        <v/>
      </c>
    </row>
    <row r="605" ht="14.25" customHeight="1">
      <c r="A605" s="1" t="s">
        <v>1872</v>
      </c>
      <c r="B605" s="1">
        <v>6.8</v>
      </c>
      <c r="C605" s="4" t="str">
        <f>IFERROR(__xludf.DUMMYFUNCTION("""COMPUTED_VALUE"""),"Craig Mazin")</f>
        <v>Craig Mazin</v>
      </c>
      <c r="D605" s="4">
        <f t="array" ref="D605">IFERROR(AVERAGEIFS($B$2:$B$3757, $A$2:$A$3757, C605:C4359), "")</f>
        <v>5.25</v>
      </c>
      <c r="E605" s="4">
        <f t="shared" si="1"/>
        <v>15.2</v>
      </c>
      <c r="F605" s="4" t="str">
        <f t="array" ref="F605">IF(D605&gt;=_xlfn.PERCENTILE.INC(D605:D2263, 0.9), "High", "Low")</f>
        <v>Low</v>
      </c>
      <c r="L605" s="4" t="str">
        <f t="shared" si="2"/>
        <v/>
      </c>
    </row>
    <row r="606" ht="14.25" customHeight="1">
      <c r="A606" s="1" t="s">
        <v>2827</v>
      </c>
      <c r="B606" s="1">
        <v>7.7</v>
      </c>
      <c r="C606" s="4" t="str">
        <f>IFERROR(__xludf.DUMMYFUNCTION("""COMPUTED_VALUE"""),"Allen Hughes")</f>
        <v>Allen Hughes</v>
      </c>
      <c r="D606" s="4">
        <f t="array" ref="D606">IFERROR(AVERAGEIFS($B$2:$B$3757, $A$2:$A$3757, C606:C4360), "")</f>
        <v>6.2</v>
      </c>
      <c r="E606" s="4">
        <f t="shared" si="1"/>
        <v>41.5</v>
      </c>
      <c r="F606" s="4" t="str">
        <f t="array" ref="F606">IF(D606&gt;=_xlfn.PERCENTILE.INC(D606:D2264, 0.9), "High", "Low")</f>
        <v>Low</v>
      </c>
      <c r="L606" s="4" t="str">
        <f t="shared" si="2"/>
        <v/>
      </c>
    </row>
    <row r="607" ht="14.25" customHeight="1">
      <c r="A607" s="1" t="s">
        <v>3374</v>
      </c>
      <c r="B607" s="1">
        <v>5.6</v>
      </c>
      <c r="C607" s="4" t="str">
        <f>IFERROR(__xludf.DUMMYFUNCTION("""COMPUTED_VALUE"""),"Lasse HallstrÃ¶m")</f>
        <v>Lasse HallstrÃ¶m</v>
      </c>
      <c r="D607" s="4">
        <f t="array" ref="D607">IFERROR(AVERAGEIFS($B$2:$B$3757, $A$2:$A$3757, C607:C4361), "")</f>
        <v>7.085714286</v>
      </c>
      <c r="E607" s="4">
        <f t="shared" si="1"/>
        <v>75.6</v>
      </c>
      <c r="F607" s="4" t="str">
        <f t="array" ref="F607">IF(D607&gt;=_xlfn.PERCENTILE.INC(D607:D2265, 0.9), "High", "Low")</f>
        <v>Low</v>
      </c>
      <c r="L607" s="4" t="str">
        <f t="shared" si="2"/>
        <v/>
      </c>
    </row>
    <row r="608" ht="14.25" customHeight="1">
      <c r="A608" s="1" t="s">
        <v>2407</v>
      </c>
      <c r="B608" s="1">
        <v>6.4</v>
      </c>
      <c r="C608" s="4" t="str">
        <f>IFERROR(__xludf.DUMMYFUNCTION("""COMPUTED_VALUE"""),"Jean-Marc VallÃ©e")</f>
        <v>Jean-Marc VallÃ©e</v>
      </c>
      <c r="D608" s="4">
        <f t="array" ref="D608">IFERROR(AVERAGEIFS($B$2:$B$3757, $A$2:$A$3757, C608:C4362), "")</f>
        <v>7.466666667</v>
      </c>
      <c r="E608" s="4">
        <f t="shared" si="1"/>
        <v>88.1</v>
      </c>
      <c r="F608" s="4" t="str">
        <f t="array" ref="F608">IF(D608&gt;=_xlfn.PERCENTILE.INC(D608:D2266, 0.9), "High", "Low")</f>
        <v>Low</v>
      </c>
      <c r="L608" s="4" t="str">
        <f t="shared" si="2"/>
        <v/>
      </c>
    </row>
    <row r="609" ht="14.25" customHeight="1">
      <c r="A609" s="1" t="s">
        <v>3385</v>
      </c>
      <c r="B609" s="1">
        <v>7.2</v>
      </c>
      <c r="C609" s="4" t="str">
        <f>IFERROR(__xludf.DUMMYFUNCTION("""COMPUTED_VALUE"""),"Hark Tsui")</f>
        <v>Hark Tsui</v>
      </c>
      <c r="D609" s="4">
        <f t="array" ref="D609">IFERROR(AVERAGEIFS($B$2:$B$3757, $A$2:$A$3757, C609:C4363), "")</f>
        <v>4.8</v>
      </c>
      <c r="E609" s="4">
        <f t="shared" si="1"/>
        <v>9.2</v>
      </c>
      <c r="F609" s="4" t="str">
        <f t="array" ref="F609">IF(D609&gt;=_xlfn.PERCENTILE.INC(D609:D2267, 0.9), "High", "Low")</f>
        <v>Low</v>
      </c>
      <c r="L609" s="4" t="str">
        <f t="shared" si="2"/>
        <v/>
      </c>
    </row>
    <row r="610" ht="14.25" customHeight="1">
      <c r="A610" s="1" t="s">
        <v>3394</v>
      </c>
      <c r="B610" s="1">
        <v>6.0</v>
      </c>
      <c r="C610" s="4" t="str">
        <f>IFERROR(__xludf.DUMMYFUNCTION("""COMPUTED_VALUE"""),"Lexi Alexander")</f>
        <v>Lexi Alexander</v>
      </c>
      <c r="D610" s="4">
        <f t="array" ref="D610">IFERROR(AVERAGEIFS($B$2:$B$3757, $A$2:$A$3757, C610:C4364), "")</f>
        <v>6</v>
      </c>
      <c r="E610" s="4">
        <f t="shared" si="1"/>
        <v>34.4</v>
      </c>
      <c r="F610" s="4" t="str">
        <f t="array" ref="F610">IF(D610&gt;=_xlfn.PERCENTILE.INC(D610:D2268, 0.9), "High", "Low")</f>
        <v>Low</v>
      </c>
      <c r="L610" s="4" t="str">
        <f t="shared" si="2"/>
        <v/>
      </c>
    </row>
    <row r="611" ht="14.25" customHeight="1">
      <c r="A611" s="1" t="s">
        <v>3322</v>
      </c>
      <c r="B611" s="1">
        <v>5.9</v>
      </c>
      <c r="C611" s="4" t="str">
        <f>IFERROR(__xludf.DUMMYFUNCTION("""COMPUTED_VALUE"""),"Ronny Yu")</f>
        <v>Ronny Yu</v>
      </c>
      <c r="D611" s="4">
        <f t="array" ref="D611">IFERROR(AVERAGEIFS($B$2:$B$3757, $A$2:$A$3757, C611:C4365), "")</f>
        <v>5.5</v>
      </c>
      <c r="E611" s="4">
        <f t="shared" si="1"/>
        <v>20.6</v>
      </c>
      <c r="F611" s="4" t="str">
        <f t="array" ref="F611">IF(D611&gt;=_xlfn.PERCENTILE.INC(D611:D2269, 0.9), "High", "Low")</f>
        <v>Low</v>
      </c>
      <c r="L611" s="4" t="str">
        <f t="shared" si="2"/>
        <v/>
      </c>
    </row>
    <row r="612" ht="14.25" customHeight="1">
      <c r="A612" s="1" t="s">
        <v>1555</v>
      </c>
      <c r="B612" s="1">
        <v>7.9</v>
      </c>
      <c r="C612" s="4" t="str">
        <f>IFERROR(__xludf.DUMMYFUNCTION("""COMPUTED_VALUE"""),"Bille August")</f>
        <v>Bille August</v>
      </c>
      <c r="D612" s="4">
        <f t="array" ref="D612">IFERROR(AVERAGEIFS($B$2:$B$3757, $A$2:$A$3757, C612:C4366), "")</f>
        <v>6.4</v>
      </c>
      <c r="E612" s="4">
        <f t="shared" si="1"/>
        <v>47.8</v>
      </c>
      <c r="F612" s="4" t="str">
        <f t="array" ref="F612">IF(D612&gt;=_xlfn.PERCENTILE.INC(D612:D2270, 0.9), "High", "Low")</f>
        <v>Low</v>
      </c>
      <c r="L612" s="4" t="str">
        <f t="shared" si="2"/>
        <v/>
      </c>
    </row>
    <row r="613" ht="14.25" customHeight="1">
      <c r="A613" s="1" t="s">
        <v>179</v>
      </c>
      <c r="B613" s="1">
        <v>7.1</v>
      </c>
      <c r="C613" s="4" t="str">
        <f>IFERROR(__xludf.DUMMYFUNCTION("""COMPUTED_VALUE"""),"Ken Scott")</f>
        <v>Ken Scott</v>
      </c>
      <c r="D613" s="4">
        <f t="array" ref="D613">IFERROR(AVERAGEIFS($B$2:$B$3757, $A$2:$A$3757, C613:C4367), "")</f>
        <v>5.9</v>
      </c>
      <c r="E613" s="4">
        <f t="shared" si="1"/>
        <v>30.4</v>
      </c>
      <c r="F613" s="4" t="str">
        <f t="array" ref="F613">IF(D613&gt;=_xlfn.PERCENTILE.INC(D613:D2271, 0.9), "High", "Low")</f>
        <v>Low</v>
      </c>
      <c r="L613" s="4" t="str">
        <f t="shared" si="2"/>
        <v/>
      </c>
    </row>
    <row r="614" ht="14.25" customHeight="1">
      <c r="A614" s="1" t="s">
        <v>2854</v>
      </c>
      <c r="B614" s="1">
        <v>5.9</v>
      </c>
      <c r="C614" s="4" t="str">
        <f>IFERROR(__xludf.DUMMYFUNCTION("""COMPUTED_VALUE"""),"Hugh Johnson")</f>
        <v>Hugh Johnson</v>
      </c>
      <c r="D614" s="4">
        <f t="array" ref="D614">IFERROR(AVERAGEIFS($B$2:$B$3757, $A$2:$A$3757, C614:C4368), "")</f>
        <v>5.2</v>
      </c>
      <c r="E614" s="4">
        <f t="shared" si="1"/>
        <v>13.8</v>
      </c>
      <c r="F614" s="4" t="str">
        <f t="array" ref="F614">IF(D614&gt;=_xlfn.PERCENTILE.INC(D614:D2272, 0.9), "High", "Low")</f>
        <v>Low</v>
      </c>
      <c r="L614" s="4" t="str">
        <f t="shared" si="2"/>
        <v/>
      </c>
    </row>
    <row r="615" ht="14.25" customHeight="1">
      <c r="A615" s="1" t="s">
        <v>2362</v>
      </c>
      <c r="B615" s="1">
        <v>6.2</v>
      </c>
      <c r="C615" s="4" t="str">
        <f>IFERROR(__xludf.DUMMYFUNCTION("""COMPUTED_VALUE"""),"Hayao Miyazaki")</f>
        <v>Hayao Miyazaki</v>
      </c>
      <c r="D615" s="4">
        <f t="array" ref="D615">IFERROR(AVERAGEIFS($B$2:$B$3757, $A$2:$A$3757, C615:C4369), "")</f>
        <v>8.225</v>
      </c>
      <c r="E615" s="4">
        <f t="shared" si="1"/>
        <v>98.8</v>
      </c>
      <c r="F615" s="4" t="str">
        <f t="array" ref="F615">IF(D615&gt;=_xlfn.PERCENTILE.INC(D615:D2273, 0.9), "High", "Low")</f>
        <v>High</v>
      </c>
      <c r="L615" s="4" t="str">
        <f t="shared" si="2"/>
        <v/>
      </c>
    </row>
    <row r="616" ht="14.25" customHeight="1">
      <c r="A616" s="1" t="s">
        <v>3420</v>
      </c>
      <c r="B616" s="1">
        <v>7.0</v>
      </c>
      <c r="C616" s="4" t="str">
        <f>IFERROR(__xludf.DUMMYFUNCTION("""COMPUTED_VALUE"""),"George Tillman Jr.")</f>
        <v>George Tillman Jr.</v>
      </c>
      <c r="D616" s="4">
        <f t="array" ref="D616">IFERROR(AVERAGEIFS($B$2:$B$3757, $A$2:$A$3757, C616:C4370), "")</f>
        <v>6.925</v>
      </c>
      <c r="E616" s="4">
        <f t="shared" si="1"/>
        <v>70.3</v>
      </c>
      <c r="F616" s="4" t="str">
        <f t="array" ref="F616">IF(D616&gt;=_xlfn.PERCENTILE.INC(D616:D2274, 0.9), "High", "Low")</f>
        <v>Low</v>
      </c>
      <c r="L616" s="4" t="str">
        <f t="shared" si="2"/>
        <v/>
      </c>
    </row>
    <row r="617" ht="14.25" customHeight="1">
      <c r="A617" s="1" t="s">
        <v>3425</v>
      </c>
      <c r="B617" s="1">
        <v>5.4</v>
      </c>
      <c r="C617" s="4" t="str">
        <f>IFERROR(__xludf.DUMMYFUNCTION("""COMPUTED_VALUE"""),"Rand Ravich")</f>
        <v>Rand Ravich</v>
      </c>
      <c r="D617" s="4">
        <f t="array" ref="D617">IFERROR(AVERAGEIFS($B$2:$B$3757, $A$2:$A$3757, C617:C4371), "")</f>
        <v>5.3</v>
      </c>
      <c r="E617" s="4">
        <f t="shared" si="1"/>
        <v>15.6</v>
      </c>
      <c r="F617" s="4" t="str">
        <f t="array" ref="F617">IF(D617&gt;=_xlfn.PERCENTILE.INC(D617:D2275, 0.9), "High", "Low")</f>
        <v>Low</v>
      </c>
      <c r="L617" s="4" t="str">
        <f t="shared" si="2"/>
        <v/>
      </c>
    </row>
    <row r="618" ht="14.25" customHeight="1">
      <c r="A618" s="1" t="s">
        <v>381</v>
      </c>
      <c r="B618" s="1">
        <v>8.6</v>
      </c>
      <c r="C618" s="4" t="str">
        <f>IFERROR(__xludf.DUMMYFUNCTION("""COMPUTED_VALUE"""),"Hugh Hudson")</f>
        <v>Hugh Hudson</v>
      </c>
      <c r="D618" s="4">
        <f t="array" ref="D618">IFERROR(AVERAGEIFS($B$2:$B$3757, $A$2:$A$3757, C618:C4372), "")</f>
        <v>6.4</v>
      </c>
      <c r="E618" s="4">
        <f t="shared" si="1"/>
        <v>47.7</v>
      </c>
      <c r="F618" s="4" t="str">
        <f t="array" ref="F618">IF(D618&gt;=_xlfn.PERCENTILE.INC(D618:D2276, 0.9), "High", "Low")</f>
        <v>Low</v>
      </c>
      <c r="L618" s="4" t="str">
        <f t="shared" si="2"/>
        <v/>
      </c>
    </row>
    <row r="619" ht="14.25" customHeight="1">
      <c r="A619" s="1" t="s">
        <v>3434</v>
      </c>
      <c r="B619" s="1">
        <v>6.5</v>
      </c>
      <c r="C619" s="4" t="str">
        <f>IFERROR(__xludf.DUMMYFUNCTION("""COMPUTED_VALUE"""),"Chris Gorak")</f>
        <v>Chris Gorak</v>
      </c>
      <c r="D619" s="4">
        <f t="array" ref="D619">IFERROR(AVERAGEIFS($B$2:$B$3757, $A$2:$A$3757, C619:C4373), "")</f>
        <v>4.9</v>
      </c>
      <c r="E619" s="4">
        <f t="shared" si="1"/>
        <v>10.3</v>
      </c>
      <c r="F619" s="4" t="str">
        <f t="array" ref="F619">IF(D619&gt;=_xlfn.PERCENTILE.INC(D619:D2277, 0.9), "High", "Low")</f>
        <v>Low</v>
      </c>
      <c r="L619" s="4" t="str">
        <f t="shared" si="2"/>
        <v/>
      </c>
    </row>
    <row r="620" ht="14.25" customHeight="1">
      <c r="A620" s="1" t="s">
        <v>2275</v>
      </c>
      <c r="B620" s="1">
        <v>6.4</v>
      </c>
      <c r="C620" s="4" t="str">
        <f>IFERROR(__xludf.DUMMYFUNCTION("""COMPUTED_VALUE"""),"Scott Speer")</f>
        <v>Scott Speer</v>
      </c>
      <c r="D620" s="4">
        <f t="array" ref="D620">IFERROR(AVERAGEIFS($B$2:$B$3757, $A$2:$A$3757, C620:C4374), "")</f>
        <v>6.5</v>
      </c>
      <c r="E620" s="4">
        <f t="shared" si="1"/>
        <v>51.3</v>
      </c>
      <c r="F620" s="4" t="str">
        <f t="array" ref="F620">IF(D620&gt;=_xlfn.PERCENTILE.INC(D620:D2278, 0.9), "High", "Low")</f>
        <v>Low</v>
      </c>
      <c r="L620" s="4" t="str">
        <f t="shared" si="2"/>
        <v/>
      </c>
    </row>
    <row r="621" ht="14.25" customHeight="1">
      <c r="A621" s="1" t="s">
        <v>1724</v>
      </c>
      <c r="B621" s="1">
        <v>7.6</v>
      </c>
      <c r="C621" s="4" t="str">
        <f>IFERROR(__xludf.DUMMYFUNCTION("""COMPUTED_VALUE"""),"Joe Charbanic")</f>
        <v>Joe Charbanic</v>
      </c>
      <c r="D621" s="4">
        <f t="array" ref="D621">IFERROR(AVERAGEIFS($B$2:$B$3757, $A$2:$A$3757, C621:C4375), "")</f>
        <v>5.3</v>
      </c>
      <c r="E621" s="4">
        <f t="shared" si="1"/>
        <v>15.6</v>
      </c>
      <c r="F621" s="4" t="str">
        <f t="array" ref="F621">IF(D621&gt;=_xlfn.PERCENTILE.INC(D621:D2279, 0.9), "High", "Low")</f>
        <v>Low</v>
      </c>
      <c r="L621" s="4" t="str">
        <f t="shared" si="2"/>
        <v/>
      </c>
    </row>
    <row r="622" ht="14.25" customHeight="1">
      <c r="A622" s="1" t="s">
        <v>3446</v>
      </c>
      <c r="B622" s="1">
        <v>5.5</v>
      </c>
      <c r="C622" s="4" t="str">
        <f>IFERROR(__xludf.DUMMYFUNCTION("""COMPUTED_VALUE"""),"Jonathan Hensleigh")</f>
        <v>Jonathan Hensleigh</v>
      </c>
      <c r="D622" s="4">
        <f t="array" ref="D622">IFERROR(AVERAGEIFS($B$2:$B$3757, $A$2:$A$3757, C622:C4376), "")</f>
        <v>6.5</v>
      </c>
      <c r="E622" s="4">
        <f t="shared" si="1"/>
        <v>51.3</v>
      </c>
      <c r="F622" s="4" t="str">
        <f t="array" ref="F622">IF(D622&gt;=_xlfn.PERCENTILE.INC(D622:D2280, 0.9), "High", "Low")</f>
        <v>Low</v>
      </c>
      <c r="L622" s="4" t="str">
        <f t="shared" si="2"/>
        <v/>
      </c>
    </row>
    <row r="623" ht="14.25" customHeight="1">
      <c r="A623" s="1" t="s">
        <v>381</v>
      </c>
      <c r="B623" s="1">
        <v>7.4</v>
      </c>
      <c r="C623" s="4" t="str">
        <f>IFERROR(__xludf.DUMMYFUNCTION("""COMPUTED_VALUE"""),"Danny Cannon")</f>
        <v>Danny Cannon</v>
      </c>
      <c r="D623" s="4">
        <f t="array" ref="D623">IFERROR(AVERAGEIFS($B$2:$B$3757, $A$2:$A$3757, C623:C4377), "")</f>
        <v>5.7</v>
      </c>
      <c r="E623" s="4">
        <f t="shared" si="1"/>
        <v>26.1</v>
      </c>
      <c r="F623" s="4" t="str">
        <f t="array" ref="F623">IF(D623&gt;=_xlfn.PERCENTILE.INC(D623:D2281, 0.9), "High", "Low")</f>
        <v>Low</v>
      </c>
      <c r="L623" s="4" t="str">
        <f t="shared" si="2"/>
        <v/>
      </c>
    </row>
    <row r="624" ht="14.25" customHeight="1">
      <c r="A624" s="1" t="s">
        <v>428</v>
      </c>
      <c r="B624" s="1">
        <v>8.7</v>
      </c>
      <c r="C624" s="4" t="str">
        <f>IFERROR(__xludf.DUMMYFUNCTION("""COMPUTED_VALUE"""),"Boaz Yakin")</f>
        <v>Boaz Yakin</v>
      </c>
      <c r="D624" s="4">
        <f t="array" ref="D624">IFERROR(AVERAGEIFS($B$2:$B$3757, $A$2:$A$3757, C624:C4378), "")</f>
        <v>7.033333333</v>
      </c>
      <c r="E624" s="4">
        <f t="shared" si="1"/>
        <v>75.1</v>
      </c>
      <c r="F624" s="4" t="str">
        <f t="array" ref="F624">IF(D624&gt;=_xlfn.PERCENTILE.INC(D624:D2282, 0.9), "High", "Low")</f>
        <v>Low</v>
      </c>
      <c r="L624" s="4" t="str">
        <f t="shared" si="2"/>
        <v/>
      </c>
    </row>
    <row r="625" ht="14.25" customHeight="1">
      <c r="A625" s="1" t="s">
        <v>813</v>
      </c>
      <c r="B625" s="1">
        <v>7.6</v>
      </c>
      <c r="C625" s="4" t="str">
        <f>IFERROR(__xludf.DUMMYFUNCTION("""COMPUTED_VALUE"""),"Richard Marquand")</f>
        <v>Richard Marquand</v>
      </c>
      <c r="D625" s="4">
        <f t="array" ref="D625">IFERROR(AVERAGEIFS($B$2:$B$3757, $A$2:$A$3757, C625:C4379), "")</f>
        <v>8.4</v>
      </c>
      <c r="E625" s="4">
        <f t="shared" si="1"/>
        <v>99.1</v>
      </c>
      <c r="F625" s="4" t="str">
        <f t="array" ref="F625">IF(D625&gt;=_xlfn.PERCENTILE.INC(D625:D2283, 0.9), "High", "Low")</f>
        <v>High</v>
      </c>
      <c r="L625" s="4" t="str">
        <f t="shared" si="2"/>
        <v/>
      </c>
    </row>
    <row r="626" ht="14.25" customHeight="1">
      <c r="A626" s="1" t="s">
        <v>1248</v>
      </c>
      <c r="B626" s="1">
        <v>7.5</v>
      </c>
      <c r="C626" s="4" t="str">
        <f>IFERROR(__xludf.DUMMYFUNCTION("""COMPUTED_VALUE"""),"Neil Marshall")</f>
        <v>Neil Marshall</v>
      </c>
      <c r="D626" s="4">
        <f t="array" ref="D626">IFERROR(AVERAGEIFS($B$2:$B$3757, $A$2:$A$3757, C626:C4380), "")</f>
        <v>6.6</v>
      </c>
      <c r="E626" s="4">
        <f t="shared" si="1"/>
        <v>55.9</v>
      </c>
      <c r="F626" s="4" t="str">
        <f t="array" ref="F626">IF(D626&gt;=_xlfn.PERCENTILE.INC(D626:D2284, 0.9), "High", "Low")</f>
        <v>Low</v>
      </c>
      <c r="L626" s="4" t="str">
        <f t="shared" si="2"/>
        <v/>
      </c>
    </row>
    <row r="627" ht="14.25" customHeight="1">
      <c r="A627" s="1" t="s">
        <v>3466</v>
      </c>
      <c r="B627" s="1">
        <v>5.5</v>
      </c>
      <c r="C627" s="4" t="str">
        <f>IFERROR(__xludf.DUMMYFUNCTION("""COMPUTED_VALUE"""),"Jared Hess")</f>
        <v>Jared Hess</v>
      </c>
      <c r="D627" s="4">
        <f t="array" ref="D627">IFERROR(AVERAGEIFS($B$2:$B$3757, $A$2:$A$3757, C627:C4381), "")</f>
        <v>6.3</v>
      </c>
      <c r="E627" s="4">
        <f t="shared" si="1"/>
        <v>46.8</v>
      </c>
      <c r="F627" s="4" t="str">
        <f t="array" ref="F627">IF(D627&gt;=_xlfn.PERCENTILE.INC(D627:D2285, 0.9), "High", "Low")</f>
        <v>Low</v>
      </c>
      <c r="L627" s="4" t="str">
        <f t="shared" si="2"/>
        <v/>
      </c>
    </row>
    <row r="628" ht="14.25" customHeight="1">
      <c r="A628" s="1" t="s">
        <v>3473</v>
      </c>
      <c r="B628" s="1">
        <v>7.6</v>
      </c>
      <c r="C628" s="4" t="str">
        <f>IFERROR(__xludf.DUMMYFUNCTION("""COMPUTED_VALUE"""),"Rupert Wainwright")</f>
        <v>Rupert Wainwright</v>
      </c>
      <c r="D628" s="4">
        <f t="array" ref="D628">IFERROR(AVERAGEIFS($B$2:$B$3757, $A$2:$A$3757, C628:C4382), "")</f>
        <v>6.2</v>
      </c>
      <c r="E628" s="4">
        <f t="shared" si="1"/>
        <v>41.5</v>
      </c>
      <c r="F628" s="4" t="str">
        <f t="array" ref="F628">IF(D628&gt;=_xlfn.PERCENTILE.INC(D628:D2286, 0.9), "High", "Low")</f>
        <v>Low</v>
      </c>
      <c r="L628" s="4" t="str">
        <f t="shared" si="2"/>
        <v/>
      </c>
    </row>
    <row r="629" ht="14.25" customHeight="1">
      <c r="A629" s="1" t="s">
        <v>3477</v>
      </c>
      <c r="B629" s="1">
        <v>6.5</v>
      </c>
      <c r="C629" s="4" t="str">
        <f>IFERROR(__xludf.DUMMYFUNCTION("""COMPUTED_VALUE"""),"John Luessenhop")</f>
        <v>John Luessenhop</v>
      </c>
      <c r="D629" s="4">
        <f t="array" ref="D629">IFERROR(AVERAGEIFS($B$2:$B$3757, $A$2:$A$3757, C629:C4383), "")</f>
        <v>5.5</v>
      </c>
      <c r="E629" s="4">
        <f t="shared" si="1"/>
        <v>20.5</v>
      </c>
      <c r="F629" s="4" t="str">
        <f t="array" ref="F629">IF(D629&gt;=_xlfn.PERCENTILE.INC(D629:D2287, 0.9), "High", "Low")</f>
        <v>Low</v>
      </c>
      <c r="L629" s="4" t="str">
        <f t="shared" si="2"/>
        <v/>
      </c>
    </row>
    <row r="630" ht="14.25" customHeight="1">
      <c r="A630" s="1" t="s">
        <v>1668</v>
      </c>
      <c r="B630" s="1">
        <v>6.9</v>
      </c>
      <c r="C630" s="4" t="str">
        <f>IFERROR(__xludf.DUMMYFUNCTION("""COMPUTED_VALUE"""),"Justin Zackham")</f>
        <v>Justin Zackham</v>
      </c>
      <c r="D630" s="4">
        <f t="array" ref="D630">IFERROR(AVERAGEIFS($B$2:$B$3757, $A$2:$A$3757, C630:C4384), "")</f>
        <v>5.6</v>
      </c>
      <c r="E630" s="4">
        <f t="shared" si="1"/>
        <v>22.3</v>
      </c>
      <c r="F630" s="4" t="str">
        <f t="array" ref="F630">IF(D630&gt;=_xlfn.PERCENTILE.INC(D630:D2288, 0.9), "High", "Low")</f>
        <v>Low</v>
      </c>
      <c r="L630" s="4" t="str">
        <f t="shared" si="2"/>
        <v/>
      </c>
    </row>
    <row r="631" ht="14.25" customHeight="1">
      <c r="A631" s="1" t="s">
        <v>305</v>
      </c>
      <c r="B631" s="1">
        <v>6.7</v>
      </c>
      <c r="C631" s="4" t="str">
        <f>IFERROR(__xludf.DUMMYFUNCTION("""COMPUTED_VALUE"""),"John Gatins")</f>
        <v>John Gatins</v>
      </c>
      <c r="D631" s="4">
        <f t="array" ref="D631">IFERROR(AVERAGEIFS($B$2:$B$3757, $A$2:$A$3757, C631:C4385), "")</f>
        <v>6.9</v>
      </c>
      <c r="E631" s="4">
        <f t="shared" si="1"/>
        <v>66.9</v>
      </c>
      <c r="F631" s="4" t="str">
        <f t="array" ref="F631">IF(D631&gt;=_xlfn.PERCENTILE.INC(D631:D2289, 0.9), "High", "Low")</f>
        <v>Low</v>
      </c>
      <c r="L631" s="4" t="str">
        <f t="shared" si="2"/>
        <v/>
      </c>
    </row>
    <row r="632" ht="14.25" customHeight="1">
      <c r="A632" s="1" t="s">
        <v>2436</v>
      </c>
      <c r="B632" s="1">
        <v>6.6</v>
      </c>
      <c r="C632" s="4" t="str">
        <f>IFERROR(__xludf.DUMMYFUNCTION("""COMPUTED_VALUE"""),"Miguel Sapochnik")</f>
        <v>Miguel Sapochnik</v>
      </c>
      <c r="D632" s="4">
        <f t="array" ref="D632">IFERROR(AVERAGEIFS($B$2:$B$3757, $A$2:$A$3757, C632:C4386), "")</f>
        <v>6.3</v>
      </c>
      <c r="E632" s="4">
        <f t="shared" si="1"/>
        <v>43.7</v>
      </c>
      <c r="F632" s="4" t="str">
        <f t="array" ref="F632">IF(D632&gt;=_xlfn.PERCENTILE.INC(D632:D2290, 0.9), "High", "Low")</f>
        <v>Low</v>
      </c>
      <c r="L632" s="4" t="str">
        <f t="shared" si="2"/>
        <v/>
      </c>
    </row>
    <row r="633" ht="14.25" customHeight="1">
      <c r="A633" s="1" t="s">
        <v>550</v>
      </c>
      <c r="B633" s="1">
        <v>7.2</v>
      </c>
      <c r="C633" s="4" t="str">
        <f>IFERROR(__xludf.DUMMYFUNCTION("""COMPUTED_VALUE"""),"Hyung-rae Shim")</f>
        <v>Hyung-rae Shim</v>
      </c>
      <c r="D633" s="4">
        <f t="array" ref="D633">IFERROR(AVERAGEIFS($B$2:$B$3757, $A$2:$A$3757, C633:C4387), "")</f>
        <v>3.6</v>
      </c>
      <c r="E633" s="4">
        <f t="shared" si="1"/>
        <v>3</v>
      </c>
      <c r="F633" s="4" t="str">
        <f t="array" ref="F633">IF(D633&gt;=_xlfn.PERCENTILE.INC(D633:D2291, 0.9), "High", "Low")</f>
        <v>Low</v>
      </c>
      <c r="L633" s="4" t="str">
        <f t="shared" si="2"/>
        <v/>
      </c>
    </row>
    <row r="634" ht="14.25" customHeight="1">
      <c r="A634" s="1" t="s">
        <v>3503</v>
      </c>
      <c r="B634" s="1">
        <v>6.4</v>
      </c>
      <c r="C634" s="4" t="str">
        <f>IFERROR(__xludf.DUMMYFUNCTION("""COMPUTED_VALUE"""),"Don Scardino")</f>
        <v>Don Scardino</v>
      </c>
      <c r="D634" s="4">
        <f t="array" ref="D634">IFERROR(AVERAGEIFS($B$2:$B$3757, $A$2:$A$3757, C634:C4388), "")</f>
        <v>5.9</v>
      </c>
      <c r="E634" s="4">
        <f t="shared" si="1"/>
        <v>30.3</v>
      </c>
      <c r="F634" s="4" t="str">
        <f t="array" ref="F634">IF(D634&gt;=_xlfn.PERCENTILE.INC(D634:D2292, 0.9), "High", "Low")</f>
        <v>Low</v>
      </c>
      <c r="L634" s="4" t="str">
        <f t="shared" si="2"/>
        <v/>
      </c>
    </row>
    <row r="635" ht="14.25" customHeight="1">
      <c r="A635" s="1" t="s">
        <v>1985</v>
      </c>
      <c r="B635" s="1">
        <v>6.4</v>
      </c>
      <c r="C635" s="4" t="str">
        <f>IFERROR(__xludf.DUMMYFUNCTION("""COMPUTED_VALUE"""),"Tim Robbins")</f>
        <v>Tim Robbins</v>
      </c>
      <c r="D635" s="4">
        <f t="array" ref="D635">IFERROR(AVERAGEIFS($B$2:$B$3757, $A$2:$A$3757, C635:C4389), "")</f>
        <v>7.25</v>
      </c>
      <c r="E635" s="4">
        <f t="shared" si="1"/>
        <v>83.4</v>
      </c>
      <c r="F635" s="4" t="str">
        <f t="array" ref="F635">IF(D635&gt;=_xlfn.PERCENTILE.INC(D635:D2293, 0.9), "High", "Low")</f>
        <v>Low</v>
      </c>
      <c r="L635" s="4" t="str">
        <f t="shared" si="2"/>
        <v/>
      </c>
    </row>
    <row r="636" ht="14.25" customHeight="1">
      <c r="A636" s="1" t="s">
        <v>1284</v>
      </c>
      <c r="B636" s="1">
        <v>6.0</v>
      </c>
      <c r="C636" s="4" t="str">
        <f>IFERROR(__xludf.DUMMYFUNCTION("""COMPUTED_VALUE"""),"Nanette Burstein")</f>
        <v>Nanette Burstein</v>
      </c>
      <c r="D636" s="4">
        <f t="array" ref="D636">IFERROR(AVERAGEIFS($B$2:$B$3757, $A$2:$A$3757, C636:C4390), "")</f>
        <v>6.3</v>
      </c>
      <c r="E636" s="4">
        <f t="shared" si="1"/>
        <v>43.7</v>
      </c>
      <c r="F636" s="4" t="str">
        <f t="array" ref="F636">IF(D636&gt;=_xlfn.PERCENTILE.INC(D636:D2294, 0.9), "High", "Low")</f>
        <v>Low</v>
      </c>
      <c r="L636" s="4" t="str">
        <f t="shared" si="2"/>
        <v/>
      </c>
    </row>
    <row r="637" ht="14.25" customHeight="1">
      <c r="A637" s="1" t="s">
        <v>666</v>
      </c>
      <c r="B637" s="1">
        <v>6.1</v>
      </c>
      <c r="C637" s="4" t="str">
        <f>IFERROR(__xludf.DUMMYFUNCTION("""COMPUTED_VALUE"""),"Ariel Vromen")</f>
        <v>Ariel Vromen</v>
      </c>
      <c r="D637" s="4">
        <f t="array" ref="D637">IFERROR(AVERAGEIFS($B$2:$B$3757, $A$2:$A$3757, C637:C4391), "")</f>
        <v>6.6</v>
      </c>
      <c r="E637" s="4">
        <f t="shared" si="1"/>
        <v>55.8</v>
      </c>
      <c r="F637" s="4" t="str">
        <f t="array" ref="F637">IF(D637&gt;=_xlfn.PERCENTILE.INC(D637:D2295, 0.9), "High", "Low")</f>
        <v>Low</v>
      </c>
      <c r="L637" s="4" t="str">
        <f t="shared" si="2"/>
        <v/>
      </c>
    </row>
    <row r="638" ht="14.25" customHeight="1">
      <c r="A638" s="1" t="s">
        <v>723</v>
      </c>
      <c r="B638" s="1">
        <v>6.0</v>
      </c>
      <c r="C638" s="4" t="str">
        <f>IFERROR(__xludf.DUMMYFUNCTION("""COMPUTED_VALUE"""),"Lewis Gilbert")</f>
        <v>Lewis Gilbert</v>
      </c>
      <c r="D638" s="4">
        <f t="array" ref="D638">IFERROR(AVERAGEIFS($B$2:$B$3757, $A$2:$A$3757, C638:C4392), "")</f>
        <v>6.766666667</v>
      </c>
      <c r="E638" s="4">
        <f t="shared" si="1"/>
        <v>62.7</v>
      </c>
      <c r="F638" s="4" t="str">
        <f t="array" ref="F638">IF(D638&gt;=_xlfn.PERCENTILE.INC(D638:D2296, 0.9), "High", "Low")</f>
        <v>Low</v>
      </c>
      <c r="L638" s="4" t="str">
        <f t="shared" si="2"/>
        <v/>
      </c>
    </row>
    <row r="639" ht="14.25" customHeight="1">
      <c r="A639" s="1" t="s">
        <v>363</v>
      </c>
      <c r="B639" s="1">
        <v>6.4</v>
      </c>
      <c r="C639" s="4" t="str">
        <f>IFERROR(__xludf.DUMMYFUNCTION("""COMPUTED_VALUE"""),"John Francis Daley")</f>
        <v>John Francis Daley</v>
      </c>
      <c r="D639" s="4">
        <f t="array" ref="D639">IFERROR(AVERAGEIFS($B$2:$B$3757, $A$2:$A$3757, C639:C4393), "")</f>
        <v>6.1</v>
      </c>
      <c r="E639" s="4">
        <f t="shared" si="1"/>
        <v>37.4</v>
      </c>
      <c r="F639" s="4" t="str">
        <f t="array" ref="F639">IF(D639&gt;=_xlfn.PERCENTILE.INC(D639:D2297, 0.9), "High", "Low")</f>
        <v>Low</v>
      </c>
      <c r="L639" s="4" t="str">
        <f t="shared" si="2"/>
        <v/>
      </c>
    </row>
    <row r="640" ht="14.25" customHeight="1">
      <c r="A640" s="1" t="s">
        <v>3531</v>
      </c>
      <c r="B640" s="1">
        <v>6.4</v>
      </c>
      <c r="C640" s="4" t="str">
        <f>IFERROR(__xludf.DUMMYFUNCTION("""COMPUTED_VALUE"""),"J.B. Rogers")</f>
        <v>J.B. Rogers</v>
      </c>
      <c r="D640" s="4">
        <f t="array" ref="D640">IFERROR(AVERAGEIFS($B$2:$B$3757, $A$2:$A$3757, C640:C4394), "")</f>
        <v>5.65</v>
      </c>
      <c r="E640" s="4">
        <f t="shared" si="1"/>
        <v>25.9</v>
      </c>
      <c r="F640" s="4" t="str">
        <f t="array" ref="F640">IF(D640&gt;=_xlfn.PERCENTILE.INC(D640:D2298, 0.9), "High", "Low")</f>
        <v>Low</v>
      </c>
      <c r="L640" s="4" t="str">
        <f t="shared" si="2"/>
        <v/>
      </c>
    </row>
    <row r="641" ht="14.25" customHeight="1">
      <c r="A641" s="1" t="s">
        <v>3536</v>
      </c>
      <c r="B641" s="1">
        <v>7.3</v>
      </c>
      <c r="C641" s="4" t="str">
        <f>IFERROR(__xludf.DUMMYFUNCTION("""COMPUTED_VALUE"""),"Michael Sucsy")</f>
        <v>Michael Sucsy</v>
      </c>
      <c r="D641" s="4">
        <f t="array" ref="D641">IFERROR(AVERAGEIFS($B$2:$B$3757, $A$2:$A$3757, C641:C4395), "")</f>
        <v>6.8</v>
      </c>
      <c r="E641" s="4">
        <f t="shared" si="1"/>
        <v>62.7</v>
      </c>
      <c r="F641" s="4" t="str">
        <f t="array" ref="F641">IF(D641&gt;=_xlfn.PERCENTILE.INC(D641:D2299, 0.9), "High", "Low")</f>
        <v>Low</v>
      </c>
      <c r="L641" s="4" t="str">
        <f t="shared" si="2"/>
        <v/>
      </c>
    </row>
    <row r="642" ht="14.25" customHeight="1">
      <c r="A642" s="1" t="s">
        <v>3541</v>
      </c>
      <c r="B642" s="1">
        <v>5.2</v>
      </c>
      <c r="C642" s="4" t="str">
        <f>IFERROR(__xludf.DUMMYFUNCTION("""COMPUTED_VALUE"""),"Tom Vaughan")</f>
        <v>Tom Vaughan</v>
      </c>
      <c r="D642" s="4">
        <f t="array" ref="D642">IFERROR(AVERAGEIFS($B$2:$B$3757, $A$2:$A$3757, C642:C4396), "")</f>
        <v>6.3</v>
      </c>
      <c r="E642" s="4">
        <f t="shared" si="1"/>
        <v>43.8</v>
      </c>
      <c r="F642" s="4" t="str">
        <f t="array" ref="F642">IF(D642&gt;=_xlfn.PERCENTILE.INC(D642:D2300, 0.9), "High", "Low")</f>
        <v>Low</v>
      </c>
      <c r="L642" s="4" t="str">
        <f t="shared" si="2"/>
        <v/>
      </c>
    </row>
    <row r="643" ht="14.25" customHeight="1">
      <c r="A643" s="1" t="s">
        <v>3548</v>
      </c>
      <c r="B643" s="1">
        <v>6.6</v>
      </c>
      <c r="C643" s="4" t="str">
        <f>IFERROR(__xludf.DUMMYFUNCTION("""COMPUTED_VALUE"""),"Stephen Hillenburg")</f>
        <v>Stephen Hillenburg</v>
      </c>
      <c r="D643" s="4">
        <f t="array" ref="D643">IFERROR(AVERAGEIFS($B$2:$B$3757, $A$2:$A$3757, C643:C4397), "")</f>
        <v>7</v>
      </c>
      <c r="E643" s="4">
        <f t="shared" si="1"/>
        <v>70.7</v>
      </c>
      <c r="F643" s="4" t="str">
        <f t="array" ref="F643">IF(D643&gt;=_xlfn.PERCENTILE.INC(D643:D2301, 0.9), "High", "Low")</f>
        <v>Low</v>
      </c>
      <c r="L643" s="4" t="str">
        <f t="shared" si="2"/>
        <v/>
      </c>
    </row>
    <row r="644" ht="14.25" customHeight="1">
      <c r="A644" s="1" t="s">
        <v>319</v>
      </c>
      <c r="B644" s="1">
        <v>6.3</v>
      </c>
      <c r="C644" s="4" t="str">
        <f>IFERROR(__xludf.DUMMYFUNCTION("""COMPUTED_VALUE"""),"Stig Bergqvist")</f>
        <v>Stig Bergqvist</v>
      </c>
      <c r="D644" s="4">
        <f t="array" ref="D644">IFERROR(AVERAGEIFS($B$2:$B$3757, $A$2:$A$3757, C644:C4398), "")</f>
        <v>6.1</v>
      </c>
      <c r="E644" s="4">
        <f t="shared" si="1"/>
        <v>37.5</v>
      </c>
      <c r="F644" s="4" t="str">
        <f t="array" ref="F644">IF(D644&gt;=_xlfn.PERCENTILE.INC(D644:D2302, 0.9), "High", "Low")</f>
        <v>Low</v>
      </c>
      <c r="L644" s="4" t="str">
        <f t="shared" si="2"/>
        <v/>
      </c>
    </row>
    <row r="645" ht="14.25" customHeight="1">
      <c r="A645" s="1" t="s">
        <v>3558</v>
      </c>
      <c r="B645" s="1">
        <v>5.9</v>
      </c>
      <c r="C645" s="4" t="str">
        <f>IFERROR(__xludf.DUMMYFUNCTION("""COMPUTED_VALUE"""),"Jason Reitman")</f>
        <v>Jason Reitman</v>
      </c>
      <c r="D645" s="4">
        <f t="array" ref="D645">IFERROR(AVERAGEIFS($B$2:$B$3757, $A$2:$A$3757, C645:C4399), "")</f>
        <v>7.2</v>
      </c>
      <c r="E645" s="4">
        <f t="shared" si="1"/>
        <v>79.5</v>
      </c>
      <c r="F645" s="4" t="str">
        <f t="array" ref="F645">IF(D645&gt;=_xlfn.PERCENTILE.INC(D645:D2303, 0.9), "High", "Low")</f>
        <v>Low</v>
      </c>
      <c r="L645" s="4" t="str">
        <f t="shared" si="2"/>
        <v/>
      </c>
    </row>
    <row r="646" ht="14.25" customHeight="1">
      <c r="A646" s="1" t="s">
        <v>2913</v>
      </c>
      <c r="B646" s="1">
        <v>6.7</v>
      </c>
      <c r="C646" s="4" t="str">
        <f>IFERROR(__xludf.DUMMYFUNCTION("""COMPUTED_VALUE"""),"Alexander Payne")</f>
        <v>Alexander Payne</v>
      </c>
      <c r="D646" s="4">
        <f t="array" ref="D646">IFERROR(AVERAGEIFS($B$2:$B$3757, $A$2:$A$3757, C646:C4400), "")</f>
        <v>7.42</v>
      </c>
      <c r="E646" s="4">
        <f t="shared" si="1"/>
        <v>87.4</v>
      </c>
      <c r="F646" s="4" t="str">
        <f t="array" ref="F646">IF(D646&gt;=_xlfn.PERCENTILE.INC(D646:D2304, 0.9), "High", "Low")</f>
        <v>Low</v>
      </c>
      <c r="L646" s="4" t="str">
        <f t="shared" si="2"/>
        <v/>
      </c>
    </row>
    <row r="647" ht="14.25" customHeight="1">
      <c r="A647" s="1" t="s">
        <v>2246</v>
      </c>
      <c r="B647" s="1">
        <v>5.4</v>
      </c>
      <c r="C647" s="4" t="str">
        <f>IFERROR(__xludf.DUMMYFUNCTION("""COMPUTED_VALUE"""),"Jonathan Levine")</f>
        <v>Jonathan Levine</v>
      </c>
      <c r="D647" s="4">
        <f t="array" ref="D647">IFERROR(AVERAGEIFS($B$2:$B$3757, $A$2:$A$3757, C647:C4401), "")</f>
        <v>7.2</v>
      </c>
      <c r="E647" s="4">
        <f t="shared" si="1"/>
        <v>79.7</v>
      </c>
      <c r="F647" s="4" t="str">
        <f t="array" ref="F647">IF(D647&gt;=_xlfn.PERCENTILE.INC(D647:D2305, 0.9), "High", "Low")</f>
        <v>Low</v>
      </c>
      <c r="L647" s="4" t="str">
        <f t="shared" si="2"/>
        <v/>
      </c>
    </row>
    <row r="648" ht="14.25" customHeight="1">
      <c r="A648" s="1" t="s">
        <v>2246</v>
      </c>
      <c r="B648" s="1">
        <v>6.4</v>
      </c>
      <c r="C648" s="4" t="str">
        <f>IFERROR(__xludf.DUMMYFUNCTION("""COMPUTED_VALUE"""),"Rian Johnson")</f>
        <v>Rian Johnson</v>
      </c>
      <c r="D648" s="4">
        <f t="array" ref="D648">IFERROR(AVERAGEIFS($B$2:$B$3757, $A$2:$A$3757, C648:C4402), "")</f>
        <v>7.15</v>
      </c>
      <c r="E648" s="4">
        <f t="shared" si="1"/>
        <v>79.2</v>
      </c>
      <c r="F648" s="4" t="str">
        <f t="array" ref="F648">IF(D648&gt;=_xlfn.PERCENTILE.INC(D648:D2306, 0.9), "High", "Low")</f>
        <v>Low</v>
      </c>
      <c r="L648" s="4" t="str">
        <f t="shared" si="2"/>
        <v/>
      </c>
    </row>
    <row r="649" ht="14.25" customHeight="1">
      <c r="A649" s="1" t="s">
        <v>1985</v>
      </c>
      <c r="B649" s="1">
        <v>6.7</v>
      </c>
      <c r="C649" s="4" t="str">
        <f>IFERROR(__xludf.DUMMYFUNCTION("""COMPUTED_VALUE"""),"Chris Noonan")</f>
        <v>Chris Noonan</v>
      </c>
      <c r="D649" s="4">
        <f t="array" ref="D649">IFERROR(AVERAGEIFS($B$2:$B$3757, $A$2:$A$3757, C649:C4403), "")</f>
        <v>6.9</v>
      </c>
      <c r="E649" s="4">
        <f t="shared" si="1"/>
        <v>67</v>
      </c>
      <c r="F649" s="4" t="str">
        <f t="array" ref="F649">IF(D649&gt;=_xlfn.PERCENTILE.INC(D649:D2307, 0.9), "High", "Low")</f>
        <v>Low</v>
      </c>
      <c r="L649" s="4" t="str">
        <f t="shared" si="2"/>
        <v/>
      </c>
    </row>
    <row r="650" ht="14.25" customHeight="1">
      <c r="A650" s="1" t="s">
        <v>3582</v>
      </c>
      <c r="B650" s="1">
        <v>6.2</v>
      </c>
      <c r="C650" s="4" t="str">
        <f>IFERROR(__xludf.DUMMYFUNCTION("""COMPUTED_VALUE"""),"Michael McCullers")</f>
        <v>Michael McCullers</v>
      </c>
      <c r="D650" s="4">
        <f t="array" ref="D650">IFERROR(AVERAGEIFS($B$2:$B$3757, $A$2:$A$3757, C650:C4404), "")</f>
        <v>6</v>
      </c>
      <c r="E650" s="4">
        <f t="shared" si="1"/>
        <v>34.6</v>
      </c>
      <c r="F650" s="4" t="str">
        <f t="array" ref="F650">IF(D650&gt;=_xlfn.PERCENTILE.INC(D650:D2308, 0.9), "High", "Low")</f>
        <v>Low</v>
      </c>
      <c r="L650" s="4" t="str">
        <f t="shared" si="2"/>
        <v/>
      </c>
    </row>
    <row r="651" ht="14.25" customHeight="1">
      <c r="A651" s="1" t="s">
        <v>243</v>
      </c>
      <c r="B651" s="1">
        <v>6.1</v>
      </c>
      <c r="C651" s="4" t="str">
        <f>IFERROR(__xludf.DUMMYFUNCTION("""COMPUTED_VALUE"""),"Forest Whitaker")</f>
        <v>Forest Whitaker</v>
      </c>
      <c r="D651" s="4">
        <f t="array" ref="D651">IFERROR(AVERAGEIFS($B$2:$B$3757, $A$2:$A$3757, C651:C4405), "")</f>
        <v>5.9</v>
      </c>
      <c r="E651" s="4">
        <f t="shared" si="1"/>
        <v>30.7</v>
      </c>
      <c r="F651" s="4" t="str">
        <f t="array" ref="F651">IF(D651&gt;=_xlfn.PERCENTILE.INC(D651:D2309, 0.9), "High", "Low")</f>
        <v>Low</v>
      </c>
      <c r="L651" s="4" t="str">
        <f t="shared" si="2"/>
        <v/>
      </c>
    </row>
    <row r="652" ht="14.25" customHeight="1">
      <c r="A652" s="1" t="s">
        <v>648</v>
      </c>
      <c r="B652" s="1">
        <v>8.8</v>
      </c>
      <c r="C652" s="4" t="str">
        <f>IFERROR(__xludf.DUMMYFUNCTION("""COMPUTED_VALUE"""),"Gary Winick")</f>
        <v>Gary Winick</v>
      </c>
      <c r="D652" s="4">
        <f t="array" ref="D652">IFERROR(AVERAGEIFS($B$2:$B$3757, $A$2:$A$3757, C652:C4406), "")</f>
        <v>6.075</v>
      </c>
      <c r="E652" s="4">
        <f t="shared" si="1"/>
        <v>37.5</v>
      </c>
      <c r="F652" s="4" t="str">
        <f t="array" ref="F652">IF(D652&gt;=_xlfn.PERCENTILE.INC(D652:D2310, 0.9), "High", "Low")</f>
        <v>Low</v>
      </c>
      <c r="L652" s="4" t="str">
        <f t="shared" si="2"/>
        <v/>
      </c>
    </row>
    <row r="653" ht="14.25" customHeight="1">
      <c r="A653" s="1" t="s">
        <v>319</v>
      </c>
      <c r="B653" s="1">
        <v>7.1</v>
      </c>
      <c r="C653" s="4" t="str">
        <f>IFERROR(__xludf.DUMMYFUNCTION("""COMPUTED_VALUE"""),"Woody Allen")</f>
        <v>Woody Allen</v>
      </c>
      <c r="D653" s="4">
        <f t="array" ref="D653">IFERROR(AVERAGEIFS($B$2:$B$3757, $A$2:$A$3757, C653:C4407), "")</f>
        <v>7</v>
      </c>
      <c r="E653" s="4">
        <f t="shared" si="1"/>
        <v>70.8</v>
      </c>
      <c r="F653" s="4" t="str">
        <f t="array" ref="F653">IF(D653&gt;=_xlfn.PERCENTILE.INC(D653:D2311, 0.9), "High", "Low")</f>
        <v>Low</v>
      </c>
      <c r="L653" s="4" t="str">
        <f t="shared" si="2"/>
        <v/>
      </c>
    </row>
    <row r="654" ht="14.25" customHeight="1">
      <c r="A654" s="1" t="s">
        <v>3602</v>
      </c>
      <c r="B654" s="1">
        <v>5.7</v>
      </c>
      <c r="C654" s="4" t="str">
        <f>IFERROR(__xludf.DUMMYFUNCTION("""COMPUTED_VALUE"""),"Peter Lepeniotis")</f>
        <v>Peter Lepeniotis</v>
      </c>
      <c r="D654" s="4">
        <f t="array" ref="D654">IFERROR(AVERAGEIFS($B$2:$B$3757, $A$2:$A$3757, C654:C4408), "")</f>
        <v>5.8</v>
      </c>
      <c r="E654" s="4">
        <f t="shared" si="1"/>
        <v>28.6</v>
      </c>
      <c r="F654" s="4" t="str">
        <f t="array" ref="F654">IF(D654&gt;=_xlfn.PERCENTILE.INC(D654:D2312, 0.9), "High", "Low")</f>
        <v>Low</v>
      </c>
      <c r="L654" s="4" t="str">
        <f t="shared" si="2"/>
        <v/>
      </c>
    </row>
    <row r="655" ht="14.25" customHeight="1">
      <c r="A655" s="1" t="s">
        <v>3477</v>
      </c>
      <c r="B655" s="1">
        <v>5.0</v>
      </c>
      <c r="C655" s="4" t="str">
        <f>IFERROR(__xludf.DUMMYFUNCTION("""COMPUTED_VALUE"""),"Ted Demme")</f>
        <v>Ted Demme</v>
      </c>
      <c r="D655" s="4">
        <f t="array" ref="D655">IFERROR(AVERAGEIFS($B$2:$B$3757, $A$2:$A$3757, C655:C4409), "")</f>
        <v>7.6</v>
      </c>
      <c r="E655" s="4">
        <f t="shared" si="1"/>
        <v>90.1</v>
      </c>
      <c r="F655" s="4" t="str">
        <f t="array" ref="F655">IF(D655&gt;=_xlfn.PERCENTILE.INC(D655:D2313, 0.9), "High", "Low")</f>
        <v>High</v>
      </c>
      <c r="L655" s="4" t="str">
        <f t="shared" si="2"/>
        <v/>
      </c>
    </row>
    <row r="656" ht="14.25" customHeight="1">
      <c r="A656" s="1" t="s">
        <v>3610</v>
      </c>
      <c r="B656" s="1">
        <v>5.1</v>
      </c>
      <c r="C656" s="4" t="str">
        <f>IFERROR(__xludf.DUMMYFUNCTION("""COMPUTED_VALUE"""),"William Shatner")</f>
        <v>William Shatner</v>
      </c>
      <c r="D656" s="4">
        <f t="array" ref="D656">IFERROR(AVERAGEIFS($B$2:$B$3757, $A$2:$A$3757, C656:C4410), "")</f>
        <v>5.4</v>
      </c>
      <c r="E656" s="4">
        <f t="shared" si="1"/>
        <v>18.4</v>
      </c>
      <c r="F656" s="4" t="str">
        <f t="array" ref="F656">IF(D656&gt;=_xlfn.PERCENTILE.INC(D656:D2314, 0.9), "High", "Low")</f>
        <v>Low</v>
      </c>
      <c r="L656" s="4" t="str">
        <f t="shared" si="2"/>
        <v/>
      </c>
    </row>
    <row r="657" ht="14.25" customHeight="1">
      <c r="A657" s="1" t="s">
        <v>3617</v>
      </c>
      <c r="B657" s="1">
        <v>6.9</v>
      </c>
      <c r="C657" s="4" t="str">
        <f>IFERROR(__xludf.DUMMYFUNCTION("""COMPUTED_VALUE"""),"Steve Box")</f>
        <v>Steve Box</v>
      </c>
      <c r="D657" s="4">
        <f t="array" ref="D657">IFERROR(AVERAGEIFS($B$2:$B$3757, $A$2:$A$3757, C657:C4411), "")</f>
        <v>7.5</v>
      </c>
      <c r="E657" s="4">
        <f t="shared" si="1"/>
        <v>87.9</v>
      </c>
      <c r="F657" s="4" t="str">
        <f t="array" ref="F657">IF(D657&gt;=_xlfn.PERCENTILE.INC(D657:D2315, 0.9), "High", "Low")</f>
        <v>Low</v>
      </c>
      <c r="L657" s="4" t="str">
        <f t="shared" si="2"/>
        <v/>
      </c>
    </row>
    <row r="658" ht="14.25" customHeight="1">
      <c r="A658" s="1" t="s">
        <v>3420</v>
      </c>
      <c r="B658" s="1">
        <v>4.8</v>
      </c>
      <c r="C658" s="4" t="str">
        <f>IFERROR(__xludf.DUMMYFUNCTION("""COMPUTED_VALUE"""),"Lee Toland Krieger")</f>
        <v>Lee Toland Krieger</v>
      </c>
      <c r="D658" s="4">
        <f t="array" ref="D658">IFERROR(AVERAGEIFS($B$2:$B$3757, $A$2:$A$3757, C658:C4412), "")</f>
        <v>7.2</v>
      </c>
      <c r="E658" s="4">
        <f t="shared" si="1"/>
        <v>79.8</v>
      </c>
      <c r="F658" s="4" t="str">
        <f t="array" ref="F658">IF(D658&gt;=_xlfn.PERCENTILE.INC(D658:D2316, 0.9), "High", "Low")</f>
        <v>Low</v>
      </c>
      <c r="L658" s="4" t="str">
        <f t="shared" si="2"/>
        <v/>
      </c>
    </row>
    <row r="659" ht="14.25" customHeight="1">
      <c r="A659" s="1" t="s">
        <v>3627</v>
      </c>
      <c r="B659" s="1">
        <v>6.5</v>
      </c>
      <c r="C659" s="4" t="str">
        <f>IFERROR(__xludf.DUMMYFUNCTION("""COMPUTED_VALUE"""),"Tim McCanlies")</f>
        <v>Tim McCanlies</v>
      </c>
      <c r="D659" s="4">
        <f t="array" ref="D659">IFERROR(AVERAGEIFS($B$2:$B$3757, $A$2:$A$3757, C659:C4413), "")</f>
        <v>7.6</v>
      </c>
      <c r="E659" s="4">
        <f t="shared" si="1"/>
        <v>90.1</v>
      </c>
      <c r="F659" s="4" t="str">
        <f t="array" ref="F659">IF(D659&gt;=_xlfn.PERCENTILE.INC(D659:D2317, 0.9), "High", "Low")</f>
        <v>High</v>
      </c>
      <c r="L659" s="4" t="str">
        <f t="shared" si="2"/>
        <v/>
      </c>
    </row>
    <row r="660" ht="14.25" customHeight="1">
      <c r="A660" s="1" t="s">
        <v>2128</v>
      </c>
      <c r="B660" s="1">
        <v>5.1</v>
      </c>
      <c r="C660" s="4" t="str">
        <f>IFERROR(__xludf.DUMMYFUNCTION("""COMPUTED_VALUE"""),"Drew Goddard")</f>
        <v>Drew Goddard</v>
      </c>
      <c r="D660" s="4">
        <f t="array" ref="D660">IFERROR(AVERAGEIFS($B$2:$B$3757, $A$2:$A$3757, C660:C4414), "")</f>
        <v>7</v>
      </c>
      <c r="E660" s="4">
        <f t="shared" si="1"/>
        <v>71.1</v>
      </c>
      <c r="F660" s="4" t="str">
        <f t="array" ref="F660">IF(D660&gt;=_xlfn.PERCENTILE.INC(D660:D2318, 0.9), "High", "Low")</f>
        <v>Low</v>
      </c>
      <c r="L660" s="4" t="str">
        <f t="shared" si="2"/>
        <v/>
      </c>
    </row>
    <row r="661" ht="14.25" customHeight="1">
      <c r="A661" s="1" t="s">
        <v>3636</v>
      </c>
      <c r="B661" s="1">
        <v>7.1</v>
      </c>
      <c r="C661" s="4" t="str">
        <f>IFERROR(__xludf.DUMMYFUNCTION("""COMPUTED_VALUE"""),"Jason Friedberg")</f>
        <v>Jason Friedberg</v>
      </c>
      <c r="D661" s="4">
        <f t="array" ref="D661">IFERROR(AVERAGEIFS($B$2:$B$3757, $A$2:$A$3757, C661:C4415), "")</f>
        <v>2.6</v>
      </c>
      <c r="E661" s="4">
        <f t="shared" si="1"/>
        <v>0.2</v>
      </c>
      <c r="F661" s="4" t="str">
        <f t="array" ref="F661">IF(D661&gt;=_xlfn.PERCENTILE.INC(D661:D2319, 0.9), "High", "Low")</f>
        <v>Low</v>
      </c>
      <c r="L661" s="4" t="str">
        <f t="shared" si="2"/>
        <v/>
      </c>
    </row>
    <row r="662" ht="14.25" customHeight="1">
      <c r="A662" s="1" t="s">
        <v>1764</v>
      </c>
      <c r="B662" s="1">
        <v>7.5</v>
      </c>
      <c r="C662" s="4" t="str">
        <f>IFERROR(__xludf.DUMMYFUNCTION("""COMPUTED_VALUE"""),"Paul Michael Glaser")</f>
        <v>Paul Michael Glaser</v>
      </c>
      <c r="D662" s="4">
        <f t="array" ref="D662">IFERROR(AVERAGEIFS($B$2:$B$3757, $A$2:$A$3757, C662:C4416), "")</f>
        <v>6.6</v>
      </c>
      <c r="E662" s="4">
        <f t="shared" si="1"/>
        <v>56.2</v>
      </c>
      <c r="F662" s="4" t="str">
        <f t="array" ref="F662">IF(D662&gt;=_xlfn.PERCENTILE.INC(D662:D2320, 0.9), "High", "Low")</f>
        <v>Low</v>
      </c>
      <c r="L662" s="4" t="str">
        <f t="shared" si="2"/>
        <v/>
      </c>
    </row>
    <row r="663" ht="14.25" customHeight="1">
      <c r="A663" s="1" t="s">
        <v>1883</v>
      </c>
      <c r="B663" s="1">
        <v>6.2</v>
      </c>
      <c r="C663" s="4" t="str">
        <f>IFERROR(__xludf.DUMMYFUNCTION("""COMPUTED_VALUE"""),"John R. Leonetti")</f>
        <v>John R. Leonetti</v>
      </c>
      <c r="D663" s="4">
        <f t="array" ref="D663">IFERROR(AVERAGEIFS($B$2:$B$3757, $A$2:$A$3757, C663:C4417), "")</f>
        <v>4.55</v>
      </c>
      <c r="E663" s="4">
        <f t="shared" si="1"/>
        <v>7.4</v>
      </c>
      <c r="F663" s="4" t="str">
        <f t="array" ref="F663">IF(D663&gt;=_xlfn.PERCENTILE.INC(D663:D2321, 0.9), "High", "Low")</f>
        <v>Low</v>
      </c>
      <c r="L663" s="4" t="str">
        <f t="shared" si="2"/>
        <v/>
      </c>
    </row>
    <row r="664" ht="14.25" customHeight="1">
      <c r="A664" s="1" t="s">
        <v>898</v>
      </c>
      <c r="B664" s="1">
        <v>6.3</v>
      </c>
      <c r="C664" s="4" t="str">
        <f>IFERROR(__xludf.DUMMYFUNCTION("""COMPUTED_VALUE"""),"Tom Hanks")</f>
        <v>Tom Hanks</v>
      </c>
      <c r="D664" s="4">
        <f t="array" ref="D664">IFERROR(AVERAGEIFS($B$2:$B$3757, $A$2:$A$3757, C664:C4418), "")</f>
        <v>6.5</v>
      </c>
      <c r="E664" s="4">
        <f t="shared" si="1"/>
        <v>51.5</v>
      </c>
      <c r="F664" s="4" t="str">
        <f t="array" ref="F664">IF(D664&gt;=_xlfn.PERCENTILE.INC(D664:D2322, 0.9), "High", "Low")</f>
        <v>Low</v>
      </c>
      <c r="L664" s="4" t="str">
        <f t="shared" si="2"/>
        <v/>
      </c>
    </row>
    <row r="665" ht="14.25" customHeight="1">
      <c r="A665" s="1" t="s">
        <v>381</v>
      </c>
      <c r="B665" s="1">
        <v>8.1</v>
      </c>
      <c r="C665" s="4" t="str">
        <f>IFERROR(__xludf.DUMMYFUNCTION("""COMPUTED_VALUE"""),"Kimberly Peirce")</f>
        <v>Kimberly Peirce</v>
      </c>
      <c r="D665" s="4">
        <f t="array" ref="D665">IFERROR(AVERAGEIFS($B$2:$B$3757, $A$2:$A$3757, C665:C4419), "")</f>
        <v>6.475</v>
      </c>
      <c r="E665" s="4">
        <f t="shared" si="1"/>
        <v>51.3</v>
      </c>
      <c r="F665" s="4" t="str">
        <f t="array" ref="F665">IF(D665&gt;=_xlfn.PERCENTILE.INC(D665:D2323, 0.9), "High", "Low")</f>
        <v>Low</v>
      </c>
      <c r="L665" s="4" t="str">
        <f t="shared" si="2"/>
        <v/>
      </c>
    </row>
    <row r="666" ht="14.25" customHeight="1">
      <c r="A666" s="1" t="s">
        <v>3446</v>
      </c>
      <c r="B666" s="1">
        <v>6.6</v>
      </c>
      <c r="C666" s="4" t="str">
        <f>IFERROR(__xludf.DUMMYFUNCTION("""COMPUTED_VALUE"""),"Liz Friedlander")</f>
        <v>Liz Friedlander</v>
      </c>
      <c r="D666" s="4">
        <f t="array" ref="D666">IFERROR(AVERAGEIFS($B$2:$B$3757, $A$2:$A$3757, C666:C4420), "")</f>
        <v>6.7</v>
      </c>
      <c r="E666" s="4">
        <f t="shared" si="1"/>
        <v>59.4</v>
      </c>
      <c r="F666" s="4" t="str">
        <f t="array" ref="F666">IF(D666&gt;=_xlfn.PERCENTILE.INC(D666:D2324, 0.9), "High", "Low")</f>
        <v>Low</v>
      </c>
      <c r="L666" s="4" t="str">
        <f t="shared" si="2"/>
        <v/>
      </c>
    </row>
    <row r="667" ht="14.25" customHeight="1">
      <c r="A667" s="1" t="s">
        <v>1153</v>
      </c>
      <c r="B667" s="1">
        <v>6.9</v>
      </c>
      <c r="C667" s="4" t="str">
        <f>IFERROR(__xludf.DUMMYFUNCTION("""COMPUTED_VALUE"""),"Phil Joanou")</f>
        <v>Phil Joanou</v>
      </c>
      <c r="D667" s="4">
        <f t="array" ref="D667">IFERROR(AVERAGEIFS($B$2:$B$3757, $A$2:$A$3757, C667:C4421), "")</f>
        <v>6.9</v>
      </c>
      <c r="E667" s="4">
        <f t="shared" si="1"/>
        <v>67.1</v>
      </c>
      <c r="F667" s="4" t="str">
        <f t="array" ref="F667">IF(D667&gt;=_xlfn.PERCENTILE.INC(D667:D2325, 0.9), "High", "Low")</f>
        <v>Low</v>
      </c>
      <c r="L667" s="4" t="str">
        <f t="shared" si="2"/>
        <v/>
      </c>
    </row>
    <row r="668" ht="14.25" customHeight="1">
      <c r="A668" s="1" t="s">
        <v>3673</v>
      </c>
      <c r="B668" s="1">
        <v>6.1</v>
      </c>
      <c r="C668" s="4" t="str">
        <f>IFERROR(__xludf.DUMMYFUNCTION("""COMPUTED_VALUE"""),"Shane Acker")</f>
        <v>Shane Acker</v>
      </c>
      <c r="D668" s="4">
        <f t="array" ref="D668">IFERROR(AVERAGEIFS($B$2:$B$3757, $A$2:$A$3757, C668:C4422), "")</f>
        <v>7.1</v>
      </c>
      <c r="E668" s="4">
        <f t="shared" si="1"/>
        <v>75.4</v>
      </c>
      <c r="F668" s="4" t="str">
        <f t="array" ref="F668">IF(D668&gt;=_xlfn.PERCENTILE.INC(D668:D2326, 0.9), "High", "Low")</f>
        <v>Low</v>
      </c>
      <c r="L668" s="4" t="str">
        <f t="shared" si="2"/>
        <v/>
      </c>
    </row>
    <row r="669" ht="14.25" customHeight="1">
      <c r="A669" s="1" t="s">
        <v>3680</v>
      </c>
      <c r="B669" s="1">
        <v>4.3</v>
      </c>
      <c r="C669" s="4" t="str">
        <f>IFERROR(__xludf.DUMMYFUNCTION("""COMPUTED_VALUE"""),"Stephen J. Anderson")</f>
        <v>Stephen J. Anderson</v>
      </c>
      <c r="D669" s="4">
        <f t="array" ref="D669">IFERROR(AVERAGEIFS($B$2:$B$3757, $A$2:$A$3757, C669:C4423), "")</f>
        <v>7.3</v>
      </c>
      <c r="E669" s="4">
        <f t="shared" si="1"/>
        <v>83.8</v>
      </c>
      <c r="F669" s="4" t="str">
        <f t="array" ref="F669">IF(D669&gt;=_xlfn.PERCENTILE.INC(D669:D2327, 0.9), "High", "Low")</f>
        <v>Low</v>
      </c>
      <c r="L669" s="4" t="str">
        <f t="shared" si="2"/>
        <v/>
      </c>
    </row>
    <row r="670" ht="14.25" customHeight="1">
      <c r="A670" s="1" t="s">
        <v>621</v>
      </c>
      <c r="B670" s="1">
        <v>6.6</v>
      </c>
      <c r="C670" s="4" t="str">
        <f>IFERROR(__xludf.DUMMYFUNCTION("""COMPUTED_VALUE"""),"Troy Miller")</f>
        <v>Troy Miller</v>
      </c>
      <c r="D670" s="4">
        <f t="array" ref="D670">IFERROR(AVERAGEIFS($B$2:$B$3757, $A$2:$A$3757, C670:C4424), "")</f>
        <v>3.4</v>
      </c>
      <c r="E670" s="4">
        <f t="shared" si="1"/>
        <v>2.2</v>
      </c>
      <c r="F670" s="4" t="str">
        <f t="array" ref="F670">IF(D670&gt;=_xlfn.PERCENTILE.INC(D670:D2328, 0.9), "High", "Low")</f>
        <v>Low</v>
      </c>
      <c r="L670" s="4" t="str">
        <f t="shared" si="2"/>
        <v/>
      </c>
    </row>
    <row r="671" ht="14.25" customHeight="1">
      <c r="A671" s="1" t="s">
        <v>3691</v>
      </c>
      <c r="B671" s="1">
        <v>6.8</v>
      </c>
      <c r="C671" s="4" t="str">
        <f>IFERROR(__xludf.DUMMYFUNCTION("""COMPUTED_VALUE"""),"Tate Taylor")</f>
        <v>Tate Taylor</v>
      </c>
      <c r="D671" s="4">
        <f t="array" ref="D671">IFERROR(AVERAGEIFS($B$2:$B$3757, $A$2:$A$3757, C671:C4425), "")</f>
        <v>7.5</v>
      </c>
      <c r="E671" s="4">
        <f t="shared" si="1"/>
        <v>88</v>
      </c>
      <c r="F671" s="4" t="str">
        <f t="array" ref="F671">IF(D671&gt;=_xlfn.PERCENTILE.INC(D671:D2329, 0.9), "High", "Low")</f>
        <v>Low</v>
      </c>
      <c r="L671" s="4" t="str">
        <f t="shared" si="2"/>
        <v/>
      </c>
    </row>
    <row r="672" ht="14.25" customHeight="1">
      <c r="A672" s="1" t="s">
        <v>3696</v>
      </c>
      <c r="B672" s="1">
        <v>3.8</v>
      </c>
      <c r="C672" s="4" t="str">
        <f>IFERROR(__xludf.DUMMYFUNCTION("""COMPUTED_VALUE"""),"Brett Leonard")</f>
        <v>Brett Leonard</v>
      </c>
      <c r="D672" s="4">
        <f t="array" ref="D672">IFERROR(AVERAGEIFS($B$2:$B$3757, $A$2:$A$3757, C672:C4426), "")</f>
        <v>5.45</v>
      </c>
      <c r="E672" s="4">
        <f t="shared" si="1"/>
        <v>20.4</v>
      </c>
      <c r="F672" s="4" t="str">
        <f t="array" ref="F672">IF(D672&gt;=_xlfn.PERCENTILE.INC(D672:D2330, 0.9), "High", "Low")</f>
        <v>Low</v>
      </c>
      <c r="L672" s="4" t="str">
        <f t="shared" si="2"/>
        <v/>
      </c>
    </row>
    <row r="673" ht="14.25" customHeight="1">
      <c r="A673" s="1" t="s">
        <v>3702</v>
      </c>
      <c r="B673" s="1">
        <v>5.9</v>
      </c>
      <c r="C673" s="4" t="str">
        <f>IFERROR(__xludf.DUMMYFUNCTION("""COMPUTED_VALUE"""),"Alister Grierson")</f>
        <v>Alister Grierson</v>
      </c>
      <c r="D673" s="4">
        <f t="array" ref="D673">IFERROR(AVERAGEIFS($B$2:$B$3757, $A$2:$A$3757, C673:C4427), "")</f>
        <v>5.9</v>
      </c>
      <c r="E673" s="4">
        <f t="shared" si="1"/>
        <v>30.8</v>
      </c>
      <c r="F673" s="4" t="str">
        <f t="array" ref="F673">IF(D673&gt;=_xlfn.PERCENTILE.INC(D673:D2331, 0.9), "High", "Low")</f>
        <v>Low</v>
      </c>
      <c r="L673" s="4" t="str">
        <f t="shared" si="2"/>
        <v/>
      </c>
    </row>
    <row r="674" ht="14.25" customHeight="1">
      <c r="A674" s="1" t="s">
        <v>1681</v>
      </c>
      <c r="B674" s="1">
        <v>7.9</v>
      </c>
      <c r="C674" s="4" t="str">
        <f>IFERROR(__xludf.DUMMYFUNCTION("""COMPUTED_VALUE"""),"Nick Hurran")</f>
        <v>Nick Hurran</v>
      </c>
      <c r="D674" s="4">
        <f t="array" ref="D674">IFERROR(AVERAGEIFS($B$2:$B$3757, $A$2:$A$3757, C674:C4428), "")</f>
        <v>5.2</v>
      </c>
      <c r="E674" s="4">
        <f t="shared" si="1"/>
        <v>14.2</v>
      </c>
      <c r="F674" s="4" t="str">
        <f t="array" ref="F674">IF(D674&gt;=_xlfn.PERCENTILE.INC(D674:D2332, 0.9), "High", "Low")</f>
        <v>Low</v>
      </c>
      <c r="L674" s="4" t="str">
        <f t="shared" si="2"/>
        <v/>
      </c>
    </row>
    <row r="675" ht="14.25" customHeight="1">
      <c r="A675" s="1" t="s">
        <v>3712</v>
      </c>
      <c r="B675" s="1">
        <v>6.3</v>
      </c>
      <c r="C675" s="4" t="str">
        <f>IFERROR(__xludf.DUMMYFUNCTION("""COMPUTED_VALUE"""),"Charles Stone III")</f>
        <v>Charles Stone III</v>
      </c>
      <c r="D675" s="4">
        <f t="array" ref="D675">IFERROR(AVERAGEIFS($B$2:$B$3757, $A$2:$A$3757, C675:C4429), "")</f>
        <v>5.6</v>
      </c>
      <c r="E675" s="4">
        <f t="shared" si="1"/>
        <v>22.6</v>
      </c>
      <c r="F675" s="4" t="str">
        <f t="array" ref="F675">IF(D675&gt;=_xlfn.PERCENTILE.INC(D675:D2333, 0.9), "High", "Low")</f>
        <v>Low</v>
      </c>
      <c r="L675" s="4" t="str">
        <f t="shared" si="2"/>
        <v/>
      </c>
    </row>
    <row r="676" ht="14.25" customHeight="1">
      <c r="A676" s="1" t="s">
        <v>3717</v>
      </c>
      <c r="B676" s="1">
        <v>5.5</v>
      </c>
      <c r="C676" s="4" t="str">
        <f>IFERROR(__xludf.DUMMYFUNCTION("""COMPUTED_VALUE"""),"Paul Haggis")</f>
        <v>Paul Haggis</v>
      </c>
      <c r="D676" s="4">
        <f t="array" ref="D676">IFERROR(AVERAGEIFS($B$2:$B$3757, $A$2:$A$3757, C676:C4430), "")</f>
        <v>7.733333333</v>
      </c>
      <c r="E676" s="4">
        <f t="shared" si="1"/>
        <v>94.7</v>
      </c>
      <c r="F676" s="4" t="str">
        <f t="array" ref="F676">IF(D676&gt;=_xlfn.PERCENTILE.INC(D676:D2334, 0.9), "High", "Low")</f>
        <v>High</v>
      </c>
      <c r="L676" s="4" t="str">
        <f t="shared" si="2"/>
        <v/>
      </c>
    </row>
    <row r="677" ht="14.25" customHeight="1">
      <c r="A677" s="1" t="s">
        <v>103</v>
      </c>
      <c r="B677" s="1">
        <v>7.7</v>
      </c>
      <c r="C677" s="4" t="str">
        <f>IFERROR(__xludf.DUMMYFUNCTION("""COMPUTED_VALUE"""),"Kurt Wimmer")</f>
        <v>Kurt Wimmer</v>
      </c>
      <c r="D677" s="4">
        <f t="array" ref="D677">IFERROR(AVERAGEIFS($B$2:$B$3757, $A$2:$A$3757, C677:C4431), "")</f>
        <v>5.95</v>
      </c>
      <c r="E677" s="4">
        <f t="shared" si="1"/>
        <v>34.2</v>
      </c>
      <c r="F677" s="4" t="str">
        <f t="array" ref="F677">IF(D677&gt;=_xlfn.PERCENTILE.INC(D677:D2335, 0.9), "High", "Low")</f>
        <v>Low</v>
      </c>
      <c r="L677" s="4" t="str">
        <f t="shared" si="2"/>
        <v/>
      </c>
    </row>
    <row r="678" ht="14.25" customHeight="1">
      <c r="A678" s="1" t="s">
        <v>1883</v>
      </c>
      <c r="B678" s="1">
        <v>6.3</v>
      </c>
      <c r="C678" s="4" t="str">
        <f>IFERROR(__xludf.DUMMYFUNCTION("""COMPUTED_VALUE"""),"Jean-FranÃ§ois Richet")</f>
        <v>Jean-FranÃ§ois Richet</v>
      </c>
      <c r="D678" s="4">
        <f t="array" ref="D678">IFERROR(AVERAGEIFS($B$2:$B$3757, $A$2:$A$3757, C678:C4432), "")</f>
        <v>6.3</v>
      </c>
      <c r="E678" s="4">
        <f t="shared" si="1"/>
        <v>43.9</v>
      </c>
      <c r="F678" s="4" t="str">
        <f t="array" ref="F678">IF(D678&gt;=_xlfn.PERCENTILE.INC(D678:D2336, 0.9), "High", "Low")</f>
        <v>Low</v>
      </c>
      <c r="L678" s="4" t="str">
        <f t="shared" si="2"/>
        <v/>
      </c>
    </row>
    <row r="679" ht="14.25" customHeight="1">
      <c r="A679" s="1" t="s">
        <v>3729</v>
      </c>
      <c r="B679" s="1">
        <v>7.1</v>
      </c>
      <c r="C679" s="4" t="str">
        <f>IFERROR(__xludf.DUMMYFUNCTION("""COMPUTED_VALUE"""),"Kevin Hooks")</f>
        <v>Kevin Hooks</v>
      </c>
      <c r="D679" s="4">
        <f t="array" ref="D679">IFERROR(AVERAGEIFS($B$2:$B$3757, $A$2:$A$3757, C679:C4433), "")</f>
        <v>5.3</v>
      </c>
      <c r="E679" s="4">
        <f t="shared" si="1"/>
        <v>16</v>
      </c>
      <c r="F679" s="4" t="str">
        <f t="array" ref="F679">IF(D679&gt;=_xlfn.PERCENTILE.INC(D679:D2337, 0.9), "High", "Low")</f>
        <v>Low</v>
      </c>
      <c r="L679" s="4" t="str">
        <f t="shared" si="2"/>
        <v/>
      </c>
    </row>
    <row r="680" ht="14.25" customHeight="1">
      <c r="A680" s="1" t="s">
        <v>3093</v>
      </c>
      <c r="B680" s="1">
        <v>8.5</v>
      </c>
      <c r="C680" s="4" t="str">
        <f>IFERROR(__xludf.DUMMYFUNCTION("""COMPUTED_VALUE"""),"Ellory Elkayem")</f>
        <v>Ellory Elkayem</v>
      </c>
      <c r="D680" s="4">
        <f t="array" ref="D680">IFERROR(AVERAGEIFS($B$2:$B$3757, $A$2:$A$3757, C680:C4434), "")</f>
        <v>5.4</v>
      </c>
      <c r="E680" s="4">
        <f t="shared" si="1"/>
        <v>18.3</v>
      </c>
      <c r="F680" s="4" t="str">
        <f t="array" ref="F680">IF(D680&gt;=_xlfn.PERCENTILE.INC(D680:D2338, 0.9), "High", "Low")</f>
        <v>Low</v>
      </c>
      <c r="L680" s="4" t="str">
        <f t="shared" si="2"/>
        <v/>
      </c>
    </row>
    <row r="681" ht="14.25" customHeight="1">
      <c r="A681" s="1" t="s">
        <v>1693</v>
      </c>
      <c r="B681" s="1">
        <v>5.8</v>
      </c>
      <c r="C681" s="4" t="str">
        <f>IFERROR(__xludf.DUMMYFUNCTION("""COMPUTED_VALUE"""),"Niki Caro")</f>
        <v>Niki Caro</v>
      </c>
      <c r="D681" s="4">
        <f t="array" ref="D681">IFERROR(AVERAGEIFS($B$2:$B$3757, $A$2:$A$3757, C681:C4435), "")</f>
        <v>7.433333333</v>
      </c>
      <c r="E681" s="4">
        <f t="shared" si="1"/>
        <v>87.6</v>
      </c>
      <c r="F681" s="4" t="str">
        <f t="array" ref="F681">IF(D681&gt;=_xlfn.PERCENTILE.INC(D681:D2339, 0.9), "High", "Low")</f>
        <v>Low</v>
      </c>
      <c r="L681" s="4" t="str">
        <f t="shared" si="2"/>
        <v/>
      </c>
    </row>
    <row r="682" ht="14.25" customHeight="1">
      <c r="A682" s="1" t="s">
        <v>648</v>
      </c>
      <c r="B682" s="1">
        <v>8.1</v>
      </c>
      <c r="C682" s="4" t="str">
        <f>IFERROR(__xludf.DUMMYFUNCTION("""COMPUTED_VALUE"""),"Vincenzo Natali")</f>
        <v>Vincenzo Natali</v>
      </c>
      <c r="D682" s="4">
        <f t="array" ref="D682">IFERROR(AVERAGEIFS($B$2:$B$3757, $A$2:$A$3757, C682:C4436), "")</f>
        <v>6.55</v>
      </c>
      <c r="E682" s="4">
        <f t="shared" si="1"/>
        <v>55.6</v>
      </c>
      <c r="F682" s="4" t="str">
        <f t="array" ref="F682">IF(D682&gt;=_xlfn.PERCENTILE.INC(D682:D2340, 0.9), "High", "Low")</f>
        <v>Low</v>
      </c>
      <c r="L682" s="4" t="str">
        <f t="shared" si="2"/>
        <v/>
      </c>
    </row>
    <row r="683" ht="14.25" customHeight="1">
      <c r="A683" s="1" t="s">
        <v>506</v>
      </c>
      <c r="B683" s="1">
        <v>7.9</v>
      </c>
      <c r="C683" s="4" t="str">
        <f>IFERROR(__xludf.DUMMYFUNCTION("""COMPUTED_VALUE"""),"Willard Huyck")</f>
        <v>Willard Huyck</v>
      </c>
      <c r="D683" s="4">
        <f t="array" ref="D683">IFERROR(AVERAGEIFS($B$2:$B$3757, $A$2:$A$3757, C683:C4437), "")</f>
        <v>4.6</v>
      </c>
      <c r="E683" s="4">
        <f t="shared" si="1"/>
        <v>7.5</v>
      </c>
      <c r="F683" s="4" t="str">
        <f t="array" ref="F683">IF(D683&gt;=_xlfn.PERCENTILE.INC(D683:D2341, 0.9), "High", "Low")</f>
        <v>Low</v>
      </c>
      <c r="L683" s="4" t="str">
        <f t="shared" si="2"/>
        <v/>
      </c>
    </row>
    <row r="684" ht="14.25" customHeight="1">
      <c r="A684" s="1" t="s">
        <v>305</v>
      </c>
      <c r="B684" s="1">
        <v>7.2</v>
      </c>
      <c r="C684" s="4" t="str">
        <f>IFERROR(__xludf.DUMMYFUNCTION("""COMPUTED_VALUE"""),"Gavin O'Connor")</f>
        <v>Gavin O'Connor</v>
      </c>
      <c r="D684" s="4">
        <f t="array" ref="D684">IFERROR(AVERAGEIFS($B$2:$B$3757, $A$2:$A$3757, C684:C4438), "")</f>
        <v>6.98</v>
      </c>
      <c r="E684" s="4">
        <f t="shared" si="1"/>
        <v>70.9</v>
      </c>
      <c r="F684" s="4" t="str">
        <f t="array" ref="F684">IF(D684&gt;=_xlfn.PERCENTILE.INC(D684:D2342, 0.9), "High", "Low")</f>
        <v>Low</v>
      </c>
      <c r="L684" s="4" t="str">
        <f t="shared" si="2"/>
        <v/>
      </c>
    </row>
    <row r="685" ht="14.25" customHeight="1">
      <c r="A685" s="1" t="s">
        <v>1700</v>
      </c>
      <c r="B685" s="1">
        <v>6.3</v>
      </c>
      <c r="C685" s="4" t="str">
        <f>IFERROR(__xludf.DUMMYFUNCTION("""COMPUTED_VALUE"""),"Bruce Hunt")</f>
        <v>Bruce Hunt</v>
      </c>
      <c r="D685" s="4">
        <f t="array" ref="D685">IFERROR(AVERAGEIFS($B$2:$B$3757, $A$2:$A$3757, C685:C4439), "")</f>
        <v>5.1</v>
      </c>
      <c r="E685" s="4">
        <f t="shared" si="1"/>
        <v>12.2</v>
      </c>
      <c r="F685" s="4" t="str">
        <f t="array" ref="F685">IF(D685&gt;=_xlfn.PERCENTILE.INC(D685:D2343, 0.9), "High", "Low")</f>
        <v>Low</v>
      </c>
      <c r="L685" s="4" t="str">
        <f t="shared" si="2"/>
        <v/>
      </c>
    </row>
    <row r="686" ht="14.25" customHeight="1">
      <c r="A686" s="1" t="s">
        <v>1059</v>
      </c>
      <c r="B686" s="1">
        <v>8.1</v>
      </c>
      <c r="C686" s="4" t="str">
        <f>IFERROR(__xludf.DUMMYFUNCTION("""COMPUTED_VALUE"""),"Craig Gillespie")</f>
        <v>Craig Gillespie</v>
      </c>
      <c r="D686" s="4">
        <f t="array" ref="D686">IFERROR(AVERAGEIFS($B$2:$B$3757, $A$2:$A$3757, C686:C4440), "")</f>
        <v>6.933333333</v>
      </c>
      <c r="E686" s="4">
        <f t="shared" si="1"/>
        <v>70.4</v>
      </c>
      <c r="F686" s="4" t="str">
        <f t="array" ref="F686">IF(D686&gt;=_xlfn.PERCENTILE.INC(D686:D2344, 0.9), "High", "Low")</f>
        <v>Low</v>
      </c>
      <c r="L686" s="4" t="str">
        <f t="shared" si="2"/>
        <v/>
      </c>
    </row>
    <row r="687" ht="14.25" customHeight="1">
      <c r="A687" s="1" t="s">
        <v>3766</v>
      </c>
      <c r="B687" s="1">
        <v>7.0</v>
      </c>
      <c r="C687" s="4" t="str">
        <f>IFERROR(__xludf.DUMMYFUNCTION("""COMPUTED_VALUE"""),"Chris Roberts")</f>
        <v>Chris Roberts</v>
      </c>
      <c r="D687" s="4">
        <f t="array" ref="D687">IFERROR(AVERAGEIFS($B$2:$B$3757, $A$2:$A$3757, C687:C4441), "")</f>
        <v>4.1</v>
      </c>
      <c r="E687" s="4">
        <f t="shared" si="1"/>
        <v>4.6</v>
      </c>
      <c r="F687" s="4" t="str">
        <f t="array" ref="F687">IF(D687&gt;=_xlfn.PERCENTILE.INC(D687:D2345, 0.9), "High", "Low")</f>
        <v>Low</v>
      </c>
      <c r="L687" s="4" t="str">
        <f t="shared" si="2"/>
        <v/>
      </c>
    </row>
    <row r="688" ht="14.25" customHeight="1">
      <c r="A688" s="1" t="s">
        <v>3067</v>
      </c>
      <c r="B688" s="1">
        <v>5.5</v>
      </c>
      <c r="C688" s="4" t="str">
        <f>IFERROR(__xludf.DUMMYFUNCTION("""COMPUTED_VALUE"""),"Jee-woon Kim")</f>
        <v>Jee-woon Kim</v>
      </c>
      <c r="D688" s="4">
        <f t="array" ref="D688">IFERROR(AVERAGEIFS($B$2:$B$3757, $A$2:$A$3757, C688:C4442), "")</f>
        <v>6.85</v>
      </c>
      <c r="E688" s="4">
        <f t="shared" si="1"/>
        <v>66.5</v>
      </c>
      <c r="F688" s="4" t="str">
        <f t="array" ref="F688">IF(D688&gt;=_xlfn.PERCENTILE.INC(D688:D2346, 0.9), "High", "Low")</f>
        <v>Low</v>
      </c>
      <c r="L688" s="4" t="str">
        <f t="shared" si="2"/>
        <v/>
      </c>
    </row>
    <row r="689" ht="14.25" customHeight="1">
      <c r="A689" s="1" t="s">
        <v>3636</v>
      </c>
      <c r="B689" s="1">
        <v>6.7</v>
      </c>
      <c r="C689" s="4" t="str">
        <f>IFERROR(__xludf.DUMMYFUNCTION("""COMPUTED_VALUE"""),"Nick Hamm")</f>
        <v>Nick Hamm</v>
      </c>
      <c r="D689" s="4">
        <f t="array" ref="D689">IFERROR(AVERAGEIFS($B$2:$B$3757, $A$2:$A$3757, C689:C4443), "")</f>
        <v>4.8</v>
      </c>
      <c r="E689" s="4">
        <f t="shared" si="1"/>
        <v>9.4</v>
      </c>
      <c r="F689" s="4" t="str">
        <f t="array" ref="F689">IF(D689&gt;=_xlfn.PERCENTILE.INC(D689:D2347, 0.9), "High", "Low")</f>
        <v>Low</v>
      </c>
      <c r="L689" s="4" t="str">
        <f t="shared" si="2"/>
        <v/>
      </c>
    </row>
    <row r="690" ht="14.25" customHeight="1">
      <c r="A690" s="1" t="s">
        <v>1806</v>
      </c>
      <c r="B690" s="1">
        <v>5.2</v>
      </c>
      <c r="C690" s="4" t="str">
        <f>IFERROR(__xludf.DUMMYFUNCTION("""COMPUTED_VALUE"""),"Andy Cadiff")</f>
        <v>Andy Cadiff</v>
      </c>
      <c r="D690" s="4">
        <f t="array" ref="D690">IFERROR(AVERAGEIFS($B$2:$B$3757, $A$2:$A$3757, C690:C4444), "")</f>
        <v>6.1</v>
      </c>
      <c r="E690" s="4">
        <f t="shared" si="1"/>
        <v>37.3</v>
      </c>
      <c r="F690" s="4" t="str">
        <f t="array" ref="F690">IF(D690&gt;=_xlfn.PERCENTILE.INC(D690:D2348, 0.9), "High", "Low")</f>
        <v>Low</v>
      </c>
      <c r="L690" s="4" t="str">
        <f t="shared" si="2"/>
        <v/>
      </c>
    </row>
    <row r="691" ht="14.25" customHeight="1">
      <c r="A691" s="1" t="s">
        <v>2928</v>
      </c>
      <c r="B691" s="1">
        <v>7.0</v>
      </c>
      <c r="C691" s="4" t="str">
        <f>IFERROR(__xludf.DUMMYFUNCTION("""COMPUTED_VALUE"""),"Mike Disa")</f>
        <v>Mike Disa</v>
      </c>
      <c r="D691" s="4">
        <f t="array" ref="D691">IFERROR(AVERAGEIFS($B$2:$B$3757, $A$2:$A$3757, C691:C4445), "")</f>
        <v>4.8</v>
      </c>
      <c r="E691" s="4">
        <f t="shared" si="1"/>
        <v>9.4</v>
      </c>
      <c r="F691" s="4" t="str">
        <f t="array" ref="F691">IF(D691&gt;=_xlfn.PERCENTILE.INC(D691:D2349, 0.9), "High", "Low")</f>
        <v>Low</v>
      </c>
      <c r="L691" s="4" t="str">
        <f t="shared" si="2"/>
        <v/>
      </c>
    </row>
    <row r="692" ht="14.25" customHeight="1">
      <c r="A692" s="1" t="s">
        <v>3791</v>
      </c>
      <c r="B692" s="1">
        <v>6.1</v>
      </c>
      <c r="C692" s="4" t="str">
        <f>IFERROR(__xludf.DUMMYFUNCTION("""COMPUTED_VALUE"""),"Sergio Leone")</f>
        <v>Sergio Leone</v>
      </c>
      <c r="D692" s="4">
        <f t="array" ref="D692">IFERROR(AVERAGEIFS($B$2:$B$3757, $A$2:$A$3757, C692:C4446), "")</f>
        <v>8.433333333</v>
      </c>
      <c r="E692" s="4">
        <f t="shared" si="1"/>
        <v>99.3</v>
      </c>
      <c r="F692" s="4" t="str">
        <f t="array" ref="F692">IF(D692&gt;=_xlfn.PERCENTILE.INC(D692:D2350, 0.9), "High", "Low")</f>
        <v>High</v>
      </c>
      <c r="L692" s="4" t="str">
        <f t="shared" si="2"/>
        <v/>
      </c>
    </row>
    <row r="693" ht="14.25" customHeight="1">
      <c r="A693" s="1" t="s">
        <v>764</v>
      </c>
      <c r="B693" s="1">
        <v>6.6</v>
      </c>
      <c r="C693" s="4" t="str">
        <f>IFERROR(__xludf.DUMMYFUNCTION("""COMPUTED_VALUE"""),"Niels Arden Oplev")</f>
        <v>Niels Arden Oplev</v>
      </c>
      <c r="D693" s="4">
        <f t="array" ref="D693">IFERROR(AVERAGEIFS($B$2:$B$3757, $A$2:$A$3757, C693:C4447), "")</f>
        <v>6.5</v>
      </c>
      <c r="E693" s="4">
        <f t="shared" si="1"/>
        <v>51.3</v>
      </c>
      <c r="F693" s="4" t="str">
        <f t="array" ref="F693">IF(D693&gt;=_xlfn.PERCENTILE.INC(D693:D2351, 0.9), "High", "Low")</f>
        <v>Low</v>
      </c>
      <c r="L693" s="4" t="str">
        <f t="shared" si="2"/>
        <v/>
      </c>
    </row>
    <row r="694" ht="14.25" customHeight="1">
      <c r="A694" s="1" t="s">
        <v>3801</v>
      </c>
      <c r="B694" s="1">
        <v>5.5</v>
      </c>
      <c r="C694" s="4" t="str">
        <f>IFERROR(__xludf.DUMMYFUNCTION("""COMPUTED_VALUE"""),"Michael Radford")</f>
        <v>Michael Radford</v>
      </c>
      <c r="D694" s="4">
        <f t="array" ref="D694">IFERROR(AVERAGEIFS($B$2:$B$3757, $A$2:$A$3757, C694:C4448), "")</f>
        <v>7.1</v>
      </c>
      <c r="E694" s="4">
        <f t="shared" si="1"/>
        <v>75.4</v>
      </c>
      <c r="F694" s="4" t="str">
        <f t="array" ref="F694">IF(D694&gt;=_xlfn.PERCENTILE.INC(D694:D2352, 0.9), "High", "Low")</f>
        <v>Low</v>
      </c>
      <c r="L694" s="4" t="str">
        <f t="shared" si="2"/>
        <v/>
      </c>
    </row>
    <row r="695" ht="14.25" customHeight="1">
      <c r="A695" s="1" t="s">
        <v>1656</v>
      </c>
      <c r="B695" s="1">
        <v>5.9</v>
      </c>
      <c r="C695" s="4" t="str">
        <f>IFERROR(__xludf.DUMMYFUNCTION("""COMPUTED_VALUE"""),"Kaige Chen")</f>
        <v>Kaige Chen</v>
      </c>
      <c r="D695" s="4">
        <f t="array" ref="D695">IFERROR(AVERAGEIFS($B$2:$B$3757, $A$2:$A$3757, C695:C4449), "")</f>
        <v>5.6</v>
      </c>
      <c r="E695" s="4">
        <f t="shared" si="1"/>
        <v>22.4</v>
      </c>
      <c r="F695" s="4" t="str">
        <f t="array" ref="F695">IF(D695&gt;=_xlfn.PERCENTILE.INC(D695:D2353, 0.9), "High", "Low")</f>
        <v>Low</v>
      </c>
      <c r="L695" s="4" t="str">
        <f t="shared" si="2"/>
        <v/>
      </c>
    </row>
    <row r="696" ht="14.25" customHeight="1">
      <c r="A696" s="1" t="s">
        <v>2502</v>
      </c>
      <c r="B696" s="1">
        <v>5.4</v>
      </c>
      <c r="C696" s="4" t="str">
        <f>IFERROR(__xludf.DUMMYFUNCTION("""COMPUTED_VALUE"""),"Corey Yuen")</f>
        <v>Corey Yuen</v>
      </c>
      <c r="D696" s="4">
        <f t="array" ref="D696">IFERROR(AVERAGEIFS($B$2:$B$3757, $A$2:$A$3757, C696:C4450), "")</f>
        <v>4.8</v>
      </c>
      <c r="E696" s="4">
        <f t="shared" si="1"/>
        <v>9.4</v>
      </c>
      <c r="F696" s="4" t="str">
        <f t="array" ref="F696">IF(D696&gt;=_xlfn.PERCENTILE.INC(D696:D2354, 0.9), "High", "Low")</f>
        <v>Low</v>
      </c>
      <c r="L696" s="4" t="str">
        <f t="shared" si="2"/>
        <v/>
      </c>
    </row>
    <row r="697" ht="14.25" customHeight="1">
      <c r="A697" s="1" t="s">
        <v>3814</v>
      </c>
      <c r="B697" s="1">
        <v>6.4</v>
      </c>
      <c r="C697" s="4" t="str">
        <f>IFERROR(__xludf.DUMMYFUNCTION("""COMPUTED_VALUE"""),"Andrew Dominik")</f>
        <v>Andrew Dominik</v>
      </c>
      <c r="D697" s="4">
        <f t="array" ref="D697">IFERROR(AVERAGEIFS($B$2:$B$3757, $A$2:$A$3757, C697:C4451), "")</f>
        <v>6.85</v>
      </c>
      <c r="E697" s="4">
        <f t="shared" si="1"/>
        <v>66.5</v>
      </c>
      <c r="F697" s="4" t="str">
        <f t="array" ref="F697">IF(D697&gt;=_xlfn.PERCENTILE.INC(D697:D2355, 0.9), "High", "Low")</f>
        <v>Low</v>
      </c>
      <c r="L697" s="4" t="str">
        <f t="shared" si="2"/>
        <v/>
      </c>
    </row>
    <row r="698" ht="14.25" customHeight="1">
      <c r="A698" s="1" t="s">
        <v>3820</v>
      </c>
      <c r="B698" s="1">
        <v>5.7</v>
      </c>
      <c r="C698" s="4" t="str">
        <f>IFERROR(__xludf.DUMMYFUNCTION("""COMPUTED_VALUE"""),"Li Zhang")</f>
        <v>Li Zhang</v>
      </c>
      <c r="D698" s="4">
        <f t="array" ref="D698">IFERROR(AVERAGEIFS($B$2:$B$3757, $A$2:$A$3757, C698:C4452), "")</f>
        <v>6</v>
      </c>
      <c r="E698" s="4">
        <f t="shared" si="1"/>
        <v>34.3</v>
      </c>
      <c r="F698" s="4" t="str">
        <f t="array" ref="F698">IF(D698&gt;=_xlfn.PERCENTILE.INC(D698:D2356, 0.9), "High", "Low")</f>
        <v>Low</v>
      </c>
      <c r="L698" s="4" t="str">
        <f t="shared" si="2"/>
        <v/>
      </c>
    </row>
    <row r="699" ht="14.25" customHeight="1">
      <c r="A699" s="1" t="s">
        <v>252</v>
      </c>
      <c r="B699" s="1">
        <v>6.7</v>
      </c>
      <c r="C699" s="4" t="str">
        <f>IFERROR(__xludf.DUMMYFUNCTION("""COMPUTED_VALUE"""),"Elizabeth Banks")</f>
        <v>Elizabeth Banks</v>
      </c>
      <c r="D699" s="4">
        <f t="array" ref="D699">IFERROR(AVERAGEIFS($B$2:$B$3757, $A$2:$A$3757, C699:C4453), "")</f>
        <v>5.4</v>
      </c>
      <c r="E699" s="4">
        <f t="shared" si="1"/>
        <v>18.1</v>
      </c>
      <c r="F699" s="4" t="str">
        <f t="array" ref="F699">IF(D699&gt;=_xlfn.PERCENTILE.INC(D699:D2357, 0.9), "High", "Low")</f>
        <v>Low</v>
      </c>
      <c r="L699" s="4" t="str">
        <f t="shared" si="2"/>
        <v/>
      </c>
    </row>
    <row r="700" ht="14.25" customHeight="1">
      <c r="A700" s="1" t="s">
        <v>1205</v>
      </c>
      <c r="B700" s="1">
        <v>7.1</v>
      </c>
      <c r="C700" s="4" t="str">
        <f>IFERROR(__xludf.DUMMYFUNCTION("""COMPUTED_VALUE"""),"Edward Norton")</f>
        <v>Edward Norton</v>
      </c>
      <c r="D700" s="4">
        <f t="array" ref="D700">IFERROR(AVERAGEIFS($B$2:$B$3757, $A$2:$A$3757, C700:C4454), "")</f>
        <v>6.4</v>
      </c>
      <c r="E700" s="4">
        <f t="shared" si="1"/>
        <v>47.6</v>
      </c>
      <c r="F700" s="4" t="str">
        <f t="array" ref="F700">IF(D700&gt;=_xlfn.PERCENTILE.INC(D700:D2358, 0.9), "High", "Low")</f>
        <v>Low</v>
      </c>
      <c r="L700" s="4" t="str">
        <f t="shared" si="2"/>
        <v/>
      </c>
    </row>
    <row r="701" ht="14.25" customHeight="1">
      <c r="A701" s="1" t="s">
        <v>723</v>
      </c>
      <c r="B701" s="1">
        <v>6.8</v>
      </c>
      <c r="C701" s="4" t="str">
        <f>IFERROR(__xludf.DUMMYFUNCTION("""COMPUTED_VALUE"""),"Ben Falcone")</f>
        <v>Ben Falcone</v>
      </c>
      <c r="D701" s="4">
        <f t="array" ref="D701">IFERROR(AVERAGEIFS($B$2:$B$3757, $A$2:$A$3757, C701:C4455), "")</f>
        <v>5.1</v>
      </c>
      <c r="E701" s="4">
        <f t="shared" si="1"/>
        <v>12</v>
      </c>
      <c r="F701" s="4" t="str">
        <f t="array" ref="F701">IF(D701&gt;=_xlfn.PERCENTILE.INC(D701:D2359, 0.9), "High", "Low")</f>
        <v>Low</v>
      </c>
      <c r="L701" s="4" t="str">
        <f t="shared" si="2"/>
        <v/>
      </c>
    </row>
    <row r="702" ht="14.25" customHeight="1">
      <c r="A702" s="1" t="s">
        <v>3834</v>
      </c>
      <c r="B702" s="1">
        <v>6.5</v>
      </c>
      <c r="C702" s="4" t="str">
        <f>IFERROR(__xludf.DUMMYFUNCTION("""COMPUTED_VALUE"""),"Richard Attenborough")</f>
        <v>Richard Attenborough</v>
      </c>
      <c r="D702" s="4">
        <f t="array" ref="D702">IFERROR(AVERAGEIFS($B$2:$B$3757, $A$2:$A$3757, C702:C4456), "")</f>
        <v>7.433333333</v>
      </c>
      <c r="E702" s="4">
        <f t="shared" si="1"/>
        <v>87.5</v>
      </c>
      <c r="F702" s="4" t="str">
        <f t="array" ref="F702">IF(D702&gt;=_xlfn.PERCENTILE.INC(D702:D2360, 0.9), "High", "Low")</f>
        <v>Low</v>
      </c>
      <c r="L702" s="4" t="str">
        <f t="shared" si="2"/>
        <v/>
      </c>
    </row>
    <row r="703" ht="14.25" customHeight="1">
      <c r="A703" s="1" t="s">
        <v>1555</v>
      </c>
      <c r="B703" s="1">
        <v>7.6</v>
      </c>
      <c r="C703" s="4" t="str">
        <f>IFERROR(__xludf.DUMMYFUNCTION("""COMPUTED_VALUE"""),"Don Mancini")</f>
        <v>Don Mancini</v>
      </c>
      <c r="D703" s="4">
        <f t="array" ref="D703">IFERROR(AVERAGEIFS($B$2:$B$3757, $A$2:$A$3757, C703:C4457), "")</f>
        <v>4.9</v>
      </c>
      <c r="E703" s="4">
        <f t="shared" si="1"/>
        <v>10.2</v>
      </c>
      <c r="F703" s="4" t="str">
        <f t="array" ref="F703">IF(D703&gt;=_xlfn.PERCENTILE.INC(D703:D2361, 0.9), "High", "Low")</f>
        <v>Low</v>
      </c>
      <c r="L703" s="4" t="str">
        <f t="shared" si="2"/>
        <v/>
      </c>
    </row>
    <row r="704" ht="14.25" customHeight="1">
      <c r="A704" s="1" t="s">
        <v>1674</v>
      </c>
      <c r="B704" s="1">
        <v>5.5</v>
      </c>
      <c r="C704" s="4" t="str">
        <f>IFERROR(__xludf.DUMMYFUNCTION("""COMPUTED_VALUE"""),"John Maybury")</f>
        <v>John Maybury</v>
      </c>
      <c r="D704" s="4">
        <f t="array" ref="D704">IFERROR(AVERAGEIFS($B$2:$B$3757, $A$2:$A$3757, C704:C4458), "")</f>
        <v>7.1</v>
      </c>
      <c r="E704" s="4">
        <f t="shared" si="1"/>
        <v>75.3</v>
      </c>
      <c r="F704" s="4" t="str">
        <f t="array" ref="F704">IF(D704&gt;=_xlfn.PERCENTILE.INC(D704:D2362, 0.9), "High", "Low")</f>
        <v>Low</v>
      </c>
      <c r="L704" s="4" t="str">
        <f t="shared" si="2"/>
        <v/>
      </c>
    </row>
    <row r="705" ht="14.25" customHeight="1">
      <c r="A705" s="1" t="s">
        <v>3846</v>
      </c>
      <c r="B705" s="1">
        <v>6.5</v>
      </c>
      <c r="C705" s="4" t="str">
        <f>IFERROR(__xludf.DUMMYFUNCTION("""COMPUTED_VALUE"""),"Igor Kovalyov")</f>
        <v>Igor Kovalyov</v>
      </c>
      <c r="D705" s="4">
        <f t="array" ref="D705">IFERROR(AVERAGEIFS($B$2:$B$3757, $A$2:$A$3757, C705:C4459), "")</f>
        <v>5.9</v>
      </c>
      <c r="E705" s="4">
        <f t="shared" si="1"/>
        <v>30.3</v>
      </c>
      <c r="F705" s="4" t="str">
        <f t="array" ref="F705">IF(D705&gt;=_xlfn.PERCENTILE.INC(D705:D2363, 0.9), "High", "Low")</f>
        <v>Low</v>
      </c>
      <c r="L705" s="4" t="str">
        <f t="shared" si="2"/>
        <v/>
      </c>
    </row>
    <row r="706" ht="14.25" customHeight="1">
      <c r="A706" s="1" t="s">
        <v>849</v>
      </c>
      <c r="B706" s="1">
        <v>7.0</v>
      </c>
      <c r="C706" s="4" t="str">
        <f>IFERROR(__xludf.DUMMYFUNCTION("""COMPUTED_VALUE"""),"David Wain")</f>
        <v>David Wain</v>
      </c>
      <c r="D706" s="4">
        <f t="array" ref="D706">IFERROR(AVERAGEIFS($B$2:$B$3757, $A$2:$A$3757, C706:C4460), "")</f>
        <v>5.95</v>
      </c>
      <c r="E706" s="4">
        <f t="shared" si="1"/>
        <v>33.9</v>
      </c>
      <c r="F706" s="4" t="str">
        <f t="array" ref="F706">IF(D706&gt;=_xlfn.PERCENTILE.INC(D706:D2364, 0.9), "High", "Low")</f>
        <v>Low</v>
      </c>
      <c r="L706" s="4" t="str">
        <f t="shared" si="2"/>
        <v/>
      </c>
    </row>
    <row r="707" ht="14.25" customHeight="1">
      <c r="A707" s="1" t="s">
        <v>1985</v>
      </c>
      <c r="B707" s="1">
        <v>5.8</v>
      </c>
      <c r="C707" s="4" t="str">
        <f>IFERROR(__xludf.DUMMYFUNCTION("""COMPUTED_VALUE"""),"Miguel Arteta")</f>
        <v>Miguel Arteta</v>
      </c>
      <c r="D707" s="4">
        <f t="array" ref="D707">IFERROR(AVERAGEIFS($B$2:$B$3757, $A$2:$A$3757, C707:C4461), "")</f>
        <v>6.45</v>
      </c>
      <c r="E707" s="4">
        <f t="shared" si="1"/>
        <v>50.3</v>
      </c>
      <c r="F707" s="4" t="str">
        <f t="array" ref="F707">IF(D707&gt;=_xlfn.PERCENTILE.INC(D707:D2365, 0.9), "High", "Low")</f>
        <v>Low</v>
      </c>
      <c r="L707" s="4" t="str">
        <f t="shared" si="2"/>
        <v/>
      </c>
    </row>
    <row r="708" ht="14.25" customHeight="1">
      <c r="A708" s="1" t="s">
        <v>3859</v>
      </c>
      <c r="B708" s="1">
        <v>7.3</v>
      </c>
      <c r="C708" s="4" t="str">
        <f>IFERROR(__xludf.DUMMYFUNCTION("""COMPUTED_VALUE"""),"James Gray")</f>
        <v>James Gray</v>
      </c>
      <c r="D708" s="4">
        <f t="array" ref="D708">IFERROR(AVERAGEIFS($B$2:$B$3757, $A$2:$A$3757, C708:C4462), "")</f>
        <v>6.75</v>
      </c>
      <c r="E708" s="4">
        <f t="shared" si="1"/>
        <v>62.6</v>
      </c>
      <c r="F708" s="4" t="str">
        <f t="array" ref="F708">IF(D708&gt;=_xlfn.PERCENTILE.INC(D708:D2366, 0.9), "High", "Low")</f>
        <v>Low</v>
      </c>
      <c r="L708" s="4" t="str">
        <f t="shared" si="2"/>
        <v/>
      </c>
    </row>
    <row r="709" ht="14.25" customHeight="1">
      <c r="A709" s="1" t="s">
        <v>1456</v>
      </c>
      <c r="B709" s="1">
        <v>6.6</v>
      </c>
      <c r="C709" s="4" t="str">
        <f>IFERROR(__xludf.DUMMYFUNCTION("""COMPUTED_VALUE"""),"Janusz Kaminski")</f>
        <v>Janusz Kaminski</v>
      </c>
      <c r="D709" s="4">
        <f t="array" ref="D709">IFERROR(AVERAGEIFS($B$2:$B$3757, $A$2:$A$3757, C709:C4463), "")</f>
        <v>4.8</v>
      </c>
      <c r="E709" s="4">
        <f t="shared" si="1"/>
        <v>9.6</v>
      </c>
      <c r="F709" s="4" t="str">
        <f t="array" ref="F709">IF(D709&gt;=_xlfn.PERCENTILE.INC(D709:D2367, 0.9), "High", "Low")</f>
        <v>Low</v>
      </c>
      <c r="L709" s="4" t="str">
        <f t="shared" si="2"/>
        <v/>
      </c>
    </row>
    <row r="710" ht="14.25" customHeight="1">
      <c r="A710" s="1" t="s">
        <v>3873</v>
      </c>
      <c r="B710" s="1">
        <v>4.4</v>
      </c>
      <c r="C710" s="4" t="str">
        <f>IFERROR(__xludf.DUMMYFUNCTION("""COMPUTED_VALUE"""),"Michael Ritchie")</f>
        <v>Michael Ritchie</v>
      </c>
      <c r="D710" s="4">
        <f t="array" ref="D710">IFERROR(AVERAGEIFS($B$2:$B$3757, $A$2:$A$3757, C710:C4464), "")</f>
        <v>5.65</v>
      </c>
      <c r="E710" s="4">
        <f t="shared" si="1"/>
        <v>25.7</v>
      </c>
      <c r="F710" s="4" t="str">
        <f t="array" ref="F710">IF(D710&gt;=_xlfn.PERCENTILE.INC(D710:D2368, 0.9), "High", "Low")</f>
        <v>Low</v>
      </c>
      <c r="L710" s="4" t="str">
        <f t="shared" si="2"/>
        <v/>
      </c>
    </row>
    <row r="711" ht="14.25" customHeight="1">
      <c r="A711" s="1" t="s">
        <v>3009</v>
      </c>
      <c r="B711" s="1">
        <v>7.7</v>
      </c>
      <c r="C711" s="4" t="str">
        <f>IFERROR(__xludf.DUMMYFUNCTION("""COMPUTED_VALUE"""),"Robert B. Weide")</f>
        <v>Robert B. Weide</v>
      </c>
      <c r="D711" s="4">
        <f t="array" ref="D711">IFERROR(AVERAGEIFS($B$2:$B$3757, $A$2:$A$3757, C711:C4465), "")</f>
        <v>6.5</v>
      </c>
      <c r="E711" s="4">
        <f t="shared" si="1"/>
        <v>51.1</v>
      </c>
      <c r="F711" s="4" t="str">
        <f t="array" ref="F711">IF(D711&gt;=_xlfn.PERCENTILE.INC(D711:D2369, 0.9), "High", "Low")</f>
        <v>Low</v>
      </c>
      <c r="L711" s="4" t="str">
        <f t="shared" si="2"/>
        <v/>
      </c>
    </row>
    <row r="712" ht="14.25" customHeight="1">
      <c r="A712" s="1" t="s">
        <v>875</v>
      </c>
      <c r="B712" s="1">
        <v>5.0</v>
      </c>
      <c r="C712" s="4" t="str">
        <f>IFERROR(__xludf.DUMMYFUNCTION("""COMPUTED_VALUE"""),"Jeff Wadlow")</f>
        <v>Jeff Wadlow</v>
      </c>
      <c r="D712" s="4">
        <f t="array" ref="D712">IFERROR(AVERAGEIFS($B$2:$B$3757, $A$2:$A$3757, C712:C4466), "")</f>
        <v>6.366666667</v>
      </c>
      <c r="E712" s="4">
        <f t="shared" si="1"/>
        <v>47.2</v>
      </c>
      <c r="F712" s="4" t="str">
        <f t="array" ref="F712">IF(D712&gt;=_xlfn.PERCENTILE.INC(D712:D2370, 0.9), "High", "Low")</f>
        <v>Low</v>
      </c>
      <c r="L712" s="4" t="str">
        <f t="shared" si="2"/>
        <v/>
      </c>
    </row>
    <row r="713" ht="14.25" customHeight="1">
      <c r="A713" s="1" t="s">
        <v>1656</v>
      </c>
      <c r="B713" s="1">
        <v>7.7</v>
      </c>
      <c r="C713" s="4" t="str">
        <f>IFERROR(__xludf.DUMMYFUNCTION("""COMPUTED_VALUE"""),"Camille Delamarre")</f>
        <v>Camille Delamarre</v>
      </c>
      <c r="D713" s="4">
        <f t="array" ref="D713">IFERROR(AVERAGEIFS($B$2:$B$3757, $A$2:$A$3757, C713:C4467), "")</f>
        <v>5.4</v>
      </c>
      <c r="E713" s="4">
        <f t="shared" si="1"/>
        <v>18</v>
      </c>
      <c r="F713" s="4" t="str">
        <f t="array" ref="F713">IF(D713&gt;=_xlfn.PERCENTILE.INC(D713:D2371, 0.9), "High", "Low")</f>
        <v>Low</v>
      </c>
      <c r="L713" s="4" t="str">
        <f t="shared" si="2"/>
        <v/>
      </c>
    </row>
    <row r="714" ht="14.25" customHeight="1">
      <c r="A714" s="1" t="s">
        <v>3892</v>
      </c>
      <c r="B714" s="1">
        <v>4.4</v>
      </c>
      <c r="C714" s="4" t="str">
        <f>IFERROR(__xludf.DUMMYFUNCTION("""COMPUTED_VALUE"""),"Malcolm D. Lee")</f>
        <v>Malcolm D. Lee</v>
      </c>
      <c r="D714" s="4">
        <f t="array" ref="D714">IFERROR(AVERAGEIFS($B$2:$B$3757, $A$2:$A$3757, C714:C4468), "")</f>
        <v>5.6</v>
      </c>
      <c r="E714" s="4">
        <f t="shared" si="1"/>
        <v>22.2</v>
      </c>
      <c r="F714" s="4" t="str">
        <f t="array" ref="F714">IF(D714&gt;=_xlfn.PERCENTILE.INC(D714:D2372, 0.9), "High", "Low")</f>
        <v>Low</v>
      </c>
      <c r="L714" s="4" t="str">
        <f t="shared" si="2"/>
        <v/>
      </c>
    </row>
    <row r="715" ht="14.25" customHeight="1">
      <c r="A715" s="1" t="s">
        <v>2436</v>
      </c>
      <c r="B715" s="1">
        <v>6.1</v>
      </c>
      <c r="C715" s="4" t="str">
        <f>IFERROR(__xludf.DUMMYFUNCTION("""COMPUTED_VALUE"""),"David Lean")</f>
        <v>David Lean</v>
      </c>
      <c r="D715" s="4">
        <f t="array" ref="D715">IFERROR(AVERAGEIFS($B$2:$B$3757, $A$2:$A$3757, C715:C4469), "")</f>
        <v>8</v>
      </c>
      <c r="E715" s="4">
        <f t="shared" si="1"/>
        <v>97.4</v>
      </c>
      <c r="F715" s="4" t="str">
        <f t="array" ref="F715">IF(D715&gt;=_xlfn.PERCENTILE.INC(D715:D2373, 0.9), "High", "Low")</f>
        <v>High</v>
      </c>
      <c r="L715" s="4" t="str">
        <f t="shared" si="2"/>
        <v/>
      </c>
    </row>
    <row r="716" ht="14.25" customHeight="1">
      <c r="A716" s="1" t="s">
        <v>3900</v>
      </c>
      <c r="B716" s="1">
        <v>5.4</v>
      </c>
      <c r="C716" s="4" t="str">
        <f>IFERROR(__xludf.DUMMYFUNCTION("""COMPUTED_VALUE"""),"Richard Eyre")</f>
        <v>Richard Eyre</v>
      </c>
      <c r="D716" s="4">
        <f t="array" ref="D716">IFERROR(AVERAGEIFS($B$2:$B$3757, $A$2:$A$3757, C716:C4470), "")</f>
        <v>7.25</v>
      </c>
      <c r="E716" s="4">
        <f t="shared" si="1"/>
        <v>83.3</v>
      </c>
      <c r="F716" s="4" t="str">
        <f t="array" ref="F716">IF(D716&gt;=_xlfn.PERCENTILE.INC(D716:D2374, 0.9), "High", "Low")</f>
        <v>Low</v>
      </c>
      <c r="L716" s="4" t="str">
        <f t="shared" si="2"/>
        <v/>
      </c>
    </row>
    <row r="717" ht="14.25" customHeight="1">
      <c r="A717" s="1" t="s">
        <v>370</v>
      </c>
      <c r="B717" s="1">
        <v>6.8</v>
      </c>
      <c r="C717" s="4" t="str">
        <f>IFERROR(__xludf.DUMMYFUNCTION("""COMPUTED_VALUE"""),"Nicholas Meyer")</f>
        <v>Nicholas Meyer</v>
      </c>
      <c r="D717" s="4">
        <f t="array" ref="D717">IFERROR(AVERAGEIFS($B$2:$B$3757, $A$2:$A$3757, C717:C4471), "")</f>
        <v>7.45</v>
      </c>
      <c r="E717" s="4">
        <f t="shared" si="1"/>
        <v>87.6</v>
      </c>
      <c r="F717" s="4" t="str">
        <f t="array" ref="F717">IF(D717&gt;=_xlfn.PERCENTILE.INC(D717:D2375, 0.9), "High", "Low")</f>
        <v>Low</v>
      </c>
      <c r="L717" s="4" t="str">
        <f t="shared" si="2"/>
        <v/>
      </c>
    </row>
    <row r="718" ht="14.25" customHeight="1">
      <c r="A718" s="1" t="s">
        <v>3912</v>
      </c>
      <c r="B718" s="1">
        <v>6.5</v>
      </c>
      <c r="C718" s="4" t="str">
        <f>IFERROR(__xludf.DUMMYFUNCTION("""COMPUTED_VALUE"""),"Callie Khouri")</f>
        <v>Callie Khouri</v>
      </c>
      <c r="D718" s="4">
        <f t="array" ref="D718">IFERROR(AVERAGEIFS($B$2:$B$3757, $A$2:$A$3757, C718:C4472), "")</f>
        <v>5.9</v>
      </c>
      <c r="E718" s="4">
        <f t="shared" si="1"/>
        <v>30.3</v>
      </c>
      <c r="F718" s="4" t="str">
        <f t="array" ref="F718">IF(D718&gt;=_xlfn.PERCENTILE.INC(D718:D2376, 0.9), "High", "Low")</f>
        <v>Low</v>
      </c>
      <c r="L718" s="4" t="str">
        <f t="shared" si="2"/>
        <v/>
      </c>
    </row>
    <row r="719" ht="14.25" customHeight="1">
      <c r="A719" s="1" t="s">
        <v>3916</v>
      </c>
      <c r="B719" s="1">
        <v>7.0</v>
      </c>
      <c r="C719" s="4" t="str">
        <f>IFERROR(__xludf.DUMMYFUNCTION("""COMPUTED_VALUE"""),"Todd Graff")</f>
        <v>Todd Graff</v>
      </c>
      <c r="D719" s="4">
        <f t="array" ref="D719">IFERROR(AVERAGEIFS($B$2:$B$3757, $A$2:$A$3757, C719:C4473), "")</f>
        <v>6.05</v>
      </c>
      <c r="E719" s="4">
        <f t="shared" si="1"/>
        <v>36.7</v>
      </c>
      <c r="F719" s="4" t="str">
        <f t="array" ref="F719">IF(D719&gt;=_xlfn.PERCENTILE.INC(D719:D2377, 0.9), "High", "Low")</f>
        <v>Low</v>
      </c>
      <c r="L719" s="4" t="str">
        <f t="shared" si="2"/>
        <v/>
      </c>
    </row>
    <row r="720" ht="14.25" customHeight="1">
      <c r="A720" s="1" t="s">
        <v>3338</v>
      </c>
      <c r="B720" s="1">
        <v>6.3</v>
      </c>
      <c r="C720" s="4" t="str">
        <f>IFERROR(__xludf.DUMMYFUNCTION("""COMPUTED_VALUE"""),"Philip Kaufman")</f>
        <v>Philip Kaufman</v>
      </c>
      <c r="D720" s="4">
        <f t="array" ref="D720">IFERROR(AVERAGEIFS($B$2:$B$3757, $A$2:$A$3757, C720:C4474), "")</f>
        <v>7.65</v>
      </c>
      <c r="E720" s="4">
        <f t="shared" si="1"/>
        <v>92.1</v>
      </c>
      <c r="F720" s="4" t="str">
        <f t="array" ref="F720">IF(D720&gt;=_xlfn.PERCENTILE.INC(D720:D2378, 0.9), "High", "Low")</f>
        <v>High</v>
      </c>
      <c r="L720" s="4" t="str">
        <f t="shared" si="2"/>
        <v/>
      </c>
    </row>
    <row r="721" ht="14.25" customHeight="1">
      <c r="A721" s="1" t="s">
        <v>1284</v>
      </c>
      <c r="B721" s="1">
        <v>6.3</v>
      </c>
      <c r="C721" s="4" t="str">
        <f>IFERROR(__xludf.DUMMYFUNCTION("""COMPUTED_VALUE"""),"Saul Dibb")</f>
        <v>Saul Dibb</v>
      </c>
      <c r="D721" s="4">
        <f t="array" ref="D721">IFERROR(AVERAGEIFS($B$2:$B$3757, $A$2:$A$3757, C721:C4475), "")</f>
        <v>6.9</v>
      </c>
      <c r="E721" s="4">
        <f t="shared" si="1"/>
        <v>66.9</v>
      </c>
      <c r="F721" s="4" t="str">
        <f t="array" ref="F721">IF(D721&gt;=_xlfn.PERCENTILE.INC(D721:D2379, 0.9), "High", "Low")</f>
        <v>Low</v>
      </c>
      <c r="L721" s="4" t="str">
        <f t="shared" si="2"/>
        <v/>
      </c>
    </row>
    <row r="722" ht="14.25" customHeight="1">
      <c r="A722" s="1" t="s">
        <v>3928</v>
      </c>
      <c r="B722" s="1">
        <v>6.1</v>
      </c>
      <c r="C722" s="4" t="str">
        <f>IFERROR(__xludf.DUMMYFUNCTION("""COMPUTED_VALUE"""),"Richard Linklater")</f>
        <v>Richard Linklater</v>
      </c>
      <c r="D722" s="4">
        <f t="array" ref="D722">IFERROR(AVERAGEIFS($B$2:$B$3757, $A$2:$A$3757, C722:C4476), "")</f>
        <v>7.327272727</v>
      </c>
      <c r="E722" s="4">
        <f t="shared" si="1"/>
        <v>85.9</v>
      </c>
      <c r="F722" s="4" t="str">
        <f t="array" ref="F722">IF(D722&gt;=_xlfn.PERCENTILE.INC(D722:D2380, 0.9), "High", "Low")</f>
        <v>Low</v>
      </c>
      <c r="L722" s="4" t="str">
        <f t="shared" si="2"/>
        <v/>
      </c>
    </row>
    <row r="723" ht="14.25" customHeight="1">
      <c r="A723" s="1" t="s">
        <v>3933</v>
      </c>
      <c r="B723" s="1">
        <v>6.1</v>
      </c>
      <c r="C723" s="4" t="str">
        <f>IFERROR(__xludf.DUMMYFUNCTION("""COMPUTED_VALUE"""),"E. Elias Merhige")</f>
        <v>E. Elias Merhige</v>
      </c>
      <c r="D723" s="4">
        <f t="array" ref="D723">IFERROR(AVERAGEIFS($B$2:$B$3757, $A$2:$A$3757, C723:C4477), "")</f>
        <v>6.4</v>
      </c>
      <c r="E723" s="4">
        <f t="shared" si="1"/>
        <v>47.5</v>
      </c>
      <c r="F723" s="4" t="str">
        <f t="array" ref="F723">IF(D723&gt;=_xlfn.PERCENTILE.INC(D723:D2381, 0.9), "High", "Low")</f>
        <v>Low</v>
      </c>
      <c r="L723" s="4" t="str">
        <f t="shared" si="2"/>
        <v/>
      </c>
    </row>
    <row r="724" ht="14.25" customHeight="1">
      <c r="A724" s="1" t="s">
        <v>3937</v>
      </c>
      <c r="B724" s="1">
        <v>5.3</v>
      </c>
      <c r="C724" s="4" t="str">
        <f>IFERROR(__xludf.DUMMYFUNCTION("""COMPUTED_VALUE"""),"Menno Meyjes")</f>
        <v>Menno Meyjes</v>
      </c>
      <c r="D724" s="4">
        <f t="array" ref="D724">IFERROR(AVERAGEIFS($B$2:$B$3757, $A$2:$A$3757, C724:C4478), "")</f>
        <v>6.8</v>
      </c>
      <c r="E724" s="4">
        <f t="shared" si="1"/>
        <v>63</v>
      </c>
      <c r="F724" s="4" t="str">
        <f t="array" ref="F724">IF(D724&gt;=_xlfn.PERCENTILE.INC(D724:D2382, 0.9), "High", "Low")</f>
        <v>Low</v>
      </c>
      <c r="L724" s="4" t="str">
        <f t="shared" si="2"/>
        <v/>
      </c>
    </row>
    <row r="725" ht="14.25" customHeight="1">
      <c r="A725" s="1" t="s">
        <v>3942</v>
      </c>
      <c r="B725" s="1">
        <v>5.4</v>
      </c>
      <c r="C725" s="4" t="str">
        <f>IFERROR(__xludf.DUMMYFUNCTION("""COMPUTED_VALUE"""),"Jodie Foster")</f>
        <v>Jodie Foster</v>
      </c>
      <c r="D725" s="4">
        <f t="array" ref="D725">IFERROR(AVERAGEIFS($B$2:$B$3757, $A$2:$A$3757, C725:C4479), "")</f>
        <v>6.666666667</v>
      </c>
      <c r="E725" s="4">
        <f t="shared" si="1"/>
        <v>59</v>
      </c>
      <c r="F725" s="4" t="str">
        <f t="array" ref="F725">IF(D725&gt;=_xlfn.PERCENTILE.INC(D725:D2383, 0.9), "High", "Low")</f>
        <v>Low</v>
      </c>
      <c r="L725" s="4" t="str">
        <f t="shared" si="2"/>
        <v/>
      </c>
    </row>
    <row r="726" ht="14.25" customHeight="1">
      <c r="A726" s="1" t="s">
        <v>820</v>
      </c>
      <c r="B726" s="1">
        <v>6.2</v>
      </c>
      <c r="C726" s="4" t="str">
        <f>IFERROR(__xludf.DUMMYFUNCTION("""COMPUTED_VALUE"""),"Scott Frank")</f>
        <v>Scott Frank</v>
      </c>
      <c r="D726" s="4">
        <f t="array" ref="D726">IFERROR(AVERAGEIFS($B$2:$B$3757, $A$2:$A$3757, C726:C4480), "")</f>
        <v>6.5</v>
      </c>
      <c r="E726" s="4">
        <f t="shared" si="1"/>
        <v>51.2</v>
      </c>
      <c r="F726" s="4" t="str">
        <f t="array" ref="F726">IF(D726&gt;=_xlfn.PERCENTILE.INC(D726:D2384, 0.9), "High", "Low")</f>
        <v>Low</v>
      </c>
      <c r="L726" s="4" t="str">
        <f t="shared" si="2"/>
        <v/>
      </c>
    </row>
    <row r="727" ht="14.25" customHeight="1">
      <c r="A727" s="1" t="s">
        <v>3954</v>
      </c>
      <c r="B727" s="1">
        <v>6.6</v>
      </c>
      <c r="C727" s="4" t="str">
        <f>IFERROR(__xludf.DUMMYFUNCTION("""COMPUTED_VALUE"""),"Kevin Allen")</f>
        <v>Kevin Allen</v>
      </c>
      <c r="D727" s="4">
        <f t="array" ref="D727">IFERROR(AVERAGEIFS($B$2:$B$3757, $A$2:$A$3757, C727:C4481), "")</f>
        <v>5.4</v>
      </c>
      <c r="E727" s="4">
        <f t="shared" si="1"/>
        <v>18.3</v>
      </c>
      <c r="F727" s="4" t="str">
        <f t="array" ref="F727">IF(D727&gt;=_xlfn.PERCENTILE.INC(D727:D2385, 0.9), "High", "Low")</f>
        <v>Low</v>
      </c>
      <c r="L727" s="4" t="str">
        <f t="shared" si="2"/>
        <v/>
      </c>
    </row>
    <row r="728" ht="14.25" customHeight="1">
      <c r="A728" s="1" t="s">
        <v>3959</v>
      </c>
      <c r="B728" s="1">
        <v>5.9</v>
      </c>
      <c r="C728" s="4" t="str">
        <f>IFERROR(__xludf.DUMMYFUNCTION("""COMPUTED_VALUE"""),"Michael Cristofer")</f>
        <v>Michael Cristofer</v>
      </c>
      <c r="D728" s="4">
        <f t="array" ref="D728">IFERROR(AVERAGEIFS($B$2:$B$3757, $A$2:$A$3757, C728:C4482), "")</f>
        <v>6</v>
      </c>
      <c r="E728" s="4">
        <f t="shared" si="1"/>
        <v>34.2</v>
      </c>
      <c r="F728" s="4" t="str">
        <f t="array" ref="F728">IF(D728&gt;=_xlfn.PERCENTILE.INC(D728:D2386, 0.9), "High", "Low")</f>
        <v>Low</v>
      </c>
      <c r="L728" s="4" t="str">
        <f t="shared" si="2"/>
        <v/>
      </c>
    </row>
    <row r="729" ht="14.25" customHeight="1">
      <c r="A729" s="1" t="s">
        <v>3964</v>
      </c>
      <c r="B729" s="1">
        <v>6.3</v>
      </c>
      <c r="C729" s="4" t="str">
        <f>IFERROR(__xludf.DUMMYFUNCTION("""COMPUTED_VALUE"""),"Andrew Morahan")</f>
        <v>Andrew Morahan</v>
      </c>
      <c r="D729" s="4">
        <f t="array" ref="D729">IFERROR(AVERAGEIFS($B$2:$B$3757, $A$2:$A$3757, C729:C4483), "")</f>
        <v>4.3</v>
      </c>
      <c r="E729" s="4">
        <f t="shared" si="1"/>
        <v>6</v>
      </c>
      <c r="F729" s="4" t="str">
        <f t="array" ref="F729">IF(D729&gt;=_xlfn.PERCENTILE.INC(D729:D2387, 0.9), "High", "Low")</f>
        <v>Low</v>
      </c>
      <c r="L729" s="4" t="str">
        <f t="shared" si="2"/>
        <v/>
      </c>
    </row>
    <row r="730" ht="14.25" customHeight="1">
      <c r="A730" s="1" t="s">
        <v>2938</v>
      </c>
      <c r="B730" s="1">
        <v>7.2</v>
      </c>
      <c r="C730" s="4" t="str">
        <f>IFERROR(__xludf.DUMMYFUNCTION("""COMPUTED_VALUE"""),"Bob Rafelson")</f>
        <v>Bob Rafelson</v>
      </c>
      <c r="D730" s="4">
        <f t="array" ref="D730">IFERROR(AVERAGEIFS($B$2:$B$3757, $A$2:$A$3757, C730:C4484), "")</f>
        <v>6.1</v>
      </c>
      <c r="E730" s="4">
        <f t="shared" si="1"/>
        <v>36.9</v>
      </c>
      <c r="F730" s="4" t="str">
        <f t="array" ref="F730">IF(D730&gt;=_xlfn.PERCENTILE.INC(D730:D2388, 0.9), "High", "Low")</f>
        <v>Low</v>
      </c>
      <c r="L730" s="4" t="str">
        <f t="shared" si="2"/>
        <v/>
      </c>
    </row>
    <row r="731" ht="14.25" customHeight="1">
      <c r="A731" s="1" t="s">
        <v>3976</v>
      </c>
      <c r="B731" s="1">
        <v>6.8</v>
      </c>
      <c r="C731" s="4" t="str">
        <f>IFERROR(__xludf.DUMMYFUNCTION("""COMPUTED_VALUE"""),"Alan Shapiro")</f>
        <v>Alan Shapiro</v>
      </c>
      <c r="D731" s="4">
        <f t="array" ref="D731">IFERROR(AVERAGEIFS($B$2:$B$3757, $A$2:$A$3757, C731:C4485), "")</f>
        <v>5.2</v>
      </c>
      <c r="E731" s="4">
        <f t="shared" si="1"/>
        <v>14</v>
      </c>
      <c r="F731" s="4" t="str">
        <f t="array" ref="F731">IF(D731&gt;=_xlfn.PERCENTILE.INC(D731:D2389, 0.9), "High", "Low")</f>
        <v>Low</v>
      </c>
      <c r="L731" s="4" t="str">
        <f t="shared" si="2"/>
        <v/>
      </c>
    </row>
    <row r="732" ht="14.25" customHeight="1">
      <c r="A732" s="1" t="s">
        <v>3982</v>
      </c>
      <c r="B732" s="1">
        <v>6.1</v>
      </c>
      <c r="C732" s="4" t="str">
        <f>IFERROR(__xludf.DUMMYFUNCTION("""COMPUTED_VALUE"""),"Fernando Meirelles")</f>
        <v>Fernando Meirelles</v>
      </c>
      <c r="D732" s="4">
        <f t="array" ref="D732">IFERROR(AVERAGEIFS($B$2:$B$3757, $A$2:$A$3757, C732:C4486), "")</f>
        <v>7.6</v>
      </c>
      <c r="E732" s="4">
        <f t="shared" si="1"/>
        <v>89.8</v>
      </c>
      <c r="F732" s="4" t="str">
        <f t="array" ref="F732">IF(D732&gt;=_xlfn.PERCENTILE.INC(D732:D2390, 0.9), "High", "Low")</f>
        <v>High</v>
      </c>
      <c r="L732" s="4" t="str">
        <f t="shared" si="2"/>
        <v/>
      </c>
    </row>
    <row r="733" ht="14.25" customHeight="1">
      <c r="A733" s="1" t="s">
        <v>2018</v>
      </c>
      <c r="B733" s="1">
        <v>7.8</v>
      </c>
      <c r="C733" s="4" t="str">
        <f>IFERROR(__xludf.DUMMYFUNCTION("""COMPUTED_VALUE"""),"Michael Hoffman")</f>
        <v>Michael Hoffman</v>
      </c>
      <c r="D733" s="4">
        <f t="array" ref="D733">IFERROR(AVERAGEIFS($B$2:$B$3757, $A$2:$A$3757, C733:C4487), "")</f>
        <v>6.866666667</v>
      </c>
      <c r="E733" s="4">
        <f t="shared" si="1"/>
        <v>66.6</v>
      </c>
      <c r="F733" s="4" t="str">
        <f t="array" ref="F733">IF(D733&gt;=_xlfn.PERCENTILE.INC(D733:D2391, 0.9), "High", "Low")</f>
        <v>Low</v>
      </c>
      <c r="L733" s="4" t="str">
        <f t="shared" si="2"/>
        <v/>
      </c>
    </row>
    <row r="734" ht="14.25" customHeight="1">
      <c r="A734" s="1" t="s">
        <v>3991</v>
      </c>
      <c r="B734" s="1">
        <v>5.0</v>
      </c>
      <c r="C734" s="4" t="str">
        <f>IFERROR(__xludf.DUMMYFUNCTION("""COMPUTED_VALUE"""),"Michael Pressman")</f>
        <v>Michael Pressman</v>
      </c>
      <c r="D734" s="4">
        <f t="array" ref="D734">IFERROR(AVERAGEIFS($B$2:$B$3757, $A$2:$A$3757, C734:C4488), "")</f>
        <v>6</v>
      </c>
      <c r="E734" s="4">
        <f t="shared" si="1"/>
        <v>34.2</v>
      </c>
      <c r="F734" s="4" t="str">
        <f t="array" ref="F734">IF(D734&gt;=_xlfn.PERCENTILE.INC(D734:D2392, 0.9), "High", "Low")</f>
        <v>Low</v>
      </c>
      <c r="L734" s="4" t="str">
        <f t="shared" si="2"/>
        <v/>
      </c>
    </row>
    <row r="735" ht="14.25" customHeight="1">
      <c r="A735" s="1" t="s">
        <v>3420</v>
      </c>
      <c r="B735" s="1">
        <v>6.2</v>
      </c>
      <c r="C735" s="4" t="str">
        <f>IFERROR(__xludf.DUMMYFUNCTION("""COMPUTED_VALUE"""),"Sharon Maguire")</f>
        <v>Sharon Maguire</v>
      </c>
      <c r="D735" s="4">
        <f t="array" ref="D735">IFERROR(AVERAGEIFS($B$2:$B$3757, $A$2:$A$3757, C735:C4489), "")</f>
        <v>6.7</v>
      </c>
      <c r="E735" s="4">
        <f t="shared" si="1"/>
        <v>59.1</v>
      </c>
      <c r="F735" s="4" t="str">
        <f t="array" ref="F735">IF(D735&gt;=_xlfn.PERCENTILE.INC(D735:D2393, 0.9), "High", "Low")</f>
        <v>Low</v>
      </c>
      <c r="L735" s="4" t="str">
        <f t="shared" si="2"/>
        <v/>
      </c>
    </row>
    <row r="736" ht="14.25" customHeight="1">
      <c r="A736" s="1" t="s">
        <v>4000</v>
      </c>
      <c r="B736" s="1">
        <v>6.7</v>
      </c>
      <c r="C736" s="4" t="str">
        <f>IFERROR(__xludf.DUMMYFUNCTION("""COMPUTED_VALUE"""),"Charles Herman-Wurmfeld")</f>
        <v>Charles Herman-Wurmfeld</v>
      </c>
      <c r="D736" s="4">
        <f t="array" ref="D736">IFERROR(AVERAGEIFS($B$2:$B$3757, $A$2:$A$3757, C736:C4490), "")</f>
        <v>5.65</v>
      </c>
      <c r="E736" s="4">
        <f t="shared" si="1"/>
        <v>25.8</v>
      </c>
      <c r="F736" s="4" t="str">
        <f t="array" ref="F736">IF(D736&gt;=_xlfn.PERCENTILE.INC(D736:D2394, 0.9), "High", "Low")</f>
        <v>Low</v>
      </c>
      <c r="L736" s="4" t="str">
        <f t="shared" si="2"/>
        <v/>
      </c>
    </row>
    <row r="737" ht="14.25" customHeight="1">
      <c r="A737" s="1" t="s">
        <v>4006</v>
      </c>
      <c r="B737" s="1">
        <v>4.9</v>
      </c>
      <c r="C737" s="4" t="str">
        <f>IFERROR(__xludf.DUMMYFUNCTION("""COMPUTED_VALUE"""),"Gabor Csupo")</f>
        <v>Gabor Csupo</v>
      </c>
      <c r="D737" s="4">
        <f t="array" ref="D737">IFERROR(AVERAGEIFS($B$2:$B$3757, $A$2:$A$3757, C737:C4491), "")</f>
        <v>7.2</v>
      </c>
      <c r="E737" s="4">
        <f t="shared" si="1"/>
        <v>79.5</v>
      </c>
      <c r="F737" s="4" t="str">
        <f t="array" ref="F737">IF(D737&gt;=_xlfn.PERCENTILE.INC(D737:D2395, 0.9), "High", "Low")</f>
        <v>Low</v>
      </c>
      <c r="L737" s="4" t="str">
        <f t="shared" si="2"/>
        <v/>
      </c>
    </row>
    <row r="738" ht="14.25" customHeight="1">
      <c r="A738" s="1" t="s">
        <v>3503</v>
      </c>
      <c r="B738" s="1">
        <v>7.4</v>
      </c>
      <c r="C738" s="4" t="str">
        <f>IFERROR(__xludf.DUMMYFUNCTION("""COMPUTED_VALUE"""),"Tyler Perry")</f>
        <v>Tyler Perry</v>
      </c>
      <c r="D738" s="4">
        <f t="array" ref="D738">IFERROR(AVERAGEIFS($B$2:$B$3757, $A$2:$A$3757, C738:C4492), "")</f>
        <v>4.766666667</v>
      </c>
      <c r="E738" s="4">
        <f t="shared" si="1"/>
        <v>9.6</v>
      </c>
      <c r="F738" s="4" t="str">
        <f t="array" ref="F738">IF(D738&gt;=_xlfn.PERCENTILE.INC(D738:D2396, 0.9), "High", "Low")</f>
        <v>Low</v>
      </c>
      <c r="L738" s="4" t="str">
        <f t="shared" si="2"/>
        <v/>
      </c>
    </row>
    <row r="739" ht="14.25" customHeight="1">
      <c r="A739" s="1" t="s">
        <v>1262</v>
      </c>
      <c r="B739" s="1">
        <v>6.2</v>
      </c>
      <c r="C739" s="4" t="str">
        <f>IFERROR(__xludf.DUMMYFUNCTION("""COMPUTED_VALUE"""),"Joe Carnahan")</f>
        <v>Joe Carnahan</v>
      </c>
      <c r="D739" s="4">
        <f t="array" ref="D739">IFERROR(AVERAGEIFS($B$2:$B$3757, $A$2:$A$3757, C739:C4493), "")</f>
        <v>6.9</v>
      </c>
      <c r="E739" s="4">
        <f t="shared" si="1"/>
        <v>66.6</v>
      </c>
      <c r="F739" s="4" t="str">
        <f t="array" ref="F739">IF(D739&gt;=_xlfn.PERCENTILE.INC(D739:D2397, 0.9), "High", "Low")</f>
        <v>Low</v>
      </c>
      <c r="L739" s="4" t="str">
        <f t="shared" si="2"/>
        <v/>
      </c>
    </row>
    <row r="740" ht="14.25" customHeight="1">
      <c r="A740" s="1" t="s">
        <v>4022</v>
      </c>
      <c r="B740" s="1">
        <v>4.9</v>
      </c>
      <c r="C740" s="4" t="str">
        <f>IFERROR(__xludf.DUMMYFUNCTION("""COMPUTED_VALUE"""),"John Polson")</f>
        <v>John Polson</v>
      </c>
      <c r="D740" s="4">
        <f t="array" ref="D740">IFERROR(AVERAGEIFS($B$2:$B$3757, $A$2:$A$3757, C740:C4494), "")</f>
        <v>5.45</v>
      </c>
      <c r="E740" s="4">
        <f t="shared" si="1"/>
        <v>20</v>
      </c>
      <c r="F740" s="4" t="str">
        <f t="array" ref="F740">IF(D740&gt;=_xlfn.PERCENTILE.INC(D740:D2398, 0.9), "High", "Low")</f>
        <v>Low</v>
      </c>
      <c r="L740" s="4" t="str">
        <f t="shared" si="2"/>
        <v/>
      </c>
    </row>
    <row r="741" ht="14.25" customHeight="1">
      <c r="A741" s="1" t="s">
        <v>3169</v>
      </c>
      <c r="B741" s="1">
        <v>6.1</v>
      </c>
      <c r="C741" s="4" t="str">
        <f>IFERROR(__xludf.DUMMYFUNCTION("""COMPUTED_VALUE"""),"Bernardo Bertolucci")</f>
        <v>Bernardo Bertolucci</v>
      </c>
      <c r="D741" s="4">
        <f t="array" ref="D741">IFERROR(AVERAGEIFS($B$2:$B$3757, $A$2:$A$3757, C741:C4495), "")</f>
        <v>7.8</v>
      </c>
      <c r="E741" s="4">
        <f t="shared" si="1"/>
        <v>94.9</v>
      </c>
      <c r="F741" s="4" t="str">
        <f t="array" ref="F741">IF(D741&gt;=_xlfn.PERCENTILE.INC(D741:D2399, 0.9), "High", "Low")</f>
        <v>High</v>
      </c>
      <c r="L741" s="4" t="str">
        <f t="shared" si="2"/>
        <v/>
      </c>
    </row>
    <row r="742" ht="14.25" customHeight="1">
      <c r="A742" s="1" t="s">
        <v>4035</v>
      </c>
      <c r="B742" s="1">
        <v>6.1</v>
      </c>
      <c r="C742" s="4" t="str">
        <f>IFERROR(__xludf.DUMMYFUNCTION("""COMPUTED_VALUE"""),"Cathy Malkasian")</f>
        <v>Cathy Malkasian</v>
      </c>
      <c r="D742" s="4">
        <f t="array" ref="D742">IFERROR(AVERAGEIFS($B$2:$B$3757, $A$2:$A$3757, C742:C4496), "")</f>
        <v>5.2</v>
      </c>
      <c r="E742" s="4">
        <f t="shared" si="1"/>
        <v>14</v>
      </c>
      <c r="F742" s="4" t="str">
        <f t="array" ref="F742">IF(D742&gt;=_xlfn.PERCENTILE.INC(D742:D2400, 0.9), "High", "Low")</f>
        <v>Low</v>
      </c>
      <c r="L742" s="4" t="str">
        <f t="shared" si="2"/>
        <v/>
      </c>
    </row>
    <row r="743" ht="14.25" customHeight="1">
      <c r="A743" s="1" t="s">
        <v>4039</v>
      </c>
      <c r="B743" s="1">
        <v>6.4</v>
      </c>
      <c r="C743" s="4" t="str">
        <f>IFERROR(__xludf.DUMMYFUNCTION("""COMPUTED_VALUE"""),"John Eng")</f>
        <v>John Eng</v>
      </c>
      <c r="D743" s="4">
        <f t="array" ref="D743">IFERROR(AVERAGEIFS($B$2:$B$3757, $A$2:$A$3757, C743:C4497), "")</f>
        <v>5.6</v>
      </c>
      <c r="E743" s="4">
        <f t="shared" si="1"/>
        <v>22.2</v>
      </c>
      <c r="F743" s="4" t="str">
        <f t="array" ref="F743">IF(D743&gt;=_xlfn.PERCENTILE.INC(D743:D2401, 0.9), "High", "Low")</f>
        <v>Low</v>
      </c>
      <c r="L743" s="4" t="str">
        <f t="shared" si="2"/>
        <v/>
      </c>
    </row>
    <row r="744" ht="14.25" customHeight="1">
      <c r="A744" s="1" t="s">
        <v>4043</v>
      </c>
      <c r="B744" s="1">
        <v>6.3</v>
      </c>
      <c r="C744" s="4" t="str">
        <f>IFERROR(__xludf.DUMMYFUNCTION("""COMPUTED_VALUE"""),"Chris Nahon")</f>
        <v>Chris Nahon</v>
      </c>
      <c r="D744" s="4">
        <f t="array" ref="D744">IFERROR(AVERAGEIFS($B$2:$B$3757, $A$2:$A$3757, C744:C4498), "")</f>
        <v>6.6</v>
      </c>
      <c r="E744" s="4">
        <f t="shared" si="1"/>
        <v>55.6</v>
      </c>
      <c r="F744" s="4" t="str">
        <f t="array" ref="F744">IF(D744&gt;=_xlfn.PERCENTILE.INC(D744:D2402, 0.9), "High", "Low")</f>
        <v>Low</v>
      </c>
      <c r="L744" s="4" t="str">
        <f t="shared" si="2"/>
        <v/>
      </c>
    </row>
    <row r="745" ht="14.25" customHeight="1">
      <c r="A745" s="1" t="s">
        <v>305</v>
      </c>
      <c r="B745" s="1">
        <v>6.6</v>
      </c>
      <c r="C745" s="4" t="str">
        <f>IFERROR(__xludf.DUMMYFUNCTION("""COMPUTED_VALUE"""),"Fred Wolf")</f>
        <v>Fred Wolf</v>
      </c>
      <c r="D745" s="4">
        <f t="array" ref="D745">IFERROR(AVERAGEIFS($B$2:$B$3757, $A$2:$A$3757, C745:C4499), "")</f>
        <v>5.4</v>
      </c>
      <c r="E745" s="4">
        <f t="shared" si="1"/>
        <v>18.2</v>
      </c>
      <c r="F745" s="4" t="str">
        <f t="array" ref="F745">IF(D745&gt;=_xlfn.PERCENTILE.INC(D745:D2403, 0.9), "High", "Low")</f>
        <v>Low</v>
      </c>
      <c r="L745" s="4" t="str">
        <f t="shared" si="2"/>
        <v/>
      </c>
    </row>
    <row r="746" ht="14.25" customHeight="1">
      <c r="A746" s="1" t="s">
        <v>1736</v>
      </c>
      <c r="B746" s="1">
        <v>5.7</v>
      </c>
      <c r="C746" s="4" t="str">
        <f>IFERROR(__xludf.DUMMYFUNCTION("""COMPUTED_VALUE"""),"Victor Salva")</f>
        <v>Victor Salva</v>
      </c>
      <c r="D746" s="4">
        <f t="array" ref="D746">IFERROR(AVERAGEIFS($B$2:$B$3757, $A$2:$A$3757, C746:C4500), "")</f>
        <v>6.333333333</v>
      </c>
      <c r="E746" s="4">
        <f t="shared" si="1"/>
        <v>46.6</v>
      </c>
      <c r="F746" s="4" t="str">
        <f t="array" ref="F746">IF(D746&gt;=_xlfn.PERCENTILE.INC(D746:D2404, 0.9), "High", "Low")</f>
        <v>Low</v>
      </c>
      <c r="L746" s="4" t="str">
        <f t="shared" si="2"/>
        <v/>
      </c>
    </row>
    <row r="747" ht="14.25" customHeight="1">
      <c r="A747" s="1" t="s">
        <v>4006</v>
      </c>
      <c r="B747" s="1">
        <v>5.9</v>
      </c>
      <c r="C747" s="4" t="str">
        <f>IFERROR(__xludf.DUMMYFUNCTION("""COMPUTED_VALUE"""),"Mark Helfrich")</f>
        <v>Mark Helfrich</v>
      </c>
      <c r="D747" s="4">
        <f t="array" ref="D747">IFERROR(AVERAGEIFS($B$2:$B$3757, $A$2:$A$3757, C747:C4501), "")</f>
        <v>5.6</v>
      </c>
      <c r="E747" s="4">
        <f t="shared" si="1"/>
        <v>22.2</v>
      </c>
      <c r="F747" s="4" t="str">
        <f t="array" ref="F747">IF(D747&gt;=_xlfn.PERCENTILE.INC(D747:D2405, 0.9), "High", "Low")</f>
        <v>Low</v>
      </c>
      <c r="L747" s="4" t="str">
        <f t="shared" si="2"/>
        <v/>
      </c>
    </row>
    <row r="748" ht="14.25" customHeight="1">
      <c r="A748" s="1" t="s">
        <v>3928</v>
      </c>
      <c r="B748" s="1">
        <v>6.0</v>
      </c>
      <c r="C748" s="4" t="str">
        <f>IFERROR(__xludf.DUMMYFUNCTION("""COMPUTED_VALUE"""),"Steve Bendelack")</f>
        <v>Steve Bendelack</v>
      </c>
      <c r="D748" s="4">
        <f t="array" ref="D748">IFERROR(AVERAGEIFS($B$2:$B$3757, $A$2:$A$3757, C748:C4502), "")</f>
        <v>6.3</v>
      </c>
      <c r="E748" s="4">
        <f t="shared" si="1"/>
        <v>43.5</v>
      </c>
      <c r="F748" s="4" t="str">
        <f t="array" ref="F748">IF(D748&gt;=_xlfn.PERCENTILE.INC(D748:D2406, 0.9), "High", "Low")</f>
        <v>Low</v>
      </c>
      <c r="L748" s="4" t="str">
        <f t="shared" si="2"/>
        <v/>
      </c>
    </row>
    <row r="749" ht="14.25" customHeight="1">
      <c r="A749" s="1" t="s">
        <v>4069</v>
      </c>
      <c r="B749" s="1">
        <v>6.1</v>
      </c>
      <c r="C749" s="4" t="str">
        <f>IFERROR(__xludf.DUMMYFUNCTION("""COMPUTED_VALUE"""),"Dwight H. Little")</f>
        <v>Dwight H. Little</v>
      </c>
      <c r="D749" s="4">
        <f t="array" ref="D749">IFERROR(AVERAGEIFS($B$2:$B$3757, $A$2:$A$3757, C749:C4503), "")</f>
        <v>5.25</v>
      </c>
      <c r="E749" s="4">
        <f t="shared" si="1"/>
        <v>15.2</v>
      </c>
      <c r="F749" s="4" t="str">
        <f t="array" ref="F749">IF(D749&gt;=_xlfn.PERCENTILE.INC(D749:D2407, 0.9), "High", "Low")</f>
        <v>Low</v>
      </c>
      <c r="L749" s="4" t="str">
        <f t="shared" si="2"/>
        <v/>
      </c>
    </row>
    <row r="750" ht="14.25" customHeight="1">
      <c r="A750" s="1" t="s">
        <v>903</v>
      </c>
      <c r="B750" s="1">
        <v>6.7</v>
      </c>
      <c r="C750" s="4" t="str">
        <f>IFERROR(__xludf.DUMMYFUNCTION("""COMPUTED_VALUE"""),"Guillaume Canet")</f>
        <v>Guillaume Canet</v>
      </c>
      <c r="D750" s="4">
        <f t="array" ref="D750">IFERROR(AVERAGEIFS($B$2:$B$3757, $A$2:$A$3757, C750:C4504), "")</f>
        <v>6.8</v>
      </c>
      <c r="E750" s="4">
        <f t="shared" si="1"/>
        <v>62.6</v>
      </c>
      <c r="F750" s="4" t="str">
        <f t="array" ref="F750">IF(D750&gt;=_xlfn.PERCENTILE.INC(D750:D2408, 0.9), "High", "Low")</f>
        <v>Low</v>
      </c>
      <c r="L750" s="4" t="str">
        <f t="shared" si="2"/>
        <v/>
      </c>
    </row>
    <row r="751" ht="14.25" customHeight="1">
      <c r="A751" s="1" t="s">
        <v>3834</v>
      </c>
      <c r="B751" s="1">
        <v>6.7</v>
      </c>
      <c r="C751" s="4" t="str">
        <f>IFERROR(__xludf.DUMMYFUNCTION("""COMPUTED_VALUE"""),"Kirsten Sheridan")</f>
        <v>Kirsten Sheridan</v>
      </c>
      <c r="D751" s="4">
        <f t="array" ref="D751">IFERROR(AVERAGEIFS($B$2:$B$3757, $A$2:$A$3757, C751:C4505), "")</f>
        <v>7.5</v>
      </c>
      <c r="E751" s="4">
        <f t="shared" si="1"/>
        <v>87.7</v>
      </c>
      <c r="F751" s="4" t="str">
        <f t="array" ref="F751">IF(D751&gt;=_xlfn.PERCENTILE.INC(D751:D2409, 0.9), "High", "Low")</f>
        <v>Low</v>
      </c>
      <c r="L751" s="4" t="str">
        <f t="shared" si="2"/>
        <v/>
      </c>
    </row>
    <row r="752" ht="14.25" customHeight="1">
      <c r="A752" s="1" t="s">
        <v>3175</v>
      </c>
      <c r="B752" s="1">
        <v>7.9</v>
      </c>
      <c r="C752" s="4" t="str">
        <f>IFERROR(__xludf.DUMMYFUNCTION("""COMPUTED_VALUE"""),"Richard Fleischer")</f>
        <v>Richard Fleischer</v>
      </c>
      <c r="D752" s="4">
        <f t="array" ref="D752">IFERROR(AVERAGEIFS($B$2:$B$3757, $A$2:$A$3757, C752:C4506), "")</f>
        <v>6.65</v>
      </c>
      <c r="E752" s="4">
        <f t="shared" si="1"/>
        <v>58.4</v>
      </c>
      <c r="F752" s="4" t="str">
        <f t="array" ref="F752">IF(D752&gt;=_xlfn.PERCENTILE.INC(D752:D2410, 0.9), "High", "Low")</f>
        <v>Low</v>
      </c>
      <c r="L752" s="4" t="str">
        <f t="shared" si="2"/>
        <v/>
      </c>
    </row>
    <row r="753" ht="14.25" customHeight="1">
      <c r="A753" s="1" t="s">
        <v>925</v>
      </c>
      <c r="B753" s="1">
        <v>4.3</v>
      </c>
      <c r="C753" s="4" t="str">
        <f>IFERROR(__xludf.DUMMYFUNCTION("""COMPUTED_VALUE"""),"Bob Spiers")</f>
        <v>Bob Spiers</v>
      </c>
      <c r="D753" s="4">
        <f t="array" ref="D753">IFERROR(AVERAGEIFS($B$2:$B$3757, $A$2:$A$3757, C753:C4507), "")</f>
        <v>3.3</v>
      </c>
      <c r="E753" s="4">
        <f t="shared" si="1"/>
        <v>1.7</v>
      </c>
      <c r="F753" s="4" t="str">
        <f t="array" ref="F753">IF(D753&gt;=_xlfn.PERCENTILE.INC(D753:D2411, 0.9), "High", "Low")</f>
        <v>Low</v>
      </c>
      <c r="L753" s="4" t="str">
        <f t="shared" si="2"/>
        <v/>
      </c>
    </row>
    <row r="754" ht="14.25" customHeight="1">
      <c r="A754" s="1" t="s">
        <v>4091</v>
      </c>
      <c r="B754" s="1">
        <v>5.7</v>
      </c>
      <c r="C754" s="4" t="str">
        <f>IFERROR(__xludf.DUMMYFUNCTION("""COMPUTED_VALUE"""),"Damien Dante Wayans")</f>
        <v>Damien Dante Wayans</v>
      </c>
      <c r="D754" s="4">
        <f t="array" ref="D754">IFERROR(AVERAGEIFS($B$2:$B$3757, $A$2:$A$3757, C754:C4508), "")</f>
        <v>3.5</v>
      </c>
      <c r="E754" s="4">
        <f t="shared" si="1"/>
        <v>2.4</v>
      </c>
      <c r="F754" s="4" t="str">
        <f t="array" ref="F754">IF(D754&gt;=_xlfn.PERCENTILE.INC(D754:D2412, 0.9), "High", "Low")</f>
        <v>Low</v>
      </c>
      <c r="L754" s="4" t="str">
        <f t="shared" si="2"/>
        <v/>
      </c>
    </row>
    <row r="755" ht="14.25" customHeight="1">
      <c r="A755" s="1" t="s">
        <v>4099</v>
      </c>
      <c r="B755" s="1">
        <v>6.7</v>
      </c>
      <c r="C755" s="4" t="str">
        <f>IFERROR(__xludf.DUMMYFUNCTION("""COMPUTED_VALUE"""),"John Wells")</f>
        <v>John Wells</v>
      </c>
      <c r="D755" s="4">
        <f t="array" ref="D755">IFERROR(AVERAGEIFS($B$2:$B$3757, $A$2:$A$3757, C755:C4509), "")</f>
        <v>6.95</v>
      </c>
      <c r="E755" s="4">
        <f t="shared" si="1"/>
        <v>69.9</v>
      </c>
      <c r="F755" s="4" t="str">
        <f t="array" ref="F755">IF(D755&gt;=_xlfn.PERCENTILE.INC(D755:D2413, 0.9), "High", "Low")</f>
        <v>Low</v>
      </c>
      <c r="L755" s="4" t="str">
        <f t="shared" si="2"/>
        <v/>
      </c>
    </row>
    <row r="756" ht="14.25" customHeight="1">
      <c r="A756" s="1" t="s">
        <v>2246</v>
      </c>
      <c r="B756" s="1">
        <v>6.7</v>
      </c>
      <c r="C756" s="4" t="str">
        <f>IFERROR(__xludf.DUMMYFUNCTION("""COMPUTED_VALUE"""),"Nigel Cole")</f>
        <v>Nigel Cole</v>
      </c>
      <c r="D756" s="4">
        <f t="array" ref="D756">IFERROR(AVERAGEIFS($B$2:$B$3757, $A$2:$A$3757, C756:C4510), "")</f>
        <v>6.9</v>
      </c>
      <c r="E756" s="4">
        <f t="shared" si="1"/>
        <v>66.4</v>
      </c>
      <c r="F756" s="4" t="str">
        <f t="array" ref="F756">IF(D756&gt;=_xlfn.PERCENTILE.INC(D756:D2414, 0.9), "High", "Low")</f>
        <v>Low</v>
      </c>
      <c r="L756" s="4" t="str">
        <f t="shared" si="2"/>
        <v/>
      </c>
    </row>
    <row r="757" ht="14.25" customHeight="1">
      <c r="A757" s="1" t="s">
        <v>88</v>
      </c>
      <c r="B757" s="1">
        <v>8.1</v>
      </c>
      <c r="C757" s="4" t="str">
        <f>IFERROR(__xludf.DUMMYFUNCTION("""COMPUTED_VALUE"""),"Dexter Fletcher")</f>
        <v>Dexter Fletcher</v>
      </c>
      <c r="D757" s="4">
        <f t="array" ref="D757">IFERROR(AVERAGEIFS($B$2:$B$3757, $A$2:$A$3757, C757:C4511), "")</f>
        <v>7.5</v>
      </c>
      <c r="E757" s="4">
        <f t="shared" si="1"/>
        <v>87.7</v>
      </c>
      <c r="F757" s="4" t="str">
        <f t="array" ref="F757">IF(D757&gt;=_xlfn.PERCENTILE.INC(D757:D2415, 0.9), "High", "Low")</f>
        <v>Low</v>
      </c>
      <c r="L757" s="4" t="str">
        <f t="shared" si="2"/>
        <v/>
      </c>
    </row>
    <row r="758" ht="14.25" customHeight="1">
      <c r="A758" s="1" t="s">
        <v>499</v>
      </c>
      <c r="B758" s="1">
        <v>6.1</v>
      </c>
      <c r="C758" s="4" t="str">
        <f>IFERROR(__xludf.DUMMYFUNCTION("""COMPUTED_VALUE"""),"Jeremy Leven")</f>
        <v>Jeremy Leven</v>
      </c>
      <c r="D758" s="4">
        <f t="array" ref="D758">IFERROR(AVERAGEIFS($B$2:$B$3757, $A$2:$A$3757, C758:C4512), "")</f>
        <v>6.8</v>
      </c>
      <c r="E758" s="4">
        <f t="shared" si="1"/>
        <v>62.8</v>
      </c>
      <c r="F758" s="4" t="str">
        <f t="array" ref="F758">IF(D758&gt;=_xlfn.PERCENTILE.INC(D758:D2416, 0.9), "High", "Low")</f>
        <v>Low</v>
      </c>
      <c r="L758" s="4" t="str">
        <f t="shared" si="2"/>
        <v/>
      </c>
    </row>
    <row r="759" ht="14.25" customHeight="1">
      <c r="A759" s="1" t="s">
        <v>2161</v>
      </c>
      <c r="B759" s="1">
        <v>5.6</v>
      </c>
      <c r="C759" s="4" t="str">
        <f>IFERROR(__xludf.DUMMYFUNCTION("""COMPUTED_VALUE"""),"Sylvain White")</f>
        <v>Sylvain White</v>
      </c>
      <c r="D759" s="4">
        <f t="array" ref="D759">IFERROR(AVERAGEIFS($B$2:$B$3757, $A$2:$A$3757, C759:C4513), "")</f>
        <v>5.8</v>
      </c>
      <c r="E759" s="4">
        <f t="shared" si="1"/>
        <v>30</v>
      </c>
      <c r="F759" s="4" t="str">
        <f t="array" ref="F759">IF(D759&gt;=_xlfn.PERCENTILE.INC(D759:D2417, 0.9), "High", "Low")</f>
        <v>Low</v>
      </c>
      <c r="L759" s="4" t="str">
        <f t="shared" si="2"/>
        <v/>
      </c>
    </row>
    <row r="760" ht="14.25" customHeight="1">
      <c r="A760" s="1" t="s">
        <v>4119</v>
      </c>
      <c r="B760" s="1">
        <v>6.6</v>
      </c>
      <c r="C760" s="4" t="str">
        <f>IFERROR(__xludf.DUMMYFUNCTION("""COMPUTED_VALUE"""),"Troy Nixey")</f>
        <v>Troy Nixey</v>
      </c>
      <c r="D760" s="4">
        <f t="array" ref="D760">IFERROR(AVERAGEIFS($B$2:$B$3757, $A$2:$A$3757, C760:C4514), "")</f>
        <v>5.6</v>
      </c>
      <c r="E760" s="4">
        <f t="shared" si="1"/>
        <v>22.2</v>
      </c>
      <c r="F760" s="4" t="str">
        <f t="array" ref="F760">IF(D760&gt;=_xlfn.PERCENTILE.INC(D760:D2418, 0.9), "High", "Low")</f>
        <v>Low</v>
      </c>
      <c r="L760" s="4" t="str">
        <f t="shared" si="2"/>
        <v/>
      </c>
    </row>
    <row r="761" ht="14.25" customHeight="1">
      <c r="A761" s="1" t="s">
        <v>4125</v>
      </c>
      <c r="B761" s="1">
        <v>6.9</v>
      </c>
      <c r="C761" s="4" t="str">
        <f>IFERROR(__xludf.DUMMYFUNCTION("""COMPUTED_VALUE"""),"Philip G. Atwell")</f>
        <v>Philip G. Atwell</v>
      </c>
      <c r="D761" s="4">
        <f t="array" ref="D761">IFERROR(AVERAGEIFS($B$2:$B$3757, $A$2:$A$3757, C761:C4515), "")</f>
        <v>6.3</v>
      </c>
      <c r="E761" s="4">
        <f t="shared" si="1"/>
        <v>43.6</v>
      </c>
      <c r="F761" s="4" t="str">
        <f t="array" ref="F761">IF(D761&gt;=_xlfn.PERCENTILE.INC(D761:D2419, 0.9), "High", "Low")</f>
        <v>Low</v>
      </c>
      <c r="L761" s="4" t="str">
        <f t="shared" si="2"/>
        <v/>
      </c>
    </row>
    <row r="762" ht="14.25" customHeight="1">
      <c r="A762" s="1" t="s">
        <v>4130</v>
      </c>
      <c r="B762" s="1">
        <v>4.8</v>
      </c>
      <c r="C762" s="4" t="str">
        <f>IFERROR(__xludf.DUMMYFUNCTION("""COMPUTED_VALUE"""),"Jeff Schaffer")</f>
        <v>Jeff Schaffer</v>
      </c>
      <c r="D762" s="4">
        <f t="array" ref="D762">IFERROR(AVERAGEIFS($B$2:$B$3757, $A$2:$A$3757, C762:C4516), "")</f>
        <v>6.6</v>
      </c>
      <c r="E762" s="4">
        <f t="shared" si="1"/>
        <v>55.6</v>
      </c>
      <c r="F762" s="4" t="str">
        <f t="array" ref="F762">IF(D762&gt;=_xlfn.PERCENTILE.INC(D762:D2420, 0.9), "High", "Low")</f>
        <v>Low</v>
      </c>
      <c r="L762" s="4" t="str">
        <f t="shared" si="2"/>
        <v/>
      </c>
    </row>
    <row r="763" ht="14.25" customHeight="1">
      <c r="A763" s="1" t="s">
        <v>4137</v>
      </c>
      <c r="B763" s="1">
        <v>6.2</v>
      </c>
      <c r="C763" s="4" t="str">
        <f>IFERROR(__xludf.DUMMYFUNCTION("""COMPUTED_VALUE"""),"Don Michael Paul")</f>
        <v>Don Michael Paul</v>
      </c>
      <c r="D763" s="4">
        <f t="array" ref="D763">IFERROR(AVERAGEIFS($B$2:$B$3757, $A$2:$A$3757, C763:C4517), "")</f>
        <v>3.3</v>
      </c>
      <c r="E763" s="4">
        <f t="shared" si="1"/>
        <v>1.7</v>
      </c>
      <c r="F763" s="4" t="str">
        <f t="array" ref="F763">IF(D763&gt;=_xlfn.PERCENTILE.INC(D763:D2421, 0.9), "High", "Low")</f>
        <v>Low</v>
      </c>
      <c r="L763" s="4" t="str">
        <f t="shared" si="2"/>
        <v/>
      </c>
    </row>
    <row r="764" ht="14.25" customHeight="1">
      <c r="A764" s="1" t="s">
        <v>4144</v>
      </c>
      <c r="B764" s="1">
        <v>6.0</v>
      </c>
      <c r="C764" s="4" t="str">
        <f>IFERROR(__xludf.DUMMYFUNCTION("""COMPUTED_VALUE"""),"James Bridges")</f>
        <v>James Bridges</v>
      </c>
      <c r="D764" s="4">
        <f t="array" ref="D764">IFERROR(AVERAGEIFS($B$2:$B$3757, $A$2:$A$3757, C764:C4518), "")</f>
        <v>5.6</v>
      </c>
      <c r="E764" s="4">
        <f t="shared" si="1"/>
        <v>22.2</v>
      </c>
      <c r="F764" s="4" t="str">
        <f t="array" ref="F764">IF(D764&gt;=_xlfn.PERCENTILE.INC(D764:D2422, 0.9), "High", "Low")</f>
        <v>Low</v>
      </c>
      <c r="L764" s="4" t="str">
        <f t="shared" si="2"/>
        <v/>
      </c>
    </row>
    <row r="765" ht="14.25" customHeight="1">
      <c r="A765" s="1" t="s">
        <v>3892</v>
      </c>
      <c r="B765" s="1">
        <v>4.9</v>
      </c>
      <c r="C765" s="4" t="str">
        <f>IFERROR(__xludf.DUMMYFUNCTION("""COMPUTED_VALUE"""),"Steve Barron")</f>
        <v>Steve Barron</v>
      </c>
      <c r="D765" s="4">
        <f t="array" ref="D765">IFERROR(AVERAGEIFS($B$2:$B$3757, $A$2:$A$3757, C765:C4519), "")</f>
        <v>5.3</v>
      </c>
      <c r="E765" s="4">
        <f t="shared" si="1"/>
        <v>15.6</v>
      </c>
      <c r="F765" s="4" t="str">
        <f t="array" ref="F765">IF(D765&gt;=_xlfn.PERCENTILE.INC(D765:D2423, 0.9), "High", "Low")</f>
        <v>Low</v>
      </c>
      <c r="L765" s="4" t="str">
        <f t="shared" si="2"/>
        <v/>
      </c>
    </row>
    <row r="766" ht="14.25" customHeight="1">
      <c r="A766" s="1" t="s">
        <v>4156</v>
      </c>
      <c r="B766" s="1">
        <v>5.6</v>
      </c>
      <c r="C766" s="4" t="str">
        <f>IFERROR(__xludf.DUMMYFUNCTION("""COMPUTED_VALUE"""),"Richard Kelly")</f>
        <v>Richard Kelly</v>
      </c>
      <c r="D766" s="4">
        <f t="array" ref="D766">IFERROR(AVERAGEIFS($B$2:$B$3757, $A$2:$A$3757, C766:C4520), "")</f>
        <v>6.4</v>
      </c>
      <c r="E766" s="4">
        <f t="shared" si="1"/>
        <v>46.9</v>
      </c>
      <c r="F766" s="4" t="str">
        <f t="array" ref="F766">IF(D766&gt;=_xlfn.PERCENTILE.INC(D766:D2424, 0.9), "High", "Low")</f>
        <v>Low</v>
      </c>
      <c r="L766" s="4" t="str">
        <f t="shared" si="2"/>
        <v/>
      </c>
    </row>
    <row r="767" ht="14.25" customHeight="1">
      <c r="A767" s="1" t="s">
        <v>813</v>
      </c>
      <c r="B767" s="1">
        <v>6.1</v>
      </c>
      <c r="C767" s="4" t="str">
        <f>IFERROR(__xludf.DUMMYFUNCTION("""COMPUTED_VALUE"""),"Carter Smith")</f>
        <v>Carter Smith</v>
      </c>
      <c r="D767" s="4">
        <f t="array" ref="D767">IFERROR(AVERAGEIFS($B$2:$B$3757, $A$2:$A$3757, C767:C4521), "")</f>
        <v>5.9</v>
      </c>
      <c r="E767" s="4">
        <f t="shared" si="1"/>
        <v>30</v>
      </c>
      <c r="F767" s="4" t="str">
        <f t="array" ref="F767">IF(D767&gt;=_xlfn.PERCENTILE.INC(D767:D2425, 0.9), "High", "Low")</f>
        <v>Low</v>
      </c>
      <c r="L767" s="4" t="str">
        <f t="shared" si="2"/>
        <v/>
      </c>
    </row>
    <row r="768" ht="14.25" customHeight="1">
      <c r="A768" s="1" t="s">
        <v>4166</v>
      </c>
      <c r="B768" s="1">
        <v>6.1</v>
      </c>
      <c r="C768" s="4" t="str">
        <f>IFERROR(__xludf.DUMMYFUNCTION("""COMPUTED_VALUE"""),"John Schlesinger")</f>
        <v>John Schlesinger</v>
      </c>
      <c r="D768" s="4">
        <f t="array" ref="D768">IFERROR(AVERAGEIFS($B$2:$B$3757, $A$2:$A$3757, C768:C4522), "")</f>
        <v>5.4</v>
      </c>
      <c r="E768" s="4">
        <f t="shared" si="1"/>
        <v>18.1</v>
      </c>
      <c r="F768" s="4" t="str">
        <f t="array" ref="F768">IF(D768&gt;=_xlfn.PERCENTILE.INC(D768:D2426, 0.9), "High", "Low")</f>
        <v>Low</v>
      </c>
      <c r="L768" s="4" t="str">
        <f t="shared" si="2"/>
        <v/>
      </c>
    </row>
    <row r="769" ht="14.25" customHeight="1">
      <c r="A769" s="1" t="s">
        <v>3627</v>
      </c>
      <c r="B769" s="1">
        <v>4.8</v>
      </c>
      <c r="C769" s="4" t="str">
        <f>IFERROR(__xludf.DUMMYFUNCTION("""COMPUTED_VALUE"""),"Ringo Lam")</f>
        <v>Ringo Lam</v>
      </c>
      <c r="D769" s="4">
        <f t="array" ref="D769">IFERROR(AVERAGEIFS($B$2:$B$3757, $A$2:$A$3757, C769:C4523), "")</f>
        <v>5.4</v>
      </c>
      <c r="E769" s="4">
        <f t="shared" si="1"/>
        <v>18.2</v>
      </c>
      <c r="F769" s="4" t="str">
        <f t="array" ref="F769">IF(D769&gt;=_xlfn.PERCENTILE.INC(D769:D2427, 0.9), "High", "Low")</f>
        <v>Low</v>
      </c>
      <c r="L769" s="4" t="str">
        <f t="shared" si="2"/>
        <v/>
      </c>
    </row>
    <row r="770" ht="14.25" customHeight="1">
      <c r="A770" s="1" t="s">
        <v>4175</v>
      </c>
      <c r="B770" s="1">
        <v>5.5</v>
      </c>
      <c r="C770" s="4" t="str">
        <f>IFERROR(__xludf.DUMMYFUNCTION("""COMPUTED_VALUE"""),"Bruce McCulloch")</f>
        <v>Bruce McCulloch</v>
      </c>
      <c r="D770" s="4">
        <f t="array" ref="D770">IFERROR(AVERAGEIFS($B$2:$B$3757, $A$2:$A$3757, C770:C4524), "")</f>
        <v>5.066666667</v>
      </c>
      <c r="E770" s="4">
        <f t="shared" si="1"/>
        <v>12</v>
      </c>
      <c r="F770" s="4" t="str">
        <f t="array" ref="F770">IF(D770&gt;=_xlfn.PERCENTILE.INC(D770:D2428, 0.9), "High", "Low")</f>
        <v>Low</v>
      </c>
      <c r="L770" s="4" t="str">
        <f t="shared" si="2"/>
        <v/>
      </c>
    </row>
    <row r="771" ht="14.25" customHeight="1">
      <c r="A771" s="1" t="s">
        <v>4182</v>
      </c>
      <c r="B771" s="1">
        <v>3.8</v>
      </c>
      <c r="C771" s="4" t="str">
        <f>IFERROR(__xludf.DUMMYFUNCTION("""COMPUTED_VALUE"""),"Patricia Riggen")</f>
        <v>Patricia Riggen</v>
      </c>
      <c r="D771" s="4">
        <f t="array" ref="D771">IFERROR(AVERAGEIFS($B$2:$B$3757, $A$2:$A$3757, C771:C4525), "")</f>
        <v>6.85</v>
      </c>
      <c r="E771" s="4">
        <f t="shared" si="1"/>
        <v>65.7</v>
      </c>
      <c r="F771" s="4" t="str">
        <f t="array" ref="F771">IF(D771&gt;=_xlfn.PERCENTILE.INC(D771:D2429, 0.9), "High", "Low")</f>
        <v>Low</v>
      </c>
      <c r="L771" s="4" t="str">
        <f t="shared" si="2"/>
        <v/>
      </c>
    </row>
    <row r="772" ht="14.25" customHeight="1">
      <c r="A772" s="1" t="s">
        <v>305</v>
      </c>
      <c r="B772" s="1">
        <v>6.5</v>
      </c>
      <c r="C772" s="4" t="str">
        <f>IFERROR(__xludf.DUMMYFUNCTION("""COMPUTED_VALUE"""),"Jonathan Kaplan")</f>
        <v>Jonathan Kaplan</v>
      </c>
      <c r="D772" s="4">
        <f t="array" ref="D772">IFERROR(AVERAGEIFS($B$2:$B$3757, $A$2:$A$3757, C772:C4526), "")</f>
        <v>6.4</v>
      </c>
      <c r="E772" s="4">
        <f t="shared" si="1"/>
        <v>46.9</v>
      </c>
      <c r="F772" s="4" t="str">
        <f t="array" ref="F772">IF(D772&gt;=_xlfn.PERCENTILE.INC(D772:D2430, 0.9), "High", "Low")</f>
        <v>Low</v>
      </c>
      <c r="L772" s="4" t="str">
        <f t="shared" si="2"/>
        <v/>
      </c>
    </row>
    <row r="773" ht="14.25" customHeight="1">
      <c r="A773" s="1" t="s">
        <v>4191</v>
      </c>
      <c r="B773" s="1">
        <v>6.7</v>
      </c>
      <c r="C773" s="4" t="str">
        <f>IFERROR(__xludf.DUMMYFUNCTION("""COMPUTED_VALUE"""),"Ole Bornedal")</f>
        <v>Ole Bornedal</v>
      </c>
      <c r="D773" s="4">
        <f t="array" ref="D773">IFERROR(AVERAGEIFS($B$2:$B$3757, $A$2:$A$3757, C773:C4527), "")</f>
        <v>5.9</v>
      </c>
      <c r="E773" s="4">
        <f t="shared" si="1"/>
        <v>29.8</v>
      </c>
      <c r="F773" s="4" t="str">
        <f t="array" ref="F773">IF(D773&gt;=_xlfn.PERCENTILE.INC(D773:D2431, 0.9), "High", "Low")</f>
        <v>Low</v>
      </c>
      <c r="L773" s="4" t="str">
        <f t="shared" si="2"/>
        <v/>
      </c>
    </row>
    <row r="774" ht="14.25" customHeight="1">
      <c r="A774" s="1" t="s">
        <v>4198</v>
      </c>
      <c r="B774" s="1">
        <v>8.1</v>
      </c>
      <c r="C774" s="4" t="str">
        <f>IFERROR(__xludf.DUMMYFUNCTION("""COMPUTED_VALUE"""),"Richard Benjamin")</f>
        <v>Richard Benjamin</v>
      </c>
      <c r="D774" s="4">
        <f t="array" ref="D774">IFERROR(AVERAGEIFS($B$2:$B$3757, $A$2:$A$3757, C774:C4528), "")</f>
        <v>4.733333333</v>
      </c>
      <c r="E774" s="4">
        <f t="shared" si="1"/>
        <v>9.6</v>
      </c>
      <c r="F774" s="4" t="str">
        <f t="array" ref="F774">IF(D774&gt;=_xlfn.PERCENTILE.INC(D774:D2432, 0.9), "High", "Low")</f>
        <v>Low</v>
      </c>
      <c r="L774" s="4" t="str">
        <f t="shared" si="2"/>
        <v/>
      </c>
    </row>
    <row r="775" ht="14.25" customHeight="1">
      <c r="A775" s="1" t="s">
        <v>4205</v>
      </c>
      <c r="B775" s="1">
        <v>4.9</v>
      </c>
      <c r="C775" s="4" t="str">
        <f>IFERROR(__xludf.DUMMYFUNCTION("""COMPUTED_VALUE"""),"Craig R. Baxley")</f>
        <v>Craig R. Baxley</v>
      </c>
      <c r="D775" s="4">
        <f t="array" ref="D775">IFERROR(AVERAGEIFS($B$2:$B$3757, $A$2:$A$3757, C775:C4529), "")</f>
        <v>5.55</v>
      </c>
      <c r="E775" s="4">
        <f t="shared" si="1"/>
        <v>21.6</v>
      </c>
      <c r="F775" s="4" t="str">
        <f t="array" ref="F775">IF(D775&gt;=_xlfn.PERCENTILE.INC(D775:D2433, 0.9), "High", "Low")</f>
        <v>Low</v>
      </c>
      <c r="L775" s="4" t="str">
        <f t="shared" si="2"/>
        <v/>
      </c>
    </row>
    <row r="776" ht="14.25" customHeight="1">
      <c r="A776" s="1" t="s">
        <v>3503</v>
      </c>
      <c r="B776" s="1">
        <v>7.3</v>
      </c>
      <c r="C776" s="4" t="str">
        <f>IFERROR(__xludf.DUMMYFUNCTION("""COMPUTED_VALUE"""),"John Hillcoat")</f>
        <v>John Hillcoat</v>
      </c>
      <c r="D776" s="4">
        <f t="array" ref="D776">IFERROR(AVERAGEIFS($B$2:$B$3757, $A$2:$A$3757, C776:C4530), "")</f>
        <v>7</v>
      </c>
      <c r="E776" s="4">
        <f t="shared" si="1"/>
        <v>69.6</v>
      </c>
      <c r="F776" s="4" t="str">
        <f t="array" ref="F776">IF(D776&gt;=_xlfn.PERCENTILE.INC(D776:D2434, 0.9), "High", "Low")</f>
        <v>Low</v>
      </c>
      <c r="L776" s="4" t="str">
        <f t="shared" si="2"/>
        <v/>
      </c>
    </row>
    <row r="777" ht="14.25" customHeight="1">
      <c r="A777" s="1" t="s">
        <v>461</v>
      </c>
      <c r="B777" s="1">
        <v>6.4</v>
      </c>
      <c r="C777" s="4" t="str">
        <f>IFERROR(__xludf.DUMMYFUNCTION("""COMPUTED_VALUE"""),"Marcos Siega")</f>
        <v>Marcos Siega</v>
      </c>
      <c r="D777" s="4">
        <f t="array" ref="D777">IFERROR(AVERAGEIFS($B$2:$B$3757, $A$2:$A$3757, C777:C4531), "")</f>
        <v>4.1</v>
      </c>
      <c r="E777" s="4">
        <f t="shared" si="1"/>
        <v>4.8</v>
      </c>
      <c r="F777" s="4" t="str">
        <f t="array" ref="F777">IF(D777&gt;=_xlfn.PERCENTILE.INC(D777:D2435, 0.9), "High", "Low")</f>
        <v>Low</v>
      </c>
      <c r="L777" s="4" t="str">
        <f t="shared" si="2"/>
        <v/>
      </c>
    </row>
    <row r="778" ht="14.25" customHeight="1">
      <c r="A778" s="1" t="s">
        <v>1961</v>
      </c>
      <c r="B778" s="1">
        <v>6.7</v>
      </c>
      <c r="C778" s="4" t="str">
        <f>IFERROR(__xludf.DUMMYFUNCTION("""COMPUTED_VALUE"""),"Rachel Talalay")</f>
        <v>Rachel Talalay</v>
      </c>
      <c r="D778" s="4">
        <f t="array" ref="D778">IFERROR(AVERAGEIFS($B$2:$B$3757, $A$2:$A$3757, C778:C4532), "")</f>
        <v>5.05</v>
      </c>
      <c r="E778" s="4">
        <f t="shared" si="1"/>
        <v>11.8</v>
      </c>
      <c r="F778" s="4" t="str">
        <f t="array" ref="F778">IF(D778&gt;=_xlfn.PERCENTILE.INC(D778:D2436, 0.9), "High", "Low")</f>
        <v>Low</v>
      </c>
      <c r="L778" s="4" t="str">
        <f t="shared" si="2"/>
        <v/>
      </c>
    </row>
    <row r="779" ht="14.25" customHeight="1">
      <c r="A779" s="1" t="s">
        <v>3900</v>
      </c>
      <c r="B779" s="1">
        <v>3.6</v>
      </c>
      <c r="C779" s="4" t="str">
        <f>IFERROR(__xludf.DUMMYFUNCTION("""COMPUTED_VALUE"""),"Jeffrey W. Byrd")</f>
        <v>Jeffrey W. Byrd</v>
      </c>
      <c r="D779" s="4">
        <f t="array" ref="D779">IFERROR(AVERAGEIFS($B$2:$B$3757, $A$2:$A$3757, C779:C4533), "")</f>
        <v>4.1</v>
      </c>
      <c r="E779" s="4">
        <f t="shared" si="1"/>
        <v>4.8</v>
      </c>
      <c r="F779" s="4" t="str">
        <f t="array" ref="F779">IF(D779&gt;=_xlfn.PERCENTILE.INC(D779:D2437, 0.9), "High", "Low")</f>
        <v>Low</v>
      </c>
      <c r="L779" s="4" t="str">
        <f t="shared" si="2"/>
        <v/>
      </c>
    </row>
    <row r="780" ht="14.25" customHeight="1">
      <c r="A780" s="1" t="s">
        <v>4233</v>
      </c>
      <c r="B780" s="1">
        <v>5.7</v>
      </c>
      <c r="C780" s="4" t="str">
        <f>IFERROR(__xludf.DUMMYFUNCTION("""COMPUTED_VALUE"""),"Atom Egoyan")</f>
        <v>Atom Egoyan</v>
      </c>
      <c r="D780" s="4">
        <f t="array" ref="D780">IFERROR(AVERAGEIFS($B$2:$B$3757, $A$2:$A$3757, C780:C4534), "")</f>
        <v>6.925</v>
      </c>
      <c r="E780" s="4">
        <f t="shared" si="1"/>
        <v>69</v>
      </c>
      <c r="F780" s="4" t="str">
        <f t="array" ref="F780">IF(D780&gt;=_xlfn.PERCENTILE.INC(D780:D2438, 0.9), "High", "Low")</f>
        <v>Low</v>
      </c>
      <c r="L780" s="4" t="str">
        <f t="shared" si="2"/>
        <v/>
      </c>
    </row>
    <row r="781" ht="14.25" customHeight="1">
      <c r="A781" s="1" t="s">
        <v>3229</v>
      </c>
      <c r="B781" s="1">
        <v>6.0</v>
      </c>
      <c r="C781" s="4" t="str">
        <f>IFERROR(__xludf.DUMMYFUNCTION("""COMPUTED_VALUE"""),"Robert Towne")</f>
        <v>Robert Towne</v>
      </c>
      <c r="D781" s="4">
        <f t="array" ref="D781">IFERROR(AVERAGEIFS($B$2:$B$3757, $A$2:$A$3757, C781:C4535), "")</f>
        <v>7.2</v>
      </c>
      <c r="E781" s="4">
        <f t="shared" si="1"/>
        <v>79</v>
      </c>
      <c r="F781" s="4" t="str">
        <f t="array" ref="F781">IF(D781&gt;=_xlfn.PERCENTILE.INC(D781:D2439, 0.9), "High", "Low")</f>
        <v>Low</v>
      </c>
      <c r="L781" s="4" t="str">
        <f t="shared" si="2"/>
        <v/>
      </c>
    </row>
    <row r="782" ht="14.25" customHeight="1">
      <c r="A782" s="1" t="s">
        <v>3791</v>
      </c>
      <c r="B782" s="1">
        <v>4.7</v>
      </c>
      <c r="C782" s="4" t="str">
        <f>IFERROR(__xludf.DUMMYFUNCTION("""COMPUTED_VALUE"""),"Giuseppe Tornatore")</f>
        <v>Giuseppe Tornatore</v>
      </c>
      <c r="D782" s="4">
        <f t="array" ref="D782">IFERROR(AVERAGEIFS($B$2:$B$3757, $A$2:$A$3757, C782:C4536), "")</f>
        <v>7.8</v>
      </c>
      <c r="E782" s="4">
        <f t="shared" si="1"/>
        <v>94.8</v>
      </c>
      <c r="F782" s="4" t="str">
        <f t="array" ref="F782">IF(D782&gt;=_xlfn.PERCENTILE.INC(D782:D2440, 0.9), "High", "Low")</f>
        <v>High</v>
      </c>
      <c r="L782" s="4" t="str">
        <f t="shared" si="2"/>
        <v/>
      </c>
    </row>
    <row r="783" ht="14.25" customHeight="1">
      <c r="A783" s="1" t="s">
        <v>772</v>
      </c>
      <c r="B783" s="1">
        <v>6.3</v>
      </c>
      <c r="C783" s="4" t="str">
        <f>IFERROR(__xludf.DUMMYFUNCTION("""COMPUTED_VALUE"""),"Werner Herzog")</f>
        <v>Werner Herzog</v>
      </c>
      <c r="D783" s="4">
        <f t="array" ref="D783">IFERROR(AVERAGEIFS($B$2:$B$3757, $A$2:$A$3757, C783:C4537), "")</f>
        <v>7</v>
      </c>
      <c r="E783" s="4">
        <f t="shared" si="1"/>
        <v>69.7</v>
      </c>
      <c r="F783" s="4" t="str">
        <f t="array" ref="F783">IF(D783&gt;=_xlfn.PERCENTILE.INC(D783:D2441, 0.9), "High", "Low")</f>
        <v>Low</v>
      </c>
      <c r="L783" s="4" t="str">
        <f t="shared" si="2"/>
        <v/>
      </c>
    </row>
    <row r="784" ht="14.25" customHeight="1">
      <c r="A784" s="1" t="s">
        <v>2246</v>
      </c>
      <c r="B784" s="1">
        <v>5.9</v>
      </c>
      <c r="C784" s="4" t="str">
        <f>IFERROR(__xludf.DUMMYFUNCTION("""COMPUTED_VALUE"""),"Leonard Nimoy")</f>
        <v>Leonard Nimoy</v>
      </c>
      <c r="D784" s="4">
        <f t="array" ref="D784">IFERROR(AVERAGEIFS($B$2:$B$3757, $A$2:$A$3757, C784:C4538), "")</f>
        <v>6.6</v>
      </c>
      <c r="E784" s="4">
        <f t="shared" si="1"/>
        <v>55.2</v>
      </c>
      <c r="F784" s="4" t="str">
        <f t="array" ref="F784">IF(D784&gt;=_xlfn.PERCENTILE.INC(D784:D2442, 0.9), "High", "Low")</f>
        <v>Low</v>
      </c>
      <c r="L784" s="4" t="str">
        <f t="shared" si="2"/>
        <v/>
      </c>
    </row>
    <row r="785" ht="14.25" customHeight="1">
      <c r="A785" s="1" t="s">
        <v>4261</v>
      </c>
      <c r="B785" s="1">
        <v>5.9</v>
      </c>
      <c r="C785" s="4" t="str">
        <f>IFERROR(__xludf.DUMMYFUNCTION("""COMPUTED_VALUE"""),"Herbert Ross")</f>
        <v>Herbert Ross</v>
      </c>
      <c r="D785" s="4">
        <f t="array" ref="D785">IFERROR(AVERAGEIFS($B$2:$B$3757, $A$2:$A$3757, C785:C4539), "")</f>
        <v>6.5</v>
      </c>
      <c r="E785" s="4">
        <f t="shared" si="1"/>
        <v>50.6</v>
      </c>
      <c r="F785" s="4" t="str">
        <f t="array" ref="F785">IF(D785&gt;=_xlfn.PERCENTILE.INC(D785:D2443, 0.9), "High", "Low")</f>
        <v>Low</v>
      </c>
      <c r="L785" s="4" t="str">
        <f t="shared" si="2"/>
        <v/>
      </c>
    </row>
    <row r="786" ht="14.25" customHeight="1">
      <c r="A786" s="1" t="s">
        <v>3582</v>
      </c>
      <c r="B786" s="1">
        <v>7.5</v>
      </c>
      <c r="C786" s="4" t="str">
        <f>IFERROR(__xludf.DUMMYFUNCTION("""COMPUTED_VALUE"""),"Bonnie Hunt")</f>
        <v>Bonnie Hunt</v>
      </c>
      <c r="D786" s="4">
        <f t="array" ref="D786">IFERROR(AVERAGEIFS($B$2:$B$3757, $A$2:$A$3757, C786:C4540), "")</f>
        <v>6.9</v>
      </c>
      <c r="E786" s="4">
        <f t="shared" si="1"/>
        <v>66.1</v>
      </c>
      <c r="F786" s="4" t="str">
        <f t="array" ref="F786">IF(D786&gt;=_xlfn.PERCENTILE.INC(D786:D2444, 0.9), "High", "Low")</f>
        <v>Low</v>
      </c>
      <c r="L786" s="4" t="str">
        <f t="shared" si="2"/>
        <v/>
      </c>
    </row>
    <row r="787" ht="14.25" customHeight="1">
      <c r="A787" s="1" t="s">
        <v>4270</v>
      </c>
      <c r="B787" s="1">
        <v>5.6</v>
      </c>
      <c r="C787" s="4" t="str">
        <f>IFERROR(__xludf.DUMMYFUNCTION("""COMPUTED_VALUE"""),"Neil LaBute")</f>
        <v>Neil LaBute</v>
      </c>
      <c r="D787" s="4">
        <f t="array" ref="D787">IFERROR(AVERAGEIFS($B$2:$B$3757, $A$2:$A$3757, C787:C4541), "")</f>
        <v>6.566666667</v>
      </c>
      <c r="E787" s="4">
        <f t="shared" si="1"/>
        <v>55.1</v>
      </c>
      <c r="F787" s="4" t="str">
        <f t="array" ref="F787">IF(D787&gt;=_xlfn.PERCENTILE.INC(D787:D2445, 0.9), "High", "Low")</f>
        <v>Low</v>
      </c>
      <c r="L787" s="4" t="str">
        <f t="shared" si="2"/>
        <v/>
      </c>
    </row>
    <row r="788" ht="14.25" customHeight="1">
      <c r="A788" s="1" t="s">
        <v>484</v>
      </c>
      <c r="B788" s="1">
        <v>6.4</v>
      </c>
      <c r="C788" s="4" t="str">
        <f>IFERROR(__xludf.DUMMYFUNCTION("""COMPUTED_VALUE"""),"Grant Heslov")</f>
        <v>Grant Heslov</v>
      </c>
      <c r="D788" s="4">
        <f t="array" ref="D788">IFERROR(AVERAGEIFS($B$2:$B$3757, $A$2:$A$3757, C788:C4542), "")</f>
        <v>6.2</v>
      </c>
      <c r="E788" s="4">
        <f t="shared" si="1"/>
        <v>40.8</v>
      </c>
      <c r="F788" s="4" t="str">
        <f t="array" ref="F788">IF(D788&gt;=_xlfn.PERCENTILE.INC(D788:D2446, 0.9), "High", "Low")</f>
        <v>Low</v>
      </c>
      <c r="L788" s="4" t="str">
        <f t="shared" si="2"/>
        <v/>
      </c>
    </row>
    <row r="789" ht="14.25" customHeight="1">
      <c r="A789" s="1" t="s">
        <v>252</v>
      </c>
      <c r="B789" s="1">
        <v>6.3</v>
      </c>
      <c r="C789" s="4" t="str">
        <f>IFERROR(__xludf.DUMMYFUNCTION("""COMPUTED_VALUE"""),"George Gallo")</f>
        <v>George Gallo</v>
      </c>
      <c r="D789" s="4">
        <f t="array" ref="D789">IFERROR(AVERAGEIFS($B$2:$B$3757, $A$2:$A$3757, C789:C4543), "")</f>
        <v>5.95</v>
      </c>
      <c r="E789" s="4">
        <f t="shared" si="1"/>
        <v>33.3</v>
      </c>
      <c r="F789" s="4" t="str">
        <f t="array" ref="F789">IF(D789&gt;=_xlfn.PERCENTILE.INC(D789:D2447, 0.9), "High", "Low")</f>
        <v>Low</v>
      </c>
      <c r="L789" s="4" t="str">
        <f t="shared" si="2"/>
        <v/>
      </c>
    </row>
    <row r="790" ht="14.25" customHeight="1">
      <c r="A790" s="1" t="s">
        <v>4285</v>
      </c>
      <c r="B790" s="1">
        <v>4.3</v>
      </c>
      <c r="C790" s="4" t="str">
        <f>IFERROR(__xludf.DUMMYFUNCTION("""COMPUTED_VALUE"""),"Sidney Lumet")</f>
        <v>Sidney Lumet</v>
      </c>
      <c r="D790" s="4">
        <f t="array" ref="D790">IFERROR(AVERAGEIFS($B$2:$B$3757, $A$2:$A$3757, C790:C4544), "")</f>
        <v>6.525</v>
      </c>
      <c r="E790" s="4">
        <f t="shared" si="1"/>
        <v>54.6</v>
      </c>
      <c r="F790" s="4" t="str">
        <f t="array" ref="F790">IF(D790&gt;=_xlfn.PERCENTILE.INC(D790:D2448, 0.9), "High", "Low")</f>
        <v>Low</v>
      </c>
      <c r="L790" s="4" t="str">
        <f t="shared" si="2"/>
        <v/>
      </c>
    </row>
    <row r="791" ht="14.25" customHeight="1">
      <c r="A791" s="1" t="s">
        <v>4291</v>
      </c>
      <c r="B791" s="1">
        <v>5.9</v>
      </c>
      <c r="C791" s="4" t="str">
        <f>IFERROR(__xludf.DUMMYFUNCTION("""COMPUTED_VALUE"""),"Douglas McGrath")</f>
        <v>Douglas McGrath</v>
      </c>
      <c r="D791" s="4">
        <f t="array" ref="D791">IFERROR(AVERAGEIFS($B$2:$B$3757, $A$2:$A$3757, C791:C4545), "")</f>
        <v>6.4</v>
      </c>
      <c r="E791" s="4">
        <f t="shared" si="1"/>
        <v>46.9</v>
      </c>
      <c r="F791" s="4" t="str">
        <f t="array" ref="F791">IF(D791&gt;=_xlfn.PERCENTILE.INC(D791:D2449, 0.9), "High", "Low")</f>
        <v>Low</v>
      </c>
      <c r="L791" s="4" t="str">
        <f t="shared" si="2"/>
        <v/>
      </c>
    </row>
    <row r="792" ht="14.25" customHeight="1">
      <c r="A792" s="1" t="s">
        <v>2502</v>
      </c>
      <c r="B792" s="1">
        <v>5.5</v>
      </c>
      <c r="C792" s="4" t="str">
        <f>IFERROR(__xludf.DUMMYFUNCTION("""COMPUTED_VALUE"""),"Kevin Spacey")</f>
        <v>Kevin Spacey</v>
      </c>
      <c r="D792" s="4">
        <f t="array" ref="D792">IFERROR(AVERAGEIFS($B$2:$B$3757, $A$2:$A$3757, C792:C4546), "")</f>
        <v>6.4</v>
      </c>
      <c r="E792" s="4">
        <f t="shared" si="1"/>
        <v>47</v>
      </c>
      <c r="F792" s="4" t="str">
        <f t="array" ref="F792">IF(D792&gt;=_xlfn.PERCENTILE.INC(D792:D2450, 0.9), "High", "Low")</f>
        <v>Low</v>
      </c>
      <c r="L792" s="4" t="str">
        <f t="shared" si="2"/>
        <v/>
      </c>
    </row>
    <row r="793" ht="14.25" customHeight="1">
      <c r="A793" s="1" t="s">
        <v>4302</v>
      </c>
      <c r="B793" s="1">
        <v>6.2</v>
      </c>
      <c r="C793" s="4" t="str">
        <f>IFERROR(__xludf.DUMMYFUNCTION("""COMPUTED_VALUE"""),"Richard Williams")</f>
        <v>Richard Williams</v>
      </c>
      <c r="D793" s="4">
        <f t="array" ref="D793">IFERROR(AVERAGEIFS($B$2:$B$3757, $A$2:$A$3757, C793:C4547), "")</f>
        <v>7.2</v>
      </c>
      <c r="E793" s="4">
        <f t="shared" si="1"/>
        <v>78.9</v>
      </c>
      <c r="F793" s="4" t="str">
        <f t="array" ref="F793">IF(D793&gt;=_xlfn.PERCENTILE.INC(D793:D2451, 0.9), "High", "Low")</f>
        <v>Low</v>
      </c>
      <c r="L793" s="4" t="str">
        <f t="shared" si="2"/>
        <v/>
      </c>
    </row>
    <row r="794" ht="14.25" customHeight="1">
      <c r="A794" s="1" t="s">
        <v>420</v>
      </c>
      <c r="B794" s="1">
        <v>8.8</v>
      </c>
      <c r="C794" s="4" t="str">
        <f>IFERROR(__xludf.DUMMYFUNCTION("""COMPUTED_VALUE"""),"Mary McGuckian")</f>
        <v>Mary McGuckian</v>
      </c>
      <c r="D794" s="4">
        <f t="array" ref="D794">IFERROR(AVERAGEIFS($B$2:$B$3757, $A$2:$A$3757, C794:C4548), "")</f>
        <v>5.1</v>
      </c>
      <c r="E794" s="4">
        <f t="shared" si="1"/>
        <v>11.9</v>
      </c>
      <c r="F794" s="4" t="str">
        <f t="array" ref="F794">IF(D794&gt;=_xlfn.PERCENTILE.INC(D794:D2452, 0.9), "High", "Low")</f>
        <v>Low</v>
      </c>
      <c r="L794" s="4" t="str">
        <f t="shared" si="2"/>
        <v/>
      </c>
    </row>
    <row r="795" ht="14.25" customHeight="1">
      <c r="A795" s="1" t="s">
        <v>3717</v>
      </c>
      <c r="B795" s="1">
        <v>5.2</v>
      </c>
      <c r="C795" s="4" t="str">
        <f>IFERROR(__xludf.DUMMYFUNCTION("""COMPUTED_VALUE"""),"Tony Goldwyn")</f>
        <v>Tony Goldwyn</v>
      </c>
      <c r="D795" s="4">
        <f t="array" ref="D795">IFERROR(AVERAGEIFS($B$2:$B$3757, $A$2:$A$3757, C795:C4549), "")</f>
        <v>6.35</v>
      </c>
      <c r="E795" s="4">
        <f t="shared" si="1"/>
        <v>46.5</v>
      </c>
      <c r="F795" s="4" t="str">
        <f t="array" ref="F795">IF(D795&gt;=_xlfn.PERCENTILE.INC(D795:D2453, 0.9), "High", "Low")</f>
        <v>Low</v>
      </c>
      <c r="L795" s="4" t="str">
        <f t="shared" si="2"/>
        <v/>
      </c>
    </row>
    <row r="796" ht="14.25" customHeight="1">
      <c r="A796" s="1" t="s">
        <v>1883</v>
      </c>
      <c r="B796" s="1">
        <v>7.0</v>
      </c>
      <c r="C796" s="4" t="str">
        <f>IFERROR(__xludf.DUMMYFUNCTION("""COMPUTED_VALUE"""),"Jonathan Newman")</f>
        <v>Jonathan Newman</v>
      </c>
      <c r="D796" s="4">
        <f t="array" ref="D796">IFERROR(AVERAGEIFS($B$2:$B$3757, $A$2:$A$3757, C796:C4550), "")</f>
        <v>5.4</v>
      </c>
      <c r="E796" s="4">
        <f t="shared" si="1"/>
        <v>18</v>
      </c>
      <c r="F796" s="4" t="str">
        <f t="array" ref="F796">IF(D796&gt;=_xlfn.PERCENTILE.INC(D796:D2454, 0.9), "High", "Low")</f>
        <v>Low</v>
      </c>
      <c r="L796" s="4" t="str">
        <f t="shared" si="2"/>
        <v/>
      </c>
    </row>
    <row r="797" ht="14.25" customHeight="1">
      <c r="A797" s="1" t="s">
        <v>4322</v>
      </c>
      <c r="B797" s="1">
        <v>6.6</v>
      </c>
      <c r="C797" s="4" t="str">
        <f>IFERROR(__xludf.DUMMYFUNCTION("""COMPUTED_VALUE"""),"Michael Dinner")</f>
        <v>Michael Dinner</v>
      </c>
      <c r="D797" s="4">
        <f t="array" ref="D797">IFERROR(AVERAGEIFS($B$2:$B$3757, $A$2:$A$3757, C797:C4551), "")</f>
        <v>5.6</v>
      </c>
      <c r="E797" s="4">
        <f t="shared" si="1"/>
        <v>21.8</v>
      </c>
      <c r="F797" s="4" t="str">
        <f t="array" ref="F797">IF(D797&gt;=_xlfn.PERCENTILE.INC(D797:D2455, 0.9), "High", "Low")</f>
        <v>Low</v>
      </c>
      <c r="L797" s="4" t="str">
        <f t="shared" si="2"/>
        <v/>
      </c>
    </row>
    <row r="798" ht="14.25" customHeight="1">
      <c r="A798" s="1" t="s">
        <v>1021</v>
      </c>
      <c r="B798" s="1">
        <v>7.3</v>
      </c>
      <c r="C798" s="4" t="str">
        <f>IFERROR(__xludf.DUMMYFUNCTION("""COMPUTED_VALUE"""),"Joseph Sargent")</f>
        <v>Joseph Sargent</v>
      </c>
      <c r="D798" s="4">
        <f t="array" ref="D798">IFERROR(AVERAGEIFS($B$2:$B$3757, $A$2:$A$3757, C798:C4552), "")</f>
        <v>2.8</v>
      </c>
      <c r="E798" s="4">
        <f t="shared" si="1"/>
        <v>0.5</v>
      </c>
      <c r="F798" s="4" t="str">
        <f t="array" ref="F798">IF(D798&gt;=_xlfn.PERCENTILE.INC(D798:D2456, 0.9), "High", "Low")</f>
        <v>Low</v>
      </c>
      <c r="L798" s="4" t="str">
        <f t="shared" si="2"/>
        <v/>
      </c>
    </row>
    <row r="799" ht="14.25" customHeight="1">
      <c r="A799" s="1" t="s">
        <v>499</v>
      </c>
      <c r="B799" s="1">
        <v>5.6</v>
      </c>
      <c r="C799" s="4" t="str">
        <f>IFERROR(__xludf.DUMMYFUNCTION("""COMPUTED_VALUE"""),"Jerry Zaks")</f>
        <v>Jerry Zaks</v>
      </c>
      <c r="D799" s="4">
        <f t="array" ref="D799">IFERROR(AVERAGEIFS($B$2:$B$3757, $A$2:$A$3757, C799:C4553), "")</f>
        <v>6.7</v>
      </c>
      <c r="E799" s="4">
        <f t="shared" si="1"/>
        <v>58.1</v>
      </c>
      <c r="F799" s="4" t="str">
        <f t="array" ref="F799">IF(D799&gt;=_xlfn.PERCENTILE.INC(D799:D2457, 0.9), "High", "Low")</f>
        <v>Low</v>
      </c>
      <c r="L799" s="4" t="str">
        <f t="shared" si="2"/>
        <v/>
      </c>
    </row>
    <row r="800" ht="14.25" customHeight="1">
      <c r="A800" s="1" t="s">
        <v>2976</v>
      </c>
      <c r="B800" s="1">
        <v>6.6</v>
      </c>
      <c r="C800" s="4" t="str">
        <f>IFERROR(__xludf.DUMMYFUNCTION("""COMPUTED_VALUE"""),"Fred Durst")</f>
        <v>Fred Durst</v>
      </c>
      <c r="D800" s="4">
        <f t="array" ref="D800">IFERROR(AVERAGEIFS($B$2:$B$3757, $A$2:$A$3757, C800:C4554), "")</f>
        <v>5.1</v>
      </c>
      <c r="E800" s="4">
        <f t="shared" si="1"/>
        <v>11.8</v>
      </c>
      <c r="F800" s="4" t="str">
        <f t="array" ref="F800">IF(D800&gt;=_xlfn.PERCENTILE.INC(D800:D2458, 0.9), "High", "Low")</f>
        <v>Low</v>
      </c>
      <c r="L800" s="4" t="str">
        <f t="shared" si="2"/>
        <v/>
      </c>
    </row>
    <row r="801" ht="14.25" customHeight="1">
      <c r="A801" s="1" t="s">
        <v>4339</v>
      </c>
      <c r="B801" s="1">
        <v>5.4</v>
      </c>
      <c r="C801" s="4" t="str">
        <f>IFERROR(__xludf.DUMMYFUNCTION("""COMPUTED_VALUE"""),"Anne Fontaine")</f>
        <v>Anne Fontaine</v>
      </c>
      <c r="D801" s="4">
        <f t="array" ref="D801">IFERROR(AVERAGEIFS($B$2:$B$3757, $A$2:$A$3757, C801:C4555), "")</f>
        <v>6.45</v>
      </c>
      <c r="E801" s="4">
        <f t="shared" si="1"/>
        <v>49.8</v>
      </c>
      <c r="F801" s="4" t="str">
        <f t="array" ref="F801">IF(D801&gt;=_xlfn.PERCENTILE.INC(D801:D2459, 0.9), "High", "Low")</f>
        <v>Low</v>
      </c>
      <c r="L801" s="4" t="str">
        <f t="shared" si="2"/>
        <v/>
      </c>
    </row>
    <row r="802" ht="14.25" customHeight="1">
      <c r="A802" s="1" t="s">
        <v>4345</v>
      </c>
      <c r="B802" s="1">
        <v>6.3</v>
      </c>
      <c r="C802" s="4" t="str">
        <f>IFERROR(__xludf.DUMMYFUNCTION("""COMPUTED_VALUE"""),"Mira Nair")</f>
        <v>Mira Nair</v>
      </c>
      <c r="D802" s="4">
        <f t="array" ref="D802">IFERROR(AVERAGEIFS($B$2:$B$3757, $A$2:$A$3757, C802:C4556), "")</f>
        <v>6.45</v>
      </c>
      <c r="E802" s="4">
        <f t="shared" si="1"/>
        <v>49.6</v>
      </c>
      <c r="F802" s="4" t="str">
        <f t="array" ref="F802">IF(D802&gt;=_xlfn.PERCENTILE.INC(D802:D2460, 0.9), "High", "Low")</f>
        <v>Low</v>
      </c>
      <c r="L802" s="4" t="str">
        <f t="shared" si="2"/>
        <v/>
      </c>
    </row>
    <row r="803" ht="14.25" customHeight="1">
      <c r="A803" s="1" t="s">
        <v>1110</v>
      </c>
      <c r="B803" s="1">
        <v>7.9</v>
      </c>
      <c r="C803" s="4" t="str">
        <f>IFERROR(__xludf.DUMMYFUNCTION("""COMPUTED_VALUE"""),"Mel Brooks")</f>
        <v>Mel Brooks</v>
      </c>
      <c r="D803" s="4">
        <f t="array" ref="D803">IFERROR(AVERAGEIFS($B$2:$B$3757, $A$2:$A$3757, C803:C4557), "")</f>
        <v>7.633333333</v>
      </c>
      <c r="E803" s="4">
        <f t="shared" si="1"/>
        <v>91.5</v>
      </c>
      <c r="F803" s="4" t="str">
        <f t="array" ref="F803">IF(D803&gt;=_xlfn.PERCENTILE.INC(D803:D2461, 0.9), "High", "Low")</f>
        <v>High</v>
      </c>
      <c r="L803" s="4" t="str">
        <f t="shared" si="2"/>
        <v/>
      </c>
    </row>
    <row r="804" ht="14.25" customHeight="1">
      <c r="A804" s="1" t="s">
        <v>772</v>
      </c>
      <c r="B804" s="1">
        <v>6.3</v>
      </c>
      <c r="C804" s="4" t="str">
        <f>IFERROR(__xludf.DUMMYFUNCTION("""COMPUTED_VALUE"""),"Russell Crowe")</f>
        <v>Russell Crowe</v>
      </c>
      <c r="D804" s="4">
        <f t="array" ref="D804">IFERROR(AVERAGEIFS($B$2:$B$3757, $A$2:$A$3757, C804:C4558), "")</f>
        <v>7.1</v>
      </c>
      <c r="E804" s="4">
        <f t="shared" si="1"/>
        <v>74.2</v>
      </c>
      <c r="F804" s="4" t="str">
        <f t="array" ref="F804">IF(D804&gt;=_xlfn.PERCENTILE.INC(D804:D2462, 0.9), "High", "Low")</f>
        <v>Low</v>
      </c>
      <c r="L804" s="4" t="str">
        <f t="shared" si="2"/>
        <v/>
      </c>
    </row>
    <row r="805" ht="14.25" customHeight="1">
      <c r="A805" s="1" t="s">
        <v>1790</v>
      </c>
      <c r="B805" s="1">
        <v>6.0</v>
      </c>
      <c r="C805" s="4" t="str">
        <f>IFERROR(__xludf.DUMMYFUNCTION("""COMPUTED_VALUE"""),"Jessie Nelson")</f>
        <v>Jessie Nelson</v>
      </c>
      <c r="D805" s="4">
        <f t="array" ref="D805">IFERROR(AVERAGEIFS($B$2:$B$3757, $A$2:$A$3757, C805:C4559), "")</f>
        <v>6.65</v>
      </c>
      <c r="E805" s="4">
        <f t="shared" si="1"/>
        <v>57.7</v>
      </c>
      <c r="F805" s="4" t="str">
        <f t="array" ref="F805">IF(D805&gt;=_xlfn.PERCENTILE.INC(D805:D2463, 0.9), "High", "Low")</f>
        <v>Low</v>
      </c>
      <c r="L805" s="4" t="str">
        <f t="shared" si="2"/>
        <v/>
      </c>
    </row>
    <row r="806" ht="14.25" customHeight="1">
      <c r="A806" s="1" t="s">
        <v>2938</v>
      </c>
      <c r="B806" s="1">
        <v>7.2</v>
      </c>
      <c r="C806" s="4" t="str">
        <f>IFERROR(__xludf.DUMMYFUNCTION("""COMPUTED_VALUE"""),"Christopher Spencer")</f>
        <v>Christopher Spencer</v>
      </c>
      <c r="D806" s="4">
        <f t="array" ref="D806">IFERROR(AVERAGEIFS($B$2:$B$3757, $A$2:$A$3757, C806:C4560), "")</f>
        <v>5.6</v>
      </c>
      <c r="E806" s="4">
        <f t="shared" si="1"/>
        <v>21.8</v>
      </c>
      <c r="F806" s="4" t="str">
        <f t="array" ref="F806">IF(D806&gt;=_xlfn.PERCENTILE.INC(D806:D2464, 0.9), "High", "Low")</f>
        <v>Low</v>
      </c>
      <c r="L806" s="4" t="str">
        <f t="shared" si="2"/>
        <v/>
      </c>
    </row>
    <row r="807" ht="14.25" customHeight="1">
      <c r="A807" s="1" t="s">
        <v>4367</v>
      </c>
      <c r="B807" s="1">
        <v>5.1</v>
      </c>
      <c r="C807" s="4" t="str">
        <f>IFERROR(__xludf.DUMMYFUNCTION("""COMPUTED_VALUE"""),"Mike Bigelow")</f>
        <v>Mike Bigelow</v>
      </c>
      <c r="D807" s="4">
        <f t="array" ref="D807">IFERROR(AVERAGEIFS($B$2:$B$3757, $A$2:$A$3757, C807:C4561), "")</f>
        <v>4.6</v>
      </c>
      <c r="E807" s="4">
        <f t="shared" si="1"/>
        <v>7.6</v>
      </c>
      <c r="F807" s="4" t="str">
        <f t="array" ref="F807">IF(D807&gt;=_xlfn.PERCENTILE.INC(D807:D2465, 0.9), "High", "Low")</f>
        <v>Low</v>
      </c>
      <c r="L807" s="4" t="str">
        <f t="shared" si="2"/>
        <v/>
      </c>
    </row>
    <row r="808" ht="14.25" customHeight="1">
      <c r="A808" s="1" t="s">
        <v>1656</v>
      </c>
      <c r="B808" s="1">
        <v>7.3</v>
      </c>
      <c r="C808" s="4" t="str">
        <f>IFERROR(__xludf.DUMMYFUNCTION("""COMPUTED_VALUE"""),"Daniel Sackheim")</f>
        <v>Daniel Sackheim</v>
      </c>
      <c r="D808" s="4">
        <f t="array" ref="D808">IFERROR(AVERAGEIFS($B$2:$B$3757, $A$2:$A$3757, C808:C4562), "")</f>
        <v>5.8</v>
      </c>
      <c r="E808" s="4">
        <f t="shared" si="1"/>
        <v>27.3</v>
      </c>
      <c r="F808" s="4" t="str">
        <f t="array" ref="F808">IF(D808&gt;=_xlfn.PERCENTILE.INC(D808:D2466, 0.9), "High", "Low")</f>
        <v>Low</v>
      </c>
      <c r="L808" s="4" t="str">
        <f t="shared" si="2"/>
        <v/>
      </c>
    </row>
    <row r="809" ht="14.25" customHeight="1">
      <c r="A809" s="1" t="s">
        <v>4376</v>
      </c>
      <c r="B809" s="1">
        <v>8.0</v>
      </c>
      <c r="C809" s="4" t="str">
        <f>IFERROR(__xludf.DUMMYFUNCTION("""COMPUTED_VALUE"""),"Harry Elfont")</f>
        <v>Harry Elfont</v>
      </c>
      <c r="D809" s="4">
        <f t="array" ref="D809">IFERROR(AVERAGEIFS($B$2:$B$3757, $A$2:$A$3757, C809:C4563), "")</f>
        <v>5.9</v>
      </c>
      <c r="E809" s="4">
        <f t="shared" si="1"/>
        <v>29.6</v>
      </c>
      <c r="F809" s="4" t="str">
        <f t="array" ref="F809">IF(D809&gt;=_xlfn.PERCENTILE.INC(D809:D2467, 0.9), "High", "Low")</f>
        <v>Low</v>
      </c>
      <c r="L809" s="4" t="str">
        <f t="shared" si="2"/>
        <v/>
      </c>
    </row>
    <row r="810" ht="14.25" customHeight="1">
      <c r="A810" s="1" t="s">
        <v>1205</v>
      </c>
      <c r="B810" s="1">
        <v>6.2</v>
      </c>
      <c r="C810" s="4" t="str">
        <f>IFERROR(__xludf.DUMMYFUNCTION("""COMPUTED_VALUE"""),"Uli Edel")</f>
        <v>Uli Edel</v>
      </c>
      <c r="D810" s="4">
        <f t="array" ref="D810">IFERROR(AVERAGEIFS($B$2:$B$3757, $A$2:$A$3757, C810:C4564), "")</f>
        <v>6.55</v>
      </c>
      <c r="E810" s="4">
        <f t="shared" si="1"/>
        <v>54.5</v>
      </c>
      <c r="F810" s="4" t="str">
        <f t="array" ref="F810">IF(D810&gt;=_xlfn.PERCENTILE.INC(D810:D2468, 0.9), "High", "Low")</f>
        <v>Low</v>
      </c>
      <c r="L810" s="4" t="str">
        <f t="shared" si="2"/>
        <v/>
      </c>
    </row>
    <row r="811" ht="14.25" customHeight="1">
      <c r="A811" s="1" t="s">
        <v>2962</v>
      </c>
      <c r="B811" s="1">
        <v>6.0</v>
      </c>
      <c r="C811" s="4" t="str">
        <f>IFERROR(__xludf.DUMMYFUNCTION("""COMPUTED_VALUE"""),"Fred Dekker")</f>
        <v>Fred Dekker</v>
      </c>
      <c r="D811" s="4">
        <f t="array" ref="D811">IFERROR(AVERAGEIFS($B$2:$B$3757, $A$2:$A$3757, C811:C4565), "")</f>
        <v>3.9</v>
      </c>
      <c r="E811" s="4">
        <f t="shared" si="1"/>
        <v>3.5</v>
      </c>
      <c r="F811" s="4" t="str">
        <f t="array" ref="F811">IF(D811&gt;=_xlfn.PERCENTILE.INC(D811:D2469, 0.9), "High", "Low")</f>
        <v>Low</v>
      </c>
      <c r="L811" s="4" t="str">
        <f t="shared" si="2"/>
        <v/>
      </c>
    </row>
    <row r="812" ht="14.25" customHeight="1">
      <c r="A812" s="1" t="s">
        <v>1790</v>
      </c>
      <c r="B812" s="1">
        <v>6.7</v>
      </c>
      <c r="C812" s="4" t="str">
        <f>IFERROR(__xludf.DUMMYFUNCTION("""COMPUTED_VALUE"""),"Brian Trenchard-Smith")</f>
        <v>Brian Trenchard-Smith</v>
      </c>
      <c r="D812" s="4">
        <f t="array" ref="D812">IFERROR(AVERAGEIFS($B$2:$B$3757, $A$2:$A$3757, C812:C4566), "")</f>
        <v>4.1</v>
      </c>
      <c r="E812" s="4">
        <f t="shared" si="1"/>
        <v>4.7</v>
      </c>
      <c r="F812" s="4" t="str">
        <f t="array" ref="F812">IF(D812&gt;=_xlfn.PERCENTILE.INC(D812:D2470, 0.9), "High", "Low")</f>
        <v>Low</v>
      </c>
      <c r="L812" s="4" t="str">
        <f t="shared" si="2"/>
        <v/>
      </c>
    </row>
    <row r="813" ht="14.25" customHeight="1">
      <c r="A813" s="1" t="s">
        <v>1681</v>
      </c>
      <c r="B813" s="1">
        <v>8.1</v>
      </c>
      <c r="C813" s="4" t="str">
        <f>IFERROR(__xludf.DUMMYFUNCTION("""COMPUTED_VALUE"""),"Blake Edwards")</f>
        <v>Blake Edwards</v>
      </c>
      <c r="D813" s="4">
        <f t="array" ref="D813">IFERROR(AVERAGEIFS($B$2:$B$3757, $A$2:$A$3757, C813:C4567), "")</f>
        <v>6.2</v>
      </c>
      <c r="E813" s="4">
        <f t="shared" si="1"/>
        <v>40.6</v>
      </c>
      <c r="F813" s="4" t="str">
        <f t="array" ref="F813">IF(D813&gt;=_xlfn.PERCENTILE.INC(D813:D2471, 0.9), "High", "Low")</f>
        <v>Low</v>
      </c>
      <c r="L813" s="4" t="str">
        <f t="shared" si="2"/>
        <v/>
      </c>
    </row>
    <row r="814" ht="14.25" customHeight="1">
      <c r="A814" s="1" t="s">
        <v>1872</v>
      </c>
      <c r="B814" s="1">
        <v>6.4</v>
      </c>
      <c r="C814" s="4" t="str">
        <f>IFERROR(__xludf.DUMMYFUNCTION("""COMPUTED_VALUE"""),"Christian Carion")</f>
        <v>Christian Carion</v>
      </c>
      <c r="D814" s="4">
        <f t="array" ref="D814">IFERROR(AVERAGEIFS($B$2:$B$3757, $A$2:$A$3757, C814:C4568), "")</f>
        <v>7.8</v>
      </c>
      <c r="E814" s="4">
        <f t="shared" si="1"/>
        <v>94.7</v>
      </c>
      <c r="F814" s="4" t="str">
        <f t="array" ref="F814">IF(D814&gt;=_xlfn.PERCENTILE.INC(D814:D2472, 0.9), "High", "Low")</f>
        <v>High</v>
      </c>
      <c r="L814" s="4" t="str">
        <f t="shared" si="2"/>
        <v/>
      </c>
    </row>
    <row r="815" ht="14.25" customHeight="1">
      <c r="A815" s="1" t="s">
        <v>1681</v>
      </c>
      <c r="B815" s="1">
        <v>8.0</v>
      </c>
      <c r="C815" s="4" t="str">
        <f>IFERROR(__xludf.DUMMYFUNCTION("""COMPUTED_VALUE"""),"David Palmer")</f>
        <v>David Palmer</v>
      </c>
      <c r="D815" s="4">
        <f t="array" ref="D815">IFERROR(AVERAGEIFS($B$2:$B$3757, $A$2:$A$3757, C815:C4569), "")</f>
        <v>6.1</v>
      </c>
      <c r="E815" s="4">
        <f t="shared" si="1"/>
        <v>36.1</v>
      </c>
      <c r="F815" s="4" t="str">
        <f t="array" ref="F815">IF(D815&gt;=_xlfn.PERCENTILE.INC(D815:D2473, 0.9), "High", "Low")</f>
        <v>Low</v>
      </c>
      <c r="L815" s="4" t="str">
        <f t="shared" si="2"/>
        <v/>
      </c>
    </row>
    <row r="816" ht="14.25" customHeight="1">
      <c r="A816" s="1" t="s">
        <v>2204</v>
      </c>
      <c r="B816" s="1">
        <v>6.3</v>
      </c>
      <c r="C816" s="4" t="str">
        <f>IFERROR(__xludf.DUMMYFUNCTION("""COMPUTED_VALUE"""),"Rowan Joffe")</f>
        <v>Rowan Joffe</v>
      </c>
      <c r="D816" s="4">
        <f t="array" ref="D816">IFERROR(AVERAGEIFS($B$2:$B$3757, $A$2:$A$3757, C816:C4570), "")</f>
        <v>6.3</v>
      </c>
      <c r="E816" s="4">
        <f t="shared" si="1"/>
        <v>43.1</v>
      </c>
      <c r="F816" s="4" t="str">
        <f t="array" ref="F816">IF(D816&gt;=_xlfn.PERCENTILE.INC(D816:D2474, 0.9), "High", "Low")</f>
        <v>Low</v>
      </c>
      <c r="L816" s="4" t="str">
        <f t="shared" si="2"/>
        <v/>
      </c>
    </row>
    <row r="817" ht="14.25" customHeight="1">
      <c r="A817" s="1" t="s">
        <v>420</v>
      </c>
      <c r="B817" s="1">
        <v>6.4</v>
      </c>
      <c r="C817" s="4" t="str">
        <f>IFERROR(__xludf.DUMMYFUNCTION("""COMPUTED_VALUE"""),"John Curran")</f>
        <v>John Curran</v>
      </c>
      <c r="D817" s="4">
        <f t="array" ref="D817">IFERROR(AVERAGEIFS($B$2:$B$3757, $A$2:$A$3757, C817:C4571), "")</f>
        <v>6.45</v>
      </c>
      <c r="E817" s="4">
        <f t="shared" si="1"/>
        <v>49.5</v>
      </c>
      <c r="F817" s="4" t="str">
        <f t="array" ref="F817">IF(D817&gt;=_xlfn.PERCENTILE.INC(D817:D2475, 0.9), "High", "Low")</f>
        <v>Low</v>
      </c>
      <c r="L817" s="4" t="str">
        <f t="shared" si="2"/>
        <v/>
      </c>
    </row>
    <row r="818" ht="14.25" customHeight="1">
      <c r="A818" s="1" t="s">
        <v>4415</v>
      </c>
      <c r="B818" s="1">
        <v>6.6</v>
      </c>
      <c r="C818" s="4" t="str">
        <f>IFERROR(__xludf.DUMMYFUNCTION("""COMPUTED_VALUE"""),"Laurent Tirard")</f>
        <v>Laurent Tirard</v>
      </c>
      <c r="D818" s="4">
        <f t="array" ref="D818">IFERROR(AVERAGEIFS($B$2:$B$3757, $A$2:$A$3757, C818:C4572), "")</f>
        <v>7.3</v>
      </c>
      <c r="E818" s="4">
        <f t="shared" si="1"/>
        <v>82.9</v>
      </c>
      <c r="F818" s="4" t="str">
        <f t="array" ref="F818">IF(D818&gt;=_xlfn.PERCENTILE.INC(D818:D2476, 0.9), "High", "Low")</f>
        <v>Low</v>
      </c>
      <c r="L818" s="4" t="str">
        <f t="shared" si="2"/>
        <v/>
      </c>
    </row>
    <row r="819" ht="14.25" customHeight="1">
      <c r="A819" s="1" t="s">
        <v>4039</v>
      </c>
      <c r="B819" s="1">
        <v>6.4</v>
      </c>
      <c r="C819" s="4" t="str">
        <f>IFERROR(__xludf.DUMMYFUNCTION("""COMPUTED_VALUE"""),"Trey Parker")</f>
        <v>Trey Parker</v>
      </c>
      <c r="D819" s="4">
        <f t="array" ref="D819">IFERROR(AVERAGEIFS($B$2:$B$3757, $A$2:$A$3757, C819:C4573), "")</f>
        <v>7.066666667</v>
      </c>
      <c r="E819" s="4">
        <f t="shared" si="1"/>
        <v>74</v>
      </c>
      <c r="F819" s="4" t="str">
        <f t="array" ref="F819">IF(D819&gt;=_xlfn.PERCENTILE.INC(D819:D2477, 0.9), "High", "Low")</f>
        <v>Low</v>
      </c>
      <c r="L819" s="4" t="str">
        <f t="shared" si="2"/>
        <v/>
      </c>
    </row>
    <row r="820" ht="14.25" customHeight="1">
      <c r="A820" s="1" t="s">
        <v>1961</v>
      </c>
      <c r="B820" s="1">
        <v>6.0</v>
      </c>
      <c r="C820" s="4" t="str">
        <f>IFERROR(__xludf.DUMMYFUNCTION("""COMPUTED_VALUE"""),"Stuart Gillard")</f>
        <v>Stuart Gillard</v>
      </c>
      <c r="D820" s="4">
        <f t="array" ref="D820">IFERROR(AVERAGEIFS($B$2:$B$3757, $A$2:$A$3757, C820:C4574), "")</f>
        <v>4.8</v>
      </c>
      <c r="E820" s="4">
        <f t="shared" si="1"/>
        <v>9.4</v>
      </c>
      <c r="F820" s="4" t="str">
        <f t="array" ref="F820">IF(D820&gt;=_xlfn.PERCENTILE.INC(D820:D2478, 0.9), "High", "Low")</f>
        <v>Low</v>
      </c>
      <c r="L820" s="4" t="str">
        <f t="shared" si="2"/>
        <v/>
      </c>
    </row>
    <row r="821" ht="14.25" customHeight="1">
      <c r="A821" s="1" t="s">
        <v>909</v>
      </c>
      <c r="B821" s="1">
        <v>6.6</v>
      </c>
      <c r="C821" s="4" t="str">
        <f>IFERROR(__xludf.DUMMYFUNCTION("""COMPUTED_VALUE"""),"Katt Shea")</f>
        <v>Katt Shea</v>
      </c>
      <c r="D821" s="4">
        <f t="array" ref="D821">IFERROR(AVERAGEIFS($B$2:$B$3757, $A$2:$A$3757, C821:C4575), "")</f>
        <v>4.6</v>
      </c>
      <c r="E821" s="4">
        <f t="shared" si="1"/>
        <v>7.5</v>
      </c>
      <c r="F821" s="4" t="str">
        <f t="array" ref="F821">IF(D821&gt;=_xlfn.PERCENTILE.INC(D821:D2479, 0.9), "High", "Low")</f>
        <v>Low</v>
      </c>
      <c r="L821" s="4" t="str">
        <f t="shared" si="2"/>
        <v/>
      </c>
    </row>
    <row r="822" ht="14.25" customHeight="1">
      <c r="A822" s="1" t="s">
        <v>4435</v>
      </c>
      <c r="B822" s="1">
        <v>5.9</v>
      </c>
      <c r="C822" s="4" t="str">
        <f>IFERROR(__xludf.DUMMYFUNCTION("""COMPUTED_VALUE"""),"Joshua Michael Stern")</f>
        <v>Joshua Michael Stern</v>
      </c>
      <c r="D822" s="4">
        <f t="array" ref="D822">IFERROR(AVERAGEIFS($B$2:$B$3757, $A$2:$A$3757, C822:C4576), "")</f>
        <v>6.1</v>
      </c>
      <c r="E822" s="4">
        <f t="shared" si="1"/>
        <v>36.1</v>
      </c>
      <c r="F822" s="4" t="str">
        <f t="array" ref="F822">IF(D822&gt;=_xlfn.PERCENTILE.INC(D822:D2480, 0.9), "High", "Low")</f>
        <v>Low</v>
      </c>
      <c r="L822" s="4" t="str">
        <f t="shared" si="2"/>
        <v/>
      </c>
    </row>
    <row r="823" ht="14.25" customHeight="1">
      <c r="A823" s="1" t="s">
        <v>648</v>
      </c>
      <c r="B823" s="1">
        <v>6.4</v>
      </c>
      <c r="C823" s="4" t="str">
        <f>IFERROR(__xludf.DUMMYFUNCTION("""COMPUTED_VALUE"""),"Tomas Alfredson")</f>
        <v>Tomas Alfredson</v>
      </c>
      <c r="D823" s="4">
        <f t="array" ref="D823">IFERROR(AVERAGEIFS($B$2:$B$3757, $A$2:$A$3757, C823:C4577), "")</f>
        <v>7.1</v>
      </c>
      <c r="E823" s="4">
        <f t="shared" si="1"/>
        <v>74</v>
      </c>
      <c r="F823" s="4" t="str">
        <f t="array" ref="F823">IF(D823&gt;=_xlfn.PERCENTILE.INC(D823:D2481, 0.9), "High", "Low")</f>
        <v>Low</v>
      </c>
      <c r="L823" s="4" t="str">
        <f t="shared" si="2"/>
        <v/>
      </c>
    </row>
    <row r="824" ht="14.25" customHeight="1">
      <c r="A824" s="1" t="s">
        <v>4446</v>
      </c>
      <c r="B824" s="1">
        <v>6.3</v>
      </c>
      <c r="C824" s="4" t="str">
        <f>IFERROR(__xludf.DUMMYFUNCTION("""COMPUTED_VALUE"""),"John Duigan")</f>
        <v>John Duigan</v>
      </c>
      <c r="D824" s="4">
        <f t="array" ref="D824">IFERROR(AVERAGEIFS($B$2:$B$3757, $A$2:$A$3757, C824:C4578), "")</f>
        <v>5.8</v>
      </c>
      <c r="E824" s="4">
        <f t="shared" si="1"/>
        <v>27.4</v>
      </c>
      <c r="F824" s="4" t="str">
        <f t="array" ref="F824">IF(D824&gt;=_xlfn.PERCENTILE.INC(D824:D2482, 0.9), "High", "Low")</f>
        <v>Low</v>
      </c>
      <c r="L824" s="4" t="str">
        <f t="shared" si="2"/>
        <v/>
      </c>
    </row>
    <row r="825" ht="14.25" customHeight="1">
      <c r="A825" s="1" t="s">
        <v>4454</v>
      </c>
      <c r="B825" s="1">
        <v>7.3</v>
      </c>
      <c r="C825" s="4" t="str">
        <f>IFERROR(__xludf.DUMMYFUNCTION("""COMPUTED_VALUE"""),"Colin Higgins")</f>
        <v>Colin Higgins</v>
      </c>
      <c r="D825" s="4">
        <f t="array" ref="D825">IFERROR(AVERAGEIFS($B$2:$B$3757, $A$2:$A$3757, C825:C4579), "")</f>
        <v>5.8</v>
      </c>
      <c r="E825" s="4">
        <f t="shared" si="1"/>
        <v>27.4</v>
      </c>
      <c r="F825" s="4" t="str">
        <f t="array" ref="F825">IF(D825&gt;=_xlfn.PERCENTILE.INC(D825:D2483, 0.9), "High", "Low")</f>
        <v>Low</v>
      </c>
      <c r="L825" s="4" t="str">
        <f t="shared" si="2"/>
        <v/>
      </c>
    </row>
    <row r="826" ht="14.25" customHeight="1">
      <c r="A826" s="1" t="s">
        <v>2604</v>
      </c>
      <c r="B826" s="1">
        <v>6.8</v>
      </c>
      <c r="C826" s="4" t="str">
        <f>IFERROR(__xludf.DUMMYFUNCTION("""COMPUTED_VALUE"""),"Jim Sonzero")</f>
        <v>Jim Sonzero</v>
      </c>
      <c r="D826" s="4">
        <f t="array" ref="D826">IFERROR(AVERAGEIFS($B$2:$B$3757, $A$2:$A$3757, C826:C4580), "")</f>
        <v>4.7</v>
      </c>
      <c r="E826" s="4">
        <f t="shared" si="1"/>
        <v>8.5</v>
      </c>
      <c r="F826" s="4" t="str">
        <f t="array" ref="F826">IF(D826&gt;=_xlfn.PERCENTILE.INC(D826:D2484, 0.9), "High", "Low")</f>
        <v>Low</v>
      </c>
      <c r="L826" s="4" t="str">
        <f t="shared" si="2"/>
        <v/>
      </c>
    </row>
    <row r="827" ht="14.25" customHeight="1">
      <c r="A827" s="1" t="s">
        <v>4464</v>
      </c>
      <c r="B827" s="1">
        <v>7.2</v>
      </c>
      <c r="C827" s="4" t="str">
        <f>IFERROR(__xludf.DUMMYFUNCTION("""COMPUTED_VALUE"""),"Penelope Spheeris")</f>
        <v>Penelope Spheeris</v>
      </c>
      <c r="D827" s="4">
        <f t="array" ref="D827">IFERROR(AVERAGEIFS($B$2:$B$3757, $A$2:$A$3757, C827:C4581), "")</f>
        <v>7</v>
      </c>
      <c r="E827" s="4">
        <f t="shared" si="1"/>
        <v>69.1</v>
      </c>
      <c r="F827" s="4" t="str">
        <f t="array" ref="F827">IF(D827&gt;=_xlfn.PERCENTILE.INC(D827:D2485, 0.9), "High", "Low")</f>
        <v>Low</v>
      </c>
      <c r="L827" s="4" t="str">
        <f t="shared" si="2"/>
        <v/>
      </c>
    </row>
    <row r="828" ht="14.25" customHeight="1">
      <c r="A828" s="1" t="s">
        <v>4470</v>
      </c>
      <c r="B828" s="1">
        <v>5.7</v>
      </c>
      <c r="C828" s="4" t="str">
        <f>IFERROR(__xludf.DUMMYFUNCTION("""COMPUTED_VALUE"""),"Jeff Tremaine")</f>
        <v>Jeff Tremaine</v>
      </c>
      <c r="D828" s="4">
        <f t="array" ref="D828">IFERROR(AVERAGEIFS($B$2:$B$3757, $A$2:$A$3757, C828:C4582), "")</f>
        <v>6.766666667</v>
      </c>
      <c r="E828" s="4">
        <f t="shared" si="1"/>
        <v>61.5</v>
      </c>
      <c r="F828" s="4" t="str">
        <f t="array" ref="F828">IF(D828&gt;=_xlfn.PERCENTILE.INC(D828:D2486, 0.9), "High", "Low")</f>
        <v>Low</v>
      </c>
      <c r="L828" s="4" t="str">
        <f t="shared" si="2"/>
        <v/>
      </c>
    </row>
    <row r="829" ht="14.25" customHeight="1">
      <c r="A829" s="1" t="s">
        <v>4475</v>
      </c>
      <c r="B829" s="1">
        <v>6.0</v>
      </c>
      <c r="C829" s="4" t="str">
        <f>IFERROR(__xludf.DUMMYFUNCTION("""COMPUTED_VALUE"""),"Jeannot Szwarc")</f>
        <v>Jeannot Szwarc</v>
      </c>
      <c r="D829" s="4">
        <f t="array" ref="D829">IFERROR(AVERAGEIFS($B$2:$B$3757, $A$2:$A$3757, C829:C4583), "")</f>
        <v>5.7</v>
      </c>
      <c r="E829" s="4">
        <f t="shared" si="1"/>
        <v>25</v>
      </c>
      <c r="F829" s="4" t="str">
        <f t="array" ref="F829">IF(D829&gt;=_xlfn.PERCENTILE.INC(D829:D2487, 0.9), "High", "Low")</f>
        <v>Low</v>
      </c>
      <c r="L829" s="4" t="str">
        <f t="shared" si="2"/>
        <v/>
      </c>
    </row>
    <row r="830" ht="14.25" customHeight="1">
      <c r="A830" s="1" t="s">
        <v>666</v>
      </c>
      <c r="B830" s="1">
        <v>6.5</v>
      </c>
      <c r="C830" s="4" t="str">
        <f>IFERROR(__xludf.DUMMYFUNCTION("""COMPUTED_VALUE"""),"Steve McQueen")</f>
        <v>Steve McQueen</v>
      </c>
      <c r="D830" s="4">
        <f t="array" ref="D830">IFERROR(AVERAGEIFS($B$2:$B$3757, $A$2:$A$3757, C830:C4584), "")</f>
        <v>7.7</v>
      </c>
      <c r="E830" s="4">
        <f t="shared" si="1"/>
        <v>91.8</v>
      </c>
      <c r="F830" s="4" t="str">
        <f t="array" ref="F830">IF(D830&gt;=_xlfn.PERCENTILE.INC(D830:D2488, 0.9), "High", "Low")</f>
        <v>High</v>
      </c>
      <c r="L830" s="4" t="str">
        <f t="shared" si="2"/>
        <v/>
      </c>
    </row>
    <row r="831" ht="14.25" customHeight="1">
      <c r="A831" s="1" t="s">
        <v>3322</v>
      </c>
      <c r="B831" s="1">
        <v>5.8</v>
      </c>
      <c r="C831" s="4" t="str">
        <f>IFERROR(__xludf.DUMMYFUNCTION("""COMPUTED_VALUE"""),"Thea Sharrock")</f>
        <v>Thea Sharrock</v>
      </c>
      <c r="D831" s="4">
        <f t="array" ref="D831">IFERROR(AVERAGEIFS($B$2:$B$3757, $A$2:$A$3757, C831:C4585), "")</f>
        <v>7.6</v>
      </c>
      <c r="E831" s="4">
        <f t="shared" si="1"/>
        <v>89.3</v>
      </c>
      <c r="F831" s="4" t="str">
        <f t="array" ref="F831">IF(D831&gt;=_xlfn.PERCENTILE.INC(D831:D2489, 0.9), "High", "Low")</f>
        <v>High</v>
      </c>
      <c r="L831" s="4" t="str">
        <f t="shared" si="2"/>
        <v/>
      </c>
    </row>
    <row r="832" ht="14.25" customHeight="1">
      <c r="A832" s="1" t="s">
        <v>4490</v>
      </c>
      <c r="B832" s="1">
        <v>5.8</v>
      </c>
      <c r="C832" s="4" t="str">
        <f>IFERROR(__xludf.DUMMYFUNCTION("""COMPUTED_VALUE"""),"Aaron Seltzer")</f>
        <v>Aaron Seltzer</v>
      </c>
      <c r="D832" s="4">
        <f t="array" ref="D832">IFERROR(AVERAGEIFS($B$2:$B$3757, $A$2:$A$3757, C832:C4586), "")</f>
        <v>2.7</v>
      </c>
      <c r="E832" s="4">
        <f t="shared" si="1"/>
        <v>0.2</v>
      </c>
      <c r="F832" s="4" t="str">
        <f t="array" ref="F832">IF(D832&gt;=_xlfn.PERCENTILE.INC(D832:D2490, 0.9), "High", "Low")</f>
        <v>Low</v>
      </c>
      <c r="L832" s="4" t="str">
        <f t="shared" si="2"/>
        <v/>
      </c>
    </row>
    <row r="833" ht="14.25" customHeight="1">
      <c r="A833" s="1" t="s">
        <v>4494</v>
      </c>
      <c r="B833" s="1">
        <v>6.7</v>
      </c>
      <c r="C833" s="4" t="str">
        <f>IFERROR(__xludf.DUMMYFUNCTION("""COMPUTED_VALUE"""),"Robin Budd")</f>
        <v>Robin Budd</v>
      </c>
      <c r="D833" s="4">
        <f t="array" ref="D833">IFERROR(AVERAGEIFS($B$2:$B$3757, $A$2:$A$3757, C833:C4587), "")</f>
        <v>5.8</v>
      </c>
      <c r="E833" s="4">
        <f t="shared" si="1"/>
        <v>27.3</v>
      </c>
      <c r="F833" s="4" t="str">
        <f t="array" ref="F833">IF(D833&gt;=_xlfn.PERCENTILE.INC(D833:D2491, 0.9), "High", "Low")</f>
        <v>Low</v>
      </c>
      <c r="L833" s="4" t="str">
        <f t="shared" si="2"/>
        <v/>
      </c>
    </row>
    <row r="834" ht="14.25" customHeight="1">
      <c r="A834" s="1" t="s">
        <v>3503</v>
      </c>
      <c r="B834" s="1">
        <v>7.8</v>
      </c>
      <c r="C834" s="4" t="str">
        <f>IFERROR(__xludf.DUMMYFUNCTION("""COMPUTED_VALUE"""),"Ava DuVernay")</f>
        <v>Ava DuVernay</v>
      </c>
      <c r="D834" s="4">
        <f t="array" ref="D834">IFERROR(AVERAGEIFS($B$2:$B$3757, $A$2:$A$3757, C834:C4588), "")</f>
        <v>7.5</v>
      </c>
      <c r="E834" s="4">
        <f t="shared" si="1"/>
        <v>87.3</v>
      </c>
      <c r="F834" s="4" t="str">
        <f t="array" ref="F834">IF(D834&gt;=_xlfn.PERCENTILE.INC(D834:D2492, 0.9), "High", "Low")</f>
        <v>Low</v>
      </c>
      <c r="L834" s="4" t="str">
        <f t="shared" si="2"/>
        <v/>
      </c>
    </row>
    <row r="835" ht="14.25" customHeight="1">
      <c r="A835" s="1" t="s">
        <v>2342</v>
      </c>
      <c r="B835" s="1">
        <v>5.6</v>
      </c>
      <c r="C835" s="4" t="str">
        <f>IFERROR(__xludf.DUMMYFUNCTION("""COMPUTED_VALUE"""),"Steve Trenbirth")</f>
        <v>Steve Trenbirth</v>
      </c>
      <c r="D835" s="4">
        <f t="array" ref="D835">IFERROR(AVERAGEIFS($B$2:$B$3757, $A$2:$A$3757, C835:C4589), "")</f>
        <v>5.4</v>
      </c>
      <c r="E835" s="4">
        <f t="shared" si="1"/>
        <v>17.8</v>
      </c>
      <c r="F835" s="4" t="str">
        <f t="array" ref="F835">IF(D835&gt;=_xlfn.PERCENTILE.INC(D835:D2493, 0.9), "High", "Low")</f>
        <v>Low</v>
      </c>
      <c r="L835" s="4" t="str">
        <f t="shared" si="2"/>
        <v/>
      </c>
    </row>
    <row r="836" ht="14.25" customHeight="1">
      <c r="A836" s="1" t="s">
        <v>1656</v>
      </c>
      <c r="B836" s="1">
        <v>5.8</v>
      </c>
      <c r="C836" s="4" t="str">
        <f>IFERROR(__xludf.DUMMYFUNCTION("""COMPUTED_VALUE"""),"Mennan Yapo")</f>
        <v>Mennan Yapo</v>
      </c>
      <c r="D836" s="4">
        <f t="array" ref="D836">IFERROR(AVERAGEIFS($B$2:$B$3757, $A$2:$A$3757, C836:C4590), "")</f>
        <v>5.9</v>
      </c>
      <c r="E836" s="4">
        <f t="shared" si="1"/>
        <v>29.2</v>
      </c>
      <c r="F836" s="4" t="str">
        <f t="array" ref="F836">IF(D836&gt;=_xlfn.PERCENTILE.INC(D836:D2494, 0.9), "High", "Low")</f>
        <v>Low</v>
      </c>
      <c r="L836" s="4" t="str">
        <f t="shared" si="2"/>
        <v/>
      </c>
    </row>
    <row r="837" ht="14.25" customHeight="1">
      <c r="A837" s="1" t="s">
        <v>1268</v>
      </c>
      <c r="B837" s="1">
        <v>7.4</v>
      </c>
      <c r="C837" s="4" t="str">
        <f>IFERROR(__xludf.DUMMYFUNCTION("""COMPUTED_VALUE"""),"Jun Falkenstein")</f>
        <v>Jun Falkenstein</v>
      </c>
      <c r="D837" s="4">
        <f t="array" ref="D837">IFERROR(AVERAGEIFS($B$2:$B$3757, $A$2:$A$3757, C837:C4591), "")</f>
        <v>6.3</v>
      </c>
      <c r="E837" s="4">
        <f t="shared" si="1"/>
        <v>42.8</v>
      </c>
      <c r="F837" s="4" t="str">
        <f t="array" ref="F837">IF(D837&gt;=_xlfn.PERCENTILE.INC(D837:D2495, 0.9), "High", "Low")</f>
        <v>Low</v>
      </c>
      <c r="L837" s="4" t="str">
        <f t="shared" si="2"/>
        <v/>
      </c>
    </row>
    <row r="838" ht="14.25" customHeight="1">
      <c r="A838" s="1" t="s">
        <v>4515</v>
      </c>
      <c r="B838" s="1">
        <v>6.9</v>
      </c>
      <c r="C838" s="4" t="str">
        <f>IFERROR(__xludf.DUMMYFUNCTION("""COMPUTED_VALUE"""),"Tom McCarthy")</f>
        <v>Tom McCarthy</v>
      </c>
      <c r="D838" s="4">
        <f t="array" ref="D838">IFERROR(AVERAGEIFS($B$2:$B$3757, $A$2:$A$3757, C838:C4592), "")</f>
        <v>7.9</v>
      </c>
      <c r="E838" s="4">
        <f t="shared" si="1"/>
        <v>96</v>
      </c>
      <c r="F838" s="4" t="str">
        <f t="array" ref="F838">IF(D838&gt;=_xlfn.PERCENTILE.INC(D838:D2496, 0.9), "High", "Low")</f>
        <v>High</v>
      </c>
      <c r="L838" s="4" t="str">
        <f t="shared" si="2"/>
        <v/>
      </c>
    </row>
    <row r="839" ht="14.25" customHeight="1">
      <c r="A839" s="1" t="s">
        <v>4519</v>
      </c>
      <c r="B839" s="1">
        <v>5.5</v>
      </c>
      <c r="C839" s="4" t="str">
        <f>IFERROR(__xludf.DUMMYFUNCTION("""COMPUTED_VALUE"""),"Takashi Shimizu")</f>
        <v>Takashi Shimizu</v>
      </c>
      <c r="D839" s="4">
        <f t="array" ref="D839">IFERROR(AVERAGEIFS($B$2:$B$3757, $A$2:$A$3757, C839:C4593), "")</f>
        <v>5.45</v>
      </c>
      <c r="E839" s="4">
        <f t="shared" si="1"/>
        <v>19.2</v>
      </c>
      <c r="F839" s="4" t="str">
        <f t="array" ref="F839">IF(D839&gt;=_xlfn.PERCENTILE.INC(D839:D2497, 0.9), "High", "Low")</f>
        <v>Low</v>
      </c>
      <c r="L839" s="4" t="str">
        <f t="shared" si="2"/>
        <v/>
      </c>
    </row>
    <row r="840" ht="14.25" customHeight="1">
      <c r="A840" s="1" t="s">
        <v>4524</v>
      </c>
      <c r="B840" s="1">
        <v>6.3</v>
      </c>
      <c r="C840" s="4" t="str">
        <f>IFERROR(__xludf.DUMMYFUNCTION("""COMPUTED_VALUE"""),"Anton Corbijn")</f>
        <v>Anton Corbijn</v>
      </c>
      <c r="D840" s="4">
        <f t="array" ref="D840">IFERROR(AVERAGEIFS($B$2:$B$3757, $A$2:$A$3757, C840:C4594), "")</f>
        <v>6.933333333</v>
      </c>
      <c r="E840" s="4">
        <f t="shared" si="1"/>
        <v>68.7</v>
      </c>
      <c r="F840" s="4" t="str">
        <f t="array" ref="F840">IF(D840&gt;=_xlfn.PERCENTILE.INC(D840:D2498, 0.9), "High", "Low")</f>
        <v>Low</v>
      </c>
      <c r="L840" s="4" t="str">
        <f t="shared" si="2"/>
        <v/>
      </c>
    </row>
    <row r="841" ht="14.25" customHeight="1">
      <c r="A841" s="1" t="s">
        <v>4531</v>
      </c>
      <c r="B841" s="1">
        <v>4.7</v>
      </c>
      <c r="C841" s="4" t="str">
        <f>IFERROR(__xludf.DUMMYFUNCTION("""COMPUTED_VALUE"""),"Gregory Nava")</f>
        <v>Gregory Nava</v>
      </c>
      <c r="D841" s="4">
        <f t="array" ref="D841">IFERROR(AVERAGEIFS($B$2:$B$3757, $A$2:$A$3757, C841:C4595), "")</f>
        <v>6.7</v>
      </c>
      <c r="E841" s="4">
        <f t="shared" si="1"/>
        <v>57.7</v>
      </c>
      <c r="F841" s="4" t="str">
        <f t="array" ref="F841">IF(D841&gt;=_xlfn.PERCENTILE.INC(D841:D2499, 0.9), "High", "Low")</f>
        <v>Low</v>
      </c>
      <c r="L841" s="4" t="str">
        <f t="shared" si="2"/>
        <v/>
      </c>
    </row>
    <row r="842" ht="14.25" customHeight="1">
      <c r="A842" s="1" t="s">
        <v>4536</v>
      </c>
      <c r="B842" s="1">
        <v>5.6</v>
      </c>
      <c r="C842" s="4" t="str">
        <f>IFERROR(__xludf.DUMMYFUNCTION("""COMPUTED_VALUE"""),"John Patrick Shanley")</f>
        <v>John Patrick Shanley</v>
      </c>
      <c r="D842" s="4">
        <f t="array" ref="D842">IFERROR(AVERAGEIFS($B$2:$B$3757, $A$2:$A$3757, C842:C4596), "")</f>
        <v>7.5</v>
      </c>
      <c r="E842" s="4">
        <f t="shared" si="1"/>
        <v>87.4</v>
      </c>
      <c r="F842" s="4" t="str">
        <f t="array" ref="F842">IF(D842&gt;=_xlfn.PERCENTILE.INC(D842:D2500, 0.9), "High", "Low")</f>
        <v>Low</v>
      </c>
      <c r="L842" s="4" t="str">
        <f t="shared" si="2"/>
        <v/>
      </c>
    </row>
    <row r="843" ht="14.25" customHeight="1">
      <c r="A843" s="1" t="s">
        <v>680</v>
      </c>
      <c r="B843" s="1">
        <v>6.4</v>
      </c>
      <c r="C843" s="4" t="str">
        <f>IFERROR(__xludf.DUMMYFUNCTION("""COMPUTED_VALUE"""),"Steve Beck")</f>
        <v>Steve Beck</v>
      </c>
      <c r="D843" s="4">
        <f t="array" ref="D843">IFERROR(AVERAGEIFS($B$2:$B$3757, $A$2:$A$3757, C843:C4597), "")</f>
        <v>5.5</v>
      </c>
      <c r="E843" s="4">
        <f t="shared" si="1"/>
        <v>19.6</v>
      </c>
      <c r="F843" s="4" t="str">
        <f t="array" ref="F843">IF(D843&gt;=_xlfn.PERCENTILE.INC(D843:D2501, 0.9), "High", "Low")</f>
        <v>Low</v>
      </c>
      <c r="L843" s="4" t="str">
        <f t="shared" si="2"/>
        <v/>
      </c>
    </row>
    <row r="844" ht="14.25" customHeight="1">
      <c r="A844" s="1" t="s">
        <v>3204</v>
      </c>
      <c r="B844" s="1">
        <v>4.2</v>
      </c>
      <c r="C844" s="4" t="str">
        <f>IFERROR(__xludf.DUMMYFUNCTION("""COMPUTED_VALUE"""),"Todd Strauss-Schulson")</f>
        <v>Todd Strauss-Schulson</v>
      </c>
      <c r="D844" s="4">
        <f t="array" ref="D844">IFERROR(AVERAGEIFS($B$2:$B$3757, $A$2:$A$3757, C844:C4598), "")</f>
        <v>6.3</v>
      </c>
      <c r="E844" s="4">
        <f t="shared" si="1"/>
        <v>43</v>
      </c>
      <c r="F844" s="4" t="str">
        <f t="array" ref="F844">IF(D844&gt;=_xlfn.PERCENTILE.INC(D844:D2502, 0.9), "High", "Low")</f>
        <v>Low</v>
      </c>
      <c r="L844" s="4" t="str">
        <f t="shared" si="2"/>
        <v/>
      </c>
    </row>
    <row r="845" ht="14.25" customHeight="1">
      <c r="A845" s="1" t="s">
        <v>4551</v>
      </c>
      <c r="B845" s="1">
        <v>6.4</v>
      </c>
      <c r="C845" s="4" t="str">
        <f>IFERROR(__xludf.DUMMYFUNCTION("""COMPUTED_VALUE"""),"John McNaughton")</f>
        <v>John McNaughton</v>
      </c>
      <c r="D845" s="4">
        <f t="array" ref="D845">IFERROR(AVERAGEIFS($B$2:$B$3757, $A$2:$A$3757, C845:C4599), "")</f>
        <v>6.5</v>
      </c>
      <c r="E845" s="4">
        <f t="shared" si="1"/>
        <v>49.8</v>
      </c>
      <c r="F845" s="4" t="str">
        <f t="array" ref="F845">IF(D845&gt;=_xlfn.PERCENTILE.INC(D845:D2503, 0.9), "High", "Low")</f>
        <v>Low</v>
      </c>
      <c r="L845" s="4" t="str">
        <f t="shared" si="2"/>
        <v/>
      </c>
    </row>
    <row r="846" ht="14.25" customHeight="1">
      <c r="A846" s="1" t="s">
        <v>3964</v>
      </c>
      <c r="B846" s="1">
        <v>7.7</v>
      </c>
      <c r="C846" s="4" t="str">
        <f>IFERROR(__xludf.DUMMYFUNCTION("""COMPUTED_VALUE"""),"Eric Valette")</f>
        <v>Eric Valette</v>
      </c>
      <c r="D846" s="4">
        <f t="array" ref="D846">IFERROR(AVERAGEIFS($B$2:$B$3757, $A$2:$A$3757, C846:C4600), "")</f>
        <v>3.9</v>
      </c>
      <c r="E846" s="4">
        <f t="shared" si="1"/>
        <v>3.6</v>
      </c>
      <c r="F846" s="4" t="str">
        <f t="array" ref="F846">IF(D846&gt;=_xlfn.PERCENTILE.INC(D846:D2504, 0.9), "High", "Low")</f>
        <v>Low</v>
      </c>
      <c r="L846" s="4" t="str">
        <f t="shared" si="2"/>
        <v/>
      </c>
    </row>
    <row r="847" ht="14.25" customHeight="1">
      <c r="A847" s="1" t="s">
        <v>370</v>
      </c>
      <c r="B847" s="1">
        <v>6.7</v>
      </c>
      <c r="C847" s="4" t="str">
        <f>IFERROR(__xludf.DUMMYFUNCTION("""COMPUTED_VALUE"""),"Andrew Fleming")</f>
        <v>Andrew Fleming</v>
      </c>
      <c r="D847" s="4">
        <f t="array" ref="D847">IFERROR(AVERAGEIFS($B$2:$B$3757, $A$2:$A$3757, C847:C4601), "")</f>
        <v>6.15</v>
      </c>
      <c r="E847" s="4">
        <f t="shared" si="1"/>
        <v>40.2</v>
      </c>
      <c r="F847" s="4" t="str">
        <f t="array" ref="F847">IF(D847&gt;=_xlfn.PERCENTILE.INC(D847:D2505, 0.9), "High", "Low")</f>
        <v>Low</v>
      </c>
      <c r="L847" s="4" t="str">
        <f t="shared" si="2"/>
        <v/>
      </c>
    </row>
    <row r="848" ht="14.25" customHeight="1">
      <c r="A848" s="1" t="s">
        <v>4376</v>
      </c>
      <c r="B848" s="1">
        <v>7.7</v>
      </c>
      <c r="C848" s="4" t="str">
        <f>IFERROR(__xludf.DUMMYFUNCTION("""COMPUTED_VALUE"""),"Michael Spierig")</f>
        <v>Michael Spierig</v>
      </c>
      <c r="D848" s="4">
        <f t="array" ref="D848">IFERROR(AVERAGEIFS($B$2:$B$3757, $A$2:$A$3757, C848:C4602), "")</f>
        <v>6.5</v>
      </c>
      <c r="E848" s="4">
        <f t="shared" si="1"/>
        <v>49.7</v>
      </c>
      <c r="F848" s="4" t="str">
        <f t="array" ref="F848">IF(D848&gt;=_xlfn.PERCENTILE.INC(D848:D2506, 0.9), "High", "Low")</f>
        <v>Low</v>
      </c>
      <c r="L848" s="4" t="str">
        <f t="shared" si="2"/>
        <v/>
      </c>
    </row>
    <row r="849" ht="14.25" customHeight="1">
      <c r="A849" s="1" t="s">
        <v>4130</v>
      </c>
      <c r="B849" s="1">
        <v>5.7</v>
      </c>
      <c r="C849" s="4" t="str">
        <f>IFERROR(__xludf.DUMMYFUNCTION("""COMPUTED_VALUE"""),"Jim Field Smith")</f>
        <v>Jim Field Smith</v>
      </c>
      <c r="D849" s="4">
        <f t="array" ref="D849">IFERROR(AVERAGEIFS($B$2:$B$3757, $A$2:$A$3757, C849:C4603), "")</f>
        <v>6.4</v>
      </c>
      <c r="E849" s="4">
        <f t="shared" si="1"/>
        <v>46.3</v>
      </c>
      <c r="F849" s="4" t="str">
        <f t="array" ref="F849">IF(D849&gt;=_xlfn.PERCENTILE.INC(D849:D2507, 0.9), "High", "Low")</f>
        <v>Low</v>
      </c>
      <c r="L849" s="4" t="str">
        <f t="shared" si="2"/>
        <v/>
      </c>
    </row>
    <row r="850" ht="14.25" customHeight="1">
      <c r="A850" s="1" t="s">
        <v>4578</v>
      </c>
      <c r="B850" s="1">
        <v>7.6</v>
      </c>
      <c r="C850" s="4" t="str">
        <f>IFERROR(__xludf.DUMMYFUNCTION("""COMPUTED_VALUE"""),"Thomas Bezucha")</f>
        <v>Thomas Bezucha</v>
      </c>
      <c r="D850" s="4">
        <f t="array" ref="D850">IFERROR(AVERAGEIFS($B$2:$B$3757, $A$2:$A$3757, C850:C4604), "")</f>
        <v>6.05</v>
      </c>
      <c r="E850" s="4">
        <f t="shared" si="1"/>
        <v>35.6</v>
      </c>
      <c r="F850" s="4" t="str">
        <f t="array" ref="F850">IF(D850&gt;=_xlfn.PERCENTILE.INC(D850:D2508, 0.9), "High", "Low")</f>
        <v>Low</v>
      </c>
      <c r="L850" s="4" t="str">
        <f t="shared" si="2"/>
        <v/>
      </c>
    </row>
    <row r="851" ht="14.25" customHeight="1">
      <c r="A851" s="1" t="s">
        <v>3175</v>
      </c>
      <c r="B851" s="1">
        <v>6.4</v>
      </c>
      <c r="C851" s="4" t="str">
        <f>IFERROR(__xludf.DUMMYFUNCTION("""COMPUTED_VALUE"""),"William Brent Bell")</f>
        <v>William Brent Bell</v>
      </c>
      <c r="D851" s="4">
        <f t="array" ref="D851">IFERROR(AVERAGEIFS($B$2:$B$3757, $A$2:$A$3757, C851:C4605), "")</f>
        <v>5.1</v>
      </c>
      <c r="E851" s="4">
        <f t="shared" si="1"/>
        <v>13.2</v>
      </c>
      <c r="F851" s="4" t="str">
        <f t="array" ref="F851">IF(D851&gt;=_xlfn.PERCENTILE.INC(D851:D2509, 0.9), "High", "Low")</f>
        <v>Low</v>
      </c>
      <c r="L851" s="4" t="str">
        <f t="shared" si="2"/>
        <v/>
      </c>
    </row>
    <row r="852" ht="14.25" customHeight="1">
      <c r="A852" s="1" t="s">
        <v>212</v>
      </c>
      <c r="B852" s="1">
        <v>5.6</v>
      </c>
      <c r="C852" s="4" t="str">
        <f>IFERROR(__xludf.DUMMYFUNCTION("""COMPUTED_VALUE"""),"Anthony Bell")</f>
        <v>Anthony Bell</v>
      </c>
      <c r="D852" s="4">
        <f t="array" ref="D852">IFERROR(AVERAGEIFS($B$2:$B$3757, $A$2:$A$3757, C852:C4606), "")</f>
        <v>5.3</v>
      </c>
      <c r="E852" s="4">
        <f t="shared" si="1"/>
        <v>15.2</v>
      </c>
      <c r="F852" s="4" t="str">
        <f t="array" ref="F852">IF(D852&gt;=_xlfn.PERCENTILE.INC(D852:D2510, 0.9), "High", "Low")</f>
        <v>Low</v>
      </c>
      <c r="L852" s="4" t="str">
        <f t="shared" si="2"/>
        <v/>
      </c>
    </row>
    <row r="853" ht="14.25" customHeight="1">
      <c r="A853" s="1" t="s">
        <v>4591</v>
      </c>
      <c r="B853" s="1">
        <v>6.8</v>
      </c>
      <c r="C853" s="4" t="str">
        <f>IFERROR(__xludf.DUMMYFUNCTION("""COMPUTED_VALUE"""),"Alfred Hitchcock")</f>
        <v>Alfred Hitchcock</v>
      </c>
      <c r="D853" s="4">
        <f t="array" ref="D853">IFERROR(AVERAGEIFS($B$2:$B$3757, $A$2:$A$3757, C853:C4607), "")</f>
        <v>8.5</v>
      </c>
      <c r="E853" s="4">
        <f t="shared" si="1"/>
        <v>99.3</v>
      </c>
      <c r="F853" s="4" t="str">
        <f t="array" ref="F853">IF(D853&gt;=_xlfn.PERCENTILE.INC(D853:D2511, 0.9), "High", "Low")</f>
        <v>High</v>
      </c>
      <c r="L853" s="4" t="str">
        <f t="shared" si="2"/>
        <v/>
      </c>
    </row>
    <row r="854" ht="14.25" customHeight="1">
      <c r="A854" s="1" t="s">
        <v>2338</v>
      </c>
      <c r="B854" s="1">
        <v>2.4</v>
      </c>
      <c r="C854" s="4" t="str">
        <f>IFERROR(__xludf.DUMMYFUNCTION("""COMPUTED_VALUE"""),"Shana Feste")</f>
        <v>Shana Feste</v>
      </c>
      <c r="D854" s="4">
        <f t="array" ref="D854">IFERROR(AVERAGEIFS($B$2:$B$3757, $A$2:$A$3757, C854:C4608), "")</f>
        <v>6.433333333</v>
      </c>
      <c r="E854" s="4">
        <f t="shared" si="1"/>
        <v>48.9</v>
      </c>
      <c r="F854" s="4" t="str">
        <f t="array" ref="F854">IF(D854&gt;=_xlfn.PERCENTILE.INC(D854:D2512, 0.9), "High", "Low")</f>
        <v>Low</v>
      </c>
      <c r="L854" s="4" t="str">
        <f t="shared" si="2"/>
        <v/>
      </c>
    </row>
    <row r="855" ht="14.25" customHeight="1">
      <c r="A855" s="1" t="s">
        <v>3912</v>
      </c>
      <c r="B855" s="1">
        <v>6.2</v>
      </c>
      <c r="C855" s="4" t="str">
        <f>IFERROR(__xludf.DUMMYFUNCTION("""COMPUTED_VALUE"""),"Steve Rash")</f>
        <v>Steve Rash</v>
      </c>
      <c r="D855" s="4">
        <f t="array" ref="D855">IFERROR(AVERAGEIFS($B$2:$B$3757, $A$2:$A$3757, C855:C4609), "")</f>
        <v>5.25</v>
      </c>
      <c r="E855" s="4">
        <f t="shared" si="1"/>
        <v>14.8</v>
      </c>
      <c r="F855" s="4" t="str">
        <f t="array" ref="F855">IF(D855&gt;=_xlfn.PERCENTILE.INC(D855:D2513, 0.9), "High", "Low")</f>
        <v>Low</v>
      </c>
      <c r="L855" s="4" t="str">
        <f t="shared" si="2"/>
        <v/>
      </c>
    </row>
    <row r="856" ht="14.25" customHeight="1">
      <c r="A856" s="1" t="s">
        <v>2793</v>
      </c>
      <c r="B856" s="1">
        <v>5.9</v>
      </c>
      <c r="C856" s="4" t="str">
        <f>IFERROR(__xludf.DUMMYFUNCTION("""COMPUTED_VALUE"""),"Mike Binder")</f>
        <v>Mike Binder</v>
      </c>
      <c r="D856" s="4">
        <f t="array" ref="D856">IFERROR(AVERAGEIFS($B$2:$B$3757, $A$2:$A$3757, C856:C4610), "")</f>
        <v>7</v>
      </c>
      <c r="E856" s="4">
        <f t="shared" si="1"/>
        <v>68.8</v>
      </c>
      <c r="F856" s="4" t="str">
        <f t="array" ref="F856">IF(D856&gt;=_xlfn.PERCENTILE.INC(D856:D2514, 0.9), "High", "Low")</f>
        <v>Low</v>
      </c>
      <c r="L856" s="4" t="str">
        <f t="shared" si="2"/>
        <v/>
      </c>
    </row>
    <row r="857" ht="14.25" customHeight="1">
      <c r="A857" s="1" t="s">
        <v>2994</v>
      </c>
      <c r="B857" s="1">
        <v>7.1</v>
      </c>
      <c r="C857" s="4" t="str">
        <f>IFERROR(__xludf.DUMMYFUNCTION("""COMPUTED_VALUE"""),"Michael J. Bassett")</f>
        <v>Michael J. Bassett</v>
      </c>
      <c r="D857" s="4">
        <f t="array" ref="D857">IFERROR(AVERAGEIFS($B$2:$B$3757, $A$2:$A$3757, C857:C4611), "")</f>
        <v>5</v>
      </c>
      <c r="E857" s="4">
        <f t="shared" si="1"/>
        <v>10.8</v>
      </c>
      <c r="F857" s="4" t="str">
        <f t="array" ref="F857">IF(D857&gt;=_xlfn.PERCENTILE.INC(D857:D2515, 0.9), "High", "Low")</f>
        <v>Low</v>
      </c>
      <c r="L857" s="4" t="str">
        <f t="shared" si="2"/>
        <v/>
      </c>
    </row>
    <row r="858" ht="14.25" customHeight="1">
      <c r="A858" s="1" t="s">
        <v>356</v>
      </c>
      <c r="B858" s="1">
        <v>7.6</v>
      </c>
      <c r="C858" s="4" t="str">
        <f>IFERROR(__xludf.DUMMYFUNCTION("""COMPUTED_VALUE"""),"Frank Nissen")</f>
        <v>Frank Nissen</v>
      </c>
      <c r="D858" s="4">
        <f t="array" ref="D858">IFERROR(AVERAGEIFS($B$2:$B$3757, $A$2:$A$3757, C858:C4612), "")</f>
        <v>6.4</v>
      </c>
      <c r="E858" s="4">
        <f t="shared" si="1"/>
        <v>46.2</v>
      </c>
      <c r="F858" s="4" t="str">
        <f t="array" ref="F858">IF(D858&gt;=_xlfn.PERCENTILE.INC(D858:D2516, 0.9), "High", "Low")</f>
        <v>Low</v>
      </c>
      <c r="L858" s="4" t="str">
        <f t="shared" si="2"/>
        <v/>
      </c>
    </row>
    <row r="859" ht="14.25" customHeight="1">
      <c r="A859" s="1" t="s">
        <v>4069</v>
      </c>
      <c r="B859" s="1">
        <v>5.5</v>
      </c>
      <c r="C859" s="4" t="str">
        <f>IFERROR(__xludf.DUMMYFUNCTION("""COMPUTED_VALUE"""),"Stephen Chow")</f>
        <v>Stephen Chow</v>
      </c>
      <c r="D859" s="4">
        <f t="array" ref="D859">IFERROR(AVERAGEIFS($B$2:$B$3757, $A$2:$A$3757, C859:C4613), "")</f>
        <v>7.55</v>
      </c>
      <c r="E859" s="4">
        <f t="shared" si="1"/>
        <v>88.9</v>
      </c>
      <c r="F859" s="4" t="str">
        <f t="array" ref="F859">IF(D859&gt;=_xlfn.PERCENTILE.INC(D859:D2517, 0.9), "High", "Low")</f>
        <v>Low</v>
      </c>
      <c r="L859" s="4" t="str">
        <f t="shared" si="2"/>
        <v/>
      </c>
    </row>
    <row r="860" ht="14.25" customHeight="1">
      <c r="A860" s="1" t="s">
        <v>4622</v>
      </c>
      <c r="B860" s="1">
        <v>7.0</v>
      </c>
      <c r="C860" s="4" t="str">
        <f>IFERROR(__xludf.DUMMYFUNCTION("""COMPUTED_VALUE"""),"Peter Hastings")</f>
        <v>Peter Hastings</v>
      </c>
      <c r="D860" s="4">
        <f t="array" ref="D860">IFERROR(AVERAGEIFS($B$2:$B$3757, $A$2:$A$3757, C860:C4614), "")</f>
        <v>4</v>
      </c>
      <c r="E860" s="4">
        <f t="shared" si="1"/>
        <v>4.2</v>
      </c>
      <c r="F860" s="4" t="str">
        <f t="array" ref="F860">IF(D860&gt;=_xlfn.PERCENTILE.INC(D860:D2518, 0.9), "High", "Low")</f>
        <v>Low</v>
      </c>
      <c r="L860" s="4" t="str">
        <f t="shared" si="2"/>
        <v/>
      </c>
    </row>
    <row r="861" ht="14.25" customHeight="1">
      <c r="A861" s="1" t="s">
        <v>3503</v>
      </c>
      <c r="B861" s="1">
        <v>7.1</v>
      </c>
      <c r="C861" s="4" t="str">
        <f>IFERROR(__xludf.DUMMYFUNCTION("""COMPUTED_VALUE"""),"Paul Abascal")</f>
        <v>Paul Abascal</v>
      </c>
      <c r="D861" s="4">
        <f t="array" ref="D861">IFERROR(AVERAGEIFS($B$2:$B$3757, $A$2:$A$3757, C861:C4615), "")</f>
        <v>5.8</v>
      </c>
      <c r="E861" s="4">
        <f t="shared" si="1"/>
        <v>27.1</v>
      </c>
      <c r="F861" s="4" t="str">
        <f t="array" ref="F861">IF(D861&gt;=_xlfn.PERCENTILE.INC(D861:D2519, 0.9), "High", "Low")</f>
        <v>Low</v>
      </c>
      <c r="L861" s="4" t="str">
        <f t="shared" si="2"/>
        <v/>
      </c>
    </row>
    <row r="862" ht="14.25" customHeight="1">
      <c r="A862" s="1" t="s">
        <v>2928</v>
      </c>
      <c r="B862" s="1">
        <v>7.4</v>
      </c>
      <c r="C862" s="4" t="str">
        <f>IFERROR(__xludf.DUMMYFUNCTION("""COMPUTED_VALUE"""),"Chris Koch")</f>
        <v>Chris Koch</v>
      </c>
      <c r="D862" s="4">
        <f t="array" ref="D862">IFERROR(AVERAGEIFS($B$2:$B$3757, $A$2:$A$3757, C862:C4616), "")</f>
        <v>5.25</v>
      </c>
      <c r="E862" s="4">
        <f t="shared" si="1"/>
        <v>14.6</v>
      </c>
      <c r="F862" s="4" t="str">
        <f t="array" ref="F862">IF(D862&gt;=_xlfn.PERCENTILE.INC(D862:D2520, 0.9), "High", "Low")</f>
        <v>Low</v>
      </c>
      <c r="L862" s="4" t="str">
        <f t="shared" si="2"/>
        <v/>
      </c>
    </row>
    <row r="863" ht="14.25" customHeight="1">
      <c r="A863" s="1" t="s">
        <v>4632</v>
      </c>
      <c r="B863" s="1">
        <v>7.6</v>
      </c>
      <c r="C863" s="4" t="str">
        <f>IFERROR(__xludf.DUMMYFUNCTION("""COMPUTED_VALUE"""),"Amy Heckerling")</f>
        <v>Amy Heckerling</v>
      </c>
      <c r="D863" s="4">
        <f t="array" ref="D863">IFERROR(AVERAGEIFS($B$2:$B$3757, $A$2:$A$3757, C863:C4617), "")</f>
        <v>5.733333333</v>
      </c>
      <c r="E863" s="4">
        <f t="shared" si="1"/>
        <v>26.8</v>
      </c>
      <c r="F863" s="4" t="str">
        <f t="array" ref="F863">IF(D863&gt;=_xlfn.PERCENTILE.INC(D863:D2521, 0.9), "High", "Low")</f>
        <v>Low</v>
      </c>
      <c r="L863" s="4" t="str">
        <f t="shared" si="2"/>
        <v/>
      </c>
    </row>
    <row r="864" ht="14.25" customHeight="1">
      <c r="A864" s="1" t="s">
        <v>2610</v>
      </c>
      <c r="B864" s="1">
        <v>5.9</v>
      </c>
      <c r="C864" s="4" t="str">
        <f>IFERROR(__xludf.DUMMYFUNCTION("""COMPUTED_VALUE"""),"George Stevens")</f>
        <v>George Stevens</v>
      </c>
      <c r="D864" s="4">
        <f t="array" ref="D864">IFERROR(AVERAGEIFS($B$2:$B$3757, $A$2:$A$3757, C864:C4618), "")</f>
        <v>6.6</v>
      </c>
      <c r="E864" s="4">
        <f t="shared" si="1"/>
        <v>53.6</v>
      </c>
      <c r="F864" s="4" t="str">
        <f t="array" ref="F864">IF(D864&gt;=_xlfn.PERCENTILE.INC(D864:D2522, 0.9), "High", "Low")</f>
        <v>Low</v>
      </c>
      <c r="L864" s="4" t="str">
        <f t="shared" si="2"/>
        <v/>
      </c>
    </row>
    <row r="865" ht="14.25" customHeight="1">
      <c r="A865" s="1" t="s">
        <v>4643</v>
      </c>
      <c r="B865" s="1">
        <v>5.9</v>
      </c>
      <c r="C865" s="4" t="str">
        <f>IFERROR(__xludf.DUMMYFUNCTION("""COMPUTED_VALUE"""),"Mark Mylod")</f>
        <v>Mark Mylod</v>
      </c>
      <c r="D865" s="4">
        <f t="array" ref="D865">IFERROR(AVERAGEIFS($B$2:$B$3757, $A$2:$A$3757, C865:C4619), "")</f>
        <v>6</v>
      </c>
      <c r="E865" s="4">
        <f t="shared" si="1"/>
        <v>32.5</v>
      </c>
      <c r="F865" s="4" t="str">
        <f t="array" ref="F865">IF(D865&gt;=_xlfn.PERCENTILE.INC(D865:D2523, 0.9), "High", "Low")</f>
        <v>Low</v>
      </c>
      <c r="L865" s="4" t="str">
        <f t="shared" si="2"/>
        <v/>
      </c>
    </row>
    <row r="866" ht="14.25" customHeight="1">
      <c r="A866" s="1" t="s">
        <v>381</v>
      </c>
      <c r="B866" s="1">
        <v>8.0</v>
      </c>
      <c r="C866" s="4" t="str">
        <f>IFERROR(__xludf.DUMMYFUNCTION("""COMPUTED_VALUE"""),"James Mather")</f>
        <v>James Mather</v>
      </c>
      <c r="D866" s="4">
        <f t="array" ref="D866">IFERROR(AVERAGEIFS($B$2:$B$3757, $A$2:$A$3757, C866:C4620), "")</f>
        <v>6.1</v>
      </c>
      <c r="E866" s="4">
        <f t="shared" si="1"/>
        <v>35.5</v>
      </c>
      <c r="F866" s="4" t="str">
        <f t="array" ref="F866">IF(D866&gt;=_xlfn.PERCENTILE.INC(D866:D2524, 0.9), "High", "Low")</f>
        <v>Low</v>
      </c>
      <c r="L866" s="4" t="str">
        <f t="shared" si="2"/>
        <v/>
      </c>
    </row>
    <row r="867" ht="14.25" customHeight="1">
      <c r="A867" s="1" t="s">
        <v>2186</v>
      </c>
      <c r="B867" s="1">
        <v>7.4</v>
      </c>
      <c r="C867" s="4" t="str">
        <f>IFERROR(__xludf.DUMMYFUNCTION("""COMPUTED_VALUE"""),"Michael O. Sajbel")</f>
        <v>Michael O. Sajbel</v>
      </c>
      <c r="D867" s="4">
        <f t="array" ref="D867">IFERROR(AVERAGEIFS($B$2:$B$3757, $A$2:$A$3757, C867:C4621), "")</f>
        <v>6.3</v>
      </c>
      <c r="E867" s="4">
        <f t="shared" si="1"/>
        <v>42.6</v>
      </c>
      <c r="F867" s="4" t="str">
        <f t="array" ref="F867">IF(D867&gt;=_xlfn.PERCENTILE.INC(D867:D2525, 0.9), "High", "Low")</f>
        <v>Low</v>
      </c>
      <c r="L867" s="4" t="str">
        <f t="shared" si="2"/>
        <v/>
      </c>
    </row>
    <row r="868" ht="14.25" customHeight="1">
      <c r="A868" s="1" t="s">
        <v>1120</v>
      </c>
      <c r="B868" s="1">
        <v>5.8</v>
      </c>
      <c r="C868" s="4" t="str">
        <f>IFERROR(__xludf.DUMMYFUNCTION("""COMPUTED_VALUE"""),"Charles T. Kanganis")</f>
        <v>Charles T. Kanganis</v>
      </c>
      <c r="D868" s="4">
        <f t="array" ref="D868">IFERROR(AVERAGEIFS($B$2:$B$3757, $A$2:$A$3757, C868:C4622), "")</f>
        <v>4.3</v>
      </c>
      <c r="E868" s="4">
        <f t="shared" si="1"/>
        <v>5.7</v>
      </c>
      <c r="F868" s="4" t="str">
        <f t="array" ref="F868">IF(D868&gt;=_xlfn.PERCENTILE.INC(D868:D2526, 0.9), "High", "Low")</f>
        <v>Low</v>
      </c>
      <c r="L868" s="4" t="str">
        <f t="shared" si="2"/>
        <v/>
      </c>
    </row>
    <row r="869" ht="14.25" customHeight="1">
      <c r="A869" s="1" t="s">
        <v>4661</v>
      </c>
      <c r="B869" s="1">
        <v>6.3</v>
      </c>
      <c r="C869" s="4" t="str">
        <f>IFERROR(__xludf.DUMMYFUNCTION("""COMPUTED_VALUE"""),"Damon Santostefano")</f>
        <v>Damon Santostefano</v>
      </c>
      <c r="D869" s="4">
        <f t="array" ref="D869">IFERROR(AVERAGEIFS($B$2:$B$3757, $A$2:$A$3757, C869:C4623), "")</f>
        <v>6.1</v>
      </c>
      <c r="E869" s="4">
        <f t="shared" si="1"/>
        <v>35.5</v>
      </c>
      <c r="F869" s="4" t="str">
        <f t="array" ref="F869">IF(D869&gt;=_xlfn.PERCENTILE.INC(D869:D2527, 0.9), "High", "Low")</f>
        <v>Low</v>
      </c>
      <c r="L869" s="4" t="str">
        <f t="shared" si="2"/>
        <v/>
      </c>
    </row>
    <row r="870" ht="14.25" customHeight="1">
      <c r="A870" s="1" t="s">
        <v>3138</v>
      </c>
      <c r="B870" s="1">
        <v>5.7</v>
      </c>
      <c r="C870" s="4" t="str">
        <f>IFERROR(__xludf.DUMMYFUNCTION("""COMPUTED_VALUE"""),"Bob Clark")</f>
        <v>Bob Clark</v>
      </c>
      <c r="D870" s="4">
        <f t="array" ref="D870">IFERROR(AVERAGEIFS($B$2:$B$3757, $A$2:$A$3757, C870:C4624), "")</f>
        <v>3.533333333</v>
      </c>
      <c r="E870" s="4">
        <f t="shared" si="1"/>
        <v>2.9</v>
      </c>
      <c r="F870" s="4" t="str">
        <f t="array" ref="F870">IF(D870&gt;=_xlfn.PERCENTILE.INC(D870:D2528, 0.9), "High", "Low")</f>
        <v>Low</v>
      </c>
      <c r="L870" s="4" t="str">
        <f t="shared" si="2"/>
        <v/>
      </c>
    </row>
    <row r="871" ht="14.25" customHeight="1">
      <c r="A871" s="1" t="s">
        <v>4669</v>
      </c>
      <c r="B871" s="1">
        <v>5.1</v>
      </c>
      <c r="C871" s="4" t="str">
        <f>IFERROR(__xludf.DUMMYFUNCTION("""COMPUTED_VALUE"""),"Dave Borthwick")</f>
        <v>Dave Borthwick</v>
      </c>
      <c r="D871" s="4">
        <f t="array" ref="D871">IFERROR(AVERAGEIFS($B$2:$B$3757, $A$2:$A$3757, C871:C4625), "")</f>
        <v>2.8</v>
      </c>
      <c r="E871" s="4">
        <f t="shared" si="1"/>
        <v>0.4</v>
      </c>
      <c r="F871" s="4" t="str">
        <f t="array" ref="F871">IF(D871&gt;=_xlfn.PERCENTILE.INC(D871:D2529, 0.9), "High", "Low")</f>
        <v>Low</v>
      </c>
      <c r="L871" s="4" t="str">
        <f t="shared" si="2"/>
        <v/>
      </c>
    </row>
    <row r="872" ht="14.25" customHeight="1">
      <c r="A872" s="1" t="s">
        <v>4676</v>
      </c>
      <c r="B872" s="1">
        <v>7.6</v>
      </c>
      <c r="C872" s="4" t="str">
        <f>IFERROR(__xludf.DUMMYFUNCTION("""COMPUTED_VALUE"""),"Benson Lee")</f>
        <v>Benson Lee</v>
      </c>
      <c r="D872" s="4">
        <f t="array" ref="D872">IFERROR(AVERAGEIFS($B$2:$B$3757, $A$2:$A$3757, C872:C4626), "")</f>
        <v>5</v>
      </c>
      <c r="E872" s="4">
        <f t="shared" si="1"/>
        <v>10.5</v>
      </c>
      <c r="F872" s="4" t="str">
        <f t="array" ref="F872">IF(D872&gt;=_xlfn.PERCENTILE.INC(D872:D2530, 0.9), "High", "Low")</f>
        <v>Low</v>
      </c>
      <c r="L872" s="4" t="str">
        <f t="shared" si="2"/>
        <v/>
      </c>
    </row>
    <row r="873" ht="14.25" customHeight="1">
      <c r="A873" s="1" t="s">
        <v>4681</v>
      </c>
      <c r="B873" s="1">
        <v>6.4</v>
      </c>
      <c r="C873" s="4" t="str">
        <f>IFERROR(__xludf.DUMMYFUNCTION("""COMPUTED_VALUE"""),"Glen Morgan")</f>
        <v>Glen Morgan</v>
      </c>
      <c r="D873" s="4">
        <f t="array" ref="D873">IFERROR(AVERAGEIFS($B$2:$B$3757, $A$2:$A$3757, C873:C4627), "")</f>
        <v>5.35</v>
      </c>
      <c r="E873" s="4">
        <f t="shared" si="1"/>
        <v>17.1</v>
      </c>
      <c r="F873" s="4" t="str">
        <f t="array" ref="F873">IF(D873&gt;=_xlfn.PERCENTILE.INC(D873:D2531, 0.9), "High", "Low")</f>
        <v>Low</v>
      </c>
      <c r="L873" s="4" t="str">
        <f t="shared" si="2"/>
        <v/>
      </c>
    </row>
    <row r="874" ht="14.25" customHeight="1">
      <c r="A874" s="1" t="s">
        <v>4686</v>
      </c>
      <c r="B874" s="1">
        <v>7.4</v>
      </c>
      <c r="C874" s="4" t="str">
        <f>IFERROR(__xludf.DUMMYFUNCTION("""COMPUTED_VALUE"""),"Mike Leigh")</f>
        <v>Mike Leigh</v>
      </c>
      <c r="D874" s="4">
        <f t="array" ref="D874">IFERROR(AVERAGEIFS($B$2:$B$3757, $A$2:$A$3757, C874:C4628), "")</f>
        <v>7.36</v>
      </c>
      <c r="E874" s="4">
        <f t="shared" si="1"/>
        <v>85.3</v>
      </c>
      <c r="F874" s="4" t="str">
        <f t="array" ref="F874">IF(D874&gt;=_xlfn.PERCENTILE.INC(D874:D2532, 0.9), "High", "Low")</f>
        <v>Low</v>
      </c>
      <c r="L874" s="4" t="str">
        <f t="shared" si="2"/>
        <v/>
      </c>
    </row>
    <row r="875" ht="14.25" customHeight="1">
      <c r="A875" s="1" t="s">
        <v>472</v>
      </c>
      <c r="B875" s="1">
        <v>8.2</v>
      </c>
      <c r="C875" s="4" t="str">
        <f>IFERROR(__xludf.DUMMYFUNCTION("""COMPUTED_VALUE"""),"Jonathan Glazer")</f>
        <v>Jonathan Glazer</v>
      </c>
      <c r="D875" s="4">
        <f t="array" ref="D875">IFERROR(AVERAGEIFS($B$2:$B$3757, $A$2:$A$3757, C875:C4629), "")</f>
        <v>6.1</v>
      </c>
      <c r="E875" s="4">
        <f t="shared" si="1"/>
        <v>35.2</v>
      </c>
      <c r="F875" s="4" t="str">
        <f t="array" ref="F875">IF(D875&gt;=_xlfn.PERCENTILE.INC(D875:D2533, 0.9), "High", "Low")</f>
        <v>Low</v>
      </c>
      <c r="L875" s="4" t="str">
        <f t="shared" si="2"/>
        <v/>
      </c>
    </row>
    <row r="876" ht="14.25" customHeight="1">
      <c r="A876" s="1" t="s">
        <v>4696</v>
      </c>
      <c r="B876" s="1">
        <v>6.5</v>
      </c>
      <c r="C876" s="4" t="str">
        <f>IFERROR(__xludf.DUMMYFUNCTION("""COMPUTED_VALUE"""),"J.C. Chandor")</f>
        <v>J.C. Chandor</v>
      </c>
      <c r="D876" s="4">
        <f t="array" ref="D876">IFERROR(AVERAGEIFS($B$2:$B$3757, $A$2:$A$3757, C876:C4630), "")</f>
        <v>7.05</v>
      </c>
      <c r="E876" s="4">
        <f t="shared" si="1"/>
        <v>73.1</v>
      </c>
      <c r="F876" s="4" t="str">
        <f t="array" ref="F876">IF(D876&gt;=_xlfn.PERCENTILE.INC(D876:D2534, 0.9), "High", "Low")</f>
        <v>Low</v>
      </c>
      <c r="L876" s="4" t="str">
        <f t="shared" si="2"/>
        <v/>
      </c>
    </row>
    <row r="877" ht="14.25" customHeight="1">
      <c r="A877" s="1" t="s">
        <v>4703</v>
      </c>
      <c r="B877" s="1">
        <v>5.5</v>
      </c>
      <c r="C877" s="4" t="str">
        <f>IFERROR(__xludf.DUMMYFUNCTION("""COMPUTED_VALUE"""),"Marc Abraham")</f>
        <v>Marc Abraham</v>
      </c>
      <c r="D877" s="4">
        <f t="array" ref="D877">IFERROR(AVERAGEIFS($B$2:$B$3757, $A$2:$A$3757, C877:C4631), "")</f>
        <v>7</v>
      </c>
      <c r="E877" s="4">
        <f t="shared" si="1"/>
        <v>68.5</v>
      </c>
      <c r="F877" s="4" t="str">
        <f t="array" ref="F877">IF(D877&gt;=_xlfn.PERCENTILE.INC(D877:D2535, 0.9), "High", "Low")</f>
        <v>Low</v>
      </c>
      <c r="L877" s="4" t="str">
        <f t="shared" si="2"/>
        <v/>
      </c>
    </row>
    <row r="878" ht="14.25" customHeight="1">
      <c r="A878" s="1" t="s">
        <v>3322</v>
      </c>
      <c r="B878" s="1">
        <v>6.5</v>
      </c>
      <c r="C878" s="4" t="str">
        <f>IFERROR(__xludf.DUMMYFUNCTION("""COMPUTED_VALUE"""),"Todd Haynes")</f>
        <v>Todd Haynes</v>
      </c>
      <c r="D878" s="4">
        <f t="array" ref="D878">IFERROR(AVERAGEIFS($B$2:$B$3757, $A$2:$A$3757, C878:C4632), "")</f>
        <v>7.2</v>
      </c>
      <c r="E878" s="4">
        <f t="shared" si="1"/>
        <v>78.2</v>
      </c>
      <c r="F878" s="4" t="str">
        <f t="array" ref="F878">IF(D878&gt;=_xlfn.PERCENTILE.INC(D878:D2536, 0.9), "High", "Low")</f>
        <v>Low</v>
      </c>
      <c r="L878" s="4" t="str">
        <f t="shared" si="2"/>
        <v/>
      </c>
    </row>
    <row r="879" ht="14.25" customHeight="1">
      <c r="A879" s="1" t="s">
        <v>4713</v>
      </c>
      <c r="B879" s="1">
        <v>5.6</v>
      </c>
      <c r="C879" s="4" t="str">
        <f>IFERROR(__xludf.DUMMYFUNCTION("""COMPUTED_VALUE"""),"Mabrouk El Mechri")</f>
        <v>Mabrouk El Mechri</v>
      </c>
      <c r="D879" s="4">
        <f t="array" ref="D879">IFERROR(AVERAGEIFS($B$2:$B$3757, $A$2:$A$3757, C879:C4633), "")</f>
        <v>4.9</v>
      </c>
      <c r="E879" s="4">
        <f t="shared" si="1"/>
        <v>9.7</v>
      </c>
      <c r="F879" s="4" t="str">
        <f t="array" ref="F879">IF(D879&gt;=_xlfn.PERCENTILE.INC(D879:D2537, 0.9), "High", "Low")</f>
        <v>Low</v>
      </c>
      <c r="L879" s="4" t="str">
        <f t="shared" si="2"/>
        <v/>
      </c>
    </row>
    <row r="880" ht="14.25" customHeight="1">
      <c r="A880" s="1" t="s">
        <v>190</v>
      </c>
      <c r="B880" s="1">
        <v>4.6</v>
      </c>
      <c r="C880" s="4" t="str">
        <f>IFERROR(__xludf.DUMMYFUNCTION("""COMPUTED_VALUE"""),"Charlie Kaufman")</f>
        <v>Charlie Kaufman</v>
      </c>
      <c r="D880" s="4">
        <f t="array" ref="D880">IFERROR(AVERAGEIFS($B$2:$B$3757, $A$2:$A$3757, C880:C4634), "")</f>
        <v>7.5</v>
      </c>
      <c r="E880" s="4">
        <f t="shared" si="1"/>
        <v>87.2</v>
      </c>
      <c r="F880" s="4" t="str">
        <f t="array" ref="F880">IF(D880&gt;=_xlfn.PERCENTILE.INC(D880:D2538, 0.9), "High", "Low")</f>
        <v>Low</v>
      </c>
      <c r="L880" s="4" t="str">
        <f t="shared" si="2"/>
        <v/>
      </c>
    </row>
    <row r="881" ht="14.25" customHeight="1">
      <c r="A881" s="1" t="s">
        <v>138</v>
      </c>
      <c r="B881" s="1">
        <v>7.9</v>
      </c>
      <c r="C881" s="4" t="str">
        <f>IFERROR(__xludf.DUMMYFUNCTION("""COMPUTED_VALUE"""),"Jean-Paul Rappeneau")</f>
        <v>Jean-Paul Rappeneau</v>
      </c>
      <c r="D881" s="4">
        <f t="array" ref="D881">IFERROR(AVERAGEIFS($B$2:$B$3757, $A$2:$A$3757, C881:C4635), "")</f>
        <v>6.9</v>
      </c>
      <c r="E881" s="4">
        <f t="shared" si="1"/>
        <v>64.9</v>
      </c>
      <c r="F881" s="4" t="str">
        <f t="array" ref="F881">IF(D881&gt;=_xlfn.PERCENTILE.INC(D881:D2539, 0.9), "High", "Low")</f>
        <v>Low</v>
      </c>
      <c r="L881" s="4" t="str">
        <f t="shared" si="2"/>
        <v/>
      </c>
    </row>
    <row r="882" ht="14.25" customHeight="1">
      <c r="A882" s="1" t="s">
        <v>4726</v>
      </c>
      <c r="B882" s="1">
        <v>7.1</v>
      </c>
      <c r="C882" s="4" t="str">
        <f>IFERROR(__xludf.DUMMYFUNCTION("""COMPUTED_VALUE"""),"Nancy Walker")</f>
        <v>Nancy Walker</v>
      </c>
      <c r="D882" s="4">
        <f t="array" ref="D882">IFERROR(AVERAGEIFS($B$2:$B$3757, $A$2:$A$3757, C882:C4636), "")</f>
        <v>4.5</v>
      </c>
      <c r="E882" s="4">
        <f t="shared" si="1"/>
        <v>6.7</v>
      </c>
      <c r="F882" s="4" t="str">
        <f t="array" ref="F882">IF(D882&gt;=_xlfn.PERCENTILE.INC(D882:D2540, 0.9), "High", "Low")</f>
        <v>Low</v>
      </c>
      <c r="L882" s="4" t="str">
        <f t="shared" si="2"/>
        <v/>
      </c>
    </row>
    <row r="883" ht="14.25" customHeight="1">
      <c r="A883" s="1" t="s">
        <v>513</v>
      </c>
      <c r="B883" s="1">
        <v>6.9</v>
      </c>
      <c r="C883" s="4" t="str">
        <f>IFERROR(__xludf.DUMMYFUNCTION("""COMPUTED_VALUE"""),"Angelo Pizzo")</f>
        <v>Angelo Pizzo</v>
      </c>
      <c r="D883" s="4">
        <f t="array" ref="D883">IFERROR(AVERAGEIFS($B$2:$B$3757, $A$2:$A$3757, C883:C4637), "")</f>
        <v>7</v>
      </c>
      <c r="E883" s="4">
        <f t="shared" si="1"/>
        <v>68.6</v>
      </c>
      <c r="F883" s="4" t="str">
        <f t="array" ref="F883">IF(D883&gt;=_xlfn.PERCENTILE.INC(D883:D2541, 0.9), "High", "Low")</f>
        <v>Low</v>
      </c>
      <c r="L883" s="4" t="str">
        <f t="shared" si="2"/>
        <v/>
      </c>
    </row>
    <row r="884" ht="14.25" customHeight="1">
      <c r="A884" s="1" t="s">
        <v>3175</v>
      </c>
      <c r="B884" s="1">
        <v>7.3</v>
      </c>
      <c r="C884" s="4" t="str">
        <f>IFERROR(__xludf.DUMMYFUNCTION("""COMPUTED_VALUE"""),"Katsuhiro Ã”tomo")</f>
        <v>Katsuhiro Ã”tomo</v>
      </c>
      <c r="D884" s="4">
        <f t="array" ref="D884">IFERROR(AVERAGEIFS($B$2:$B$3757, $A$2:$A$3757, C884:C4638), "")</f>
        <v>7.5</v>
      </c>
      <c r="E884" s="4">
        <f t="shared" si="1"/>
        <v>87.3</v>
      </c>
      <c r="F884" s="4" t="str">
        <f t="array" ref="F884">IF(D884&gt;=_xlfn.PERCENTILE.INC(D884:D2542, 0.9), "High", "Low")</f>
        <v>Low</v>
      </c>
      <c r="L884" s="4" t="str">
        <f t="shared" si="2"/>
        <v/>
      </c>
    </row>
    <row r="885" ht="14.25" customHeight="1">
      <c r="A885" s="1" t="s">
        <v>2407</v>
      </c>
      <c r="B885" s="1">
        <v>7.0</v>
      </c>
      <c r="C885" s="4" t="str">
        <f>IFERROR(__xludf.DUMMYFUNCTION("""COMPUTED_VALUE"""),"David Anspaugh")</f>
        <v>David Anspaugh</v>
      </c>
      <c r="D885" s="4">
        <f t="array" ref="D885">IFERROR(AVERAGEIFS($B$2:$B$3757, $A$2:$A$3757, C885:C4639), "")</f>
        <v>6.2</v>
      </c>
      <c r="E885" s="4">
        <f t="shared" si="1"/>
        <v>39.7</v>
      </c>
      <c r="F885" s="4" t="str">
        <f t="array" ref="F885">IF(D885&gt;=_xlfn.PERCENTILE.INC(D885:D2543, 0.9), "High", "Low")</f>
        <v>Low</v>
      </c>
      <c r="L885" s="4" t="str">
        <f t="shared" si="2"/>
        <v/>
      </c>
    </row>
    <row r="886" ht="14.25" customHeight="1">
      <c r="A886" s="1" t="s">
        <v>1357</v>
      </c>
      <c r="B886" s="1">
        <v>7.7</v>
      </c>
      <c r="C886" s="4" t="str">
        <f>IFERROR(__xludf.DUMMYFUNCTION("""COMPUTED_VALUE"""),"Daniel Algrant")</f>
        <v>Daniel Algrant</v>
      </c>
      <c r="D886" s="4">
        <f t="array" ref="D886">IFERROR(AVERAGEIFS($B$2:$B$3757, $A$2:$A$3757, C886:C4640), "")</f>
        <v>5.5</v>
      </c>
      <c r="E886" s="4">
        <f t="shared" si="1"/>
        <v>18.8</v>
      </c>
      <c r="F886" s="4" t="str">
        <f t="array" ref="F886">IF(D886&gt;=_xlfn.PERCENTILE.INC(D886:D2544, 0.9), "High", "Low")</f>
        <v>Low</v>
      </c>
      <c r="L886" s="4" t="str">
        <f t="shared" si="2"/>
        <v/>
      </c>
    </row>
    <row r="887" ht="14.25" customHeight="1">
      <c r="A887" s="1" t="s">
        <v>499</v>
      </c>
      <c r="B887" s="1">
        <v>6.7</v>
      </c>
      <c r="C887" s="4" t="str">
        <f>IFERROR(__xludf.DUMMYFUNCTION("""COMPUTED_VALUE"""),"Mark Rosman")</f>
        <v>Mark Rosman</v>
      </c>
      <c r="D887" s="4">
        <f t="array" ref="D887">IFERROR(AVERAGEIFS($B$2:$B$3757, $A$2:$A$3757, C887:C4641), "")</f>
        <v>5.7</v>
      </c>
      <c r="E887" s="4">
        <f t="shared" si="1"/>
        <v>24.4</v>
      </c>
      <c r="F887" s="4" t="str">
        <f t="array" ref="F887">IF(D887&gt;=_xlfn.PERCENTILE.INC(D887:D2545, 0.9), "High", "Low")</f>
        <v>Low</v>
      </c>
      <c r="L887" s="4" t="str">
        <f t="shared" si="2"/>
        <v/>
      </c>
    </row>
    <row r="888" ht="14.25" customHeight="1">
      <c r="A888" s="1" t="s">
        <v>1668</v>
      </c>
      <c r="B888" s="1">
        <v>6.3</v>
      </c>
      <c r="C888" s="4" t="str">
        <f>IFERROR(__xludf.DUMMYFUNCTION("""COMPUTED_VALUE"""),"Britt Allcroft")</f>
        <v>Britt Allcroft</v>
      </c>
      <c r="D888" s="4">
        <f t="array" ref="D888">IFERROR(AVERAGEIFS($B$2:$B$3757, $A$2:$A$3757, C888:C4642), "")</f>
        <v>3.6</v>
      </c>
      <c r="E888" s="4">
        <f t="shared" si="1"/>
        <v>2.8</v>
      </c>
      <c r="F888" s="4" t="str">
        <f t="array" ref="F888">IF(D888&gt;=_xlfn.PERCENTILE.INC(D888:D2546, 0.9), "High", "Low")</f>
        <v>Low</v>
      </c>
      <c r="L888" s="4" t="str">
        <f t="shared" si="2"/>
        <v/>
      </c>
    </row>
    <row r="889" ht="14.25" customHeight="1">
      <c r="A889" s="1" t="s">
        <v>2655</v>
      </c>
      <c r="B889" s="1">
        <v>5.8</v>
      </c>
      <c r="C889" s="4" t="str">
        <f>IFERROR(__xludf.DUMMYFUNCTION("""COMPUTED_VALUE"""),"Brian Percival")</f>
        <v>Brian Percival</v>
      </c>
      <c r="D889" s="4">
        <f t="array" ref="D889">IFERROR(AVERAGEIFS($B$2:$B$3757, $A$2:$A$3757, C889:C4643), "")</f>
        <v>7.6</v>
      </c>
      <c r="E889" s="4">
        <f t="shared" si="1"/>
        <v>88.9</v>
      </c>
      <c r="F889" s="4" t="str">
        <f t="array" ref="F889">IF(D889&gt;=_xlfn.PERCENTILE.INC(D889:D2547, 0.9), "High", "Low")</f>
        <v>High</v>
      </c>
      <c r="L889" s="4" t="str">
        <f t="shared" si="2"/>
        <v/>
      </c>
    </row>
    <row r="890" ht="14.25" customHeight="1">
      <c r="A890" s="1" t="s">
        <v>343</v>
      </c>
      <c r="B890" s="1">
        <v>7.1</v>
      </c>
      <c r="C890" s="4" t="str">
        <f>IFERROR(__xludf.DUMMYFUNCTION("""COMPUTED_VALUE"""),"Anand Tucker")</f>
        <v>Anand Tucker</v>
      </c>
      <c r="D890" s="4">
        <f t="array" ref="D890">IFERROR(AVERAGEIFS($B$2:$B$3757, $A$2:$A$3757, C890:C4644), "")</f>
        <v>6.65</v>
      </c>
      <c r="E890" s="4">
        <f t="shared" si="1"/>
        <v>56.4</v>
      </c>
      <c r="F890" s="4" t="str">
        <f t="array" ref="F890">IF(D890&gt;=_xlfn.PERCENTILE.INC(D890:D2548, 0.9), "High", "Low")</f>
        <v>Low</v>
      </c>
      <c r="L890" s="4" t="str">
        <f t="shared" si="2"/>
        <v/>
      </c>
    </row>
    <row r="891" ht="14.25" customHeight="1">
      <c r="A891" s="1" t="s">
        <v>1456</v>
      </c>
      <c r="B891" s="1">
        <v>7.3</v>
      </c>
      <c r="C891" s="4" t="str">
        <f>IFERROR(__xludf.DUMMYFUNCTION("""COMPUTED_VALUE"""),"Michael Dowse")</f>
        <v>Michael Dowse</v>
      </c>
      <c r="D891" s="4">
        <f t="array" ref="D891">IFERROR(AVERAGEIFS($B$2:$B$3757, $A$2:$A$3757, C891:C4645), "")</f>
        <v>6.3</v>
      </c>
      <c r="E891" s="4">
        <f t="shared" si="1"/>
        <v>42.2</v>
      </c>
      <c r="F891" s="4" t="str">
        <f t="array" ref="F891">IF(D891&gt;=_xlfn.PERCENTILE.INC(D891:D2549, 0.9), "High", "Low")</f>
        <v>Low</v>
      </c>
      <c r="L891" s="4" t="str">
        <f t="shared" si="2"/>
        <v/>
      </c>
    </row>
    <row r="892" ht="14.25" customHeight="1">
      <c r="A892" s="1" t="s">
        <v>4022</v>
      </c>
      <c r="B892" s="1">
        <v>6.4</v>
      </c>
      <c r="C892" s="4" t="str">
        <f>IFERROR(__xludf.DUMMYFUNCTION("""COMPUTED_VALUE"""),"Emile Ardolino")</f>
        <v>Emile Ardolino</v>
      </c>
      <c r="D892" s="4">
        <f t="array" ref="D892">IFERROR(AVERAGEIFS($B$2:$B$3757, $A$2:$A$3757, C892:C4646), "")</f>
        <v>5.7</v>
      </c>
      <c r="E892" s="4">
        <f t="shared" si="1"/>
        <v>24.4</v>
      </c>
      <c r="F892" s="4" t="str">
        <f t="array" ref="F892">IF(D892&gt;=_xlfn.PERCENTILE.INC(D892:D2550, 0.9), "High", "Low")</f>
        <v>Low</v>
      </c>
      <c r="L892" s="4" t="str">
        <f t="shared" si="2"/>
        <v/>
      </c>
    </row>
    <row r="893" ht="14.25" customHeight="1">
      <c r="A893" s="1" t="s">
        <v>2018</v>
      </c>
      <c r="B893" s="1">
        <v>7.1</v>
      </c>
      <c r="C893" s="4" t="str">
        <f>IFERROR(__xludf.DUMMYFUNCTION("""COMPUTED_VALUE"""),"Robert Altman")</f>
        <v>Robert Altman</v>
      </c>
      <c r="D893" s="4">
        <f t="array" ref="D893">IFERROR(AVERAGEIFS($B$2:$B$3757, $A$2:$A$3757, C893:C4647), "")</f>
        <v>6.8</v>
      </c>
      <c r="E893" s="4">
        <f t="shared" si="1"/>
        <v>60.7</v>
      </c>
      <c r="F893" s="4" t="str">
        <f t="array" ref="F893">IF(D893&gt;=_xlfn.PERCENTILE.INC(D893:D2551, 0.9), "High", "Low")</f>
        <v>Low</v>
      </c>
      <c r="L893" s="4" t="str">
        <f t="shared" si="2"/>
        <v/>
      </c>
    </row>
    <row r="894" ht="14.25" customHeight="1">
      <c r="A894" s="1" t="s">
        <v>4775</v>
      </c>
      <c r="B894" s="1">
        <v>7.6</v>
      </c>
      <c r="C894" s="4" t="str">
        <f>IFERROR(__xludf.DUMMYFUNCTION("""COMPUTED_VALUE"""),"Andrew Douglas")</f>
        <v>Andrew Douglas</v>
      </c>
      <c r="D894" s="4">
        <f t="array" ref="D894">IFERROR(AVERAGEIFS($B$2:$B$3757, $A$2:$A$3757, C894:C4648), "")</f>
        <v>6</v>
      </c>
      <c r="E894" s="4">
        <f t="shared" si="1"/>
        <v>32.3</v>
      </c>
      <c r="F894" s="4" t="str">
        <f t="array" ref="F894">IF(D894&gt;=_xlfn.PERCENTILE.INC(D894:D2552, 0.9), "High", "Low")</f>
        <v>Low</v>
      </c>
      <c r="L894" s="4" t="str">
        <f t="shared" si="2"/>
        <v/>
      </c>
    </row>
    <row r="895" ht="14.25" customHeight="1">
      <c r="A895" s="1" t="s">
        <v>1120</v>
      </c>
      <c r="B895" s="1">
        <v>6.8</v>
      </c>
      <c r="C895" s="4" t="str">
        <f>IFERROR(__xludf.DUMMYFUNCTION("""COMPUTED_VALUE"""),"George A. Romero")</f>
        <v>George A. Romero</v>
      </c>
      <c r="D895" s="4">
        <f t="array" ref="D895">IFERROR(AVERAGEIFS($B$2:$B$3757, $A$2:$A$3757, C895:C4649), "")</f>
        <v>5.633333333</v>
      </c>
      <c r="E895" s="4">
        <f t="shared" si="1"/>
        <v>24</v>
      </c>
      <c r="F895" s="4" t="str">
        <f t="array" ref="F895">IF(D895&gt;=_xlfn.PERCENTILE.INC(D895:D2553, 0.9), "High", "Low")</f>
        <v>Low</v>
      </c>
      <c r="L895" s="4" t="str">
        <f t="shared" si="2"/>
        <v/>
      </c>
    </row>
    <row r="896" ht="14.25" customHeight="1">
      <c r="A896" s="1" t="s">
        <v>4784</v>
      </c>
      <c r="B896" s="1">
        <v>6.6</v>
      </c>
      <c r="C896" s="4" t="str">
        <f>IFERROR(__xludf.DUMMYFUNCTION("""COMPUTED_VALUE"""),"Ricky Gervais")</f>
        <v>Ricky Gervais</v>
      </c>
      <c r="D896" s="4">
        <f t="array" ref="D896">IFERROR(AVERAGEIFS($B$2:$B$3757, $A$2:$A$3757, C896:C4650), "")</f>
        <v>6.4</v>
      </c>
      <c r="E896" s="4">
        <f t="shared" si="1"/>
        <v>45.4</v>
      </c>
      <c r="F896" s="4" t="str">
        <f t="array" ref="F896">IF(D896&gt;=_xlfn.PERCENTILE.INC(D896:D2554, 0.9), "High", "Low")</f>
        <v>Low</v>
      </c>
      <c r="L896" s="4" t="str">
        <f t="shared" si="2"/>
        <v/>
      </c>
    </row>
    <row r="897" ht="14.25" customHeight="1">
      <c r="A897" s="1" t="s">
        <v>1200</v>
      </c>
      <c r="B897" s="1">
        <v>6.7</v>
      </c>
      <c r="C897" s="4" t="str">
        <f>IFERROR(__xludf.DUMMYFUNCTION("""COMPUTED_VALUE"""),"Vic Armstrong")</f>
        <v>Vic Armstrong</v>
      </c>
      <c r="D897" s="4">
        <f t="array" ref="D897">IFERROR(AVERAGEIFS($B$2:$B$3757, $A$2:$A$3757, C897:C4651), "")</f>
        <v>3.1</v>
      </c>
      <c r="E897" s="4">
        <f t="shared" si="1"/>
        <v>1</v>
      </c>
      <c r="F897" s="4" t="str">
        <f t="array" ref="F897">IF(D897&gt;=_xlfn.PERCENTILE.INC(D897:D2555, 0.9), "High", "Low")</f>
        <v>Low</v>
      </c>
      <c r="L897" s="4" t="str">
        <f t="shared" si="2"/>
        <v/>
      </c>
    </row>
    <row r="898" ht="14.25" customHeight="1">
      <c r="A898" s="1" t="s">
        <v>4270</v>
      </c>
      <c r="B898" s="1">
        <v>6.1</v>
      </c>
      <c r="C898" s="4" t="str">
        <f>IFERROR(__xludf.DUMMYFUNCTION("""COMPUTED_VALUE"""),"Terry Zwigoff")</f>
        <v>Terry Zwigoff</v>
      </c>
      <c r="D898" s="4">
        <f t="array" ref="D898">IFERROR(AVERAGEIFS($B$2:$B$3757, $A$2:$A$3757, C898:C4652), "")</f>
        <v>7.25</v>
      </c>
      <c r="E898" s="4">
        <f t="shared" si="1"/>
        <v>82.3</v>
      </c>
      <c r="F898" s="4" t="str">
        <f t="array" ref="F898">IF(D898&gt;=_xlfn.PERCENTILE.INC(D898:D2556, 0.9), "High", "Low")</f>
        <v>Low</v>
      </c>
      <c r="L898" s="4" t="str">
        <f t="shared" si="2"/>
        <v/>
      </c>
    </row>
    <row r="899" ht="14.25" customHeight="1">
      <c r="A899" s="1" t="s">
        <v>149</v>
      </c>
      <c r="B899" s="1">
        <v>6.0</v>
      </c>
      <c r="C899" s="4" t="str">
        <f>IFERROR(__xludf.DUMMYFUNCTION("""COMPUTED_VALUE"""),"Nelson McCormick")</f>
        <v>Nelson McCormick</v>
      </c>
      <c r="D899" s="4">
        <f t="array" ref="D899">IFERROR(AVERAGEIFS($B$2:$B$3757, $A$2:$A$3757, C899:C4653), "")</f>
        <v>3.9</v>
      </c>
      <c r="E899" s="4">
        <f t="shared" si="1"/>
        <v>3.3</v>
      </c>
      <c r="F899" s="4" t="str">
        <f t="array" ref="F899">IF(D899&gt;=_xlfn.PERCENTILE.INC(D899:D2557, 0.9), "High", "Low")</f>
        <v>Low</v>
      </c>
      <c r="L899" s="4" t="str">
        <f t="shared" si="2"/>
        <v/>
      </c>
    </row>
    <row r="900" ht="14.25" customHeight="1">
      <c r="A900" s="1" t="s">
        <v>4801</v>
      </c>
      <c r="B900" s="1">
        <v>7.6</v>
      </c>
      <c r="C900" s="4" t="str">
        <f>IFERROR(__xludf.DUMMYFUNCTION("""COMPUTED_VALUE"""),"Audrey Wells")</f>
        <v>Audrey Wells</v>
      </c>
      <c r="D900" s="4">
        <f t="array" ref="D900">IFERROR(AVERAGEIFS($B$2:$B$3757, $A$2:$A$3757, C900:C4654), "")</f>
        <v>6.7</v>
      </c>
      <c r="E900" s="4">
        <f t="shared" si="1"/>
        <v>56.5</v>
      </c>
      <c r="F900" s="4" t="str">
        <f t="array" ref="F900">IF(D900&gt;=_xlfn.PERCENTILE.INC(D900:D2558, 0.9), "High", "Low")</f>
        <v>Low</v>
      </c>
      <c r="L900" s="4" t="str">
        <f t="shared" si="2"/>
        <v/>
      </c>
    </row>
    <row r="901" ht="14.25" customHeight="1">
      <c r="A901" s="1" t="s">
        <v>4806</v>
      </c>
      <c r="B901" s="1">
        <v>7.1</v>
      </c>
      <c r="C901" s="4" t="str">
        <f>IFERROR(__xludf.DUMMYFUNCTION("""COMPUTED_VALUE"""),"Bille Woodruff")</f>
        <v>Bille Woodruff</v>
      </c>
      <c r="D901" s="4">
        <f t="array" ref="D901">IFERROR(AVERAGEIFS($B$2:$B$3757, $A$2:$A$3757, C901:C4655), "")</f>
        <v>5.25</v>
      </c>
      <c r="E901" s="4">
        <f t="shared" si="1"/>
        <v>14.2</v>
      </c>
      <c r="F901" s="4" t="str">
        <f t="array" ref="F901">IF(D901&gt;=_xlfn.PERCENTILE.INC(D901:D2559, 0.9), "High", "Low")</f>
        <v>Low</v>
      </c>
      <c r="L901" s="4" t="str">
        <f t="shared" si="2"/>
        <v/>
      </c>
    </row>
    <row r="902" ht="14.25" customHeight="1">
      <c r="A902" s="1" t="s">
        <v>4812</v>
      </c>
      <c r="B902" s="1">
        <v>5.0</v>
      </c>
      <c r="C902" s="4" t="str">
        <f>IFERROR(__xludf.DUMMYFUNCTION("""COMPUTED_VALUE"""),"Rick Friedberg")</f>
        <v>Rick Friedberg</v>
      </c>
      <c r="D902" s="4">
        <f t="array" ref="D902">IFERROR(AVERAGEIFS($B$2:$B$3757, $A$2:$A$3757, C902:C4656), "")</f>
        <v>5.3</v>
      </c>
      <c r="E902" s="4">
        <f t="shared" si="1"/>
        <v>14.4</v>
      </c>
      <c r="F902" s="4" t="str">
        <f t="array" ref="F902">IF(D902&gt;=_xlfn.PERCENTILE.INC(D902:D2560, 0.9), "High", "Low")</f>
        <v>Low</v>
      </c>
      <c r="L902" s="4" t="str">
        <f t="shared" si="2"/>
        <v/>
      </c>
    </row>
    <row r="903" ht="14.25" customHeight="1">
      <c r="A903" s="1" t="s">
        <v>1002</v>
      </c>
      <c r="B903" s="1">
        <v>6.2</v>
      </c>
      <c r="C903" s="4" t="str">
        <f>IFERROR(__xludf.DUMMYFUNCTION("""COMPUTED_VALUE"""),"Sean McNamara")</f>
        <v>Sean McNamara</v>
      </c>
      <c r="D903" s="4">
        <f t="array" ref="D903">IFERROR(AVERAGEIFS($B$2:$B$3757, $A$2:$A$3757, C903:C4657), "")</f>
        <v>6.5</v>
      </c>
      <c r="E903" s="4">
        <f t="shared" si="1"/>
        <v>48.4</v>
      </c>
      <c r="F903" s="4" t="str">
        <f t="array" ref="F903">IF(D903&gt;=_xlfn.PERCENTILE.INC(D903:D2561, 0.9), "High", "Low")</f>
        <v>Low</v>
      </c>
      <c r="L903" s="4" t="str">
        <f t="shared" si="2"/>
        <v/>
      </c>
    </row>
    <row r="904" ht="14.25" customHeight="1">
      <c r="A904" s="1" t="s">
        <v>4415</v>
      </c>
      <c r="B904" s="1">
        <v>5.6</v>
      </c>
      <c r="C904" s="4" t="str">
        <f>IFERROR(__xludf.DUMMYFUNCTION("""COMPUTED_VALUE"""),"Jody Hill")</f>
        <v>Jody Hill</v>
      </c>
      <c r="D904" s="4">
        <f t="array" ref="D904">IFERROR(AVERAGEIFS($B$2:$B$3757, $A$2:$A$3757, C904:C4658), "")</f>
        <v>5.8</v>
      </c>
      <c r="E904" s="4">
        <f t="shared" si="1"/>
        <v>26.3</v>
      </c>
      <c r="F904" s="4" t="str">
        <f t="array" ref="F904">IF(D904&gt;=_xlfn.PERCENTILE.INC(D904:D2562, 0.9), "High", "Low")</f>
        <v>Low</v>
      </c>
      <c r="L904" s="4" t="str">
        <f t="shared" si="2"/>
        <v/>
      </c>
    </row>
    <row r="905" ht="14.25" customHeight="1">
      <c r="A905" s="1" t="s">
        <v>3548</v>
      </c>
      <c r="B905" s="1">
        <v>7.4</v>
      </c>
      <c r="C905" s="4" t="str">
        <f>IFERROR(__xludf.DUMMYFUNCTION("""COMPUTED_VALUE"""),"Brandon Camp")</f>
        <v>Brandon Camp</v>
      </c>
      <c r="D905" s="4">
        <f t="array" ref="D905">IFERROR(AVERAGEIFS($B$2:$B$3757, $A$2:$A$3757, C905:C4659), "")</f>
        <v>5.6</v>
      </c>
      <c r="E905" s="4">
        <f t="shared" si="1"/>
        <v>20.6</v>
      </c>
      <c r="F905" s="4" t="str">
        <f t="array" ref="F905">IF(D905&gt;=_xlfn.PERCENTILE.INC(D905:D2563, 0.9), "High", "Low")</f>
        <v>Low</v>
      </c>
      <c r="L905" s="4" t="str">
        <f t="shared" si="2"/>
        <v/>
      </c>
    </row>
    <row r="906" ht="14.25" customHeight="1">
      <c r="A906" s="1" t="s">
        <v>4827</v>
      </c>
      <c r="B906" s="1">
        <v>5.0</v>
      </c>
      <c r="C906" s="4" t="str">
        <f>IFERROR(__xludf.DUMMYFUNCTION("""COMPUTED_VALUE"""),"Kevin Tancharoen")</f>
        <v>Kevin Tancharoen</v>
      </c>
      <c r="D906" s="4">
        <f t="array" ref="D906">IFERROR(AVERAGEIFS($B$2:$B$3757, $A$2:$A$3757, C906:C4660), "")</f>
        <v>5.2</v>
      </c>
      <c r="E906" s="4">
        <f t="shared" si="1"/>
        <v>13</v>
      </c>
      <c r="F906" s="4" t="str">
        <f t="array" ref="F906">IF(D906&gt;=_xlfn.PERCENTILE.INC(D906:D2564, 0.9), "High", "Low")</f>
        <v>Low</v>
      </c>
      <c r="L906" s="4" t="str">
        <f t="shared" si="2"/>
        <v/>
      </c>
    </row>
    <row r="907" ht="14.25" customHeight="1">
      <c r="A907" s="1" t="s">
        <v>4833</v>
      </c>
      <c r="B907" s="1">
        <v>5.2</v>
      </c>
      <c r="C907" s="4" t="str">
        <f>IFERROR(__xludf.DUMMYFUNCTION("""COMPUTED_VALUE"""),"Nicholas Hytner")</f>
        <v>Nicholas Hytner</v>
      </c>
      <c r="D907" s="4">
        <f t="array" ref="D907">IFERROR(AVERAGEIFS($B$2:$B$3757, $A$2:$A$3757, C907:C4661), "")</f>
        <v>6.533333333</v>
      </c>
      <c r="E907" s="4">
        <f t="shared" si="1"/>
        <v>52.5</v>
      </c>
      <c r="F907" s="4" t="str">
        <f t="array" ref="F907">IF(D907&gt;=_xlfn.PERCENTILE.INC(D907:D2565, 0.9), "High", "Low")</f>
        <v>Low</v>
      </c>
      <c r="L907" s="4" t="str">
        <f t="shared" si="2"/>
        <v/>
      </c>
    </row>
    <row r="908" ht="14.25" customHeight="1">
      <c r="A908" s="1" t="s">
        <v>4837</v>
      </c>
      <c r="B908" s="1">
        <v>7.6</v>
      </c>
      <c r="C908" s="4" t="str">
        <f>IFERROR(__xludf.DUMMYFUNCTION("""COMPUTED_VALUE"""),"Bart Freundlich")</f>
        <v>Bart Freundlich</v>
      </c>
      <c r="D908" s="4">
        <f t="array" ref="D908">IFERROR(AVERAGEIFS($B$2:$B$3757, $A$2:$A$3757, C908:C4662), "")</f>
        <v>5.45</v>
      </c>
      <c r="E908" s="4">
        <f t="shared" si="1"/>
        <v>18.3</v>
      </c>
      <c r="F908" s="4" t="str">
        <f t="array" ref="F908">IF(D908&gt;=_xlfn.PERCENTILE.INC(D908:D2566, 0.9), "High", "Low")</f>
        <v>Low</v>
      </c>
      <c r="L908" s="4" t="str">
        <f t="shared" si="2"/>
        <v/>
      </c>
    </row>
    <row r="909" ht="14.25" customHeight="1">
      <c r="A909" s="1" t="s">
        <v>673</v>
      </c>
      <c r="B909" s="1">
        <v>6.6</v>
      </c>
      <c r="C909" s="4" t="str">
        <f>IFERROR(__xludf.DUMMYFUNCTION("""COMPUTED_VALUE"""),"William A. Fraker")</f>
        <v>William A. Fraker</v>
      </c>
      <c r="D909" s="4">
        <f t="array" ref="D909">IFERROR(AVERAGEIFS($B$2:$B$3757, $A$2:$A$3757, C909:C4663), "")</f>
        <v>5</v>
      </c>
      <c r="E909" s="4">
        <f t="shared" si="1"/>
        <v>10.4</v>
      </c>
      <c r="F909" s="4" t="str">
        <f t="array" ref="F909">IF(D909&gt;=_xlfn.PERCENTILE.INC(D909:D2567, 0.9), "High", "Low")</f>
        <v>Low</v>
      </c>
      <c r="L909" s="4" t="str">
        <f t="shared" si="2"/>
        <v/>
      </c>
    </row>
    <row r="910" ht="14.25" customHeight="1">
      <c r="A910" s="1" t="s">
        <v>4844</v>
      </c>
      <c r="B910" s="1">
        <v>7.0</v>
      </c>
      <c r="C910" s="4" t="str">
        <f>IFERROR(__xludf.DUMMYFUNCTION("""COMPUTED_VALUE"""),"John Boorman")</f>
        <v>John Boorman</v>
      </c>
      <c r="D910" s="4">
        <f t="array" ref="D910">IFERROR(AVERAGEIFS($B$2:$B$3757, $A$2:$A$3757, C910:C4664), "")</f>
        <v>6.1</v>
      </c>
      <c r="E910" s="4">
        <f t="shared" si="1"/>
        <v>34.6</v>
      </c>
      <c r="F910" s="4" t="str">
        <f t="array" ref="F910">IF(D910&gt;=_xlfn.PERCENTILE.INC(D910:D2568, 0.9), "High", "Low")</f>
        <v>Low</v>
      </c>
      <c r="L910" s="4" t="str">
        <f t="shared" si="2"/>
        <v/>
      </c>
    </row>
    <row r="911" ht="14.25" customHeight="1">
      <c r="A911" s="1" t="s">
        <v>4849</v>
      </c>
      <c r="B911" s="1">
        <v>5.7</v>
      </c>
      <c r="C911" s="4" t="str">
        <f>IFERROR(__xludf.DUMMYFUNCTION("""COMPUTED_VALUE"""),"Courtney Solomon")</f>
        <v>Courtney Solomon</v>
      </c>
      <c r="D911" s="4">
        <f t="array" ref="D911">IFERROR(AVERAGEIFS($B$2:$B$3757, $A$2:$A$3757, C911:C4665), "")</f>
        <v>4.7</v>
      </c>
      <c r="E911" s="4">
        <f t="shared" si="1"/>
        <v>8.1</v>
      </c>
      <c r="F911" s="4" t="str">
        <f t="array" ref="F911">IF(D911&gt;=_xlfn.PERCENTILE.INC(D911:D2569, 0.9), "High", "Low")</f>
        <v>Low</v>
      </c>
      <c r="L911" s="4" t="str">
        <f t="shared" si="2"/>
        <v/>
      </c>
    </row>
    <row r="912" ht="14.25" customHeight="1">
      <c r="A912" s="1" t="s">
        <v>4855</v>
      </c>
      <c r="B912" s="1">
        <v>8.2</v>
      </c>
      <c r="C912" s="4" t="str">
        <f>IFERROR(__xludf.DUMMYFUNCTION("""COMPUTED_VALUE"""),"Jeff Kanew")</f>
        <v>Jeff Kanew</v>
      </c>
      <c r="D912" s="4">
        <f t="array" ref="D912">IFERROR(AVERAGEIFS($B$2:$B$3757, $A$2:$A$3757, C912:C4666), "")</f>
        <v>5.5</v>
      </c>
      <c r="E912" s="4">
        <f t="shared" si="1"/>
        <v>18.3</v>
      </c>
      <c r="F912" s="4" t="str">
        <f t="array" ref="F912">IF(D912&gt;=_xlfn.PERCENTILE.INC(D912:D2570, 0.9), "High", "Low")</f>
        <v>Low</v>
      </c>
      <c r="L912" s="4" t="str">
        <f t="shared" si="2"/>
        <v/>
      </c>
    </row>
    <row r="913" ht="14.25" customHeight="1">
      <c r="A913" s="1" t="s">
        <v>4681</v>
      </c>
      <c r="B913" s="1">
        <v>6.2</v>
      </c>
      <c r="C913" s="4" t="str">
        <f>IFERROR(__xludf.DUMMYFUNCTION("""COMPUTED_VALUE"""),"IstvÃ¡n SzabÃ³")</f>
        <v>IstvÃ¡n SzabÃ³</v>
      </c>
      <c r="D913" s="4">
        <f t="array" ref="D913">IFERROR(AVERAGEIFS($B$2:$B$3757, $A$2:$A$3757, C913:C4667), "")</f>
        <v>7.1</v>
      </c>
      <c r="E913" s="4">
        <f t="shared" si="1"/>
        <v>72.7</v>
      </c>
      <c r="F913" s="4" t="str">
        <f t="array" ref="F913">IF(D913&gt;=_xlfn.PERCENTILE.INC(D913:D2571, 0.9), "High", "Low")</f>
        <v>Low</v>
      </c>
      <c r="L913" s="4" t="str">
        <f t="shared" si="2"/>
        <v/>
      </c>
    </row>
    <row r="914" ht="14.25" customHeight="1">
      <c r="A914" s="1" t="s">
        <v>4866</v>
      </c>
      <c r="B914" s="1">
        <v>6.6</v>
      </c>
      <c r="C914" s="4" t="str">
        <f>IFERROR(__xludf.DUMMYFUNCTION("""COMPUTED_VALUE"""),"Matthew Robbins")</f>
        <v>Matthew Robbins</v>
      </c>
      <c r="D914" s="4">
        <f t="array" ref="D914">IFERROR(AVERAGEIFS($B$2:$B$3757, $A$2:$A$3757, C914:C4668), "")</f>
        <v>6.7</v>
      </c>
      <c r="E914" s="4">
        <f t="shared" si="1"/>
        <v>56</v>
      </c>
      <c r="F914" s="4" t="str">
        <f t="array" ref="F914">IF(D914&gt;=_xlfn.PERCENTILE.INC(D914:D2572, 0.9), "High", "Low")</f>
        <v>Low</v>
      </c>
      <c r="L914" s="4" t="str">
        <f t="shared" si="2"/>
        <v/>
      </c>
    </row>
    <row r="915" ht="14.25" customHeight="1">
      <c r="A915" s="1" t="s">
        <v>4870</v>
      </c>
      <c r="B915" s="1">
        <v>4.7</v>
      </c>
      <c r="C915" s="4" t="str">
        <f>IFERROR(__xludf.DUMMYFUNCTION("""COMPUTED_VALUE"""),"Hal Needham")</f>
        <v>Hal Needham</v>
      </c>
      <c r="D915" s="4">
        <f t="array" ref="D915">IFERROR(AVERAGEIFS($B$2:$B$3757, $A$2:$A$3757, C915:C4669), "")</f>
        <v>3.5</v>
      </c>
      <c r="E915" s="4">
        <f t="shared" si="1"/>
        <v>2.3</v>
      </c>
      <c r="F915" s="4" t="str">
        <f t="array" ref="F915">IF(D915&gt;=_xlfn.PERCENTILE.INC(D915:D2573, 0.9), "High", "Low")</f>
        <v>Low</v>
      </c>
      <c r="L915" s="4" t="str">
        <f t="shared" si="2"/>
        <v/>
      </c>
    </row>
    <row r="916" ht="14.25" customHeight="1">
      <c r="A916" s="1" t="s">
        <v>4876</v>
      </c>
      <c r="B916" s="1">
        <v>6.3</v>
      </c>
      <c r="C916" s="4" t="str">
        <f>IFERROR(__xludf.DUMMYFUNCTION("""COMPUTED_VALUE"""),"Jeff Nichols")</f>
        <v>Jeff Nichols</v>
      </c>
      <c r="D916" s="4">
        <f t="array" ref="D916">IFERROR(AVERAGEIFS($B$2:$B$3757, $A$2:$A$3757, C916:C4670), "")</f>
        <v>7.166666667</v>
      </c>
      <c r="E916" s="4">
        <f t="shared" si="1"/>
        <v>77.6</v>
      </c>
      <c r="F916" s="4" t="str">
        <f t="array" ref="F916">IF(D916&gt;=_xlfn.PERCENTILE.INC(D916:D2574, 0.9), "High", "Low")</f>
        <v>Low</v>
      </c>
      <c r="L916" s="4" t="str">
        <f t="shared" si="2"/>
        <v/>
      </c>
    </row>
    <row r="917" ht="14.25" customHeight="1">
      <c r="A917" s="1" t="s">
        <v>4882</v>
      </c>
      <c r="B917" s="1">
        <v>6.1</v>
      </c>
      <c r="C917" s="4" t="str">
        <f>IFERROR(__xludf.DUMMYFUNCTION("""COMPUTED_VALUE"""),"Jonathan Teplitzky")</f>
        <v>Jonathan Teplitzky</v>
      </c>
      <c r="D917" s="4">
        <f t="array" ref="D917">IFERROR(AVERAGEIFS($B$2:$B$3757, $A$2:$A$3757, C917:C4671), "")</f>
        <v>7.1</v>
      </c>
      <c r="E917" s="4">
        <f t="shared" si="1"/>
        <v>72.8</v>
      </c>
      <c r="F917" s="4" t="str">
        <f t="array" ref="F917">IF(D917&gt;=_xlfn.PERCENTILE.INC(D917:D2575, 0.9), "High", "Low")</f>
        <v>Low</v>
      </c>
      <c r="L917" s="4" t="str">
        <f t="shared" si="2"/>
        <v/>
      </c>
    </row>
    <row r="918" ht="14.25" customHeight="1">
      <c r="A918" s="1" t="s">
        <v>4887</v>
      </c>
      <c r="B918" s="1">
        <v>6.7</v>
      </c>
      <c r="C918" s="4" t="str">
        <f>IFERROR(__xludf.DUMMYFUNCTION("""COMPUTED_VALUE"""),"Michael Haneke")</f>
        <v>Michael Haneke</v>
      </c>
      <c r="D918" s="4">
        <f t="array" ref="D918">IFERROR(AVERAGEIFS($B$2:$B$3757, $A$2:$A$3757, C918:C4672), "")</f>
        <v>7.4</v>
      </c>
      <c r="E918" s="4">
        <f t="shared" si="1"/>
        <v>86.5</v>
      </c>
      <c r="F918" s="4" t="str">
        <f t="array" ref="F918">IF(D918&gt;=_xlfn.PERCENTILE.INC(D918:D2576, 0.9), "High", "Low")</f>
        <v>Low</v>
      </c>
      <c r="L918" s="4" t="str">
        <f t="shared" si="2"/>
        <v/>
      </c>
    </row>
    <row r="919" ht="14.25" customHeight="1">
      <c r="A919" s="1" t="s">
        <v>2523</v>
      </c>
      <c r="B919" s="1">
        <v>6.1</v>
      </c>
      <c r="C919" s="4" t="str">
        <f>IFERROR(__xludf.DUMMYFUNCTION("""COMPUTED_VALUE"""),"Mike Marvin")</f>
        <v>Mike Marvin</v>
      </c>
      <c r="D919" s="4">
        <f t="array" ref="D919">IFERROR(AVERAGEIFS($B$2:$B$3757, $A$2:$A$3757, C919:C4673), "")</f>
        <v>5.9</v>
      </c>
      <c r="E919" s="4">
        <f t="shared" si="1"/>
        <v>27.8</v>
      </c>
      <c r="F919" s="4" t="str">
        <f t="array" ref="F919">IF(D919&gt;=_xlfn.PERCENTILE.INC(D919:D2577, 0.9), "High", "Low")</f>
        <v>Low</v>
      </c>
      <c r="L919" s="4" t="str">
        <f t="shared" si="2"/>
        <v/>
      </c>
    </row>
    <row r="920" ht="14.25" customHeight="1">
      <c r="A920" s="1" t="s">
        <v>4900</v>
      </c>
      <c r="B920" s="1">
        <v>7.0</v>
      </c>
      <c r="C920" s="4" t="str">
        <f>IFERROR(__xludf.DUMMYFUNCTION("""COMPUTED_VALUE"""),"Lance Hool")</f>
        <v>Lance Hool</v>
      </c>
      <c r="D920" s="4">
        <f t="array" ref="D920">IFERROR(AVERAGEIFS($B$2:$B$3757, $A$2:$A$3757, C920:C4674), "")</f>
        <v>6.2</v>
      </c>
      <c r="E920" s="4">
        <f t="shared" si="1"/>
        <v>38.9</v>
      </c>
      <c r="F920" s="4" t="str">
        <f t="array" ref="F920">IF(D920&gt;=_xlfn.PERCENTILE.INC(D920:D2578, 0.9), "High", "Low")</f>
        <v>Low</v>
      </c>
      <c r="L920" s="4" t="str">
        <f t="shared" si="2"/>
        <v/>
      </c>
    </row>
    <row r="921" ht="14.25" customHeight="1">
      <c r="A921" s="1" t="s">
        <v>270</v>
      </c>
      <c r="B921" s="1">
        <v>7.4</v>
      </c>
      <c r="C921" s="4" t="str">
        <f>IFERROR(__xludf.DUMMYFUNCTION("""COMPUTED_VALUE"""),"Christian Volckman")</f>
        <v>Christian Volckman</v>
      </c>
      <c r="D921" s="4">
        <f t="array" ref="D921">IFERROR(AVERAGEIFS($B$2:$B$3757, $A$2:$A$3757, C921:C4675), "")</f>
        <v>6.7</v>
      </c>
      <c r="E921" s="4">
        <f t="shared" si="1"/>
        <v>56.1</v>
      </c>
      <c r="F921" s="4" t="str">
        <f t="array" ref="F921">IF(D921&gt;=_xlfn.PERCENTILE.INC(D921:D2579, 0.9), "High", "Low")</f>
        <v>Low</v>
      </c>
      <c r="L921" s="4" t="str">
        <f t="shared" si="2"/>
        <v/>
      </c>
    </row>
    <row r="922" ht="14.25" customHeight="1">
      <c r="A922" s="1" t="s">
        <v>4911</v>
      </c>
      <c r="B922" s="1">
        <v>7.3</v>
      </c>
      <c r="C922" s="4" t="str">
        <f>IFERROR(__xludf.DUMMYFUNCTION("""COMPUTED_VALUE"""),"Cory Edwards")</f>
        <v>Cory Edwards</v>
      </c>
      <c r="D922" s="4">
        <f t="array" ref="D922">IFERROR(AVERAGEIFS($B$2:$B$3757, $A$2:$A$3757, C922:C4676), "")</f>
        <v>6.5</v>
      </c>
      <c r="E922" s="4">
        <f t="shared" si="1"/>
        <v>48.2</v>
      </c>
      <c r="F922" s="4" t="str">
        <f t="array" ref="F922">IF(D922&gt;=_xlfn.PERCENTILE.INC(D922:D2580, 0.9), "High", "Low")</f>
        <v>Low</v>
      </c>
      <c r="L922" s="4" t="str">
        <f t="shared" si="2"/>
        <v/>
      </c>
    </row>
    <row r="923" ht="14.25" customHeight="1">
      <c r="A923" s="1" t="s">
        <v>4916</v>
      </c>
      <c r="B923" s="1">
        <v>5.8</v>
      </c>
      <c r="C923" s="4" t="str">
        <f>IFERROR(__xludf.DUMMYFUNCTION("""COMPUTED_VALUE"""),"Terry George")</f>
        <v>Terry George</v>
      </c>
      <c r="D923" s="4">
        <f t="array" ref="D923">IFERROR(AVERAGEIFS($B$2:$B$3757, $A$2:$A$3757, C923:C4677), "")</f>
        <v>8.1</v>
      </c>
      <c r="E923" s="4">
        <f t="shared" si="1"/>
        <v>97.4</v>
      </c>
      <c r="F923" s="4" t="str">
        <f t="array" ref="F923">IF(D923&gt;=_xlfn.PERCENTILE.INC(D923:D2581, 0.9), "High", "Low")</f>
        <v>High</v>
      </c>
      <c r="L923" s="4" t="str">
        <f t="shared" si="2"/>
        <v/>
      </c>
    </row>
    <row r="924" ht="14.25" customHeight="1">
      <c r="A924" s="1" t="s">
        <v>3503</v>
      </c>
      <c r="B924" s="1">
        <v>6.7</v>
      </c>
      <c r="C924" s="4" t="str">
        <f>IFERROR(__xludf.DUMMYFUNCTION("""COMPUTED_VALUE"""),"Xavier Gens")</f>
        <v>Xavier Gens</v>
      </c>
      <c r="D924" s="4">
        <f t="array" ref="D924">IFERROR(AVERAGEIFS($B$2:$B$3757, $A$2:$A$3757, C924:C4678), "")</f>
        <v>6.05</v>
      </c>
      <c r="E924" s="4">
        <f t="shared" si="1"/>
        <v>34.5</v>
      </c>
      <c r="F924" s="4" t="str">
        <f t="array" ref="F924">IF(D924&gt;=_xlfn.PERCENTILE.INC(D924:D2582, 0.9), "High", "Low")</f>
        <v>Low</v>
      </c>
      <c r="L924" s="4" t="str">
        <f t="shared" si="2"/>
        <v/>
      </c>
    </row>
    <row r="925" ht="14.25" customHeight="1">
      <c r="A925" s="1" t="s">
        <v>179</v>
      </c>
      <c r="B925" s="1">
        <v>5.8</v>
      </c>
      <c r="C925" s="4" t="str">
        <f>IFERROR(__xludf.DUMMYFUNCTION("""COMPUTED_VALUE"""),"Kasi Lemmons")</f>
        <v>Kasi Lemmons</v>
      </c>
      <c r="D925" s="4">
        <f t="array" ref="D925">IFERROR(AVERAGEIFS($B$2:$B$3757, $A$2:$A$3757, C925:C4679), "")</f>
        <v>5.85</v>
      </c>
      <c r="E925" s="4">
        <f t="shared" si="1"/>
        <v>27.9</v>
      </c>
      <c r="F925" s="4" t="str">
        <f t="array" ref="F925">IF(D925&gt;=_xlfn.PERCENTILE.INC(D925:D2583, 0.9), "High", "Low")</f>
        <v>Low</v>
      </c>
      <c r="L925" s="4" t="str">
        <f t="shared" si="2"/>
        <v/>
      </c>
    </row>
    <row r="926" ht="14.25" customHeight="1">
      <c r="A926" s="1" t="s">
        <v>648</v>
      </c>
      <c r="B926" s="1">
        <v>7.8</v>
      </c>
      <c r="C926" s="4" t="str">
        <f>IFERROR(__xludf.DUMMYFUNCTION("""COMPUTED_VALUE"""),"Matt Dillon")</f>
        <v>Matt Dillon</v>
      </c>
      <c r="D926" s="4">
        <f t="array" ref="D926">IFERROR(AVERAGEIFS($B$2:$B$3757, $A$2:$A$3757, C926:C4680), "")</f>
        <v>6</v>
      </c>
      <c r="E926" s="4">
        <f t="shared" si="1"/>
        <v>31.7</v>
      </c>
      <c r="F926" s="4" t="str">
        <f t="array" ref="F926">IF(D926&gt;=_xlfn.PERCENTILE.INC(D926:D2584, 0.9), "High", "Low")</f>
        <v>Low</v>
      </c>
      <c r="L926" s="4" t="str">
        <f t="shared" si="2"/>
        <v/>
      </c>
    </row>
    <row r="927" ht="14.25" customHeight="1">
      <c r="A927" s="1" t="s">
        <v>4931</v>
      </c>
      <c r="B927" s="1">
        <v>6.6</v>
      </c>
      <c r="C927" s="4" t="str">
        <f>IFERROR(__xludf.DUMMYFUNCTION("""COMPUTED_VALUE"""),"George Cukor")</f>
        <v>George Cukor</v>
      </c>
      <c r="D927" s="4">
        <f t="array" ref="D927">IFERROR(AVERAGEIFS($B$2:$B$3757, $A$2:$A$3757, C927:C4681), "")</f>
        <v>7.9</v>
      </c>
      <c r="E927" s="4">
        <f t="shared" si="1"/>
        <v>95.9</v>
      </c>
      <c r="F927" s="4" t="str">
        <f t="array" ref="F927">IF(D927&gt;=_xlfn.PERCENTILE.INC(D927:D2585, 0.9), "High", "Low")</f>
        <v>High</v>
      </c>
      <c r="L927" s="4" t="str">
        <f t="shared" si="2"/>
        <v/>
      </c>
    </row>
    <row r="928" ht="14.25" customHeight="1">
      <c r="A928" s="1" t="s">
        <v>4937</v>
      </c>
      <c r="B928" s="1">
        <v>6.5</v>
      </c>
      <c r="C928" s="4" t="str">
        <f>IFERROR(__xludf.DUMMYFUNCTION("""COMPUTED_VALUE"""),"Jim Gillespie")</f>
        <v>Jim Gillespie</v>
      </c>
      <c r="D928" s="4">
        <f t="array" ref="D928">IFERROR(AVERAGEIFS($B$2:$B$3757, $A$2:$A$3757, C928:C4682), "")</f>
        <v>5.6</v>
      </c>
      <c r="E928" s="4">
        <f t="shared" si="1"/>
        <v>20.5</v>
      </c>
      <c r="F928" s="4" t="str">
        <f t="array" ref="F928">IF(D928&gt;=_xlfn.PERCENTILE.INC(D928:D2586, 0.9), "High", "Low")</f>
        <v>Low</v>
      </c>
      <c r="L928" s="4" t="str">
        <f t="shared" si="2"/>
        <v/>
      </c>
    </row>
    <row r="929" ht="14.25" customHeight="1">
      <c r="A929" s="1" t="s">
        <v>4942</v>
      </c>
      <c r="B929" s="1">
        <v>6.7</v>
      </c>
      <c r="C929" s="4" t="str">
        <f>IFERROR(__xludf.DUMMYFUNCTION("""COMPUTED_VALUE"""),"John Hoffman")</f>
        <v>John Hoffman</v>
      </c>
      <c r="D929" s="4">
        <f t="array" ref="D929">IFERROR(AVERAGEIFS($B$2:$B$3757, $A$2:$A$3757, C929:C4683), "")</f>
        <v>5.1</v>
      </c>
      <c r="E929" s="4">
        <f t="shared" si="1"/>
        <v>10.9</v>
      </c>
      <c r="F929" s="4" t="str">
        <f t="array" ref="F929">IF(D929&gt;=_xlfn.PERCENTILE.INC(D929:D2587, 0.9), "High", "Low")</f>
        <v>Low</v>
      </c>
      <c r="L929" s="4" t="str">
        <f t="shared" si="2"/>
        <v/>
      </c>
    </row>
    <row r="930" ht="14.25" customHeight="1">
      <c r="A930" s="1" t="s">
        <v>2928</v>
      </c>
      <c r="B930" s="1">
        <v>7.3</v>
      </c>
      <c r="C930" s="4" t="str">
        <f>IFERROR(__xludf.DUMMYFUNCTION("""COMPUTED_VALUE"""),"Kevin Greutert")</f>
        <v>Kevin Greutert</v>
      </c>
      <c r="D930" s="4">
        <f t="array" ref="D930">IFERROR(AVERAGEIFS($B$2:$B$3757, $A$2:$A$3757, C930:C4684), "")</f>
        <v>5.8</v>
      </c>
      <c r="E930" s="4">
        <f t="shared" si="1"/>
        <v>26</v>
      </c>
      <c r="F930" s="4" t="str">
        <f t="array" ref="F930">IF(D930&gt;=_xlfn.PERCENTILE.INC(D930:D2588, 0.9), "High", "Low")</f>
        <v>Low</v>
      </c>
      <c r="L930" s="4" t="str">
        <f t="shared" si="2"/>
        <v/>
      </c>
    </row>
    <row r="931" ht="14.25" customHeight="1">
      <c r="A931" s="1" t="s">
        <v>4951</v>
      </c>
      <c r="B931" s="1">
        <v>5.8</v>
      </c>
      <c r="C931" s="4" t="str">
        <f>IFERROR(__xludf.DUMMYFUNCTION("""COMPUTED_VALUE"""),"John Fortenberry")</f>
        <v>John Fortenberry</v>
      </c>
      <c r="D931" s="4">
        <f t="array" ref="D931">IFERROR(AVERAGEIFS($B$2:$B$3757, $A$2:$A$3757, C931:C4685), "")</f>
        <v>6.2</v>
      </c>
      <c r="E931" s="4">
        <f t="shared" si="1"/>
        <v>38.6</v>
      </c>
      <c r="F931" s="4" t="str">
        <f t="array" ref="F931">IF(D931&gt;=_xlfn.PERCENTILE.INC(D931:D2589, 0.9), "High", "Low")</f>
        <v>Low</v>
      </c>
      <c r="L931" s="4" t="str">
        <f t="shared" si="2"/>
        <v/>
      </c>
    </row>
    <row r="932" ht="14.25" customHeight="1">
      <c r="A932" s="1" t="s">
        <v>4957</v>
      </c>
      <c r="B932" s="1">
        <v>5.5</v>
      </c>
      <c r="C932" s="4" t="str">
        <f>IFERROR(__xludf.DUMMYFUNCTION("""COMPUTED_VALUE"""),"Daniel Barnz")</f>
        <v>Daniel Barnz</v>
      </c>
      <c r="D932" s="4">
        <f t="array" ref="D932">IFERROR(AVERAGEIFS($B$2:$B$3757, $A$2:$A$3757, C932:C4686), "")</f>
        <v>5.6</v>
      </c>
      <c r="E932" s="4">
        <f t="shared" si="1"/>
        <v>20.4</v>
      </c>
      <c r="F932" s="4" t="str">
        <f t="array" ref="F932">IF(D932&gt;=_xlfn.PERCENTILE.INC(D932:D2590, 0.9), "High", "Low")</f>
        <v>Low</v>
      </c>
      <c r="L932" s="4" t="str">
        <f t="shared" si="2"/>
        <v/>
      </c>
    </row>
    <row r="933" ht="14.25" customHeight="1">
      <c r="A933" s="1" t="s">
        <v>2700</v>
      </c>
      <c r="B933" s="1">
        <v>6.3</v>
      </c>
      <c r="C933" s="4" t="str">
        <f>IFERROR(__xludf.DUMMYFUNCTION("""COMPUTED_VALUE"""),"Jason Moore")</f>
        <v>Jason Moore</v>
      </c>
      <c r="D933" s="4">
        <f t="array" ref="D933">IFERROR(AVERAGEIFS($B$2:$B$3757, $A$2:$A$3757, C933:C4687), "")</f>
        <v>7.2</v>
      </c>
      <c r="E933" s="4">
        <f t="shared" si="1"/>
        <v>77.6</v>
      </c>
      <c r="F933" s="4" t="str">
        <f t="array" ref="F933">IF(D933&gt;=_xlfn.PERCENTILE.INC(D933:D2591, 0.9), "High", "Low")</f>
        <v>Low</v>
      </c>
      <c r="L933" s="4" t="str">
        <f t="shared" si="2"/>
        <v/>
      </c>
    </row>
    <row r="934" ht="14.25" customHeight="1">
      <c r="A934" s="1" t="s">
        <v>4681</v>
      </c>
      <c r="B934" s="1">
        <v>7.4</v>
      </c>
      <c r="C934" s="4" t="str">
        <f>IFERROR(__xludf.DUMMYFUNCTION("""COMPUTED_VALUE"""),"Robert Harmon")</f>
        <v>Robert Harmon</v>
      </c>
      <c r="D934" s="4">
        <f t="array" ref="D934">IFERROR(AVERAGEIFS($B$2:$B$3757, $A$2:$A$3757, C934:C4688), "")</f>
        <v>5.15</v>
      </c>
      <c r="E934" s="4">
        <f t="shared" si="1"/>
        <v>12.7</v>
      </c>
      <c r="F934" s="4" t="str">
        <f t="array" ref="F934">IF(D934&gt;=_xlfn.PERCENTILE.INC(D934:D2592, 0.9), "High", "Low")</f>
        <v>Low</v>
      </c>
      <c r="L934" s="4" t="str">
        <f t="shared" si="2"/>
        <v/>
      </c>
    </row>
    <row r="935" ht="14.25" customHeight="1">
      <c r="A935" s="1" t="s">
        <v>2455</v>
      </c>
      <c r="B935" s="1">
        <v>5.9</v>
      </c>
      <c r="C935" s="4" t="str">
        <f>IFERROR(__xludf.DUMMYFUNCTION("""COMPUTED_VALUE"""),"Trent Cooper")</f>
        <v>Trent Cooper</v>
      </c>
      <c r="D935" s="4">
        <f t="array" ref="D935">IFERROR(AVERAGEIFS($B$2:$B$3757, $A$2:$A$3757, C935:C4689), "")</f>
        <v>3.1</v>
      </c>
      <c r="E935" s="4">
        <f t="shared" si="1"/>
        <v>1.1</v>
      </c>
      <c r="F935" s="4" t="str">
        <f t="array" ref="F935">IF(D935&gt;=_xlfn.PERCENTILE.INC(D935:D2593, 0.9), "High", "Low")</f>
        <v>Low</v>
      </c>
      <c r="L935" s="4" t="str">
        <f t="shared" si="2"/>
        <v/>
      </c>
    </row>
    <row r="936" ht="14.25" customHeight="1">
      <c r="A936" s="1" t="s">
        <v>4975</v>
      </c>
      <c r="B936" s="1">
        <v>6.2</v>
      </c>
      <c r="C936" s="4" t="str">
        <f>IFERROR(__xludf.DUMMYFUNCTION("""COMPUTED_VALUE"""),"Gary Halvorson")</f>
        <v>Gary Halvorson</v>
      </c>
      <c r="D936" s="4">
        <f t="array" ref="D936">IFERROR(AVERAGEIFS($B$2:$B$3757, $A$2:$A$3757, C936:C4690), "")</f>
        <v>5.8</v>
      </c>
      <c r="E936" s="4">
        <f t="shared" si="1"/>
        <v>25.8</v>
      </c>
      <c r="F936" s="4" t="str">
        <f t="array" ref="F936">IF(D936&gt;=_xlfn.PERCENTILE.INC(D936:D2594, 0.9), "High", "Low")</f>
        <v>Low</v>
      </c>
      <c r="L936" s="4" t="str">
        <f t="shared" si="2"/>
        <v/>
      </c>
    </row>
    <row r="937" ht="14.25" customHeight="1">
      <c r="A937" s="1" t="s">
        <v>4980</v>
      </c>
      <c r="B937" s="1">
        <v>5.9</v>
      </c>
      <c r="C937" s="4" t="str">
        <f>IFERROR(__xludf.DUMMYFUNCTION("""COMPUTED_VALUE"""),"Fede Alvarez")</f>
        <v>Fede Alvarez</v>
      </c>
      <c r="D937" s="4">
        <f t="array" ref="D937">IFERROR(AVERAGEIFS($B$2:$B$3757, $A$2:$A$3757, C937:C4691), "")</f>
        <v>6.5</v>
      </c>
      <c r="E937" s="4">
        <f t="shared" si="1"/>
        <v>47.7</v>
      </c>
      <c r="F937" s="4" t="str">
        <f t="array" ref="F937">IF(D937&gt;=_xlfn.PERCENTILE.INC(D937:D2595, 0.9), "High", "Low")</f>
        <v>Low</v>
      </c>
      <c r="L937" s="4" t="str">
        <f t="shared" si="2"/>
        <v/>
      </c>
    </row>
    <row r="938" ht="14.25" customHeight="1">
      <c r="A938" s="1" t="s">
        <v>4985</v>
      </c>
      <c r="B938" s="1">
        <v>6.5</v>
      </c>
      <c r="C938" s="4" t="str">
        <f>IFERROR(__xludf.DUMMYFUNCTION("""COMPUTED_VALUE"""),"Sidney J. Furie")</f>
        <v>Sidney J. Furie</v>
      </c>
      <c r="D938" s="4">
        <f t="array" ref="D938">IFERROR(AVERAGEIFS($B$2:$B$3757, $A$2:$A$3757, C938:C4692), "")</f>
        <v>3.6</v>
      </c>
      <c r="E938" s="4">
        <f t="shared" si="1"/>
        <v>2.6</v>
      </c>
      <c r="F938" s="4" t="str">
        <f t="array" ref="F938">IF(D938&gt;=_xlfn.PERCENTILE.INC(D938:D2596, 0.9), "High", "Low")</f>
        <v>Low</v>
      </c>
      <c r="L938" s="4" t="str">
        <f t="shared" si="2"/>
        <v/>
      </c>
    </row>
    <row r="939" ht="14.25" customHeight="1">
      <c r="A939" s="1" t="s">
        <v>4991</v>
      </c>
      <c r="B939" s="1">
        <v>4.4</v>
      </c>
      <c r="C939" s="4" t="str">
        <f>IFERROR(__xludf.DUMMYFUNCTION("""COMPUTED_VALUE"""),"Wayne Kramer")</f>
        <v>Wayne Kramer</v>
      </c>
      <c r="D939" s="4">
        <f t="array" ref="D939">IFERROR(AVERAGEIFS($B$2:$B$3757, $A$2:$A$3757, C939:C4693), "")</f>
        <v>7.2</v>
      </c>
      <c r="E939" s="4">
        <f t="shared" si="1"/>
        <v>77.6</v>
      </c>
      <c r="F939" s="4" t="str">
        <f t="array" ref="F939">IF(D939&gt;=_xlfn.PERCENTILE.INC(D939:D2597, 0.9), "High", "Low")</f>
        <v>Low</v>
      </c>
      <c r="L939" s="4" t="str">
        <f t="shared" si="2"/>
        <v/>
      </c>
    </row>
    <row r="940" ht="14.25" customHeight="1">
      <c r="A940" s="1" t="s">
        <v>4632</v>
      </c>
      <c r="B940" s="1">
        <v>3.5</v>
      </c>
      <c r="C940" s="4" t="str">
        <f>IFERROR(__xludf.DUMMYFUNCTION("""COMPUTED_VALUE"""),"Jim Goddard")</f>
        <v>Jim Goddard</v>
      </c>
      <c r="D940" s="4">
        <f t="array" ref="D940">IFERROR(AVERAGEIFS($B$2:$B$3757, $A$2:$A$3757, C940:C4694), "")</f>
        <v>3</v>
      </c>
      <c r="E940" s="4">
        <f t="shared" si="1"/>
        <v>0.8</v>
      </c>
      <c r="F940" s="4" t="str">
        <f t="array" ref="F940">IF(D940&gt;=_xlfn.PERCENTILE.INC(D940:D2598, 0.9), "High", "Low")</f>
        <v>Low</v>
      </c>
      <c r="L940" s="4" t="str">
        <f t="shared" si="2"/>
        <v/>
      </c>
    </row>
    <row r="941" ht="14.25" customHeight="1">
      <c r="A941" s="1" t="s">
        <v>5001</v>
      </c>
      <c r="B941" s="1">
        <v>6.6</v>
      </c>
      <c r="C941" s="4" t="str">
        <f>IFERROR(__xludf.DUMMYFUNCTION("""COMPUTED_VALUE"""),"Noel Marshall")</f>
        <v>Noel Marshall</v>
      </c>
      <c r="D941" s="4">
        <f t="array" ref="D941">IFERROR(AVERAGEIFS($B$2:$B$3757, $A$2:$A$3757, C941:C4695), "")</f>
        <v>6.4</v>
      </c>
      <c r="E941" s="4">
        <f t="shared" si="1"/>
        <v>44.3</v>
      </c>
      <c r="F941" s="4" t="str">
        <f t="array" ref="F941">IF(D941&gt;=_xlfn.PERCENTILE.INC(D941:D2599, 0.9), "High", "Low")</f>
        <v>Low</v>
      </c>
      <c r="L941" s="4" t="str">
        <f t="shared" si="2"/>
        <v/>
      </c>
    </row>
    <row r="942" ht="14.25" customHeight="1">
      <c r="A942" s="1" t="s">
        <v>3138</v>
      </c>
      <c r="B942" s="1">
        <v>6.0</v>
      </c>
      <c r="C942" s="4" t="str">
        <f>IFERROR(__xludf.DUMMYFUNCTION("""COMPUTED_VALUE"""),"Todd Lincoln")</f>
        <v>Todd Lincoln</v>
      </c>
      <c r="D942" s="4">
        <f t="array" ref="D942">IFERROR(AVERAGEIFS($B$2:$B$3757, $A$2:$A$3757, C942:C4696), "")</f>
        <v>4.1</v>
      </c>
      <c r="E942" s="4">
        <f t="shared" si="1"/>
        <v>3.9</v>
      </c>
      <c r="F942" s="4" t="str">
        <f t="array" ref="F942">IF(D942&gt;=_xlfn.PERCENTILE.INC(D942:D2600, 0.9), "High", "Low")</f>
        <v>Low</v>
      </c>
      <c r="L942" s="4" t="str">
        <f t="shared" si="2"/>
        <v/>
      </c>
    </row>
    <row r="943" ht="14.25" customHeight="1">
      <c r="A943" s="1" t="s">
        <v>4855</v>
      </c>
      <c r="B943" s="1">
        <v>6.4</v>
      </c>
      <c r="C943" s="4" t="str">
        <f>IFERROR(__xludf.DUMMYFUNCTION("""COMPUTED_VALUE"""),"Howard Zieff")</f>
        <v>Howard Zieff</v>
      </c>
      <c r="D943" s="4">
        <f t="array" ref="D943">IFERROR(AVERAGEIFS($B$2:$B$3757, $A$2:$A$3757, C943:C4697), "")</f>
        <v>6.45</v>
      </c>
      <c r="E943" s="4">
        <f t="shared" si="1"/>
        <v>46.9</v>
      </c>
      <c r="F943" s="4" t="str">
        <f t="array" ref="F943">IF(D943&gt;=_xlfn.PERCENTILE.INC(D943:D2601, 0.9), "High", "Low")</f>
        <v>Low</v>
      </c>
      <c r="L943" s="4" t="str">
        <f t="shared" si="2"/>
        <v/>
      </c>
    </row>
    <row r="944" ht="14.25" customHeight="1">
      <c r="A944" s="1" t="s">
        <v>71</v>
      </c>
      <c r="B944" s="1">
        <v>6.5</v>
      </c>
      <c r="C944" s="4" t="str">
        <f>IFERROR(__xludf.DUMMYFUNCTION("""COMPUTED_VALUE"""),"Steven Shainberg")</f>
        <v>Steven Shainberg</v>
      </c>
      <c r="D944" s="4">
        <f t="array" ref="D944">IFERROR(AVERAGEIFS($B$2:$B$3757, $A$2:$A$3757, C944:C4698), "")</f>
        <v>6.8</v>
      </c>
      <c r="E944" s="4">
        <f t="shared" si="1"/>
        <v>59.3</v>
      </c>
      <c r="F944" s="4" t="str">
        <f t="array" ref="F944">IF(D944&gt;=_xlfn.PERCENTILE.INC(D944:D2602, 0.9), "High", "Low")</f>
        <v>Low</v>
      </c>
      <c r="L944" s="4" t="str">
        <f t="shared" si="2"/>
        <v/>
      </c>
    </row>
    <row r="945" ht="14.25" customHeight="1">
      <c r="A945" s="1" t="s">
        <v>5020</v>
      </c>
      <c r="B945" s="1">
        <v>4.3</v>
      </c>
      <c r="C945" s="4" t="str">
        <f>IFERROR(__xludf.DUMMYFUNCTION("""COMPUTED_VALUE"""),"Julian Jarrold")</f>
        <v>Julian Jarrold</v>
      </c>
      <c r="D945" s="4">
        <f t="array" ref="D945">IFERROR(AVERAGEIFS($B$2:$B$3757, $A$2:$A$3757, C945:C4699), "")</f>
        <v>7.1</v>
      </c>
      <c r="E945" s="4">
        <f t="shared" si="1"/>
        <v>72.6</v>
      </c>
      <c r="F945" s="4" t="str">
        <f t="array" ref="F945">IF(D945&gt;=_xlfn.PERCENTILE.INC(D945:D2603, 0.9), "High", "Low")</f>
        <v>Low</v>
      </c>
      <c r="L945" s="4" t="str">
        <f t="shared" si="2"/>
        <v/>
      </c>
    </row>
    <row r="946" ht="14.25" customHeight="1">
      <c r="A946" s="1" t="s">
        <v>4415</v>
      </c>
      <c r="B946" s="1">
        <v>4.2</v>
      </c>
      <c r="C946" s="4" t="str">
        <f>IFERROR(__xludf.DUMMYFUNCTION("""COMPUTED_VALUE"""),"Joe Nussbaum")</f>
        <v>Joe Nussbaum</v>
      </c>
      <c r="D946" s="4">
        <f t="array" ref="D946">IFERROR(AVERAGEIFS($B$2:$B$3757, $A$2:$A$3757, C946:C4700), "")</f>
        <v>5.666666667</v>
      </c>
      <c r="E946" s="4">
        <f t="shared" si="1"/>
        <v>23.2</v>
      </c>
      <c r="F946" s="4" t="str">
        <f t="array" ref="F946">IF(D946&gt;=_xlfn.PERCENTILE.INC(D946:D2604, 0.9), "High", "Low")</f>
        <v>Low</v>
      </c>
      <c r="L946" s="4" t="str">
        <f t="shared" si="2"/>
        <v/>
      </c>
    </row>
    <row r="947" ht="14.25" customHeight="1">
      <c r="A947" s="1" t="s">
        <v>3503</v>
      </c>
      <c r="B947" s="1">
        <v>6.5</v>
      </c>
      <c r="C947" s="4" t="str">
        <f>IFERROR(__xludf.DUMMYFUNCTION("""COMPUTED_VALUE"""),"Vadim Perelman")</f>
        <v>Vadim Perelman</v>
      </c>
      <c r="D947" s="4">
        <f t="array" ref="D947">IFERROR(AVERAGEIFS($B$2:$B$3757, $A$2:$A$3757, C947:C4701), "")</f>
        <v>7</v>
      </c>
      <c r="E947" s="4">
        <f t="shared" si="1"/>
        <v>67.6</v>
      </c>
      <c r="F947" s="4" t="str">
        <f t="array" ref="F947">IF(D947&gt;=_xlfn.PERCENTILE.INC(D947:D2605, 0.9), "High", "Low")</f>
        <v>Low</v>
      </c>
      <c r="L947" s="4" t="str">
        <f t="shared" si="2"/>
        <v/>
      </c>
    </row>
    <row r="948" ht="14.25" customHeight="1">
      <c r="A948" s="1" t="s">
        <v>5034</v>
      </c>
      <c r="B948" s="1">
        <v>6.1</v>
      </c>
      <c r="C948" s="4" t="str">
        <f>IFERROR(__xludf.DUMMYFUNCTION("""COMPUTED_VALUE"""),"Peter Farrelly")</f>
        <v>Peter Farrelly</v>
      </c>
      <c r="D948" s="4">
        <f t="array" ref="D948">IFERROR(AVERAGEIFS($B$2:$B$3757, $A$2:$A$3757, C948:C4702), "")</f>
        <v>7.3</v>
      </c>
      <c r="E948" s="4">
        <f t="shared" si="1"/>
        <v>81.9</v>
      </c>
      <c r="F948" s="4" t="str">
        <f t="array" ref="F948">IF(D948&gt;=_xlfn.PERCENTILE.INC(D948:D2606, 0.9), "High", "Low")</f>
        <v>Low</v>
      </c>
      <c r="L948" s="4" t="str">
        <f t="shared" si="2"/>
        <v/>
      </c>
    </row>
    <row r="949" ht="14.25" customHeight="1">
      <c r="A949" s="1" t="s">
        <v>1021</v>
      </c>
      <c r="B949" s="1">
        <v>6.3</v>
      </c>
      <c r="C949" s="4" t="str">
        <f>IFERROR(__xludf.DUMMYFUNCTION("""COMPUTED_VALUE"""),"Michel Hazanavicius")</f>
        <v>Michel Hazanavicius</v>
      </c>
      <c r="D949" s="4">
        <f t="array" ref="D949">IFERROR(AVERAGEIFS($B$2:$B$3757, $A$2:$A$3757, C949:C4703), "")</f>
        <v>8</v>
      </c>
      <c r="E949" s="4">
        <f t="shared" si="1"/>
        <v>96.9</v>
      </c>
      <c r="F949" s="4" t="str">
        <f t="array" ref="F949">IF(D949&gt;=_xlfn.PERCENTILE.INC(D949:D2607, 0.9), "High", "Low")</f>
        <v>High</v>
      </c>
      <c r="L949" s="4" t="str">
        <f t="shared" si="2"/>
        <v/>
      </c>
    </row>
    <row r="950" ht="14.25" customHeight="1">
      <c r="A950" s="1" t="s">
        <v>5044</v>
      </c>
      <c r="B950" s="1">
        <v>6.2</v>
      </c>
      <c r="C950" s="4" t="str">
        <f>IFERROR(__xludf.DUMMYFUNCTION("""COMPUTED_VALUE"""),"Cyrus Nowrasteh")</f>
        <v>Cyrus Nowrasteh</v>
      </c>
      <c r="D950" s="4">
        <f t="array" ref="D950">IFERROR(AVERAGEIFS($B$2:$B$3757, $A$2:$A$3757, C950:C4704), "")</f>
        <v>5.4</v>
      </c>
      <c r="E950" s="4">
        <f t="shared" si="1"/>
        <v>16.6</v>
      </c>
      <c r="F950" s="4" t="str">
        <f t="array" ref="F950">IF(D950&gt;=_xlfn.PERCENTILE.INC(D950:D2608, 0.9), "High", "Low")</f>
        <v>Low</v>
      </c>
      <c r="L950" s="4" t="str">
        <f t="shared" si="2"/>
        <v/>
      </c>
    </row>
    <row r="951" ht="14.25" customHeight="1">
      <c r="A951" s="1" t="s">
        <v>3691</v>
      </c>
      <c r="B951" s="1">
        <v>5.9</v>
      </c>
      <c r="C951" s="4" t="str">
        <f>IFERROR(__xludf.DUMMYFUNCTION("""COMPUTED_VALUE"""),"Perry Andelin Blake")</f>
        <v>Perry Andelin Blake</v>
      </c>
      <c r="D951" s="4">
        <f t="array" ref="D951">IFERROR(AVERAGEIFS($B$2:$B$3757, $A$2:$A$3757, C951:C4705), "")</f>
        <v>3.3</v>
      </c>
      <c r="E951" s="4">
        <f t="shared" si="1"/>
        <v>1.3</v>
      </c>
      <c r="F951" s="4" t="str">
        <f t="array" ref="F951">IF(D951&gt;=_xlfn.PERCENTILE.INC(D951:D2609, 0.9), "High", "Low")</f>
        <v>Low</v>
      </c>
      <c r="L951" s="4" t="str">
        <f t="shared" si="2"/>
        <v/>
      </c>
    </row>
    <row r="952" ht="14.25" customHeight="1">
      <c r="A952" s="1" t="s">
        <v>5055</v>
      </c>
      <c r="B952" s="1">
        <v>5.9</v>
      </c>
      <c r="C952" s="4" t="str">
        <f>IFERROR(__xludf.DUMMYFUNCTION("""COMPUTED_VALUE"""),"Christian E. Christiansen")</f>
        <v>Christian E. Christiansen</v>
      </c>
      <c r="D952" s="4">
        <f t="array" ref="D952">IFERROR(AVERAGEIFS($B$2:$B$3757, $A$2:$A$3757, C952:C4706), "")</f>
        <v>4.8</v>
      </c>
      <c r="E952" s="4">
        <f t="shared" si="1"/>
        <v>8.5</v>
      </c>
      <c r="F952" s="4" t="str">
        <f t="array" ref="F952">IF(D952&gt;=_xlfn.PERCENTILE.INC(D952:D2610, 0.9), "High", "Low")</f>
        <v>Low</v>
      </c>
      <c r="L952" s="4" t="str">
        <f t="shared" si="2"/>
        <v/>
      </c>
    </row>
    <row r="953" ht="14.25" customHeight="1">
      <c r="A953" s="1" t="s">
        <v>1255</v>
      </c>
      <c r="B953" s="1">
        <v>6.5</v>
      </c>
      <c r="C953" s="4" t="str">
        <f>IFERROR(__xludf.DUMMYFUNCTION("""COMPUTED_VALUE"""),"Sheldon Lettich")</f>
        <v>Sheldon Lettich</v>
      </c>
      <c r="D953" s="4">
        <f t="array" ref="D953">IFERROR(AVERAGEIFS($B$2:$B$3757, $A$2:$A$3757, C953:C4707), "")</f>
        <v>6.1</v>
      </c>
      <c r="E953" s="4">
        <f t="shared" si="1"/>
        <v>33.8</v>
      </c>
      <c r="F953" s="4" t="str">
        <f t="array" ref="F953">IF(D953&gt;=_xlfn.PERCENTILE.INC(D953:D2611, 0.9), "High", "Low")</f>
        <v>Low</v>
      </c>
      <c r="L953" s="4" t="str">
        <f t="shared" si="2"/>
        <v/>
      </c>
    </row>
    <row r="954" ht="14.25" customHeight="1">
      <c r="A954" s="1" t="s">
        <v>3503</v>
      </c>
      <c r="B954" s="1">
        <v>6.4</v>
      </c>
      <c r="C954" s="4" t="str">
        <f>IFERROR(__xludf.DUMMYFUNCTION("""COMPUTED_VALUE"""),"Diane English")</f>
        <v>Diane English</v>
      </c>
      <c r="D954" s="4">
        <f t="array" ref="D954">IFERROR(AVERAGEIFS($B$2:$B$3757, $A$2:$A$3757, C954:C4708), "")</f>
        <v>4.9</v>
      </c>
      <c r="E954" s="4">
        <f t="shared" si="1"/>
        <v>9.1</v>
      </c>
      <c r="F954" s="4" t="str">
        <f t="array" ref="F954">IF(D954&gt;=_xlfn.PERCENTILE.INC(D954:D2612, 0.9), "High", "Low")</f>
        <v>Low</v>
      </c>
      <c r="L954" s="4" t="str">
        <f t="shared" si="2"/>
        <v/>
      </c>
    </row>
    <row r="955" ht="14.25" customHeight="1">
      <c r="A955" s="1" t="s">
        <v>1764</v>
      </c>
      <c r="B955" s="1">
        <v>6.5</v>
      </c>
      <c r="C955" s="4" t="str">
        <f>IFERROR(__xludf.DUMMYFUNCTION("""COMPUTED_VALUE"""),"Robert Iscove")</f>
        <v>Robert Iscove</v>
      </c>
      <c r="D955" s="4">
        <f t="array" ref="D955">IFERROR(AVERAGEIFS($B$2:$B$3757, $A$2:$A$3757, C955:C4709), "")</f>
        <v>4.4</v>
      </c>
      <c r="E955" s="4">
        <f t="shared" si="1"/>
        <v>5.2</v>
      </c>
      <c r="F955" s="4" t="str">
        <f t="array" ref="F955">IF(D955&gt;=_xlfn.PERCENTILE.INC(D955:D2613, 0.9), "High", "Low")</f>
        <v>Low</v>
      </c>
      <c r="L955" s="4" t="str">
        <f t="shared" si="2"/>
        <v/>
      </c>
    </row>
    <row r="956" ht="14.25" customHeight="1">
      <c r="A956" s="1" t="s">
        <v>5073</v>
      </c>
      <c r="B956" s="1">
        <v>5.7</v>
      </c>
      <c r="C956" s="4" t="str">
        <f>IFERROR(__xludf.DUMMYFUNCTION("""COMPUTED_VALUE"""),"Peter Kosminsky")</f>
        <v>Peter Kosminsky</v>
      </c>
      <c r="D956" s="4">
        <f t="array" ref="D956">IFERROR(AVERAGEIFS($B$2:$B$3757, $A$2:$A$3757, C956:C4710), "")</f>
        <v>7.2</v>
      </c>
      <c r="E956" s="4">
        <f t="shared" si="1"/>
        <v>77.4</v>
      </c>
      <c r="F956" s="4" t="str">
        <f t="array" ref="F956">IF(D956&gt;=_xlfn.PERCENTILE.INC(D956:D2614, 0.9), "High", "Low")</f>
        <v>Low</v>
      </c>
      <c r="L956" s="4" t="str">
        <f t="shared" si="2"/>
        <v/>
      </c>
    </row>
    <row r="957" ht="14.25" customHeight="1">
      <c r="A957" s="1" t="s">
        <v>579</v>
      </c>
      <c r="B957" s="1">
        <v>8.0</v>
      </c>
      <c r="C957" s="4" t="str">
        <f>IFERROR(__xludf.DUMMYFUNCTION("""COMPUTED_VALUE"""),"Nick Gomez")</f>
        <v>Nick Gomez</v>
      </c>
      <c r="D957" s="4">
        <f t="array" ref="D957">IFERROR(AVERAGEIFS($B$2:$B$3757, $A$2:$A$3757, C957:C4711), "")</f>
        <v>5.6</v>
      </c>
      <c r="E957" s="4">
        <f t="shared" si="1"/>
        <v>19.7</v>
      </c>
      <c r="F957" s="4" t="str">
        <f t="array" ref="F957">IF(D957&gt;=_xlfn.PERCENTILE.INC(D957:D2615, 0.9), "High", "Low")</f>
        <v>Low</v>
      </c>
      <c r="L957" s="4" t="str">
        <f t="shared" si="2"/>
        <v/>
      </c>
    </row>
    <row r="958" ht="14.25" customHeight="1">
      <c r="A958" s="1" t="s">
        <v>5083</v>
      </c>
      <c r="B958" s="1">
        <v>7.3</v>
      </c>
      <c r="C958" s="4" t="str">
        <f>IFERROR(__xludf.DUMMYFUNCTION("""COMPUTED_VALUE"""),"Allen Coulter")</f>
        <v>Allen Coulter</v>
      </c>
      <c r="D958" s="4">
        <f t="array" ref="D958">IFERROR(AVERAGEIFS($B$2:$B$3757, $A$2:$A$3757, C958:C4712), "")</f>
        <v>7.2</v>
      </c>
      <c r="E958" s="4">
        <f t="shared" si="1"/>
        <v>77.5</v>
      </c>
      <c r="F958" s="4" t="str">
        <f t="array" ref="F958">IF(D958&gt;=_xlfn.PERCENTILE.INC(D958:D2616, 0.9), "High", "Low")</f>
        <v>Low</v>
      </c>
      <c r="L958" s="4" t="str">
        <f t="shared" si="2"/>
        <v/>
      </c>
    </row>
    <row r="959" ht="14.25" customHeight="1">
      <c r="A959" s="1" t="s">
        <v>2211</v>
      </c>
      <c r="B959" s="1">
        <v>6.7</v>
      </c>
      <c r="C959" s="4" t="str">
        <f>IFERROR(__xludf.DUMMYFUNCTION("""COMPUTED_VALUE"""),"Clare Kilner")</f>
        <v>Clare Kilner</v>
      </c>
      <c r="D959" s="4">
        <f t="array" ref="D959">IFERROR(AVERAGEIFS($B$2:$B$3757, $A$2:$A$3757, C959:C4713), "")</f>
        <v>5.9</v>
      </c>
      <c r="E959" s="4">
        <f t="shared" si="1"/>
        <v>26.8</v>
      </c>
      <c r="F959" s="4" t="str">
        <f t="array" ref="F959">IF(D959&gt;=_xlfn.PERCENTILE.INC(D959:D2617, 0.9), "High", "Low")</f>
        <v>Low</v>
      </c>
      <c r="L959" s="4" t="str">
        <f t="shared" si="2"/>
        <v/>
      </c>
    </row>
    <row r="960" ht="14.25" customHeight="1">
      <c r="A960" s="1" t="s">
        <v>4446</v>
      </c>
      <c r="B960" s="1">
        <v>7.5</v>
      </c>
      <c r="C960" s="4" t="str">
        <f>IFERROR(__xludf.DUMMYFUNCTION("""COMPUTED_VALUE"""),"Josef Rusnak")</f>
        <v>Josef Rusnak</v>
      </c>
      <c r="D960" s="4">
        <f t="array" ref="D960">IFERROR(AVERAGEIFS($B$2:$B$3757, $A$2:$A$3757, C960:C4714), "")</f>
        <v>7</v>
      </c>
      <c r="E960" s="4">
        <f t="shared" si="1"/>
        <v>67.8</v>
      </c>
      <c r="F960" s="4" t="str">
        <f t="array" ref="F960">IF(D960&gt;=_xlfn.PERCENTILE.INC(D960:D2618, 0.9), "High", "Low")</f>
        <v>Low</v>
      </c>
      <c r="L960" s="4" t="str">
        <f t="shared" si="2"/>
        <v/>
      </c>
    </row>
    <row r="961" ht="14.25" customHeight="1">
      <c r="A961" s="1" t="s">
        <v>4205</v>
      </c>
      <c r="B961" s="1">
        <v>5.4</v>
      </c>
      <c r="C961" s="4" t="str">
        <f>IFERROR(__xludf.DUMMYFUNCTION("""COMPUTED_VALUE"""),"Bruce Paltrow")</f>
        <v>Bruce Paltrow</v>
      </c>
      <c r="D961" s="4">
        <f t="array" ref="D961">IFERROR(AVERAGEIFS($B$2:$B$3757, $A$2:$A$3757, C961:C4715), "")</f>
        <v>6</v>
      </c>
      <c r="E961" s="4">
        <f t="shared" si="1"/>
        <v>30.7</v>
      </c>
      <c r="F961" s="4" t="str">
        <f t="array" ref="F961">IF(D961&gt;=_xlfn.PERCENTILE.INC(D961:D2619, 0.9), "High", "Low")</f>
        <v>Low</v>
      </c>
      <c r="L961" s="4" t="str">
        <f t="shared" si="2"/>
        <v/>
      </c>
    </row>
    <row r="962" ht="14.25" customHeight="1">
      <c r="A962" s="1" t="s">
        <v>4844</v>
      </c>
      <c r="B962" s="1">
        <v>6.6</v>
      </c>
      <c r="C962" s="4" t="str">
        <f>IFERROR(__xludf.DUMMYFUNCTION("""COMPUTED_VALUE"""),"Adam Rifkin")</f>
        <v>Adam Rifkin</v>
      </c>
      <c r="D962" s="4">
        <f t="array" ref="D962">IFERROR(AVERAGEIFS($B$2:$B$3757, $A$2:$A$3757, C962:C4716), "")</f>
        <v>6.8</v>
      </c>
      <c r="E962" s="4">
        <f t="shared" si="1"/>
        <v>59.4</v>
      </c>
      <c r="F962" s="4" t="str">
        <f t="array" ref="F962">IF(D962&gt;=_xlfn.PERCENTILE.INC(D962:D2620, 0.9), "High", "Low")</f>
        <v>Low</v>
      </c>
      <c r="L962" s="4" t="str">
        <f t="shared" si="2"/>
        <v/>
      </c>
    </row>
    <row r="963" ht="14.25" customHeight="1">
      <c r="A963" s="1" t="s">
        <v>5104</v>
      </c>
      <c r="B963" s="1">
        <v>7.7</v>
      </c>
      <c r="C963" s="4" t="str">
        <f>IFERROR(__xludf.DUMMYFUNCTION("""COMPUTED_VALUE"""),"Susanne Bier")</f>
        <v>Susanne Bier</v>
      </c>
      <c r="D963" s="4">
        <f t="array" ref="D963">IFERROR(AVERAGEIFS($B$2:$B$3757, $A$2:$A$3757, C963:C4717), "")</f>
        <v>7.2</v>
      </c>
      <c r="E963" s="4">
        <f t="shared" si="1"/>
        <v>77.5</v>
      </c>
      <c r="F963" s="4" t="str">
        <f t="array" ref="F963">IF(D963&gt;=_xlfn.PERCENTILE.INC(D963:D2621, 0.9), "High", "Low")</f>
        <v>Low</v>
      </c>
      <c r="L963" s="4" t="str">
        <f t="shared" si="2"/>
        <v/>
      </c>
    </row>
    <row r="964" ht="14.25" customHeight="1">
      <c r="A964" s="1" t="s">
        <v>5109</v>
      </c>
      <c r="B964" s="1">
        <v>5.8</v>
      </c>
      <c r="C964" s="4" t="str">
        <f>IFERROR(__xludf.DUMMYFUNCTION("""COMPUTED_VALUE"""),"Kenneth Johnson")</f>
        <v>Kenneth Johnson</v>
      </c>
      <c r="D964" s="4">
        <f t="array" ref="D964">IFERROR(AVERAGEIFS($B$2:$B$3757, $A$2:$A$3757, C964:C4718), "")</f>
        <v>2.8</v>
      </c>
      <c r="E964" s="4">
        <f t="shared" si="1"/>
        <v>0.4</v>
      </c>
      <c r="F964" s="4" t="str">
        <f t="array" ref="F964">IF(D964&gt;=_xlfn.PERCENTILE.INC(D964:D2622, 0.9), "High", "Low")</f>
        <v>Low</v>
      </c>
      <c r="L964" s="4" t="str">
        <f t="shared" si="2"/>
        <v/>
      </c>
    </row>
    <row r="965" ht="14.25" customHeight="1">
      <c r="A965" s="1" t="s">
        <v>1890</v>
      </c>
      <c r="B965" s="1">
        <v>6.4</v>
      </c>
      <c r="C965" s="4" t="str">
        <f>IFERROR(__xludf.DUMMYFUNCTION("""COMPUTED_VALUE"""),"James Ivory")</f>
        <v>James Ivory</v>
      </c>
      <c r="D965" s="4">
        <f t="array" ref="D965">IFERROR(AVERAGEIFS($B$2:$B$3757, $A$2:$A$3757, C965:C4719), "")</f>
        <v>7.1</v>
      </c>
      <c r="E965" s="4">
        <f t="shared" si="1"/>
        <v>72.7</v>
      </c>
      <c r="F965" s="4" t="str">
        <f t="array" ref="F965">IF(D965&gt;=_xlfn.PERCENTILE.INC(D965:D2623, 0.9), "High", "Low")</f>
        <v>Low</v>
      </c>
      <c r="L965" s="4" t="str">
        <f t="shared" si="2"/>
        <v/>
      </c>
    </row>
    <row r="966" ht="14.25" customHeight="1">
      <c r="A966" s="1" t="s">
        <v>5119</v>
      </c>
      <c r="B966" s="1">
        <v>5.6</v>
      </c>
      <c r="C966" s="4" t="str">
        <f>IFERROR(__xludf.DUMMYFUNCTION("""COMPUTED_VALUE"""),"Jessy Terrero")</f>
        <v>Jessy Terrero</v>
      </c>
      <c r="D966" s="4">
        <f t="array" ref="D966">IFERROR(AVERAGEIFS($B$2:$B$3757, $A$2:$A$3757, C966:C4720), "")</f>
        <v>4.4</v>
      </c>
      <c r="E966" s="4">
        <f t="shared" si="1"/>
        <v>5.2</v>
      </c>
      <c r="F966" s="4" t="str">
        <f t="array" ref="F966">IF(D966&gt;=_xlfn.PERCENTILE.INC(D966:D2624, 0.9), "High", "Low")</f>
        <v>Low</v>
      </c>
      <c r="L966" s="4" t="str">
        <f t="shared" si="2"/>
        <v/>
      </c>
    </row>
    <row r="967" ht="14.25" customHeight="1">
      <c r="A967" s="1" t="s">
        <v>5124</v>
      </c>
      <c r="B967" s="1">
        <v>6.0</v>
      </c>
      <c r="C967" s="4" t="str">
        <f>IFERROR(__xludf.DUMMYFUNCTION("""COMPUTED_VALUE"""),"Vicente Amorim")</f>
        <v>Vicente Amorim</v>
      </c>
      <c r="D967" s="4">
        <f t="array" ref="D967">IFERROR(AVERAGEIFS($B$2:$B$3757, $A$2:$A$3757, C967:C4721), "")</f>
        <v>6.2</v>
      </c>
      <c r="E967" s="4">
        <f t="shared" si="1"/>
        <v>37.9</v>
      </c>
      <c r="F967" s="4" t="str">
        <f t="array" ref="F967">IF(D967&gt;=_xlfn.PERCENTILE.INC(D967:D2625, 0.9), "High", "Low")</f>
        <v>Low</v>
      </c>
      <c r="L967" s="4" t="str">
        <f t="shared" si="2"/>
        <v/>
      </c>
    </row>
    <row r="968" ht="14.25" customHeight="1">
      <c r="A968" s="1" t="s">
        <v>5129</v>
      </c>
      <c r="B968" s="1">
        <v>6.2</v>
      </c>
      <c r="C968" s="4" t="str">
        <f>IFERROR(__xludf.DUMMYFUNCTION("""COMPUTED_VALUE"""),"Gaspar NoÃ©")</f>
        <v>Gaspar NoÃ©</v>
      </c>
      <c r="D968" s="4">
        <f t="array" ref="D968">IFERROR(AVERAGEIFS($B$2:$B$3757, $A$2:$A$3757, C968:C4722), "")</f>
        <v>7.3</v>
      </c>
      <c r="E968" s="4">
        <f t="shared" si="1"/>
        <v>81.7</v>
      </c>
      <c r="F968" s="4" t="str">
        <f t="array" ref="F968">IF(D968&gt;=_xlfn.PERCENTILE.INC(D968:D2626, 0.9), "High", "Low")</f>
        <v>Low</v>
      </c>
      <c r="L968" s="4" t="str">
        <f t="shared" si="2"/>
        <v/>
      </c>
    </row>
    <row r="969" ht="14.25" customHeight="1">
      <c r="A969" s="1" t="s">
        <v>5134</v>
      </c>
      <c r="B969" s="1">
        <v>5.9</v>
      </c>
      <c r="C969" s="4" t="str">
        <f>IFERROR(__xludf.DUMMYFUNCTION("""COMPUTED_VALUE"""),"Tommy Lee Jones")</f>
        <v>Tommy Lee Jones</v>
      </c>
      <c r="D969" s="4">
        <f t="array" ref="D969">IFERROR(AVERAGEIFS($B$2:$B$3757, $A$2:$A$3757, C969:C4723), "")</f>
        <v>7.05</v>
      </c>
      <c r="E969" s="4">
        <f t="shared" si="1"/>
        <v>72.7</v>
      </c>
      <c r="F969" s="4" t="str">
        <f t="array" ref="F969">IF(D969&gt;=_xlfn.PERCENTILE.INC(D969:D2627, 0.9), "High", "Low")</f>
        <v>Low</v>
      </c>
      <c r="L969" s="4" t="str">
        <f t="shared" si="2"/>
        <v/>
      </c>
    </row>
    <row r="970" ht="14.25" customHeight="1">
      <c r="A970" s="1" t="s">
        <v>5141</v>
      </c>
      <c r="B970" s="1">
        <v>5.1</v>
      </c>
      <c r="C970" s="4" t="str">
        <f>IFERROR(__xludf.DUMMYFUNCTION("""COMPUTED_VALUE"""),"Jesse Vaughan")</f>
        <v>Jesse Vaughan</v>
      </c>
      <c r="D970" s="4">
        <f t="array" ref="D970">IFERROR(AVERAGEIFS($B$2:$B$3757, $A$2:$A$3757, C970:C4724), "")</f>
        <v>4.5</v>
      </c>
      <c r="E970" s="4">
        <f t="shared" si="1"/>
        <v>5.8</v>
      </c>
      <c r="F970" s="4" t="str">
        <f t="array" ref="F970">IF(D970&gt;=_xlfn.PERCENTILE.INC(D970:D2628, 0.9), "High", "Low")</f>
        <v>Low</v>
      </c>
      <c r="L970" s="4" t="str">
        <f t="shared" si="2"/>
        <v/>
      </c>
    </row>
    <row r="971" ht="14.25" customHeight="1">
      <c r="A971" s="1" t="s">
        <v>506</v>
      </c>
      <c r="B971" s="1">
        <v>6.8</v>
      </c>
      <c r="C971" s="4" t="str">
        <f>IFERROR(__xludf.DUMMYFUNCTION("""COMPUTED_VALUE"""),"Wayne Beach")</f>
        <v>Wayne Beach</v>
      </c>
      <c r="D971" s="4">
        <f t="array" ref="D971">IFERROR(AVERAGEIFS($B$2:$B$3757, $A$2:$A$3757, C971:C4725), "")</f>
        <v>5.9</v>
      </c>
      <c r="E971" s="4">
        <f t="shared" si="1"/>
        <v>26.8</v>
      </c>
      <c r="F971" s="4" t="str">
        <f t="array" ref="F971">IF(D971&gt;=_xlfn.PERCENTILE.INC(D971:D2629, 0.9), "High", "Low")</f>
        <v>Low</v>
      </c>
      <c r="L971" s="4" t="str">
        <f t="shared" si="2"/>
        <v/>
      </c>
    </row>
    <row r="972" ht="14.25" customHeight="1">
      <c r="A972" s="1" t="s">
        <v>1656</v>
      </c>
      <c r="B972" s="1">
        <v>6.0</v>
      </c>
      <c r="C972" s="4" t="str">
        <f>IFERROR(__xludf.DUMMYFUNCTION("""COMPUTED_VALUE"""),"GÃ©rard Krawczyk")</f>
        <v>GÃ©rard Krawczyk</v>
      </c>
      <c r="D972" s="4">
        <f t="array" ref="D972">IFERROR(AVERAGEIFS($B$2:$B$3757, $A$2:$A$3757, C972:C4726), "")</f>
        <v>6.6</v>
      </c>
      <c r="E972" s="4">
        <f t="shared" si="1"/>
        <v>51.7</v>
      </c>
      <c r="F972" s="4" t="str">
        <f t="array" ref="F972">IF(D972&gt;=_xlfn.PERCENTILE.INC(D972:D2630, 0.9), "High", "Low")</f>
        <v>Low</v>
      </c>
      <c r="L972" s="4" t="str">
        <f t="shared" si="2"/>
        <v/>
      </c>
    </row>
    <row r="973" ht="14.25" customHeight="1">
      <c r="A973" s="1" t="s">
        <v>4475</v>
      </c>
      <c r="B973" s="1">
        <v>5.1</v>
      </c>
      <c r="C973" s="4" t="str">
        <f>IFERROR(__xludf.DUMMYFUNCTION("""COMPUTED_VALUE"""),"Udayan Prasad")</f>
        <v>Udayan Prasad</v>
      </c>
      <c r="D973" s="4">
        <f t="array" ref="D973">IFERROR(AVERAGEIFS($B$2:$B$3757, $A$2:$A$3757, C973:C4727), "")</f>
        <v>6.8</v>
      </c>
      <c r="E973" s="4">
        <f t="shared" si="1"/>
        <v>59.4</v>
      </c>
      <c r="F973" s="4" t="str">
        <f t="array" ref="F973">IF(D973&gt;=_xlfn.PERCENTILE.INC(D973:D2631, 0.9), "High", "Low")</f>
        <v>Low</v>
      </c>
      <c r="L973" s="4" t="str">
        <f t="shared" si="2"/>
        <v/>
      </c>
    </row>
    <row r="974" ht="14.25" customHeight="1">
      <c r="A974" s="1" t="s">
        <v>4285</v>
      </c>
      <c r="B974" s="1">
        <v>5.8</v>
      </c>
      <c r="C974" s="4" t="str">
        <f>IFERROR(__xludf.DUMMYFUNCTION("""COMPUTED_VALUE"""),"Morten Tyldum")</f>
        <v>Morten Tyldum</v>
      </c>
      <c r="D974" s="4">
        <f t="array" ref="D974">IFERROR(AVERAGEIFS($B$2:$B$3757, $A$2:$A$3757, C974:C4728), "")</f>
        <v>7.85</v>
      </c>
      <c r="E974" s="4">
        <f t="shared" si="1"/>
        <v>95.8</v>
      </c>
      <c r="F974" s="4" t="str">
        <f t="array" ref="F974">IF(D974&gt;=_xlfn.PERCENTILE.INC(D974:D2632, 0.9), "High", "Low")</f>
        <v>High</v>
      </c>
      <c r="L974" s="4" t="str">
        <f t="shared" si="2"/>
        <v/>
      </c>
    </row>
    <row r="975" ht="14.25" customHeight="1">
      <c r="A975" s="1" t="s">
        <v>5160</v>
      </c>
      <c r="B975" s="1">
        <v>6.2</v>
      </c>
      <c r="C975" s="4" t="str">
        <f>IFERROR(__xludf.DUMMYFUNCTION("""COMPUTED_VALUE"""),"AndrÃ©s Muschietti")</f>
        <v>AndrÃ©s Muschietti</v>
      </c>
      <c r="D975" s="4">
        <f t="array" ref="D975">IFERROR(AVERAGEIFS($B$2:$B$3757, $A$2:$A$3757, C975:C4729), "")</f>
        <v>6.2</v>
      </c>
      <c r="E975" s="4">
        <f t="shared" si="1"/>
        <v>38</v>
      </c>
      <c r="F975" s="4" t="str">
        <f t="array" ref="F975">IF(D975&gt;=_xlfn.PERCENTILE.INC(D975:D2633, 0.9), "High", "Low")</f>
        <v>Low</v>
      </c>
      <c r="L975" s="4" t="str">
        <f t="shared" si="2"/>
        <v/>
      </c>
    </row>
    <row r="976" ht="14.25" customHeight="1">
      <c r="A976" s="1" t="s">
        <v>5167</v>
      </c>
      <c r="B976" s="1">
        <v>6.4</v>
      </c>
      <c r="C976" s="4" t="str">
        <f>IFERROR(__xludf.DUMMYFUNCTION("""COMPUTED_VALUE"""),"Gillian Armstrong")</f>
        <v>Gillian Armstrong</v>
      </c>
      <c r="D976" s="4">
        <f t="array" ref="D976">IFERROR(AVERAGEIFS($B$2:$B$3757, $A$2:$A$3757, C976:C4730), "")</f>
        <v>7</v>
      </c>
      <c r="E976" s="4">
        <f t="shared" si="1"/>
        <v>67.9</v>
      </c>
      <c r="F976" s="4" t="str">
        <f t="array" ref="F976">IF(D976&gt;=_xlfn.PERCENTILE.INC(D976:D2634, 0.9), "High", "Low")</f>
        <v>Low</v>
      </c>
      <c r="L976" s="4" t="str">
        <f t="shared" si="2"/>
        <v/>
      </c>
    </row>
    <row r="977" ht="14.25" customHeight="1">
      <c r="A977" s="1" t="s">
        <v>2031</v>
      </c>
      <c r="B977" s="1">
        <v>4.8</v>
      </c>
      <c r="C977" s="4" t="str">
        <f>IFERROR(__xludf.DUMMYFUNCTION("""COMPUTED_VALUE"""),"James Watkins")</f>
        <v>James Watkins</v>
      </c>
      <c r="D977" s="4">
        <f t="array" ref="D977">IFERROR(AVERAGEIFS($B$2:$B$3757, $A$2:$A$3757, C977:C4731), "")</f>
        <v>6.4</v>
      </c>
      <c r="E977" s="4">
        <f t="shared" si="1"/>
        <v>44.2</v>
      </c>
      <c r="F977" s="4" t="str">
        <f t="array" ref="F977">IF(D977&gt;=_xlfn.PERCENTILE.INC(D977:D2635, 0.9), "High", "Low")</f>
        <v>Low</v>
      </c>
      <c r="L977" s="4" t="str">
        <f t="shared" si="2"/>
        <v/>
      </c>
    </row>
    <row r="978" ht="14.25" customHeight="1">
      <c r="A978" s="1" t="s">
        <v>5174</v>
      </c>
      <c r="B978" s="1">
        <v>4.9</v>
      </c>
      <c r="C978" s="4" t="str">
        <f>IFERROR(__xludf.DUMMYFUNCTION("""COMPUTED_VALUE"""),"Jim Fall")</f>
        <v>Jim Fall</v>
      </c>
      <c r="D978" s="4">
        <f t="array" ref="D978">IFERROR(AVERAGEIFS($B$2:$B$3757, $A$2:$A$3757, C978:C4732), "")</f>
        <v>5.3</v>
      </c>
      <c r="E978" s="4">
        <f t="shared" si="1"/>
        <v>13.5</v>
      </c>
      <c r="F978" s="4" t="str">
        <f t="array" ref="F978">IF(D978&gt;=_xlfn.PERCENTILE.INC(D978:D2636, 0.9), "High", "Low")</f>
        <v>Low</v>
      </c>
      <c r="L978" s="4" t="str">
        <f t="shared" si="2"/>
        <v/>
      </c>
    </row>
    <row r="979" ht="14.25" customHeight="1">
      <c r="A979" s="1" t="s">
        <v>2913</v>
      </c>
      <c r="B979" s="1">
        <v>5.6</v>
      </c>
      <c r="C979" s="4" t="str">
        <f>IFERROR(__xludf.DUMMYFUNCTION("""COMPUTED_VALUE"""),"Ric Roman Waugh")</f>
        <v>Ric Roman Waugh</v>
      </c>
      <c r="D979" s="4">
        <f t="array" ref="D979">IFERROR(AVERAGEIFS($B$2:$B$3757, $A$2:$A$3757, C979:C4733), "")</f>
        <v>6.5</v>
      </c>
      <c r="E979" s="4">
        <f t="shared" si="1"/>
        <v>47.2</v>
      </c>
      <c r="F979" s="4" t="str">
        <f t="array" ref="F979">IF(D979&gt;=_xlfn.PERCENTILE.INC(D979:D2637, 0.9), "High", "Low")</f>
        <v>Low</v>
      </c>
      <c r="L979" s="4" t="str">
        <f t="shared" si="2"/>
        <v/>
      </c>
    </row>
    <row r="980" ht="14.25" customHeight="1">
      <c r="A980" s="1" t="s">
        <v>5184</v>
      </c>
      <c r="B980" s="1">
        <v>5.5</v>
      </c>
      <c r="C980" s="4" t="str">
        <f>IFERROR(__xludf.DUMMYFUNCTION("""COMPUTED_VALUE"""),"Michael Dougherty")</f>
        <v>Michael Dougherty</v>
      </c>
      <c r="D980" s="4">
        <f t="array" ref="D980">IFERROR(AVERAGEIFS($B$2:$B$3757, $A$2:$A$3757, C980:C4734), "")</f>
        <v>6.2</v>
      </c>
      <c r="E980" s="4">
        <f t="shared" si="1"/>
        <v>38.2</v>
      </c>
      <c r="F980" s="4" t="str">
        <f t="array" ref="F980">IF(D980&gt;=_xlfn.PERCENTILE.INC(D980:D2638, 0.9), "High", "Low")</f>
        <v>Low</v>
      </c>
      <c r="L980" s="4" t="str">
        <f t="shared" si="2"/>
        <v/>
      </c>
    </row>
    <row r="981" ht="14.25" customHeight="1">
      <c r="A981" s="1" t="s">
        <v>3272</v>
      </c>
      <c r="B981" s="1">
        <v>3.7</v>
      </c>
      <c r="C981" s="4" t="str">
        <f>IFERROR(__xludf.DUMMYFUNCTION("""COMPUTED_VALUE"""),"Joel Gallen")</f>
        <v>Joel Gallen</v>
      </c>
      <c r="D981" s="4">
        <f t="array" ref="D981">IFERROR(AVERAGEIFS($B$2:$B$3757, $A$2:$A$3757, C981:C4735), "")</f>
        <v>5.7</v>
      </c>
      <c r="E981" s="4">
        <f t="shared" si="1"/>
        <v>23.1</v>
      </c>
      <c r="F981" s="4" t="str">
        <f t="array" ref="F981">IF(D981&gt;=_xlfn.PERCENTILE.INC(D981:D2639, 0.9), "High", "Low")</f>
        <v>Low</v>
      </c>
      <c r="L981" s="4" t="str">
        <f t="shared" si="2"/>
        <v/>
      </c>
    </row>
    <row r="982" ht="14.25" customHeight="1">
      <c r="A982" s="1" t="s">
        <v>5193</v>
      </c>
      <c r="B982" s="1">
        <v>5.9</v>
      </c>
      <c r="C982" s="4" t="str">
        <f>IFERROR(__xludf.DUMMYFUNCTION("""COMPUTED_VALUE"""),"James Marsh")</f>
        <v>James Marsh</v>
      </c>
      <c r="D982" s="4">
        <f t="array" ref="D982">IFERROR(AVERAGEIFS($B$2:$B$3757, $A$2:$A$3757, C982:C4736), "")</f>
        <v>7.75</v>
      </c>
      <c r="E982" s="4">
        <f t="shared" si="1"/>
        <v>94.1</v>
      </c>
      <c r="F982" s="4" t="str">
        <f t="array" ref="F982">IF(D982&gt;=_xlfn.PERCENTILE.INC(D982:D2640, 0.9), "High", "Low")</f>
        <v>High</v>
      </c>
      <c r="L982" s="4" t="str">
        <f t="shared" si="2"/>
        <v/>
      </c>
    </row>
    <row r="983" ht="14.25" customHeight="1">
      <c r="A983" s="1" t="s">
        <v>1985</v>
      </c>
      <c r="B983" s="1">
        <v>6.3</v>
      </c>
      <c r="C983" s="4" t="str">
        <f>IFERROR(__xludf.DUMMYFUNCTION("""COMPUTED_VALUE"""),"Matt Williams")</f>
        <v>Matt Williams</v>
      </c>
      <c r="D983" s="4">
        <f t="array" ref="D983">IFERROR(AVERAGEIFS($B$2:$B$3757, $A$2:$A$3757, C983:C4737), "")</f>
        <v>6.8</v>
      </c>
      <c r="E983" s="4">
        <f t="shared" si="1"/>
        <v>59.4</v>
      </c>
      <c r="F983" s="4" t="str">
        <f t="array" ref="F983">IF(D983&gt;=_xlfn.PERCENTILE.INC(D983:D2641, 0.9), "High", "Low")</f>
        <v>Low</v>
      </c>
      <c r="L983" s="4" t="str">
        <f t="shared" si="2"/>
        <v/>
      </c>
    </row>
    <row r="984" ht="14.25" customHeight="1">
      <c r="A984" s="1" t="s">
        <v>1456</v>
      </c>
      <c r="B984" s="1">
        <v>7.6</v>
      </c>
      <c r="C984" s="4" t="str">
        <f>IFERROR(__xludf.DUMMYFUNCTION("""COMPUTED_VALUE"""),"Rob Zombie")</f>
        <v>Rob Zombie</v>
      </c>
      <c r="D984" s="4">
        <f t="array" ref="D984">IFERROR(AVERAGEIFS($B$2:$B$3757, $A$2:$A$3757, C984:C4738), "")</f>
        <v>5.56</v>
      </c>
      <c r="E984" s="4">
        <f t="shared" si="1"/>
        <v>19.6</v>
      </c>
      <c r="F984" s="4" t="str">
        <f t="array" ref="F984">IF(D984&gt;=_xlfn.PERCENTILE.INC(D984:D2642, 0.9), "High", "Low")</f>
        <v>Low</v>
      </c>
      <c r="L984" s="4" t="str">
        <f t="shared" si="2"/>
        <v/>
      </c>
    </row>
    <row r="985" ht="14.25" customHeight="1">
      <c r="A985" s="1" t="s">
        <v>381</v>
      </c>
      <c r="B985" s="1">
        <v>8.3</v>
      </c>
      <c r="C985" s="4" t="str">
        <f>IFERROR(__xludf.DUMMYFUNCTION("""COMPUTED_VALUE"""),"Dennis Iliadis")</f>
        <v>Dennis Iliadis</v>
      </c>
      <c r="D985" s="4">
        <f t="array" ref="D985">IFERROR(AVERAGEIFS($B$2:$B$3757, $A$2:$A$3757, C985:C4739), "")</f>
        <v>6.6</v>
      </c>
      <c r="E985" s="4">
        <f t="shared" si="1"/>
        <v>51.6</v>
      </c>
      <c r="F985" s="4" t="str">
        <f t="array" ref="F985">IF(D985&gt;=_xlfn.PERCENTILE.INC(D985:D2643, 0.9), "High", "Low")</f>
        <v>Low</v>
      </c>
      <c r="L985" s="4" t="str">
        <f t="shared" si="2"/>
        <v/>
      </c>
    </row>
    <row r="986" ht="14.25" customHeight="1">
      <c r="A986" s="1" t="s">
        <v>1333</v>
      </c>
      <c r="B986" s="1">
        <v>6.9</v>
      </c>
      <c r="C986" s="4" t="str">
        <f>IFERROR(__xludf.DUMMYFUNCTION("""COMPUTED_VALUE"""),"Rick Rosenthal")</f>
        <v>Rick Rosenthal</v>
      </c>
      <c r="D986" s="4">
        <f t="array" ref="D986">IFERROR(AVERAGEIFS($B$2:$B$3757, $A$2:$A$3757, C986:C4740), "")</f>
        <v>4.1</v>
      </c>
      <c r="E986" s="4">
        <f t="shared" si="1"/>
        <v>3.9</v>
      </c>
      <c r="F986" s="4" t="str">
        <f t="array" ref="F986">IF(D986&gt;=_xlfn.PERCENTILE.INC(D986:D2644, 0.9), "High", "Low")</f>
        <v>Low</v>
      </c>
      <c r="L986" s="4" t="str">
        <f t="shared" si="2"/>
        <v/>
      </c>
    </row>
    <row r="987" ht="14.25" customHeight="1">
      <c r="A987" s="1" t="s">
        <v>1153</v>
      </c>
      <c r="B987" s="1">
        <v>6.7</v>
      </c>
      <c r="C987" s="4" t="str">
        <f>IFERROR(__xludf.DUMMYFUNCTION("""COMPUTED_VALUE"""),"Denzel Washington")</f>
        <v>Denzel Washington</v>
      </c>
      <c r="D987" s="4">
        <f t="array" ref="D987">IFERROR(AVERAGEIFS($B$2:$B$3757, $A$2:$A$3757, C987:C4741), "")</f>
        <v>7.45</v>
      </c>
      <c r="E987" s="4">
        <f t="shared" si="1"/>
        <v>86.1</v>
      </c>
      <c r="F987" s="4" t="str">
        <f t="array" ref="F987">IF(D987&gt;=_xlfn.PERCENTILE.INC(D987:D2645, 0.9), "High", "Low")</f>
        <v>Low</v>
      </c>
      <c r="L987" s="4" t="str">
        <f t="shared" si="2"/>
        <v/>
      </c>
    </row>
    <row r="988" ht="14.25" customHeight="1">
      <c r="A988" s="1" t="s">
        <v>648</v>
      </c>
      <c r="B988" s="1">
        <v>6.8</v>
      </c>
      <c r="C988" s="4" t="str">
        <f>IFERROR(__xludf.DUMMYFUNCTION("""COMPUTED_VALUE"""),"Nicolas Winding Refn")</f>
        <v>Nicolas Winding Refn</v>
      </c>
      <c r="D988" s="4">
        <f t="array" ref="D988">IFERROR(AVERAGEIFS($B$2:$B$3757, $A$2:$A$3757, C988:C4742), "")</f>
        <v>6.833333333</v>
      </c>
      <c r="E988" s="4">
        <f t="shared" si="1"/>
        <v>62.9</v>
      </c>
      <c r="F988" s="4" t="str">
        <f t="array" ref="F988">IF(D988&gt;=_xlfn.PERCENTILE.INC(D988:D2646, 0.9), "High", "Low")</f>
        <v>Low</v>
      </c>
      <c r="L988" s="4" t="str">
        <f t="shared" si="2"/>
        <v/>
      </c>
    </row>
    <row r="989" ht="14.25" customHeight="1">
      <c r="A989" s="1" t="s">
        <v>3954</v>
      </c>
      <c r="B989" s="1">
        <v>7.1</v>
      </c>
      <c r="C989" s="4" t="str">
        <f>IFERROR(__xludf.DUMMYFUNCTION("""COMPUTED_VALUE"""),"Sara Sugarman")</f>
        <v>Sara Sugarman</v>
      </c>
      <c r="D989" s="4">
        <f t="array" ref="D989">IFERROR(AVERAGEIFS($B$2:$B$3757, $A$2:$A$3757, C989:C4743), "")</f>
        <v>4.6</v>
      </c>
      <c r="E989" s="4">
        <f t="shared" si="1"/>
        <v>6.3</v>
      </c>
      <c r="F989" s="4" t="str">
        <f t="array" ref="F989">IF(D989&gt;=_xlfn.PERCENTILE.INC(D989:D2647, 0.9), "High", "Low")</f>
        <v>Low</v>
      </c>
      <c r="L989" s="4" t="str">
        <f t="shared" si="2"/>
        <v/>
      </c>
    </row>
    <row r="990" ht="14.25" customHeight="1">
      <c r="A990" s="1" t="s">
        <v>2262</v>
      </c>
      <c r="B990" s="1">
        <v>6.4</v>
      </c>
      <c r="C990" s="4" t="str">
        <f>IFERROR(__xludf.DUMMYFUNCTION("""COMPUTED_VALUE"""),"Juan Carlos Fresnadillo")</f>
        <v>Juan Carlos Fresnadillo</v>
      </c>
      <c r="D990" s="4">
        <f t="array" ref="D990">IFERROR(AVERAGEIFS($B$2:$B$3757, $A$2:$A$3757, C990:C4744), "")</f>
        <v>7</v>
      </c>
      <c r="E990" s="4">
        <f t="shared" si="1"/>
        <v>67.7</v>
      </c>
      <c r="F990" s="4" t="str">
        <f t="array" ref="F990">IF(D990&gt;=_xlfn.PERCENTILE.INC(D990:D2648, 0.9), "High", "Low")</f>
        <v>Low</v>
      </c>
      <c r="L990" s="4" t="str">
        <f t="shared" si="2"/>
        <v/>
      </c>
    </row>
    <row r="991" ht="14.25" customHeight="1">
      <c r="A991" s="1" t="s">
        <v>2969</v>
      </c>
      <c r="B991" s="1">
        <v>6.4</v>
      </c>
      <c r="C991" s="4" t="str">
        <f>IFERROR(__xludf.DUMMYFUNCTION("""COMPUTED_VALUE"""),"Gina Prince-Bythewood")</f>
        <v>Gina Prince-Bythewood</v>
      </c>
      <c r="D991" s="4">
        <f t="array" ref="D991">IFERROR(AVERAGEIFS($B$2:$B$3757, $A$2:$A$3757, C991:C4745), "")</f>
        <v>7.25</v>
      </c>
      <c r="E991" s="4">
        <f t="shared" si="1"/>
        <v>81.3</v>
      </c>
      <c r="F991" s="4" t="str">
        <f t="array" ref="F991">IF(D991&gt;=_xlfn.PERCENTILE.INC(D991:D2649, 0.9), "High", "Low")</f>
        <v>Low</v>
      </c>
      <c r="L991" s="4" t="str">
        <f t="shared" si="2"/>
        <v/>
      </c>
    </row>
    <row r="992" ht="14.25" customHeight="1">
      <c r="A992" s="1" t="s">
        <v>4166</v>
      </c>
      <c r="B992" s="1">
        <v>7.4</v>
      </c>
      <c r="C992" s="4" t="str">
        <f>IFERROR(__xludf.DUMMYFUNCTION("""COMPUTED_VALUE"""),"Phil Traill")</f>
        <v>Phil Traill</v>
      </c>
      <c r="D992" s="4">
        <f t="array" ref="D992">IFERROR(AVERAGEIFS($B$2:$B$3757, $A$2:$A$3757, C992:C4746), "")</f>
        <v>4.8</v>
      </c>
      <c r="E992" s="4">
        <f t="shared" si="1"/>
        <v>8.1</v>
      </c>
      <c r="F992" s="4" t="str">
        <f t="array" ref="F992">IF(D992&gt;=_xlfn.PERCENTILE.INC(D992:D2650, 0.9), "High", "Low")</f>
        <v>Low</v>
      </c>
      <c r="L992" s="4" t="str">
        <f t="shared" si="2"/>
        <v/>
      </c>
    </row>
    <row r="993" ht="14.25" customHeight="1">
      <c r="A993" s="1" t="s">
        <v>1365</v>
      </c>
      <c r="B993" s="1">
        <v>6.4</v>
      </c>
      <c r="C993" s="4" t="str">
        <f>IFERROR(__xludf.DUMMYFUNCTION("""COMPUTED_VALUE"""),"Joe Berlinger")</f>
        <v>Joe Berlinger</v>
      </c>
      <c r="D993" s="4">
        <f t="array" ref="D993">IFERROR(AVERAGEIFS($B$2:$B$3757, $A$2:$A$3757, C993:C4747), "")</f>
        <v>4</v>
      </c>
      <c r="E993" s="4">
        <f t="shared" si="1"/>
        <v>3.4</v>
      </c>
      <c r="F993" s="4" t="str">
        <f t="array" ref="F993">IF(D993&gt;=_xlfn.PERCENTILE.INC(D993:D2651, 0.9), "High", "Low")</f>
        <v>Low</v>
      </c>
      <c r="L993" s="4" t="str">
        <f t="shared" si="2"/>
        <v/>
      </c>
    </row>
    <row r="994" ht="14.25" customHeight="1">
      <c r="A994" s="1" t="s">
        <v>4006</v>
      </c>
      <c r="B994" s="1">
        <v>6.0</v>
      </c>
      <c r="C994" s="4" t="str">
        <f>IFERROR(__xludf.DUMMYFUNCTION("""COMPUTED_VALUE"""),"Elizabeth Allen Rosenbaum")</f>
        <v>Elizabeth Allen Rosenbaum</v>
      </c>
      <c r="D994" s="4">
        <f t="array" ref="D994">IFERROR(AVERAGEIFS($B$2:$B$3757, $A$2:$A$3757, C994:C4748), "")</f>
        <v>6</v>
      </c>
      <c r="E994" s="4">
        <f t="shared" si="1"/>
        <v>30.6</v>
      </c>
      <c r="F994" s="4" t="str">
        <f t="array" ref="F994">IF(D994&gt;=_xlfn.PERCENTILE.INC(D994:D2652, 0.9), "High", "Low")</f>
        <v>Low</v>
      </c>
      <c r="L994" s="4" t="str">
        <f t="shared" si="2"/>
        <v/>
      </c>
    </row>
    <row r="995" ht="14.25" customHeight="1">
      <c r="A995" s="1" t="s">
        <v>4578</v>
      </c>
      <c r="B995" s="1">
        <v>6.5</v>
      </c>
      <c r="C995" s="4" t="str">
        <f>IFERROR(__xludf.DUMMYFUNCTION("""COMPUTED_VALUE"""),"Michael Mayer")</f>
        <v>Michael Mayer</v>
      </c>
      <c r="D995" s="4">
        <f t="array" ref="D995">IFERROR(AVERAGEIFS($B$2:$B$3757, $A$2:$A$3757, C995:C4749), "")</f>
        <v>6.5</v>
      </c>
      <c r="E995" s="4">
        <f t="shared" si="1"/>
        <v>47.1</v>
      </c>
      <c r="F995" s="4" t="str">
        <f t="array" ref="F995">IF(D995&gt;=_xlfn.PERCENTILE.INC(D995:D2653, 0.9), "High", "Low")</f>
        <v>Low</v>
      </c>
      <c r="L995" s="4" t="str">
        <f t="shared" si="2"/>
        <v/>
      </c>
    </row>
    <row r="996" ht="14.25" customHeight="1">
      <c r="A996" s="1" t="s">
        <v>1365</v>
      </c>
      <c r="B996" s="1">
        <v>7.8</v>
      </c>
      <c r="C996" s="4" t="str">
        <f>IFERROR(__xludf.DUMMYFUNCTION("""COMPUTED_VALUE"""),"Martin Weisz")</f>
        <v>Martin Weisz</v>
      </c>
      <c r="D996" s="4">
        <f t="array" ref="D996">IFERROR(AVERAGEIFS($B$2:$B$3757, $A$2:$A$3757, C996:C4750), "")</f>
        <v>5.1</v>
      </c>
      <c r="E996" s="4">
        <f t="shared" si="1"/>
        <v>9.8</v>
      </c>
      <c r="F996" s="4" t="str">
        <f t="array" ref="F996">IF(D996&gt;=_xlfn.PERCENTILE.INC(D996:D2654, 0.9), "High", "Low")</f>
        <v>Low</v>
      </c>
      <c r="L996" s="4" t="str">
        <f t="shared" si="2"/>
        <v/>
      </c>
    </row>
    <row r="997" ht="14.25" customHeight="1">
      <c r="A997" s="1" t="s">
        <v>5265</v>
      </c>
      <c r="B997" s="1">
        <v>6.0</v>
      </c>
      <c r="C997" s="4" t="str">
        <f>IFERROR(__xludf.DUMMYFUNCTION("""COMPUTED_VALUE"""),"John Ottman")</f>
        <v>John Ottman</v>
      </c>
      <c r="D997" s="4">
        <f t="array" ref="D997">IFERROR(AVERAGEIFS($B$2:$B$3757, $A$2:$A$3757, C997:C4751), "")</f>
        <v>4.1</v>
      </c>
      <c r="E997" s="4">
        <f t="shared" si="1"/>
        <v>3.8</v>
      </c>
      <c r="F997" s="4" t="str">
        <f t="array" ref="F997">IF(D997&gt;=_xlfn.PERCENTILE.INC(D997:D2655, 0.9), "High", "Low")</f>
        <v>Low</v>
      </c>
      <c r="L997" s="4" t="str">
        <f t="shared" si="2"/>
        <v/>
      </c>
    </row>
    <row r="998" ht="14.25" customHeight="1">
      <c r="A998" s="1" t="s">
        <v>1456</v>
      </c>
      <c r="B998" s="1">
        <v>7.0</v>
      </c>
      <c r="C998" s="4" t="str">
        <f>IFERROR(__xludf.DUMMYFUNCTION("""COMPUTED_VALUE"""),"John Bonito")</f>
        <v>John Bonito</v>
      </c>
      <c r="D998" s="4">
        <f t="array" ref="D998">IFERROR(AVERAGEIFS($B$2:$B$3757, $A$2:$A$3757, C998:C4752), "")</f>
        <v>4.7</v>
      </c>
      <c r="E998" s="4">
        <f t="shared" si="1"/>
        <v>7.1</v>
      </c>
      <c r="F998" s="4" t="str">
        <f t="array" ref="F998">IF(D998&gt;=_xlfn.PERCENTILE.INC(D998:D2656, 0.9), "High", "Low")</f>
        <v>Low</v>
      </c>
      <c r="L998" s="4" t="str">
        <f t="shared" si="2"/>
        <v/>
      </c>
    </row>
    <row r="999" ht="14.25" customHeight="1">
      <c r="A999" s="1" t="s">
        <v>2031</v>
      </c>
      <c r="B999" s="1">
        <v>6.0</v>
      </c>
      <c r="C999" s="4" t="str">
        <f>IFERROR(__xludf.DUMMYFUNCTION("""COMPUTED_VALUE"""),"Peter Atencio")</f>
        <v>Peter Atencio</v>
      </c>
      <c r="D999" s="4">
        <f t="array" ref="D999">IFERROR(AVERAGEIFS($B$2:$B$3757, $A$2:$A$3757, C999:C4753), "")</f>
        <v>6.4</v>
      </c>
      <c r="E999" s="4">
        <f t="shared" si="1"/>
        <v>43.8</v>
      </c>
      <c r="F999" s="4" t="str">
        <f t="array" ref="F999">IF(D999&gt;=_xlfn.PERCENTILE.INC(D999:D2657, 0.9), "High", "Low")</f>
        <v>Low</v>
      </c>
      <c r="L999" s="4" t="str">
        <f t="shared" si="2"/>
        <v/>
      </c>
    </row>
    <row r="1000" ht="14.25" customHeight="1">
      <c r="A1000" s="1" t="s">
        <v>1600</v>
      </c>
      <c r="B1000" s="1">
        <v>6.1</v>
      </c>
      <c r="C1000" s="4" t="str">
        <f>IFERROR(__xludf.DUMMYFUNCTION("""COMPUTED_VALUE"""),"David Nutter")</f>
        <v>David Nutter</v>
      </c>
      <c r="D1000" s="4">
        <f t="array" ref="D1000">IFERROR(AVERAGEIFS($B$2:$B$3757, $A$2:$A$3757, C1000:C4754), "")</f>
        <v>5.5</v>
      </c>
      <c r="E1000" s="4">
        <f t="shared" si="1"/>
        <v>17.2</v>
      </c>
      <c r="F1000" s="4" t="str">
        <f t="array" ref="F1000">IF(D1000&gt;=_xlfn.PERCENTILE.INC(D1000:D2658, 0.9), "High", "Low")</f>
        <v>Low</v>
      </c>
      <c r="L1000" s="4" t="str">
        <f t="shared" si="2"/>
        <v/>
      </c>
    </row>
    <row r="1001" ht="14.25" customHeight="1">
      <c r="A1001" s="1" t="s">
        <v>1255</v>
      </c>
      <c r="B1001" s="1">
        <v>6.8</v>
      </c>
      <c r="C1001" s="4" t="str">
        <f>IFERROR(__xludf.DUMMYFUNCTION("""COMPUTED_VALUE"""),"Derek Cianfrance")</f>
        <v>Derek Cianfrance</v>
      </c>
      <c r="D1001" s="4">
        <f t="array" ref="D1001">IFERROR(AVERAGEIFS($B$2:$B$3757, $A$2:$A$3757, C1001:C4755), "")</f>
        <v>7.35</v>
      </c>
      <c r="E1001" s="4">
        <f t="shared" si="1"/>
        <v>83.9</v>
      </c>
      <c r="F1001" s="4" t="str">
        <f t="array" ref="F1001">IF(D1001&gt;=_xlfn.PERCENTILE.INC(D1001:D2659, 0.9), "High", "Low")</f>
        <v>Low</v>
      </c>
      <c r="L1001" s="4" t="str">
        <f t="shared" si="2"/>
        <v/>
      </c>
    </row>
    <row r="1002" ht="14.25" customHeight="1">
      <c r="A1002" s="1" t="s">
        <v>5289</v>
      </c>
      <c r="B1002" s="1">
        <v>6.4</v>
      </c>
      <c r="C1002" s="4" t="str">
        <f>IFERROR(__xludf.DUMMYFUNCTION("""COMPUTED_VALUE"""),"Stephan Elliott")</f>
        <v>Stephan Elliott</v>
      </c>
      <c r="D1002" s="4">
        <f t="array" ref="D1002">IFERROR(AVERAGEIFS($B$2:$B$3757, $A$2:$A$3757, C1002:C4756), "")</f>
        <v>4.9</v>
      </c>
      <c r="E1002" s="4">
        <f t="shared" si="1"/>
        <v>8.2</v>
      </c>
      <c r="F1002" s="4" t="str">
        <f t="array" ref="F1002">IF(D1002&gt;=_xlfn.PERCENTILE.INC(D1002:D2660, 0.9), "High", "Low")</f>
        <v>Low</v>
      </c>
      <c r="L1002" s="4" t="str">
        <f t="shared" si="2"/>
        <v/>
      </c>
    </row>
    <row r="1003" ht="14.25" customHeight="1">
      <c r="A1003" s="1" t="s">
        <v>5295</v>
      </c>
      <c r="B1003" s="1">
        <v>4.5</v>
      </c>
      <c r="C1003" s="4" t="str">
        <f>IFERROR(__xludf.DUMMYFUNCTION("""COMPUTED_VALUE"""),"Mark L. Lester")</f>
        <v>Mark L. Lester</v>
      </c>
      <c r="D1003" s="4">
        <f t="array" ref="D1003">IFERROR(AVERAGEIFS($B$2:$B$3757, $A$2:$A$3757, C1003:C4757), "")</f>
        <v>6</v>
      </c>
      <c r="E1003" s="4">
        <f t="shared" si="1"/>
        <v>30.2</v>
      </c>
      <c r="F1003" s="4" t="str">
        <f t="array" ref="F1003">IF(D1003&gt;=_xlfn.PERCENTILE.INC(D1003:D2661, 0.9), "High", "Low")</f>
        <v>Low</v>
      </c>
      <c r="L1003" s="4" t="str">
        <f t="shared" si="2"/>
        <v/>
      </c>
    </row>
    <row r="1004" ht="14.25" customHeight="1">
      <c r="A1004" s="1" t="s">
        <v>5299</v>
      </c>
      <c r="B1004" s="1">
        <v>5.8</v>
      </c>
      <c r="C1004" s="4" t="str">
        <f>IFERROR(__xludf.DUMMYFUNCTION("""COMPUTED_VALUE"""),"Tom Green")</f>
        <v>Tom Green</v>
      </c>
      <c r="D1004" s="4">
        <f t="array" ref="D1004">IFERROR(AVERAGEIFS($B$2:$B$3757, $A$2:$A$3757, C1004:C4758), "")</f>
        <v>4.5</v>
      </c>
      <c r="E1004" s="4">
        <f t="shared" si="1"/>
        <v>5.6</v>
      </c>
      <c r="F1004" s="4" t="str">
        <f t="array" ref="F1004">IF(D1004&gt;=_xlfn.PERCENTILE.INC(D1004:D2662, 0.9), "High", "Low")</f>
        <v>Low</v>
      </c>
      <c r="L1004" s="4" t="str">
        <f t="shared" si="2"/>
        <v/>
      </c>
    </row>
    <row r="1005" ht="14.25" customHeight="1">
      <c r="A1005" s="1" t="s">
        <v>5305</v>
      </c>
      <c r="B1005" s="1">
        <v>6.3</v>
      </c>
      <c r="C1005" s="4" t="str">
        <f>IFERROR(__xludf.DUMMYFUNCTION("""COMPUTED_VALUE"""),"Mike Nawrocki")</f>
        <v>Mike Nawrocki</v>
      </c>
      <c r="D1005" s="4">
        <f t="array" ref="D1005">IFERROR(AVERAGEIFS($B$2:$B$3757, $A$2:$A$3757, C1005:C4759), "")</f>
        <v>6.15</v>
      </c>
      <c r="E1005" s="4">
        <f t="shared" si="1"/>
        <v>37.3</v>
      </c>
      <c r="F1005" s="4" t="str">
        <f t="array" ref="F1005">IF(D1005&gt;=_xlfn.PERCENTILE.INC(D1005:D2663, 0.9), "High", "Low")</f>
        <v>Low</v>
      </c>
      <c r="L1005" s="4" t="str">
        <f t="shared" si="2"/>
        <v/>
      </c>
    </row>
    <row r="1006" ht="14.25" customHeight="1">
      <c r="A1006" s="1" t="s">
        <v>4833</v>
      </c>
      <c r="B1006" s="1">
        <v>5.7</v>
      </c>
      <c r="C1006" s="4" t="str">
        <f>IFERROR(__xludf.DUMMYFUNCTION("""COMPUTED_VALUE"""),"Douglas Aarniokoski")</f>
        <v>Douglas Aarniokoski</v>
      </c>
      <c r="D1006" s="4">
        <f t="array" ref="D1006">IFERROR(AVERAGEIFS($B$2:$B$3757, $A$2:$A$3757, C1006:C4760), "")</f>
        <v>4.6</v>
      </c>
      <c r="E1006" s="4">
        <f t="shared" si="1"/>
        <v>6</v>
      </c>
      <c r="F1006" s="4" t="str">
        <f t="array" ref="F1006">IF(D1006&gt;=_xlfn.PERCENTILE.INC(D1006:D2664, 0.9), "High", "Low")</f>
        <v>Low</v>
      </c>
      <c r="L1006" s="4" t="str">
        <f t="shared" si="2"/>
        <v/>
      </c>
    </row>
    <row r="1007" ht="14.25" customHeight="1">
      <c r="A1007" s="1" t="s">
        <v>55</v>
      </c>
      <c r="B1007" s="1">
        <v>7.2</v>
      </c>
      <c r="C1007" s="4" t="str">
        <f>IFERROR(__xludf.DUMMYFUNCTION("""COMPUTED_VALUE"""),"Bryan Barber")</f>
        <v>Bryan Barber</v>
      </c>
      <c r="D1007" s="4">
        <f t="array" ref="D1007">IFERROR(AVERAGEIFS($B$2:$B$3757, $A$2:$A$3757, C1007:C4761), "")</f>
        <v>6.2</v>
      </c>
      <c r="E1007" s="4">
        <f t="shared" si="1"/>
        <v>37.3</v>
      </c>
      <c r="F1007" s="4" t="str">
        <f t="array" ref="F1007">IF(D1007&gt;=_xlfn.PERCENTILE.INC(D1007:D2665, 0.9), "High", "Low")</f>
        <v>Low</v>
      </c>
      <c r="L1007" s="4" t="str">
        <f t="shared" si="2"/>
        <v/>
      </c>
    </row>
    <row r="1008" ht="14.25" customHeight="1">
      <c r="A1008" s="1" t="s">
        <v>3204</v>
      </c>
      <c r="B1008" s="1">
        <v>7.6</v>
      </c>
      <c r="C1008" s="4" t="str">
        <f>IFERROR(__xludf.DUMMYFUNCTION("""COMPUTED_VALUE"""),"Lone Scherfig")</f>
        <v>Lone Scherfig</v>
      </c>
      <c r="D1008" s="4">
        <f t="array" ref="D1008">IFERROR(AVERAGEIFS($B$2:$B$3757, $A$2:$A$3757, C1008:C4762), "")</f>
        <v>7.15</v>
      </c>
      <c r="E1008" s="4">
        <f t="shared" si="1"/>
        <v>76.4</v>
      </c>
      <c r="F1008" s="4" t="str">
        <f t="array" ref="F1008">IF(D1008&gt;=_xlfn.PERCENTILE.INC(D1008:D2666, 0.9), "High", "Low")</f>
        <v>Low</v>
      </c>
      <c r="L1008" s="4" t="str">
        <f t="shared" si="2"/>
        <v/>
      </c>
    </row>
    <row r="1009" ht="14.25" customHeight="1">
      <c r="A1009" s="1" t="s">
        <v>4435</v>
      </c>
      <c r="B1009" s="1">
        <v>4.7</v>
      </c>
      <c r="C1009" s="4" t="str">
        <f>IFERROR(__xludf.DUMMYFUNCTION("""COMPUTED_VALUE"""),"Drew Barrymore")</f>
        <v>Drew Barrymore</v>
      </c>
      <c r="D1009" s="4">
        <f t="array" ref="D1009">IFERROR(AVERAGEIFS($B$2:$B$3757, $A$2:$A$3757, C1009:C4763), "")</f>
        <v>6.9</v>
      </c>
      <c r="E1009" s="4">
        <f t="shared" si="1"/>
        <v>62.9</v>
      </c>
      <c r="F1009" s="4" t="str">
        <f t="array" ref="F1009">IF(D1009&gt;=_xlfn.PERCENTILE.INC(D1009:D2667, 0.9), "High", "Low")</f>
        <v>Low</v>
      </c>
      <c r="L1009" s="4" t="str">
        <f t="shared" si="2"/>
        <v/>
      </c>
    </row>
    <row r="1010" ht="14.25" customHeight="1">
      <c r="A1010" s="1" t="s">
        <v>978</v>
      </c>
      <c r="B1010" s="1">
        <v>6.6</v>
      </c>
      <c r="C1010" s="4" t="str">
        <f>IFERROR(__xludf.DUMMYFUNCTION("""COMPUTED_VALUE"""),"James Foley")</f>
        <v>James Foley</v>
      </c>
      <c r="D1010" s="4">
        <f t="array" ref="D1010">IFERROR(AVERAGEIFS($B$2:$B$3757, $A$2:$A$3757, C1010:C4764), "")</f>
        <v>6.833333333</v>
      </c>
      <c r="E1010" s="4">
        <f t="shared" si="1"/>
        <v>62.5</v>
      </c>
      <c r="F1010" s="4" t="str">
        <f t="array" ref="F1010">IF(D1010&gt;=_xlfn.PERCENTILE.INC(D1010:D2668, 0.9), "High", "Low")</f>
        <v>Low</v>
      </c>
      <c r="L1010" s="4" t="str">
        <f t="shared" si="2"/>
        <v/>
      </c>
    </row>
    <row r="1011" ht="14.25" customHeight="1">
      <c r="A1011" s="1" t="s">
        <v>499</v>
      </c>
      <c r="B1011" s="1">
        <v>6.8</v>
      </c>
      <c r="C1011" s="4" t="str">
        <f>IFERROR(__xludf.DUMMYFUNCTION("""COMPUTED_VALUE"""),"Albert Brooks")</f>
        <v>Albert Brooks</v>
      </c>
      <c r="D1011" s="4">
        <f t="array" ref="D1011">IFERROR(AVERAGEIFS($B$2:$B$3757, $A$2:$A$3757, C1011:C4765), "")</f>
        <v>5.6</v>
      </c>
      <c r="E1011" s="4">
        <f t="shared" si="1"/>
        <v>18.9</v>
      </c>
      <c r="F1011" s="4" t="str">
        <f t="array" ref="F1011">IF(D1011&gt;=_xlfn.PERCENTILE.INC(D1011:D2669, 0.9), "High", "Low")</f>
        <v>Low</v>
      </c>
      <c r="L1011" s="4" t="str">
        <f t="shared" si="2"/>
        <v/>
      </c>
    </row>
    <row r="1012" ht="14.25" customHeight="1">
      <c r="A1012" s="1" t="s">
        <v>3900</v>
      </c>
      <c r="B1012" s="1">
        <v>4.8</v>
      </c>
      <c r="C1012" s="4" t="str">
        <f>IFERROR(__xludf.DUMMYFUNCTION("""COMPUTED_VALUE"""),"Steve Gomer")</f>
        <v>Steve Gomer</v>
      </c>
      <c r="D1012" s="4">
        <f t="array" ref="D1012">IFERROR(AVERAGEIFS($B$2:$B$3757, $A$2:$A$3757, C1012:C4766), "")</f>
        <v>2.8</v>
      </c>
      <c r="E1012" s="4">
        <f t="shared" si="1"/>
        <v>0.5</v>
      </c>
      <c r="F1012" s="4" t="str">
        <f t="array" ref="F1012">IF(D1012&gt;=_xlfn.PERCENTILE.INC(D1012:D2670, 0.9), "High", "Low")</f>
        <v>Low</v>
      </c>
      <c r="L1012" s="4" t="str">
        <f t="shared" si="2"/>
        <v/>
      </c>
    </row>
    <row r="1013" ht="14.25" customHeight="1">
      <c r="A1013" s="1" t="s">
        <v>5265</v>
      </c>
      <c r="B1013" s="1">
        <v>6.3</v>
      </c>
      <c r="C1013" s="4" t="str">
        <f>IFERROR(__xludf.DUMMYFUNCTION("""COMPUTED_VALUE"""),"RZA")</f>
        <v>RZA</v>
      </c>
      <c r="D1013" s="4">
        <f t="array" ref="D1013">IFERROR(AVERAGEIFS($B$2:$B$3757, $A$2:$A$3757, C1013:C4767), "")</f>
        <v>5.4</v>
      </c>
      <c r="E1013" s="4">
        <f t="shared" si="1"/>
        <v>15.3</v>
      </c>
      <c r="F1013" s="4" t="str">
        <f t="array" ref="F1013">IF(D1013&gt;=_xlfn.PERCENTILE.INC(D1013:D2671, 0.9), "High", "Low")</f>
        <v>Low</v>
      </c>
      <c r="L1013" s="4" t="str">
        <f t="shared" si="2"/>
        <v/>
      </c>
    </row>
    <row r="1014" ht="14.25" customHeight="1">
      <c r="A1014" s="1" t="s">
        <v>5342</v>
      </c>
      <c r="B1014" s="1">
        <v>5.5</v>
      </c>
      <c r="C1014" s="4" t="str">
        <f>IFERROR(__xludf.DUMMYFUNCTION("""COMPUTED_VALUE"""),"Mark Piznarski")</f>
        <v>Mark Piznarski</v>
      </c>
      <c r="D1014" s="4">
        <f t="array" ref="D1014">IFERROR(AVERAGEIFS($B$2:$B$3757, $A$2:$A$3757, C1014:C4768), "")</f>
        <v>5.1</v>
      </c>
      <c r="E1014" s="4">
        <f t="shared" si="1"/>
        <v>9.1</v>
      </c>
      <c r="F1014" s="4" t="str">
        <f t="array" ref="F1014">IF(D1014&gt;=_xlfn.PERCENTILE.INC(D1014:D2672, 0.9), "High", "Low")</f>
        <v>Low</v>
      </c>
      <c r="L1014" s="4" t="str">
        <f t="shared" si="2"/>
        <v/>
      </c>
    </row>
    <row r="1015" ht="14.25" customHeight="1">
      <c r="A1015" s="1" t="s">
        <v>4022</v>
      </c>
      <c r="B1015" s="1">
        <v>6.2</v>
      </c>
      <c r="C1015" s="4" t="str">
        <f>IFERROR(__xludf.DUMMYFUNCTION("""COMPUTED_VALUE"""),"Craig Brewer")</f>
        <v>Craig Brewer</v>
      </c>
      <c r="D1015" s="4">
        <f t="array" ref="D1015">IFERROR(AVERAGEIFS($B$2:$B$3757, $A$2:$A$3757, C1015:C4769), "")</f>
        <v>7.2</v>
      </c>
      <c r="E1015" s="4">
        <f t="shared" si="1"/>
        <v>76.8</v>
      </c>
      <c r="F1015" s="4" t="str">
        <f t="array" ref="F1015">IF(D1015&gt;=_xlfn.PERCENTILE.INC(D1015:D2673, 0.9), "High", "Low")</f>
        <v>Low</v>
      </c>
      <c r="L1015" s="4" t="str">
        <f t="shared" si="2"/>
        <v/>
      </c>
    </row>
    <row r="1016" ht="14.25" customHeight="1">
      <c r="A1016" s="1" t="s">
        <v>2585</v>
      </c>
      <c r="B1016" s="1">
        <v>5.8</v>
      </c>
      <c r="C1016" s="4" t="str">
        <f>IFERROR(__xludf.DUMMYFUNCTION("""COMPUTED_VALUE"""),"Michael Winterbottom")</f>
        <v>Michael Winterbottom</v>
      </c>
      <c r="D1016" s="4">
        <f t="array" ref="D1016">IFERROR(AVERAGEIFS($B$2:$B$3757, $A$2:$A$3757, C1016:C4770), "")</f>
        <v>6.483333333</v>
      </c>
      <c r="E1016" s="4">
        <f t="shared" si="1"/>
        <v>46.2</v>
      </c>
      <c r="F1016" s="4" t="str">
        <f t="array" ref="F1016">IF(D1016&gt;=_xlfn.PERCENTILE.INC(D1016:D2674, 0.9), "High", "Low")</f>
        <v>Low</v>
      </c>
      <c r="L1016" s="4" t="str">
        <f t="shared" si="2"/>
        <v/>
      </c>
    </row>
    <row r="1017" ht="14.25" customHeight="1">
      <c r="A1017" s="1" t="s">
        <v>3138</v>
      </c>
      <c r="B1017" s="1">
        <v>5.7</v>
      </c>
      <c r="C1017" s="4" t="str">
        <f>IFERROR(__xludf.DUMMYFUNCTION("""COMPUTED_VALUE"""),"David Raynr")</f>
        <v>David Raynr</v>
      </c>
      <c r="D1017" s="4">
        <f t="array" ref="D1017">IFERROR(AVERAGEIFS($B$2:$B$3757, $A$2:$A$3757, C1017:C4771), "")</f>
        <v>5.45</v>
      </c>
      <c r="E1017" s="4">
        <f t="shared" si="1"/>
        <v>16.6</v>
      </c>
      <c r="F1017" s="4" t="str">
        <f t="array" ref="F1017">IF(D1017&gt;=_xlfn.PERCENTILE.INC(D1017:D2675, 0.9), "High", "Low")</f>
        <v>Low</v>
      </c>
      <c r="L1017" s="4" t="str">
        <f t="shared" si="2"/>
        <v/>
      </c>
    </row>
    <row r="1018" ht="14.25" customHeight="1">
      <c r="A1018" s="1" t="s">
        <v>2181</v>
      </c>
      <c r="B1018" s="1">
        <v>6.5</v>
      </c>
      <c r="C1018" s="4" t="str">
        <f>IFERROR(__xludf.DUMMYFUNCTION("""COMPUTED_VALUE"""),"Mort Nathan")</f>
        <v>Mort Nathan</v>
      </c>
      <c r="D1018" s="4">
        <f t="array" ref="D1018">IFERROR(AVERAGEIFS($B$2:$B$3757, $A$2:$A$3757, C1018:C4772), "")</f>
        <v>4.9</v>
      </c>
      <c r="E1018" s="4">
        <f t="shared" si="1"/>
        <v>7.9</v>
      </c>
      <c r="F1018" s="4" t="str">
        <f t="array" ref="F1018">IF(D1018&gt;=_xlfn.PERCENTILE.INC(D1018:D2676, 0.9), "High", "Low")</f>
        <v>Low</v>
      </c>
      <c r="L1018" s="4" t="str">
        <f t="shared" si="2"/>
        <v/>
      </c>
    </row>
    <row r="1019" ht="14.25" customHeight="1">
      <c r="A1019" s="1" t="s">
        <v>1268</v>
      </c>
      <c r="B1019" s="1">
        <v>6.7</v>
      </c>
      <c r="C1019" s="4" t="str">
        <f>IFERROR(__xludf.DUMMYFUNCTION("""COMPUTED_VALUE"""),"Wil Shriner")</f>
        <v>Wil Shriner</v>
      </c>
      <c r="D1019" s="4">
        <f t="array" ref="D1019">IFERROR(AVERAGEIFS($B$2:$B$3757, $A$2:$A$3757, C1019:C4773), "")</f>
        <v>5.6</v>
      </c>
      <c r="E1019" s="4">
        <f t="shared" si="1"/>
        <v>18.4</v>
      </c>
      <c r="F1019" s="4" t="str">
        <f t="array" ref="F1019">IF(D1019&gt;=_xlfn.PERCENTILE.INC(D1019:D2677, 0.9), "High", "Low")</f>
        <v>Low</v>
      </c>
      <c r="L1019" s="4" t="str">
        <f t="shared" si="2"/>
        <v/>
      </c>
    </row>
    <row r="1020" ht="14.25" customHeight="1">
      <c r="A1020" s="1" t="s">
        <v>3691</v>
      </c>
      <c r="B1020" s="1">
        <v>7.4</v>
      </c>
      <c r="C1020" s="4" t="str">
        <f>IFERROR(__xludf.DUMMYFUNCTION("""COMPUTED_VALUE"""),"Martin McDonagh")</f>
        <v>Martin McDonagh</v>
      </c>
      <c r="D1020" s="4">
        <f t="array" ref="D1020">IFERROR(AVERAGEIFS($B$2:$B$3757, $A$2:$A$3757, C1020:C4774), "")</f>
        <v>7.6</v>
      </c>
      <c r="E1020" s="4">
        <f t="shared" si="1"/>
        <v>87.5</v>
      </c>
      <c r="F1020" s="4" t="str">
        <f t="array" ref="F1020">IF(D1020&gt;=_xlfn.PERCENTILE.INC(D1020:D2678, 0.9), "High", "Low")</f>
        <v>High</v>
      </c>
      <c r="L1020" s="4" t="str">
        <f t="shared" si="2"/>
        <v/>
      </c>
    </row>
    <row r="1021" ht="14.25" customHeight="1">
      <c r="A1021" s="1" t="s">
        <v>1153</v>
      </c>
      <c r="B1021" s="1">
        <v>6.9</v>
      </c>
      <c r="C1021" s="4" t="str">
        <f>IFERROR(__xludf.DUMMYFUNCTION("""COMPUTED_VALUE"""),"Tina Gordon Chism")</f>
        <v>Tina Gordon Chism</v>
      </c>
      <c r="D1021" s="4">
        <f t="array" ref="D1021">IFERROR(AVERAGEIFS($B$2:$B$3757, $A$2:$A$3757, C1021:C4775), "")</f>
        <v>5.3</v>
      </c>
      <c r="E1021" s="4">
        <f t="shared" si="1"/>
        <v>12.3</v>
      </c>
      <c r="F1021" s="4" t="str">
        <f t="array" ref="F1021">IF(D1021&gt;=_xlfn.PERCENTILE.INC(D1021:D2679, 0.9), "High", "Low")</f>
        <v>Low</v>
      </c>
      <c r="L1021" s="4" t="str">
        <f t="shared" si="2"/>
        <v/>
      </c>
    </row>
    <row r="1022" ht="14.25" customHeight="1">
      <c r="A1022" s="1" t="s">
        <v>2942</v>
      </c>
      <c r="B1022" s="1">
        <v>5.5</v>
      </c>
      <c r="C1022" s="4" t="str">
        <f>IFERROR(__xludf.DUMMYFUNCTION("""COMPUTED_VALUE"""),"Peter Cattaneo")</f>
        <v>Peter Cattaneo</v>
      </c>
      <c r="D1022" s="4">
        <f t="array" ref="D1022">IFERROR(AVERAGEIFS($B$2:$B$3757, $A$2:$A$3757, C1022:C4776), "")</f>
        <v>6.68</v>
      </c>
      <c r="E1022" s="4">
        <f t="shared" si="1"/>
        <v>54.1</v>
      </c>
      <c r="F1022" s="4" t="str">
        <f t="array" ref="F1022">IF(D1022&gt;=_xlfn.PERCENTILE.INC(D1022:D2680, 0.9), "High", "Low")</f>
        <v>Low</v>
      </c>
      <c r="L1022" s="4" t="str">
        <f t="shared" si="2"/>
        <v/>
      </c>
    </row>
    <row r="1023" ht="14.25" customHeight="1">
      <c r="A1023" s="1" t="s">
        <v>5383</v>
      </c>
      <c r="B1023" s="1">
        <v>8.1</v>
      </c>
      <c r="C1023" s="4" t="str">
        <f>IFERROR(__xludf.DUMMYFUNCTION("""COMPUTED_VALUE"""),"Vicky Jenson")</f>
        <v>Vicky Jenson</v>
      </c>
      <c r="D1023" s="4">
        <f t="array" ref="D1023">IFERROR(AVERAGEIFS($B$2:$B$3757, $A$2:$A$3757, C1023:C4777), "")</f>
        <v>5.3</v>
      </c>
      <c r="E1023" s="4">
        <f t="shared" si="1"/>
        <v>12.4</v>
      </c>
      <c r="F1023" s="4" t="str">
        <f t="array" ref="F1023">IF(D1023&gt;=_xlfn.PERCENTILE.INC(D1023:D2681, 0.9), "High", "Low")</f>
        <v>Low</v>
      </c>
      <c r="L1023" s="4" t="str">
        <f t="shared" si="2"/>
        <v/>
      </c>
    </row>
    <row r="1024" ht="14.25" customHeight="1">
      <c r="A1024" s="1" t="s">
        <v>2938</v>
      </c>
      <c r="B1024" s="1">
        <v>7.7</v>
      </c>
      <c r="C1024" s="4" t="str">
        <f>IFERROR(__xludf.DUMMYFUNCTION("""COMPUTED_VALUE"""),"Mary Lambert")</f>
        <v>Mary Lambert</v>
      </c>
      <c r="D1024" s="4">
        <f t="array" ref="D1024">IFERROR(AVERAGEIFS($B$2:$B$3757, $A$2:$A$3757, C1024:C4778), "")</f>
        <v>5.6</v>
      </c>
      <c r="E1024" s="4">
        <f t="shared" si="1"/>
        <v>18.2</v>
      </c>
      <c r="F1024" s="4" t="str">
        <f t="array" ref="F1024">IF(D1024&gt;=_xlfn.PERCENTILE.INC(D1024:D2682, 0.9), "High", "Low")</f>
        <v>Low</v>
      </c>
      <c r="L1024" s="4" t="str">
        <f t="shared" si="2"/>
        <v/>
      </c>
    </row>
    <row r="1025" ht="14.25" customHeight="1">
      <c r="A1025" s="1" t="s">
        <v>970</v>
      </c>
      <c r="B1025" s="1">
        <v>7.3</v>
      </c>
      <c r="C1025" s="4" t="str">
        <f>IFERROR(__xludf.DUMMYFUNCTION("""COMPUTED_VALUE"""),"Peter Kassovitz")</f>
        <v>Peter Kassovitz</v>
      </c>
      <c r="D1025" s="4">
        <f t="array" ref="D1025">IFERROR(AVERAGEIFS($B$2:$B$3757, $A$2:$A$3757, C1025:C4779), "")</f>
        <v>6.5</v>
      </c>
      <c r="E1025" s="4">
        <f t="shared" si="1"/>
        <v>45.9</v>
      </c>
      <c r="F1025" s="4" t="str">
        <f t="array" ref="F1025">IF(D1025&gt;=_xlfn.PERCENTILE.INC(D1025:D2683, 0.9), "High", "Low")</f>
        <v>Low</v>
      </c>
      <c r="L1025" s="4" t="str">
        <f t="shared" si="2"/>
        <v/>
      </c>
    </row>
    <row r="1026" ht="14.25" customHeight="1">
      <c r="A1026" s="1" t="s">
        <v>3680</v>
      </c>
      <c r="B1026" s="1">
        <v>5.2</v>
      </c>
      <c r="C1026" s="4" t="str">
        <f>IFERROR(__xludf.DUMMYFUNCTION("""COMPUTED_VALUE"""),"Rodman Flender")</f>
        <v>Rodman Flender</v>
      </c>
      <c r="D1026" s="4">
        <f t="array" ref="D1026">IFERROR(AVERAGEIFS($B$2:$B$3757, $A$2:$A$3757, C1026:C4780), "")</f>
        <v>6.2</v>
      </c>
      <c r="E1026" s="4">
        <f t="shared" si="1"/>
        <v>36.9</v>
      </c>
      <c r="F1026" s="4" t="str">
        <f t="array" ref="F1026">IF(D1026&gt;=_xlfn.PERCENTILE.INC(D1026:D2684, 0.9), "High", "Low")</f>
        <v>Low</v>
      </c>
      <c r="L1026" s="4" t="str">
        <f t="shared" si="2"/>
        <v/>
      </c>
    </row>
    <row r="1027" ht="14.25" customHeight="1">
      <c r="A1027" s="1" t="s">
        <v>680</v>
      </c>
      <c r="B1027" s="1">
        <v>7.1</v>
      </c>
      <c r="C1027" s="4" t="str">
        <f>IFERROR(__xludf.DUMMYFUNCTION("""COMPUTED_VALUE"""),"Mark Romanek")</f>
        <v>Mark Romanek</v>
      </c>
      <c r="D1027" s="4">
        <f t="array" ref="D1027">IFERROR(AVERAGEIFS($B$2:$B$3757, $A$2:$A$3757, C1027:C4781), "")</f>
        <v>7</v>
      </c>
      <c r="E1027" s="4">
        <f t="shared" si="1"/>
        <v>66.7</v>
      </c>
      <c r="F1027" s="4" t="str">
        <f t="array" ref="F1027">IF(D1027&gt;=_xlfn.PERCENTILE.INC(D1027:D2685, 0.9), "High", "Low")</f>
        <v>Low</v>
      </c>
      <c r="L1027" s="4" t="str">
        <f t="shared" si="2"/>
        <v/>
      </c>
    </row>
    <row r="1028" ht="14.25" customHeight="1">
      <c r="A1028" s="1" t="s">
        <v>2822</v>
      </c>
      <c r="B1028" s="1">
        <v>7.1</v>
      </c>
      <c r="C1028" s="4" t="str">
        <f>IFERROR(__xludf.DUMMYFUNCTION("""COMPUTED_VALUE"""),"Brad Anderson")</f>
        <v>Brad Anderson</v>
      </c>
      <c r="D1028" s="4">
        <f t="array" ref="D1028">IFERROR(AVERAGEIFS($B$2:$B$3757, $A$2:$A$3757, C1028:C4782), "")</f>
        <v>6.86</v>
      </c>
      <c r="E1028" s="4">
        <f t="shared" si="1"/>
        <v>62.2</v>
      </c>
      <c r="F1028" s="4" t="str">
        <f t="array" ref="F1028">IF(D1028&gt;=_xlfn.PERCENTILE.INC(D1028:D2686, 0.9), "High", "Low")</f>
        <v>Low</v>
      </c>
      <c r="L1028" s="4" t="str">
        <f t="shared" si="2"/>
        <v/>
      </c>
    </row>
    <row r="1029" ht="14.25" customHeight="1">
      <c r="A1029" s="1" t="s">
        <v>5410</v>
      </c>
      <c r="B1029" s="1">
        <v>7.2</v>
      </c>
      <c r="C1029" s="4" t="str">
        <f>IFERROR(__xludf.DUMMYFUNCTION("""COMPUTED_VALUE"""),"Michael Chapman")</f>
        <v>Michael Chapman</v>
      </c>
      <c r="D1029" s="4">
        <f t="array" ref="D1029">IFERROR(AVERAGEIFS($B$2:$B$3757, $A$2:$A$3757, C1029:C4783), "")</f>
        <v>5.3</v>
      </c>
      <c r="E1029" s="4">
        <f t="shared" si="1"/>
        <v>12.5</v>
      </c>
      <c r="F1029" s="4" t="str">
        <f t="array" ref="F1029">IF(D1029&gt;=_xlfn.PERCENTILE.INC(D1029:D2687, 0.9), "High", "Low")</f>
        <v>Low</v>
      </c>
      <c r="L1029" s="4" t="str">
        <f t="shared" si="2"/>
        <v/>
      </c>
    </row>
    <row r="1030" ht="14.25" customHeight="1">
      <c r="A1030" s="1" t="s">
        <v>5415</v>
      </c>
      <c r="B1030" s="1">
        <v>6.5</v>
      </c>
      <c r="C1030" s="4" t="str">
        <f>IFERROR(__xludf.DUMMYFUNCTION("""COMPUTED_VALUE"""),"Antonio Banderas")</f>
        <v>Antonio Banderas</v>
      </c>
      <c r="D1030" s="4">
        <f t="array" ref="D1030">IFERROR(AVERAGEIFS($B$2:$B$3757, $A$2:$A$3757, C1030:C4784), "")</f>
        <v>6.3</v>
      </c>
      <c r="E1030" s="4">
        <f t="shared" si="1"/>
        <v>39</v>
      </c>
      <c r="F1030" s="4" t="str">
        <f t="array" ref="F1030">IF(D1030&gt;=_xlfn.PERCENTILE.INC(D1030:D2688, 0.9), "High", "Low")</f>
        <v>Low</v>
      </c>
      <c r="L1030" s="4" t="str">
        <f t="shared" si="2"/>
        <v/>
      </c>
    </row>
    <row r="1031" ht="14.25" customHeight="1">
      <c r="A1031" s="1" t="s">
        <v>5421</v>
      </c>
      <c r="B1031" s="1">
        <v>4.6</v>
      </c>
      <c r="C1031" s="4" t="str">
        <f>IFERROR(__xludf.DUMMYFUNCTION("""COMPUTED_VALUE"""),"Fritz Lang")</f>
        <v>Fritz Lang</v>
      </c>
      <c r="D1031" s="4">
        <f t="array" ref="D1031">IFERROR(AVERAGEIFS($B$2:$B$3757, $A$2:$A$3757, C1031:C4785), "")</f>
        <v>8.3</v>
      </c>
      <c r="E1031" s="4">
        <f t="shared" si="1"/>
        <v>98.6</v>
      </c>
      <c r="F1031" s="4" t="str">
        <f t="array" ref="F1031">IF(D1031&gt;=_xlfn.PERCENTILE.INC(D1031:D2689, 0.9), "High", "Low")</f>
        <v>High</v>
      </c>
      <c r="L1031" s="4" t="str">
        <f t="shared" si="2"/>
        <v/>
      </c>
    </row>
    <row r="1032" ht="14.25" customHeight="1">
      <c r="A1032" s="1" t="s">
        <v>3873</v>
      </c>
      <c r="B1032" s="1">
        <v>5.6</v>
      </c>
      <c r="C1032" s="4" t="str">
        <f>IFERROR(__xludf.DUMMYFUNCTION("""COMPUTED_VALUE"""),"Hsiao-Hsien Hou")</f>
        <v>Hsiao-Hsien Hou</v>
      </c>
      <c r="D1032" s="4">
        <f t="array" ref="D1032">IFERROR(AVERAGEIFS($B$2:$B$3757, $A$2:$A$3757, C1032:C4786), "")</f>
        <v>6.4</v>
      </c>
      <c r="E1032" s="4">
        <f t="shared" si="1"/>
        <v>42.9</v>
      </c>
      <c r="F1032" s="4" t="str">
        <f t="array" ref="F1032">IF(D1032&gt;=_xlfn.PERCENTILE.INC(D1032:D2690, 0.9), "High", "Low")</f>
        <v>Low</v>
      </c>
      <c r="L1032" s="4" t="str">
        <f t="shared" si="2"/>
        <v/>
      </c>
    </row>
    <row r="1033" ht="14.25" customHeight="1">
      <c r="A1033" s="1" t="s">
        <v>5434</v>
      </c>
      <c r="B1033" s="1">
        <v>7.7</v>
      </c>
      <c r="C1033" s="4" t="str">
        <f>IFERROR(__xludf.DUMMYFUNCTION("""COMPUTED_VALUE"""),"Gregor Jordan")</f>
        <v>Gregor Jordan</v>
      </c>
      <c r="D1033" s="4">
        <f t="array" ref="D1033">IFERROR(AVERAGEIFS($B$2:$B$3757, $A$2:$A$3757, C1033:C4787), "")</f>
        <v>6.9</v>
      </c>
      <c r="E1033" s="4">
        <f t="shared" si="1"/>
        <v>62.3</v>
      </c>
      <c r="F1033" s="4" t="str">
        <f t="array" ref="F1033">IF(D1033&gt;=_xlfn.PERCENTILE.INC(D1033:D2691, 0.9), "High", "Low")</f>
        <v>Low</v>
      </c>
      <c r="L1033" s="4" t="str">
        <f t="shared" si="2"/>
        <v/>
      </c>
    </row>
    <row r="1034" ht="14.25" customHeight="1">
      <c r="A1034" s="1" t="s">
        <v>298</v>
      </c>
      <c r="B1034" s="1">
        <v>7.2</v>
      </c>
      <c r="C1034" s="4" t="str">
        <f>IFERROR(__xludf.DUMMYFUNCTION("""COMPUTED_VALUE"""),"Tony Jaa")</f>
        <v>Tony Jaa</v>
      </c>
      <c r="D1034" s="4">
        <f t="array" ref="D1034">IFERROR(AVERAGEIFS($B$2:$B$3757, $A$2:$A$3757, C1034:C4788), "")</f>
        <v>6.2</v>
      </c>
      <c r="E1034" s="4">
        <f t="shared" si="1"/>
        <v>37.2</v>
      </c>
      <c r="F1034" s="4" t="str">
        <f t="array" ref="F1034">IF(D1034&gt;=_xlfn.PERCENTILE.INC(D1034:D2692, 0.9), "High", "Low")</f>
        <v>Low</v>
      </c>
      <c r="L1034" s="4" t="str">
        <f t="shared" si="2"/>
        <v/>
      </c>
    </row>
    <row r="1035" ht="14.25" customHeight="1">
      <c r="A1035" s="1" t="s">
        <v>2534</v>
      </c>
      <c r="B1035" s="1">
        <v>6.8</v>
      </c>
      <c r="C1035" s="4" t="str">
        <f>IFERROR(__xludf.DUMMYFUNCTION("""COMPUTED_VALUE"""),"RyÃ»hei Kitamura")</f>
        <v>RyÃ»hei Kitamura</v>
      </c>
      <c r="D1035" s="4">
        <f t="array" ref="D1035">IFERROR(AVERAGEIFS($B$2:$B$3757, $A$2:$A$3757, C1035:C4789), "")</f>
        <v>6.1</v>
      </c>
      <c r="E1035" s="4">
        <f t="shared" si="1"/>
        <v>32.4</v>
      </c>
      <c r="F1035" s="4" t="str">
        <f t="array" ref="F1035">IF(D1035&gt;=_xlfn.PERCENTILE.INC(D1035:D2693, 0.9), "High", "Low")</f>
        <v>Low</v>
      </c>
      <c r="L1035" s="4" t="str">
        <f t="shared" si="2"/>
        <v/>
      </c>
    </row>
    <row r="1036" ht="14.25" customHeight="1">
      <c r="A1036" s="1" t="s">
        <v>5421</v>
      </c>
      <c r="B1036" s="1">
        <v>5.4</v>
      </c>
      <c r="C1036" s="4" t="str">
        <f>IFERROR(__xludf.DUMMYFUNCTION("""COMPUTED_VALUE"""),"Dito Montiel")</f>
        <v>Dito Montiel</v>
      </c>
      <c r="D1036" s="4">
        <f t="array" ref="D1036">IFERROR(AVERAGEIFS($B$2:$B$3757, $A$2:$A$3757, C1036:C4790), "")</f>
        <v>5.1</v>
      </c>
      <c r="E1036" s="4">
        <f t="shared" si="1"/>
        <v>9.3</v>
      </c>
      <c r="F1036" s="4" t="str">
        <f t="array" ref="F1036">IF(D1036&gt;=_xlfn.PERCENTILE.INC(D1036:D2694, 0.9), "High", "Low")</f>
        <v>Low</v>
      </c>
      <c r="L1036" s="4" t="str">
        <f t="shared" si="2"/>
        <v/>
      </c>
    </row>
    <row r="1037" ht="14.25" customHeight="1">
      <c r="A1037" s="1" t="s">
        <v>2999</v>
      </c>
      <c r="B1037" s="1">
        <v>6.3</v>
      </c>
      <c r="C1037" s="4" t="str">
        <f>IFERROR(__xludf.DUMMYFUNCTION("""COMPUTED_VALUE"""),"Stefan Ruzowitzky")</f>
        <v>Stefan Ruzowitzky</v>
      </c>
      <c r="D1037" s="4">
        <f t="array" ref="D1037">IFERROR(AVERAGEIFS($B$2:$B$3757, $A$2:$A$3757, C1037:C4791), "")</f>
        <v>5.633333333</v>
      </c>
      <c r="E1037" s="4">
        <f t="shared" si="1"/>
        <v>21</v>
      </c>
      <c r="F1037" s="4" t="str">
        <f t="array" ref="F1037">IF(D1037&gt;=_xlfn.PERCENTILE.INC(D1037:D2695, 0.9), "High", "Low")</f>
        <v>Low</v>
      </c>
      <c r="L1037" s="4" t="str">
        <f t="shared" si="2"/>
        <v/>
      </c>
    </row>
    <row r="1038" ht="14.25" customHeight="1">
      <c r="A1038" s="1" t="s">
        <v>4345</v>
      </c>
      <c r="B1038" s="1">
        <v>5.6</v>
      </c>
      <c r="C1038" s="4" t="str">
        <f>IFERROR(__xludf.DUMMYFUNCTION("""COMPUTED_VALUE"""),"Jake Paltrow")</f>
        <v>Jake Paltrow</v>
      </c>
      <c r="D1038" s="4">
        <f t="array" ref="D1038">IFERROR(AVERAGEIFS($B$2:$B$3757, $A$2:$A$3757, C1038:C4792), "")</f>
        <v>5.9</v>
      </c>
      <c r="E1038" s="4">
        <f t="shared" si="1"/>
        <v>25.4</v>
      </c>
      <c r="F1038" s="4" t="str">
        <f t="array" ref="F1038">IF(D1038&gt;=_xlfn.PERCENTILE.INC(D1038:D2696, 0.9), "High", "Low")</f>
        <v>Low</v>
      </c>
      <c r="L1038" s="4" t="str">
        <f t="shared" si="2"/>
        <v/>
      </c>
    </row>
    <row r="1039" ht="14.25" customHeight="1">
      <c r="A1039" s="1" t="s">
        <v>5462</v>
      </c>
      <c r="B1039" s="1">
        <v>6.8</v>
      </c>
      <c r="C1039" s="4" t="str">
        <f>IFERROR(__xludf.DUMMYFUNCTION("""COMPUTED_VALUE"""),"Gregory Jacobs")</f>
        <v>Gregory Jacobs</v>
      </c>
      <c r="D1039" s="4">
        <f t="array" ref="D1039">IFERROR(AVERAGEIFS($B$2:$B$3757, $A$2:$A$3757, C1039:C4793), "")</f>
        <v>5.7</v>
      </c>
      <c r="E1039" s="4">
        <f t="shared" si="1"/>
        <v>21.2</v>
      </c>
      <c r="F1039" s="4" t="str">
        <f t="array" ref="F1039">IF(D1039&gt;=_xlfn.PERCENTILE.INC(D1039:D2697, 0.9), "High", "Low")</f>
        <v>Low</v>
      </c>
      <c r="L1039" s="4" t="str">
        <f t="shared" si="2"/>
        <v/>
      </c>
    </row>
    <row r="1040" ht="14.25" customHeight="1">
      <c r="A1040" s="1" t="s">
        <v>5466</v>
      </c>
      <c r="B1040" s="1">
        <v>4.3</v>
      </c>
      <c r="C1040" s="4" t="str">
        <f>IFERROR(__xludf.DUMMYFUNCTION("""COMPUTED_VALUE"""),"Gilles Paquet-Brenner")</f>
        <v>Gilles Paquet-Brenner</v>
      </c>
      <c r="D1040" s="4">
        <f t="array" ref="D1040">IFERROR(AVERAGEIFS($B$2:$B$3757, $A$2:$A$3757, C1040:C4794), "")</f>
        <v>7.5</v>
      </c>
      <c r="E1040" s="4">
        <f t="shared" si="1"/>
        <v>85.5</v>
      </c>
      <c r="F1040" s="4" t="str">
        <f t="array" ref="F1040">IF(D1040&gt;=_xlfn.PERCENTILE.INC(D1040:D2698, 0.9), "High", "Low")</f>
        <v>Low</v>
      </c>
      <c r="L1040" s="4" t="str">
        <f t="shared" si="2"/>
        <v/>
      </c>
    </row>
    <row r="1041" ht="14.25" customHeight="1">
      <c r="A1041" s="1" t="s">
        <v>5471</v>
      </c>
      <c r="B1041" s="1">
        <v>6.3</v>
      </c>
      <c r="C1041" s="4" t="str">
        <f>IFERROR(__xludf.DUMMYFUNCTION("""COMPUTED_VALUE"""),"Lars von Trier")</f>
        <v>Lars von Trier</v>
      </c>
      <c r="D1041" s="4">
        <f t="array" ref="D1041">IFERROR(AVERAGEIFS($B$2:$B$3757, $A$2:$A$3757, C1041:C4795), "")</f>
        <v>7.5</v>
      </c>
      <c r="E1041" s="4">
        <f t="shared" si="1"/>
        <v>85.6</v>
      </c>
      <c r="F1041" s="4" t="str">
        <f t="array" ref="F1041">IF(D1041&gt;=_xlfn.PERCENTILE.INC(D1041:D2699, 0.9), "High", "Low")</f>
        <v>Low</v>
      </c>
      <c r="L1041" s="4" t="str">
        <f t="shared" si="2"/>
        <v/>
      </c>
    </row>
    <row r="1042" ht="14.25" customHeight="1">
      <c r="A1042" s="1" t="s">
        <v>1549</v>
      </c>
      <c r="B1042" s="1">
        <v>6.5</v>
      </c>
      <c r="C1042" s="4" t="str">
        <f>IFERROR(__xludf.DUMMYFUNCTION("""COMPUTED_VALUE"""),"John Cornell")</f>
        <v>John Cornell</v>
      </c>
      <c r="D1042" s="4">
        <f t="array" ref="D1042">IFERROR(AVERAGEIFS($B$2:$B$3757, $A$2:$A$3757, C1042:C4796), "")</f>
        <v>5.5</v>
      </c>
      <c r="E1042" s="4">
        <f t="shared" si="1"/>
        <v>16.5</v>
      </c>
      <c r="F1042" s="4" t="str">
        <f t="array" ref="F1042">IF(D1042&gt;=_xlfn.PERCENTILE.INC(D1042:D2700, 0.9), "High", "Low")</f>
        <v>Low</v>
      </c>
      <c r="L1042" s="4" t="str">
        <f t="shared" si="2"/>
        <v/>
      </c>
    </row>
    <row r="1043" ht="14.25" customHeight="1">
      <c r="A1043" s="1" t="s">
        <v>4367</v>
      </c>
      <c r="B1043" s="1">
        <v>6.4</v>
      </c>
      <c r="C1043" s="4" t="str">
        <f>IFERROR(__xludf.DUMMYFUNCTION("""COMPUTED_VALUE"""),"Jamie Blanks")</f>
        <v>Jamie Blanks</v>
      </c>
      <c r="D1043" s="4">
        <f t="array" ref="D1043">IFERROR(AVERAGEIFS($B$2:$B$3757, $A$2:$A$3757, C1043:C4797), "")</f>
        <v>5.1</v>
      </c>
      <c r="E1043" s="4">
        <f t="shared" si="1"/>
        <v>9.4</v>
      </c>
      <c r="F1043" s="4" t="str">
        <f t="array" ref="F1043">IF(D1043&gt;=_xlfn.PERCENTILE.INC(D1043:D2701, 0.9), "High", "Low")</f>
        <v>Low</v>
      </c>
      <c r="L1043" s="4" t="str">
        <f t="shared" si="2"/>
        <v/>
      </c>
    </row>
    <row r="1044" ht="14.25" customHeight="1">
      <c r="A1044" s="1" t="s">
        <v>4643</v>
      </c>
      <c r="B1044" s="1">
        <v>6.3</v>
      </c>
      <c r="C1044" s="4" t="str">
        <f>IFERROR(__xludf.DUMMYFUNCTION("""COMPUTED_VALUE"""),"Randal Kleiser")</f>
        <v>Randal Kleiser</v>
      </c>
      <c r="D1044" s="4">
        <f t="array" ref="D1044">IFERROR(AVERAGEIFS($B$2:$B$3757, $A$2:$A$3757, C1044:C4798), "")</f>
        <v>6.95</v>
      </c>
      <c r="E1044" s="4">
        <f t="shared" si="1"/>
        <v>66.1</v>
      </c>
      <c r="F1044" s="4" t="str">
        <f t="array" ref="F1044">IF(D1044&gt;=_xlfn.PERCENTILE.INC(D1044:D2702, 0.9), "High", "Low")</f>
        <v>Low</v>
      </c>
      <c r="L1044" s="4" t="str">
        <f t="shared" si="2"/>
        <v/>
      </c>
    </row>
    <row r="1045" ht="14.25" customHeight="1">
      <c r="A1045" s="1" t="s">
        <v>1872</v>
      </c>
      <c r="B1045" s="1">
        <v>5.9</v>
      </c>
      <c r="C1045" s="4" t="str">
        <f>IFERROR(__xludf.DUMMYFUNCTION("""COMPUTED_VALUE"""),"Rick Famuyiwa")</f>
        <v>Rick Famuyiwa</v>
      </c>
      <c r="D1045" s="4">
        <f t="array" ref="D1045">IFERROR(AVERAGEIFS($B$2:$B$3757, $A$2:$A$3757, C1045:C4799), "")</f>
        <v>6.4</v>
      </c>
      <c r="E1045" s="4">
        <f t="shared" si="1"/>
        <v>42.5</v>
      </c>
      <c r="F1045" s="4" t="str">
        <f t="array" ref="F1045">IF(D1045&gt;=_xlfn.PERCENTILE.INC(D1045:D2703, 0.9), "High", "Low")</f>
        <v>Low</v>
      </c>
      <c r="L1045" s="4" t="str">
        <f t="shared" si="2"/>
        <v/>
      </c>
    </row>
    <row r="1046" ht="14.25" customHeight="1">
      <c r="A1046" s="1" t="s">
        <v>723</v>
      </c>
      <c r="B1046" s="1">
        <v>6.5</v>
      </c>
      <c r="C1046" s="4" t="str">
        <f>IFERROR(__xludf.DUMMYFUNCTION("""COMPUTED_VALUE"""),"Alan Cohn")</f>
        <v>Alan Cohn</v>
      </c>
      <c r="D1046" s="4">
        <f t="array" ref="D1046">IFERROR(AVERAGEIFS($B$2:$B$3757, $A$2:$A$3757, C1046:C4800), "")</f>
        <v>6</v>
      </c>
      <c r="E1046" s="4">
        <f t="shared" si="1"/>
        <v>29.3</v>
      </c>
      <c r="F1046" s="4" t="str">
        <f t="array" ref="F1046">IF(D1046&gt;=_xlfn.PERCENTILE.INC(D1046:D2704, 0.9), "High", "Low")</f>
        <v>Low</v>
      </c>
      <c r="L1046" s="4" t="str">
        <f t="shared" si="2"/>
        <v/>
      </c>
    </row>
    <row r="1047" ht="14.25" customHeight="1">
      <c r="A1047" s="1" t="s">
        <v>5498</v>
      </c>
      <c r="B1047" s="1">
        <v>6.5</v>
      </c>
      <c r="C1047" s="4" t="str">
        <f>IFERROR(__xludf.DUMMYFUNCTION("""COMPUTED_VALUE"""),"Franco Zeffirelli")</f>
        <v>Franco Zeffirelli</v>
      </c>
      <c r="D1047" s="4">
        <f t="array" ref="D1047">IFERROR(AVERAGEIFS($B$2:$B$3757, $A$2:$A$3757, C1047:C4801), "")</f>
        <v>6.9</v>
      </c>
      <c r="E1047" s="4">
        <f t="shared" si="1"/>
        <v>62.1</v>
      </c>
      <c r="F1047" s="4" t="str">
        <f t="array" ref="F1047">IF(D1047&gt;=_xlfn.PERCENTILE.INC(D1047:D2705, 0.9), "High", "Low")</f>
        <v>Low</v>
      </c>
      <c r="L1047" s="4" t="str">
        <f t="shared" si="2"/>
        <v/>
      </c>
    </row>
    <row r="1048" ht="14.25" customHeight="1">
      <c r="A1048" s="1" t="s">
        <v>5504</v>
      </c>
      <c r="B1048" s="1">
        <v>6.1</v>
      </c>
      <c r="C1048" s="4" t="str">
        <f>IFERROR(__xludf.DUMMYFUNCTION("""COMPUTED_VALUE"""),"Tom Holland")</f>
        <v>Tom Holland</v>
      </c>
      <c r="D1048" s="4">
        <f t="array" ref="D1048">IFERROR(AVERAGEIFS($B$2:$B$3757, $A$2:$A$3757, C1048:C4802), "")</f>
        <v>6.1</v>
      </c>
      <c r="E1048" s="4">
        <f t="shared" si="1"/>
        <v>32</v>
      </c>
      <c r="F1048" s="4" t="str">
        <f t="array" ref="F1048">IF(D1048&gt;=_xlfn.PERCENTILE.INC(D1048:D2706, 0.9), "High", "Low")</f>
        <v>Low</v>
      </c>
      <c r="L1048" s="4" t="str">
        <f t="shared" si="2"/>
        <v/>
      </c>
    </row>
    <row r="1049" ht="14.25" customHeight="1">
      <c r="A1049" s="1" t="s">
        <v>5510</v>
      </c>
      <c r="B1049" s="1">
        <v>5.9</v>
      </c>
      <c r="C1049" s="4" t="str">
        <f>IFERROR(__xludf.DUMMYFUNCTION("""COMPUTED_VALUE"""),"James Isaac")</f>
        <v>James Isaac</v>
      </c>
      <c r="D1049" s="4">
        <f t="array" ref="D1049">IFERROR(AVERAGEIFS($B$2:$B$3757, $A$2:$A$3757, C1049:C4803), "")</f>
        <v>4.4</v>
      </c>
      <c r="E1049" s="4">
        <f t="shared" si="1"/>
        <v>5.2</v>
      </c>
      <c r="F1049" s="4" t="str">
        <f t="array" ref="F1049">IF(D1049&gt;=_xlfn.PERCENTILE.INC(D1049:D2707, 0.9), "High", "Low")</f>
        <v>Low</v>
      </c>
      <c r="L1049" s="4" t="str">
        <f t="shared" si="2"/>
        <v/>
      </c>
    </row>
    <row r="1050" ht="14.25" customHeight="1">
      <c r="A1050" s="1" t="s">
        <v>5514</v>
      </c>
      <c r="B1050" s="1">
        <v>6.6</v>
      </c>
      <c r="C1050" s="4" t="str">
        <f>IFERROR(__xludf.DUMMYFUNCTION("""COMPUTED_VALUE"""),"Emilio Estevez")</f>
        <v>Emilio Estevez</v>
      </c>
      <c r="D1050" s="4">
        <f t="array" ref="D1050">IFERROR(AVERAGEIFS($B$2:$B$3757, $A$2:$A$3757, C1050:C4804), "")</f>
        <v>7</v>
      </c>
      <c r="E1050" s="4">
        <f t="shared" si="1"/>
        <v>66.1</v>
      </c>
      <c r="F1050" s="4" t="str">
        <f t="array" ref="F1050">IF(D1050&gt;=_xlfn.PERCENTILE.INC(D1050:D2708, 0.9), "High", "Low")</f>
        <v>Low</v>
      </c>
      <c r="L1050" s="4" t="str">
        <f t="shared" si="2"/>
        <v/>
      </c>
    </row>
    <row r="1051" ht="14.25" customHeight="1">
      <c r="A1051" s="1" t="s">
        <v>5519</v>
      </c>
      <c r="B1051" s="1">
        <v>7.4</v>
      </c>
      <c r="C1051" s="4" t="str">
        <f>IFERROR(__xludf.DUMMYFUNCTION("""COMPUTED_VALUE"""),"Josh Schwartz")</f>
        <v>Josh Schwartz</v>
      </c>
      <c r="D1051" s="4">
        <f t="array" ref="D1051">IFERROR(AVERAGEIFS($B$2:$B$3757, $A$2:$A$3757, C1051:C4805), "")</f>
        <v>5.4</v>
      </c>
      <c r="E1051" s="4">
        <f t="shared" si="1"/>
        <v>14.9</v>
      </c>
      <c r="F1051" s="4" t="str">
        <f t="array" ref="F1051">IF(D1051&gt;=_xlfn.PERCENTILE.INC(D1051:D2709, 0.9), "High", "Low")</f>
        <v>Low</v>
      </c>
      <c r="L1051" s="4" t="str">
        <f t="shared" si="2"/>
        <v/>
      </c>
    </row>
    <row r="1052" ht="14.25" customHeight="1">
      <c r="A1052" s="1" t="s">
        <v>46</v>
      </c>
      <c r="B1052" s="1">
        <v>7.3</v>
      </c>
      <c r="C1052" s="4" t="str">
        <f>IFERROR(__xludf.DUMMYFUNCTION("""COMPUTED_VALUE"""),"Todd Field")</f>
        <v>Todd Field</v>
      </c>
      <c r="D1052" s="4">
        <f t="array" ref="D1052">IFERROR(AVERAGEIFS($B$2:$B$3757, $A$2:$A$3757, C1052:C4806), "")</f>
        <v>7.55</v>
      </c>
      <c r="E1052" s="4">
        <f t="shared" si="1"/>
        <v>86.9</v>
      </c>
      <c r="F1052" s="4" t="str">
        <f t="array" ref="F1052">IF(D1052&gt;=_xlfn.PERCENTILE.INC(D1052:D2710, 0.9), "High", "Low")</f>
        <v>Low</v>
      </c>
      <c r="L1052" s="4" t="str">
        <f t="shared" si="2"/>
        <v/>
      </c>
    </row>
    <row r="1053" ht="14.25" customHeight="1">
      <c r="A1053" s="1" t="s">
        <v>1021</v>
      </c>
      <c r="B1053" s="1">
        <v>6.6</v>
      </c>
      <c r="C1053" s="4" t="str">
        <f>IFERROR(__xludf.DUMMYFUNCTION("""COMPUTED_VALUE"""),"Davis Guggenheim")</f>
        <v>Davis Guggenheim</v>
      </c>
      <c r="D1053" s="4">
        <f t="array" ref="D1053">IFERROR(AVERAGEIFS($B$2:$B$3757, $A$2:$A$3757, C1053:C4807), "")</f>
        <v>6.05</v>
      </c>
      <c r="E1053" s="4">
        <f t="shared" si="1"/>
        <v>31.7</v>
      </c>
      <c r="F1053" s="4" t="str">
        <f t="array" ref="F1053">IF(D1053&gt;=_xlfn.PERCENTILE.INC(D1053:D2711, 0.9), "High", "Low")</f>
        <v>Low</v>
      </c>
      <c r="L1053" s="4" t="str">
        <f t="shared" si="2"/>
        <v/>
      </c>
    </row>
    <row r="1054" ht="14.25" customHeight="1">
      <c r="A1054" s="1" t="s">
        <v>5533</v>
      </c>
      <c r="B1054" s="1">
        <v>5.6</v>
      </c>
      <c r="C1054" s="4" t="str">
        <f>IFERROR(__xludf.DUMMYFUNCTION("""COMPUTED_VALUE"""),"Stephen Carpenter")</f>
        <v>Stephen Carpenter</v>
      </c>
      <c r="D1054" s="4">
        <f t="array" ref="D1054">IFERROR(AVERAGEIFS($B$2:$B$3757, $A$2:$A$3757, C1054:C4808), "")</f>
        <v>3.9</v>
      </c>
      <c r="E1054" s="4">
        <f t="shared" si="1"/>
        <v>3</v>
      </c>
      <c r="F1054" s="4" t="str">
        <f t="array" ref="F1054">IF(D1054&gt;=_xlfn.PERCENTILE.INC(D1054:D2712, 0.9), "High", "Low")</f>
        <v>Low</v>
      </c>
      <c r="L1054" s="4" t="str">
        <f t="shared" si="2"/>
        <v/>
      </c>
    </row>
    <row r="1055" ht="14.25" customHeight="1">
      <c r="A1055" s="1" t="s">
        <v>5538</v>
      </c>
      <c r="B1055" s="1">
        <v>5.3</v>
      </c>
      <c r="C1055" s="4" t="str">
        <f>IFERROR(__xludf.DUMMYFUNCTION("""COMPUTED_VALUE"""),"James Fargo")</f>
        <v>James Fargo</v>
      </c>
      <c r="D1055" s="4">
        <f t="array" ref="D1055">IFERROR(AVERAGEIFS($B$2:$B$3757, $A$2:$A$3757, C1055:C4809), "")</f>
        <v>6.5</v>
      </c>
      <c r="E1055" s="4">
        <f t="shared" si="1"/>
        <v>45</v>
      </c>
      <c r="F1055" s="4" t="str">
        <f t="array" ref="F1055">IF(D1055&gt;=_xlfn.PERCENTILE.INC(D1055:D2713, 0.9), "High", "Low")</f>
        <v>Low</v>
      </c>
      <c r="L1055" s="4" t="str">
        <f t="shared" si="2"/>
        <v/>
      </c>
    </row>
    <row r="1056" ht="14.25" customHeight="1">
      <c r="A1056" s="1" t="s">
        <v>4006</v>
      </c>
      <c r="B1056" s="1">
        <v>6.0</v>
      </c>
      <c r="C1056" s="4" t="str">
        <f>IFERROR(__xludf.DUMMYFUNCTION("""COMPUTED_VALUE"""),"Kenneth Lonergan")</f>
        <v>Kenneth Lonergan</v>
      </c>
      <c r="D1056" s="4">
        <f t="array" ref="D1056">IFERROR(AVERAGEIFS($B$2:$B$3757, $A$2:$A$3757, C1056:C4810), "")</f>
        <v>7.1</v>
      </c>
      <c r="E1056" s="4">
        <f t="shared" si="1"/>
        <v>70.9</v>
      </c>
      <c r="F1056" s="4" t="str">
        <f t="array" ref="F1056">IF(D1056&gt;=_xlfn.PERCENTILE.INC(D1056:D2714, 0.9), "High", "Low")</f>
        <v>Low</v>
      </c>
      <c r="L1056" s="4" t="str">
        <f t="shared" si="2"/>
        <v/>
      </c>
    </row>
    <row r="1057" ht="14.25" customHeight="1">
      <c r="A1057" s="1" t="s">
        <v>5548</v>
      </c>
      <c r="B1057" s="1">
        <v>5.4</v>
      </c>
      <c r="C1057" s="4" t="str">
        <f>IFERROR(__xludf.DUMMYFUNCTION("""COMPUTED_VALUE"""),"Danny Leiner")</f>
        <v>Danny Leiner</v>
      </c>
      <c r="D1057" s="4">
        <f t="array" ref="D1057">IFERROR(AVERAGEIFS($B$2:$B$3757, $A$2:$A$3757, C1057:C4811), "")</f>
        <v>6.3</v>
      </c>
      <c r="E1057" s="4">
        <f t="shared" si="1"/>
        <v>38.4</v>
      </c>
      <c r="F1057" s="4" t="str">
        <f t="array" ref="F1057">IF(D1057&gt;=_xlfn.PERCENTILE.INC(D1057:D2715, 0.9), "High", "Low")</f>
        <v>Low</v>
      </c>
      <c r="L1057" s="4" t="str">
        <f t="shared" si="2"/>
        <v/>
      </c>
    </row>
    <row r="1058" ht="14.25" customHeight="1">
      <c r="A1058" s="1" t="s">
        <v>5555</v>
      </c>
      <c r="B1058" s="1">
        <v>6.8</v>
      </c>
      <c r="C1058" s="4" t="str">
        <f>IFERROR(__xludf.DUMMYFUNCTION("""COMPUTED_VALUE"""),"Christopher Cain")</f>
        <v>Christopher Cain</v>
      </c>
      <c r="D1058" s="4">
        <f t="array" ref="D1058">IFERROR(AVERAGEIFS($B$2:$B$3757, $A$2:$A$3757, C1058:C4812), "")</f>
        <v>6.8</v>
      </c>
      <c r="E1058" s="4">
        <f t="shared" si="1"/>
        <v>58</v>
      </c>
      <c r="F1058" s="4" t="str">
        <f t="array" ref="F1058">IF(D1058&gt;=_xlfn.PERCENTILE.INC(D1058:D2716, 0.9), "High", "Low")</f>
        <v>Low</v>
      </c>
      <c r="L1058" s="4" t="str">
        <f t="shared" si="2"/>
        <v/>
      </c>
    </row>
    <row r="1059" ht="14.25" customHeight="1">
      <c r="A1059" s="1" t="s">
        <v>5562</v>
      </c>
      <c r="B1059" s="1">
        <v>6.4</v>
      </c>
      <c r="C1059" s="4" t="str">
        <f>IFERROR(__xludf.DUMMYFUNCTION("""COMPUTED_VALUE"""),"Theodore Melfi")</f>
        <v>Theodore Melfi</v>
      </c>
      <c r="D1059" s="4">
        <f t="array" ref="D1059">IFERROR(AVERAGEIFS($B$2:$B$3757, $A$2:$A$3757, C1059:C4813), "")</f>
        <v>7.3</v>
      </c>
      <c r="E1059" s="4">
        <f t="shared" si="1"/>
        <v>80.6</v>
      </c>
      <c r="F1059" s="4" t="str">
        <f t="array" ref="F1059">IF(D1059&gt;=_xlfn.PERCENTILE.INC(D1059:D2717, 0.9), "High", "Low")</f>
        <v>Low</v>
      </c>
      <c r="L1059" s="4" t="str">
        <f t="shared" si="2"/>
        <v/>
      </c>
    </row>
    <row r="1060" ht="14.25" customHeight="1">
      <c r="A1060" s="1" t="s">
        <v>2383</v>
      </c>
      <c r="B1060" s="1">
        <v>7.1</v>
      </c>
      <c r="C1060" s="4" t="str">
        <f>IFERROR(__xludf.DUMMYFUNCTION("""COMPUTED_VALUE"""),"Ed Decter")</f>
        <v>Ed Decter</v>
      </c>
      <c r="D1060" s="4">
        <f t="array" ref="D1060">IFERROR(AVERAGEIFS($B$2:$B$3757, $A$2:$A$3757, C1060:C4814), "")</f>
        <v>5.9</v>
      </c>
      <c r="E1060" s="4">
        <f t="shared" si="1"/>
        <v>25.3</v>
      </c>
      <c r="F1060" s="4" t="str">
        <f t="array" ref="F1060">IF(D1060&gt;=_xlfn.PERCENTILE.INC(D1060:D2718, 0.9), "High", "Low")</f>
        <v>Low</v>
      </c>
      <c r="L1060" s="4" t="str">
        <f t="shared" si="2"/>
        <v/>
      </c>
    </row>
    <row r="1061" ht="14.25" customHeight="1">
      <c r="A1061" s="1" t="s">
        <v>5567</v>
      </c>
      <c r="B1061" s="1">
        <v>4.9</v>
      </c>
      <c r="C1061" s="4" t="str">
        <f>IFERROR(__xludf.DUMMYFUNCTION("""COMPUTED_VALUE"""),"Gene Quintano")</f>
        <v>Gene Quintano</v>
      </c>
      <c r="D1061" s="4">
        <f t="array" ref="D1061">IFERROR(AVERAGEIFS($B$2:$B$3757, $A$2:$A$3757, C1061:C4815), "")</f>
        <v>6.1</v>
      </c>
      <c r="E1061" s="4">
        <f t="shared" si="1"/>
        <v>31.8</v>
      </c>
      <c r="F1061" s="4" t="str">
        <f t="array" ref="F1061">IF(D1061&gt;=_xlfn.PERCENTILE.INC(D1061:D2719, 0.9), "High", "Low")</f>
        <v>Low</v>
      </c>
      <c r="L1061" s="4" t="str">
        <f t="shared" si="2"/>
        <v/>
      </c>
    </row>
    <row r="1062" ht="14.25" customHeight="1">
      <c r="A1062" s="1" t="s">
        <v>5572</v>
      </c>
      <c r="B1062" s="1">
        <v>5.8</v>
      </c>
      <c r="C1062" s="4" t="str">
        <f>IFERROR(__xludf.DUMMYFUNCTION("""COMPUTED_VALUE"""),"Eric Bress")</f>
        <v>Eric Bress</v>
      </c>
      <c r="D1062" s="4">
        <f t="array" ref="D1062">IFERROR(AVERAGEIFS($B$2:$B$3757, $A$2:$A$3757, C1062:C4816), "")</f>
        <v>7.7</v>
      </c>
      <c r="E1062" s="4">
        <f t="shared" si="1"/>
        <v>90.2</v>
      </c>
      <c r="F1062" s="4" t="str">
        <f t="array" ref="F1062">IF(D1062&gt;=_xlfn.PERCENTILE.INC(D1062:D2720, 0.9), "High", "Low")</f>
        <v>High</v>
      </c>
      <c r="L1062" s="4" t="str">
        <f t="shared" si="2"/>
        <v/>
      </c>
    </row>
    <row r="1063" ht="14.25" customHeight="1">
      <c r="A1063" s="1" t="s">
        <v>723</v>
      </c>
      <c r="B1063" s="1">
        <v>7.1</v>
      </c>
      <c r="C1063" s="4" t="str">
        <f>IFERROR(__xludf.DUMMYFUNCTION("""COMPUTED_VALUE"""),"Preston A. Whitmore II")</f>
        <v>Preston A. Whitmore II</v>
      </c>
      <c r="D1063" s="4">
        <f t="array" ref="D1063">IFERROR(AVERAGEIFS($B$2:$B$3757, $A$2:$A$3757, C1063:C4817), "")</f>
        <v>4.1</v>
      </c>
      <c r="E1063" s="4">
        <f t="shared" si="1"/>
        <v>3.8</v>
      </c>
      <c r="F1063" s="4" t="str">
        <f t="array" ref="F1063">IF(D1063&gt;=_xlfn.PERCENTILE.INC(D1063:D2721, 0.9), "High", "Low")</f>
        <v>Low</v>
      </c>
      <c r="L1063" s="4" t="str">
        <f t="shared" si="2"/>
        <v/>
      </c>
    </row>
    <row r="1064" ht="14.25" customHeight="1">
      <c r="A1064" s="1" t="s">
        <v>3617</v>
      </c>
      <c r="B1064" s="1">
        <v>7.2</v>
      </c>
      <c r="C1064" s="4" t="str">
        <f>IFERROR(__xludf.DUMMYFUNCTION("""COMPUTED_VALUE"""),"Kirk Wong")</f>
        <v>Kirk Wong</v>
      </c>
      <c r="D1064" s="4">
        <f t="array" ref="D1064">IFERROR(AVERAGEIFS($B$2:$B$3757, $A$2:$A$3757, C1064:C4818), "")</f>
        <v>6.1</v>
      </c>
      <c r="E1064" s="4">
        <f t="shared" si="1"/>
        <v>31.8</v>
      </c>
      <c r="F1064" s="4" t="str">
        <f t="array" ref="F1064">IF(D1064&gt;=_xlfn.PERCENTILE.INC(D1064:D2722, 0.9), "High", "Low")</f>
        <v>Low</v>
      </c>
      <c r="L1064" s="4" t="str">
        <f t="shared" si="2"/>
        <v/>
      </c>
    </row>
    <row r="1065" ht="14.25" customHeight="1">
      <c r="A1065" s="1" t="s">
        <v>520</v>
      </c>
      <c r="B1065" s="1">
        <v>6.0</v>
      </c>
      <c r="C1065" s="4" t="str">
        <f>IFERROR(__xludf.DUMMYFUNCTION("""COMPUTED_VALUE"""),"Bronwen Hughes")</f>
        <v>Bronwen Hughes</v>
      </c>
      <c r="D1065" s="4">
        <f t="array" ref="D1065">IFERROR(AVERAGEIFS($B$2:$B$3757, $A$2:$A$3757, C1065:C4819), "")</f>
        <v>5.9</v>
      </c>
      <c r="E1065" s="4">
        <f t="shared" si="1"/>
        <v>25.3</v>
      </c>
      <c r="F1065" s="4" t="str">
        <f t="array" ref="F1065">IF(D1065&gt;=_xlfn.PERCENTILE.INC(D1065:D2723, 0.9), "High", "Low")</f>
        <v>Low</v>
      </c>
      <c r="L1065" s="4" t="str">
        <f t="shared" si="2"/>
        <v/>
      </c>
    </row>
    <row r="1066" ht="14.25" customHeight="1">
      <c r="A1066" s="1" t="s">
        <v>4801</v>
      </c>
      <c r="B1066" s="1">
        <v>6.0</v>
      </c>
      <c r="C1066" s="4" t="str">
        <f>IFERROR(__xludf.DUMMYFUNCTION("""COMPUTED_VALUE"""),"John Lafia")</f>
        <v>John Lafia</v>
      </c>
      <c r="D1066" s="4">
        <f t="array" ref="D1066">IFERROR(AVERAGEIFS($B$2:$B$3757, $A$2:$A$3757, C1066:C4820), "")</f>
        <v>5.7</v>
      </c>
      <c r="E1066" s="4">
        <f t="shared" si="1"/>
        <v>21.2</v>
      </c>
      <c r="F1066" s="4" t="str">
        <f t="array" ref="F1066">IF(D1066&gt;=_xlfn.PERCENTILE.INC(D1066:D2724, 0.9), "High", "Low")</f>
        <v>Low</v>
      </c>
      <c r="L1066" s="4" t="str">
        <f t="shared" si="2"/>
        <v/>
      </c>
    </row>
    <row r="1067" ht="14.25" customHeight="1">
      <c r="A1067" s="1" t="s">
        <v>1857</v>
      </c>
      <c r="B1067" s="1">
        <v>7.0</v>
      </c>
      <c r="C1067" s="4" t="str">
        <f>IFERROR(__xludf.DUMMYFUNCTION("""COMPUTED_VALUE"""),"Sam Miller")</f>
        <v>Sam Miller</v>
      </c>
      <c r="D1067" s="4">
        <f t="array" ref="D1067">IFERROR(AVERAGEIFS($B$2:$B$3757, $A$2:$A$3757, C1067:C4821), "")</f>
        <v>5.6</v>
      </c>
      <c r="E1067" s="4">
        <f t="shared" si="1"/>
        <v>18.2</v>
      </c>
      <c r="F1067" s="4" t="str">
        <f t="array" ref="F1067">IF(D1067&gt;=_xlfn.PERCENTILE.INC(D1067:D2725, 0.9), "High", "Low")</f>
        <v>Low</v>
      </c>
      <c r="L1067" s="4" t="str">
        <f t="shared" si="2"/>
        <v/>
      </c>
    </row>
    <row r="1068" ht="14.25" customHeight="1">
      <c r="A1068" s="1" t="s">
        <v>5598</v>
      </c>
      <c r="B1068" s="1">
        <v>5.4</v>
      </c>
      <c r="C1068" s="4" t="str">
        <f>IFERROR(__xludf.DUMMYFUNCTION("""COMPUTED_VALUE"""),"Alex Garland")</f>
        <v>Alex Garland</v>
      </c>
      <c r="D1068" s="4">
        <f t="array" ref="D1068">IFERROR(AVERAGEIFS($B$2:$B$3757, $A$2:$A$3757, C1068:C4822), "")</f>
        <v>7.7</v>
      </c>
      <c r="E1068" s="4">
        <f t="shared" si="1"/>
        <v>90.2</v>
      </c>
      <c r="F1068" s="4" t="str">
        <f t="array" ref="F1068">IF(D1068&gt;=_xlfn.PERCENTILE.INC(D1068:D2726, 0.9), "High", "Low")</f>
        <v>High</v>
      </c>
      <c r="L1068" s="4" t="str">
        <f t="shared" si="2"/>
        <v/>
      </c>
    </row>
    <row r="1069" ht="14.25" customHeight="1">
      <c r="A1069" s="1" t="s">
        <v>155</v>
      </c>
      <c r="B1069" s="1">
        <v>6.5</v>
      </c>
      <c r="C1069" s="4" t="str">
        <f>IFERROR(__xludf.DUMMYFUNCTION("""COMPUTED_VALUE"""),"Mark Brown")</f>
        <v>Mark Brown</v>
      </c>
      <c r="D1069" s="4">
        <f t="array" ref="D1069">IFERROR(AVERAGEIFS($B$2:$B$3757, $A$2:$A$3757, C1069:C4823), "")</f>
        <v>6.1</v>
      </c>
      <c r="E1069" s="4">
        <f t="shared" si="1"/>
        <v>31.6</v>
      </c>
      <c r="F1069" s="4" t="str">
        <f t="array" ref="F1069">IF(D1069&gt;=_xlfn.PERCENTILE.INC(D1069:D2727, 0.9), "High", "Low")</f>
        <v>Low</v>
      </c>
      <c r="L1069" s="4" t="str">
        <f t="shared" si="2"/>
        <v/>
      </c>
    </row>
    <row r="1070" ht="14.25" customHeight="1">
      <c r="A1070" s="1" t="s">
        <v>363</v>
      </c>
      <c r="B1070" s="1">
        <v>6.4</v>
      </c>
      <c r="C1070" s="4" t="str">
        <f>IFERROR(__xludf.DUMMYFUNCTION("""COMPUTED_VALUE"""),"Dave Green")</f>
        <v>Dave Green</v>
      </c>
      <c r="D1070" s="4">
        <f t="array" ref="D1070">IFERROR(AVERAGEIFS($B$2:$B$3757, $A$2:$A$3757, C1070:C4824), "")</f>
        <v>5.8</v>
      </c>
      <c r="E1070" s="4">
        <f t="shared" si="1"/>
        <v>23.4</v>
      </c>
      <c r="F1070" s="4" t="str">
        <f t="array" ref="F1070">IF(D1070&gt;=_xlfn.PERCENTILE.INC(D1070:D2728, 0.9), "High", "Low")</f>
        <v>Low</v>
      </c>
      <c r="L1070" s="4" t="str">
        <f t="shared" si="2"/>
        <v/>
      </c>
    </row>
    <row r="1071" ht="14.25" customHeight="1">
      <c r="A1071" s="1" t="s">
        <v>5615</v>
      </c>
      <c r="B1071" s="1">
        <v>4.9</v>
      </c>
      <c r="C1071" s="4" t="str">
        <f>IFERROR(__xludf.DUMMYFUNCTION("""COMPUTED_VALUE"""),"Michael Polish")</f>
        <v>Michael Polish</v>
      </c>
      <c r="D1071" s="4">
        <f t="array" ref="D1071">IFERROR(AVERAGEIFS($B$2:$B$3757, $A$2:$A$3757, C1071:C4825), "")</f>
        <v>6.15</v>
      </c>
      <c r="E1071" s="4">
        <f t="shared" si="1"/>
        <v>35.6</v>
      </c>
      <c r="F1071" s="4" t="str">
        <f t="array" ref="F1071">IF(D1071&gt;=_xlfn.PERCENTILE.INC(D1071:D2729, 0.9), "High", "Low")</f>
        <v>Low</v>
      </c>
      <c r="L1071" s="4" t="str">
        <f t="shared" si="2"/>
        <v/>
      </c>
    </row>
    <row r="1072" ht="14.25" customHeight="1">
      <c r="A1072" s="1" t="s">
        <v>5620</v>
      </c>
      <c r="B1072" s="1">
        <v>6.3</v>
      </c>
      <c r="C1072" s="4" t="str">
        <f>IFERROR(__xludf.DUMMYFUNCTION("""COMPUTED_VALUE"""),"Lenny Abrahamson")</f>
        <v>Lenny Abrahamson</v>
      </c>
      <c r="D1072" s="4">
        <f t="array" ref="D1072">IFERROR(AVERAGEIFS($B$2:$B$3757, $A$2:$A$3757, C1072:C4826), "")</f>
        <v>8.3</v>
      </c>
      <c r="E1072" s="4">
        <f t="shared" si="1"/>
        <v>98.6</v>
      </c>
      <c r="F1072" s="4" t="str">
        <f t="array" ref="F1072">IF(D1072&gt;=_xlfn.PERCENTILE.INC(D1072:D2730, 0.9), "High", "Low")</f>
        <v>High</v>
      </c>
      <c r="L1072" s="4" t="str">
        <f t="shared" si="2"/>
        <v/>
      </c>
    </row>
    <row r="1073" ht="14.25" customHeight="1">
      <c r="A1073" s="1" t="s">
        <v>5627</v>
      </c>
      <c r="B1073" s="1">
        <v>7.7</v>
      </c>
      <c r="C1073" s="4" t="str">
        <f>IFERROR(__xludf.DUMMYFUNCTION("""COMPUTED_VALUE"""),"Bob Saget")</f>
        <v>Bob Saget</v>
      </c>
      <c r="D1073" s="4">
        <f t="array" ref="D1073">IFERROR(AVERAGEIFS($B$2:$B$3757, $A$2:$A$3757, C1073:C4827), "")</f>
        <v>6.4</v>
      </c>
      <c r="E1073" s="4">
        <f t="shared" si="1"/>
        <v>41.7</v>
      </c>
      <c r="F1073" s="4" t="str">
        <f t="array" ref="F1073">IF(D1073&gt;=_xlfn.PERCENTILE.INC(D1073:D2731, 0.9), "High", "Low")</f>
        <v>Low</v>
      </c>
      <c r="L1073" s="4" t="str">
        <f t="shared" si="2"/>
        <v/>
      </c>
    </row>
    <row r="1074" ht="14.25" customHeight="1">
      <c r="A1074" s="1" t="s">
        <v>2342</v>
      </c>
      <c r="B1074" s="1">
        <v>7.8</v>
      </c>
      <c r="C1074" s="4" t="str">
        <f>IFERROR(__xludf.DUMMYFUNCTION("""COMPUTED_VALUE"""),"John Waters")</f>
        <v>John Waters</v>
      </c>
      <c r="D1074" s="4">
        <f t="array" ref="D1074">IFERROR(AVERAGEIFS($B$2:$B$3757, $A$2:$A$3757, C1074:C4828), "")</f>
        <v>6.333333333</v>
      </c>
      <c r="E1074" s="4">
        <f t="shared" si="1"/>
        <v>41.1</v>
      </c>
      <c r="F1074" s="4" t="str">
        <f t="array" ref="F1074">IF(D1074&gt;=_xlfn.PERCENTILE.INC(D1074:D2732, 0.9), "High", "Low")</f>
        <v>Low</v>
      </c>
      <c r="L1074" s="4" t="str">
        <f t="shared" si="2"/>
        <v/>
      </c>
    </row>
    <row r="1075" ht="14.25" customHeight="1">
      <c r="A1075" s="1" t="s">
        <v>2976</v>
      </c>
      <c r="B1075" s="1">
        <v>5.5</v>
      </c>
      <c r="C1075" s="4" t="str">
        <f>IFERROR(__xludf.DUMMYFUNCTION("""COMPUTED_VALUE"""),"Craig Bolotin")</f>
        <v>Craig Bolotin</v>
      </c>
      <c r="D1075" s="4">
        <f t="array" ref="D1075">IFERROR(AVERAGEIFS($B$2:$B$3757, $A$2:$A$3757, C1075:C4829), "")</f>
        <v>6</v>
      </c>
      <c r="E1075" s="4">
        <f t="shared" si="1"/>
        <v>29.2</v>
      </c>
      <c r="F1075" s="4" t="str">
        <f t="array" ref="F1075">IF(D1075&gt;=_xlfn.PERCENTILE.INC(D1075:D2733, 0.9), "High", "Low")</f>
        <v>Low</v>
      </c>
      <c r="L1075" s="4" t="str">
        <f t="shared" si="2"/>
        <v/>
      </c>
    </row>
    <row r="1076" ht="14.25" customHeight="1">
      <c r="A1076" s="1" t="s">
        <v>2962</v>
      </c>
      <c r="B1076" s="1">
        <v>7.5</v>
      </c>
      <c r="C1076" s="4" t="str">
        <f>IFERROR(__xludf.DUMMYFUNCTION("""COMPUTED_VALUE"""),"Mark Christopher")</f>
        <v>Mark Christopher</v>
      </c>
      <c r="D1076" s="4">
        <f t="array" ref="D1076">IFERROR(AVERAGEIFS($B$2:$B$3757, $A$2:$A$3757, C1076:C4830), "")</f>
        <v>5.8</v>
      </c>
      <c r="E1076" s="4">
        <f t="shared" si="1"/>
        <v>23.6</v>
      </c>
      <c r="F1076" s="4" t="str">
        <f t="array" ref="F1076">IF(D1076&gt;=_xlfn.PERCENTILE.INC(D1076:D2734, 0.9), "High", "Low")</f>
        <v>Low</v>
      </c>
      <c r="L1076" s="4" t="str">
        <f t="shared" si="2"/>
        <v/>
      </c>
    </row>
    <row r="1077" ht="14.25" customHeight="1">
      <c r="A1077" s="1" t="s">
        <v>5615</v>
      </c>
      <c r="B1077" s="1">
        <v>6.4</v>
      </c>
      <c r="C1077" s="4" t="str">
        <f>IFERROR(__xludf.DUMMYFUNCTION("""COMPUTED_VALUE"""),"Blair Hayes")</f>
        <v>Blair Hayes</v>
      </c>
      <c r="D1077" s="4">
        <f t="array" ref="D1077">IFERROR(AVERAGEIFS($B$2:$B$3757, $A$2:$A$3757, C1077:C4831), "")</f>
        <v>5.6</v>
      </c>
      <c r="E1077" s="4">
        <f t="shared" si="1"/>
        <v>18.5</v>
      </c>
      <c r="F1077" s="4" t="str">
        <f t="array" ref="F1077">IF(D1077&gt;=_xlfn.PERCENTILE.INC(D1077:D2735, 0.9), "High", "Low")</f>
        <v>Low</v>
      </c>
      <c r="L1077" s="4" t="str">
        <f t="shared" si="2"/>
        <v/>
      </c>
    </row>
    <row r="1078" ht="14.25" customHeight="1">
      <c r="A1078" s="1" t="s">
        <v>5649</v>
      </c>
      <c r="B1078" s="1">
        <v>5.6</v>
      </c>
      <c r="C1078" s="4" t="str">
        <f>IFERROR(__xludf.DUMMYFUNCTION("""COMPUTED_VALUE"""),"Jez Butterworth")</f>
        <v>Jez Butterworth</v>
      </c>
      <c r="D1078" s="4">
        <f t="array" ref="D1078">IFERROR(AVERAGEIFS($B$2:$B$3757, $A$2:$A$3757, C1078:C4832), "")</f>
        <v>6.1</v>
      </c>
      <c r="E1078" s="4">
        <f t="shared" si="1"/>
        <v>31.4</v>
      </c>
      <c r="F1078" s="4" t="str">
        <f t="array" ref="F1078">IF(D1078&gt;=_xlfn.PERCENTILE.INC(D1078:D2736, 0.9), "High", "Low")</f>
        <v>Low</v>
      </c>
      <c r="L1078" s="4" t="str">
        <f t="shared" si="2"/>
        <v/>
      </c>
    </row>
    <row r="1079" ht="14.25" customHeight="1">
      <c r="A1079" s="1" t="s">
        <v>5653</v>
      </c>
      <c r="B1079" s="1">
        <v>7.5</v>
      </c>
      <c r="C1079" s="4" t="str">
        <f>IFERROR(__xludf.DUMMYFUNCTION("""COMPUTED_VALUE"""),"Jon Lucas")</f>
        <v>Jon Lucas</v>
      </c>
      <c r="D1079" s="4">
        <f t="array" ref="D1079">IFERROR(AVERAGEIFS($B$2:$B$3757, $A$2:$A$3757, C1079:C4833), "")</f>
        <v>5.9</v>
      </c>
      <c r="E1079" s="4">
        <f t="shared" si="1"/>
        <v>25.1</v>
      </c>
      <c r="F1079" s="4" t="str">
        <f t="array" ref="F1079">IF(D1079&gt;=_xlfn.PERCENTILE.INC(D1079:D2737, 0.9), "High", "Low")</f>
        <v>Low</v>
      </c>
      <c r="L1079" s="4" t="str">
        <f t="shared" si="2"/>
        <v/>
      </c>
    </row>
    <row r="1080" ht="14.25" customHeight="1">
      <c r="A1080" s="1" t="s">
        <v>5662</v>
      </c>
      <c r="B1080" s="1">
        <v>6.8</v>
      </c>
      <c r="C1080" s="4" t="str">
        <f>IFERROR(__xludf.DUMMYFUNCTION("""COMPUTED_VALUE"""),"Olivier Assayas")</f>
        <v>Olivier Assayas</v>
      </c>
      <c r="D1080" s="4">
        <f t="array" ref="D1080">IFERROR(AVERAGEIFS($B$2:$B$3757, $A$2:$A$3757, C1080:C4834), "")</f>
        <v>7.1</v>
      </c>
      <c r="E1080" s="4">
        <f t="shared" si="1"/>
        <v>70.6</v>
      </c>
      <c r="F1080" s="4" t="str">
        <f t="array" ref="F1080">IF(D1080&gt;=_xlfn.PERCENTILE.INC(D1080:D2738, 0.9), "High", "Low")</f>
        <v>Low</v>
      </c>
      <c r="L1080" s="4" t="str">
        <f t="shared" si="2"/>
        <v/>
      </c>
    </row>
    <row r="1081" ht="14.25" customHeight="1">
      <c r="A1081" s="1" t="s">
        <v>1539</v>
      </c>
      <c r="B1081" s="1">
        <v>6.8</v>
      </c>
      <c r="C1081" s="4" t="str">
        <f>IFERROR(__xludf.DUMMYFUNCTION("""COMPUTED_VALUE"""),"Patrice Leconte")</f>
        <v>Patrice Leconte</v>
      </c>
      <c r="D1081" s="4">
        <f t="array" ref="D1081">IFERROR(AVERAGEIFS($B$2:$B$3757, $A$2:$A$3757, C1081:C4835), "")</f>
        <v>7.3</v>
      </c>
      <c r="E1081" s="4">
        <f t="shared" si="1"/>
        <v>80.5</v>
      </c>
      <c r="F1081" s="4" t="str">
        <f t="array" ref="F1081">IF(D1081&gt;=_xlfn.PERCENTILE.INC(D1081:D2739, 0.9), "High", "Low")</f>
        <v>Low</v>
      </c>
      <c r="L1081" s="4" t="str">
        <f t="shared" si="2"/>
        <v/>
      </c>
    </row>
    <row r="1082" ht="14.25" customHeight="1">
      <c r="A1082" s="1" t="s">
        <v>5671</v>
      </c>
      <c r="B1082" s="1">
        <v>6.0</v>
      </c>
      <c r="C1082" s="4" t="str">
        <f>IFERROR(__xludf.DUMMYFUNCTION("""COMPUTED_VALUE"""),"Paul Mazursky")</f>
        <v>Paul Mazursky</v>
      </c>
      <c r="D1082" s="4">
        <f t="array" ref="D1082">IFERROR(AVERAGEIFS($B$2:$B$3757, $A$2:$A$3757, C1082:C4836), "")</f>
        <v>5.9</v>
      </c>
      <c r="E1082" s="4">
        <f t="shared" si="1"/>
        <v>25.2</v>
      </c>
      <c r="F1082" s="4" t="str">
        <f t="array" ref="F1082">IF(D1082&gt;=_xlfn.PERCENTILE.INC(D1082:D2740, 0.9), "High", "Low")</f>
        <v>Low</v>
      </c>
      <c r="L1082" s="4" t="str">
        <f t="shared" si="2"/>
        <v/>
      </c>
    </row>
    <row r="1083" ht="14.25" customHeight="1">
      <c r="A1083" s="1" t="s">
        <v>5676</v>
      </c>
      <c r="B1083" s="1">
        <v>7.3</v>
      </c>
      <c r="C1083" s="4" t="str">
        <f>IFERROR(__xludf.DUMMYFUNCTION("""COMPUTED_VALUE"""),"Stephen Chbosky")</f>
        <v>Stephen Chbosky</v>
      </c>
      <c r="D1083" s="4">
        <f t="array" ref="D1083">IFERROR(AVERAGEIFS($B$2:$B$3757, $A$2:$A$3757, C1083:C4837), "")</f>
        <v>8</v>
      </c>
      <c r="E1083" s="4">
        <f t="shared" si="1"/>
        <v>96.7</v>
      </c>
      <c r="F1083" s="4" t="str">
        <f t="array" ref="F1083">IF(D1083&gt;=_xlfn.PERCENTILE.INC(D1083:D2741, 0.9), "High", "Low")</f>
        <v>High</v>
      </c>
      <c r="L1083" s="4" t="str">
        <f t="shared" si="2"/>
        <v/>
      </c>
    </row>
    <row r="1084" ht="14.25" customHeight="1">
      <c r="A1084" s="1" t="s">
        <v>3116</v>
      </c>
      <c r="B1084" s="1">
        <v>6.0</v>
      </c>
      <c r="C1084" s="4" t="str">
        <f>IFERROR(__xludf.DUMMYFUNCTION("""COMPUTED_VALUE"""),"Jon Hess")</f>
        <v>Jon Hess</v>
      </c>
      <c r="D1084" s="4">
        <f t="array" ref="D1084">IFERROR(AVERAGEIFS($B$2:$B$3757, $A$2:$A$3757, C1084:C4838), "")</f>
        <v>5.1</v>
      </c>
      <c r="E1084" s="4">
        <f t="shared" si="1"/>
        <v>9.5</v>
      </c>
      <c r="F1084" s="4" t="str">
        <f t="array" ref="F1084">IF(D1084&gt;=_xlfn.PERCENTILE.INC(D1084:D2742, 0.9), "High", "Low")</f>
        <v>Low</v>
      </c>
      <c r="L1084" s="4" t="str">
        <f t="shared" si="2"/>
        <v/>
      </c>
    </row>
    <row r="1085" ht="14.25" customHeight="1">
      <c r="A1085" s="1" t="s">
        <v>1077</v>
      </c>
      <c r="B1085" s="1">
        <v>7.0</v>
      </c>
      <c r="C1085" s="4" t="str">
        <f>IFERROR(__xludf.DUMMYFUNCTION("""COMPUTED_VALUE"""),"Joe Cornish")</f>
        <v>Joe Cornish</v>
      </c>
      <c r="D1085" s="4">
        <f t="array" ref="D1085">IFERROR(AVERAGEIFS($B$2:$B$3757, $A$2:$A$3757, C1085:C4839), "")</f>
        <v>6.6</v>
      </c>
      <c r="E1085" s="4">
        <f t="shared" si="1"/>
        <v>48.6</v>
      </c>
      <c r="F1085" s="4" t="str">
        <f t="array" ref="F1085">IF(D1085&gt;=_xlfn.PERCENTILE.INC(D1085:D2743, 0.9), "High", "Low")</f>
        <v>Low</v>
      </c>
      <c r="L1085" s="4" t="str">
        <f t="shared" si="2"/>
        <v/>
      </c>
    </row>
    <row r="1086" ht="14.25" customHeight="1">
      <c r="A1086" s="1" t="s">
        <v>5688</v>
      </c>
      <c r="B1086" s="1">
        <v>5.1</v>
      </c>
      <c r="C1086" s="4" t="str">
        <f>IFERROR(__xludf.DUMMYFUNCTION("""COMPUTED_VALUE"""),"John Stainton")</f>
        <v>John Stainton</v>
      </c>
      <c r="D1086" s="4">
        <f t="array" ref="D1086">IFERROR(AVERAGEIFS($B$2:$B$3757, $A$2:$A$3757, C1086:C4840), "")</f>
        <v>5.4</v>
      </c>
      <c r="E1086" s="4">
        <f t="shared" si="1"/>
        <v>15.3</v>
      </c>
      <c r="F1086" s="4" t="str">
        <f t="array" ref="F1086">IF(D1086&gt;=_xlfn.PERCENTILE.INC(D1086:D2744, 0.9), "High", "Low")</f>
        <v>Low</v>
      </c>
      <c r="L1086" s="4" t="str">
        <f t="shared" si="2"/>
        <v/>
      </c>
    </row>
    <row r="1087" ht="14.25" customHeight="1">
      <c r="A1087" s="1" t="s">
        <v>2128</v>
      </c>
      <c r="B1087" s="1">
        <v>6.8</v>
      </c>
      <c r="C1087" s="4" t="str">
        <f>IFERROR(__xludf.DUMMYFUNCTION("""COMPUTED_VALUE"""),"Stewart Hendler")</f>
        <v>Stewart Hendler</v>
      </c>
      <c r="D1087" s="4">
        <f t="array" ref="D1087">IFERROR(AVERAGEIFS($B$2:$B$3757, $A$2:$A$3757, C1087:C4841), "")</f>
        <v>5.1</v>
      </c>
      <c r="E1087" s="4">
        <f t="shared" si="1"/>
        <v>9.6</v>
      </c>
      <c r="F1087" s="4" t="str">
        <f t="array" ref="F1087">IF(D1087&gt;=_xlfn.PERCENTILE.INC(D1087:D2745, 0.9), "High", "Low")</f>
        <v>Low</v>
      </c>
      <c r="L1087" s="4" t="str">
        <f t="shared" si="2"/>
        <v/>
      </c>
    </row>
    <row r="1088" ht="14.25" customHeight="1">
      <c r="A1088" s="1" t="s">
        <v>5699</v>
      </c>
      <c r="B1088" s="1">
        <v>6.5</v>
      </c>
      <c r="C1088" s="4" t="str">
        <f>IFERROR(__xludf.DUMMYFUNCTION("""COMPUTED_VALUE"""),"Mark Herman")</f>
        <v>Mark Herman</v>
      </c>
      <c r="D1088" s="4">
        <f t="array" ref="D1088">IFERROR(AVERAGEIFS($B$2:$B$3757, $A$2:$A$3757, C1088:C4842), "")</f>
        <v>7.8</v>
      </c>
      <c r="E1088" s="4">
        <f t="shared" si="1"/>
        <v>93.9</v>
      </c>
      <c r="F1088" s="4" t="str">
        <f t="array" ref="F1088">IF(D1088&gt;=_xlfn.PERCENTILE.INC(D1088:D2746, 0.9), "High", "Low")</f>
        <v>High</v>
      </c>
      <c r="L1088" s="4" t="str">
        <f t="shared" si="2"/>
        <v/>
      </c>
    </row>
    <row r="1089" ht="14.25" customHeight="1">
      <c r="A1089" s="1" t="s">
        <v>1700</v>
      </c>
      <c r="B1089" s="1">
        <v>6.6</v>
      </c>
      <c r="C1089" s="4" t="str">
        <f>IFERROR(__xludf.DUMMYFUNCTION("""COMPUTED_VALUE"""),"Abel Ferrara")</f>
        <v>Abel Ferrara</v>
      </c>
      <c r="D1089" s="4">
        <f t="array" ref="D1089">IFERROR(AVERAGEIFS($B$2:$B$3757, $A$2:$A$3757, C1089:C4843), "")</f>
        <v>6.6</v>
      </c>
      <c r="E1089" s="4">
        <f t="shared" si="1"/>
        <v>48.6</v>
      </c>
      <c r="F1089" s="4" t="str">
        <f t="array" ref="F1089">IF(D1089&gt;=_xlfn.PERCENTILE.INC(D1089:D2747, 0.9), "High", "Low")</f>
        <v>Low</v>
      </c>
      <c r="L1089" s="4" t="str">
        <f t="shared" si="2"/>
        <v/>
      </c>
    </row>
    <row r="1090" ht="14.25" customHeight="1">
      <c r="A1090" s="1" t="s">
        <v>2018</v>
      </c>
      <c r="B1090" s="1">
        <v>7.2</v>
      </c>
      <c r="C1090" s="4" t="str">
        <f>IFERROR(__xludf.DUMMYFUNCTION("""COMPUTED_VALUE"""),"Brian Koppelman")</f>
        <v>Brian Koppelman</v>
      </c>
      <c r="D1090" s="4">
        <f t="array" ref="D1090">IFERROR(AVERAGEIFS($B$2:$B$3757, $A$2:$A$3757, C1090:C4844), "")</f>
        <v>6.4</v>
      </c>
      <c r="E1090" s="4">
        <f t="shared" si="1"/>
        <v>41.2</v>
      </c>
      <c r="F1090" s="4" t="str">
        <f t="array" ref="F1090">IF(D1090&gt;=_xlfn.PERCENTILE.INC(D1090:D2748, 0.9), "High", "Low")</f>
        <v>Low</v>
      </c>
      <c r="L1090" s="4" t="str">
        <f t="shared" si="2"/>
        <v/>
      </c>
    </row>
    <row r="1091" ht="14.25" customHeight="1">
      <c r="A1091" s="1" t="s">
        <v>5415</v>
      </c>
      <c r="B1091" s="1">
        <v>7.0</v>
      </c>
      <c r="C1091" s="4" t="str">
        <f>IFERROR(__xludf.DUMMYFUNCTION("""COMPUTED_VALUE"""),"Ethan Maniquis")</f>
        <v>Ethan Maniquis</v>
      </c>
      <c r="D1091" s="4">
        <f t="array" ref="D1091">IFERROR(AVERAGEIFS($B$2:$B$3757, $A$2:$A$3757, C1091:C4845), "")</f>
        <v>6.7</v>
      </c>
      <c r="E1091" s="4">
        <f t="shared" si="1"/>
        <v>52.3</v>
      </c>
      <c r="F1091" s="4" t="str">
        <f t="array" ref="F1091">IF(D1091&gt;=_xlfn.PERCENTILE.INC(D1091:D2749, 0.9), "High", "Low")</f>
        <v>Low</v>
      </c>
      <c r="L1091" s="4" t="str">
        <f t="shared" si="2"/>
        <v/>
      </c>
    </row>
    <row r="1092" ht="14.25" customHeight="1">
      <c r="A1092" s="1" t="s">
        <v>4494</v>
      </c>
      <c r="B1092" s="1">
        <v>7.0</v>
      </c>
      <c r="C1092" s="4" t="str">
        <f>IFERROR(__xludf.DUMMYFUNCTION("""COMPUTED_VALUE"""),"George Hickenlooper")</f>
        <v>George Hickenlooper</v>
      </c>
      <c r="D1092" s="4">
        <f t="array" ref="D1092">IFERROR(AVERAGEIFS($B$2:$B$3757, $A$2:$A$3757, C1092:C4846), "")</f>
        <v>6.3</v>
      </c>
      <c r="E1092" s="4">
        <f t="shared" si="1"/>
        <v>40.6</v>
      </c>
      <c r="F1092" s="4" t="str">
        <f t="array" ref="F1092">IF(D1092&gt;=_xlfn.PERCENTILE.INC(D1092:D2750, 0.9), "High", "Low")</f>
        <v>Low</v>
      </c>
      <c r="L1092" s="4" t="str">
        <f t="shared" si="2"/>
        <v/>
      </c>
    </row>
    <row r="1093" ht="14.25" customHeight="1">
      <c r="A1093" s="1" t="s">
        <v>5722</v>
      </c>
      <c r="B1093" s="1">
        <v>5.9</v>
      </c>
      <c r="C1093" s="4" t="str">
        <f>IFERROR(__xludf.DUMMYFUNCTION("""COMPUTED_VALUE"""),"Je-kyu Kang")</f>
        <v>Je-kyu Kang</v>
      </c>
      <c r="D1093" s="4">
        <f t="array" ref="D1093">IFERROR(AVERAGEIFS($B$2:$B$3757, $A$2:$A$3757, C1093:C4847), "")</f>
        <v>8.1</v>
      </c>
      <c r="E1093" s="4">
        <f t="shared" si="1"/>
        <v>97.2</v>
      </c>
      <c r="F1093" s="4" t="str">
        <f t="array" ref="F1093">IF(D1093&gt;=_xlfn.PERCENTILE.INC(D1093:D2751, 0.9), "High", "Low")</f>
        <v>High</v>
      </c>
      <c r="L1093" s="4" t="str">
        <f t="shared" si="2"/>
        <v/>
      </c>
    </row>
    <row r="1094" ht="14.25" customHeight="1">
      <c r="A1094" s="1" t="s">
        <v>5727</v>
      </c>
      <c r="B1094" s="1">
        <v>5.4</v>
      </c>
      <c r="C1094" s="4" t="str">
        <f>IFERROR(__xludf.DUMMYFUNCTION("""COMPUTED_VALUE"""),"William Dear")</f>
        <v>William Dear</v>
      </c>
      <c r="D1094" s="4">
        <f t="array" ref="D1094">IFERROR(AVERAGEIFS($B$2:$B$3757, $A$2:$A$3757, C1094:C4848), "")</f>
        <v>7</v>
      </c>
      <c r="E1094" s="4">
        <f t="shared" si="1"/>
        <v>65.6</v>
      </c>
      <c r="F1094" s="4" t="str">
        <f t="array" ref="F1094">IF(D1094&gt;=_xlfn.PERCENTILE.INC(D1094:D2752, 0.9), "High", "Low")</f>
        <v>Low</v>
      </c>
      <c r="L1094" s="4" t="str">
        <f t="shared" si="2"/>
        <v/>
      </c>
    </row>
    <row r="1095" ht="14.25" customHeight="1">
      <c r="A1095" s="1" t="s">
        <v>932</v>
      </c>
      <c r="B1095" s="1">
        <v>6.6</v>
      </c>
      <c r="C1095" s="4" t="str">
        <f>IFERROR(__xludf.DUMMYFUNCTION("""COMPUTED_VALUE"""),"StÃ©phane Aubier")</f>
        <v>StÃ©phane Aubier</v>
      </c>
      <c r="D1095" s="4">
        <f t="array" ref="D1095">IFERROR(AVERAGEIFS($B$2:$B$3757, $A$2:$A$3757, C1095:C4849), "")</f>
        <v>7.9</v>
      </c>
      <c r="E1095" s="4">
        <f t="shared" si="1"/>
        <v>95.8</v>
      </c>
      <c r="F1095" s="4" t="str">
        <f t="array" ref="F1095">IF(D1095&gt;=_xlfn.PERCENTILE.INC(D1095:D2753, 0.9), "High", "Low")</f>
        <v>High</v>
      </c>
      <c r="L1095" s="4" t="str">
        <f t="shared" si="2"/>
        <v/>
      </c>
    </row>
    <row r="1096" ht="14.25" customHeight="1">
      <c r="A1096" s="1" t="s">
        <v>5736</v>
      </c>
      <c r="B1096" s="1">
        <v>7.0</v>
      </c>
      <c r="C1096" s="4" t="str">
        <f>IFERROR(__xludf.DUMMYFUNCTION("""COMPUTED_VALUE"""),"John Badham")</f>
        <v>John Badham</v>
      </c>
      <c r="D1096" s="4">
        <f t="array" ref="D1096">IFERROR(AVERAGEIFS($B$2:$B$3757, $A$2:$A$3757, C1096:C4850), "")</f>
        <v>7.1</v>
      </c>
      <c r="E1096" s="4">
        <f t="shared" si="1"/>
        <v>70.8</v>
      </c>
      <c r="F1096" s="4" t="str">
        <f t="array" ref="F1096">IF(D1096&gt;=_xlfn.PERCENTILE.INC(D1096:D2754, 0.9), "High", "Low")</f>
        <v>Low</v>
      </c>
      <c r="L1096" s="4" t="str">
        <f t="shared" si="2"/>
        <v/>
      </c>
    </row>
    <row r="1097" ht="14.25" customHeight="1">
      <c r="A1097" s="1" t="s">
        <v>1549</v>
      </c>
      <c r="B1097" s="1">
        <v>6.5</v>
      </c>
      <c r="C1097" s="4" t="str">
        <f>IFERROR(__xludf.DUMMYFUNCTION("""COMPUTED_VALUE"""),"Mike McCoy")</f>
        <v>Mike McCoy</v>
      </c>
      <c r="D1097" s="4">
        <f t="array" ref="D1097">IFERROR(AVERAGEIFS($B$2:$B$3757, $A$2:$A$3757, C1097:C4851), "")</f>
        <v>6.5</v>
      </c>
      <c r="E1097" s="4">
        <f t="shared" si="1"/>
        <v>44.1</v>
      </c>
      <c r="F1097" s="4" t="str">
        <f t="array" ref="F1097">IF(D1097&gt;=_xlfn.PERCENTILE.INC(D1097:D2755, 0.9), "High", "Low")</f>
        <v>Low</v>
      </c>
      <c r="L1097" s="4" t="str">
        <f t="shared" si="2"/>
        <v/>
      </c>
    </row>
    <row r="1098" ht="14.25" customHeight="1">
      <c r="A1098" s="1" t="s">
        <v>4985</v>
      </c>
      <c r="B1098" s="1">
        <v>6.3</v>
      </c>
      <c r="C1098" s="4" t="str">
        <f>IFERROR(__xludf.DUMMYFUNCTION("""COMPUTED_VALUE"""),"Mike Judge")</f>
        <v>Mike Judge</v>
      </c>
      <c r="D1098" s="4">
        <f t="array" ref="D1098">IFERROR(AVERAGEIFS($B$2:$B$3757, $A$2:$A$3757, C1098:C4852), "")</f>
        <v>6.933333333</v>
      </c>
      <c r="E1098" s="4">
        <f t="shared" si="1"/>
        <v>65.5</v>
      </c>
      <c r="F1098" s="4" t="str">
        <f t="array" ref="F1098">IF(D1098&gt;=_xlfn.PERCENTILE.INC(D1098:D2756, 0.9), "High", "Low")</f>
        <v>Low</v>
      </c>
      <c r="L1098" s="4" t="str">
        <f t="shared" si="2"/>
        <v/>
      </c>
    </row>
    <row r="1099" ht="14.25" customHeight="1">
      <c r="A1099" s="1" t="s">
        <v>5751</v>
      </c>
      <c r="B1099" s="1">
        <v>6.5</v>
      </c>
      <c r="C1099" s="4" t="str">
        <f>IFERROR(__xludf.DUMMYFUNCTION("""COMPUTED_VALUE"""),"Tamra Davis")</f>
        <v>Tamra Davis</v>
      </c>
      <c r="D1099" s="4">
        <f t="array" ref="D1099">IFERROR(AVERAGEIFS($B$2:$B$3757, $A$2:$A$3757, C1099:C4853), "")</f>
        <v>4.433333333</v>
      </c>
      <c r="E1099" s="4">
        <f t="shared" si="1"/>
        <v>5.7</v>
      </c>
      <c r="F1099" s="4" t="str">
        <f t="array" ref="F1099">IF(D1099&gt;=_xlfn.PERCENTILE.INC(D1099:D2757, 0.9), "High", "Low")</f>
        <v>Low</v>
      </c>
      <c r="L1099" s="4" t="str">
        <f t="shared" si="2"/>
        <v/>
      </c>
    </row>
    <row r="1100" ht="14.25" customHeight="1">
      <c r="A1100" s="1" t="s">
        <v>5756</v>
      </c>
      <c r="B1100" s="1">
        <v>6.5</v>
      </c>
      <c r="C1100" s="4" t="str">
        <f>IFERROR(__xludf.DUMMYFUNCTION("""COMPUTED_VALUE"""),"Nima Nourizadeh")</f>
        <v>Nima Nourizadeh</v>
      </c>
      <c r="D1100" s="4">
        <f t="array" ref="D1100">IFERROR(AVERAGEIFS($B$2:$B$3757, $A$2:$A$3757, C1100:C4854), "")</f>
        <v>6.7</v>
      </c>
      <c r="E1100" s="4">
        <f t="shared" si="1"/>
        <v>52.6</v>
      </c>
      <c r="F1100" s="4" t="str">
        <f t="array" ref="F1100">IF(D1100&gt;=_xlfn.PERCENTILE.INC(D1100:D2758, 0.9), "High", "Low")</f>
        <v>Low</v>
      </c>
      <c r="L1100" s="4" t="str">
        <f t="shared" si="2"/>
        <v/>
      </c>
    </row>
    <row r="1101" ht="14.25" customHeight="1">
      <c r="A1101" s="1" t="s">
        <v>3531</v>
      </c>
      <c r="B1101" s="1">
        <v>5.8</v>
      </c>
      <c r="C1101" s="4" t="str">
        <f>IFERROR(__xludf.DUMMYFUNCTION("""COMPUTED_VALUE"""),"John Erick Dowdle")</f>
        <v>John Erick Dowdle</v>
      </c>
      <c r="D1101" s="4">
        <f t="array" ref="D1101">IFERROR(AVERAGEIFS($B$2:$B$3757, $A$2:$A$3757, C1101:C4855), "")</f>
        <v>6.3</v>
      </c>
      <c r="E1101" s="4">
        <f t="shared" si="1"/>
        <v>37.9</v>
      </c>
      <c r="F1101" s="4" t="str">
        <f t="array" ref="F1101">IF(D1101&gt;=_xlfn.PERCENTILE.INC(D1101:D2759, 0.9), "High", "Low")</f>
        <v>Low</v>
      </c>
      <c r="L1101" s="4" t="str">
        <f t="shared" si="2"/>
        <v/>
      </c>
    </row>
    <row r="1102" ht="14.25" customHeight="1">
      <c r="A1102" s="1" t="s">
        <v>5767</v>
      </c>
      <c r="B1102" s="1">
        <v>6.6</v>
      </c>
      <c r="C1102" s="4" t="str">
        <f>IFERROR(__xludf.DUMMYFUNCTION("""COMPUTED_VALUE"""),"David Moreau")</f>
        <v>David Moreau</v>
      </c>
      <c r="D1102" s="4">
        <f t="array" ref="D1102">IFERROR(AVERAGEIFS($B$2:$B$3757, $A$2:$A$3757, C1102:C4856), "")</f>
        <v>5.4</v>
      </c>
      <c r="E1102" s="4">
        <f t="shared" si="1"/>
        <v>15.4</v>
      </c>
      <c r="F1102" s="4" t="str">
        <f t="array" ref="F1102">IF(D1102&gt;=_xlfn.PERCENTILE.INC(D1102:D2760, 0.9), "High", "Low")</f>
        <v>Low</v>
      </c>
      <c r="L1102" s="4" t="str">
        <f t="shared" si="2"/>
        <v/>
      </c>
    </row>
    <row r="1103" ht="14.25" customHeight="1">
      <c r="A1103" s="1" t="s">
        <v>5773</v>
      </c>
      <c r="B1103" s="1">
        <v>5.4</v>
      </c>
      <c r="C1103" s="4" t="str">
        <f>IFERROR(__xludf.DUMMYFUNCTION("""COMPUTED_VALUE"""),"Christopher Erskin")</f>
        <v>Christopher Erskin</v>
      </c>
      <c r="D1103" s="4">
        <f t="array" ref="D1103">IFERROR(AVERAGEIFS($B$2:$B$3757, $A$2:$A$3757, C1103:C4857), "")</f>
        <v>4.3</v>
      </c>
      <c r="E1103" s="4">
        <f t="shared" si="1"/>
        <v>4.8</v>
      </c>
      <c r="F1103" s="4" t="str">
        <f t="array" ref="F1103">IF(D1103&gt;=_xlfn.PERCENTILE.INC(D1103:D2761, 0.9), "High", "Low")</f>
        <v>Low</v>
      </c>
      <c r="L1103" s="4" t="str">
        <f t="shared" si="2"/>
        <v/>
      </c>
    </row>
    <row r="1104" ht="14.25" customHeight="1">
      <c r="A1104" s="1" t="s">
        <v>5777</v>
      </c>
      <c r="B1104" s="1">
        <v>6.1</v>
      </c>
      <c r="C1104" s="4" t="str">
        <f>IFERROR(__xludf.DUMMYFUNCTION("""COMPUTED_VALUE"""),"Brian Henson")</f>
        <v>Brian Henson</v>
      </c>
      <c r="D1104" s="4">
        <f t="array" ref="D1104">IFERROR(AVERAGEIFS($B$2:$B$3757, $A$2:$A$3757, C1104:C4858), "")</f>
        <v>7.7</v>
      </c>
      <c r="E1104" s="4">
        <f t="shared" si="1"/>
        <v>90.7</v>
      </c>
      <c r="F1104" s="4" t="str">
        <f t="array" ref="F1104">IF(D1104&gt;=_xlfn.PERCENTILE.INC(D1104:D2762, 0.9), "High", "Low")</f>
        <v>High</v>
      </c>
      <c r="L1104" s="4" t="str">
        <f t="shared" si="2"/>
        <v/>
      </c>
    </row>
    <row r="1105" ht="14.25" customHeight="1">
      <c r="A1105" s="1" t="s">
        <v>5781</v>
      </c>
      <c r="B1105" s="1">
        <v>4.0</v>
      </c>
      <c r="C1105" s="4" t="str">
        <f>IFERROR(__xludf.DUMMYFUNCTION("""COMPUTED_VALUE"""),"Dan Cutforth")</f>
        <v>Dan Cutforth</v>
      </c>
      <c r="D1105" s="4">
        <f t="array" ref="D1105">IFERROR(AVERAGEIFS($B$2:$B$3757, $A$2:$A$3757, C1105:C4859), "")</f>
        <v>5.9</v>
      </c>
      <c r="E1105" s="4">
        <f t="shared" si="1"/>
        <v>25.2</v>
      </c>
      <c r="F1105" s="4" t="str">
        <f t="array" ref="F1105">IF(D1105&gt;=_xlfn.PERCENTILE.INC(D1105:D2763, 0.9), "High", "Low")</f>
        <v>Low</v>
      </c>
      <c r="L1105" s="4" t="str">
        <f t="shared" si="2"/>
        <v/>
      </c>
    </row>
    <row r="1106" ht="14.25" customHeight="1">
      <c r="A1106" s="1" t="s">
        <v>5055</v>
      </c>
      <c r="B1106" s="1">
        <v>7.6</v>
      </c>
      <c r="C1106" s="4" t="str">
        <f>IFERROR(__xludf.DUMMYFUNCTION("""COMPUTED_VALUE"""),"Josh Boone")</f>
        <v>Josh Boone</v>
      </c>
      <c r="D1106" s="4">
        <f t="array" ref="D1106">IFERROR(AVERAGEIFS($B$2:$B$3757, $A$2:$A$3757, C1106:C4860), "")</f>
        <v>7.8</v>
      </c>
      <c r="E1106" s="4">
        <f t="shared" si="1"/>
        <v>94.2</v>
      </c>
      <c r="F1106" s="4" t="str">
        <f t="array" ref="F1106">IF(D1106&gt;=_xlfn.PERCENTILE.INC(D1106:D2764, 0.9), "High", "Low")</f>
        <v>High</v>
      </c>
      <c r="L1106" s="4" t="str">
        <f t="shared" si="2"/>
        <v/>
      </c>
    </row>
    <row r="1107" ht="14.25" customHeight="1">
      <c r="A1107" s="1" t="s">
        <v>1857</v>
      </c>
      <c r="B1107" s="1">
        <v>7.9</v>
      </c>
      <c r="C1107" s="4" t="str">
        <f>IFERROR(__xludf.DUMMYFUNCTION("""COMPUTED_VALUE"""),"Jake Schreier")</f>
        <v>Jake Schreier</v>
      </c>
      <c r="D1107" s="4">
        <f t="array" ref="D1107">IFERROR(AVERAGEIFS($B$2:$B$3757, $A$2:$A$3757, C1107:C4861), "")</f>
        <v>6.75</v>
      </c>
      <c r="E1107" s="4">
        <f t="shared" si="1"/>
        <v>57</v>
      </c>
      <c r="F1107" s="4" t="str">
        <f t="array" ref="F1107">IF(D1107&gt;=_xlfn.PERCENTILE.INC(D1107:D2765, 0.9), "High", "Low")</f>
        <v>Low</v>
      </c>
      <c r="L1107" s="4" t="str">
        <f t="shared" si="2"/>
        <v/>
      </c>
    </row>
    <row r="1108" ht="14.25" customHeight="1">
      <c r="A1108" s="1" t="s">
        <v>5796</v>
      </c>
      <c r="B1108" s="1">
        <v>5.3</v>
      </c>
      <c r="C1108" s="4" t="str">
        <f>IFERROR(__xludf.DUMMYFUNCTION("""COMPUTED_VALUE"""),"Ernest R. Dickerson")</f>
        <v>Ernest R. Dickerson</v>
      </c>
      <c r="D1108" s="4">
        <f t="array" ref="D1108">IFERROR(AVERAGEIFS($B$2:$B$3757, $A$2:$A$3757, C1108:C4862), "")</f>
        <v>6.7</v>
      </c>
      <c r="E1108" s="4">
        <f t="shared" si="1"/>
        <v>52.6</v>
      </c>
      <c r="F1108" s="4" t="str">
        <f t="array" ref="F1108">IF(D1108&gt;=_xlfn.PERCENTILE.INC(D1108:D2766, 0.9), "High", "Low")</f>
        <v>Low</v>
      </c>
      <c r="L1108" s="4" t="str">
        <f t="shared" si="2"/>
        <v/>
      </c>
    </row>
    <row r="1109" ht="14.25" customHeight="1">
      <c r="A1109" s="1" t="s">
        <v>5801</v>
      </c>
      <c r="B1109" s="1">
        <v>6.6</v>
      </c>
      <c r="C1109" s="4" t="str">
        <f>IFERROR(__xludf.DUMMYFUNCTION("""COMPUTED_VALUE"""),"Wallace Wolodarsky")</f>
        <v>Wallace Wolodarsky</v>
      </c>
      <c r="D1109" s="4">
        <f t="array" ref="D1109">IFERROR(AVERAGEIFS($B$2:$B$3757, $A$2:$A$3757, C1109:C4863), "")</f>
        <v>5.4</v>
      </c>
      <c r="E1109" s="4">
        <f t="shared" si="1"/>
        <v>15.4</v>
      </c>
      <c r="F1109" s="4" t="str">
        <f t="array" ref="F1109">IF(D1109&gt;=_xlfn.PERCENTILE.INC(D1109:D2767, 0.9), "High", "Low")</f>
        <v>Low</v>
      </c>
      <c r="L1109" s="4" t="str">
        <f t="shared" si="2"/>
        <v/>
      </c>
    </row>
    <row r="1110" ht="14.25" customHeight="1">
      <c r="A1110" s="1" t="s">
        <v>5807</v>
      </c>
      <c r="B1110" s="1">
        <v>6.3</v>
      </c>
      <c r="C1110" s="4" t="str">
        <f>IFERROR(__xludf.DUMMYFUNCTION("""COMPUTED_VALUE"""),"Nicholas Jarecki")</f>
        <v>Nicholas Jarecki</v>
      </c>
      <c r="D1110" s="4">
        <f t="array" ref="D1110">IFERROR(AVERAGEIFS($B$2:$B$3757, $A$2:$A$3757, C1110:C4864), "")</f>
        <v>6.6</v>
      </c>
      <c r="E1110" s="4">
        <f t="shared" si="1"/>
        <v>48.8</v>
      </c>
      <c r="F1110" s="4" t="str">
        <f t="array" ref="F1110">IF(D1110&gt;=_xlfn.PERCENTILE.INC(D1110:D2768, 0.9), "High", "Low")</f>
        <v>Low</v>
      </c>
      <c r="L1110" s="4" t="str">
        <f t="shared" si="2"/>
        <v/>
      </c>
    </row>
    <row r="1111" ht="14.25" customHeight="1">
      <c r="A1111" s="1" t="s">
        <v>3964</v>
      </c>
      <c r="B1111" s="1">
        <v>7.2</v>
      </c>
      <c r="C1111" s="4" t="str">
        <f>IFERROR(__xludf.DUMMYFUNCTION("""COMPUTED_VALUE"""),"Dean Israelite")</f>
        <v>Dean Israelite</v>
      </c>
      <c r="D1111" s="4">
        <f t="array" ref="D1111">IFERROR(AVERAGEIFS($B$2:$B$3757, $A$2:$A$3757, C1111:C4865), "")</f>
        <v>6.4</v>
      </c>
      <c r="E1111" s="4">
        <f t="shared" si="1"/>
        <v>41.5</v>
      </c>
      <c r="F1111" s="4" t="str">
        <f t="array" ref="F1111">IF(D1111&gt;=_xlfn.PERCENTILE.INC(D1111:D2769, 0.9), "High", "Low")</f>
        <v>Low</v>
      </c>
      <c r="L1111" s="4" t="str">
        <f t="shared" si="2"/>
        <v/>
      </c>
    </row>
    <row r="1112" ht="14.25" customHeight="1">
      <c r="A1112" s="1" t="s">
        <v>4643</v>
      </c>
      <c r="B1112" s="1">
        <v>7.0</v>
      </c>
      <c r="C1112" s="4" t="str">
        <f>IFERROR(__xludf.DUMMYFUNCTION("""COMPUTED_VALUE"""),"Darnell Martin")</f>
        <v>Darnell Martin</v>
      </c>
      <c r="D1112" s="4">
        <f t="array" ref="D1112">IFERROR(AVERAGEIFS($B$2:$B$3757, $A$2:$A$3757, C1112:C4866), "")</f>
        <v>7</v>
      </c>
      <c r="E1112" s="4">
        <f t="shared" si="1"/>
        <v>65.4</v>
      </c>
      <c r="F1112" s="4" t="str">
        <f t="array" ref="F1112">IF(D1112&gt;=_xlfn.PERCENTILE.INC(D1112:D2770, 0.9), "High", "Low")</f>
        <v>Low</v>
      </c>
      <c r="L1112" s="4" t="str">
        <f t="shared" si="2"/>
        <v/>
      </c>
    </row>
    <row r="1113" ht="14.25" customHeight="1">
      <c r="A1113" s="1" t="s">
        <v>4806</v>
      </c>
      <c r="B1113" s="1">
        <v>6.9</v>
      </c>
      <c r="C1113" s="4" t="str">
        <f>IFERROR(__xludf.DUMMYFUNCTION("""COMPUTED_VALUE"""),"Scott Alexander")</f>
        <v>Scott Alexander</v>
      </c>
      <c r="D1113" s="4">
        <f t="array" ref="D1113">IFERROR(AVERAGEIFS($B$2:$B$3757, $A$2:$A$3757, C1113:C4867), "")</f>
        <v>5.7</v>
      </c>
      <c r="E1113" s="4">
        <f t="shared" si="1"/>
        <v>21.4</v>
      </c>
      <c r="F1113" s="4" t="str">
        <f t="array" ref="F1113">IF(D1113&gt;=_xlfn.PERCENTILE.INC(D1113:D2771, 0.9), "High", "Low")</f>
        <v>Low</v>
      </c>
      <c r="L1113" s="4" t="str">
        <f t="shared" si="2"/>
        <v/>
      </c>
    </row>
    <row r="1114" ht="14.25" customHeight="1">
      <c r="A1114" s="1" t="s">
        <v>5827</v>
      </c>
      <c r="B1114" s="1">
        <v>5.2</v>
      </c>
      <c r="C1114" s="4" t="str">
        <f>IFERROR(__xludf.DUMMYFUNCTION("""COMPUTED_VALUE"""),"Stuart Gordon")</f>
        <v>Stuart Gordon</v>
      </c>
      <c r="D1114" s="4">
        <f t="array" ref="D1114">IFERROR(AVERAGEIFS($B$2:$B$3757, $A$2:$A$3757, C1114:C4868), "")</f>
        <v>6.1</v>
      </c>
      <c r="E1114" s="4">
        <f t="shared" si="1"/>
        <v>31.4</v>
      </c>
      <c r="F1114" s="4" t="str">
        <f t="array" ref="F1114">IF(D1114&gt;=_xlfn.PERCENTILE.INC(D1114:D2772, 0.9), "High", "Low")</f>
        <v>Low</v>
      </c>
      <c r="L1114" s="4" t="str">
        <f t="shared" si="2"/>
        <v/>
      </c>
    </row>
    <row r="1115" ht="14.25" customHeight="1">
      <c r="A1115" s="1" t="s">
        <v>875</v>
      </c>
      <c r="B1115" s="1">
        <v>8.1</v>
      </c>
      <c r="C1115" s="4" t="str">
        <f>IFERROR(__xludf.DUMMYFUNCTION("""COMPUTED_VALUE"""),"Christopher Guest")</f>
        <v>Christopher Guest</v>
      </c>
      <c r="D1115" s="4">
        <f t="array" ref="D1115">IFERROR(AVERAGEIFS($B$2:$B$3757, $A$2:$A$3757, C1115:C4869), "")</f>
        <v>7.133333333</v>
      </c>
      <c r="E1115" s="4">
        <f t="shared" si="1"/>
        <v>74.9</v>
      </c>
      <c r="F1115" s="4" t="str">
        <f t="array" ref="F1115">IF(D1115&gt;=_xlfn.PERCENTILE.INC(D1115:D2773, 0.9), "High", "Low")</f>
        <v>Low</v>
      </c>
      <c r="L1115" s="4" t="str">
        <f t="shared" si="2"/>
        <v/>
      </c>
    </row>
    <row r="1116" ht="14.25" customHeight="1">
      <c r="A1116" s="1" t="s">
        <v>5837</v>
      </c>
      <c r="B1116" s="1">
        <v>6.6</v>
      </c>
      <c r="C1116" s="4" t="str">
        <f>IFERROR(__xludf.DUMMYFUNCTION("""COMPUTED_VALUE"""),"Jane Campion")</f>
        <v>Jane Campion</v>
      </c>
      <c r="D1116" s="4">
        <f t="array" ref="D1116">IFERROR(AVERAGEIFS($B$2:$B$3757, $A$2:$A$3757, C1116:C4870), "")</f>
        <v>6.633333333</v>
      </c>
      <c r="E1116" s="4">
        <f t="shared" si="1"/>
        <v>52.1</v>
      </c>
      <c r="F1116" s="4" t="str">
        <f t="array" ref="F1116">IF(D1116&gt;=_xlfn.PERCENTILE.INC(D1116:D2774, 0.9), "High", "Low")</f>
        <v>Low</v>
      </c>
      <c r="L1116" s="4" t="str">
        <f t="shared" si="2"/>
        <v/>
      </c>
    </row>
    <row r="1117" ht="14.25" customHeight="1">
      <c r="A1117" s="1" t="s">
        <v>3729</v>
      </c>
      <c r="B1117" s="1">
        <v>6.2</v>
      </c>
      <c r="C1117" s="4" t="str">
        <f>IFERROR(__xludf.DUMMYFUNCTION("""COMPUTED_VALUE"""),"Fred Schepisi")</f>
        <v>Fred Schepisi</v>
      </c>
      <c r="D1117" s="4">
        <f t="array" ref="D1117">IFERROR(AVERAGEIFS($B$2:$B$3757, $A$2:$A$3757, C1117:C4871), "")</f>
        <v>7</v>
      </c>
      <c r="E1117" s="4">
        <f t="shared" si="1"/>
        <v>65.4</v>
      </c>
      <c r="F1117" s="4" t="str">
        <f t="array" ref="F1117">IF(D1117&gt;=_xlfn.PERCENTILE.INC(D1117:D2775, 0.9), "High", "Low")</f>
        <v>Low</v>
      </c>
      <c r="L1117" s="4" t="str">
        <f t="shared" si="2"/>
        <v/>
      </c>
    </row>
    <row r="1118" ht="14.25" customHeight="1">
      <c r="A1118" s="1" t="s">
        <v>5847</v>
      </c>
      <c r="B1118" s="1">
        <v>7.2</v>
      </c>
      <c r="C1118" s="4" t="str">
        <f>IFERROR(__xludf.DUMMYFUNCTION("""COMPUTED_VALUE"""),"Antonia Bird")</f>
        <v>Antonia Bird</v>
      </c>
      <c r="D1118" s="4">
        <f t="array" ref="D1118">IFERROR(AVERAGEIFS($B$2:$B$3757, $A$2:$A$3757, C1118:C4872), "")</f>
        <v>7.1</v>
      </c>
      <c r="E1118" s="4">
        <f t="shared" si="1"/>
        <v>70.3</v>
      </c>
      <c r="F1118" s="4" t="str">
        <f t="array" ref="F1118">IF(D1118&gt;=_xlfn.PERCENTILE.INC(D1118:D2776, 0.9), "High", "Low")</f>
        <v>Low</v>
      </c>
      <c r="L1118" s="4" t="str">
        <f t="shared" si="2"/>
        <v/>
      </c>
    </row>
    <row r="1119" ht="14.25" customHeight="1">
      <c r="A1119" s="1" t="s">
        <v>3954</v>
      </c>
      <c r="B1119" s="1">
        <v>7.3</v>
      </c>
      <c r="C1119" s="4" t="str">
        <f>IFERROR(__xludf.DUMMYFUNCTION("""COMPUTED_VALUE"""),"Jon Poll")</f>
        <v>Jon Poll</v>
      </c>
      <c r="D1119" s="4">
        <f t="array" ref="D1119">IFERROR(AVERAGEIFS($B$2:$B$3757, $A$2:$A$3757, C1119:C4873), "")</f>
        <v>7</v>
      </c>
      <c r="E1119" s="4">
        <f t="shared" si="1"/>
        <v>65.7</v>
      </c>
      <c r="F1119" s="4" t="str">
        <f t="array" ref="F1119">IF(D1119&gt;=_xlfn.PERCENTILE.INC(D1119:D2777, 0.9), "High", "Low")</f>
        <v>Low</v>
      </c>
      <c r="L1119" s="4" t="str">
        <f t="shared" si="2"/>
        <v/>
      </c>
    </row>
    <row r="1120" ht="14.25" customHeight="1">
      <c r="A1120" s="1" t="s">
        <v>5857</v>
      </c>
      <c r="B1120" s="1">
        <v>6.7</v>
      </c>
      <c r="C1120" s="4" t="str">
        <f>IFERROR(__xludf.DUMMYFUNCTION("""COMPUTED_VALUE"""),"Paolo Sorrentino")</f>
        <v>Paolo Sorrentino</v>
      </c>
      <c r="D1120" s="4">
        <f t="array" ref="D1120">IFERROR(AVERAGEIFS($B$2:$B$3757, $A$2:$A$3757, C1120:C4874), "")</f>
        <v>7.7</v>
      </c>
      <c r="E1120" s="4">
        <f t="shared" si="1"/>
        <v>90.8</v>
      </c>
      <c r="F1120" s="4" t="str">
        <f t="array" ref="F1120">IF(D1120&gt;=_xlfn.PERCENTILE.INC(D1120:D2778, 0.9), "High", "Low")</f>
        <v>High</v>
      </c>
      <c r="L1120" s="4" t="str">
        <f t="shared" si="2"/>
        <v/>
      </c>
    </row>
    <row r="1121" ht="14.25" customHeight="1">
      <c r="A1121" s="1" t="s">
        <v>5861</v>
      </c>
      <c r="B1121" s="1">
        <v>6.4</v>
      </c>
      <c r="C1121" s="4" t="str">
        <f>IFERROR(__xludf.DUMMYFUNCTION("""COMPUTED_VALUE"""),"Peter Care")</f>
        <v>Peter Care</v>
      </c>
      <c r="D1121" s="4">
        <f t="array" ref="D1121">IFERROR(AVERAGEIFS($B$2:$B$3757, $A$2:$A$3757, C1121:C4875), "")</f>
        <v>7.1</v>
      </c>
      <c r="E1121" s="4">
        <f t="shared" si="1"/>
        <v>70.6</v>
      </c>
      <c r="F1121" s="4" t="str">
        <f t="array" ref="F1121">IF(D1121&gt;=_xlfn.PERCENTILE.INC(D1121:D2779, 0.9), "High", "Low")</f>
        <v>Low</v>
      </c>
      <c r="L1121" s="4" t="str">
        <f t="shared" si="2"/>
        <v/>
      </c>
    </row>
    <row r="1122" ht="14.25" customHeight="1">
      <c r="A1122" s="1" t="s">
        <v>420</v>
      </c>
      <c r="B1122" s="1">
        <v>7.8</v>
      </c>
      <c r="C1122" s="4" t="str">
        <f>IFERROR(__xludf.DUMMYFUNCTION("""COMPUTED_VALUE"""),"Chan-wook Park")</f>
        <v>Chan-wook Park</v>
      </c>
      <c r="D1122" s="4">
        <f t="array" ref="D1122">IFERROR(AVERAGEIFS($B$2:$B$3757, $A$2:$A$3757, C1122:C4876), "")</f>
        <v>7.633333333</v>
      </c>
      <c r="E1122" s="4">
        <f t="shared" si="1"/>
        <v>90.4</v>
      </c>
      <c r="F1122" s="4" t="str">
        <f t="array" ref="F1122">IF(D1122&gt;=_xlfn.PERCENTILE.INC(D1122:D2780, 0.9), "High", "Low")</f>
        <v>High</v>
      </c>
      <c r="L1122" s="4" t="str">
        <f t="shared" si="2"/>
        <v/>
      </c>
    </row>
    <row r="1123" ht="14.25" customHeight="1">
      <c r="A1123" s="1" t="s">
        <v>1890</v>
      </c>
      <c r="B1123" s="1">
        <v>6.4</v>
      </c>
      <c r="C1123" s="4" t="str">
        <f>IFERROR(__xludf.DUMMYFUNCTION("""COMPUTED_VALUE"""),"Ira Sachs")</f>
        <v>Ira Sachs</v>
      </c>
      <c r="D1123" s="4">
        <f t="array" ref="D1123">IFERROR(AVERAGEIFS($B$2:$B$3757, $A$2:$A$3757, C1123:C4877), "")</f>
        <v>6.3</v>
      </c>
      <c r="E1123" s="4">
        <f t="shared" si="1"/>
        <v>38.3</v>
      </c>
      <c r="F1123" s="4" t="str">
        <f t="array" ref="F1123">IF(D1123&gt;=_xlfn.PERCENTILE.INC(D1123:D2781, 0.9), "High", "Low")</f>
        <v>Low</v>
      </c>
      <c r="L1123" s="4" t="str">
        <f t="shared" si="2"/>
        <v/>
      </c>
    </row>
    <row r="1124" ht="14.25" customHeight="1">
      <c r="A1124" s="1" t="s">
        <v>5876</v>
      </c>
      <c r="B1124" s="1">
        <v>4.1</v>
      </c>
      <c r="C1124" s="4" t="str">
        <f>IFERROR(__xludf.DUMMYFUNCTION("""COMPUTED_VALUE"""),"Carroll Ballard")</f>
        <v>Carroll Ballard</v>
      </c>
      <c r="D1124" s="4">
        <f t="array" ref="D1124">IFERROR(AVERAGEIFS($B$2:$B$3757, $A$2:$A$3757, C1124:C4878), "")</f>
        <v>7.3</v>
      </c>
      <c r="E1124" s="4">
        <f t="shared" si="1"/>
        <v>80.6</v>
      </c>
      <c r="F1124" s="4" t="str">
        <f t="array" ref="F1124">IF(D1124&gt;=_xlfn.PERCENTILE.INC(D1124:D2782, 0.9), "High", "Low")</f>
        <v>Low</v>
      </c>
      <c r="L1124" s="4" t="str">
        <f t="shared" si="2"/>
        <v/>
      </c>
    </row>
    <row r="1125" ht="14.25" customHeight="1">
      <c r="A1125" s="1" t="s">
        <v>4632</v>
      </c>
      <c r="B1125" s="1">
        <v>4.1</v>
      </c>
      <c r="C1125" s="4" t="str">
        <f>IFERROR(__xludf.DUMMYFUNCTION("""COMPUTED_VALUE"""),"Takeshi Kitano")</f>
        <v>Takeshi Kitano</v>
      </c>
      <c r="D1125" s="4">
        <f t="array" ref="D1125">IFERROR(AVERAGEIFS($B$2:$B$3757, $A$2:$A$3757, C1125:C4879), "")</f>
        <v>7.2</v>
      </c>
      <c r="E1125" s="4">
        <f t="shared" si="1"/>
        <v>75.7</v>
      </c>
      <c r="F1125" s="4" t="str">
        <f t="array" ref="F1125">IF(D1125&gt;=_xlfn.PERCENTILE.INC(D1125:D2783, 0.9), "High", "Low")</f>
        <v>Low</v>
      </c>
      <c r="L1125" s="4" t="str">
        <f t="shared" si="2"/>
        <v/>
      </c>
    </row>
    <row r="1126" ht="14.25" customHeight="1">
      <c r="A1126" s="1" t="s">
        <v>1268</v>
      </c>
      <c r="B1126" s="1">
        <v>7.4</v>
      </c>
      <c r="C1126" s="4" t="str">
        <f>IFERROR(__xludf.DUMMYFUNCTION("""COMPUTED_VALUE"""),"Marco Kreuzpaintner")</f>
        <v>Marco Kreuzpaintner</v>
      </c>
      <c r="D1126" s="4">
        <f t="array" ref="D1126">IFERROR(AVERAGEIFS($B$2:$B$3757, $A$2:$A$3757, C1126:C4880), "")</f>
        <v>7.45</v>
      </c>
      <c r="E1126" s="4">
        <f t="shared" si="1"/>
        <v>85.6</v>
      </c>
      <c r="F1126" s="4" t="str">
        <f t="array" ref="F1126">IF(D1126&gt;=_xlfn.PERCENTILE.INC(D1126:D2784, 0.9), "High", "Low")</f>
        <v>Low</v>
      </c>
      <c r="L1126" s="4" t="str">
        <f t="shared" si="2"/>
        <v/>
      </c>
    </row>
    <row r="1127" ht="14.25" customHeight="1">
      <c r="A1127" s="1" t="s">
        <v>772</v>
      </c>
      <c r="B1127" s="1">
        <v>5.8</v>
      </c>
      <c r="C1127" s="4" t="str">
        <f>IFERROR(__xludf.DUMMYFUNCTION("""COMPUTED_VALUE"""),"Lajos Koltai")</f>
        <v>Lajos Koltai</v>
      </c>
      <c r="D1127" s="4">
        <f t="array" ref="D1127">IFERROR(AVERAGEIFS($B$2:$B$3757, $A$2:$A$3757, C1127:C4881), "")</f>
        <v>7.1</v>
      </c>
      <c r="E1127" s="4">
        <f t="shared" si="1"/>
        <v>71.2</v>
      </c>
      <c r="F1127" s="4" t="str">
        <f t="array" ref="F1127">IF(D1127&gt;=_xlfn.PERCENTILE.INC(D1127:D2785, 0.9), "High", "Low")</f>
        <v>Low</v>
      </c>
      <c r="L1127" s="4" t="str">
        <f t="shared" si="2"/>
        <v/>
      </c>
    </row>
    <row r="1128" ht="14.25" customHeight="1">
      <c r="A1128" s="1" t="s">
        <v>217</v>
      </c>
      <c r="B1128" s="1">
        <v>7.6</v>
      </c>
      <c r="C1128" s="4" t="str">
        <f>IFERROR(__xludf.DUMMYFUNCTION("""COMPUTED_VALUE"""),"Alan Rudolph")</f>
        <v>Alan Rudolph</v>
      </c>
      <c r="D1128" s="4">
        <f t="array" ref="D1128">IFERROR(AVERAGEIFS($B$2:$B$3757, $A$2:$A$3757, C1128:C4882), "")</f>
        <v>4.6</v>
      </c>
      <c r="E1128" s="4">
        <f t="shared" si="1"/>
        <v>6.2</v>
      </c>
      <c r="F1128" s="4" t="str">
        <f t="array" ref="F1128">IF(D1128&gt;=_xlfn.PERCENTILE.INC(D1128:D2786, 0.9), "High", "Low")</f>
        <v>Low</v>
      </c>
      <c r="L1128" s="4" t="str">
        <f t="shared" si="2"/>
        <v/>
      </c>
    </row>
    <row r="1129" ht="14.25" customHeight="1">
      <c r="A1129" s="1" t="s">
        <v>5289</v>
      </c>
      <c r="B1129" s="1">
        <v>7.2</v>
      </c>
      <c r="C1129" s="4" t="str">
        <f>IFERROR(__xludf.DUMMYFUNCTION("""COMPUTED_VALUE"""),"Chuan Lu")</f>
        <v>Chuan Lu</v>
      </c>
      <c r="D1129" s="4">
        <f t="array" ref="D1129">IFERROR(AVERAGEIFS($B$2:$B$3757, $A$2:$A$3757, C1129:C4883), "")</f>
        <v>7.7</v>
      </c>
      <c r="E1129" s="4">
        <f t="shared" si="1"/>
        <v>90.8</v>
      </c>
      <c r="F1129" s="4" t="str">
        <f t="array" ref="F1129">IF(D1129&gt;=_xlfn.PERCENTILE.INC(D1129:D2787, 0.9), "High", "Low")</f>
        <v>High</v>
      </c>
      <c r="L1129" s="4" t="str">
        <f t="shared" si="2"/>
        <v/>
      </c>
    </row>
    <row r="1130" ht="14.25" customHeight="1">
      <c r="A1130" s="1" t="s">
        <v>324</v>
      </c>
      <c r="B1130" s="1">
        <v>7.8</v>
      </c>
      <c r="C1130" s="4" t="str">
        <f>IFERROR(__xludf.DUMMYFUNCTION("""COMPUTED_VALUE"""),"Dan Mazer")</f>
        <v>Dan Mazer</v>
      </c>
      <c r="D1130" s="4">
        <f t="array" ref="D1130">IFERROR(AVERAGEIFS($B$2:$B$3757, $A$2:$A$3757, C1130:C4884), "")</f>
        <v>6</v>
      </c>
      <c r="E1130" s="4">
        <f t="shared" si="1"/>
        <v>29.6</v>
      </c>
      <c r="F1130" s="4" t="str">
        <f t="array" ref="F1130">IF(D1130&gt;=_xlfn.PERCENTILE.INC(D1130:D2788, 0.9), "High", "Low")</f>
        <v>Low</v>
      </c>
      <c r="L1130" s="4" t="str">
        <f t="shared" si="2"/>
        <v/>
      </c>
    </row>
    <row r="1131" ht="14.25" customHeight="1">
      <c r="A1131" s="1" t="s">
        <v>648</v>
      </c>
      <c r="B1131" s="1">
        <v>7.7</v>
      </c>
      <c r="C1131" s="4" t="str">
        <f>IFERROR(__xludf.DUMMYFUNCTION("""COMPUTED_VALUE"""),"R.J. Cutler")</f>
        <v>R.J. Cutler</v>
      </c>
      <c r="D1131" s="4">
        <f t="array" ref="D1131">IFERROR(AVERAGEIFS($B$2:$B$3757, $A$2:$A$3757, C1131:C4885), "")</f>
        <v>6.8</v>
      </c>
      <c r="E1131" s="4">
        <f t="shared" si="1"/>
        <v>57.7</v>
      </c>
      <c r="F1131" s="4" t="str">
        <f t="array" ref="F1131">IF(D1131&gt;=_xlfn.PERCENTILE.INC(D1131:D2789, 0.9), "High", "Low")</f>
        <v>Low</v>
      </c>
      <c r="L1131" s="4" t="str">
        <f t="shared" si="2"/>
        <v/>
      </c>
    </row>
    <row r="1132" ht="14.25" customHeight="1">
      <c r="A1132" s="1" t="s">
        <v>5911</v>
      </c>
      <c r="B1132" s="1">
        <v>6.4</v>
      </c>
      <c r="C1132" s="4" t="str">
        <f>IFERROR(__xludf.DUMMYFUNCTION("""COMPUTED_VALUE"""),"David S. Ward")</f>
        <v>David S. Ward</v>
      </c>
      <c r="D1132" s="4">
        <f t="array" ref="D1132">IFERROR(AVERAGEIFS($B$2:$B$3757, $A$2:$A$3757, C1132:C4886), "")</f>
        <v>7.2</v>
      </c>
      <c r="E1132" s="4">
        <f t="shared" si="1"/>
        <v>76</v>
      </c>
      <c r="F1132" s="4" t="str">
        <f t="array" ref="F1132">IF(D1132&gt;=_xlfn.PERCENTILE.INC(D1132:D2790, 0.9), "High", "Low")</f>
        <v>Low</v>
      </c>
      <c r="L1132" s="4" t="str">
        <f t="shared" si="2"/>
        <v/>
      </c>
    </row>
    <row r="1133" ht="14.25" customHeight="1">
      <c r="A1133" s="1" t="s">
        <v>5342</v>
      </c>
      <c r="B1133" s="1">
        <v>5.1</v>
      </c>
      <c r="C1133" s="4" t="str">
        <f>IFERROR(__xludf.DUMMYFUNCTION("""COMPUTED_VALUE"""),"Rob Pritts")</f>
        <v>Rob Pritts</v>
      </c>
      <c r="D1133" s="4">
        <f t="array" ref="D1133">IFERROR(AVERAGEIFS($B$2:$B$3757, $A$2:$A$3757, C1133:C4887), "")</f>
        <v>4.6</v>
      </c>
      <c r="E1133" s="4">
        <f t="shared" si="1"/>
        <v>6.3</v>
      </c>
      <c r="F1133" s="4" t="str">
        <f t="array" ref="F1133">IF(D1133&gt;=_xlfn.PERCENTILE.INC(D1133:D2791, 0.9), "High", "Low")</f>
        <v>Low</v>
      </c>
      <c r="L1133" s="4" t="str">
        <f t="shared" si="2"/>
        <v/>
      </c>
    </row>
    <row r="1134" ht="14.25" customHeight="1">
      <c r="A1134" s="1" t="s">
        <v>5922</v>
      </c>
      <c r="B1134" s="1">
        <v>5.5</v>
      </c>
      <c r="C1134" s="4" t="str">
        <f>IFERROR(__xludf.DUMMYFUNCTION("""COMPUTED_VALUE"""),"John Crowley")</f>
        <v>John Crowley</v>
      </c>
      <c r="D1134" s="4">
        <f t="array" ref="D1134">IFERROR(AVERAGEIFS($B$2:$B$3757, $A$2:$A$3757, C1134:C4888), "")</f>
        <v>7.5</v>
      </c>
      <c r="E1134" s="4">
        <f t="shared" si="1"/>
        <v>85.8</v>
      </c>
      <c r="F1134" s="4" t="str">
        <f t="array" ref="F1134">IF(D1134&gt;=_xlfn.PERCENTILE.INC(D1134:D2792, 0.9), "High", "Low")</f>
        <v>Low</v>
      </c>
      <c r="L1134" s="4" t="str">
        <f t="shared" si="2"/>
        <v/>
      </c>
    </row>
    <row r="1135" ht="14.25" customHeight="1">
      <c r="A1135" s="1" t="s">
        <v>420</v>
      </c>
      <c r="B1135" s="1">
        <v>7.4</v>
      </c>
      <c r="C1135" s="4" t="str">
        <f>IFERROR(__xludf.DUMMYFUNCTION("""COMPUTED_VALUE"""),"Brendan Malloy")</f>
        <v>Brendan Malloy</v>
      </c>
      <c r="D1135" s="4">
        <f t="array" ref="D1135">IFERROR(AVERAGEIFS($B$2:$B$3757, $A$2:$A$3757, C1135:C4889), "")</f>
        <v>6.3</v>
      </c>
      <c r="E1135" s="4">
        <f t="shared" si="1"/>
        <v>38.6</v>
      </c>
      <c r="F1135" s="4" t="str">
        <f t="array" ref="F1135">IF(D1135&gt;=_xlfn.PERCENTILE.INC(D1135:D2793, 0.9), "High", "Low")</f>
        <v>Low</v>
      </c>
      <c r="L1135" s="4" t="str">
        <f t="shared" si="2"/>
        <v/>
      </c>
    </row>
    <row r="1136" ht="14.25" customHeight="1">
      <c r="A1136" s="1" t="s">
        <v>5933</v>
      </c>
      <c r="B1136" s="1">
        <v>6.0</v>
      </c>
      <c r="C1136" s="4" t="str">
        <f>IFERROR(__xludf.DUMMYFUNCTION("""COMPUTED_VALUE"""),"Dustin Hoffman")</f>
        <v>Dustin Hoffman</v>
      </c>
      <c r="D1136" s="4">
        <f t="array" ref="D1136">IFERROR(AVERAGEIFS($B$2:$B$3757, $A$2:$A$3757, C1136:C4890), "")</f>
        <v>6.8</v>
      </c>
      <c r="E1136" s="4">
        <f t="shared" si="1"/>
        <v>57.9</v>
      </c>
      <c r="F1136" s="4" t="str">
        <f t="array" ref="F1136">IF(D1136&gt;=_xlfn.PERCENTILE.INC(D1136:D2794, 0.9), "High", "Low")</f>
        <v>Low</v>
      </c>
      <c r="L1136" s="4" t="str">
        <f t="shared" si="2"/>
        <v/>
      </c>
    </row>
    <row r="1137" ht="14.25" customHeight="1">
      <c r="A1137" s="1" t="s">
        <v>4578</v>
      </c>
      <c r="B1137" s="1">
        <v>7.5</v>
      </c>
      <c r="C1137" s="4" t="str">
        <f>IFERROR(__xludf.DUMMYFUNCTION("""COMPUTED_VALUE"""),"Gregory Poirier")</f>
        <v>Gregory Poirier</v>
      </c>
      <c r="D1137" s="4">
        <f t="array" ref="D1137">IFERROR(AVERAGEIFS($B$2:$B$3757, $A$2:$A$3757, C1137:C4891), "")</f>
        <v>5.3</v>
      </c>
      <c r="E1137" s="4">
        <f t="shared" si="1"/>
        <v>13</v>
      </c>
      <c r="F1137" s="4" t="str">
        <f t="array" ref="F1137">IF(D1137&gt;=_xlfn.PERCENTILE.INC(D1137:D2795, 0.9), "High", "Low")</f>
        <v>Low</v>
      </c>
      <c r="L1137" s="4" t="str">
        <f t="shared" si="2"/>
        <v/>
      </c>
    </row>
    <row r="1138" ht="14.25" customHeight="1">
      <c r="A1138" s="1" t="s">
        <v>3477</v>
      </c>
      <c r="B1138" s="1">
        <v>7.0</v>
      </c>
      <c r="C1138" s="4" t="str">
        <f>IFERROR(__xludf.DUMMYFUNCTION("""COMPUTED_VALUE"""),"Bill Paxton")</f>
        <v>Bill Paxton</v>
      </c>
      <c r="D1138" s="4">
        <f t="array" ref="D1138">IFERROR(AVERAGEIFS($B$2:$B$3757, $A$2:$A$3757, C1138:C4892), "")</f>
        <v>7.3</v>
      </c>
      <c r="E1138" s="4">
        <f t="shared" si="1"/>
        <v>80.9</v>
      </c>
      <c r="F1138" s="4" t="str">
        <f t="array" ref="F1138">IF(D1138&gt;=_xlfn.PERCENTILE.INC(D1138:D2796, 0.9), "High", "Low")</f>
        <v>Low</v>
      </c>
      <c r="L1138" s="4" t="str">
        <f t="shared" si="2"/>
        <v/>
      </c>
    </row>
    <row r="1139" ht="14.25" customHeight="1">
      <c r="A1139" s="1" t="s">
        <v>4806</v>
      </c>
      <c r="B1139" s="1">
        <v>7.5</v>
      </c>
      <c r="C1139" s="4" t="str">
        <f>IFERROR(__xludf.DUMMYFUNCTION("""COMPUTED_VALUE"""),"Simon Curtis")</f>
        <v>Simon Curtis</v>
      </c>
      <c r="D1139" s="4">
        <f t="array" ref="D1139">IFERROR(AVERAGEIFS($B$2:$B$3757, $A$2:$A$3757, C1139:C4893), "")</f>
        <v>7.15</v>
      </c>
      <c r="E1139" s="4">
        <f t="shared" si="1"/>
        <v>75.7</v>
      </c>
      <c r="F1139" s="4" t="str">
        <f t="array" ref="F1139">IF(D1139&gt;=_xlfn.PERCENTILE.INC(D1139:D2797, 0.9), "High", "Low")</f>
        <v>Low</v>
      </c>
      <c r="L1139" s="4" t="str">
        <f t="shared" si="2"/>
        <v/>
      </c>
    </row>
    <row r="1140" ht="14.25" customHeight="1">
      <c r="A1140" s="1" t="s">
        <v>2529</v>
      </c>
      <c r="B1140" s="1">
        <v>7.3</v>
      </c>
      <c r="C1140" s="4" t="str">
        <f>IFERROR(__xludf.DUMMYFUNCTION("""COMPUTED_VALUE"""),"Dewey Nicks")</f>
        <v>Dewey Nicks</v>
      </c>
      <c r="D1140" s="4">
        <f t="array" ref="D1140">IFERROR(AVERAGEIFS($B$2:$B$3757, $A$2:$A$3757, C1140:C4894), "")</f>
        <v>5.3</v>
      </c>
      <c r="E1140" s="4">
        <f t="shared" si="1"/>
        <v>13.1</v>
      </c>
      <c r="F1140" s="4" t="str">
        <f t="array" ref="F1140">IF(D1140&gt;=_xlfn.PERCENTILE.INC(D1140:D2798, 0.9), "High", "Low")</f>
        <v>Low</v>
      </c>
      <c r="L1140" s="4" t="str">
        <f t="shared" si="2"/>
        <v/>
      </c>
    </row>
    <row r="1141" ht="14.25" customHeight="1">
      <c r="A1141" s="1" t="s">
        <v>3322</v>
      </c>
      <c r="B1141" s="1">
        <v>5.7</v>
      </c>
      <c r="C1141" s="4" t="str">
        <f>IFERROR(__xludf.DUMMYFUNCTION("""COMPUTED_VALUE"""),"Philip Saville")</f>
        <v>Philip Saville</v>
      </c>
      <c r="D1141" s="4">
        <f t="array" ref="D1141">IFERROR(AVERAGEIFS($B$2:$B$3757, $A$2:$A$3757, C1141:C4895), "")</f>
        <v>7.7</v>
      </c>
      <c r="E1141" s="4">
        <f t="shared" si="1"/>
        <v>90.8</v>
      </c>
      <c r="F1141" s="4" t="str">
        <f t="array" ref="F1141">IF(D1141&gt;=_xlfn.PERCENTILE.INC(D1141:D2799, 0.9), "High", "Low")</f>
        <v>High</v>
      </c>
      <c r="L1141" s="4" t="str">
        <f t="shared" si="2"/>
        <v/>
      </c>
    </row>
    <row r="1142" ht="14.25" customHeight="1">
      <c r="A1142" s="1" t="s">
        <v>4812</v>
      </c>
      <c r="B1142" s="1">
        <v>7.3</v>
      </c>
      <c r="C1142" s="4" t="str">
        <f>IFERROR(__xludf.DUMMYFUNCTION("""COMPUTED_VALUE"""),"Daisy von Scherler Mayer")</f>
        <v>Daisy von Scherler Mayer</v>
      </c>
      <c r="D1142" s="4">
        <f t="array" ref="D1142">IFERROR(AVERAGEIFS($B$2:$B$3757, $A$2:$A$3757, C1142:C4896), "")</f>
        <v>5.4</v>
      </c>
      <c r="E1142" s="4">
        <f t="shared" si="1"/>
        <v>15.6</v>
      </c>
      <c r="F1142" s="4" t="str">
        <f t="array" ref="F1142">IF(D1142&gt;=_xlfn.PERCENTILE.INC(D1142:D2800, 0.9), "High", "Low")</f>
        <v>Low</v>
      </c>
      <c r="L1142" s="4" t="str">
        <f t="shared" si="2"/>
        <v/>
      </c>
    </row>
    <row r="1143" ht="14.25" customHeight="1">
      <c r="A1143" s="1" t="s">
        <v>2275</v>
      </c>
      <c r="B1143" s="1">
        <v>7.2</v>
      </c>
      <c r="C1143" s="4" t="str">
        <f>IFERROR(__xludf.DUMMYFUNCTION("""COMPUTED_VALUE"""),"Tim Blake Nelson")</f>
        <v>Tim Blake Nelson</v>
      </c>
      <c r="D1143" s="4">
        <f t="array" ref="D1143">IFERROR(AVERAGEIFS($B$2:$B$3757, $A$2:$A$3757, C1143:C4897), "")</f>
        <v>6.2</v>
      </c>
      <c r="E1143" s="4">
        <f t="shared" si="1"/>
        <v>36.3</v>
      </c>
      <c r="F1143" s="4" t="str">
        <f t="array" ref="F1143">IF(D1143&gt;=_xlfn.PERCENTILE.INC(D1143:D2801, 0.9), "High", "Low")</f>
        <v>Low</v>
      </c>
      <c r="L1143" s="4" t="str">
        <f t="shared" si="2"/>
        <v/>
      </c>
    </row>
    <row r="1144" ht="14.25" customHeight="1">
      <c r="A1144" s="1" t="s">
        <v>1295</v>
      </c>
      <c r="B1144" s="1">
        <v>5.9</v>
      </c>
      <c r="C1144" s="4" t="str">
        <f>IFERROR(__xludf.DUMMYFUNCTION("""COMPUTED_VALUE"""),"William A. Graham")</f>
        <v>William A. Graham</v>
      </c>
      <c r="D1144" s="4">
        <f t="array" ref="D1144">IFERROR(AVERAGEIFS($B$2:$B$3757, $A$2:$A$3757, C1144:C4898), "")</f>
        <v>5.1</v>
      </c>
      <c r="E1144" s="4">
        <f t="shared" si="1"/>
        <v>9.9</v>
      </c>
      <c r="F1144" s="4" t="str">
        <f t="array" ref="F1144">IF(D1144&gt;=_xlfn.PERCENTILE.INC(D1144:D2802, 0.9), "High", "Low")</f>
        <v>Low</v>
      </c>
      <c r="L1144" s="4" t="str">
        <f t="shared" si="2"/>
        <v/>
      </c>
    </row>
    <row r="1145" ht="14.25" customHeight="1">
      <c r="A1145" s="1" t="s">
        <v>1555</v>
      </c>
      <c r="B1145" s="1">
        <v>7.8</v>
      </c>
      <c r="C1145" s="4" t="str">
        <f>IFERROR(__xludf.DUMMYFUNCTION("""COMPUTED_VALUE"""),"Agnieszka Holland")</f>
        <v>Agnieszka Holland</v>
      </c>
      <c r="D1145" s="4">
        <f t="array" ref="D1145">IFERROR(AVERAGEIFS($B$2:$B$3757, $A$2:$A$3757, C1145:C4899), "")</f>
        <v>6.8</v>
      </c>
      <c r="E1145" s="4">
        <f t="shared" si="1"/>
        <v>57.9</v>
      </c>
      <c r="F1145" s="4" t="str">
        <f t="array" ref="F1145">IF(D1145&gt;=_xlfn.PERCENTILE.INC(D1145:D2803, 0.9), "High", "Low")</f>
        <v>Low</v>
      </c>
      <c r="L1145" s="4" t="str">
        <f t="shared" si="2"/>
        <v/>
      </c>
    </row>
    <row r="1146" ht="14.25" customHeight="1">
      <c r="A1146" s="1" t="s">
        <v>3582</v>
      </c>
      <c r="B1146" s="1">
        <v>7.7</v>
      </c>
      <c r="C1146" s="4" t="str">
        <f>IFERROR(__xludf.DUMMYFUNCTION("""COMPUTED_VALUE"""),"David Hackl")</f>
        <v>David Hackl</v>
      </c>
      <c r="D1146" s="4">
        <f t="array" ref="D1146">IFERROR(AVERAGEIFS($B$2:$B$3757, $A$2:$A$3757, C1146:C4900), "")</f>
        <v>5.8</v>
      </c>
      <c r="E1146" s="4">
        <f t="shared" si="1"/>
        <v>23.9</v>
      </c>
      <c r="F1146" s="4" t="str">
        <f t="array" ref="F1146">IF(D1146&gt;=_xlfn.PERCENTILE.INC(D1146:D2804, 0.9), "High", "Low")</f>
        <v>Low</v>
      </c>
      <c r="L1146" s="4" t="str">
        <f t="shared" si="2"/>
        <v/>
      </c>
    </row>
    <row r="1147" ht="14.25" customHeight="1">
      <c r="A1147" s="1" t="s">
        <v>3627</v>
      </c>
      <c r="B1147" s="1">
        <v>8.1</v>
      </c>
      <c r="C1147" s="4" t="str">
        <f>IFERROR(__xludf.DUMMYFUNCTION("""COMPUTED_VALUE"""),"Ray Lawrence")</f>
        <v>Ray Lawrence</v>
      </c>
      <c r="D1147" s="4">
        <f t="array" ref="D1147">IFERROR(AVERAGEIFS($B$2:$B$3757, $A$2:$A$3757, C1147:C4901), "")</f>
        <v>6.4</v>
      </c>
      <c r="E1147" s="4">
        <f t="shared" si="1"/>
        <v>41.8</v>
      </c>
      <c r="F1147" s="4" t="str">
        <f t="array" ref="F1147">IF(D1147&gt;=_xlfn.PERCENTILE.INC(D1147:D2805, 0.9), "High", "Low")</f>
        <v>Low</v>
      </c>
      <c r="L1147" s="4" t="str">
        <f t="shared" si="2"/>
        <v/>
      </c>
    </row>
    <row r="1148" ht="14.25" customHeight="1">
      <c r="A1148" s="1" t="s">
        <v>2383</v>
      </c>
      <c r="B1148" s="1">
        <v>6.6</v>
      </c>
      <c r="C1148" s="4" t="str">
        <f>IFERROR(__xludf.DUMMYFUNCTION("""COMPUTED_VALUE"""),"Karan Johar")</f>
        <v>Karan Johar</v>
      </c>
      <c r="D1148" s="4">
        <f t="array" ref="D1148">IFERROR(AVERAGEIFS($B$2:$B$3757, $A$2:$A$3757, C1148:C4902), "")</f>
        <v>7</v>
      </c>
      <c r="E1148" s="4">
        <f t="shared" si="1"/>
        <v>66.5</v>
      </c>
      <c r="F1148" s="4" t="str">
        <f t="array" ref="F1148">IF(D1148&gt;=_xlfn.PERCENTILE.INC(D1148:D2806, 0.9), "High", "Low")</f>
        <v>Low</v>
      </c>
      <c r="L1148" s="4" t="str">
        <f t="shared" si="2"/>
        <v/>
      </c>
    </row>
    <row r="1149" ht="14.25" customHeight="1">
      <c r="A1149" s="1" t="s">
        <v>5722</v>
      </c>
      <c r="B1149" s="1">
        <v>7.1</v>
      </c>
      <c r="C1149" s="4" t="str">
        <f>IFERROR(__xludf.DUMMYFUNCTION("""COMPUTED_VALUE"""),"Ruairi Robinson")</f>
        <v>Ruairi Robinson</v>
      </c>
      <c r="D1149" s="4">
        <f t="array" ref="D1149">IFERROR(AVERAGEIFS($B$2:$B$3757, $A$2:$A$3757, C1149:C4903), "")</f>
        <v>5.5</v>
      </c>
      <c r="E1149" s="4">
        <f t="shared" si="1"/>
        <v>16.4</v>
      </c>
      <c r="F1149" s="4" t="str">
        <f t="array" ref="F1149">IF(D1149&gt;=_xlfn.PERCENTILE.INC(D1149:D2807, 0.9), "High", "Low")</f>
        <v>Low</v>
      </c>
      <c r="L1149" s="4" t="str">
        <f t="shared" si="2"/>
        <v/>
      </c>
    </row>
    <row r="1150" ht="14.25" customHeight="1">
      <c r="A1150" s="1" t="s">
        <v>3322</v>
      </c>
      <c r="B1150" s="1">
        <v>5.9</v>
      </c>
      <c r="C1150" s="4" t="str">
        <f>IFERROR(__xludf.DUMMYFUNCTION("""COMPUTED_VALUE"""),"Jaume BalaguerÃ³")</f>
        <v>Jaume BalaguerÃ³</v>
      </c>
      <c r="D1150" s="4">
        <f t="array" ref="D1150">IFERROR(AVERAGEIFS($B$2:$B$3757, $A$2:$A$3757, C1150:C4904), "")</f>
        <v>6</v>
      </c>
      <c r="E1150" s="4">
        <f t="shared" si="1"/>
        <v>29.4</v>
      </c>
      <c r="F1150" s="4" t="str">
        <f t="array" ref="F1150">IF(D1150&gt;=_xlfn.PERCENTILE.INC(D1150:D2808, 0.9), "High", "Low")</f>
        <v>Low</v>
      </c>
      <c r="L1150" s="4" t="str">
        <f t="shared" si="2"/>
        <v/>
      </c>
    </row>
    <row r="1151" ht="14.25" customHeight="1">
      <c r="A1151" s="1" t="s">
        <v>723</v>
      </c>
      <c r="B1151" s="1">
        <v>8.0</v>
      </c>
      <c r="C1151" s="4" t="str">
        <f>IFERROR(__xludf.DUMMYFUNCTION("""COMPUTED_VALUE"""),"Jon Kasdan")</f>
        <v>Jon Kasdan</v>
      </c>
      <c r="D1151" s="4">
        <f t="array" ref="D1151">IFERROR(AVERAGEIFS($B$2:$B$3757, $A$2:$A$3757, C1151:C4905), "")</f>
        <v>6.5</v>
      </c>
      <c r="E1151" s="4">
        <f t="shared" si="1"/>
        <v>44.3</v>
      </c>
      <c r="F1151" s="4" t="str">
        <f t="array" ref="F1151">IF(D1151&gt;=_xlfn.PERCENTILE.INC(D1151:D2809, 0.9), "High", "Low")</f>
        <v>Low</v>
      </c>
      <c r="L1151" s="4" t="str">
        <f t="shared" si="2"/>
        <v/>
      </c>
    </row>
    <row r="1152" ht="14.25" customHeight="1">
      <c r="A1152" s="1" t="s">
        <v>5997</v>
      </c>
      <c r="B1152" s="1">
        <v>4.6</v>
      </c>
      <c r="C1152" s="4" t="str">
        <f>IFERROR(__xludf.DUMMYFUNCTION("""COMPUTED_VALUE"""),"Dean Wright")</f>
        <v>Dean Wright</v>
      </c>
      <c r="D1152" s="4">
        <f t="array" ref="D1152">IFERROR(AVERAGEIFS($B$2:$B$3757, $A$2:$A$3757, C1152:C4906), "")</f>
        <v>6.6</v>
      </c>
      <c r="E1152" s="4">
        <f t="shared" si="1"/>
        <v>49.3</v>
      </c>
      <c r="F1152" s="4" t="str">
        <f t="array" ref="F1152">IF(D1152&gt;=_xlfn.PERCENTILE.INC(D1152:D2810, 0.9), "High", "Low")</f>
        <v>Low</v>
      </c>
      <c r="L1152" s="4" t="str">
        <f t="shared" si="2"/>
        <v/>
      </c>
    </row>
    <row r="1153" ht="14.25" customHeight="1">
      <c r="A1153" s="1" t="s">
        <v>38</v>
      </c>
      <c r="B1153" s="1">
        <v>6.1</v>
      </c>
      <c r="C1153" s="4" t="str">
        <f>IFERROR(__xludf.DUMMYFUNCTION("""COMPUTED_VALUE"""),"Darren Lynn Bousman")</f>
        <v>Darren Lynn Bousman</v>
      </c>
      <c r="D1153" s="4">
        <f t="array" ref="D1153">IFERROR(AVERAGEIFS($B$2:$B$3757, $A$2:$A$3757, C1153:C4907), "")</f>
        <v>6.35</v>
      </c>
      <c r="E1153" s="4">
        <f t="shared" si="1"/>
        <v>41.3</v>
      </c>
      <c r="F1153" s="4" t="str">
        <f t="array" ref="F1153">IF(D1153&gt;=_xlfn.PERCENTILE.INC(D1153:D2811, 0.9), "High", "Low")</f>
        <v>Low</v>
      </c>
      <c r="L1153" s="4" t="str">
        <f t="shared" si="2"/>
        <v/>
      </c>
    </row>
    <row r="1154" ht="14.25" customHeight="1">
      <c r="A1154" s="1" t="s">
        <v>550</v>
      </c>
      <c r="B1154" s="1">
        <v>7.2</v>
      </c>
      <c r="C1154" s="4" t="str">
        <f>IFERROR(__xludf.DUMMYFUNCTION("""COMPUTED_VALUE"""),"James DeMonaco")</f>
        <v>James DeMonaco</v>
      </c>
      <c r="D1154" s="4">
        <f t="array" ref="D1154">IFERROR(AVERAGEIFS($B$2:$B$3757, $A$2:$A$3757, C1154:C4908), "")</f>
        <v>6.1</v>
      </c>
      <c r="E1154" s="4">
        <f t="shared" si="1"/>
        <v>36.1</v>
      </c>
      <c r="F1154" s="4" t="str">
        <f t="array" ref="F1154">IF(D1154&gt;=_xlfn.PERCENTILE.INC(D1154:D2812, 0.9), "High", "Low")</f>
        <v>Low</v>
      </c>
      <c r="L1154" s="4" t="str">
        <f t="shared" si="2"/>
        <v/>
      </c>
    </row>
    <row r="1155" ht="14.25" customHeight="1">
      <c r="A1155" s="1" t="s">
        <v>5699</v>
      </c>
      <c r="B1155" s="1">
        <v>6.4</v>
      </c>
      <c r="C1155" s="4" t="str">
        <f>IFERROR(__xludf.DUMMYFUNCTION("""COMPUTED_VALUE"""),"Carol Reed")</f>
        <v>Carol Reed</v>
      </c>
      <c r="D1155" s="4">
        <f t="array" ref="D1155">IFERROR(AVERAGEIFS($B$2:$B$3757, $A$2:$A$3757, C1155:C4909), "")</f>
        <v>7.5</v>
      </c>
      <c r="E1155" s="4">
        <f t="shared" si="1"/>
        <v>85.6</v>
      </c>
      <c r="F1155" s="4" t="str">
        <f t="array" ref="F1155">IF(D1155&gt;=_xlfn.PERCENTILE.INC(D1155:D2813, 0.9), "High", "Low")</f>
        <v>Low</v>
      </c>
      <c r="L1155" s="4" t="str">
        <f t="shared" si="2"/>
        <v/>
      </c>
    </row>
    <row r="1156" ht="14.25" customHeight="1">
      <c r="A1156" s="1" t="s">
        <v>6012</v>
      </c>
      <c r="B1156" s="1">
        <v>6.0</v>
      </c>
      <c r="C1156" s="4" t="str">
        <f>IFERROR(__xludf.DUMMYFUNCTION("""COMPUTED_VALUE"""),"Chuck Sheetz")</f>
        <v>Chuck Sheetz</v>
      </c>
      <c r="D1156" s="4">
        <f t="array" ref="D1156">IFERROR(AVERAGEIFS($B$2:$B$3757, $A$2:$A$3757, C1156:C4910), "")</f>
        <v>6.5</v>
      </c>
      <c r="E1156" s="4">
        <f t="shared" si="1"/>
        <v>44.4</v>
      </c>
      <c r="F1156" s="4" t="str">
        <f t="array" ref="F1156">IF(D1156&gt;=_xlfn.PERCENTILE.INC(D1156:D2814, 0.9), "High", "Low")</f>
        <v>Low</v>
      </c>
      <c r="L1156" s="4" t="str">
        <f t="shared" si="2"/>
        <v/>
      </c>
    </row>
    <row r="1157" ht="14.25" customHeight="1">
      <c r="A1157" s="1" t="s">
        <v>5498</v>
      </c>
      <c r="B1157" s="1">
        <v>5.2</v>
      </c>
      <c r="C1157" s="4" t="str">
        <f>IFERROR(__xludf.DUMMYFUNCTION("""COMPUTED_VALUE"""),"Marcus Raboy")</f>
        <v>Marcus Raboy</v>
      </c>
      <c r="D1157" s="4">
        <f t="array" ref="D1157">IFERROR(AVERAGEIFS($B$2:$B$3757, $A$2:$A$3757, C1157:C4911), "")</f>
        <v>5.8</v>
      </c>
      <c r="E1157" s="4">
        <f t="shared" si="1"/>
        <v>24.2</v>
      </c>
      <c r="F1157" s="4" t="str">
        <f t="array" ref="F1157">IF(D1157&gt;=_xlfn.PERCENTILE.INC(D1157:D2815, 0.9), "High", "Low")</f>
        <v>Low</v>
      </c>
      <c r="L1157" s="4" t="str">
        <f t="shared" si="2"/>
        <v/>
      </c>
    </row>
    <row r="1158" ht="14.25" customHeight="1">
      <c r="A1158" s="1" t="s">
        <v>381</v>
      </c>
      <c r="B1158" s="1">
        <v>7.6</v>
      </c>
      <c r="C1158" s="4" t="str">
        <f>IFERROR(__xludf.DUMMYFUNCTION("""COMPUTED_VALUE"""),"Leigh Whannell")</f>
        <v>Leigh Whannell</v>
      </c>
      <c r="D1158" s="4">
        <f t="array" ref="D1158">IFERROR(AVERAGEIFS($B$2:$B$3757, $A$2:$A$3757, C1158:C4912), "")</f>
        <v>6.1</v>
      </c>
      <c r="E1158" s="4">
        <f t="shared" si="1"/>
        <v>32</v>
      </c>
      <c r="F1158" s="4" t="str">
        <f t="array" ref="F1158">IF(D1158&gt;=_xlfn.PERCENTILE.INC(D1158:D2816, 0.9), "High", "Low")</f>
        <v>Low</v>
      </c>
      <c r="L1158" s="4" t="str">
        <f t="shared" si="2"/>
        <v/>
      </c>
    </row>
    <row r="1159" ht="14.25" customHeight="1">
      <c r="A1159" s="1" t="s">
        <v>1967</v>
      </c>
      <c r="B1159" s="1">
        <v>6.4</v>
      </c>
      <c r="C1159" s="4" t="str">
        <f>IFERROR(__xludf.DUMMYFUNCTION("""COMPUTED_VALUE"""),"Michael Schultz")</f>
        <v>Michael Schultz</v>
      </c>
      <c r="D1159" s="4">
        <f t="array" ref="D1159">IFERROR(AVERAGEIFS($B$2:$B$3757, $A$2:$A$3757, C1159:C4913), "")</f>
        <v>6.9</v>
      </c>
      <c r="E1159" s="4">
        <f t="shared" si="1"/>
        <v>61.4</v>
      </c>
      <c r="F1159" s="4" t="str">
        <f t="array" ref="F1159">IF(D1159&gt;=_xlfn.PERCENTILE.INC(D1159:D2817, 0.9), "High", "Low")</f>
        <v>Low</v>
      </c>
      <c r="L1159" s="4" t="str">
        <f t="shared" si="2"/>
        <v/>
      </c>
    </row>
    <row r="1160" ht="14.25" customHeight="1">
      <c r="A1160" s="1" t="s">
        <v>1596</v>
      </c>
      <c r="B1160" s="1">
        <v>6.1</v>
      </c>
      <c r="C1160" s="4" t="str">
        <f>IFERROR(__xludf.DUMMYFUNCTION("""COMPUTED_VALUE"""),"Peter Sollett")</f>
        <v>Peter Sollett</v>
      </c>
      <c r="D1160" s="4">
        <f t="array" ref="D1160">IFERROR(AVERAGEIFS($B$2:$B$3757, $A$2:$A$3757, C1160:C4914), "")</f>
        <v>6.8</v>
      </c>
      <c r="E1160" s="4">
        <f t="shared" si="1"/>
        <v>57.5</v>
      </c>
      <c r="F1160" s="4" t="str">
        <f t="array" ref="F1160">IF(D1160&gt;=_xlfn.PERCENTILE.INC(D1160:D2818, 0.9), "High", "Low")</f>
        <v>Low</v>
      </c>
      <c r="L1160" s="4" t="str">
        <f t="shared" si="2"/>
        <v/>
      </c>
    </row>
    <row r="1161" ht="14.25" customHeight="1">
      <c r="A1161" s="1" t="s">
        <v>2700</v>
      </c>
      <c r="B1161" s="1">
        <v>6.1</v>
      </c>
      <c r="C1161" s="4" t="str">
        <f>IFERROR(__xludf.DUMMYFUNCTION("""COMPUTED_VALUE"""),"Bob Dolman")</f>
        <v>Bob Dolman</v>
      </c>
      <c r="D1161" s="4">
        <f t="array" ref="D1161">IFERROR(AVERAGEIFS($B$2:$B$3757, $A$2:$A$3757, C1161:C4915), "")</f>
        <v>5.6</v>
      </c>
      <c r="E1161" s="4">
        <f t="shared" si="1"/>
        <v>18.8</v>
      </c>
      <c r="F1161" s="4" t="str">
        <f t="array" ref="F1161">IF(D1161&gt;=_xlfn.PERCENTILE.INC(D1161:D2819, 0.9), "High", "Low")</f>
        <v>Low</v>
      </c>
      <c r="L1161" s="4" t="str">
        <f t="shared" si="2"/>
        <v/>
      </c>
    </row>
    <row r="1162" ht="14.25" customHeight="1">
      <c r="A1162" s="1" t="s">
        <v>6041</v>
      </c>
      <c r="B1162" s="1">
        <v>5.2</v>
      </c>
      <c r="C1162" s="4" t="str">
        <f>IFERROR(__xludf.DUMMYFUNCTION("""COMPUTED_VALUE"""),"Rowdy Herrington")</f>
        <v>Rowdy Herrington</v>
      </c>
      <c r="D1162" s="4">
        <f t="array" ref="D1162">IFERROR(AVERAGEIFS($B$2:$B$3757, $A$2:$A$3757, C1162:C4916), "")</f>
        <v>6.5</v>
      </c>
      <c r="E1162" s="4">
        <f t="shared" si="1"/>
        <v>44.3</v>
      </c>
      <c r="F1162" s="4" t="str">
        <f t="array" ref="F1162">IF(D1162&gt;=_xlfn.PERCENTILE.INC(D1162:D2820, 0.9), "High", "Low")</f>
        <v>Low</v>
      </c>
      <c r="L1162" s="4" t="str">
        <f t="shared" si="2"/>
        <v/>
      </c>
    </row>
    <row r="1163" ht="14.25" customHeight="1">
      <c r="A1163" s="1" t="s">
        <v>513</v>
      </c>
      <c r="B1163" s="1">
        <v>7.7</v>
      </c>
      <c r="C1163" s="4" t="str">
        <f>IFERROR(__xludf.DUMMYFUNCTION("""COMPUTED_VALUE"""),"Greg Coolidge")</f>
        <v>Greg Coolidge</v>
      </c>
      <c r="D1163" s="4">
        <f t="array" ref="D1163">IFERROR(AVERAGEIFS($B$2:$B$3757, $A$2:$A$3757, C1163:C4917), "")</f>
        <v>5.5</v>
      </c>
      <c r="E1163" s="4">
        <f t="shared" si="1"/>
        <v>16.9</v>
      </c>
      <c r="F1163" s="4" t="str">
        <f t="array" ref="F1163">IF(D1163&gt;=_xlfn.PERCENTILE.INC(D1163:D2821, 0.9), "High", "Low")</f>
        <v>Low</v>
      </c>
      <c r="L1163" s="4" t="str">
        <f t="shared" si="2"/>
        <v/>
      </c>
    </row>
    <row r="1164" ht="14.25" customHeight="1">
      <c r="A1164" s="1" t="s">
        <v>6050</v>
      </c>
      <c r="B1164" s="1">
        <v>7.3</v>
      </c>
      <c r="C1164" s="4" t="str">
        <f>IFERROR(__xludf.DUMMYFUNCTION("""COMPUTED_VALUE"""),"CiarÃ¡n Foy")</f>
        <v>CiarÃ¡n Foy</v>
      </c>
      <c r="D1164" s="4">
        <f t="array" ref="D1164">IFERROR(AVERAGEIFS($B$2:$B$3757, $A$2:$A$3757, C1164:C4918), "")</f>
        <v>5.2</v>
      </c>
      <c r="E1164" s="4">
        <f t="shared" si="1"/>
        <v>11.5</v>
      </c>
      <c r="F1164" s="4" t="str">
        <f t="array" ref="F1164">IF(D1164&gt;=_xlfn.PERCENTILE.INC(D1164:D2822, 0.9), "High", "Low")</f>
        <v>Low</v>
      </c>
      <c r="L1164" s="4" t="str">
        <f t="shared" si="2"/>
        <v/>
      </c>
    </row>
    <row r="1165" ht="14.25" customHeight="1">
      <c r="A1165" s="1" t="s">
        <v>4844</v>
      </c>
      <c r="B1165" s="1">
        <v>6.9</v>
      </c>
      <c r="C1165" s="4" t="str">
        <f>IFERROR(__xludf.DUMMYFUNCTION("""COMPUTED_VALUE"""),"Salim Akil")</f>
        <v>Salim Akil</v>
      </c>
      <c r="D1165" s="4">
        <f t="array" ref="D1165">IFERROR(AVERAGEIFS($B$2:$B$3757, $A$2:$A$3757, C1165:C4919), "")</f>
        <v>5.7</v>
      </c>
      <c r="E1165" s="4">
        <f t="shared" si="1"/>
        <v>21.6</v>
      </c>
      <c r="F1165" s="4" t="str">
        <f t="array" ref="F1165">IF(D1165&gt;=_xlfn.PERCENTILE.INC(D1165:D2823, 0.9), "High", "Low")</f>
        <v>Low</v>
      </c>
      <c r="L1165" s="4" t="str">
        <f t="shared" si="2"/>
        <v/>
      </c>
    </row>
    <row r="1166" ht="14.25" customHeight="1">
      <c r="A1166" s="1" t="s">
        <v>55</v>
      </c>
      <c r="B1166" s="1">
        <v>8.5</v>
      </c>
      <c r="C1166" s="4" t="str">
        <f>IFERROR(__xludf.DUMMYFUNCTION("""COMPUTED_VALUE"""),"Olatunde Osunsanmi")</f>
        <v>Olatunde Osunsanmi</v>
      </c>
      <c r="D1166" s="4">
        <f t="array" ref="D1166">IFERROR(AVERAGEIFS($B$2:$B$3757, $A$2:$A$3757, C1166:C4920), "")</f>
        <v>5.9</v>
      </c>
      <c r="E1166" s="4">
        <f t="shared" si="1"/>
        <v>25.3</v>
      </c>
      <c r="F1166" s="4" t="str">
        <f t="array" ref="F1166">IF(D1166&gt;=_xlfn.PERCENTILE.INC(D1166:D2824, 0.9), "High", "Low")</f>
        <v>Low</v>
      </c>
      <c r="L1166" s="4" t="str">
        <f t="shared" si="2"/>
        <v/>
      </c>
    </row>
    <row r="1167" ht="14.25" customHeight="1">
      <c r="A1167" s="1" t="s">
        <v>4270</v>
      </c>
      <c r="B1167" s="1">
        <v>6.3</v>
      </c>
      <c r="C1167" s="4" t="str">
        <f>IFERROR(__xludf.DUMMYFUNCTION("""COMPUTED_VALUE"""),"Leon Ichaso")</f>
        <v>Leon Ichaso</v>
      </c>
      <c r="D1167" s="4">
        <f t="array" ref="D1167">IFERROR(AVERAGEIFS($B$2:$B$3757, $A$2:$A$3757, C1167:C4921), "")</f>
        <v>5.9</v>
      </c>
      <c r="E1167" s="4">
        <f t="shared" si="1"/>
        <v>25.3</v>
      </c>
      <c r="F1167" s="4" t="str">
        <f t="array" ref="F1167">IF(D1167&gt;=_xlfn.PERCENTILE.INC(D1167:D2825, 0.9), "High", "Low")</f>
        <v>Low</v>
      </c>
      <c r="L1167" s="4" t="str">
        <f t="shared" si="2"/>
        <v/>
      </c>
    </row>
    <row r="1168" ht="14.25" customHeight="1">
      <c r="A1168" s="1" t="s">
        <v>6066</v>
      </c>
      <c r="B1168" s="1">
        <v>5.9</v>
      </c>
      <c r="C1168" s="4" t="str">
        <f>IFERROR(__xludf.DUMMYFUNCTION("""COMPUTED_VALUE"""),"Patricia Rozema")</f>
        <v>Patricia Rozema</v>
      </c>
      <c r="D1168" s="4">
        <f t="array" ref="D1168">IFERROR(AVERAGEIFS($B$2:$B$3757, $A$2:$A$3757, C1168:C4922), "")</f>
        <v>6.7</v>
      </c>
      <c r="E1168" s="4">
        <f t="shared" si="1"/>
        <v>52.1</v>
      </c>
      <c r="F1168" s="4" t="str">
        <f t="array" ref="F1168">IF(D1168&gt;=_xlfn.PERCENTILE.INC(D1168:D2826, 0.9), "High", "Low")</f>
        <v>Low</v>
      </c>
      <c r="L1168" s="4" t="str">
        <f t="shared" si="2"/>
        <v/>
      </c>
    </row>
    <row r="1169" ht="14.25" customHeight="1">
      <c r="A1169" s="1" t="s">
        <v>3073</v>
      </c>
      <c r="B1169" s="1">
        <v>7.8</v>
      </c>
      <c r="C1169" s="4" t="str">
        <f>IFERROR(__xludf.DUMMYFUNCTION("""COMPUTED_VALUE"""),"Rob Schmidt")</f>
        <v>Rob Schmidt</v>
      </c>
      <c r="D1169" s="4">
        <f t="array" ref="D1169">IFERROR(AVERAGEIFS($B$2:$B$3757, $A$2:$A$3757, C1169:C4923), "")</f>
        <v>6.1</v>
      </c>
      <c r="E1169" s="4">
        <f t="shared" si="1"/>
        <v>31.5</v>
      </c>
      <c r="F1169" s="4" t="str">
        <f t="array" ref="F1169">IF(D1169&gt;=_xlfn.PERCENTILE.INC(D1169:D2827, 0.9), "High", "Low")</f>
        <v>Low</v>
      </c>
      <c r="L1169" s="4" t="str">
        <f t="shared" si="2"/>
        <v/>
      </c>
    </row>
    <row r="1170" ht="14.25" customHeight="1">
      <c r="A1170" s="1" t="s">
        <v>5767</v>
      </c>
      <c r="B1170" s="1">
        <v>6.7</v>
      </c>
      <c r="C1170" s="4" t="str">
        <f>IFERROR(__xludf.DUMMYFUNCTION("""COMPUTED_VALUE"""),"Robert Ben Garant")</f>
        <v>Robert Ben Garant</v>
      </c>
      <c r="D1170" s="4">
        <f t="array" ref="D1170">IFERROR(AVERAGEIFS($B$2:$B$3757, $A$2:$A$3757, C1170:C4924), "")</f>
        <v>5.9</v>
      </c>
      <c r="E1170" s="4">
        <f t="shared" si="1"/>
        <v>25.5</v>
      </c>
      <c r="F1170" s="4" t="str">
        <f t="array" ref="F1170">IF(D1170&gt;=_xlfn.PERCENTILE.INC(D1170:D2828, 0.9), "High", "Low")</f>
        <v>Low</v>
      </c>
      <c r="L1170" s="4" t="str">
        <f t="shared" si="2"/>
        <v/>
      </c>
    </row>
    <row r="1171" ht="14.25" customHeight="1">
      <c r="A1171" s="1" t="s">
        <v>6082</v>
      </c>
      <c r="B1171" s="1">
        <v>6.4</v>
      </c>
      <c r="C1171" s="4" t="str">
        <f>IFERROR(__xludf.DUMMYFUNCTION("""COMPUTED_VALUE"""),"Morgan Spurlock")</f>
        <v>Morgan Spurlock</v>
      </c>
      <c r="D1171" s="4">
        <f t="array" ref="D1171">IFERROR(AVERAGEIFS($B$2:$B$3757, $A$2:$A$3757, C1171:C4925), "")</f>
        <v>5.7</v>
      </c>
      <c r="E1171" s="4">
        <f t="shared" si="1"/>
        <v>21.6</v>
      </c>
      <c r="F1171" s="4" t="str">
        <f t="array" ref="F1171">IF(D1171&gt;=_xlfn.PERCENTILE.INC(D1171:D2829, 0.9), "High", "Low")</f>
        <v>Low</v>
      </c>
      <c r="L1171" s="4" t="str">
        <f t="shared" si="2"/>
        <v/>
      </c>
    </row>
    <row r="1172" ht="14.25" customHeight="1">
      <c r="A1172" s="1" t="s">
        <v>2580</v>
      </c>
      <c r="B1172" s="1">
        <v>5.9</v>
      </c>
      <c r="C1172" s="4" t="str">
        <f>IFERROR(__xludf.DUMMYFUNCTION("""COMPUTED_VALUE"""),"Tuck Tucker")</f>
        <v>Tuck Tucker</v>
      </c>
      <c r="D1172" s="4">
        <f t="array" ref="D1172">IFERROR(AVERAGEIFS($B$2:$B$3757, $A$2:$A$3757, C1172:C4926), "")</f>
        <v>5.9</v>
      </c>
      <c r="E1172" s="4">
        <f t="shared" si="1"/>
        <v>25.4</v>
      </c>
      <c r="F1172" s="4" t="str">
        <f t="array" ref="F1172">IF(D1172&gt;=_xlfn.PERCENTILE.INC(D1172:D2830, 0.9), "High", "Low")</f>
        <v>Low</v>
      </c>
      <c r="L1172" s="4" t="str">
        <f t="shared" si="2"/>
        <v/>
      </c>
    </row>
    <row r="1173" ht="14.25" customHeight="1">
      <c r="A1173" s="1" t="s">
        <v>4175</v>
      </c>
      <c r="B1173" s="1">
        <v>6.6</v>
      </c>
      <c r="C1173" s="4" t="str">
        <f>IFERROR(__xludf.DUMMYFUNCTION("""COMPUTED_VALUE"""),"Theodore Witcher")</f>
        <v>Theodore Witcher</v>
      </c>
      <c r="D1173" s="4">
        <f t="array" ref="D1173">IFERROR(AVERAGEIFS($B$2:$B$3757, $A$2:$A$3757, C1173:C4927), "")</f>
        <v>7.4</v>
      </c>
      <c r="E1173" s="4">
        <f t="shared" si="1"/>
        <v>82.8</v>
      </c>
      <c r="F1173" s="4" t="str">
        <f t="array" ref="F1173">IF(D1173&gt;=_xlfn.PERCENTILE.INC(D1173:D2831, 0.9), "High", "Low")</f>
        <v>Low</v>
      </c>
      <c r="L1173" s="4" t="str">
        <f t="shared" si="2"/>
        <v/>
      </c>
    </row>
    <row r="1174" ht="14.25" customHeight="1">
      <c r="A1174" s="1" t="s">
        <v>6095</v>
      </c>
      <c r="B1174" s="1">
        <v>6.8</v>
      </c>
      <c r="C1174" s="4" t="str">
        <f>IFERROR(__xludf.DUMMYFUNCTION("""COMPUTED_VALUE"""),"Joel Edgerton")</f>
        <v>Joel Edgerton</v>
      </c>
      <c r="D1174" s="4">
        <f t="array" ref="D1174">IFERROR(AVERAGEIFS($B$2:$B$3757, $A$2:$A$3757, C1174:C4928), "")</f>
        <v>7.1</v>
      </c>
      <c r="E1174" s="4">
        <f t="shared" si="1"/>
        <v>70.2</v>
      </c>
      <c r="F1174" s="4" t="str">
        <f t="array" ref="F1174">IF(D1174&gt;=_xlfn.PERCENTILE.INC(D1174:D2832, 0.9), "High", "Low")</f>
        <v>Low</v>
      </c>
      <c r="L1174" s="4" t="str">
        <f t="shared" si="2"/>
        <v/>
      </c>
    </row>
    <row r="1175" ht="14.25" customHeight="1">
      <c r="A1175" s="1" t="s">
        <v>4166</v>
      </c>
      <c r="B1175" s="1">
        <v>6.5</v>
      </c>
      <c r="C1175" s="4" t="str">
        <f>IFERROR(__xludf.DUMMYFUNCTION("""COMPUTED_VALUE"""),"Jim Hanon")</f>
        <v>Jim Hanon</v>
      </c>
      <c r="D1175" s="4">
        <f t="array" ref="D1175">IFERROR(AVERAGEIFS($B$2:$B$3757, $A$2:$A$3757, C1175:C4929), "")</f>
        <v>7</v>
      </c>
      <c r="E1175" s="4">
        <f t="shared" si="1"/>
        <v>65.4</v>
      </c>
      <c r="F1175" s="4" t="str">
        <f t="array" ref="F1175">IF(D1175&gt;=_xlfn.PERCENTILE.INC(D1175:D2833, 0.9), "High", "Low")</f>
        <v>Low</v>
      </c>
      <c r="L1175" s="4" t="str">
        <f t="shared" si="2"/>
        <v/>
      </c>
    </row>
    <row r="1176" ht="14.25" customHeight="1">
      <c r="A1176" s="1" t="s">
        <v>6106</v>
      </c>
      <c r="B1176" s="1">
        <v>6.6</v>
      </c>
      <c r="C1176" s="4" t="str">
        <f>IFERROR(__xludf.DUMMYFUNCTION("""COMPUTED_VALUE"""),"Michael Patrick Jann")</f>
        <v>Michael Patrick Jann</v>
      </c>
      <c r="D1176" s="4">
        <f t="array" ref="D1176">IFERROR(AVERAGEIFS($B$2:$B$3757, $A$2:$A$3757, C1176:C4930), "")</f>
        <v>6.5</v>
      </c>
      <c r="E1176" s="4">
        <f t="shared" si="1"/>
        <v>43.7</v>
      </c>
      <c r="F1176" s="4" t="str">
        <f t="array" ref="F1176">IF(D1176&gt;=_xlfn.PERCENTILE.INC(D1176:D2834, 0.9), "High", "Low")</f>
        <v>Low</v>
      </c>
      <c r="L1176" s="4" t="str">
        <f t="shared" si="2"/>
        <v/>
      </c>
    </row>
    <row r="1177" ht="14.25" customHeight="1">
      <c r="A1177" s="1" t="s">
        <v>6110</v>
      </c>
      <c r="B1177" s="1">
        <v>5.8</v>
      </c>
      <c r="C1177" s="4" t="str">
        <f>IFERROR(__xludf.DUMMYFUNCTION("""COMPUTED_VALUE"""),"Jorma Taccone")</f>
        <v>Jorma Taccone</v>
      </c>
      <c r="D1177" s="4">
        <f t="array" ref="D1177">IFERROR(AVERAGEIFS($B$2:$B$3757, $A$2:$A$3757, C1177:C4931), "")</f>
        <v>5.5</v>
      </c>
      <c r="E1177" s="4">
        <f t="shared" si="1"/>
        <v>17.1</v>
      </c>
      <c r="F1177" s="4" t="str">
        <f t="array" ref="F1177">IF(D1177&gt;=_xlfn.PERCENTILE.INC(D1177:D2835, 0.9), "High", "Low")</f>
        <v>Low</v>
      </c>
      <c r="L1177" s="4" t="str">
        <f t="shared" si="2"/>
        <v/>
      </c>
    </row>
    <row r="1178" ht="14.25" customHeight="1">
      <c r="A1178" s="1" t="s">
        <v>3503</v>
      </c>
      <c r="B1178" s="1">
        <v>6.9</v>
      </c>
      <c r="C1178" s="4" t="str">
        <f>IFERROR(__xludf.DUMMYFUNCTION("""COMPUTED_VALUE"""),"Jeff Lowell")</f>
        <v>Jeff Lowell</v>
      </c>
      <c r="D1178" s="4">
        <f t="array" ref="D1178">IFERROR(AVERAGEIFS($B$2:$B$3757, $A$2:$A$3757, C1178:C4932), "")</f>
        <v>5.2</v>
      </c>
      <c r="E1178" s="4">
        <f t="shared" si="1"/>
        <v>11.8</v>
      </c>
      <c r="F1178" s="4" t="str">
        <f t="array" ref="F1178">IF(D1178&gt;=_xlfn.PERCENTILE.INC(D1178:D2836, 0.9), "High", "Low")</f>
        <v>Low</v>
      </c>
      <c r="L1178" s="4" t="str">
        <f t="shared" si="2"/>
        <v/>
      </c>
    </row>
    <row r="1179" ht="14.25" customHeight="1">
      <c r="A1179" s="1" t="s">
        <v>4578</v>
      </c>
      <c r="B1179" s="1">
        <v>7.1</v>
      </c>
      <c r="C1179" s="4" t="str">
        <f>IFERROR(__xludf.DUMMYFUNCTION("""COMPUTED_VALUE"""),"Lorene Scafaria")</f>
        <v>Lorene Scafaria</v>
      </c>
      <c r="D1179" s="4">
        <f t="array" ref="D1179">IFERROR(AVERAGEIFS($B$2:$B$3757, $A$2:$A$3757, C1179:C4933), "")</f>
        <v>6.7</v>
      </c>
      <c r="E1179" s="4">
        <f t="shared" si="1"/>
        <v>51.9</v>
      </c>
      <c r="F1179" s="4" t="str">
        <f t="array" ref="F1179">IF(D1179&gt;=_xlfn.PERCENTILE.INC(D1179:D2837, 0.9), "High", "Low")</f>
        <v>Low</v>
      </c>
      <c r="L1179" s="4" t="str">
        <f t="shared" si="2"/>
        <v/>
      </c>
    </row>
    <row r="1180" ht="14.25" customHeight="1">
      <c r="A1180" s="1" t="s">
        <v>5533</v>
      </c>
      <c r="B1180" s="1">
        <v>5.8</v>
      </c>
      <c r="C1180" s="4" t="str">
        <f>IFERROR(__xludf.DUMMYFUNCTION("""COMPUTED_VALUE"""),"Tony Kaye")</f>
        <v>Tony Kaye</v>
      </c>
      <c r="D1180" s="4">
        <f t="array" ref="D1180">IFERROR(AVERAGEIFS($B$2:$B$3757, $A$2:$A$3757, C1180:C4934), "")</f>
        <v>8.6</v>
      </c>
      <c r="E1180" s="4">
        <f t="shared" si="1"/>
        <v>99.6</v>
      </c>
      <c r="F1180" s="4" t="str">
        <f t="array" ref="F1180">IF(D1180&gt;=_xlfn.PERCENTILE.INC(D1180:D2838, 0.9), "High", "Low")</f>
        <v>High</v>
      </c>
      <c r="L1180" s="4" t="str">
        <f t="shared" si="2"/>
        <v/>
      </c>
    </row>
    <row r="1181" ht="14.25" customHeight="1">
      <c r="A1181" s="1" t="s">
        <v>381</v>
      </c>
      <c r="B1181" s="1">
        <v>7.2</v>
      </c>
      <c r="C1181" s="4" t="str">
        <f>IFERROR(__xludf.DUMMYFUNCTION("""COMPUTED_VALUE"""),"Marcus Dunstan")</f>
        <v>Marcus Dunstan</v>
      </c>
      <c r="D1181" s="4">
        <f t="array" ref="D1181">IFERROR(AVERAGEIFS($B$2:$B$3757, $A$2:$A$3757, C1181:C4935), "")</f>
        <v>6.1</v>
      </c>
      <c r="E1181" s="4">
        <f t="shared" si="1"/>
        <v>31.3</v>
      </c>
      <c r="F1181" s="4" t="str">
        <f t="array" ref="F1181">IF(D1181&gt;=_xlfn.PERCENTILE.INC(D1181:D2839, 0.9), "High", "Low")</f>
        <v>Low</v>
      </c>
      <c r="L1181" s="4" t="str">
        <f t="shared" si="2"/>
        <v/>
      </c>
    </row>
    <row r="1182" ht="14.25" customHeight="1">
      <c r="A1182" s="1" t="s">
        <v>1255</v>
      </c>
      <c r="B1182" s="1">
        <v>6.0</v>
      </c>
      <c r="C1182" s="4" t="str">
        <f>IFERROR(__xludf.DUMMYFUNCTION("""COMPUTED_VALUE"""),"Timothy BjÃ¶rklund")</f>
        <v>Timothy BjÃ¶rklund</v>
      </c>
      <c r="D1182" s="4">
        <f t="array" ref="D1182">IFERROR(AVERAGEIFS($B$2:$B$3757, $A$2:$A$3757, C1182:C4936), "")</f>
        <v>5.8</v>
      </c>
      <c r="E1182" s="4">
        <f t="shared" si="1"/>
        <v>24</v>
      </c>
      <c r="F1182" s="4" t="str">
        <f t="array" ref="F1182">IF(D1182&gt;=_xlfn.PERCENTILE.INC(D1182:D2840, 0.9), "High", "Low")</f>
        <v>Low</v>
      </c>
      <c r="L1182" s="4" t="str">
        <f t="shared" si="2"/>
        <v/>
      </c>
    </row>
    <row r="1183" ht="14.25" customHeight="1">
      <c r="A1183" s="1" t="s">
        <v>6139</v>
      </c>
      <c r="B1183" s="1">
        <v>4.7</v>
      </c>
      <c r="C1183" s="4" t="str">
        <f>IFERROR(__xludf.DUMMYFUNCTION("""COMPUTED_VALUE"""),"FranÃ§ois Girard")</f>
        <v>FranÃ§ois Girard</v>
      </c>
      <c r="D1183" s="4">
        <f t="array" ref="D1183">IFERROR(AVERAGEIFS($B$2:$B$3757, $A$2:$A$3757, C1183:C4937), "")</f>
        <v>7.7</v>
      </c>
      <c r="E1183" s="4">
        <f t="shared" si="1"/>
        <v>90.4</v>
      </c>
      <c r="F1183" s="4" t="str">
        <f t="array" ref="F1183">IF(D1183&gt;=_xlfn.PERCENTILE.INC(D1183:D2841, 0.9), "High", "Low")</f>
        <v>High</v>
      </c>
      <c r="L1183" s="4" t="str">
        <f t="shared" si="2"/>
        <v/>
      </c>
    </row>
    <row r="1184" ht="14.25" customHeight="1">
      <c r="A1184" s="1" t="s">
        <v>4022</v>
      </c>
      <c r="B1184" s="1">
        <v>5.2</v>
      </c>
      <c r="C1184" s="4" t="str">
        <f>IFERROR(__xludf.DUMMYFUNCTION("""COMPUTED_VALUE"""),"Scott Kalvert")</f>
        <v>Scott Kalvert</v>
      </c>
      <c r="D1184" s="4">
        <f t="array" ref="D1184">IFERROR(AVERAGEIFS($B$2:$B$3757, $A$2:$A$3757, C1184:C4938), "")</f>
        <v>5.6</v>
      </c>
      <c r="E1184" s="4">
        <f t="shared" si="1"/>
        <v>18.9</v>
      </c>
      <c r="F1184" s="4" t="str">
        <f t="array" ref="F1184">IF(D1184&gt;=_xlfn.PERCENTILE.INC(D1184:D2842, 0.9), "High", "Low")</f>
        <v>Low</v>
      </c>
      <c r="L1184" s="4" t="str">
        <f t="shared" si="2"/>
        <v/>
      </c>
    </row>
    <row r="1185" ht="14.25" customHeight="1">
      <c r="A1185" s="1" t="s">
        <v>4993</v>
      </c>
      <c r="B1185" s="1">
        <v>5.5</v>
      </c>
      <c r="C1185" s="4" t="str">
        <f>IFERROR(__xludf.DUMMYFUNCTION("""COMPUTED_VALUE"""),"Jason Bateman")</f>
        <v>Jason Bateman</v>
      </c>
      <c r="D1185" s="4">
        <f t="array" ref="D1185">IFERROR(AVERAGEIFS($B$2:$B$3757, $A$2:$A$3757, C1185:C4939), "")</f>
        <v>6.7</v>
      </c>
      <c r="E1185" s="4">
        <f t="shared" si="1"/>
        <v>51.9</v>
      </c>
      <c r="F1185" s="4" t="str">
        <f t="array" ref="F1185">IF(D1185&gt;=_xlfn.PERCENTILE.INC(D1185:D2843, 0.9), "High", "Low")</f>
        <v>Low</v>
      </c>
      <c r="L1185" s="4" t="str">
        <f t="shared" si="2"/>
        <v/>
      </c>
    </row>
    <row r="1186" ht="14.25" customHeight="1">
      <c r="A1186" s="1" t="s">
        <v>6155</v>
      </c>
      <c r="B1186" s="1">
        <v>7.0</v>
      </c>
      <c r="C1186" s="4" t="str">
        <f>IFERROR(__xludf.DUMMYFUNCTION("""COMPUTED_VALUE"""),"Eric Bross")</f>
        <v>Eric Bross</v>
      </c>
      <c r="D1186" s="4">
        <f t="array" ref="D1186">IFERROR(AVERAGEIFS($B$2:$B$3757, $A$2:$A$3757, C1186:C4940), "")</f>
        <v>4.1</v>
      </c>
      <c r="E1186" s="4">
        <f t="shared" si="1"/>
        <v>4.8</v>
      </c>
      <c r="F1186" s="4" t="str">
        <f t="array" ref="F1186">IF(D1186&gt;=_xlfn.PERCENTILE.INC(D1186:D2844, 0.9), "High", "Low")</f>
        <v>Low</v>
      </c>
      <c r="L1186" s="4" t="str">
        <f t="shared" si="2"/>
        <v/>
      </c>
    </row>
    <row r="1187" ht="14.25" customHeight="1">
      <c r="A1187" s="1" t="s">
        <v>5857</v>
      </c>
      <c r="B1187" s="1">
        <v>5.8</v>
      </c>
      <c r="C1187" s="4" t="str">
        <f>IFERROR(__xludf.DUMMYFUNCTION("""COMPUTED_VALUE"""),"Jay Duplass")</f>
        <v>Jay Duplass</v>
      </c>
      <c r="D1187" s="4">
        <f t="array" ref="D1187">IFERROR(AVERAGEIFS($B$2:$B$3757, $A$2:$A$3757, C1187:C4941), "")</f>
        <v>6.4</v>
      </c>
      <c r="E1187" s="4">
        <f t="shared" si="1"/>
        <v>40.7</v>
      </c>
      <c r="F1187" s="4" t="str">
        <f t="array" ref="F1187">IF(D1187&gt;=_xlfn.PERCENTILE.INC(D1187:D2845, 0.9), "High", "Low")</f>
        <v>Low</v>
      </c>
      <c r="L1187" s="4" t="str">
        <f t="shared" si="2"/>
        <v/>
      </c>
    </row>
    <row r="1188" ht="14.25" customHeight="1">
      <c r="A1188" s="1" t="s">
        <v>5922</v>
      </c>
      <c r="B1188" s="1">
        <v>6.2</v>
      </c>
      <c r="C1188" s="4" t="str">
        <f>IFERROR(__xludf.DUMMYFUNCTION("""COMPUTED_VALUE"""),"Luca Guadagnino")</f>
        <v>Luca Guadagnino</v>
      </c>
      <c r="D1188" s="4">
        <f t="array" ref="D1188">IFERROR(AVERAGEIFS($B$2:$B$3757, $A$2:$A$3757, C1188:C4942), "")</f>
        <v>7</v>
      </c>
      <c r="E1188" s="4">
        <f t="shared" si="1"/>
        <v>65.1</v>
      </c>
      <c r="F1188" s="4" t="str">
        <f t="array" ref="F1188">IF(D1188&gt;=_xlfn.PERCENTILE.INC(D1188:D2846, 0.9), "High", "Low")</f>
        <v>Low</v>
      </c>
      <c r="L1188" s="4" t="str">
        <f t="shared" si="2"/>
        <v/>
      </c>
    </row>
    <row r="1189" ht="14.25" customHeight="1">
      <c r="A1189" s="1" t="s">
        <v>1268</v>
      </c>
      <c r="B1189" s="1">
        <v>6.5</v>
      </c>
      <c r="C1189" s="4" t="str">
        <f>IFERROR(__xludf.DUMMYFUNCTION("""COMPUTED_VALUE"""),"John Putch")</f>
        <v>John Putch</v>
      </c>
      <c r="D1189" s="4">
        <f t="array" ref="D1189">IFERROR(AVERAGEIFS($B$2:$B$3757, $A$2:$A$3757, C1189:C4943), "")</f>
        <v>5.5</v>
      </c>
      <c r="E1189" s="4">
        <f t="shared" si="1"/>
        <v>17.2</v>
      </c>
      <c r="F1189" s="4" t="str">
        <f t="array" ref="F1189">IF(D1189&gt;=_xlfn.PERCENTILE.INC(D1189:D2847, 0.9), "High", "Low")</f>
        <v>Low</v>
      </c>
      <c r="L1189" s="4" t="str">
        <f t="shared" si="2"/>
        <v/>
      </c>
    </row>
    <row r="1190" ht="14.25" customHeight="1">
      <c r="A1190" s="1" t="s">
        <v>723</v>
      </c>
      <c r="B1190" s="1">
        <v>7.2</v>
      </c>
      <c r="C1190" s="4" t="str">
        <f>IFERROR(__xludf.DUMMYFUNCTION("""COMPUTED_VALUE"""),"Peter Medak")</f>
        <v>Peter Medak</v>
      </c>
      <c r="D1190" s="4">
        <f t="array" ref="D1190">IFERROR(AVERAGEIFS($B$2:$B$3757, $A$2:$A$3757, C1190:C4944), "")</f>
        <v>6.6</v>
      </c>
      <c r="E1190" s="4">
        <f t="shared" si="1"/>
        <v>48</v>
      </c>
      <c r="F1190" s="4" t="str">
        <f t="array" ref="F1190">IF(D1190&gt;=_xlfn.PERCENTILE.INC(D1190:D2848, 0.9), "High", "Low")</f>
        <v>Low</v>
      </c>
      <c r="L1190" s="4" t="str">
        <f t="shared" si="2"/>
        <v/>
      </c>
    </row>
    <row r="1191" ht="14.25" customHeight="1">
      <c r="A1191" s="1" t="s">
        <v>6179</v>
      </c>
      <c r="B1191" s="1">
        <v>5.1</v>
      </c>
      <c r="C1191" s="4" t="str">
        <f>IFERROR(__xludf.DUMMYFUNCTION("""COMPUTED_VALUE"""),"Terence Davies")</f>
        <v>Terence Davies</v>
      </c>
      <c r="D1191" s="4">
        <f t="array" ref="D1191">IFERROR(AVERAGEIFS($B$2:$B$3757, $A$2:$A$3757, C1191:C4945), "")</f>
        <v>7.1</v>
      </c>
      <c r="E1191" s="4">
        <f t="shared" si="1"/>
        <v>69.8</v>
      </c>
      <c r="F1191" s="4" t="str">
        <f t="array" ref="F1191">IF(D1191&gt;=_xlfn.PERCENTILE.INC(D1191:D2849, 0.9), "High", "Low")</f>
        <v>Low</v>
      </c>
      <c r="L1191" s="4" t="str">
        <f t="shared" si="2"/>
        <v/>
      </c>
    </row>
    <row r="1192" ht="14.25" customHeight="1">
      <c r="A1192" s="1" t="s">
        <v>6184</v>
      </c>
      <c r="B1192" s="1">
        <v>4.7</v>
      </c>
      <c r="C1192" s="4" t="str">
        <f>IFERROR(__xludf.DUMMYFUNCTION("""COMPUTED_VALUE"""),"Harley Cokeliss")</f>
        <v>Harley Cokeliss</v>
      </c>
      <c r="D1192" s="4">
        <f t="array" ref="D1192">IFERROR(AVERAGEIFS($B$2:$B$3757, $A$2:$A$3757, C1192:C4946), "")</f>
        <v>5.6</v>
      </c>
      <c r="E1192" s="4">
        <f t="shared" si="1"/>
        <v>18.8</v>
      </c>
      <c r="F1192" s="4" t="str">
        <f t="array" ref="F1192">IF(D1192&gt;=_xlfn.PERCENTILE.INC(D1192:D2850, 0.9), "High", "Low")</f>
        <v>Low</v>
      </c>
      <c r="L1192" s="4" t="str">
        <f t="shared" si="2"/>
        <v/>
      </c>
    </row>
    <row r="1193" ht="14.25" customHeight="1">
      <c r="A1193" s="1" t="s">
        <v>4951</v>
      </c>
      <c r="B1193" s="1">
        <v>5.9</v>
      </c>
      <c r="C1193" s="4" t="str">
        <f>IFERROR(__xludf.DUMMYFUNCTION("""COMPUTED_VALUE"""),"Tom Brady")</f>
        <v>Tom Brady</v>
      </c>
      <c r="D1193" s="4">
        <f t="array" ref="D1193">IFERROR(AVERAGEIFS($B$2:$B$3757, $A$2:$A$3757, C1193:C4947), "")</f>
        <v>3.3</v>
      </c>
      <c r="E1193" s="4">
        <f t="shared" si="1"/>
        <v>1.5</v>
      </c>
      <c r="F1193" s="4" t="str">
        <f t="array" ref="F1193">IF(D1193&gt;=_xlfn.PERCENTILE.INC(D1193:D2851, 0.9), "High", "Low")</f>
        <v>Low</v>
      </c>
      <c r="L1193" s="4" t="str">
        <f t="shared" si="2"/>
        <v/>
      </c>
    </row>
    <row r="1194" ht="14.25" customHeight="1">
      <c r="A1194" s="1" t="s">
        <v>6195</v>
      </c>
      <c r="B1194" s="1">
        <v>5.8</v>
      </c>
      <c r="C1194" s="4" t="str">
        <f>IFERROR(__xludf.DUMMYFUNCTION("""COMPUTED_VALUE"""),"Jason Zada")</f>
        <v>Jason Zada</v>
      </c>
      <c r="D1194" s="4">
        <f t="array" ref="D1194">IFERROR(AVERAGEIFS($B$2:$B$3757, $A$2:$A$3757, C1194:C4948), "")</f>
        <v>4.8</v>
      </c>
      <c r="E1194" s="4">
        <f t="shared" si="1"/>
        <v>8.4</v>
      </c>
      <c r="F1194" s="4" t="str">
        <f t="array" ref="F1194">IF(D1194&gt;=_xlfn.PERCENTILE.INC(D1194:D2852, 0.9), "High", "Low")</f>
        <v>Low</v>
      </c>
      <c r="L1194" s="4" t="str">
        <f t="shared" si="2"/>
        <v/>
      </c>
    </row>
    <row r="1195" ht="14.25" customHeight="1">
      <c r="A1195" s="1" t="s">
        <v>2455</v>
      </c>
      <c r="B1195" s="1">
        <v>7.2</v>
      </c>
      <c r="C1195" s="4" t="str">
        <f>IFERROR(__xludf.DUMMYFUNCTION("""COMPUTED_VALUE"""),"Franklin J. Schaffner")</f>
        <v>Franklin J. Schaffner</v>
      </c>
      <c r="D1195" s="4">
        <f t="array" ref="D1195">IFERROR(AVERAGEIFS($B$2:$B$3757, $A$2:$A$3757, C1195:C4949), "")</f>
        <v>5.2</v>
      </c>
      <c r="E1195" s="4">
        <f t="shared" si="1"/>
        <v>11.6</v>
      </c>
      <c r="F1195" s="4" t="str">
        <f t="array" ref="F1195">IF(D1195&gt;=_xlfn.PERCENTILE.INC(D1195:D2853, 0.9), "High", "Low")</f>
        <v>Low</v>
      </c>
      <c r="L1195" s="4" t="str">
        <f t="shared" si="2"/>
        <v/>
      </c>
    </row>
    <row r="1196" ht="14.25" customHeight="1">
      <c r="A1196" s="1" t="s">
        <v>3322</v>
      </c>
      <c r="B1196" s="1">
        <v>6.2</v>
      </c>
      <c r="C1196" s="4" t="str">
        <f>IFERROR(__xludf.DUMMYFUNCTION("""COMPUTED_VALUE"""),"Noah Baumbach")</f>
        <v>Noah Baumbach</v>
      </c>
      <c r="D1196" s="4">
        <f t="array" ref="D1196">IFERROR(AVERAGEIFS($B$2:$B$3757, $A$2:$A$3757, C1196:C4950), "")</f>
        <v>6.85</v>
      </c>
      <c r="E1196" s="4">
        <f t="shared" si="1"/>
        <v>59.8</v>
      </c>
      <c r="F1196" s="4" t="str">
        <f t="array" ref="F1196">IF(D1196&gt;=_xlfn.PERCENTILE.INC(D1196:D2854, 0.9), "High", "Low")</f>
        <v>Low</v>
      </c>
      <c r="L1196" s="4" t="str">
        <f t="shared" si="2"/>
        <v/>
      </c>
    </row>
    <row r="1197" ht="14.25" customHeight="1">
      <c r="A1197" s="1" t="s">
        <v>2655</v>
      </c>
      <c r="B1197" s="1">
        <v>5.7</v>
      </c>
      <c r="C1197" s="4" t="str">
        <f>IFERROR(__xludf.DUMMYFUNCTION("""COMPUTED_VALUE"""),"Eric Blakeney")</f>
        <v>Eric Blakeney</v>
      </c>
      <c r="D1197" s="4">
        <f t="array" ref="D1197">IFERROR(AVERAGEIFS($B$2:$B$3757, $A$2:$A$3757, C1197:C4951), "")</f>
        <v>5.7</v>
      </c>
      <c r="E1197" s="4">
        <f t="shared" si="1"/>
        <v>20.9</v>
      </c>
      <c r="F1197" s="4" t="str">
        <f t="array" ref="F1197">IF(D1197&gt;=_xlfn.PERCENTILE.INC(D1197:D2855, 0.9), "High", "Low")</f>
        <v>Low</v>
      </c>
      <c r="L1197" s="4" t="str">
        <f t="shared" si="2"/>
        <v/>
      </c>
    </row>
    <row r="1198" ht="14.25" customHeight="1">
      <c r="A1198" s="1" t="s">
        <v>2407</v>
      </c>
      <c r="B1198" s="1">
        <v>6.1</v>
      </c>
      <c r="C1198" s="4" t="str">
        <f>IFERROR(__xludf.DUMMYFUNCTION("""COMPUTED_VALUE"""),"Derrick Borte")</f>
        <v>Derrick Borte</v>
      </c>
      <c r="D1198" s="4">
        <f t="array" ref="D1198">IFERROR(AVERAGEIFS($B$2:$B$3757, $A$2:$A$3757, C1198:C4952), "")</f>
        <v>6.5</v>
      </c>
      <c r="E1198" s="4">
        <f t="shared" si="1"/>
        <v>43</v>
      </c>
      <c r="F1198" s="4" t="str">
        <f t="array" ref="F1198">IF(D1198&gt;=_xlfn.PERCENTILE.INC(D1198:D2856, 0.9), "High", "Low")</f>
        <v>Low</v>
      </c>
      <c r="L1198" s="4" t="str">
        <f t="shared" si="2"/>
        <v/>
      </c>
    </row>
    <row r="1199" ht="14.25" customHeight="1">
      <c r="A1199" s="1" t="s">
        <v>5471</v>
      </c>
      <c r="B1199" s="1">
        <v>6.0</v>
      </c>
      <c r="C1199" s="4" t="str">
        <f>IFERROR(__xludf.DUMMYFUNCTION("""COMPUTED_VALUE"""),"Richard Kwietniowski")</f>
        <v>Richard Kwietniowski</v>
      </c>
      <c r="D1199" s="4">
        <f t="array" ref="D1199">IFERROR(AVERAGEIFS($B$2:$B$3757, $A$2:$A$3757, C1199:C4953), "")</f>
        <v>7.2</v>
      </c>
      <c r="E1199" s="4">
        <f t="shared" si="1"/>
        <v>74.2</v>
      </c>
      <c r="F1199" s="4" t="str">
        <f t="array" ref="F1199">IF(D1199&gt;=_xlfn.PERCENTILE.INC(D1199:D2857, 0.9), "High", "Low")</f>
        <v>Low</v>
      </c>
      <c r="L1199" s="4" t="str">
        <f t="shared" si="2"/>
        <v/>
      </c>
    </row>
    <row r="1200" ht="14.25" customHeight="1">
      <c r="A1200" s="1" t="s">
        <v>6221</v>
      </c>
      <c r="B1200" s="1">
        <v>6.9</v>
      </c>
      <c r="C1200" s="4" t="str">
        <f>IFERROR(__xludf.DUMMYFUNCTION("""COMPUTED_VALUE"""),"Bob Odenkirk")</f>
        <v>Bob Odenkirk</v>
      </c>
      <c r="D1200" s="4">
        <f t="array" ref="D1200">IFERROR(AVERAGEIFS($B$2:$B$3757, $A$2:$A$3757, C1200:C4954), "")</f>
        <v>5.3</v>
      </c>
      <c r="E1200" s="4">
        <f t="shared" si="1"/>
        <v>13.2</v>
      </c>
      <c r="F1200" s="4" t="str">
        <f t="array" ref="F1200">IF(D1200&gt;=_xlfn.PERCENTILE.INC(D1200:D2858, 0.9), "High", "Low")</f>
        <v>Low</v>
      </c>
      <c r="L1200" s="4" t="str">
        <f t="shared" si="2"/>
        <v/>
      </c>
    </row>
    <row r="1201" ht="14.25" customHeight="1">
      <c r="A1201" s="1" t="s">
        <v>5415</v>
      </c>
      <c r="B1201" s="1">
        <v>6.5</v>
      </c>
      <c r="C1201" s="4" t="str">
        <f>IFERROR(__xludf.DUMMYFUNCTION("""COMPUTED_VALUE"""),"Joshua Seftel")</f>
        <v>Joshua Seftel</v>
      </c>
      <c r="D1201" s="4">
        <f t="array" ref="D1201">IFERROR(AVERAGEIFS($B$2:$B$3757, $A$2:$A$3757, C1201:C4955), "")</f>
        <v>5.7</v>
      </c>
      <c r="E1201" s="4">
        <f t="shared" si="1"/>
        <v>20.9</v>
      </c>
      <c r="F1201" s="4" t="str">
        <f t="array" ref="F1201">IF(D1201&gt;=_xlfn.PERCENTILE.INC(D1201:D2859, 0.9), "High", "Low")</f>
        <v>Low</v>
      </c>
      <c r="L1201" s="4" t="str">
        <f t="shared" si="2"/>
        <v/>
      </c>
    </row>
    <row r="1202" ht="14.25" customHeight="1">
      <c r="A1202" s="1" t="s">
        <v>5124</v>
      </c>
      <c r="B1202" s="1">
        <v>5.0</v>
      </c>
      <c r="C1202" s="4" t="str">
        <f>IFERROR(__xludf.DUMMYFUNCTION("""COMPUTED_VALUE"""),"Vincent Gallo")</f>
        <v>Vincent Gallo</v>
      </c>
      <c r="D1202" s="4">
        <f t="array" ref="D1202">IFERROR(AVERAGEIFS($B$2:$B$3757, $A$2:$A$3757, C1202:C4956), "")</f>
        <v>6.25</v>
      </c>
      <c r="E1202" s="4">
        <f t="shared" si="1"/>
        <v>36.4</v>
      </c>
      <c r="F1202" s="4" t="str">
        <f t="array" ref="F1202">IF(D1202&gt;=_xlfn.PERCENTILE.INC(D1202:D2860, 0.9), "High", "Low")</f>
        <v>Low</v>
      </c>
      <c r="L1202" s="4" t="str">
        <f t="shared" si="2"/>
        <v/>
      </c>
    </row>
    <row r="1203" ht="14.25" customHeight="1">
      <c r="A1203" s="1" t="s">
        <v>6238</v>
      </c>
      <c r="B1203" s="1">
        <v>5.7</v>
      </c>
      <c r="C1203" s="4" t="str">
        <f>IFERROR(__xludf.DUMMYFUNCTION("""COMPUTED_VALUE"""),"Jon Stewart")</f>
        <v>Jon Stewart</v>
      </c>
      <c r="D1203" s="4">
        <f t="array" ref="D1203">IFERROR(AVERAGEIFS($B$2:$B$3757, $A$2:$A$3757, C1203:C4957), "")</f>
        <v>6.6</v>
      </c>
      <c r="E1203" s="4">
        <f t="shared" si="1"/>
        <v>47.4</v>
      </c>
      <c r="F1203" s="4" t="str">
        <f t="array" ref="F1203">IF(D1203&gt;=_xlfn.PERCENTILE.INC(D1203:D2861, 0.9), "High", "Low")</f>
        <v>Low</v>
      </c>
      <c r="L1203" s="4" t="str">
        <f t="shared" si="2"/>
        <v/>
      </c>
    </row>
    <row r="1204" ht="14.25" customHeight="1">
      <c r="A1204" s="1" t="s">
        <v>1200</v>
      </c>
      <c r="B1204" s="1">
        <v>7.0</v>
      </c>
      <c r="C1204" s="4" t="str">
        <f>IFERROR(__xludf.DUMMYFUNCTION("""COMPUTED_VALUE"""),"Dan Harris")</f>
        <v>Dan Harris</v>
      </c>
      <c r="D1204" s="4">
        <f t="array" ref="D1204">IFERROR(AVERAGEIFS($B$2:$B$3757, $A$2:$A$3757, C1204:C4958), "")</f>
        <v>7.3</v>
      </c>
      <c r="E1204" s="4">
        <f t="shared" si="1"/>
        <v>79.4</v>
      </c>
      <c r="F1204" s="4" t="str">
        <f t="array" ref="F1204">IF(D1204&gt;=_xlfn.PERCENTILE.INC(D1204:D2862, 0.9), "High", "Low")</f>
        <v>Low</v>
      </c>
      <c r="L1204" s="4" t="str">
        <f t="shared" si="2"/>
        <v/>
      </c>
    </row>
    <row r="1205" ht="14.25" customHeight="1">
      <c r="A1205" s="1" t="s">
        <v>1674</v>
      </c>
      <c r="B1205" s="1">
        <v>5.1</v>
      </c>
      <c r="C1205" s="4" t="str">
        <f>IFERROR(__xludf.DUMMYFUNCTION("""COMPUTED_VALUE"""),"Mel Smith")</f>
        <v>Mel Smith</v>
      </c>
      <c r="D1205" s="4">
        <f t="array" ref="D1205">IFERROR(AVERAGEIFS($B$2:$B$3757, $A$2:$A$3757, C1205:C4959), "")</f>
        <v>6.2</v>
      </c>
      <c r="E1205" s="4">
        <f t="shared" si="1"/>
        <v>34.4</v>
      </c>
      <c r="F1205" s="4" t="str">
        <f t="array" ref="F1205">IF(D1205&gt;=_xlfn.PERCENTILE.INC(D1205:D2863, 0.9), "High", "Low")</f>
        <v>Low</v>
      </c>
      <c r="L1205" s="4" t="str">
        <f t="shared" si="2"/>
        <v/>
      </c>
    </row>
    <row r="1206" ht="14.25" customHeight="1">
      <c r="A1206" s="1" t="s">
        <v>4339</v>
      </c>
      <c r="B1206" s="1">
        <v>5.3</v>
      </c>
      <c r="C1206" s="4" t="str">
        <f>IFERROR(__xludf.DUMMYFUNCTION("""COMPUTED_VALUE"""),"Christopher Smith")</f>
        <v>Christopher Smith</v>
      </c>
      <c r="D1206" s="4">
        <f t="array" ref="D1206">IFERROR(AVERAGEIFS($B$2:$B$3757, $A$2:$A$3757, C1206:C4960), "")</f>
        <v>6.6</v>
      </c>
      <c r="E1206" s="4">
        <f t="shared" si="1"/>
        <v>47.5</v>
      </c>
      <c r="F1206" s="4" t="str">
        <f t="array" ref="F1206">IF(D1206&gt;=_xlfn.PERCENTILE.INC(D1206:D2864, 0.9), "High", "Low")</f>
        <v>Low</v>
      </c>
      <c r="L1206" s="4" t="str">
        <f t="shared" si="2"/>
        <v/>
      </c>
    </row>
    <row r="1207" ht="14.25" customHeight="1">
      <c r="A1207" s="1" t="s">
        <v>4454</v>
      </c>
      <c r="B1207" s="1">
        <v>4.4</v>
      </c>
      <c r="C1207" s="4" t="str">
        <f>IFERROR(__xludf.DUMMYFUNCTION("""COMPUTED_VALUE"""),"Alan Metter")</f>
        <v>Alan Metter</v>
      </c>
      <c r="D1207" s="4">
        <f t="array" ref="D1207">IFERROR(AVERAGEIFS($B$2:$B$3757, $A$2:$A$3757, C1207:C4961), "")</f>
        <v>3.3</v>
      </c>
      <c r="E1207" s="4">
        <f t="shared" si="1"/>
        <v>1.5</v>
      </c>
      <c r="F1207" s="4" t="str">
        <f t="array" ref="F1207">IF(D1207&gt;=_xlfn.PERCENTILE.INC(D1207:D2865, 0.9), "High", "Low")</f>
        <v>Low</v>
      </c>
      <c r="L1207" s="4" t="str">
        <f t="shared" si="2"/>
        <v/>
      </c>
    </row>
    <row r="1208" ht="14.25" customHeight="1">
      <c r="A1208" s="1" t="s">
        <v>1736</v>
      </c>
      <c r="B1208" s="1">
        <v>4.7</v>
      </c>
      <c r="C1208" s="4" t="str">
        <f>IFERROR(__xludf.DUMMYFUNCTION("""COMPUTED_VALUE"""),"Arthur Hiller")</f>
        <v>Arthur Hiller</v>
      </c>
      <c r="D1208" s="4">
        <f t="array" ref="D1208">IFERROR(AVERAGEIFS($B$2:$B$3757, $A$2:$A$3757, C1208:C4962), "")</f>
        <v>3.5</v>
      </c>
      <c r="E1208" s="4">
        <f t="shared" si="1"/>
        <v>2.2</v>
      </c>
      <c r="F1208" s="4" t="str">
        <f t="array" ref="F1208">IF(D1208&gt;=_xlfn.PERCENTILE.INC(D1208:D2866, 0.9), "High", "Low")</f>
        <v>Low</v>
      </c>
      <c r="L1208" s="4" t="str">
        <f t="shared" si="2"/>
        <v/>
      </c>
    </row>
    <row r="1209" ht="14.25" customHeight="1">
      <c r="A1209" s="1" t="s">
        <v>6269</v>
      </c>
      <c r="B1209" s="1">
        <v>6.7</v>
      </c>
      <c r="C1209" s="4" t="str">
        <f>IFERROR(__xludf.DUMMYFUNCTION("""COMPUTED_VALUE"""),"Michael Meredith")</f>
        <v>Michael Meredith</v>
      </c>
      <c r="D1209" s="4">
        <f t="array" ref="D1209">IFERROR(AVERAGEIFS($B$2:$B$3757, $A$2:$A$3757, C1209:C4963), "")</f>
        <v>5.5</v>
      </c>
      <c r="E1209" s="4">
        <f t="shared" si="1"/>
        <v>16.6</v>
      </c>
      <c r="F1209" s="4" t="str">
        <f t="array" ref="F1209">IF(D1209&gt;=_xlfn.PERCENTILE.INC(D1209:D2867, 0.9), "High", "Low")</f>
        <v>Low</v>
      </c>
      <c r="L1209" s="4" t="str">
        <f t="shared" si="2"/>
        <v/>
      </c>
    </row>
    <row r="1210" ht="14.25" customHeight="1">
      <c r="A1210" s="1" t="s">
        <v>6273</v>
      </c>
      <c r="B1210" s="1">
        <v>6.7</v>
      </c>
      <c r="C1210" s="4" t="str">
        <f>IFERROR(__xludf.DUMMYFUNCTION("""COMPUTED_VALUE"""),"Julio DePietro")</f>
        <v>Julio DePietro</v>
      </c>
      <c r="D1210" s="4">
        <f t="array" ref="D1210">IFERROR(AVERAGEIFS($B$2:$B$3757, $A$2:$A$3757, C1210:C4964), "")</f>
        <v>5.9</v>
      </c>
      <c r="E1210" s="4">
        <f t="shared" si="1"/>
        <v>23.9</v>
      </c>
      <c r="F1210" s="4" t="str">
        <f t="array" ref="F1210">IF(D1210&gt;=_xlfn.PERCENTILE.INC(D1210:D2868, 0.9), "High", "Low")</f>
        <v>Low</v>
      </c>
      <c r="L1210" s="4" t="str">
        <f t="shared" si="2"/>
        <v/>
      </c>
    </row>
    <row r="1211" ht="14.25" customHeight="1">
      <c r="A1211" s="1" t="s">
        <v>2604</v>
      </c>
      <c r="B1211" s="1">
        <v>5.7</v>
      </c>
      <c r="C1211" s="4" t="str">
        <f>IFERROR(__xludf.DUMMYFUNCTION("""COMPUTED_VALUE"""),"Katherine Dieckmann")</f>
        <v>Katherine Dieckmann</v>
      </c>
      <c r="D1211" s="4">
        <f t="array" ref="D1211">IFERROR(AVERAGEIFS($B$2:$B$3757, $A$2:$A$3757, C1211:C4965), "")</f>
        <v>4.7</v>
      </c>
      <c r="E1211" s="4">
        <f t="shared" si="1"/>
        <v>7.3</v>
      </c>
      <c r="F1211" s="4" t="str">
        <f t="array" ref="F1211">IF(D1211&gt;=_xlfn.PERCENTILE.INC(D1211:D2869, 0.9), "High", "Low")</f>
        <v>Low</v>
      </c>
      <c r="L1211" s="4" t="str">
        <f t="shared" si="2"/>
        <v/>
      </c>
    </row>
    <row r="1212" ht="14.25" customHeight="1">
      <c r="A1212" s="1" t="s">
        <v>472</v>
      </c>
      <c r="B1212" s="1">
        <v>7.4</v>
      </c>
      <c r="C1212" s="4" t="str">
        <f>IFERROR(__xludf.DUMMYFUNCTION("""COMPUTED_VALUE"""),"Scott Marshall")</f>
        <v>Scott Marshall</v>
      </c>
      <c r="D1212" s="4">
        <f t="array" ref="D1212">IFERROR(AVERAGEIFS($B$2:$B$3757, $A$2:$A$3757, C1212:C4966), "")</f>
        <v>3.9</v>
      </c>
      <c r="E1212" s="4">
        <f t="shared" si="1"/>
        <v>3.3</v>
      </c>
      <c r="F1212" s="4" t="str">
        <f t="array" ref="F1212">IF(D1212&gt;=_xlfn.PERCENTILE.INC(D1212:D2870, 0.9), "High", "Low")</f>
        <v>Low</v>
      </c>
      <c r="L1212" s="4" t="str">
        <f t="shared" si="2"/>
        <v/>
      </c>
    </row>
    <row r="1213" ht="14.25" customHeight="1">
      <c r="A1213" s="1" t="s">
        <v>5289</v>
      </c>
      <c r="B1213" s="1">
        <v>6.1</v>
      </c>
      <c r="C1213" s="4" t="str">
        <f>IFERROR(__xludf.DUMMYFUNCTION("""COMPUTED_VALUE"""),"Ãlex de la Iglesia")</f>
        <v>Ã_x0081_lex de la Iglesia</v>
      </c>
      <c r="D1213" s="4">
        <f t="array" ref="D1213">IFERROR(AVERAGEIFS($B$2:$B$3757, $A$2:$A$3757, C1213:C4967), "")</f>
        <v>6.1</v>
      </c>
      <c r="E1213" s="4">
        <f t="shared" si="1"/>
        <v>29.7</v>
      </c>
      <c r="F1213" s="4" t="str">
        <f t="array" ref="F1213">IF(D1213&gt;=_xlfn.PERCENTILE.INC(D1213:D2871, 0.9), "High", "Low")</f>
        <v>Low</v>
      </c>
      <c r="L1213" s="4" t="str">
        <f t="shared" si="2"/>
        <v/>
      </c>
    </row>
    <row r="1214" ht="14.25" customHeight="1">
      <c r="A1214" s="1" t="s">
        <v>5265</v>
      </c>
      <c r="B1214" s="1">
        <v>6.4</v>
      </c>
      <c r="C1214" s="4" t="str">
        <f>IFERROR(__xludf.DUMMYFUNCTION("""COMPUTED_VALUE"""),"Michael Clancy")</f>
        <v>Michael Clancy</v>
      </c>
      <c r="D1214" s="4">
        <f t="array" ref="D1214">IFERROR(AVERAGEIFS($B$2:$B$3757, $A$2:$A$3757, C1214:C4968), "")</f>
        <v>6.7</v>
      </c>
      <c r="E1214" s="4">
        <f t="shared" si="1"/>
        <v>50.1</v>
      </c>
      <c r="F1214" s="4" t="str">
        <f t="array" ref="F1214">IF(D1214&gt;=_xlfn.PERCENTILE.INC(D1214:D2872, 0.9), "High", "Low")</f>
        <v>Low</v>
      </c>
      <c r="L1214" s="4" t="str">
        <f t="shared" si="2"/>
        <v/>
      </c>
    </row>
    <row r="1215" ht="14.25" customHeight="1">
      <c r="A1215" s="1" t="s">
        <v>6297</v>
      </c>
      <c r="B1215" s="1">
        <v>6.2</v>
      </c>
      <c r="C1215" s="4" t="str">
        <f>IFERROR(__xludf.DUMMYFUNCTION("""COMPUTED_VALUE"""),"Andy Garcia")</f>
        <v>Andy Garcia</v>
      </c>
      <c r="D1215" s="4">
        <f t="array" ref="D1215">IFERROR(AVERAGEIFS($B$2:$B$3757, $A$2:$A$3757, C1215:C4969), "")</f>
        <v>6.7</v>
      </c>
      <c r="E1215" s="4">
        <f t="shared" si="1"/>
        <v>50.2</v>
      </c>
      <c r="F1215" s="4" t="str">
        <f t="array" ref="F1215">IF(D1215&gt;=_xlfn.PERCENTILE.INC(D1215:D2873, 0.9), "High", "Low")</f>
        <v>Low</v>
      </c>
      <c r="L1215" s="4" t="str">
        <f t="shared" si="2"/>
        <v/>
      </c>
    </row>
    <row r="1216" ht="14.25" customHeight="1">
      <c r="A1216" s="1" t="s">
        <v>3338</v>
      </c>
      <c r="B1216" s="1">
        <v>6.2</v>
      </c>
      <c r="C1216" s="4" t="str">
        <f>IFERROR(__xludf.DUMMYFUNCTION("""COMPUTED_VALUE"""),"Gary Sherman")</f>
        <v>Gary Sherman</v>
      </c>
      <c r="D1216" s="4">
        <f t="array" ref="D1216">IFERROR(AVERAGEIFS($B$2:$B$3757, $A$2:$A$3757, C1216:C4970), "")</f>
        <v>4.5</v>
      </c>
      <c r="E1216" s="4">
        <f t="shared" si="1"/>
        <v>5.8</v>
      </c>
      <c r="F1216" s="4" t="str">
        <f t="array" ref="F1216">IF(D1216&gt;=_xlfn.PERCENTILE.INC(D1216:D2874, 0.9), "High", "Low")</f>
        <v>Low</v>
      </c>
      <c r="L1216" s="4" t="str">
        <f t="shared" si="2"/>
        <v/>
      </c>
    </row>
    <row r="1217" ht="14.25" customHeight="1">
      <c r="A1217" s="1" t="s">
        <v>6307</v>
      </c>
      <c r="B1217" s="1">
        <v>5.9</v>
      </c>
      <c r="C1217" s="4" t="str">
        <f>IFERROR(__xludf.DUMMYFUNCTION("""COMPUTED_VALUE"""),"Stanley Kramer")</f>
        <v>Stanley Kramer</v>
      </c>
      <c r="D1217" s="4">
        <f t="array" ref="D1217">IFERROR(AVERAGEIFS($B$2:$B$3757, $A$2:$A$3757, C1217:C4971), "")</f>
        <v>7.6</v>
      </c>
      <c r="E1217" s="4">
        <f t="shared" si="1"/>
        <v>85.8</v>
      </c>
      <c r="F1217" s="4" t="str">
        <f t="array" ref="F1217">IF(D1217&gt;=_xlfn.PERCENTILE.INC(D1217:D2875, 0.9), "High", "Low")</f>
        <v>Low</v>
      </c>
      <c r="L1217" s="4" t="str">
        <f t="shared" si="2"/>
        <v/>
      </c>
    </row>
    <row r="1218" ht="14.25" customHeight="1">
      <c r="A1218" s="1" t="s">
        <v>6313</v>
      </c>
      <c r="B1218" s="1">
        <v>4.0</v>
      </c>
      <c r="C1218" s="4" t="str">
        <f>IFERROR(__xludf.DUMMYFUNCTION("""COMPUTED_VALUE"""),"Yash Chopra")</f>
        <v>Yash Chopra</v>
      </c>
      <c r="D1218" s="4">
        <f t="array" ref="D1218">IFERROR(AVERAGEIFS($B$2:$B$3757, $A$2:$A$3757, C1218:C4972), "")</f>
        <v>6.9</v>
      </c>
      <c r="E1218" s="4">
        <f t="shared" si="1"/>
        <v>58.7</v>
      </c>
      <c r="F1218" s="4" t="str">
        <f t="array" ref="F1218">IF(D1218&gt;=_xlfn.PERCENTILE.INC(D1218:D2876, 0.9), "High", "Low")</f>
        <v>Low</v>
      </c>
      <c r="L1218" s="4" t="str">
        <f t="shared" si="2"/>
        <v/>
      </c>
    </row>
    <row r="1219" ht="14.25" customHeight="1">
      <c r="A1219" s="1" t="s">
        <v>4069</v>
      </c>
      <c r="B1219" s="1">
        <v>6.2</v>
      </c>
      <c r="C1219" s="4" t="str">
        <f>IFERROR(__xludf.DUMMYFUNCTION("""COMPUTED_VALUE"""),"Floria Sigismondi")</f>
        <v>Floria Sigismondi</v>
      </c>
      <c r="D1219" s="4">
        <f t="array" ref="D1219">IFERROR(AVERAGEIFS($B$2:$B$3757, $A$2:$A$3757, C1219:C4973), "")</f>
        <v>6.6</v>
      </c>
      <c r="E1219" s="4">
        <f t="shared" si="1"/>
        <v>47.1</v>
      </c>
      <c r="F1219" s="4" t="str">
        <f t="array" ref="F1219">IF(D1219&gt;=_xlfn.PERCENTILE.INC(D1219:D2877, 0.9), "High", "Low")</f>
        <v>Low</v>
      </c>
      <c r="L1219" s="4" t="str">
        <f t="shared" si="2"/>
        <v/>
      </c>
    </row>
    <row r="1220" ht="14.25" customHeight="1">
      <c r="A1220" s="1" t="s">
        <v>1248</v>
      </c>
      <c r="B1220" s="1">
        <v>4.6</v>
      </c>
      <c r="C1220" s="4" t="str">
        <f>IFERROR(__xludf.DUMMYFUNCTION("""COMPUTED_VALUE"""),"Terence Young")</f>
        <v>Terence Young</v>
      </c>
      <c r="D1220" s="4">
        <f t="array" ref="D1220">IFERROR(AVERAGEIFS($B$2:$B$3757, $A$2:$A$3757, C1220:C4974), "")</f>
        <v>7.266666667</v>
      </c>
      <c r="E1220" s="4">
        <f t="shared" si="1"/>
        <v>78.9</v>
      </c>
      <c r="F1220" s="4" t="str">
        <f t="array" ref="F1220">IF(D1220&gt;=_xlfn.PERCENTILE.INC(D1220:D2878, 0.9), "High", "Low")</f>
        <v>Low</v>
      </c>
      <c r="L1220" s="4" t="str">
        <f t="shared" si="2"/>
        <v/>
      </c>
    </row>
    <row r="1221" ht="14.25" customHeight="1">
      <c r="A1221" s="1" t="s">
        <v>6327</v>
      </c>
      <c r="B1221" s="1">
        <v>6.4</v>
      </c>
      <c r="C1221" s="4" t="str">
        <f>IFERROR(__xludf.DUMMYFUNCTION("""COMPUTED_VALUE"""),"Michael Moore")</f>
        <v>Michael Moore</v>
      </c>
      <c r="D1221" s="4">
        <f t="array" ref="D1221">IFERROR(AVERAGEIFS($B$2:$B$3757, $A$2:$A$3757, C1221:C4975), "")</f>
        <v>7.75</v>
      </c>
      <c r="E1221" s="4">
        <f t="shared" si="1"/>
        <v>93</v>
      </c>
      <c r="F1221" s="4" t="str">
        <f t="array" ref="F1221">IF(D1221&gt;=_xlfn.PERCENTILE.INC(D1221:D2879, 0.9), "High", "Low")</f>
        <v>High</v>
      </c>
      <c r="L1221" s="4" t="str">
        <f t="shared" si="2"/>
        <v/>
      </c>
    </row>
    <row r="1222" ht="14.25" customHeight="1">
      <c r="A1222" s="1" t="s">
        <v>5034</v>
      </c>
      <c r="B1222" s="1">
        <v>5.9</v>
      </c>
      <c r="C1222" s="4" t="str">
        <f>IFERROR(__xludf.DUMMYFUNCTION("""COMPUTED_VALUE"""),"Kris Isacsson")</f>
        <v>Kris Isacsson</v>
      </c>
      <c r="D1222" s="4">
        <f t="array" ref="D1222">IFERROR(AVERAGEIFS($B$2:$B$3757, $A$2:$A$3757, C1222:C4976), "")</f>
        <v>4.9</v>
      </c>
      <c r="E1222" s="4">
        <f t="shared" si="1"/>
        <v>8.2</v>
      </c>
      <c r="F1222" s="4" t="str">
        <f t="array" ref="F1222">IF(D1222&gt;=_xlfn.PERCENTILE.INC(D1222:D2880, 0.9), "High", "Low")</f>
        <v>Low</v>
      </c>
      <c r="L1222" s="4" t="str">
        <f t="shared" si="2"/>
        <v/>
      </c>
    </row>
    <row r="1223" ht="14.25" customHeight="1">
      <c r="A1223" s="1" t="s">
        <v>6334</v>
      </c>
      <c r="B1223" s="1">
        <v>5.1</v>
      </c>
      <c r="C1223" s="4" t="str">
        <f>IFERROR(__xludf.DUMMYFUNCTION("""COMPUTED_VALUE"""),"Ben Younger")</f>
        <v>Ben Younger</v>
      </c>
      <c r="D1223" s="4">
        <f t="array" ref="D1223">IFERROR(AVERAGEIFS($B$2:$B$3757, $A$2:$A$3757, C1223:C4977), "")</f>
        <v>7</v>
      </c>
      <c r="E1223" s="4">
        <f t="shared" si="1"/>
        <v>63.9</v>
      </c>
      <c r="F1223" s="4" t="str">
        <f t="array" ref="F1223">IF(D1223&gt;=_xlfn.PERCENTILE.INC(D1223:D2881, 0.9), "High", "Low")</f>
        <v>Low</v>
      </c>
      <c r="L1223" s="4" t="str">
        <f t="shared" si="2"/>
        <v/>
      </c>
    </row>
    <row r="1224" ht="14.25" customHeight="1">
      <c r="A1224" s="1" t="s">
        <v>6339</v>
      </c>
      <c r="B1224" s="1">
        <v>7.6</v>
      </c>
      <c r="C1224" s="4" t="str">
        <f>IFERROR(__xludf.DUMMYFUNCTION("""COMPUTED_VALUE"""),"Hart Bochner")</f>
        <v>Hart Bochner</v>
      </c>
      <c r="D1224" s="4">
        <f t="array" ref="D1224">IFERROR(AVERAGEIFS($B$2:$B$3757, $A$2:$A$3757, C1224:C4978), "")</f>
        <v>6.5</v>
      </c>
      <c r="E1224" s="4">
        <f t="shared" si="1"/>
        <v>42.6</v>
      </c>
      <c r="F1224" s="4" t="str">
        <f t="array" ref="F1224">IF(D1224&gt;=_xlfn.PERCENTILE.INC(D1224:D2882, 0.9), "High", "Low")</f>
        <v>Low</v>
      </c>
      <c r="L1224" s="4" t="str">
        <f t="shared" si="2"/>
        <v/>
      </c>
    </row>
    <row r="1225" ht="14.25" customHeight="1">
      <c r="A1225" s="1" t="s">
        <v>6345</v>
      </c>
      <c r="B1225" s="1">
        <v>4.2</v>
      </c>
      <c r="C1225" s="4" t="str">
        <f>IFERROR(__xludf.DUMMYFUNCTION("""COMPUTED_VALUE"""),"Chatrichalerm Yukol")</f>
        <v>Chatrichalerm Yukol</v>
      </c>
      <c r="D1225" s="4">
        <f t="array" ref="D1225">IFERROR(AVERAGEIFS($B$2:$B$3757, $A$2:$A$3757, C1225:C4979), "")</f>
        <v>6.6</v>
      </c>
      <c r="E1225" s="4">
        <f t="shared" si="1"/>
        <v>47.2</v>
      </c>
      <c r="F1225" s="4" t="str">
        <f t="array" ref="F1225">IF(D1225&gt;=_xlfn.PERCENTILE.INC(D1225:D2883, 0.9), "High", "Low")</f>
        <v>Low</v>
      </c>
      <c r="L1225" s="4" t="str">
        <f t="shared" si="2"/>
        <v/>
      </c>
    </row>
    <row r="1226" ht="14.25" customHeight="1">
      <c r="A1226" s="1" t="s">
        <v>5083</v>
      </c>
      <c r="B1226" s="1">
        <v>7.8</v>
      </c>
      <c r="C1226" s="4" t="str">
        <f>IFERROR(__xludf.DUMMYFUNCTION("""COMPUTED_VALUE"""),"Dario Argento")</f>
        <v>Dario Argento</v>
      </c>
      <c r="D1226" s="4">
        <f t="array" ref="D1226">IFERROR(AVERAGEIFS($B$2:$B$3757, $A$2:$A$3757, C1226:C4980), "")</f>
        <v>6.1</v>
      </c>
      <c r="E1226" s="4">
        <f t="shared" si="1"/>
        <v>30.1</v>
      </c>
      <c r="F1226" s="4" t="str">
        <f t="array" ref="F1226">IF(D1226&gt;=_xlfn.PERCENTILE.INC(D1226:D2884, 0.9), "High", "Low")</f>
        <v>Low</v>
      </c>
      <c r="L1226" s="4" t="str">
        <f t="shared" si="2"/>
        <v/>
      </c>
    </row>
    <row r="1227" ht="14.25" customHeight="1">
      <c r="A1227" s="1" t="s">
        <v>4205</v>
      </c>
      <c r="B1227" s="1">
        <v>5.8</v>
      </c>
      <c r="C1227" s="4" t="str">
        <f>IFERROR(__xludf.DUMMYFUNCTION("""COMPUTED_VALUE"""),"Marc Forby")</f>
        <v>Marc Forby</v>
      </c>
      <c r="D1227" s="4">
        <f t="array" ref="D1227">IFERROR(AVERAGEIFS($B$2:$B$3757, $A$2:$A$3757, C1227:C4981), "")</f>
        <v>6.2</v>
      </c>
      <c r="E1227" s="4">
        <f t="shared" si="1"/>
        <v>33.9</v>
      </c>
      <c r="F1227" s="4" t="str">
        <f t="array" ref="F1227">IF(D1227&gt;=_xlfn.PERCENTILE.INC(D1227:D2885, 0.9), "High", "Low")</f>
        <v>Low</v>
      </c>
      <c r="L1227" s="4" t="str">
        <f t="shared" si="2"/>
        <v/>
      </c>
    </row>
    <row r="1228" ht="14.25" customHeight="1">
      <c r="A1228" s="1" t="s">
        <v>5073</v>
      </c>
      <c r="B1228" s="1">
        <v>5.9</v>
      </c>
      <c r="C1228" s="4" t="str">
        <f>IFERROR(__xludf.DUMMYFUNCTION("""COMPUTED_VALUE"""),"Ole Christian Madsen")</f>
        <v>Ole Christian Madsen</v>
      </c>
      <c r="D1228" s="4">
        <f t="array" ref="D1228">IFERROR(AVERAGEIFS($B$2:$B$3757, $A$2:$A$3757, C1228:C4982), "")</f>
        <v>7.3</v>
      </c>
      <c r="E1228" s="4">
        <f t="shared" si="1"/>
        <v>79</v>
      </c>
      <c r="F1228" s="4" t="str">
        <f t="array" ref="F1228">IF(D1228&gt;=_xlfn.PERCENTILE.INC(D1228:D2886, 0.9), "High", "Low")</f>
        <v>Low</v>
      </c>
      <c r="L1228" s="4" t="str">
        <f t="shared" si="2"/>
        <v/>
      </c>
    </row>
    <row r="1229" ht="14.25" customHeight="1">
      <c r="A1229" s="1" t="s">
        <v>3964</v>
      </c>
      <c r="B1229" s="1">
        <v>8.4</v>
      </c>
      <c r="C1229" s="4" t="str">
        <f>IFERROR(__xludf.DUMMYFUNCTION("""COMPUTED_VALUE"""),"Meiert Avis")</f>
        <v>Meiert Avis</v>
      </c>
      <c r="D1229" s="4">
        <f t="array" ref="D1229">IFERROR(AVERAGEIFS($B$2:$B$3757, $A$2:$A$3757, C1229:C4983), "")</f>
        <v>4.2</v>
      </c>
      <c r="E1229" s="4">
        <f t="shared" si="1"/>
        <v>4.6</v>
      </c>
      <c r="F1229" s="4" t="str">
        <f t="array" ref="F1229">IF(D1229&gt;=_xlfn.PERCENTILE.INC(D1229:D2887, 0.9), "High", "Low")</f>
        <v>Low</v>
      </c>
      <c r="L1229" s="4" t="str">
        <f t="shared" si="2"/>
        <v/>
      </c>
    </row>
    <row r="1230" ht="14.25" customHeight="1">
      <c r="A1230" s="1" t="s">
        <v>6371</v>
      </c>
      <c r="B1230" s="1">
        <v>4.8</v>
      </c>
      <c r="C1230" s="4" t="str">
        <f>IFERROR(__xludf.DUMMYFUNCTION("""COMPUTED_VALUE"""),"Peter Faiman")</f>
        <v>Peter Faiman</v>
      </c>
      <c r="D1230" s="4">
        <f t="array" ref="D1230">IFERROR(AVERAGEIFS($B$2:$B$3757, $A$2:$A$3757, C1230:C4984), "")</f>
        <v>6.5</v>
      </c>
      <c r="E1230" s="4">
        <f t="shared" si="1"/>
        <v>42.5</v>
      </c>
      <c r="F1230" s="4" t="str">
        <f t="array" ref="F1230">IF(D1230&gt;=_xlfn.PERCENTILE.INC(D1230:D2888, 0.9), "High", "Low")</f>
        <v>Low</v>
      </c>
      <c r="L1230" s="4" t="str">
        <f t="shared" si="2"/>
        <v/>
      </c>
    </row>
    <row r="1231" ht="14.25" customHeight="1">
      <c r="A1231" s="1" t="s">
        <v>6379</v>
      </c>
      <c r="B1231" s="1">
        <v>6.2</v>
      </c>
      <c r="C1231" s="4" t="str">
        <f>IFERROR(__xludf.DUMMYFUNCTION("""COMPUTED_VALUE"""),"Joby Harold")</f>
        <v>Joby Harold</v>
      </c>
      <c r="D1231" s="4">
        <f t="array" ref="D1231">IFERROR(AVERAGEIFS($B$2:$B$3757, $A$2:$A$3757, C1231:C4985), "")</f>
        <v>6.5</v>
      </c>
      <c r="E1231" s="4">
        <f t="shared" si="1"/>
        <v>42.6</v>
      </c>
      <c r="F1231" s="4" t="str">
        <f t="array" ref="F1231">IF(D1231&gt;=_xlfn.PERCENTILE.INC(D1231:D2889, 0.9), "High", "Low")</f>
        <v>Low</v>
      </c>
      <c r="L1231" s="4" t="str">
        <f t="shared" si="2"/>
        <v/>
      </c>
    </row>
    <row r="1232" ht="14.25" customHeight="1">
      <c r="A1232" s="1" t="s">
        <v>5911</v>
      </c>
      <c r="B1232" s="1">
        <v>6.5</v>
      </c>
      <c r="C1232" s="4" t="str">
        <f>IFERROR(__xludf.DUMMYFUNCTION("""COMPUTED_VALUE"""),"Ekachai Uekrongtham")</f>
        <v>Ekachai Uekrongtham</v>
      </c>
      <c r="D1232" s="4">
        <f t="array" ref="D1232">IFERROR(AVERAGEIFS($B$2:$B$3757, $A$2:$A$3757, C1232:C4986), "")</f>
        <v>5.7</v>
      </c>
      <c r="E1232" s="4">
        <f t="shared" si="1"/>
        <v>20.5</v>
      </c>
      <c r="F1232" s="4" t="str">
        <f t="array" ref="F1232">IF(D1232&gt;=_xlfn.PERCENTILE.INC(D1232:D2890, 0.9), "High", "Low")</f>
        <v>Low</v>
      </c>
      <c r="L1232" s="4" t="str">
        <f t="shared" si="2"/>
        <v/>
      </c>
    </row>
    <row r="1233" ht="14.25" customHeight="1">
      <c r="A1233" s="1" t="s">
        <v>6388</v>
      </c>
      <c r="B1233" s="1">
        <v>6.3</v>
      </c>
      <c r="C1233" s="4" t="str">
        <f>IFERROR(__xludf.DUMMYFUNCTION("""COMPUTED_VALUE"""),"Mark Rydell")</f>
        <v>Mark Rydell</v>
      </c>
      <c r="D1233" s="4">
        <f t="array" ref="D1233">IFERROR(AVERAGEIFS($B$2:$B$3757, $A$2:$A$3757, C1233:C4987), "")</f>
        <v>6.9</v>
      </c>
      <c r="E1233" s="4">
        <f t="shared" si="1"/>
        <v>58.4</v>
      </c>
      <c r="F1233" s="4" t="str">
        <f t="array" ref="F1233">IF(D1233&gt;=_xlfn.PERCENTILE.INC(D1233:D2891, 0.9), "High", "Low")</f>
        <v>Low</v>
      </c>
      <c r="L1233" s="4" t="str">
        <f t="shared" si="2"/>
        <v/>
      </c>
    </row>
    <row r="1234" ht="14.25" customHeight="1">
      <c r="A1234" s="1" t="s">
        <v>6393</v>
      </c>
      <c r="B1234" s="1">
        <v>3.3</v>
      </c>
      <c r="C1234" s="4" t="str">
        <f>IFERROR(__xludf.DUMMYFUNCTION("""COMPUTED_VALUE"""),"David E. Talbert")</f>
        <v>David E. Talbert</v>
      </c>
      <c r="D1234" s="4">
        <f t="array" ref="D1234">IFERROR(AVERAGEIFS($B$2:$B$3757, $A$2:$A$3757, C1234:C4988), "")</f>
        <v>5</v>
      </c>
      <c r="E1234" s="4">
        <f t="shared" si="1"/>
        <v>8.7</v>
      </c>
      <c r="F1234" s="4" t="str">
        <f t="array" ref="F1234">IF(D1234&gt;=_xlfn.PERCENTILE.INC(D1234:D2892, 0.9), "High", "Low")</f>
        <v>Low</v>
      </c>
      <c r="L1234" s="4" t="str">
        <f t="shared" si="2"/>
        <v/>
      </c>
    </row>
    <row r="1235" ht="14.25" customHeight="1">
      <c r="A1235" s="1" t="s">
        <v>1661</v>
      </c>
      <c r="B1235" s="1">
        <v>5.9</v>
      </c>
      <c r="C1235" s="4" t="str">
        <f>IFERROR(__xludf.DUMMYFUNCTION("""COMPUTED_VALUE"""),"Ari Sandel")</f>
        <v>Ari Sandel</v>
      </c>
      <c r="D1235" s="4">
        <f t="array" ref="D1235">IFERROR(AVERAGEIFS($B$2:$B$3757, $A$2:$A$3757, C1235:C4989), "")</f>
        <v>6.5</v>
      </c>
      <c r="E1235" s="4">
        <f t="shared" si="1"/>
        <v>42.5</v>
      </c>
      <c r="F1235" s="4" t="str">
        <f t="array" ref="F1235">IF(D1235&gt;=_xlfn.PERCENTILE.INC(D1235:D2893, 0.9), "High", "Low")</f>
        <v>Low</v>
      </c>
      <c r="L1235" s="4" t="str">
        <f t="shared" si="2"/>
        <v/>
      </c>
    </row>
    <row r="1236" ht="14.25" customHeight="1">
      <c r="A1236" s="1" t="s">
        <v>5671</v>
      </c>
      <c r="B1236" s="1">
        <v>6.0</v>
      </c>
      <c r="C1236" s="4" t="str">
        <f>IFERROR(__xludf.DUMMYFUNCTION("""COMPUTED_VALUE"""),"Vondie Curtis-Hall")</f>
        <v>Vondie Curtis-Hall</v>
      </c>
      <c r="D1236" s="4">
        <f t="array" ref="D1236">IFERROR(AVERAGEIFS($B$2:$B$3757, $A$2:$A$3757, C1236:C4990), "")</f>
        <v>2.1</v>
      </c>
      <c r="E1236" s="4">
        <f t="shared" si="1"/>
        <v>0</v>
      </c>
      <c r="F1236" s="4" t="str">
        <f t="array" ref="F1236">IF(D1236&gt;=_xlfn.PERCENTILE.INC(D1236:D2894, 0.9), "High", "Low")</f>
        <v>Low</v>
      </c>
      <c r="L1236" s="4" t="str">
        <f t="shared" si="2"/>
        <v/>
      </c>
    </row>
    <row r="1237" ht="14.25" customHeight="1">
      <c r="A1237" s="1" t="s">
        <v>5167</v>
      </c>
      <c r="B1237" s="1">
        <v>5.8</v>
      </c>
      <c r="C1237" s="4" t="str">
        <f>IFERROR(__xludf.DUMMYFUNCTION("""COMPUTED_VALUE"""),"John Sayles")</f>
        <v>John Sayles</v>
      </c>
      <c r="D1237" s="4">
        <f t="array" ref="D1237">IFERROR(AVERAGEIFS($B$2:$B$3757, $A$2:$A$3757, C1237:C4991), "")</f>
        <v>7.2</v>
      </c>
      <c r="E1237" s="4">
        <f t="shared" si="1"/>
        <v>73.3</v>
      </c>
      <c r="F1237" s="4" t="str">
        <f t="array" ref="F1237">IF(D1237&gt;=_xlfn.PERCENTILE.INC(D1237:D2895, 0.9), "High", "Low")</f>
        <v>Low</v>
      </c>
      <c r="L1237" s="4" t="str">
        <f t="shared" si="2"/>
        <v/>
      </c>
    </row>
    <row r="1238" ht="14.25" customHeight="1">
      <c r="A1238" s="1" t="s">
        <v>6405</v>
      </c>
      <c r="B1238" s="1">
        <v>4.7</v>
      </c>
      <c r="C1238" s="4" t="str">
        <f>IFERROR(__xludf.DUMMYFUNCTION("""COMPUTED_VALUE"""),"Dan Gilroy")</f>
        <v>Dan Gilroy</v>
      </c>
      <c r="D1238" s="4">
        <f t="array" ref="D1238">IFERROR(AVERAGEIFS($B$2:$B$3757, $A$2:$A$3757, C1238:C4992), "")</f>
        <v>7.9</v>
      </c>
      <c r="E1238" s="4">
        <f t="shared" si="1"/>
        <v>94.8</v>
      </c>
      <c r="F1238" s="4" t="str">
        <f t="array" ref="F1238">IF(D1238&gt;=_xlfn.PERCENTILE.INC(D1238:D2896, 0.9), "High", "Low")</f>
        <v>High</v>
      </c>
      <c r="L1238" s="4" t="str">
        <f t="shared" si="2"/>
        <v/>
      </c>
    </row>
    <row r="1239" ht="14.25" customHeight="1">
      <c r="A1239" s="1" t="s">
        <v>6410</v>
      </c>
      <c r="B1239" s="1">
        <v>4.1</v>
      </c>
      <c r="C1239" s="4" t="str">
        <f>IFERROR(__xludf.DUMMYFUNCTION("""COMPUTED_VALUE"""),"Jonathan Dayton")</f>
        <v>Jonathan Dayton</v>
      </c>
      <c r="D1239" s="4">
        <f t="array" ref="D1239">IFERROR(AVERAGEIFS($B$2:$B$3757, $A$2:$A$3757, C1239:C4993), "")</f>
        <v>7.9</v>
      </c>
      <c r="E1239" s="4">
        <f t="shared" si="1"/>
        <v>95</v>
      </c>
      <c r="F1239" s="4" t="str">
        <f t="array" ref="F1239">IF(D1239&gt;=_xlfn.PERCENTILE.INC(D1239:D2897, 0.9), "High", "Low")</f>
        <v>High</v>
      </c>
      <c r="L1239" s="4" t="str">
        <f t="shared" si="2"/>
        <v/>
      </c>
    </row>
    <row r="1240" ht="14.25" customHeight="1">
      <c r="A1240" s="1" t="s">
        <v>6414</v>
      </c>
      <c r="B1240" s="1">
        <v>6.8</v>
      </c>
      <c r="C1240" s="4" t="str">
        <f>IFERROR(__xludf.DUMMYFUNCTION("""COMPUTED_VALUE"""),"Chris Stokes")</f>
        <v>Chris Stokes</v>
      </c>
      <c r="D1240" s="4">
        <f t="array" ref="D1240">IFERROR(AVERAGEIFS($B$2:$B$3757, $A$2:$A$3757, C1240:C4994), "")</f>
        <v>3.5</v>
      </c>
      <c r="E1240" s="4">
        <f t="shared" si="1"/>
        <v>2.1</v>
      </c>
      <c r="F1240" s="4" t="str">
        <f t="array" ref="F1240">IF(D1240&gt;=_xlfn.PERCENTILE.INC(D1240:D2898, 0.9), "High", "Low")</f>
        <v>Low</v>
      </c>
      <c r="L1240" s="4" t="str">
        <f t="shared" si="2"/>
        <v/>
      </c>
    </row>
    <row r="1241" ht="14.25" customHeight="1">
      <c r="A1241" s="1" t="s">
        <v>4876</v>
      </c>
      <c r="B1241" s="1">
        <v>6.2</v>
      </c>
      <c r="C1241" s="4" t="str">
        <f>IFERROR(__xludf.DUMMYFUNCTION("""COMPUTED_VALUE"""),"Don Siegel")</f>
        <v>Don Siegel</v>
      </c>
      <c r="D1241" s="4">
        <f t="array" ref="D1241">IFERROR(AVERAGEIFS($B$2:$B$3757, $A$2:$A$3757, C1241:C4995), "")</f>
        <v>7.6</v>
      </c>
      <c r="E1241" s="4">
        <f t="shared" si="1"/>
        <v>86</v>
      </c>
      <c r="F1241" s="4" t="str">
        <f t="array" ref="F1241">IF(D1241&gt;=_xlfn.PERCENTILE.INC(D1241:D2899, 0.9), "High", "Low")</f>
        <v>Low</v>
      </c>
      <c r="L1241" s="4" t="str">
        <f t="shared" si="2"/>
        <v/>
      </c>
    </row>
    <row r="1242" ht="14.25" customHeight="1">
      <c r="A1242" s="1" t="s">
        <v>6238</v>
      </c>
      <c r="B1242" s="1">
        <v>4.5</v>
      </c>
      <c r="C1242" s="4" t="str">
        <f>IFERROR(__xludf.DUMMYFUNCTION("""COMPUTED_VALUE"""),"Martin Lawrence")</f>
        <v>Martin Lawrence</v>
      </c>
      <c r="D1242" s="4">
        <f t="array" ref="D1242">IFERROR(AVERAGEIFS($B$2:$B$3757, $A$2:$A$3757, C1242:C4996), "")</f>
        <v>5.6</v>
      </c>
      <c r="E1242" s="4">
        <f t="shared" si="1"/>
        <v>17.4</v>
      </c>
      <c r="F1242" s="4" t="str">
        <f t="array" ref="F1242">IF(D1242&gt;=_xlfn.PERCENTILE.INC(D1242:D2900, 0.9), "High", "Low")</f>
        <v>Low</v>
      </c>
      <c r="L1242" s="4" t="str">
        <f t="shared" si="2"/>
        <v/>
      </c>
    </row>
    <row r="1243" ht="14.25" customHeight="1">
      <c r="A1243" s="1" t="s">
        <v>6428</v>
      </c>
      <c r="B1243" s="1">
        <v>5.8</v>
      </c>
      <c r="C1243" s="4" t="str">
        <f>IFERROR(__xludf.DUMMYFUNCTION("""COMPUTED_VALUE"""),"Masayuki Ochiai")</f>
        <v>Masayuki Ochiai</v>
      </c>
      <c r="D1243" s="4">
        <f t="array" ref="D1243">IFERROR(AVERAGEIFS($B$2:$B$3757, $A$2:$A$3757, C1243:C4997), "")</f>
        <v>5.2</v>
      </c>
      <c r="E1243" s="4">
        <f t="shared" si="1"/>
        <v>10.5</v>
      </c>
      <c r="F1243" s="4" t="str">
        <f t="array" ref="F1243">IF(D1243&gt;=_xlfn.PERCENTILE.INC(D1243:D2901, 0.9), "High", "Low")</f>
        <v>Low</v>
      </c>
      <c r="L1243" s="4" t="str">
        <f t="shared" si="2"/>
        <v/>
      </c>
    </row>
    <row r="1244" ht="14.25" customHeight="1">
      <c r="A1244" s="1" t="s">
        <v>5001</v>
      </c>
      <c r="B1244" s="1">
        <v>7.3</v>
      </c>
      <c r="C1244" s="4" t="str">
        <f>IFERROR(__xludf.DUMMYFUNCTION("""COMPUTED_VALUE"""),"Tom Gormican")</f>
        <v>Tom Gormican</v>
      </c>
      <c r="D1244" s="4">
        <f t="array" ref="D1244">IFERROR(AVERAGEIFS($B$2:$B$3757, $A$2:$A$3757, C1244:C4998), "")</f>
        <v>6.1</v>
      </c>
      <c r="E1244" s="4">
        <f t="shared" si="1"/>
        <v>29.7</v>
      </c>
      <c r="F1244" s="4" t="str">
        <f t="array" ref="F1244">IF(D1244&gt;=_xlfn.PERCENTILE.INC(D1244:D2902, 0.9), "High", "Low")</f>
        <v>Low</v>
      </c>
      <c r="L1244" s="4" t="str">
        <f t="shared" si="2"/>
        <v/>
      </c>
    </row>
    <row r="1245" ht="14.25" customHeight="1">
      <c r="A1245" s="1" t="s">
        <v>3892</v>
      </c>
      <c r="B1245" s="1">
        <v>5.9</v>
      </c>
      <c r="C1245" s="4" t="str">
        <f>IFERROR(__xludf.DUMMYFUNCTION("""COMPUTED_VALUE"""),"Peter R. Hunt")</f>
        <v>Peter R. Hunt</v>
      </c>
      <c r="D1245" s="4">
        <f t="array" ref="D1245">IFERROR(AVERAGEIFS($B$2:$B$3757, $A$2:$A$3757, C1245:C4999), "")</f>
        <v>6.8</v>
      </c>
      <c r="E1245" s="4">
        <f t="shared" si="1"/>
        <v>54.1</v>
      </c>
      <c r="F1245" s="4" t="str">
        <f t="array" ref="F1245">IF(D1245&gt;=_xlfn.PERCENTILE.INC(D1245:D2903, 0.9), "High", "Low")</f>
        <v>Low</v>
      </c>
      <c r="L1245" s="4" t="str">
        <f t="shared" si="2"/>
        <v/>
      </c>
    </row>
    <row r="1246" ht="14.25" customHeight="1">
      <c r="A1246" s="1" t="s">
        <v>6445</v>
      </c>
      <c r="B1246" s="1">
        <v>4.4</v>
      </c>
      <c r="C1246" s="4" t="str">
        <f>IFERROR(__xludf.DUMMYFUNCTION("""COMPUTED_VALUE"""),"Jonas Elmer")</f>
        <v>Jonas Elmer</v>
      </c>
      <c r="D1246" s="4">
        <f t="array" ref="D1246">IFERROR(AVERAGEIFS($B$2:$B$3757, $A$2:$A$3757, C1246:C5000), "")</f>
        <v>5.6</v>
      </c>
      <c r="E1246" s="4">
        <f t="shared" si="1"/>
        <v>17.3</v>
      </c>
      <c r="F1246" s="4" t="str">
        <f t="array" ref="F1246">IF(D1246&gt;=_xlfn.PERCENTILE.INC(D1246:D2904, 0.9), "High", "Low")</f>
        <v>Low</v>
      </c>
      <c r="L1246" s="4" t="str">
        <f t="shared" si="2"/>
        <v/>
      </c>
    </row>
    <row r="1247" ht="14.25" customHeight="1">
      <c r="A1247" s="1" t="s">
        <v>4696</v>
      </c>
      <c r="B1247" s="1">
        <v>5.8</v>
      </c>
      <c r="C1247" s="4" t="str">
        <f>IFERROR(__xludf.DUMMYFUNCTION("""COMPUTED_VALUE"""),"Mary Harron")</f>
        <v>Mary Harron</v>
      </c>
      <c r="D1247" s="4">
        <f t="array" ref="D1247">IFERROR(AVERAGEIFS($B$2:$B$3757, $A$2:$A$3757, C1247:C5001), "")</f>
        <v>7.6</v>
      </c>
      <c r="E1247" s="4">
        <f t="shared" si="1"/>
        <v>86</v>
      </c>
      <c r="F1247" s="4" t="str">
        <f t="array" ref="F1247">IF(D1247&gt;=_xlfn.PERCENTILE.INC(D1247:D2905, 0.9), "High", "Low")</f>
        <v>Low</v>
      </c>
      <c r="L1247" s="4" t="str">
        <f t="shared" si="2"/>
        <v/>
      </c>
    </row>
    <row r="1248" ht="14.25" customHeight="1">
      <c r="A1248" s="1" t="s">
        <v>6455</v>
      </c>
      <c r="B1248" s="1">
        <v>5.1</v>
      </c>
      <c r="C1248" s="4" t="str">
        <f>IFERROR(__xludf.DUMMYFUNCTION("""COMPUTED_VALUE"""),"Troy Duffy")</f>
        <v>Troy Duffy</v>
      </c>
      <c r="D1248" s="4">
        <f t="array" ref="D1248">IFERROR(AVERAGEIFS($B$2:$B$3757, $A$2:$A$3757, C1248:C5002), "")</f>
        <v>6.3</v>
      </c>
      <c r="E1248" s="4">
        <f t="shared" si="1"/>
        <v>35.4</v>
      </c>
      <c r="F1248" s="4" t="str">
        <f t="array" ref="F1248">IF(D1248&gt;=_xlfn.PERCENTILE.INC(D1248:D2906, 0.9), "High", "Low")</f>
        <v>Low</v>
      </c>
      <c r="L1248" s="4" t="str">
        <f t="shared" si="2"/>
        <v/>
      </c>
    </row>
    <row r="1249" ht="14.25" customHeight="1">
      <c r="A1249" s="1" t="s">
        <v>2523</v>
      </c>
      <c r="B1249" s="1">
        <v>6.9</v>
      </c>
      <c r="C1249" s="4" t="str">
        <f>IFERROR(__xludf.DUMMYFUNCTION("""COMPUTED_VALUE"""),"Nicole Holofcener")</f>
        <v>Nicole Holofcener</v>
      </c>
      <c r="D1249" s="4">
        <f t="array" ref="D1249">IFERROR(AVERAGEIFS($B$2:$B$3757, $A$2:$A$3757, C1249:C5003), "")</f>
        <v>6.675</v>
      </c>
      <c r="E1249" s="4">
        <f t="shared" si="1"/>
        <v>49.3</v>
      </c>
      <c r="F1249" s="4" t="str">
        <f t="array" ref="F1249">IF(D1249&gt;=_xlfn.PERCENTILE.INC(D1249:D2907, 0.9), "High", "Low")</f>
        <v>Low</v>
      </c>
      <c r="L1249" s="4" t="str">
        <f t="shared" si="2"/>
        <v/>
      </c>
    </row>
    <row r="1250" ht="14.25" customHeight="1">
      <c r="A1250" s="1" t="s">
        <v>4166</v>
      </c>
      <c r="B1250" s="1">
        <v>6.2</v>
      </c>
      <c r="C1250" s="4" t="str">
        <f>IFERROR(__xludf.DUMMYFUNCTION("""COMPUTED_VALUE"""),"Fina Torres")</f>
        <v>Fina Torres</v>
      </c>
      <c r="D1250" s="4">
        <f t="array" ref="D1250">IFERROR(AVERAGEIFS($B$2:$B$3757, $A$2:$A$3757, C1250:C5004), "")</f>
        <v>5.3</v>
      </c>
      <c r="E1250" s="4">
        <f t="shared" si="1"/>
        <v>12.2</v>
      </c>
      <c r="F1250" s="4" t="str">
        <f t="array" ref="F1250">IF(D1250&gt;=_xlfn.PERCENTILE.INC(D1250:D2908, 0.9), "High", "Low")</f>
        <v>Low</v>
      </c>
      <c r="L1250" s="4" t="str">
        <f t="shared" si="2"/>
        <v/>
      </c>
    </row>
    <row r="1251" ht="14.25" customHeight="1">
      <c r="A1251" s="1" t="s">
        <v>6469</v>
      </c>
      <c r="B1251" s="1">
        <v>6.9</v>
      </c>
      <c r="C1251" s="4" t="str">
        <f>IFERROR(__xludf.DUMMYFUNCTION("""COMPUTED_VALUE"""),"Duke Johnson")</f>
        <v>Duke Johnson</v>
      </c>
      <c r="D1251" s="4">
        <f t="array" ref="D1251">IFERROR(AVERAGEIFS($B$2:$B$3757, $A$2:$A$3757, C1251:C5005), "")</f>
        <v>7.3</v>
      </c>
      <c r="E1251" s="4">
        <f t="shared" si="1"/>
        <v>79</v>
      </c>
      <c r="F1251" s="4" t="str">
        <f t="array" ref="F1251">IF(D1251&gt;=_xlfn.PERCENTILE.INC(D1251:D2909, 0.9), "High", "Low")</f>
        <v>Low</v>
      </c>
      <c r="L1251" s="4" t="str">
        <f t="shared" si="2"/>
        <v/>
      </c>
    </row>
    <row r="1252" ht="14.25" customHeight="1">
      <c r="A1252" s="1" t="s">
        <v>4043</v>
      </c>
      <c r="B1252" s="1">
        <v>7.3</v>
      </c>
      <c r="C1252" s="4" t="str">
        <f>IFERROR(__xludf.DUMMYFUNCTION("""COMPUTED_VALUE"""),"FranÃ§ois Ozon")</f>
        <v>FranÃ§ois Ozon</v>
      </c>
      <c r="D1252" s="4">
        <f t="array" ref="D1252">IFERROR(AVERAGEIFS($B$2:$B$3757, $A$2:$A$3757, C1252:C5006), "")</f>
        <v>7.1</v>
      </c>
      <c r="E1252" s="4">
        <f t="shared" si="1"/>
        <v>68.5</v>
      </c>
      <c r="F1252" s="4" t="str">
        <f t="array" ref="F1252">IF(D1252&gt;=_xlfn.PERCENTILE.INC(D1252:D2910, 0.9), "High", "Low")</f>
        <v>Low</v>
      </c>
      <c r="L1252" s="4" t="str">
        <f t="shared" si="2"/>
        <v/>
      </c>
    </row>
    <row r="1253" ht="14.25" customHeight="1">
      <c r="A1253" s="1" t="s">
        <v>6481</v>
      </c>
      <c r="B1253" s="1">
        <v>7.1</v>
      </c>
      <c r="C1253" s="4" t="str">
        <f>IFERROR(__xludf.DUMMYFUNCTION("""COMPUTED_VALUE"""),"Anna Boden")</f>
        <v>Anna Boden</v>
      </c>
      <c r="D1253" s="4">
        <f t="array" ref="D1253">IFERROR(AVERAGEIFS($B$2:$B$3757, $A$2:$A$3757, C1253:C5007), "")</f>
        <v>7.2</v>
      </c>
      <c r="E1253" s="4">
        <f t="shared" si="1"/>
        <v>73.8</v>
      </c>
      <c r="F1253" s="4" t="str">
        <f t="array" ref="F1253">IF(D1253&gt;=_xlfn.PERCENTILE.INC(D1253:D2911, 0.9), "High", "Low")</f>
        <v>Low</v>
      </c>
      <c r="L1253" s="4" t="str">
        <f t="shared" si="2"/>
        <v/>
      </c>
    </row>
    <row r="1254" ht="14.25" customHeight="1">
      <c r="A1254" s="1" t="s">
        <v>1936</v>
      </c>
      <c r="B1254" s="1">
        <v>6.0</v>
      </c>
      <c r="C1254" s="4" t="str">
        <f>IFERROR(__xludf.DUMMYFUNCTION("""COMPUTED_VALUE"""),"Steve James")</f>
        <v>Steve James</v>
      </c>
      <c r="D1254" s="4">
        <f t="array" ref="D1254">IFERROR(AVERAGEIFS($B$2:$B$3757, $A$2:$A$3757, C1254:C5008), "")</f>
        <v>7.55</v>
      </c>
      <c r="E1254" s="4">
        <f t="shared" si="1"/>
        <v>85.7</v>
      </c>
      <c r="F1254" s="4" t="str">
        <f t="array" ref="F1254">IF(D1254&gt;=_xlfn.PERCENTILE.INC(D1254:D2912, 0.9), "High", "Low")</f>
        <v>Low</v>
      </c>
      <c r="L1254" s="4" t="str">
        <f t="shared" si="2"/>
        <v/>
      </c>
    </row>
    <row r="1255" ht="14.25" customHeight="1">
      <c r="A1255" s="1" t="s">
        <v>6492</v>
      </c>
      <c r="B1255" s="1">
        <v>7.0</v>
      </c>
      <c r="C1255" s="4" t="str">
        <f>IFERROR(__xludf.DUMMYFUNCTION("""COMPUTED_VALUE"""),"Tomm Moore")</f>
        <v>Tomm Moore</v>
      </c>
      <c r="D1255" s="4">
        <f t="array" ref="D1255">IFERROR(AVERAGEIFS($B$2:$B$3757, $A$2:$A$3757, C1255:C5009), "")</f>
        <v>7.7</v>
      </c>
      <c r="E1255" s="4">
        <f t="shared" si="1"/>
        <v>89.7</v>
      </c>
      <c r="F1255" s="4" t="str">
        <f t="array" ref="F1255">IF(D1255&gt;=_xlfn.PERCENTILE.INC(D1255:D2913, 0.9), "High", "Low")</f>
        <v>High</v>
      </c>
      <c r="L1255" s="4" t="str">
        <f t="shared" si="2"/>
        <v/>
      </c>
    </row>
    <row r="1256" ht="14.25" customHeight="1">
      <c r="A1256" s="1" t="s">
        <v>1002</v>
      </c>
      <c r="B1256" s="1">
        <v>7.6</v>
      </c>
      <c r="C1256" s="4" t="str">
        <f>IFERROR(__xludf.DUMMYFUNCTION("""COMPUTED_VALUE"""),"John Carney")</f>
        <v>John Carney</v>
      </c>
      <c r="D1256" s="4">
        <f t="array" ref="D1256">IFERROR(AVERAGEIFS($B$2:$B$3757, $A$2:$A$3757, C1256:C5010), "")</f>
        <v>7.65</v>
      </c>
      <c r="E1256" s="4">
        <f t="shared" si="1"/>
        <v>89.4</v>
      </c>
      <c r="F1256" s="4" t="str">
        <f t="array" ref="F1256">IF(D1256&gt;=_xlfn.PERCENTILE.INC(D1256:D2914, 0.9), "High", "Low")</f>
        <v>Low</v>
      </c>
      <c r="L1256" s="4" t="str">
        <f t="shared" si="2"/>
        <v/>
      </c>
    </row>
    <row r="1257" ht="14.25" customHeight="1">
      <c r="A1257" s="1" t="s">
        <v>1205</v>
      </c>
      <c r="B1257" s="1">
        <v>7.1</v>
      </c>
      <c r="C1257" s="4" t="str">
        <f>IFERROR(__xludf.DUMMYFUNCTION("""COMPUTED_VALUE"""),"David Jacobson")</f>
        <v>David Jacobson</v>
      </c>
      <c r="D1257" s="4">
        <f t="array" ref="D1257">IFERROR(AVERAGEIFS($B$2:$B$3757, $A$2:$A$3757, C1257:C5011), "")</f>
        <v>6.5</v>
      </c>
      <c r="E1257" s="4">
        <f t="shared" si="1"/>
        <v>42.8</v>
      </c>
      <c r="F1257" s="4" t="str">
        <f t="array" ref="F1257">IF(D1257&gt;=_xlfn.PERCENTILE.INC(D1257:D2915, 0.9), "High", "Low")</f>
        <v>Low</v>
      </c>
      <c r="L1257" s="4" t="str">
        <f t="shared" si="2"/>
        <v/>
      </c>
    </row>
    <row r="1258" ht="14.25" customHeight="1">
      <c r="A1258" s="1" t="s">
        <v>484</v>
      </c>
      <c r="B1258" s="1">
        <v>6.7</v>
      </c>
      <c r="C1258" s="4" t="str">
        <f>IFERROR(__xludf.DUMMYFUNCTION("""COMPUTED_VALUE"""),"Michael Corrente")</f>
        <v>Michael Corrente</v>
      </c>
      <c r="D1258" s="4">
        <f t="array" ref="D1258">IFERROR(AVERAGEIFS($B$2:$B$3757, $A$2:$A$3757, C1258:C5012), "")</f>
        <v>6.4</v>
      </c>
      <c r="E1258" s="4">
        <f t="shared" si="1"/>
        <v>40</v>
      </c>
      <c r="F1258" s="4" t="str">
        <f t="array" ref="F1258">IF(D1258&gt;=_xlfn.PERCENTILE.INC(D1258:D2916, 0.9), "High", "Low")</f>
        <v>Low</v>
      </c>
      <c r="L1258" s="4" t="str">
        <f t="shared" si="2"/>
        <v/>
      </c>
    </row>
    <row r="1259" ht="14.25" customHeight="1">
      <c r="A1259" s="1" t="s">
        <v>247</v>
      </c>
      <c r="B1259" s="1">
        <v>7.0</v>
      </c>
      <c r="C1259" s="4" t="str">
        <f>IFERROR(__xludf.DUMMYFUNCTION("""COMPUTED_VALUE"""),"Keith Gordon")</f>
        <v>Keith Gordon</v>
      </c>
      <c r="D1259" s="4">
        <f t="array" ref="D1259">IFERROR(AVERAGEIFS($B$2:$B$3757, $A$2:$A$3757, C1259:C5013), "")</f>
        <v>5.6</v>
      </c>
      <c r="E1259" s="4">
        <f t="shared" si="1"/>
        <v>17.7</v>
      </c>
      <c r="F1259" s="4" t="str">
        <f t="array" ref="F1259">IF(D1259&gt;=_xlfn.PERCENTILE.INC(D1259:D2917, 0.9), "High", "Low")</f>
        <v>Low</v>
      </c>
      <c r="L1259" s="4" t="str">
        <f t="shared" si="2"/>
        <v/>
      </c>
    </row>
    <row r="1260" ht="14.25" customHeight="1">
      <c r="A1260" s="1" t="s">
        <v>88</v>
      </c>
      <c r="B1260" s="1">
        <v>8.0</v>
      </c>
      <c r="C1260" s="4" t="str">
        <f>IFERROR(__xludf.DUMMYFUNCTION("""COMPUTED_VALUE"""),"Andrew Currie")</f>
        <v>Andrew Currie</v>
      </c>
      <c r="D1260" s="4">
        <f t="array" ref="D1260">IFERROR(AVERAGEIFS($B$2:$B$3757, $A$2:$A$3757, C1260:C5014), "")</f>
        <v>6.8</v>
      </c>
      <c r="E1260" s="4">
        <f t="shared" si="1"/>
        <v>54.4</v>
      </c>
      <c r="F1260" s="4" t="str">
        <f t="array" ref="F1260">IF(D1260&gt;=_xlfn.PERCENTILE.INC(D1260:D2918, 0.9), "High", "Low")</f>
        <v>Low</v>
      </c>
      <c r="L1260" s="4" t="str">
        <f t="shared" si="2"/>
        <v/>
      </c>
    </row>
    <row r="1261" ht="14.25" customHeight="1">
      <c r="A1261" s="1" t="s">
        <v>4441</v>
      </c>
      <c r="B1261" s="1">
        <v>5.3</v>
      </c>
      <c r="C1261" s="4" t="str">
        <f>IFERROR(__xludf.DUMMYFUNCTION("""COMPUTED_VALUE"""),"Andrew Wilson")</f>
        <v>Andrew Wilson</v>
      </c>
      <c r="D1261" s="4">
        <f t="array" ref="D1261">IFERROR(AVERAGEIFS($B$2:$B$3757, $A$2:$A$3757, C1261:C5015), "")</f>
        <v>5.5</v>
      </c>
      <c r="E1261" s="4">
        <f t="shared" si="1"/>
        <v>16.3</v>
      </c>
      <c r="F1261" s="4" t="str">
        <f t="array" ref="F1261">IF(D1261&gt;=_xlfn.PERCENTILE.INC(D1261:D2919, 0.9), "High", "Low")</f>
        <v>Low</v>
      </c>
      <c r="L1261" s="4" t="str">
        <f t="shared" si="2"/>
        <v/>
      </c>
    </row>
    <row r="1262" ht="14.25" customHeight="1">
      <c r="A1262" s="1" t="s">
        <v>4591</v>
      </c>
      <c r="B1262" s="1">
        <v>4.9</v>
      </c>
      <c r="C1262" s="4" t="str">
        <f>IFERROR(__xludf.DUMMYFUNCTION("""COMPUTED_VALUE"""),"Marc SchÃ¶lermann")</f>
        <v>Marc SchÃ¶lermann</v>
      </c>
      <c r="D1262" s="4">
        <f t="array" ref="D1262">IFERROR(AVERAGEIFS($B$2:$B$3757, $A$2:$A$3757, C1262:C5016), "")</f>
        <v>6</v>
      </c>
      <c r="E1262" s="4">
        <f t="shared" si="1"/>
        <v>27.1</v>
      </c>
      <c r="F1262" s="4" t="str">
        <f t="array" ref="F1262">IF(D1262&gt;=_xlfn.PERCENTILE.INC(D1262:D2920, 0.9), "High", "Low")</f>
        <v>Low</v>
      </c>
      <c r="L1262" s="4" t="str">
        <f t="shared" si="2"/>
        <v/>
      </c>
    </row>
    <row r="1263" ht="14.25" customHeight="1">
      <c r="A1263" s="1" t="s">
        <v>2368</v>
      </c>
      <c r="B1263" s="1">
        <v>6.4</v>
      </c>
      <c r="C1263" s="4" t="str">
        <f>IFERROR(__xludf.DUMMYFUNCTION("""COMPUTED_VALUE"""),"Robert Moresco")</f>
        <v>Robert Moresco</v>
      </c>
      <c r="D1263" s="4">
        <f t="array" ref="D1263">IFERROR(AVERAGEIFS($B$2:$B$3757, $A$2:$A$3757, C1263:C5017), "")</f>
        <v>6.4</v>
      </c>
      <c r="E1263" s="4">
        <f t="shared" si="1"/>
        <v>39.7</v>
      </c>
      <c r="F1263" s="4" t="str">
        <f t="array" ref="F1263">IF(D1263&gt;=_xlfn.PERCENTILE.INC(D1263:D2921, 0.9), "High", "Low")</f>
        <v>Low</v>
      </c>
      <c r="L1263" s="4" t="str">
        <f t="shared" si="2"/>
        <v/>
      </c>
    </row>
    <row r="1264" ht="14.25" customHeight="1">
      <c r="A1264" s="1" t="s">
        <v>1284</v>
      </c>
      <c r="B1264" s="1">
        <v>7.4</v>
      </c>
      <c r="C1264" s="4" t="str">
        <f>IFERROR(__xludf.DUMMYFUNCTION("""COMPUTED_VALUE"""),"Thomas Vinterberg")</f>
        <v>Thomas Vinterberg</v>
      </c>
      <c r="D1264" s="4">
        <f t="array" ref="D1264">IFERROR(AVERAGEIFS($B$2:$B$3757, $A$2:$A$3757, C1264:C5018), "")</f>
        <v>7.666666667</v>
      </c>
      <c r="E1264" s="4">
        <f t="shared" si="1"/>
        <v>89.4</v>
      </c>
      <c r="F1264" s="4" t="str">
        <f t="array" ref="F1264">IF(D1264&gt;=_xlfn.PERCENTILE.INC(D1264:D2922, 0.9), "High", "Low")</f>
        <v>Low</v>
      </c>
      <c r="L1264" s="4" t="str">
        <f t="shared" si="2"/>
        <v/>
      </c>
    </row>
    <row r="1265" ht="14.25" customHeight="1">
      <c r="A1265" s="1" t="s">
        <v>2976</v>
      </c>
      <c r="B1265" s="1">
        <v>6.1</v>
      </c>
      <c r="C1265" s="4" t="str">
        <f>IFERROR(__xludf.DUMMYFUNCTION("""COMPUTED_VALUE"""),"Ol Parker")</f>
        <v>Ol Parker</v>
      </c>
      <c r="D1265" s="4">
        <f t="array" ref="D1265">IFERROR(AVERAGEIFS($B$2:$B$3757, $A$2:$A$3757, C1265:C5019), "")</f>
        <v>6.9</v>
      </c>
      <c r="E1265" s="4">
        <f t="shared" si="1"/>
        <v>58.3</v>
      </c>
      <c r="F1265" s="4" t="str">
        <f t="array" ref="F1265">IF(D1265&gt;=_xlfn.PERCENTILE.INC(D1265:D2923, 0.9), "High", "Low")</f>
        <v>Low</v>
      </c>
      <c r="L1265" s="4" t="str">
        <f t="shared" si="2"/>
        <v/>
      </c>
    </row>
    <row r="1266" ht="14.25" customHeight="1">
      <c r="A1266" s="1" t="s">
        <v>2942</v>
      </c>
      <c r="B1266" s="1">
        <v>6.5</v>
      </c>
      <c r="C1266" s="4" t="str">
        <f>IFERROR(__xludf.DUMMYFUNCTION("""COMPUTED_VALUE"""),"David Webb Peoples")</f>
        <v>David Webb Peoples</v>
      </c>
      <c r="D1266" s="4">
        <f t="array" ref="D1266">IFERROR(AVERAGEIFS($B$2:$B$3757, $A$2:$A$3757, C1266:C5020), "")</f>
        <v>6.5</v>
      </c>
      <c r="E1266" s="4">
        <f t="shared" si="1"/>
        <v>42.5</v>
      </c>
      <c r="F1266" s="4" t="str">
        <f t="array" ref="F1266">IF(D1266&gt;=_xlfn.PERCENTILE.INC(D1266:D2924, 0.9), "High", "Low")</f>
        <v>Low</v>
      </c>
      <c r="L1266" s="4" t="str">
        <f t="shared" si="2"/>
        <v/>
      </c>
    </row>
    <row r="1267" ht="14.25" customHeight="1">
      <c r="A1267" s="1" t="s">
        <v>6543</v>
      </c>
      <c r="B1267" s="1">
        <v>5.7</v>
      </c>
      <c r="C1267" s="4" t="str">
        <f>IFERROR(__xludf.DUMMYFUNCTION("""COMPUTED_VALUE"""),"Stanley Tong")</f>
        <v>Stanley Tong</v>
      </c>
      <c r="D1267" s="4">
        <f t="array" ref="D1267">IFERROR(AVERAGEIFS($B$2:$B$3757, $A$2:$A$3757, C1267:C5021), "")</f>
        <v>6.7</v>
      </c>
      <c r="E1267" s="4">
        <f t="shared" si="1"/>
        <v>49.5</v>
      </c>
      <c r="F1267" s="4" t="str">
        <f t="array" ref="F1267">IF(D1267&gt;=_xlfn.PERCENTILE.INC(D1267:D2925, 0.9), "High", "Low")</f>
        <v>Low</v>
      </c>
      <c r="L1267" s="4" t="str">
        <f t="shared" si="2"/>
        <v/>
      </c>
    </row>
    <row r="1268" ht="14.25" customHeight="1">
      <c r="A1268" s="1" t="s">
        <v>4632</v>
      </c>
      <c r="B1268" s="1">
        <v>5.1</v>
      </c>
      <c r="C1268" s="4" t="str">
        <f>IFERROR(__xludf.DUMMYFUNCTION("""COMPUTED_VALUE"""),"Eli Roth")</f>
        <v>Eli Roth</v>
      </c>
      <c r="D1268" s="4">
        <f t="array" ref="D1268">IFERROR(AVERAGEIFS($B$2:$B$3757, $A$2:$A$3757, C1268:C5022), "")</f>
        <v>5.566666667</v>
      </c>
      <c r="E1268" s="4">
        <f t="shared" si="1"/>
        <v>17.6</v>
      </c>
      <c r="F1268" s="4" t="str">
        <f t="array" ref="F1268">IF(D1268&gt;=_xlfn.PERCENTILE.INC(D1268:D2926, 0.9), "High", "Low")</f>
        <v>Low</v>
      </c>
      <c r="L1268" s="4" t="str">
        <f t="shared" si="2"/>
        <v/>
      </c>
    </row>
    <row r="1269" ht="14.25" customHeight="1">
      <c r="A1269" s="1" t="s">
        <v>6553</v>
      </c>
      <c r="B1269" s="1">
        <v>6.6</v>
      </c>
      <c r="C1269" s="4" t="str">
        <f>IFERROR(__xludf.DUMMYFUNCTION("""COMPUTED_VALUE"""),"Tony Richardson")</f>
        <v>Tony Richardson</v>
      </c>
      <c r="D1269" s="4">
        <f t="array" ref="D1269">IFERROR(AVERAGEIFS($B$2:$B$3757, $A$2:$A$3757, C1269:C5023), "")</f>
        <v>6</v>
      </c>
      <c r="E1269" s="4">
        <f t="shared" si="1"/>
        <v>27.3</v>
      </c>
      <c r="F1269" s="4" t="str">
        <f t="array" ref="F1269">IF(D1269&gt;=_xlfn.PERCENTILE.INC(D1269:D2927, 0.9), "High", "Low")</f>
        <v>Low</v>
      </c>
      <c r="L1269" s="4" t="str">
        <f t="shared" si="2"/>
        <v/>
      </c>
    </row>
    <row r="1270" ht="14.25" customHeight="1">
      <c r="A1270" s="1" t="s">
        <v>6557</v>
      </c>
      <c r="B1270" s="1">
        <v>6.5</v>
      </c>
      <c r="C1270" s="4" t="str">
        <f>IFERROR(__xludf.DUMMYFUNCTION("""COMPUTED_VALUE"""),"Paul Gross")</f>
        <v>Paul Gross</v>
      </c>
      <c r="D1270" s="4">
        <f t="array" ref="D1270">IFERROR(AVERAGEIFS($B$2:$B$3757, $A$2:$A$3757, C1270:C5024), "")</f>
        <v>6</v>
      </c>
      <c r="E1270" s="4">
        <f t="shared" si="1"/>
        <v>27.4</v>
      </c>
      <c r="F1270" s="4" t="str">
        <f t="array" ref="F1270">IF(D1270&gt;=_xlfn.PERCENTILE.INC(D1270:D2928, 0.9), "High", "Low")</f>
        <v>Low</v>
      </c>
      <c r="L1270" s="4" t="str">
        <f t="shared" si="2"/>
        <v/>
      </c>
    </row>
    <row r="1271" ht="14.25" customHeight="1">
      <c r="A1271" s="1" t="s">
        <v>659</v>
      </c>
      <c r="B1271" s="1">
        <v>6.9</v>
      </c>
      <c r="C1271" s="4" t="str">
        <f>IFERROR(__xludf.DUMMYFUNCTION("""COMPUTED_VALUE"""),"Charles Robert Carner")</f>
        <v>Charles Robert Carner</v>
      </c>
      <c r="D1271" s="4">
        <f t="array" ref="D1271">IFERROR(AVERAGEIFS($B$2:$B$3757, $A$2:$A$3757, C1271:C5025), "")</f>
        <v>3.1</v>
      </c>
      <c r="E1271" s="4">
        <f t="shared" si="1"/>
        <v>1</v>
      </c>
      <c r="F1271" s="4" t="str">
        <f t="array" ref="F1271">IF(D1271&gt;=_xlfn.PERCENTILE.INC(D1271:D2929, 0.9), "High", "Low")</f>
        <v>Low</v>
      </c>
      <c r="L1271" s="4" t="str">
        <f t="shared" si="2"/>
        <v/>
      </c>
    </row>
    <row r="1272" ht="14.25" customHeight="1">
      <c r="A1272" s="1" t="s">
        <v>6567</v>
      </c>
      <c r="B1272" s="1">
        <v>7.6</v>
      </c>
      <c r="C1272" s="4" t="str">
        <f>IFERROR(__xludf.DUMMYFUNCTION("""COMPUTED_VALUE"""),"Rodrigo GarcÃ­a")</f>
        <v>Rodrigo GarcÃ­a</v>
      </c>
      <c r="D1272" s="4">
        <f t="array" ref="D1272">IFERROR(AVERAGEIFS($B$2:$B$3757, $A$2:$A$3757, C1272:C5026), "")</f>
        <v>6.95</v>
      </c>
      <c r="E1272" s="4">
        <f t="shared" si="1"/>
        <v>62.7</v>
      </c>
      <c r="F1272" s="4" t="str">
        <f t="array" ref="F1272">IF(D1272&gt;=_xlfn.PERCENTILE.INC(D1272:D2930, 0.9), "High", "Low")</f>
        <v>Low</v>
      </c>
      <c r="L1272" s="4" t="str">
        <f t="shared" si="2"/>
        <v/>
      </c>
    </row>
    <row r="1273" ht="14.25" customHeight="1">
      <c r="A1273" s="1" t="s">
        <v>704</v>
      </c>
      <c r="B1273" s="1">
        <v>5.6</v>
      </c>
      <c r="C1273" s="4" t="str">
        <f>IFERROR(__xludf.DUMMYFUNCTION("""COMPUTED_VALUE"""),"Vincent Paronnaud")</f>
        <v>Vincent Paronnaud</v>
      </c>
      <c r="D1273" s="4">
        <f t="array" ref="D1273">IFERROR(AVERAGEIFS($B$2:$B$3757, $A$2:$A$3757, C1273:C5027), "")</f>
        <v>8</v>
      </c>
      <c r="E1273" s="4">
        <f t="shared" si="1"/>
        <v>95.9</v>
      </c>
      <c r="F1273" s="4" t="str">
        <f t="array" ref="F1273">IF(D1273&gt;=_xlfn.PERCENTILE.INC(D1273:D2931, 0.9), "High", "Low")</f>
        <v>High</v>
      </c>
      <c r="L1273" s="4" t="str">
        <f t="shared" si="2"/>
        <v/>
      </c>
    </row>
    <row r="1274" ht="14.25" customHeight="1">
      <c r="A1274" s="1" t="s">
        <v>6575</v>
      </c>
      <c r="B1274" s="1">
        <v>6.2</v>
      </c>
      <c r="C1274" s="4" t="str">
        <f>IFERROR(__xludf.DUMMYFUNCTION("""COMPUTED_VALUE"""),"Daniel Barber")</f>
        <v>Daniel Barber</v>
      </c>
      <c r="D1274" s="4">
        <f t="array" ref="D1274">IFERROR(AVERAGEIFS($B$2:$B$3757, $A$2:$A$3757, C1274:C5028), "")</f>
        <v>7.2</v>
      </c>
      <c r="E1274" s="4">
        <f t="shared" si="1"/>
        <v>73.9</v>
      </c>
      <c r="F1274" s="4" t="str">
        <f t="array" ref="F1274">IF(D1274&gt;=_xlfn.PERCENTILE.INC(D1274:D2932, 0.9), "High", "Low")</f>
        <v>Low</v>
      </c>
      <c r="L1274" s="4" t="str">
        <f t="shared" si="2"/>
        <v/>
      </c>
    </row>
    <row r="1275" ht="14.25" customHeight="1">
      <c r="A1275" s="1" t="s">
        <v>4849</v>
      </c>
      <c r="B1275" s="1">
        <v>4.4</v>
      </c>
      <c r="C1275" s="4" t="str">
        <f>IFERROR(__xludf.DUMMYFUNCTION("""COMPUTED_VALUE"""),"Robert Marcarelli")</f>
        <v>Robert Marcarelli</v>
      </c>
      <c r="D1275" s="4">
        <f t="array" ref="D1275">IFERROR(AVERAGEIFS($B$2:$B$3757, $A$2:$A$3757, C1275:C5029), "")</f>
        <v>3.5</v>
      </c>
      <c r="E1275" s="4">
        <f t="shared" si="1"/>
        <v>2.1</v>
      </c>
      <c r="F1275" s="4" t="str">
        <f t="array" ref="F1275">IF(D1275&gt;=_xlfn.PERCENTILE.INC(D1275:D2933, 0.9), "High", "Low")</f>
        <v>Low</v>
      </c>
      <c r="L1275" s="4" t="str">
        <f t="shared" si="2"/>
        <v/>
      </c>
    </row>
    <row r="1276" ht="14.25" customHeight="1">
      <c r="A1276" s="1" t="s">
        <v>6585</v>
      </c>
      <c r="B1276" s="1">
        <v>5.6</v>
      </c>
      <c r="C1276" s="4" t="str">
        <f>IFERROR(__xludf.DUMMYFUNCTION("""COMPUTED_VALUE"""),"Guy Hamilton")</f>
        <v>Guy Hamilton</v>
      </c>
      <c r="D1276" s="4">
        <f t="array" ref="D1276">IFERROR(AVERAGEIFS($B$2:$B$3757, $A$2:$A$3757, C1276:C5030), "")</f>
        <v>7.025</v>
      </c>
      <c r="E1276" s="4">
        <f t="shared" si="1"/>
        <v>68.3</v>
      </c>
      <c r="F1276" s="4" t="str">
        <f t="array" ref="F1276">IF(D1276&gt;=_xlfn.PERCENTILE.INC(D1276:D2934, 0.9), "High", "Low")</f>
        <v>Low</v>
      </c>
      <c r="L1276" s="4" t="str">
        <f t="shared" si="2"/>
        <v/>
      </c>
    </row>
    <row r="1277" ht="14.25" customHeight="1">
      <c r="A1277" s="1" t="s">
        <v>3991</v>
      </c>
      <c r="B1277" s="1">
        <v>5.5</v>
      </c>
      <c r="C1277" s="4" t="str">
        <f>IFERROR(__xludf.DUMMYFUNCTION("""COMPUTED_VALUE"""),"Michael Anderson")</f>
        <v>Michael Anderson</v>
      </c>
      <c r="D1277" s="4">
        <f t="array" ref="D1277">IFERROR(AVERAGEIFS($B$2:$B$3757, $A$2:$A$3757, C1277:C5031), "")</f>
        <v>6.8</v>
      </c>
      <c r="E1277" s="4">
        <f t="shared" si="1"/>
        <v>54.2</v>
      </c>
      <c r="F1277" s="4" t="str">
        <f t="array" ref="F1277">IF(D1277&gt;=_xlfn.PERCENTILE.INC(D1277:D2935, 0.9), "High", "Low")</f>
        <v>Low</v>
      </c>
      <c r="L1277" s="4" t="str">
        <f t="shared" si="2"/>
        <v/>
      </c>
    </row>
    <row r="1278" ht="14.25" customHeight="1">
      <c r="A1278" s="1" t="s">
        <v>3617</v>
      </c>
      <c r="B1278" s="1">
        <v>6.7</v>
      </c>
      <c r="C1278" s="4" t="str">
        <f>IFERROR(__xludf.DUMMYFUNCTION("""COMPUTED_VALUE"""),"Matt Bettinelli-Olpin")</f>
        <v>Matt Bettinelli-Olpin</v>
      </c>
      <c r="D1278" s="4">
        <f t="array" ref="D1278">IFERROR(AVERAGEIFS($B$2:$B$3757, $A$2:$A$3757, C1278:C5032), "")</f>
        <v>4</v>
      </c>
      <c r="E1278" s="4">
        <f t="shared" si="1"/>
        <v>3.4</v>
      </c>
      <c r="F1278" s="4" t="str">
        <f t="array" ref="F1278">IF(D1278&gt;=_xlfn.PERCENTILE.INC(D1278:D2936, 0.9), "High", "Low")</f>
        <v>Low</v>
      </c>
      <c r="L1278" s="4" t="str">
        <f t="shared" si="2"/>
        <v/>
      </c>
    </row>
    <row r="1279" ht="14.25" customHeight="1">
      <c r="A1279" s="1" t="s">
        <v>704</v>
      </c>
      <c r="B1279" s="1">
        <v>6.1</v>
      </c>
      <c r="C1279" s="4" t="str">
        <f>IFERROR(__xludf.DUMMYFUNCTION("""COMPUTED_VALUE"""),"Aaron Schneider")</f>
        <v>Aaron Schneider</v>
      </c>
      <c r="D1279" s="4">
        <f t="array" ref="D1279">IFERROR(AVERAGEIFS($B$2:$B$3757, $A$2:$A$3757, C1279:C5033), "")</f>
        <v>7.1</v>
      </c>
      <c r="E1279" s="4">
        <f t="shared" si="1"/>
        <v>68.3</v>
      </c>
      <c r="F1279" s="4" t="str">
        <f t="array" ref="F1279">IF(D1279&gt;=_xlfn.PERCENTILE.INC(D1279:D2937, 0.9), "High", "Low")</f>
        <v>Low</v>
      </c>
      <c r="L1279" s="4" t="str">
        <f t="shared" si="2"/>
        <v/>
      </c>
    </row>
    <row r="1280" ht="14.25" customHeight="1">
      <c r="A1280" s="1" t="s">
        <v>4205</v>
      </c>
      <c r="B1280" s="1">
        <v>6.2</v>
      </c>
      <c r="C1280" s="4" t="str">
        <f>IFERROR(__xludf.DUMMYFUNCTION("""COMPUTED_VALUE"""),"Tom Ford")</f>
        <v>Tom Ford</v>
      </c>
      <c r="D1280" s="4">
        <f t="array" ref="D1280">IFERROR(AVERAGEIFS($B$2:$B$3757, $A$2:$A$3757, C1280:C5034), "")</f>
        <v>7.6</v>
      </c>
      <c r="E1280" s="4">
        <f t="shared" si="1"/>
        <v>86.1</v>
      </c>
      <c r="F1280" s="4" t="str">
        <f t="array" ref="F1280">IF(D1280&gt;=_xlfn.PERCENTILE.INC(D1280:D2938, 0.9), "High", "Low")</f>
        <v>Low</v>
      </c>
      <c r="L1280" s="4" t="str">
        <f t="shared" si="2"/>
        <v/>
      </c>
    </row>
    <row r="1281" ht="14.25" customHeight="1">
      <c r="A1281" s="1" t="s">
        <v>6607</v>
      </c>
      <c r="B1281" s="1">
        <v>7.3</v>
      </c>
      <c r="C1281" s="4" t="str">
        <f>IFERROR(__xludf.DUMMYFUNCTION("""COMPUTED_VALUE"""),"Gurinder Chadha")</f>
        <v>Gurinder Chadha</v>
      </c>
      <c r="D1281" s="4">
        <f t="array" ref="D1281">IFERROR(AVERAGEIFS($B$2:$B$3757, $A$2:$A$3757, C1281:C5035), "")</f>
        <v>6.45</v>
      </c>
      <c r="E1281" s="4">
        <f t="shared" si="1"/>
        <v>42.1</v>
      </c>
      <c r="F1281" s="4" t="str">
        <f t="array" ref="F1281">IF(D1281&gt;=_xlfn.PERCENTILE.INC(D1281:D2939, 0.9), "High", "Low")</f>
        <v>Low</v>
      </c>
      <c r="L1281" s="4" t="str">
        <f t="shared" si="2"/>
        <v/>
      </c>
    </row>
    <row r="1282" ht="14.25" customHeight="1">
      <c r="A1282" s="1" t="s">
        <v>179</v>
      </c>
      <c r="B1282" s="1">
        <v>6.6</v>
      </c>
      <c r="C1282" s="4" t="str">
        <f>IFERROR(__xludf.DUMMYFUNCTION("""COMPUTED_VALUE"""),"Tony Maylam")</f>
        <v>Tony Maylam</v>
      </c>
      <c r="D1282" s="4">
        <f t="array" ref="D1282">IFERROR(AVERAGEIFS($B$2:$B$3757, $A$2:$A$3757, C1282:C5036), "")</f>
        <v>6.2</v>
      </c>
      <c r="E1282" s="4">
        <f t="shared" si="1"/>
        <v>33.8</v>
      </c>
      <c r="F1282" s="4" t="str">
        <f t="array" ref="F1282">IF(D1282&gt;=_xlfn.PERCENTILE.INC(D1282:D2940, 0.9), "High", "Low")</f>
        <v>Low</v>
      </c>
      <c r="L1282" s="4" t="str">
        <f t="shared" si="2"/>
        <v/>
      </c>
    </row>
    <row r="1283" ht="14.25" customHeight="1">
      <c r="A1283" s="1" t="s">
        <v>5073</v>
      </c>
      <c r="B1283" s="1">
        <v>8.2</v>
      </c>
      <c r="C1283" s="4" t="str">
        <f>IFERROR(__xludf.DUMMYFUNCTION("""COMPUTED_VALUE"""),"Mitch Davis")</f>
        <v>Mitch Davis</v>
      </c>
      <c r="D1283" s="4">
        <f t="array" ref="D1283">IFERROR(AVERAGEIFS($B$2:$B$3757, $A$2:$A$3757, C1283:C5037), "")</f>
        <v>6.5</v>
      </c>
      <c r="E1283" s="4">
        <f t="shared" si="1"/>
        <v>42.3</v>
      </c>
      <c r="F1283" s="4" t="str">
        <f t="array" ref="F1283">IF(D1283&gt;=_xlfn.PERCENTILE.INC(D1283:D2941, 0.9), "High", "Low")</f>
        <v>Low</v>
      </c>
      <c r="L1283" s="4" t="str">
        <f t="shared" si="2"/>
        <v/>
      </c>
    </row>
    <row r="1284" ht="14.25" customHeight="1">
      <c r="A1284" s="1" t="s">
        <v>1338</v>
      </c>
      <c r="B1284" s="1">
        <v>6.4</v>
      </c>
      <c r="C1284" s="4" t="str">
        <f>IFERROR(__xludf.DUMMYFUNCTION("""COMPUTED_VALUE"""),"Kevin Brodie")</f>
        <v>Kevin Brodie</v>
      </c>
      <c r="D1284" s="4">
        <f t="array" ref="D1284">IFERROR(AVERAGEIFS($B$2:$B$3757, $A$2:$A$3757, C1284:C5038), "")</f>
        <v>6.3</v>
      </c>
      <c r="E1284" s="4">
        <f t="shared" si="1"/>
        <v>35.8</v>
      </c>
      <c r="F1284" s="4" t="str">
        <f t="array" ref="F1284">IF(D1284&gt;=_xlfn.PERCENTILE.INC(D1284:D2942, 0.9), "High", "Low")</f>
        <v>Low</v>
      </c>
      <c r="L1284" s="4" t="str">
        <f t="shared" si="2"/>
        <v/>
      </c>
    </row>
    <row r="1285" ht="14.25" customHeight="1">
      <c r="A1285" s="1" t="s">
        <v>6627</v>
      </c>
      <c r="B1285" s="1">
        <v>6.4</v>
      </c>
      <c r="C1285" s="4" t="str">
        <f>IFERROR(__xludf.DUMMYFUNCTION("""COMPUTED_VALUE"""),"Paul Schrader")</f>
        <v>Paul Schrader</v>
      </c>
      <c r="D1285" s="4">
        <f t="array" ref="D1285">IFERROR(AVERAGEIFS($B$2:$B$3757, $A$2:$A$3757, C1285:C5039), "")</f>
        <v>5.766666667</v>
      </c>
      <c r="E1285" s="4">
        <f t="shared" si="1"/>
        <v>21.8</v>
      </c>
      <c r="F1285" s="4" t="str">
        <f t="array" ref="F1285">IF(D1285&gt;=_xlfn.PERCENTILE.INC(D1285:D2943, 0.9), "High", "Low")</f>
        <v>Low</v>
      </c>
      <c r="L1285" s="4" t="str">
        <f t="shared" si="2"/>
        <v/>
      </c>
    </row>
    <row r="1286" ht="14.25" customHeight="1">
      <c r="A1286" s="1" t="s">
        <v>6634</v>
      </c>
      <c r="B1286" s="1">
        <v>5.2</v>
      </c>
      <c r="C1286" s="4" t="str">
        <f>IFERROR(__xludf.DUMMYFUNCTION("""COMPUTED_VALUE"""),"Lynne Ramsay")</f>
        <v>Lynne Ramsay</v>
      </c>
      <c r="D1286" s="4">
        <f t="array" ref="D1286">IFERROR(AVERAGEIFS($B$2:$B$3757, $A$2:$A$3757, C1286:C5040), "")</f>
        <v>7.5</v>
      </c>
      <c r="E1286" s="4">
        <f t="shared" si="1"/>
        <v>84.5</v>
      </c>
      <c r="F1286" s="4" t="str">
        <f t="array" ref="F1286">IF(D1286&gt;=_xlfn.PERCENTILE.INC(D1286:D2944, 0.9), "High", "Low")</f>
        <v>Low</v>
      </c>
      <c r="L1286" s="4" t="str">
        <f t="shared" si="2"/>
        <v/>
      </c>
    </row>
    <row r="1287" ht="14.25" customHeight="1">
      <c r="A1287" s="1" t="s">
        <v>2957</v>
      </c>
      <c r="B1287" s="1">
        <v>6.5</v>
      </c>
      <c r="C1287" s="4" t="str">
        <f>IFERROR(__xludf.DUMMYFUNCTION("""COMPUTED_VALUE"""),"Tim Chambers")</f>
        <v>Tim Chambers</v>
      </c>
      <c r="D1287" s="4">
        <f t="array" ref="D1287">IFERROR(AVERAGEIFS($B$2:$B$3757, $A$2:$A$3757, C1287:C5041), "")</f>
        <v>6.5</v>
      </c>
      <c r="E1287" s="4">
        <f t="shared" si="1"/>
        <v>42.2</v>
      </c>
      <c r="F1287" s="4" t="str">
        <f t="array" ref="F1287">IF(D1287&gt;=_xlfn.PERCENTILE.INC(D1287:D2945, 0.9), "High", "Low")</f>
        <v>Low</v>
      </c>
      <c r="L1287" s="4" t="str">
        <f t="shared" si="2"/>
        <v/>
      </c>
    </row>
    <row r="1288" ht="14.25" customHeight="1">
      <c r="A1288" s="1" t="s">
        <v>6646</v>
      </c>
      <c r="B1288" s="1">
        <v>7.1</v>
      </c>
      <c r="C1288" s="4" t="str">
        <f>IFERROR(__xludf.DUMMYFUNCTION("""COMPUTED_VALUE"""),"Dick Richards")</f>
        <v>Dick Richards</v>
      </c>
      <c r="D1288" s="4">
        <f t="array" ref="D1288">IFERROR(AVERAGEIFS($B$2:$B$3757, $A$2:$A$3757, C1288:C5042), "")</f>
        <v>6.3</v>
      </c>
      <c r="E1288" s="4">
        <f t="shared" si="1"/>
        <v>35.9</v>
      </c>
      <c r="F1288" s="4" t="str">
        <f t="array" ref="F1288">IF(D1288&gt;=_xlfn.PERCENTILE.INC(D1288:D2946, 0.9), "High", "Low")</f>
        <v>Low</v>
      </c>
      <c r="L1288" s="4" t="str">
        <f t="shared" si="2"/>
        <v/>
      </c>
    </row>
    <row r="1289" ht="14.25" customHeight="1">
      <c r="A1289" s="1" t="s">
        <v>4876</v>
      </c>
      <c r="B1289" s="1">
        <v>7.3</v>
      </c>
      <c r="C1289" s="4" t="str">
        <f>IFERROR(__xludf.DUMMYFUNCTION("""COMPUTED_VALUE"""),"Alex Zamm")</f>
        <v>Alex Zamm</v>
      </c>
      <c r="D1289" s="4">
        <f t="array" ref="D1289">IFERROR(AVERAGEIFS($B$2:$B$3757, $A$2:$A$3757, C1289:C5043), "")</f>
        <v>2.3</v>
      </c>
      <c r="E1289" s="4">
        <f t="shared" si="1"/>
        <v>0</v>
      </c>
      <c r="F1289" s="4" t="str">
        <f t="array" ref="F1289">IF(D1289&gt;=_xlfn.PERCENTILE.INC(D1289:D2947, 0.9), "High", "Low")</f>
        <v>Low</v>
      </c>
      <c r="L1289" s="4" t="str">
        <f t="shared" si="2"/>
        <v/>
      </c>
    </row>
    <row r="1290" ht="14.25" customHeight="1">
      <c r="A1290" s="1" t="s">
        <v>6656</v>
      </c>
      <c r="B1290" s="1">
        <v>5.2</v>
      </c>
      <c r="C1290" s="4" t="str">
        <f>IFERROR(__xludf.DUMMYFUNCTION("""COMPUTED_VALUE"""),"Spencer Susser")</f>
        <v>Spencer Susser</v>
      </c>
      <c r="D1290" s="4">
        <f t="array" ref="D1290">IFERROR(AVERAGEIFS($B$2:$B$3757, $A$2:$A$3757, C1290:C5044), "")</f>
        <v>7.1</v>
      </c>
      <c r="E1290" s="4">
        <f t="shared" si="1"/>
        <v>68.2</v>
      </c>
      <c r="F1290" s="4" t="str">
        <f t="array" ref="F1290">IF(D1290&gt;=_xlfn.PERCENTILE.INC(D1290:D2948, 0.9), "High", "Low")</f>
        <v>Low</v>
      </c>
      <c r="L1290" s="4" t="str">
        <f t="shared" si="2"/>
        <v/>
      </c>
    </row>
    <row r="1291" ht="14.25" customHeight="1">
      <c r="A1291" s="1" t="s">
        <v>6662</v>
      </c>
      <c r="B1291" s="1">
        <v>7.7</v>
      </c>
      <c r="C1291" s="4" t="str">
        <f>IFERROR(__xludf.DUMMYFUNCTION("""COMPUTED_VALUE"""),"Thaddeus O'Sullivan")</f>
        <v>Thaddeus O'Sullivan</v>
      </c>
      <c r="D1291" s="4">
        <f t="array" ref="D1291">IFERROR(AVERAGEIFS($B$2:$B$3757, $A$2:$A$3757, C1291:C5045), "")</f>
        <v>6.7</v>
      </c>
      <c r="E1291" s="4">
        <f t="shared" si="1"/>
        <v>48.9</v>
      </c>
      <c r="F1291" s="4" t="str">
        <f t="array" ref="F1291">IF(D1291&gt;=_xlfn.PERCENTILE.INC(D1291:D2949, 0.9), "High", "Low")</f>
        <v>Low</v>
      </c>
      <c r="L1291" s="4" t="str">
        <f t="shared" si="2"/>
        <v/>
      </c>
    </row>
    <row r="1292" ht="14.25" customHeight="1">
      <c r="A1292" s="1" t="s">
        <v>5627</v>
      </c>
      <c r="B1292" s="1">
        <v>7.6</v>
      </c>
      <c r="C1292" s="4" t="str">
        <f>IFERROR(__xludf.DUMMYFUNCTION("""COMPUTED_VALUE"""),"Shari Springer Berman")</f>
        <v>Shari Springer Berman</v>
      </c>
      <c r="D1292" s="4">
        <f t="array" ref="D1292">IFERROR(AVERAGEIFS($B$2:$B$3757, $A$2:$A$3757, C1292:C5046), "")</f>
        <v>5.9</v>
      </c>
      <c r="E1292" s="4">
        <f t="shared" si="1"/>
        <v>23.6</v>
      </c>
      <c r="F1292" s="4" t="str">
        <f t="array" ref="F1292">IF(D1292&gt;=_xlfn.PERCENTILE.INC(D1292:D2950, 0.9), "High", "Low")</f>
        <v>Low</v>
      </c>
      <c r="L1292" s="4" t="str">
        <f t="shared" si="2"/>
        <v/>
      </c>
    </row>
    <row r="1293" ht="14.25" customHeight="1">
      <c r="A1293" s="1" t="s">
        <v>6672</v>
      </c>
      <c r="B1293" s="1">
        <v>5.7</v>
      </c>
      <c r="C1293" s="4" t="str">
        <f>IFERROR(__xludf.DUMMYFUNCTION("""COMPUTED_VALUE"""),"Stephen Milburn Anderson")</f>
        <v>Stephen Milburn Anderson</v>
      </c>
      <c r="D1293" s="4">
        <f t="array" ref="D1293">IFERROR(AVERAGEIFS($B$2:$B$3757, $A$2:$A$3757, C1293:C5047), "")</f>
        <v>6</v>
      </c>
      <c r="E1293" s="4">
        <f t="shared" si="1"/>
        <v>27.4</v>
      </c>
      <c r="F1293" s="4" t="str">
        <f t="array" ref="F1293">IF(D1293&gt;=_xlfn.PERCENTILE.INC(D1293:D2951, 0.9), "High", "Low")</f>
        <v>Low</v>
      </c>
      <c r="L1293" s="4" t="str">
        <f t="shared" si="2"/>
        <v/>
      </c>
    </row>
    <row r="1294" ht="14.25" customHeight="1">
      <c r="A1294" s="1" t="s">
        <v>6676</v>
      </c>
      <c r="B1294" s="1">
        <v>7.0</v>
      </c>
      <c r="C1294" s="4" t="str">
        <f>IFERROR(__xludf.DUMMYFUNCTION("""COMPUTED_VALUE"""),"Richard E. Grant")</f>
        <v>Richard E. Grant</v>
      </c>
      <c r="D1294" s="4">
        <f t="array" ref="D1294">IFERROR(AVERAGEIFS($B$2:$B$3757, $A$2:$A$3757, C1294:C5048), "")</f>
        <v>6.9</v>
      </c>
      <c r="E1294" s="4">
        <f t="shared" si="1"/>
        <v>57.5</v>
      </c>
      <c r="F1294" s="4" t="str">
        <f t="array" ref="F1294">IF(D1294&gt;=_xlfn.PERCENTILE.INC(D1294:D2952, 0.9), "High", "Low")</f>
        <v>Low</v>
      </c>
      <c r="L1294" s="4" t="str">
        <f t="shared" si="2"/>
        <v/>
      </c>
    </row>
    <row r="1295" ht="14.25" customHeight="1">
      <c r="A1295" s="1" t="s">
        <v>6680</v>
      </c>
      <c r="B1295" s="1">
        <v>6.0</v>
      </c>
      <c r="C1295" s="4" t="str">
        <f>IFERROR(__xludf.DUMMYFUNCTION("""COMPUTED_VALUE"""),"Arie Posin")</f>
        <v>Arie Posin</v>
      </c>
      <c r="D1295" s="4">
        <f t="array" ref="D1295">IFERROR(AVERAGEIFS($B$2:$B$3757, $A$2:$A$3757, C1295:C5049), "")</f>
        <v>7</v>
      </c>
      <c r="E1295" s="4">
        <f t="shared" si="1"/>
        <v>62.6</v>
      </c>
      <c r="F1295" s="4" t="str">
        <f t="array" ref="F1295">IF(D1295&gt;=_xlfn.PERCENTILE.INC(D1295:D2953, 0.9), "High", "Low")</f>
        <v>Low</v>
      </c>
      <c r="L1295" s="4" t="str">
        <f t="shared" si="2"/>
        <v/>
      </c>
    </row>
    <row r="1296" ht="14.25" customHeight="1">
      <c r="A1296" s="1" t="s">
        <v>813</v>
      </c>
      <c r="B1296" s="1">
        <v>8.1</v>
      </c>
      <c r="C1296" s="4" t="str">
        <f>IFERROR(__xludf.DUMMYFUNCTION("""COMPUTED_VALUE"""),"Damian Nieman")</f>
        <v>Damian Nieman</v>
      </c>
      <c r="D1296" s="4">
        <f t="array" ref="D1296">IFERROR(AVERAGEIFS($B$2:$B$3757, $A$2:$A$3757, C1296:C5050), "")</f>
        <v>6.4</v>
      </c>
      <c r="E1296" s="4">
        <f t="shared" si="1"/>
        <v>39.7</v>
      </c>
      <c r="F1296" s="4" t="str">
        <f t="array" ref="F1296">IF(D1296&gt;=_xlfn.PERCENTILE.INC(D1296:D2954, 0.9), "High", "Low")</f>
        <v>Low</v>
      </c>
      <c r="L1296" s="4" t="str">
        <f t="shared" si="2"/>
        <v/>
      </c>
    </row>
    <row r="1297" ht="14.25" customHeight="1">
      <c r="A1297" s="1" t="s">
        <v>6646</v>
      </c>
      <c r="B1297" s="1">
        <v>8.0</v>
      </c>
      <c r="C1297" s="4" t="str">
        <f>IFERROR(__xludf.DUMMYFUNCTION("""COMPUTED_VALUE"""),"Mark Tonderai")</f>
        <v>Mark Tonderai</v>
      </c>
      <c r="D1297" s="4">
        <f t="array" ref="D1297">IFERROR(AVERAGEIFS($B$2:$B$3757, $A$2:$A$3757, C1297:C5051), "")</f>
        <v>5.6</v>
      </c>
      <c r="E1297" s="4">
        <f t="shared" si="1"/>
        <v>17.9</v>
      </c>
      <c r="F1297" s="4" t="str">
        <f t="array" ref="F1297">IF(D1297&gt;=_xlfn.PERCENTILE.INC(D1297:D2955, 0.9), "High", "Low")</f>
        <v>Low</v>
      </c>
      <c r="L1297" s="4" t="str">
        <f t="shared" si="2"/>
        <v/>
      </c>
    </row>
    <row r="1298" ht="14.25" customHeight="1">
      <c r="A1298" s="1" t="s">
        <v>6697</v>
      </c>
      <c r="B1298" s="1">
        <v>5.6</v>
      </c>
      <c r="C1298" s="4" t="str">
        <f>IFERROR(__xludf.DUMMYFUNCTION("""COMPUTED_VALUE"""),"Rachel Perkins")</f>
        <v>Rachel Perkins</v>
      </c>
      <c r="D1298" s="4">
        <f t="array" ref="D1298">IFERROR(AVERAGEIFS($B$2:$B$3757, $A$2:$A$3757, C1298:C5052), "")</f>
        <v>6.3</v>
      </c>
      <c r="E1298" s="4">
        <f t="shared" si="1"/>
        <v>35.8</v>
      </c>
      <c r="F1298" s="4" t="str">
        <f t="array" ref="F1298">IF(D1298&gt;=_xlfn.PERCENTILE.INC(D1298:D2956, 0.9), "High", "Low")</f>
        <v>Low</v>
      </c>
      <c r="L1298" s="4" t="str">
        <f t="shared" si="2"/>
        <v/>
      </c>
    </row>
    <row r="1299" ht="14.25" customHeight="1">
      <c r="A1299" s="1" t="s">
        <v>6701</v>
      </c>
      <c r="B1299" s="1">
        <v>6.1</v>
      </c>
      <c r="C1299" s="4" t="str">
        <f>IFERROR(__xludf.DUMMYFUNCTION("""COMPUTED_VALUE"""),"Luis Valdez")</f>
        <v>Luis Valdez</v>
      </c>
      <c r="D1299" s="4">
        <f t="array" ref="D1299">IFERROR(AVERAGEIFS($B$2:$B$3757, $A$2:$A$3757, C1299:C5053), "")</f>
        <v>6.8</v>
      </c>
      <c r="E1299" s="4">
        <f t="shared" si="1"/>
        <v>53.3</v>
      </c>
      <c r="F1299" s="4" t="str">
        <f t="array" ref="F1299">IF(D1299&gt;=_xlfn.PERCENTILE.INC(D1299:D2957, 0.9), "High", "Low")</f>
        <v>Low</v>
      </c>
      <c r="L1299" s="4" t="str">
        <f t="shared" si="2"/>
        <v/>
      </c>
    </row>
    <row r="1300" ht="14.25" customHeight="1">
      <c r="A1300" s="1" t="s">
        <v>6705</v>
      </c>
      <c r="B1300" s="1">
        <v>6.9</v>
      </c>
      <c r="C1300" s="4" t="str">
        <f>IFERROR(__xludf.DUMMYFUNCTION("""COMPUTED_VALUE"""),"Louis Morneau")</f>
        <v>Louis Morneau</v>
      </c>
      <c r="D1300" s="4">
        <f t="array" ref="D1300">IFERROR(AVERAGEIFS($B$2:$B$3757, $A$2:$A$3757, C1300:C5054), "")</f>
        <v>3.6</v>
      </c>
      <c r="E1300" s="4">
        <f t="shared" si="1"/>
        <v>1.9</v>
      </c>
      <c r="F1300" s="4" t="str">
        <f t="array" ref="F1300">IF(D1300&gt;=_xlfn.PERCENTILE.INC(D1300:D2958, 0.9), "High", "Low")</f>
        <v>Low</v>
      </c>
      <c r="L1300" s="4" t="str">
        <f t="shared" si="2"/>
        <v/>
      </c>
    </row>
    <row r="1301" ht="14.25" customHeight="1">
      <c r="A1301" s="1" t="s">
        <v>5773</v>
      </c>
      <c r="B1301" s="1">
        <v>5.2</v>
      </c>
      <c r="C1301" s="4" t="str">
        <f>IFERROR(__xludf.DUMMYFUNCTION("""COMPUTED_VALUE"""),"Caroline Link")</f>
        <v>Caroline Link</v>
      </c>
      <c r="D1301" s="4">
        <f t="array" ref="D1301">IFERROR(AVERAGEIFS($B$2:$B$3757, $A$2:$A$3757, C1301:C5055), "")</f>
        <v>7.7</v>
      </c>
      <c r="E1301" s="4">
        <f t="shared" si="1"/>
        <v>88.9</v>
      </c>
      <c r="F1301" s="4" t="str">
        <f t="array" ref="F1301">IF(D1301&gt;=_xlfn.PERCENTILE.INC(D1301:D2959, 0.9), "High", "Low")</f>
        <v>High</v>
      </c>
      <c r="L1301" s="4" t="str">
        <f t="shared" si="2"/>
        <v/>
      </c>
    </row>
    <row r="1302" ht="14.25" customHeight="1">
      <c r="A1302" s="1" t="s">
        <v>6012</v>
      </c>
      <c r="B1302" s="1">
        <v>7.0</v>
      </c>
      <c r="C1302" s="4" t="str">
        <f>IFERROR(__xludf.DUMMYFUNCTION("""COMPUTED_VALUE"""),"Sterling Van Wagenen")</f>
        <v>Sterling Van Wagenen</v>
      </c>
      <c r="D1302" s="4">
        <f t="array" ref="D1302">IFERROR(AVERAGEIFS($B$2:$B$3757, $A$2:$A$3757, C1302:C5056), "")</f>
        <v>6.6</v>
      </c>
      <c r="E1302" s="4">
        <f t="shared" si="1"/>
        <v>45.4</v>
      </c>
      <c r="F1302" s="4" t="str">
        <f t="array" ref="F1302">IF(D1302&gt;=_xlfn.PERCENTILE.INC(D1302:D2960, 0.9), "High", "Low")</f>
        <v>Low</v>
      </c>
      <c r="L1302" s="4" t="str">
        <f t="shared" si="2"/>
        <v/>
      </c>
    </row>
    <row r="1303" ht="14.25" customHeight="1">
      <c r="A1303" s="1" t="s">
        <v>2538</v>
      </c>
      <c r="B1303" s="1">
        <v>6.3</v>
      </c>
      <c r="C1303" s="4" t="str">
        <f>IFERROR(__xludf.DUMMYFUNCTION("""COMPUTED_VALUE"""),"Zal Batmanglij")</f>
        <v>Zal Batmanglij</v>
      </c>
      <c r="D1303" s="4">
        <f t="array" ref="D1303">IFERROR(AVERAGEIFS($B$2:$B$3757, $A$2:$A$3757, C1303:C5057), "")</f>
        <v>6.9</v>
      </c>
      <c r="E1303" s="4">
        <f t="shared" si="1"/>
        <v>57.3</v>
      </c>
      <c r="F1303" s="4" t="str">
        <f t="array" ref="F1303">IF(D1303&gt;=_xlfn.PERCENTILE.INC(D1303:D2961, 0.9), "High", "Low")</f>
        <v>Low</v>
      </c>
      <c r="L1303" s="4" t="str">
        <f t="shared" si="2"/>
        <v/>
      </c>
    </row>
    <row r="1304" ht="14.25" customHeight="1">
      <c r="A1304" s="1" t="s">
        <v>4784</v>
      </c>
      <c r="B1304" s="1">
        <v>7.0</v>
      </c>
      <c r="C1304" s="4" t="str">
        <f>IFERROR(__xludf.DUMMYFUNCTION("""COMPUTED_VALUE"""),"Oren Moverman")</f>
        <v>Oren Moverman</v>
      </c>
      <c r="D1304" s="4">
        <f t="array" ref="D1304">IFERROR(AVERAGEIFS($B$2:$B$3757, $A$2:$A$3757, C1304:C5058), "")</f>
        <v>7.2</v>
      </c>
      <c r="E1304" s="4">
        <f t="shared" si="1"/>
        <v>72.8</v>
      </c>
      <c r="F1304" s="4" t="str">
        <f t="array" ref="F1304">IF(D1304&gt;=_xlfn.PERCENTILE.INC(D1304:D2962, 0.9), "High", "Low")</f>
        <v>Low</v>
      </c>
      <c r="L1304" s="4" t="str">
        <f t="shared" si="2"/>
        <v/>
      </c>
    </row>
    <row r="1305" ht="14.25" customHeight="1">
      <c r="A1305" s="1" t="s">
        <v>621</v>
      </c>
      <c r="B1305" s="1">
        <v>6.9</v>
      </c>
      <c r="C1305" s="4" t="str">
        <f>IFERROR(__xludf.DUMMYFUNCTION("""COMPUTED_VALUE"""),"Wolfgang Becker")</f>
        <v>Wolfgang Becker</v>
      </c>
      <c r="D1305" s="4">
        <f t="array" ref="D1305">IFERROR(AVERAGEIFS($B$2:$B$3757, $A$2:$A$3757, C1305:C5059), "")</f>
        <v>7.7</v>
      </c>
      <c r="E1305" s="4">
        <f t="shared" si="1"/>
        <v>89</v>
      </c>
      <c r="F1305" s="4" t="str">
        <f t="array" ref="F1305">IF(D1305&gt;=_xlfn.PERCENTILE.INC(D1305:D2963, 0.9), "High", "Low")</f>
        <v>High</v>
      </c>
      <c r="L1305" s="4" t="str">
        <f t="shared" si="2"/>
        <v/>
      </c>
    </row>
    <row r="1306" ht="14.25" customHeight="1">
      <c r="A1306" s="1" t="s">
        <v>6730</v>
      </c>
      <c r="B1306" s="1">
        <v>6.2</v>
      </c>
      <c r="C1306" s="4" t="str">
        <f>IFERROR(__xludf.DUMMYFUNCTION("""COMPUTED_VALUE"""),"George Roy Hill")</f>
        <v>George Roy Hill</v>
      </c>
      <c r="D1306" s="4">
        <f t="array" ref="D1306">IFERROR(AVERAGEIFS($B$2:$B$3757, $A$2:$A$3757, C1306:C5060), "")</f>
        <v>8.2</v>
      </c>
      <c r="E1306" s="4">
        <f t="shared" si="1"/>
        <v>97.2</v>
      </c>
      <c r="F1306" s="4" t="str">
        <f t="array" ref="F1306">IF(D1306&gt;=_xlfn.PERCENTILE.INC(D1306:D2964, 0.9), "High", "Low")</f>
        <v>High</v>
      </c>
      <c r="L1306" s="4" t="str">
        <f t="shared" si="2"/>
        <v/>
      </c>
    </row>
    <row r="1307" ht="14.25" customHeight="1">
      <c r="A1307" s="1" t="s">
        <v>6737</v>
      </c>
      <c r="B1307" s="1">
        <v>6.4</v>
      </c>
      <c r="C1307" s="4" t="str">
        <f>IFERROR(__xludf.DUMMYFUNCTION("""COMPUTED_VALUE"""),"Robert Stevenson")</f>
        <v>Robert Stevenson</v>
      </c>
      <c r="D1307" s="4">
        <f t="array" ref="D1307">IFERROR(AVERAGEIFS($B$2:$B$3757, $A$2:$A$3757, C1307:C5061), "")</f>
        <v>7.8</v>
      </c>
      <c r="E1307" s="4">
        <f t="shared" si="1"/>
        <v>92.7</v>
      </c>
      <c r="F1307" s="4" t="str">
        <f t="array" ref="F1307">IF(D1307&gt;=_xlfn.PERCENTILE.INC(D1307:D2965, 0.9), "High", "Low")</f>
        <v>High</v>
      </c>
      <c r="L1307" s="4" t="str">
        <f t="shared" si="2"/>
        <v/>
      </c>
    </row>
    <row r="1308" ht="14.25" customHeight="1">
      <c r="A1308" s="1" t="s">
        <v>6705</v>
      </c>
      <c r="B1308" s="1">
        <v>6.4</v>
      </c>
      <c r="C1308" s="4" t="str">
        <f>IFERROR(__xludf.DUMMYFUNCTION("""COMPUTED_VALUE"""),"Jerome Robbins")</f>
        <v>Jerome Robbins</v>
      </c>
      <c r="D1308" s="4">
        <f t="array" ref="D1308">IFERROR(AVERAGEIFS($B$2:$B$3757, $A$2:$A$3757, C1308:C5062), "")</f>
        <v>7.6</v>
      </c>
      <c r="E1308" s="4">
        <f t="shared" si="1"/>
        <v>86.4</v>
      </c>
      <c r="F1308" s="4" t="str">
        <f t="array" ref="F1308">IF(D1308&gt;=_xlfn.PERCENTILE.INC(D1308:D2966, 0.9), "High", "Low")</f>
        <v>Low</v>
      </c>
      <c r="L1308" s="4" t="str">
        <f t="shared" si="2"/>
        <v/>
      </c>
    </row>
    <row r="1309" ht="14.25" customHeight="1">
      <c r="A1309" s="1" t="s">
        <v>4454</v>
      </c>
      <c r="B1309" s="1">
        <v>5.7</v>
      </c>
      <c r="C1309" s="4" t="str">
        <f>IFERROR(__xludf.DUMMYFUNCTION("""COMPUTED_VALUE"""),"Gary Hardwick")</f>
        <v>Gary Hardwick</v>
      </c>
      <c r="D1309" s="4">
        <f t="array" ref="D1309">IFERROR(AVERAGEIFS($B$2:$B$3757, $A$2:$A$3757, C1309:C5063), "")</f>
        <v>6.3</v>
      </c>
      <c r="E1309" s="4">
        <f t="shared" si="1"/>
        <v>36.6</v>
      </c>
      <c r="F1309" s="4" t="str">
        <f t="array" ref="F1309">IF(D1309&gt;=_xlfn.PERCENTILE.INC(D1309:D2967, 0.9), "High", "Low")</f>
        <v>Low</v>
      </c>
      <c r="L1309" s="4" t="str">
        <f t="shared" si="2"/>
        <v/>
      </c>
    </row>
    <row r="1310" ht="14.25" customHeight="1">
      <c r="A1310" s="1" t="s">
        <v>2928</v>
      </c>
      <c r="B1310" s="1">
        <v>6.1</v>
      </c>
      <c r="C1310" s="4" t="str">
        <f>IFERROR(__xludf.DUMMYFUNCTION("""COMPUTED_VALUE"""),"King Vidor")</f>
        <v>King Vidor</v>
      </c>
      <c r="D1310" s="4">
        <f t="array" ref="D1310">IFERROR(AVERAGEIFS($B$2:$B$3757, $A$2:$A$3757, C1310:C5064), "")</f>
        <v>6.9</v>
      </c>
      <c r="E1310" s="4">
        <f t="shared" si="1"/>
        <v>58.1</v>
      </c>
      <c r="F1310" s="4" t="str">
        <f t="array" ref="F1310">IF(D1310&gt;=_xlfn.PERCENTILE.INC(D1310:D2968, 0.9), "High", "Low")</f>
        <v>Low</v>
      </c>
      <c r="L1310" s="4" t="str">
        <f t="shared" si="2"/>
        <v/>
      </c>
    </row>
    <row r="1311" ht="14.25" customHeight="1">
      <c r="A1311" s="1" t="s">
        <v>3175</v>
      </c>
      <c r="B1311" s="1">
        <v>5.4</v>
      </c>
      <c r="C1311" s="4" t="str">
        <f>IFERROR(__xludf.DUMMYFUNCTION("""COMPUTED_VALUE"""),"Fred Savage")</f>
        <v>Fred Savage</v>
      </c>
      <c r="D1311" s="4">
        <f t="array" ref="D1311">IFERROR(AVERAGEIFS($B$2:$B$3757, $A$2:$A$3757, C1311:C5065), "")</f>
        <v>2.9</v>
      </c>
      <c r="E1311" s="4">
        <f t="shared" si="1"/>
        <v>0.3</v>
      </c>
      <c r="F1311" s="4" t="str">
        <f t="array" ref="F1311">IF(D1311&gt;=_xlfn.PERCENTILE.INC(D1311:D2969, 0.9), "High", "Low")</f>
        <v>Low</v>
      </c>
      <c r="L1311" s="4" t="str">
        <f t="shared" si="2"/>
        <v/>
      </c>
    </row>
    <row r="1312" ht="14.25" customHeight="1">
      <c r="A1312" s="1" t="s">
        <v>3691</v>
      </c>
      <c r="B1312" s="1">
        <v>6.7</v>
      </c>
      <c r="C1312" s="4" t="str">
        <f>IFERROR(__xludf.DUMMYFUNCTION("""COMPUTED_VALUE"""),"Rusty Cundieff")</f>
        <v>Rusty Cundieff</v>
      </c>
      <c r="D1312" s="4">
        <f t="array" ref="D1312">IFERROR(AVERAGEIFS($B$2:$B$3757, $A$2:$A$3757, C1312:C5066), "")</f>
        <v>6.1</v>
      </c>
      <c r="E1312" s="4">
        <f t="shared" si="1"/>
        <v>30.4</v>
      </c>
      <c r="F1312" s="4" t="str">
        <f t="array" ref="F1312">IF(D1312&gt;=_xlfn.PERCENTILE.INC(D1312:D2970, 0.9), "High", "Low")</f>
        <v>Low</v>
      </c>
      <c r="L1312" s="4" t="str">
        <f t="shared" si="2"/>
        <v/>
      </c>
    </row>
    <row r="1313" ht="14.25" customHeight="1">
      <c r="A1313" s="1" t="s">
        <v>6760</v>
      </c>
      <c r="B1313" s="1">
        <v>6.8</v>
      </c>
      <c r="C1313" s="4" t="str">
        <f>IFERROR(__xludf.DUMMYFUNCTION("""COMPUTED_VALUE"""),"Kevin Macdonald")</f>
        <v>Kevin Macdonald</v>
      </c>
      <c r="D1313" s="4">
        <f t="array" ref="D1313">IFERROR(AVERAGEIFS($B$2:$B$3757, $A$2:$A$3757, C1313:C5067), "")</f>
        <v>7.7</v>
      </c>
      <c r="E1313" s="4">
        <f t="shared" si="1"/>
        <v>89.7</v>
      </c>
      <c r="F1313" s="4" t="str">
        <f t="array" ref="F1313">IF(D1313&gt;=_xlfn.PERCENTILE.INC(D1313:D2971, 0.9), "High", "Low")</f>
        <v>High</v>
      </c>
      <c r="L1313" s="4" t="str">
        <f t="shared" si="2"/>
        <v/>
      </c>
    </row>
    <row r="1314" ht="14.25" customHeight="1">
      <c r="A1314" s="1" t="s">
        <v>3345</v>
      </c>
      <c r="B1314" s="1">
        <v>6.0</v>
      </c>
      <c r="C1314" s="4" t="str">
        <f>IFERROR(__xludf.DUMMYFUNCTION("""COMPUTED_VALUE"""),"Dominique Othenin-Girard")</f>
        <v>Dominique Othenin-Girard</v>
      </c>
      <c r="D1314" s="4">
        <f t="array" ref="D1314">IFERROR(AVERAGEIFS($B$2:$B$3757, $A$2:$A$3757, C1314:C5068), "")</f>
        <v>5.2</v>
      </c>
      <c r="E1314" s="4">
        <f t="shared" si="1"/>
        <v>11</v>
      </c>
      <c r="F1314" s="4" t="str">
        <f t="array" ref="F1314">IF(D1314&gt;=_xlfn.PERCENTILE.INC(D1314:D2972, 0.9), "High", "Low")</f>
        <v>Low</v>
      </c>
      <c r="L1314" s="4" t="str">
        <f t="shared" si="2"/>
        <v/>
      </c>
    </row>
    <row r="1315" ht="14.25" customHeight="1">
      <c r="A1315" s="1" t="s">
        <v>5055</v>
      </c>
      <c r="B1315" s="1">
        <v>7.8</v>
      </c>
      <c r="C1315" s="4" t="str">
        <f>IFERROR(__xludf.DUMMYFUNCTION("""COMPUTED_VALUE"""),"Ed Harris")</f>
        <v>Ed Harris</v>
      </c>
      <c r="D1315" s="4">
        <f t="array" ref="D1315">IFERROR(AVERAGEIFS($B$2:$B$3757, $A$2:$A$3757, C1315:C5069), "")</f>
        <v>7</v>
      </c>
      <c r="E1315" s="4">
        <f t="shared" si="1"/>
        <v>62.7</v>
      </c>
      <c r="F1315" s="4" t="str">
        <f t="array" ref="F1315">IF(D1315&gt;=_xlfn.PERCENTILE.INC(D1315:D2973, 0.9), "High", "Low")</f>
        <v>Low</v>
      </c>
      <c r="L1315" s="4" t="str">
        <f t="shared" si="2"/>
        <v/>
      </c>
    </row>
    <row r="1316" ht="14.25" customHeight="1">
      <c r="A1316" s="1" t="s">
        <v>5020</v>
      </c>
      <c r="B1316" s="1">
        <v>5.3</v>
      </c>
      <c r="C1316" s="4" t="str">
        <f>IFERROR(__xludf.DUMMYFUNCTION("""COMPUTED_VALUE"""),"Risa Bramon Garcia")</f>
        <v>Risa Bramon Garcia</v>
      </c>
      <c r="D1316" s="4">
        <f t="array" ref="D1316">IFERROR(AVERAGEIFS($B$2:$B$3757, $A$2:$A$3757, C1316:C5070), "")</f>
        <v>5.9</v>
      </c>
      <c r="E1316" s="4">
        <f t="shared" si="1"/>
        <v>24.1</v>
      </c>
      <c r="F1316" s="4" t="str">
        <f t="array" ref="F1316">IF(D1316&gt;=_xlfn.PERCENTILE.INC(D1316:D2974, 0.9), "High", "Low")</f>
        <v>Low</v>
      </c>
      <c r="L1316" s="4" t="str">
        <f t="shared" si="2"/>
        <v/>
      </c>
    </row>
    <row r="1317" ht="14.25" customHeight="1">
      <c r="A1317" s="1" t="s">
        <v>1397</v>
      </c>
      <c r="B1317" s="1">
        <v>4.5</v>
      </c>
      <c r="C1317" s="4" t="str">
        <f>IFERROR(__xludf.DUMMYFUNCTION("""COMPUTED_VALUE"""),"Brian Klugman")</f>
        <v>Brian Klugman</v>
      </c>
      <c r="D1317" s="4">
        <f t="array" ref="D1317">IFERROR(AVERAGEIFS($B$2:$B$3757, $A$2:$A$3757, C1317:C5071), "")</f>
        <v>7.1</v>
      </c>
      <c r="E1317" s="4">
        <f t="shared" si="1"/>
        <v>68</v>
      </c>
      <c r="F1317" s="4" t="str">
        <f t="array" ref="F1317">IF(D1317&gt;=_xlfn.PERCENTILE.INC(D1317:D2975, 0.9), "High", "Low")</f>
        <v>Low</v>
      </c>
      <c r="L1317" s="4" t="str">
        <f t="shared" si="2"/>
        <v/>
      </c>
    </row>
    <row r="1318" ht="14.25" customHeight="1">
      <c r="A1318" s="1" t="s">
        <v>6783</v>
      </c>
      <c r="B1318" s="1">
        <v>5.4</v>
      </c>
      <c r="C1318" s="4" t="str">
        <f>IFERROR(__xludf.DUMMYFUNCTION("""COMPUTED_VALUE"""),"Matt Piedmont")</f>
        <v>Matt Piedmont</v>
      </c>
      <c r="D1318" s="4">
        <f t="array" ref="D1318">IFERROR(AVERAGEIFS($B$2:$B$3757, $A$2:$A$3757, C1318:C5072), "")</f>
        <v>5.5</v>
      </c>
      <c r="E1318" s="4">
        <f t="shared" si="1"/>
        <v>16.9</v>
      </c>
      <c r="F1318" s="4" t="str">
        <f t="array" ref="F1318">IF(D1318&gt;=_xlfn.PERCENTILE.INC(D1318:D2976, 0.9), "High", "Low")</f>
        <v>Low</v>
      </c>
      <c r="L1318" s="4" t="str">
        <f t="shared" si="2"/>
        <v/>
      </c>
    </row>
    <row r="1319" ht="14.25" customHeight="1">
      <c r="A1319" s="1" t="s">
        <v>2436</v>
      </c>
      <c r="B1319" s="1">
        <v>7.8</v>
      </c>
      <c r="C1319" s="4" t="str">
        <f>IFERROR(__xludf.DUMMYFUNCTION("""COMPUTED_VALUE"""),"Raymond De Felitta")</f>
        <v>Raymond De Felitta</v>
      </c>
      <c r="D1319" s="4">
        <f t="array" ref="D1319">IFERROR(AVERAGEIFS($B$2:$B$3757, $A$2:$A$3757, C1319:C5073), "")</f>
        <v>7.4</v>
      </c>
      <c r="E1319" s="4">
        <f t="shared" si="1"/>
        <v>81.9</v>
      </c>
      <c r="F1319" s="4" t="str">
        <f t="array" ref="F1319">IF(D1319&gt;=_xlfn.PERCENTILE.INC(D1319:D2977, 0.9), "High", "Low")</f>
        <v>Low</v>
      </c>
      <c r="L1319" s="4" t="str">
        <f t="shared" si="2"/>
        <v/>
      </c>
    </row>
    <row r="1320" ht="14.25" customHeight="1">
      <c r="A1320" s="1" t="s">
        <v>6790</v>
      </c>
      <c r="B1320" s="1">
        <v>7.2</v>
      </c>
      <c r="C1320" s="4" t="str">
        <f>IFERROR(__xludf.DUMMYFUNCTION("""COMPUTED_VALUE"""),"John Michael McDonagh")</f>
        <v>John Michael McDonagh</v>
      </c>
      <c r="D1320" s="4">
        <f t="array" ref="D1320">IFERROR(AVERAGEIFS($B$2:$B$3757, $A$2:$A$3757, C1320:C5074), "")</f>
        <v>7.3</v>
      </c>
      <c r="E1320" s="4">
        <f t="shared" si="1"/>
        <v>79.2</v>
      </c>
      <c r="F1320" s="4" t="str">
        <f t="array" ref="F1320">IF(D1320&gt;=_xlfn.PERCENTILE.INC(D1320:D2978, 0.9), "High", "Low")</f>
        <v>Low</v>
      </c>
      <c r="L1320" s="4" t="str">
        <f t="shared" si="2"/>
        <v/>
      </c>
    </row>
    <row r="1321" ht="14.25" customHeight="1">
      <c r="A1321" s="1" t="s">
        <v>1883</v>
      </c>
      <c r="B1321" s="1">
        <v>6.6</v>
      </c>
      <c r="C1321" s="4" t="str">
        <f>IFERROR(__xludf.DUMMYFUNCTION("""COMPUTED_VALUE"""),"Deb Hagan")</f>
        <v>Deb Hagan</v>
      </c>
      <c r="D1321" s="4">
        <f t="array" ref="D1321">IFERROR(AVERAGEIFS($B$2:$B$3757, $A$2:$A$3757, C1321:C5075), "")</f>
        <v>4.6</v>
      </c>
      <c r="E1321" s="4">
        <f t="shared" si="1"/>
        <v>5.3</v>
      </c>
      <c r="F1321" s="4" t="str">
        <f t="array" ref="F1321">IF(D1321&gt;=_xlfn.PERCENTILE.INC(D1321:D2979, 0.9), "High", "Low")</f>
        <v>Low</v>
      </c>
      <c r="L1321" s="4" t="str">
        <f t="shared" si="2"/>
        <v/>
      </c>
    </row>
    <row r="1322" ht="14.25" customHeight="1">
      <c r="A1322" s="1" t="s">
        <v>247</v>
      </c>
      <c r="B1322" s="1">
        <v>7.6</v>
      </c>
      <c r="C1322" s="4" t="str">
        <f>IFERROR(__xludf.DUMMYFUNCTION("""COMPUTED_VALUE"""),"Zach Cregger")</f>
        <v>Zach Cregger</v>
      </c>
      <c r="D1322" s="4">
        <f t="array" ref="D1322">IFERROR(AVERAGEIFS($B$2:$B$3757, $A$2:$A$3757, C1322:C5076), "")</f>
        <v>5.1</v>
      </c>
      <c r="E1322" s="4">
        <f t="shared" si="1"/>
        <v>9.1</v>
      </c>
      <c r="F1322" s="4" t="str">
        <f t="array" ref="F1322">IF(D1322&gt;=_xlfn.PERCENTILE.INC(D1322:D2980, 0.9), "High", "Low")</f>
        <v>Low</v>
      </c>
      <c r="L1322" s="4" t="str">
        <f t="shared" si="2"/>
        <v/>
      </c>
    </row>
    <row r="1323" ht="14.25" customHeight="1">
      <c r="A1323" s="1" t="s">
        <v>5141</v>
      </c>
      <c r="B1323" s="1">
        <v>5.9</v>
      </c>
      <c r="C1323" s="4" t="str">
        <f>IFERROR(__xludf.DUMMYFUNCTION("""COMPUTED_VALUE"""),"Zach Braff")</f>
        <v>Zach Braff</v>
      </c>
      <c r="D1323" s="4">
        <f t="array" ref="D1323">IFERROR(AVERAGEIFS($B$2:$B$3757, $A$2:$A$3757, C1323:C5077), "")</f>
        <v>7.15</v>
      </c>
      <c r="E1323" s="4">
        <f t="shared" si="1"/>
        <v>73.1</v>
      </c>
      <c r="F1323" s="4" t="str">
        <f t="array" ref="F1323">IF(D1323&gt;=_xlfn.PERCENTILE.INC(D1323:D2981, 0.9), "High", "Low")</f>
        <v>Low</v>
      </c>
      <c r="L1323" s="4" t="str">
        <f t="shared" si="2"/>
        <v/>
      </c>
    </row>
    <row r="1324" ht="14.25" customHeight="1">
      <c r="A1324" s="1" t="s">
        <v>1021</v>
      </c>
      <c r="B1324" s="1">
        <v>6.7</v>
      </c>
      <c r="C1324" s="4" t="str">
        <f>IFERROR(__xludf.DUMMYFUNCTION("""COMPUTED_VALUE"""),"Mark Tarlov")</f>
        <v>Mark Tarlov</v>
      </c>
      <c r="D1324" s="4">
        <f t="array" ref="D1324">IFERROR(AVERAGEIFS($B$2:$B$3757, $A$2:$A$3757, C1324:C5078), "")</f>
        <v>5.3</v>
      </c>
      <c r="E1324" s="4">
        <f t="shared" si="1"/>
        <v>12.2</v>
      </c>
      <c r="F1324" s="4" t="str">
        <f t="array" ref="F1324">IF(D1324&gt;=_xlfn.PERCENTILE.INC(D1324:D2982, 0.9), "High", "Low")</f>
        <v>Low</v>
      </c>
      <c r="L1324" s="4" t="str">
        <f t="shared" si="2"/>
        <v/>
      </c>
    </row>
    <row r="1325" ht="14.25" customHeight="1">
      <c r="A1325" s="1" t="s">
        <v>1973</v>
      </c>
      <c r="B1325" s="1">
        <v>7.7</v>
      </c>
      <c r="C1325" s="4" t="str">
        <f>IFERROR(__xludf.DUMMYFUNCTION("""COMPUTED_VALUE"""),"John Cameron Mitchell")</f>
        <v>John Cameron Mitchell</v>
      </c>
      <c r="D1325" s="4">
        <f t="array" ref="D1325">IFERROR(AVERAGEIFS($B$2:$B$3757, $A$2:$A$3757, C1325:C5079), "")</f>
        <v>7.1</v>
      </c>
      <c r="E1325" s="4">
        <f t="shared" si="1"/>
        <v>72.9</v>
      </c>
      <c r="F1325" s="4" t="str">
        <f t="array" ref="F1325">IF(D1325&gt;=_xlfn.PERCENTILE.INC(D1325:D2983, 0.9), "High", "Low")</f>
        <v>Low</v>
      </c>
      <c r="L1325" s="4" t="str">
        <f t="shared" si="2"/>
        <v/>
      </c>
    </row>
    <row r="1326" ht="14.25" customHeight="1">
      <c r="A1326" s="1" t="s">
        <v>4632</v>
      </c>
      <c r="B1326" s="1">
        <v>5.4</v>
      </c>
      <c r="C1326" s="4" t="str">
        <f>IFERROR(__xludf.DUMMYFUNCTION("""COMPUTED_VALUE"""),"Billy Ray")</f>
        <v>Billy Ray</v>
      </c>
      <c r="D1326" s="4">
        <f t="array" ref="D1326">IFERROR(AVERAGEIFS($B$2:$B$3757, $A$2:$A$3757, C1326:C5080), "")</f>
        <v>7.2</v>
      </c>
      <c r="E1326" s="4">
        <f t="shared" si="1"/>
        <v>73.4</v>
      </c>
      <c r="F1326" s="4" t="str">
        <f t="array" ref="F1326">IF(D1326&gt;=_xlfn.PERCENTILE.INC(D1326:D2984, 0.9), "High", "Low")</f>
        <v>Low</v>
      </c>
      <c r="L1326" s="4" t="str">
        <f t="shared" si="2"/>
        <v/>
      </c>
    </row>
    <row r="1327" ht="14.25" customHeight="1">
      <c r="A1327" s="1" t="s">
        <v>2489</v>
      </c>
      <c r="B1327" s="1">
        <v>6.9</v>
      </c>
      <c r="C1327" s="4" t="str">
        <f>IFERROR(__xludf.DUMMYFUNCTION("""COMPUTED_VALUE"""),"David Atkins")</f>
        <v>David Atkins</v>
      </c>
      <c r="D1327" s="4">
        <f t="array" ref="D1327">IFERROR(AVERAGEIFS($B$2:$B$3757, $A$2:$A$3757, C1327:C5081), "")</f>
        <v>5.8</v>
      </c>
      <c r="E1327" s="4">
        <f t="shared" si="1"/>
        <v>21.9</v>
      </c>
      <c r="F1327" s="4" t="str">
        <f t="array" ref="F1327">IF(D1327&gt;=_xlfn.PERCENTILE.INC(D1327:D2985, 0.9), "High", "Low")</f>
        <v>Low</v>
      </c>
      <c r="L1327" s="4" t="str">
        <f t="shared" si="2"/>
        <v/>
      </c>
    </row>
    <row r="1328" ht="14.25" customHeight="1">
      <c r="A1328" s="1" t="s">
        <v>6676</v>
      </c>
      <c r="B1328" s="1">
        <v>7.7</v>
      </c>
      <c r="C1328" s="4" t="str">
        <f>IFERROR(__xludf.DUMMYFUNCTION("""COMPUTED_VALUE"""),"Sylvio Tabet")</f>
        <v>Sylvio Tabet</v>
      </c>
      <c r="D1328" s="4">
        <f t="array" ref="D1328">IFERROR(AVERAGEIFS($B$2:$B$3757, $A$2:$A$3757, C1328:C5082), "")</f>
        <v>3.8</v>
      </c>
      <c r="E1328" s="4">
        <f t="shared" si="1"/>
        <v>1.8</v>
      </c>
      <c r="F1328" s="4" t="str">
        <f t="array" ref="F1328">IF(D1328&gt;=_xlfn.PERCENTILE.INC(D1328:D2986, 0.9), "High", "Low")</f>
        <v>Low</v>
      </c>
      <c r="L1328" s="4" t="str">
        <f t="shared" si="2"/>
        <v/>
      </c>
    </row>
    <row r="1329" ht="14.25" customHeight="1">
      <c r="A1329" s="1" t="s">
        <v>3729</v>
      </c>
      <c r="B1329" s="1">
        <v>6.8</v>
      </c>
      <c r="C1329" s="4" t="str">
        <f>IFERROR(__xludf.DUMMYFUNCTION("""COMPUTED_VALUE"""),"Rick Bieber")</f>
        <v>Rick Bieber</v>
      </c>
      <c r="D1329" s="4">
        <f t="array" ref="D1329">IFERROR(AVERAGEIFS($B$2:$B$3757, $A$2:$A$3757, C1329:C5083), "")</f>
        <v>5.7</v>
      </c>
      <c r="E1329" s="4">
        <f t="shared" si="1"/>
        <v>19.6</v>
      </c>
      <c r="F1329" s="4" t="str">
        <f t="array" ref="F1329">IF(D1329&gt;=_xlfn.PERCENTILE.INC(D1329:D2987, 0.9), "High", "Low")</f>
        <v>Low</v>
      </c>
      <c r="L1329" s="4" t="str">
        <f t="shared" si="2"/>
        <v/>
      </c>
    </row>
    <row r="1330" ht="14.25" customHeight="1">
      <c r="A1330" s="1" t="s">
        <v>6833</v>
      </c>
      <c r="B1330" s="1">
        <v>6.4</v>
      </c>
      <c r="C1330" s="4" t="str">
        <f>IFERROR(__xludf.DUMMYFUNCTION("""COMPUTED_VALUE"""),"Joey Lauren Adams")</f>
        <v>Joey Lauren Adams</v>
      </c>
      <c r="D1330" s="4">
        <f t="array" ref="D1330">IFERROR(AVERAGEIFS($B$2:$B$3757, $A$2:$A$3757, C1330:C5084), "")</f>
        <v>6.2</v>
      </c>
      <c r="E1330" s="4">
        <f t="shared" si="1"/>
        <v>33.5</v>
      </c>
      <c r="F1330" s="4" t="str">
        <f t="array" ref="F1330">IF(D1330&gt;=_xlfn.PERCENTILE.INC(D1330:D2988, 0.9), "High", "Low")</f>
        <v>Low</v>
      </c>
      <c r="L1330" s="4" t="str">
        <f t="shared" si="2"/>
        <v/>
      </c>
    </row>
    <row r="1331" ht="14.25" customHeight="1">
      <c r="A1331" s="1" t="s">
        <v>2489</v>
      </c>
      <c r="B1331" s="1">
        <v>5.7</v>
      </c>
      <c r="C1331" s="4" t="str">
        <f>IFERROR(__xludf.DUMMYFUNCTION("""COMPUTED_VALUE"""),"S.R. Bindler")</f>
        <v>S.R. Bindler</v>
      </c>
      <c r="D1331" s="4">
        <f t="array" ref="D1331">IFERROR(AVERAGEIFS($B$2:$B$3757, $A$2:$A$3757, C1331:C5085), "")</f>
        <v>4.7</v>
      </c>
      <c r="E1331" s="4">
        <f t="shared" si="1"/>
        <v>6.1</v>
      </c>
      <c r="F1331" s="4" t="str">
        <f t="array" ref="F1331">IF(D1331&gt;=_xlfn.PERCENTILE.INC(D1331:D2989, 0.9), "High", "Low")</f>
        <v>Low</v>
      </c>
      <c r="L1331" s="4" t="str">
        <f t="shared" si="2"/>
        <v/>
      </c>
    </row>
    <row r="1332" ht="14.25" customHeight="1">
      <c r="A1332" s="1" t="s">
        <v>472</v>
      </c>
      <c r="B1332" s="1">
        <v>7.3</v>
      </c>
      <c r="C1332" s="4" t="str">
        <f>IFERROR(__xludf.DUMMYFUNCTION("""COMPUTED_VALUE"""),"CÃ©dric Klapisch")</f>
        <v>CÃ©dric Klapisch</v>
      </c>
      <c r="D1332" s="4">
        <f t="array" ref="D1332">IFERROR(AVERAGEIFS($B$2:$B$3757, $A$2:$A$3757, C1332:C5086), "")</f>
        <v>7.1</v>
      </c>
      <c r="E1332" s="4">
        <f t="shared" si="1"/>
        <v>68.4</v>
      </c>
      <c r="F1332" s="4" t="str">
        <f t="array" ref="F1332">IF(D1332&gt;=_xlfn.PERCENTILE.INC(D1332:D2990, 0.9), "High", "Low")</f>
        <v>Low</v>
      </c>
      <c r="L1332" s="4" t="str">
        <f t="shared" si="2"/>
        <v/>
      </c>
    </row>
    <row r="1333" ht="14.25" customHeight="1">
      <c r="A1333" s="1" t="s">
        <v>2942</v>
      </c>
      <c r="B1333" s="1">
        <v>6.8</v>
      </c>
      <c r="C1333" s="4" t="str">
        <f>IFERROR(__xludf.DUMMYFUNCTION("""COMPUTED_VALUE"""),"Martin Koolhoven")</f>
        <v>Martin Koolhoven</v>
      </c>
      <c r="D1333" s="4">
        <f t="array" ref="D1333">IFERROR(AVERAGEIFS($B$2:$B$3757, $A$2:$A$3757, C1333:C5087), "")</f>
        <v>7.1</v>
      </c>
      <c r="E1333" s="4">
        <f t="shared" si="1"/>
        <v>68.6</v>
      </c>
      <c r="F1333" s="4" t="str">
        <f t="array" ref="F1333">IF(D1333&gt;=_xlfn.PERCENTILE.INC(D1333:D2991, 0.9), "High", "Low")</f>
        <v>Low</v>
      </c>
      <c r="L1333" s="4" t="str">
        <f t="shared" si="2"/>
        <v/>
      </c>
    </row>
    <row r="1334" ht="14.25" customHeight="1">
      <c r="A1334" s="1" t="s">
        <v>3052</v>
      </c>
      <c r="B1334" s="1">
        <v>6.3</v>
      </c>
      <c r="C1334" s="4" t="str">
        <f>IFERROR(__xludf.DUMMYFUNCTION("""COMPUTED_VALUE"""),"Prachya Pinkaew")</f>
        <v>Prachya Pinkaew</v>
      </c>
      <c r="D1334" s="4">
        <f t="array" ref="D1334">IFERROR(AVERAGEIFS($B$2:$B$3757, $A$2:$A$3757, C1334:C5088), "")</f>
        <v>7.1</v>
      </c>
      <c r="E1334" s="4">
        <f t="shared" si="1"/>
        <v>68.8</v>
      </c>
      <c r="F1334" s="4" t="str">
        <f t="array" ref="F1334">IF(D1334&gt;=_xlfn.PERCENTILE.INC(D1334:D2992, 0.9), "High", "Low")</f>
        <v>Low</v>
      </c>
      <c r="L1334" s="4" t="str">
        <f t="shared" si="2"/>
        <v/>
      </c>
    </row>
    <row r="1335" ht="14.25" customHeight="1">
      <c r="A1335" s="1" t="s">
        <v>6853</v>
      </c>
      <c r="B1335" s="1">
        <v>5.9</v>
      </c>
      <c r="C1335" s="4" t="str">
        <f>IFERROR(__xludf.DUMMYFUNCTION("""COMPUTED_VALUE"""),"Darren Grant")</f>
        <v>Darren Grant</v>
      </c>
      <c r="D1335" s="4">
        <f t="array" ref="D1335">IFERROR(AVERAGEIFS($B$2:$B$3757, $A$2:$A$3757, C1335:C5089), "")</f>
        <v>5.6</v>
      </c>
      <c r="E1335" s="4">
        <f t="shared" si="1"/>
        <v>17.2</v>
      </c>
      <c r="F1335" s="4" t="str">
        <f t="array" ref="F1335">IF(D1335&gt;=_xlfn.PERCENTILE.INC(D1335:D2993, 0.9), "High", "Low")</f>
        <v>Low</v>
      </c>
      <c r="L1335" s="4" t="str">
        <f t="shared" si="2"/>
        <v/>
      </c>
    </row>
    <row r="1336" ht="14.25" customHeight="1">
      <c r="A1336" s="1" t="s">
        <v>2529</v>
      </c>
      <c r="B1336" s="1">
        <v>7.4</v>
      </c>
      <c r="C1336" s="4" t="str">
        <f>IFERROR(__xludf.DUMMYFUNCTION("""COMPUTED_VALUE"""),"Joseph Gordon-Levitt")</f>
        <v>Joseph Gordon-Levitt</v>
      </c>
      <c r="D1336" s="4">
        <f t="array" ref="D1336">IFERROR(AVERAGEIFS($B$2:$B$3757, $A$2:$A$3757, C1336:C5090), "")</f>
        <v>6.6</v>
      </c>
      <c r="E1336" s="4">
        <f t="shared" si="1"/>
        <v>45.5</v>
      </c>
      <c r="F1336" s="4" t="str">
        <f t="array" ref="F1336">IF(D1336&gt;=_xlfn.PERCENTILE.INC(D1336:D2994, 0.9), "High", "Low")</f>
        <v>Low</v>
      </c>
      <c r="L1336" s="4" t="str">
        <f t="shared" si="2"/>
        <v/>
      </c>
    </row>
    <row r="1337" ht="14.25" customHeight="1">
      <c r="A1337" s="1" t="s">
        <v>4643</v>
      </c>
      <c r="B1337" s="1">
        <v>8.3</v>
      </c>
      <c r="C1337" s="4" t="str">
        <f>IFERROR(__xludf.DUMMYFUNCTION("""COMPUTED_VALUE"""),"Christophe Barratier")</f>
        <v>Christophe Barratier</v>
      </c>
      <c r="D1337" s="4">
        <f t="array" ref="D1337">IFERROR(AVERAGEIFS($B$2:$B$3757, $A$2:$A$3757, C1337:C5091), "")</f>
        <v>7.9</v>
      </c>
      <c r="E1337" s="4">
        <f t="shared" si="1"/>
        <v>94.4</v>
      </c>
      <c r="F1337" s="4" t="str">
        <f t="array" ref="F1337">IF(D1337&gt;=_xlfn.PERCENTILE.INC(D1337:D2995, 0.9), "High", "Low")</f>
        <v>High</v>
      </c>
      <c r="L1337" s="4" t="str">
        <f t="shared" si="2"/>
        <v/>
      </c>
    </row>
    <row r="1338" ht="14.25" customHeight="1">
      <c r="A1338" s="1" t="s">
        <v>572</v>
      </c>
      <c r="B1338" s="1">
        <v>6.2</v>
      </c>
      <c r="C1338" s="4" t="str">
        <f>IFERROR(__xludf.DUMMYFUNCTION("""COMPUTED_VALUE"""),"Ã‰mile Gaudreault")</f>
        <v>Ã‰mile Gaudreault</v>
      </c>
      <c r="D1338" s="4">
        <f t="array" ref="D1338">IFERROR(AVERAGEIFS($B$2:$B$3757, $A$2:$A$3757, C1338:C5092), "")</f>
        <v>6.7</v>
      </c>
      <c r="E1338" s="4">
        <f t="shared" si="1"/>
        <v>48.9</v>
      </c>
      <c r="F1338" s="4" t="str">
        <f t="array" ref="F1338">IF(D1338&gt;=_xlfn.PERCENTILE.INC(D1338:D2996, 0.9), "High", "Low")</f>
        <v>Low</v>
      </c>
      <c r="L1338" s="4" t="str">
        <f t="shared" si="2"/>
        <v/>
      </c>
    </row>
    <row r="1339" ht="14.25" customHeight="1">
      <c r="A1339" s="1" t="s">
        <v>1872</v>
      </c>
      <c r="B1339" s="1">
        <v>6.3</v>
      </c>
      <c r="C1339" s="4" t="str">
        <f>IFERROR(__xludf.DUMMYFUNCTION("""COMPUTED_VALUE"""),"James Cox")</f>
        <v>James Cox</v>
      </c>
      <c r="D1339" s="4">
        <f t="array" ref="D1339">IFERROR(AVERAGEIFS($B$2:$B$3757, $A$2:$A$3757, C1339:C5093), "")</f>
        <v>6.6</v>
      </c>
      <c r="E1339" s="4">
        <f t="shared" si="1"/>
        <v>46</v>
      </c>
      <c r="F1339" s="4" t="str">
        <f t="array" ref="F1339">IF(D1339&gt;=_xlfn.PERCENTILE.INC(D1339:D2997, 0.9), "High", "Low")</f>
        <v>Low</v>
      </c>
      <c r="L1339" s="4" t="str">
        <f t="shared" si="2"/>
        <v/>
      </c>
    </row>
    <row r="1340" ht="14.25" customHeight="1">
      <c r="A1340" s="1" t="s">
        <v>1424</v>
      </c>
      <c r="B1340" s="1">
        <v>5.8</v>
      </c>
      <c r="C1340" s="4" t="str">
        <f>IFERROR(__xludf.DUMMYFUNCTION("""COMPUTED_VALUE"""),"James Toback")</f>
        <v>James Toback</v>
      </c>
      <c r="D1340" s="4">
        <f t="array" ref="D1340">IFERROR(AVERAGEIFS($B$2:$B$3757, $A$2:$A$3757, C1340:C5094), "")</f>
        <v>5.25</v>
      </c>
      <c r="E1340" s="4">
        <f t="shared" si="1"/>
        <v>11.8</v>
      </c>
      <c r="F1340" s="4" t="str">
        <f t="array" ref="F1340">IF(D1340&gt;=_xlfn.PERCENTILE.INC(D1340:D2998, 0.9), "High", "Low")</f>
        <v>Low</v>
      </c>
      <c r="L1340" s="4" t="str">
        <f t="shared" si="2"/>
        <v/>
      </c>
    </row>
    <row r="1341" ht="14.25" customHeight="1">
      <c r="A1341" s="1" t="s">
        <v>5922</v>
      </c>
      <c r="B1341" s="1">
        <v>7.5</v>
      </c>
      <c r="C1341" s="4" t="str">
        <f>IFERROR(__xludf.DUMMYFUNCTION("""COMPUTED_VALUE"""),"Aki KaurismÃ¤ki")</f>
        <v>Aki KaurismÃ¤ki</v>
      </c>
      <c r="D1341" s="4">
        <f t="array" ref="D1341">IFERROR(AVERAGEIFS($B$2:$B$3757, $A$2:$A$3757, C1341:C5095), "")</f>
        <v>7.2</v>
      </c>
      <c r="E1341" s="4">
        <f t="shared" si="1"/>
        <v>72.8</v>
      </c>
      <c r="F1341" s="4" t="str">
        <f t="array" ref="F1341">IF(D1341&gt;=_xlfn.PERCENTILE.INC(D1341:D2999, 0.9), "High", "Low")</f>
        <v>Low</v>
      </c>
      <c r="L1341" s="4" t="str">
        <f t="shared" si="2"/>
        <v/>
      </c>
    </row>
    <row r="1342" ht="14.25" customHeight="1">
      <c r="A1342" s="1" t="s">
        <v>2349</v>
      </c>
      <c r="B1342" s="1">
        <v>6.3</v>
      </c>
      <c r="C1342" s="4" t="str">
        <f>IFERROR(__xludf.DUMMYFUNCTION("""COMPUTED_VALUE"""),"Hitoshi Matsumoto")</f>
        <v>Hitoshi Matsumoto</v>
      </c>
      <c r="D1342" s="4">
        <f t="array" ref="D1342">IFERROR(AVERAGEIFS($B$2:$B$3757, $A$2:$A$3757, C1342:C5096), "")</f>
        <v>6.1</v>
      </c>
      <c r="E1342" s="4">
        <f t="shared" si="1"/>
        <v>29.5</v>
      </c>
      <c r="F1342" s="4" t="str">
        <f t="array" ref="F1342">IF(D1342&gt;=_xlfn.PERCENTILE.INC(D1342:D3000, 0.9), "High", "Low")</f>
        <v>Low</v>
      </c>
      <c r="L1342" s="4" t="str">
        <f t="shared" si="2"/>
        <v/>
      </c>
    </row>
    <row r="1343" ht="14.25" customHeight="1">
      <c r="A1343" s="1" t="s">
        <v>3195</v>
      </c>
      <c r="B1343" s="1">
        <v>6.4</v>
      </c>
      <c r="C1343" s="4" t="str">
        <f>IFERROR(__xludf.DUMMYFUNCTION("""COMPUTED_VALUE"""),"George Ratliff")</f>
        <v>George Ratliff</v>
      </c>
      <c r="D1343" s="4">
        <f t="array" ref="D1343">IFERROR(AVERAGEIFS($B$2:$B$3757, $A$2:$A$3757, C1343:C5097), "")</f>
        <v>5.3</v>
      </c>
      <c r="E1343" s="4">
        <f t="shared" si="1"/>
        <v>11.9</v>
      </c>
      <c r="F1343" s="4" t="str">
        <f t="array" ref="F1343">IF(D1343&gt;=_xlfn.PERCENTILE.INC(D1343:D3001, 0.9), "High", "Low")</f>
        <v>Low</v>
      </c>
      <c r="L1343" s="4" t="str">
        <f t="shared" si="2"/>
        <v/>
      </c>
    </row>
    <row r="1344" ht="14.25" customHeight="1">
      <c r="A1344" s="1" t="s">
        <v>3195</v>
      </c>
      <c r="B1344" s="1">
        <v>7.2</v>
      </c>
      <c r="C1344" s="4" t="str">
        <f>IFERROR(__xludf.DUMMYFUNCTION("""COMPUTED_VALUE"""),"Michael McGowan")</f>
        <v>Michael McGowan</v>
      </c>
      <c r="D1344" s="4">
        <f t="array" ref="D1344">IFERROR(AVERAGEIFS($B$2:$B$3757, $A$2:$A$3757, C1344:C5098), "")</f>
        <v>7.6</v>
      </c>
      <c r="E1344" s="4">
        <f t="shared" si="1"/>
        <v>85.8</v>
      </c>
      <c r="F1344" s="4" t="str">
        <f t="array" ref="F1344">IF(D1344&gt;=_xlfn.PERCENTILE.INC(D1344:D3002, 0.9), "High", "Low")</f>
        <v>Low</v>
      </c>
      <c r="L1344" s="4" t="str">
        <f t="shared" si="2"/>
        <v/>
      </c>
    </row>
    <row r="1345" ht="14.25" customHeight="1">
      <c r="A1345" s="1" t="s">
        <v>6900</v>
      </c>
      <c r="B1345" s="1">
        <v>6.3</v>
      </c>
      <c r="C1345" s="4" t="str">
        <f>IFERROR(__xludf.DUMMYFUNCTION("""COMPUTED_VALUE"""),"Dan Trachtenberg")</f>
        <v>Dan Trachtenberg</v>
      </c>
      <c r="D1345" s="4">
        <f t="array" ref="D1345">IFERROR(AVERAGEIFS($B$2:$B$3757, $A$2:$A$3757, C1345:C5099), "")</f>
        <v>7.3</v>
      </c>
      <c r="E1345" s="4">
        <f t="shared" si="1"/>
        <v>78.5</v>
      </c>
      <c r="F1345" s="4" t="str">
        <f t="array" ref="F1345">IF(D1345&gt;=_xlfn.PERCENTILE.INC(D1345:D3003, 0.9), "High", "Low")</f>
        <v>Low</v>
      </c>
      <c r="L1345" s="4" t="str">
        <f t="shared" si="2"/>
        <v/>
      </c>
    </row>
    <row r="1346" ht="14.25" customHeight="1">
      <c r="A1346" s="1" t="s">
        <v>6904</v>
      </c>
      <c r="B1346" s="1">
        <v>6.9</v>
      </c>
      <c r="C1346" s="4" t="str">
        <f>IFERROR(__xludf.DUMMYFUNCTION("""COMPUTED_VALUE"""),"David F. Sandberg")</f>
        <v>David F. Sandberg</v>
      </c>
      <c r="D1346" s="4">
        <f t="array" ref="D1346">IFERROR(AVERAGEIFS($B$2:$B$3757, $A$2:$A$3757, C1346:C5100), "")</f>
        <v>6.9</v>
      </c>
      <c r="E1346" s="4">
        <f t="shared" si="1"/>
        <v>58.4</v>
      </c>
      <c r="F1346" s="4" t="str">
        <f t="array" ref="F1346">IF(D1346&gt;=_xlfn.PERCENTILE.INC(D1346:D3004, 0.9), "High", "Low")</f>
        <v>Low</v>
      </c>
      <c r="L1346" s="4" t="str">
        <f t="shared" si="2"/>
        <v/>
      </c>
    </row>
    <row r="1347" ht="14.25" customHeight="1">
      <c r="A1347" s="1" t="s">
        <v>3541</v>
      </c>
      <c r="B1347" s="1">
        <v>6.6</v>
      </c>
      <c r="C1347" s="4" t="str">
        <f>IFERROR(__xludf.DUMMYFUNCTION("""COMPUTED_VALUE"""),"Henry Joost")</f>
        <v>Henry Joost</v>
      </c>
      <c r="D1347" s="4">
        <f t="array" ref="D1347">IFERROR(AVERAGEIFS($B$2:$B$3757, $A$2:$A$3757, C1347:C5101), "")</f>
        <v>5.2</v>
      </c>
      <c r="E1347" s="4">
        <f t="shared" si="1"/>
        <v>10.5</v>
      </c>
      <c r="F1347" s="4" t="str">
        <f t="array" ref="F1347">IF(D1347&gt;=_xlfn.PERCENTILE.INC(D1347:D3005, 0.9), "High", "Low")</f>
        <v>Low</v>
      </c>
      <c r="L1347" s="4" t="str">
        <f t="shared" si="2"/>
        <v/>
      </c>
    </row>
    <row r="1348" ht="14.25" customHeight="1">
      <c r="A1348" s="1" t="s">
        <v>6911</v>
      </c>
      <c r="B1348" s="1">
        <v>6.0</v>
      </c>
      <c r="C1348" s="4" t="str">
        <f>IFERROR(__xludf.DUMMYFUNCTION("""COMPUTED_VALUE"""),"Stiles White")</f>
        <v>Stiles White</v>
      </c>
      <c r="D1348" s="4">
        <f t="array" ref="D1348">IFERROR(AVERAGEIFS($B$2:$B$3757, $A$2:$A$3757, C1348:C5102), "")</f>
        <v>4.4</v>
      </c>
      <c r="E1348" s="4">
        <f t="shared" si="1"/>
        <v>4.5</v>
      </c>
      <c r="F1348" s="4" t="str">
        <f t="array" ref="F1348">IF(D1348&gt;=_xlfn.PERCENTILE.INC(D1348:D3006, 0.9), "High", "Low")</f>
        <v>Low</v>
      </c>
      <c r="L1348" s="4" t="str">
        <f t="shared" si="2"/>
        <v/>
      </c>
    </row>
    <row r="1349" ht="14.25" customHeight="1">
      <c r="A1349" s="1" t="s">
        <v>1973</v>
      </c>
      <c r="B1349" s="1">
        <v>7.5</v>
      </c>
      <c r="C1349" s="4" t="str">
        <f>IFERROR(__xludf.DUMMYFUNCTION("""COMPUTED_VALUE"""),"Eugenio Derbez")</f>
        <v>Eugenio Derbez</v>
      </c>
      <c r="D1349" s="4">
        <f t="array" ref="D1349">IFERROR(AVERAGEIFS($B$2:$B$3757, $A$2:$A$3757, C1349:C5103), "")</f>
        <v>7.6</v>
      </c>
      <c r="E1349" s="4">
        <f t="shared" si="1"/>
        <v>85.9</v>
      </c>
      <c r="F1349" s="4" t="str">
        <f t="array" ref="F1349">IF(D1349&gt;=_xlfn.PERCENTILE.INC(D1349:D3007, 0.9), "High", "Low")</f>
        <v>Low</v>
      </c>
      <c r="L1349" s="4" t="str">
        <f t="shared" si="2"/>
        <v/>
      </c>
    </row>
    <row r="1350" ht="14.25" customHeight="1">
      <c r="A1350" s="1" t="s">
        <v>4801</v>
      </c>
      <c r="B1350" s="1">
        <v>7.7</v>
      </c>
      <c r="C1350" s="4" t="str">
        <f>IFERROR(__xludf.DUMMYFUNCTION("""COMPUTED_VALUE"""),"Henry Koster")</f>
        <v>Henry Koster</v>
      </c>
      <c r="D1350" s="4">
        <f t="array" ref="D1350">IFERROR(AVERAGEIFS($B$2:$B$3757, $A$2:$A$3757, C1350:C5104), "")</f>
        <v>6.8</v>
      </c>
      <c r="E1350" s="4">
        <f t="shared" si="1"/>
        <v>54</v>
      </c>
      <c r="F1350" s="4" t="str">
        <f t="array" ref="F1350">IF(D1350&gt;=_xlfn.PERCENTILE.INC(D1350:D3008, 0.9), "High", "Low")</f>
        <v>Low</v>
      </c>
      <c r="L1350" s="4" t="str">
        <f t="shared" si="2"/>
        <v/>
      </c>
    </row>
    <row r="1351" ht="14.25" customHeight="1">
      <c r="A1351" s="1" t="s">
        <v>3052</v>
      </c>
      <c r="B1351" s="1">
        <v>6.2</v>
      </c>
      <c r="C1351" s="4" t="str">
        <f>IFERROR(__xludf.DUMMYFUNCTION("""COMPUTED_VALUE"""),"Patty Jenkins")</f>
        <v>Patty Jenkins</v>
      </c>
      <c r="D1351" s="4">
        <f t="array" ref="D1351">IFERROR(AVERAGEIFS($B$2:$B$3757, $A$2:$A$3757, C1351:C5105), "")</f>
        <v>7.3</v>
      </c>
      <c r="E1351" s="4">
        <f t="shared" si="1"/>
        <v>78.7</v>
      </c>
      <c r="F1351" s="4" t="str">
        <f t="array" ref="F1351">IF(D1351&gt;=_xlfn.PERCENTILE.INC(D1351:D3009, 0.9), "High", "Low")</f>
        <v>Low</v>
      </c>
      <c r="L1351" s="4" t="str">
        <f t="shared" si="2"/>
        <v/>
      </c>
    </row>
    <row r="1352" ht="14.25" customHeight="1">
      <c r="A1352" s="1" t="s">
        <v>2081</v>
      </c>
      <c r="B1352" s="1">
        <v>5.4</v>
      </c>
      <c r="C1352" s="4" t="str">
        <f>IFERROR(__xludf.DUMMYFUNCTION("""COMPUTED_VALUE"""),"Christopher Landon")</f>
        <v>Christopher Landon</v>
      </c>
      <c r="D1352" s="4">
        <f t="array" ref="D1352">IFERROR(AVERAGEIFS($B$2:$B$3757, $A$2:$A$3757, C1352:C5106), "")</f>
        <v>5</v>
      </c>
      <c r="E1352" s="4">
        <f t="shared" si="1"/>
        <v>8.1</v>
      </c>
      <c r="F1352" s="4" t="str">
        <f t="array" ref="F1352">IF(D1352&gt;=_xlfn.PERCENTILE.INC(D1352:D3010, 0.9), "High", "Low")</f>
        <v>Low</v>
      </c>
      <c r="L1352" s="4" t="str">
        <f t="shared" si="2"/>
        <v/>
      </c>
    </row>
    <row r="1353" ht="14.25" customHeight="1">
      <c r="A1353" s="1" t="s">
        <v>6932</v>
      </c>
      <c r="B1353" s="1">
        <v>6.6</v>
      </c>
      <c r="C1353" s="4" t="str">
        <f>IFERROR(__xludf.DUMMYFUNCTION("""COMPUTED_VALUE"""),"David Gelb")</f>
        <v>David Gelb</v>
      </c>
      <c r="D1353" s="4">
        <f t="array" ref="D1353">IFERROR(AVERAGEIFS($B$2:$B$3757, $A$2:$A$3757, C1353:C5107), "")</f>
        <v>5.2</v>
      </c>
      <c r="E1353" s="4">
        <f t="shared" si="1"/>
        <v>10.1</v>
      </c>
      <c r="F1353" s="4" t="str">
        <f t="array" ref="F1353">IF(D1353&gt;=_xlfn.PERCENTILE.INC(D1353:D3011, 0.9), "High", "Low")</f>
        <v>Low</v>
      </c>
      <c r="L1353" s="4" t="str">
        <f t="shared" si="2"/>
        <v/>
      </c>
    </row>
    <row r="1354" ht="14.25" customHeight="1">
      <c r="A1354" s="1" t="s">
        <v>5911</v>
      </c>
      <c r="B1354" s="1">
        <v>5.3</v>
      </c>
      <c r="C1354" s="4" t="str">
        <f>IFERROR(__xludf.DUMMYFUNCTION("""COMPUTED_VALUE"""),"Mike Flanagan")</f>
        <v>Mike Flanagan</v>
      </c>
      <c r="D1354" s="4">
        <f t="array" ref="D1354">IFERROR(AVERAGEIFS($B$2:$B$3757, $A$2:$A$3757, C1354:C5108), "")</f>
        <v>6.5</v>
      </c>
      <c r="E1354" s="4">
        <f t="shared" si="1"/>
        <v>41.7</v>
      </c>
      <c r="F1354" s="4" t="str">
        <f t="array" ref="F1354">IF(D1354&gt;=_xlfn.PERCENTILE.INC(D1354:D3012, 0.9), "High", "Low")</f>
        <v>Low</v>
      </c>
      <c r="L1354" s="4" t="str">
        <f t="shared" si="2"/>
        <v/>
      </c>
    </row>
    <row r="1355" ht="14.25" customHeight="1">
      <c r="A1355" s="1" t="s">
        <v>2093</v>
      </c>
      <c r="B1355" s="1">
        <v>5.6</v>
      </c>
      <c r="C1355" s="4" t="str">
        <f>IFERROR(__xludf.DUMMYFUNCTION("""COMPUTED_VALUE"""),"Nat Faxon")</f>
        <v>Nat Faxon</v>
      </c>
      <c r="D1355" s="4">
        <f t="array" ref="D1355">IFERROR(AVERAGEIFS($B$2:$B$3757, $A$2:$A$3757, C1355:C5109), "")</f>
        <v>7.4</v>
      </c>
      <c r="E1355" s="4">
        <f t="shared" si="1"/>
        <v>81</v>
      </c>
      <c r="F1355" s="4" t="str">
        <f t="array" ref="F1355">IF(D1355&gt;=_xlfn.PERCENTILE.INC(D1355:D3013, 0.9), "High", "Low")</f>
        <v>Low</v>
      </c>
      <c r="L1355" s="4" t="str">
        <f t="shared" si="2"/>
        <v/>
      </c>
    </row>
    <row r="1356" ht="14.25" customHeight="1">
      <c r="A1356" s="1" t="s">
        <v>6945</v>
      </c>
      <c r="B1356" s="1">
        <v>5.9</v>
      </c>
      <c r="C1356" s="4" t="str">
        <f>IFERROR(__xludf.DUMMYFUNCTION("""COMPUTED_VALUE"""),"George Jackson")</f>
        <v>George Jackson</v>
      </c>
      <c r="D1356" s="4">
        <f t="array" ref="D1356">IFERROR(AVERAGEIFS($B$2:$B$3757, $A$2:$A$3757, C1356:C5110), "")</f>
        <v>5.1</v>
      </c>
      <c r="E1356" s="4">
        <f t="shared" si="1"/>
        <v>8.9</v>
      </c>
      <c r="F1356" s="4" t="str">
        <f t="array" ref="F1356">IF(D1356&gt;=_xlfn.PERCENTILE.INC(D1356:D3014, 0.9), "High", "Low")</f>
        <v>Low</v>
      </c>
      <c r="L1356" s="4" t="str">
        <f t="shared" si="2"/>
        <v/>
      </c>
    </row>
    <row r="1357" ht="14.25" customHeight="1">
      <c r="A1357" s="1" t="s">
        <v>363</v>
      </c>
      <c r="B1357" s="1">
        <v>7.8</v>
      </c>
      <c r="C1357" s="4" t="str">
        <f>IFERROR(__xludf.DUMMYFUNCTION("""COMPUTED_VALUE"""),"Maurice Joyce")</f>
        <v>Maurice Joyce</v>
      </c>
      <c r="D1357" s="4">
        <f t="array" ref="D1357">IFERROR(AVERAGEIFS($B$2:$B$3757, $A$2:$A$3757, C1357:C5111), "")</f>
        <v>5</v>
      </c>
      <c r="E1357" s="4">
        <f t="shared" si="1"/>
        <v>8.2</v>
      </c>
      <c r="F1357" s="4" t="str">
        <f t="array" ref="F1357">IF(D1357&gt;=_xlfn.PERCENTILE.INC(D1357:D3015, 0.9), "High", "Low")</f>
        <v>Low</v>
      </c>
      <c r="L1357" s="4" t="str">
        <f t="shared" si="2"/>
        <v/>
      </c>
    </row>
    <row r="1358" ht="14.25" customHeight="1">
      <c r="A1358" s="1" t="s">
        <v>2246</v>
      </c>
      <c r="B1358" s="1">
        <v>6.7</v>
      </c>
      <c r="C1358" s="4" t="str">
        <f>IFERROR(__xludf.DUMMYFUNCTION("""COMPUTED_VALUE"""),"Robert Duvall")</f>
        <v>Robert Duvall</v>
      </c>
      <c r="D1358" s="4">
        <f t="array" ref="D1358">IFERROR(AVERAGEIFS($B$2:$B$3757, $A$2:$A$3757, C1358:C5112), "")</f>
        <v>7.2</v>
      </c>
      <c r="E1358" s="4">
        <f t="shared" si="1"/>
        <v>73.3</v>
      </c>
      <c r="F1358" s="4" t="str">
        <f t="array" ref="F1358">IF(D1358&gt;=_xlfn.PERCENTILE.INC(D1358:D3016, 0.9), "High", "Low")</f>
        <v>Low</v>
      </c>
      <c r="L1358" s="4" t="str">
        <f t="shared" si="2"/>
        <v/>
      </c>
    </row>
    <row r="1359" ht="14.25" customHeight="1">
      <c r="A1359" s="1" t="s">
        <v>6957</v>
      </c>
      <c r="B1359" s="1">
        <v>7.4</v>
      </c>
      <c r="C1359" s="4" t="str">
        <f>IFERROR(__xludf.DUMMYFUNCTION("""COMPUTED_VALUE"""),"Jesse Peretz")</f>
        <v>Jesse Peretz</v>
      </c>
      <c r="D1359" s="4">
        <f t="array" ref="D1359">IFERROR(AVERAGEIFS($B$2:$B$3757, $A$2:$A$3757, C1359:C5113), "")</f>
        <v>6.4</v>
      </c>
      <c r="E1359" s="4">
        <f t="shared" si="1"/>
        <v>39.1</v>
      </c>
      <c r="F1359" s="4" t="str">
        <f t="array" ref="F1359">IF(D1359&gt;=_xlfn.PERCENTILE.INC(D1359:D3017, 0.9), "High", "Low")</f>
        <v>Low</v>
      </c>
      <c r="L1359" s="4" t="str">
        <f t="shared" si="2"/>
        <v/>
      </c>
    </row>
    <row r="1360" ht="14.25" customHeight="1">
      <c r="A1360" s="1" t="s">
        <v>6676</v>
      </c>
      <c r="B1360" s="1">
        <v>6.2</v>
      </c>
      <c r="C1360" s="4" t="str">
        <f>IFERROR(__xludf.DUMMYFUNCTION("""COMPUTED_VALUE"""),"Ice Cube")</f>
        <v>Ice Cube</v>
      </c>
      <c r="D1360" s="4">
        <f t="array" ref="D1360">IFERROR(AVERAGEIFS($B$2:$B$3757, $A$2:$A$3757, C1360:C5114), "")</f>
        <v>5.6</v>
      </c>
      <c r="E1360" s="4">
        <f t="shared" si="1"/>
        <v>15.9</v>
      </c>
      <c r="F1360" s="4" t="str">
        <f t="array" ref="F1360">IF(D1360&gt;=_xlfn.PERCENTILE.INC(D1360:D3018, 0.9), "High", "Low")</f>
        <v>Low</v>
      </c>
      <c r="L1360" s="4" t="str">
        <f t="shared" si="2"/>
        <v/>
      </c>
    </row>
    <row r="1361" ht="14.25" customHeight="1">
      <c r="A1361" s="1" t="s">
        <v>1967</v>
      </c>
      <c r="B1361" s="1">
        <v>5.4</v>
      </c>
      <c r="C1361" s="4" t="str">
        <f>IFERROR(__xludf.DUMMYFUNCTION("""COMPUTED_VALUE"""),"Richard Glatzer")</f>
        <v>Richard Glatzer</v>
      </c>
      <c r="D1361" s="4">
        <f t="array" ref="D1361">IFERROR(AVERAGEIFS($B$2:$B$3757, $A$2:$A$3757, C1361:C5115), "")</f>
        <v>7.3</v>
      </c>
      <c r="E1361" s="4">
        <f t="shared" si="1"/>
        <v>78.7</v>
      </c>
      <c r="F1361" s="4" t="str">
        <f t="array" ref="F1361">IF(D1361&gt;=_xlfn.PERCENTILE.INC(D1361:D3019, 0.9), "High", "Low")</f>
        <v>Low</v>
      </c>
      <c r="L1361" s="4" t="str">
        <f t="shared" si="2"/>
        <v/>
      </c>
    </row>
    <row r="1362" ht="14.25" customHeight="1">
      <c r="A1362" s="1" t="s">
        <v>5055</v>
      </c>
      <c r="B1362" s="1">
        <v>6.7</v>
      </c>
      <c r="C1362" s="4" t="str">
        <f>IFERROR(__xludf.DUMMYFUNCTION("""COMPUTED_VALUE"""),"Rob Hedden")</f>
        <v>Rob Hedden</v>
      </c>
      <c r="D1362" s="4">
        <f t="array" ref="D1362">IFERROR(AVERAGEIFS($B$2:$B$3757, $A$2:$A$3757, C1362:C5116), "")</f>
        <v>4.5</v>
      </c>
      <c r="E1362" s="4">
        <f t="shared" si="1"/>
        <v>5</v>
      </c>
      <c r="F1362" s="4" t="str">
        <f t="array" ref="F1362">IF(D1362&gt;=_xlfn.PERCENTILE.INC(D1362:D3020, 0.9), "High", "Low")</f>
        <v>Low</v>
      </c>
      <c r="L1362" s="4" t="str">
        <f t="shared" si="2"/>
        <v/>
      </c>
    </row>
    <row r="1363" ht="14.25" customHeight="1">
      <c r="A1363" s="1" t="s">
        <v>6975</v>
      </c>
      <c r="B1363" s="1">
        <v>5.3</v>
      </c>
      <c r="C1363" s="4" t="str">
        <f>IFERROR(__xludf.DUMMYFUNCTION("""COMPUTED_VALUE"""),"Harmony Korine")</f>
        <v>Harmony Korine</v>
      </c>
      <c r="D1363" s="4">
        <f t="array" ref="D1363">IFERROR(AVERAGEIFS($B$2:$B$3757, $A$2:$A$3757, C1363:C5117), "")</f>
        <v>5.3</v>
      </c>
      <c r="E1363" s="4">
        <f t="shared" si="1"/>
        <v>10.4</v>
      </c>
      <c r="F1363" s="4" t="str">
        <f t="array" ref="F1363">IF(D1363&gt;=_xlfn.PERCENTILE.INC(D1363:D3021, 0.9), "High", "Low")</f>
        <v>Low</v>
      </c>
      <c r="L1363" s="4" t="str">
        <f t="shared" si="2"/>
        <v/>
      </c>
    </row>
    <row r="1364" ht="14.25" customHeight="1">
      <c r="A1364" s="1" t="s">
        <v>6982</v>
      </c>
      <c r="B1364" s="1">
        <v>5.9</v>
      </c>
      <c r="C1364" s="4" t="str">
        <f>IFERROR(__xludf.DUMMYFUNCTION("""COMPUTED_VALUE"""),"Joe Chappelle")</f>
        <v>Joe Chappelle</v>
      </c>
      <c r="D1364" s="4">
        <f t="array" ref="D1364">IFERROR(AVERAGEIFS($B$2:$B$3757, $A$2:$A$3757, C1364:C5118), "")</f>
        <v>4.9</v>
      </c>
      <c r="E1364" s="4">
        <f t="shared" si="1"/>
        <v>7.4</v>
      </c>
      <c r="F1364" s="4" t="str">
        <f t="array" ref="F1364">IF(D1364&gt;=_xlfn.PERCENTILE.INC(D1364:D3022, 0.9), "High", "Low")</f>
        <v>Low</v>
      </c>
      <c r="L1364" s="4" t="str">
        <f t="shared" si="2"/>
        <v/>
      </c>
    </row>
    <row r="1365" ht="14.25" customHeight="1">
      <c r="A1365" s="1" t="s">
        <v>6989</v>
      </c>
      <c r="B1365" s="1">
        <v>4.8</v>
      </c>
      <c r="C1365" s="4" t="str">
        <f>IFERROR(__xludf.DUMMYFUNCTION("""COMPUTED_VALUE"""),"Mickey Liddell")</f>
        <v>Mickey Liddell</v>
      </c>
      <c r="D1365" s="4">
        <f t="array" ref="D1365">IFERROR(AVERAGEIFS($B$2:$B$3757, $A$2:$A$3757, C1365:C5119), "")</f>
        <v>3.8</v>
      </c>
      <c r="E1365" s="4">
        <f t="shared" si="1"/>
        <v>2</v>
      </c>
      <c r="F1365" s="4" t="str">
        <f t="array" ref="F1365">IF(D1365&gt;=_xlfn.PERCENTILE.INC(D1365:D3023, 0.9), "High", "Low")</f>
        <v>Low</v>
      </c>
      <c r="L1365" s="4" t="str">
        <f t="shared" si="2"/>
        <v/>
      </c>
    </row>
    <row r="1366" ht="14.25" customHeight="1">
      <c r="A1366" s="1" t="s">
        <v>6993</v>
      </c>
      <c r="B1366" s="1">
        <v>3.8</v>
      </c>
      <c r="C1366" s="4" t="str">
        <f>IFERROR(__xludf.DUMMYFUNCTION("""COMPUTED_VALUE"""),"Fred Walton")</f>
        <v>Fred Walton</v>
      </c>
      <c r="D1366" s="4">
        <f t="array" ref="D1366">IFERROR(AVERAGEIFS($B$2:$B$3757, $A$2:$A$3757, C1366:C5120), "")</f>
        <v>6.2</v>
      </c>
      <c r="E1366" s="4">
        <f t="shared" si="1"/>
        <v>32.2</v>
      </c>
      <c r="F1366" s="4" t="str">
        <f t="array" ref="F1366">IF(D1366&gt;=_xlfn.PERCENTILE.INC(D1366:D3024, 0.9), "High", "Low")</f>
        <v>Low</v>
      </c>
      <c r="L1366" s="4" t="str">
        <f t="shared" si="2"/>
        <v/>
      </c>
    </row>
    <row r="1367" ht="14.25" customHeight="1">
      <c r="A1367" s="1" t="s">
        <v>3617</v>
      </c>
      <c r="B1367" s="1">
        <v>8.5</v>
      </c>
      <c r="C1367" s="4" t="str">
        <f>IFERROR(__xludf.DUMMYFUNCTION("""COMPUTED_VALUE"""),"Steve Carver")</f>
        <v>Steve Carver</v>
      </c>
      <c r="D1367" s="4">
        <f t="array" ref="D1367">IFERROR(AVERAGEIFS($B$2:$B$3757, $A$2:$A$3757, C1367:C5121), "")</f>
        <v>6.3</v>
      </c>
      <c r="E1367" s="4">
        <f t="shared" si="1"/>
        <v>34</v>
      </c>
      <c r="F1367" s="4" t="str">
        <f t="array" ref="F1367">IF(D1367&gt;=_xlfn.PERCENTILE.INC(D1367:D3025, 0.9), "High", "Low")</f>
        <v>Low</v>
      </c>
      <c r="L1367" s="4" t="str">
        <f t="shared" si="2"/>
        <v/>
      </c>
    </row>
    <row r="1368" ht="14.25" customHeight="1">
      <c r="A1368" s="1" t="s">
        <v>2534</v>
      </c>
      <c r="B1368" s="1">
        <v>6.8</v>
      </c>
      <c r="C1368" s="4" t="str">
        <f>IFERROR(__xludf.DUMMYFUNCTION("""COMPUTED_VALUE"""),"Gonzalo LÃ³pez-Gallego")</f>
        <v>Gonzalo LÃ³pez-Gallego</v>
      </c>
      <c r="D1368" s="4">
        <f t="array" ref="D1368">IFERROR(AVERAGEIFS($B$2:$B$3757, $A$2:$A$3757, C1368:C5122), "")</f>
        <v>5.2</v>
      </c>
      <c r="E1368" s="4">
        <f t="shared" si="1"/>
        <v>8.9</v>
      </c>
      <c r="F1368" s="4" t="str">
        <f t="array" ref="F1368">IF(D1368&gt;=_xlfn.PERCENTILE.INC(D1368:D3026, 0.9), "High", "Low")</f>
        <v>Low</v>
      </c>
      <c r="L1368" s="4" t="str">
        <f t="shared" si="2"/>
        <v/>
      </c>
    </row>
    <row r="1369" ht="14.25" customHeight="1">
      <c r="A1369" s="1" t="s">
        <v>5773</v>
      </c>
      <c r="B1369" s="1">
        <v>6.8</v>
      </c>
      <c r="C1369" s="4" t="str">
        <f>IFERROR(__xludf.DUMMYFUNCTION("""COMPUTED_VALUE"""),"Christine Jeffs")</f>
        <v>Christine Jeffs</v>
      </c>
      <c r="D1369" s="4">
        <f t="array" ref="D1369">IFERROR(AVERAGEIFS($B$2:$B$3757, $A$2:$A$3757, C1369:C5123), "")</f>
        <v>6.9</v>
      </c>
      <c r="E1369" s="4">
        <f t="shared" si="1"/>
        <v>57.2</v>
      </c>
      <c r="F1369" s="4" t="str">
        <f t="array" ref="F1369">IF(D1369&gt;=_xlfn.PERCENTILE.INC(D1369:D3027, 0.9), "High", "Low")</f>
        <v>Low</v>
      </c>
      <c r="L1369" s="4" t="str">
        <f t="shared" si="2"/>
        <v/>
      </c>
    </row>
    <row r="1370" ht="14.25" customHeight="1">
      <c r="A1370" s="1" t="s">
        <v>4844</v>
      </c>
      <c r="B1370" s="1">
        <v>5.3</v>
      </c>
      <c r="C1370" s="4" t="str">
        <f>IFERROR(__xludf.DUMMYFUNCTION("""COMPUTED_VALUE"""),"Bill Duke")</f>
        <v>Bill Duke</v>
      </c>
      <c r="D1370" s="4">
        <f t="array" ref="D1370">IFERROR(AVERAGEIFS($B$2:$B$3757, $A$2:$A$3757, C1370:C5124), "")</f>
        <v>6.1</v>
      </c>
      <c r="E1370" s="4">
        <f t="shared" si="1"/>
        <v>27.8</v>
      </c>
      <c r="F1370" s="4" t="str">
        <f t="array" ref="F1370">IF(D1370&gt;=_xlfn.PERCENTILE.INC(D1370:D3028, 0.9), "High", "Low")</f>
        <v>Low</v>
      </c>
      <c r="L1370" s="4" t="str">
        <f t="shared" si="2"/>
        <v/>
      </c>
    </row>
    <row r="1371" ht="14.25" customHeight="1">
      <c r="A1371" s="1" t="s">
        <v>2913</v>
      </c>
      <c r="B1371" s="1">
        <v>7.3</v>
      </c>
      <c r="C1371" s="4" t="str">
        <f>IFERROR(__xludf.DUMMYFUNCTION("""COMPUTED_VALUE"""),"Mamoru Hosoda")</f>
        <v>Mamoru Hosoda</v>
      </c>
      <c r="D1371" s="4">
        <f t="array" ref="D1371">IFERROR(AVERAGEIFS($B$2:$B$3757, $A$2:$A$3757, C1371:C5125), "")</f>
        <v>5.9</v>
      </c>
      <c r="E1371" s="4">
        <f t="shared" si="1"/>
        <v>20.7</v>
      </c>
      <c r="F1371" s="4" t="str">
        <f t="array" ref="F1371">IF(D1371&gt;=_xlfn.PERCENTILE.INC(D1371:D3029, 0.9), "High", "Low")</f>
        <v>Low</v>
      </c>
      <c r="L1371" s="4" t="str">
        <f t="shared" si="2"/>
        <v/>
      </c>
    </row>
    <row r="1372" ht="14.25" customHeight="1">
      <c r="A1372" s="1" t="s">
        <v>3503</v>
      </c>
      <c r="B1372" s="1">
        <v>6.6</v>
      </c>
      <c r="C1372" s="4" t="str">
        <f>IFERROR(__xludf.DUMMYFUNCTION("""COMPUTED_VALUE"""),"Brian Dannelly")</f>
        <v>Brian Dannelly</v>
      </c>
      <c r="D1372" s="4">
        <f t="array" ref="D1372">IFERROR(AVERAGEIFS($B$2:$B$3757, $A$2:$A$3757, C1372:C5126), "")</f>
        <v>6.9</v>
      </c>
      <c r="E1372" s="4">
        <f t="shared" si="1"/>
        <v>57.1</v>
      </c>
      <c r="F1372" s="4" t="str">
        <f t="array" ref="F1372">IF(D1372&gt;=_xlfn.PERCENTILE.INC(D1372:D3030, 0.9), "High", "Low")</f>
        <v>Low</v>
      </c>
      <c r="L1372" s="4" t="str">
        <f t="shared" si="2"/>
        <v/>
      </c>
    </row>
    <row r="1373" ht="14.25" customHeight="1">
      <c r="A1373" s="1" t="s">
        <v>7023</v>
      </c>
      <c r="B1373" s="1">
        <v>6.2</v>
      </c>
      <c r="C1373" s="4" t="str">
        <f>IFERROR(__xludf.DUMMYFUNCTION("""COMPUTED_VALUE"""),"Denys Arcand")</f>
        <v>Denys Arcand</v>
      </c>
      <c r="D1373" s="4">
        <f t="array" ref="D1373">IFERROR(AVERAGEIFS($B$2:$B$3757, $A$2:$A$3757, C1373:C5127), "")</f>
        <v>7.7</v>
      </c>
      <c r="E1373" s="4">
        <f t="shared" si="1"/>
        <v>88.2</v>
      </c>
      <c r="F1373" s="4" t="str">
        <f t="array" ref="F1373">IF(D1373&gt;=_xlfn.PERCENTILE.INC(D1373:D3031, 0.9), "High", "Low")</f>
        <v>High</v>
      </c>
      <c r="L1373" s="4" t="str">
        <f t="shared" si="2"/>
        <v/>
      </c>
    </row>
    <row r="1374" ht="14.25" customHeight="1">
      <c r="A1374" s="1" t="s">
        <v>7027</v>
      </c>
      <c r="B1374" s="1">
        <v>5.2</v>
      </c>
      <c r="C1374" s="4" t="str">
        <f>IFERROR(__xludf.DUMMYFUNCTION("""COMPUTED_VALUE"""),"J.S. Cardone")</f>
        <v>J.S. Cardone</v>
      </c>
      <c r="D1374" s="4">
        <f t="array" ref="D1374">IFERROR(AVERAGEIFS($B$2:$B$3757, $A$2:$A$3757, C1374:C5128), "")</f>
        <v>5.3</v>
      </c>
      <c r="E1374" s="4">
        <f t="shared" si="1"/>
        <v>9.8</v>
      </c>
      <c r="F1374" s="4" t="str">
        <f t="array" ref="F1374">IF(D1374&gt;=_xlfn.PERCENTILE.INC(D1374:D3032, 0.9), "High", "Low")</f>
        <v>Low</v>
      </c>
      <c r="L1374" s="4" t="str">
        <f t="shared" si="2"/>
        <v/>
      </c>
    </row>
    <row r="1375" ht="14.25" customHeight="1">
      <c r="A1375" s="1" t="s">
        <v>2604</v>
      </c>
      <c r="B1375" s="1">
        <v>6.2</v>
      </c>
      <c r="C1375" s="4" t="str">
        <f>IFERROR(__xludf.DUMMYFUNCTION("""COMPUTED_VALUE"""),"Jay Levey")</f>
        <v>Jay Levey</v>
      </c>
      <c r="D1375" s="4">
        <f t="array" ref="D1375">IFERROR(AVERAGEIFS($B$2:$B$3757, $A$2:$A$3757, C1375:C5129), "")</f>
        <v>7</v>
      </c>
      <c r="E1375" s="4">
        <f t="shared" si="1"/>
        <v>61.9</v>
      </c>
      <c r="F1375" s="4" t="str">
        <f t="array" ref="F1375">IF(D1375&gt;=_xlfn.PERCENTILE.INC(D1375:D3033, 0.9), "High", "Low")</f>
        <v>Low</v>
      </c>
      <c r="L1375" s="4" t="str">
        <f t="shared" si="2"/>
        <v/>
      </c>
    </row>
    <row r="1376" ht="14.25" customHeight="1">
      <c r="A1376" s="1" t="s">
        <v>3298</v>
      </c>
      <c r="B1376" s="1">
        <v>6.2</v>
      </c>
      <c r="C1376" s="4" t="str">
        <f>IFERROR(__xludf.DUMMYFUNCTION("""COMPUTED_VALUE"""),"Tamara Jenkins")</f>
        <v>Tamara Jenkins</v>
      </c>
      <c r="D1376" s="4">
        <f t="array" ref="D1376">IFERROR(AVERAGEIFS($B$2:$B$3757, $A$2:$A$3757, C1376:C5130), "")</f>
        <v>6.6</v>
      </c>
      <c r="E1376" s="4">
        <f t="shared" si="1"/>
        <v>44.2</v>
      </c>
      <c r="F1376" s="4" t="str">
        <f t="array" ref="F1376">IF(D1376&gt;=_xlfn.PERCENTILE.INC(D1376:D3034, 0.9), "High", "Low")</f>
        <v>Low</v>
      </c>
      <c r="L1376" s="4" t="str">
        <f t="shared" si="2"/>
        <v/>
      </c>
    </row>
    <row r="1377" ht="14.25" customHeight="1">
      <c r="A1377" s="1" t="s">
        <v>7041</v>
      </c>
      <c r="B1377" s="1">
        <v>6.6</v>
      </c>
      <c r="C1377" s="4" t="str">
        <f>IFERROR(__xludf.DUMMYFUNCTION("""COMPUTED_VALUE"""),"Xavier Beauvois")</f>
        <v>Xavier Beauvois</v>
      </c>
      <c r="D1377" s="4">
        <f t="array" ref="D1377">IFERROR(AVERAGEIFS($B$2:$B$3757, $A$2:$A$3757, C1377:C5131), "")</f>
        <v>7.2</v>
      </c>
      <c r="E1377" s="4">
        <f t="shared" si="1"/>
        <v>72.5</v>
      </c>
      <c r="F1377" s="4" t="str">
        <f t="array" ref="F1377">IF(D1377&gt;=_xlfn.PERCENTILE.INC(D1377:D3035, 0.9), "High", "Low")</f>
        <v>Low</v>
      </c>
      <c r="L1377" s="4" t="str">
        <f t="shared" si="2"/>
        <v/>
      </c>
    </row>
    <row r="1378" ht="14.25" customHeight="1">
      <c r="A1378" s="1" t="s">
        <v>6697</v>
      </c>
      <c r="B1378" s="1">
        <v>6.2</v>
      </c>
      <c r="C1378" s="4" t="str">
        <f>IFERROR(__xludf.DUMMYFUNCTION("""COMPUTED_VALUE"""),"Randall Miller")</f>
        <v>Randall Miller</v>
      </c>
      <c r="D1378" s="4">
        <f t="array" ref="D1378">IFERROR(AVERAGEIFS($B$2:$B$3757, $A$2:$A$3757, C1378:C5132), "")</f>
        <v>6.8</v>
      </c>
      <c r="E1378" s="4">
        <f t="shared" si="1"/>
        <v>53</v>
      </c>
      <c r="F1378" s="4" t="str">
        <f t="array" ref="F1378">IF(D1378&gt;=_xlfn.PERCENTILE.INC(D1378:D3036, 0.9), "High", "Low")</f>
        <v>Low</v>
      </c>
      <c r="L1378" s="4" t="str">
        <f t="shared" si="2"/>
        <v/>
      </c>
    </row>
    <row r="1379" ht="14.25" customHeight="1">
      <c r="A1379" s="1" t="s">
        <v>484</v>
      </c>
      <c r="B1379" s="1">
        <v>5.1</v>
      </c>
      <c r="C1379" s="4" t="str">
        <f>IFERROR(__xludf.DUMMYFUNCTION("""COMPUTED_VALUE"""),"Dan Rush")</f>
        <v>Dan Rush</v>
      </c>
      <c r="D1379" s="4">
        <f t="array" ref="D1379">IFERROR(AVERAGEIFS($B$2:$B$3757, $A$2:$A$3757, C1379:C5133), "")</f>
        <v>6.4</v>
      </c>
      <c r="E1379" s="4">
        <f t="shared" si="1"/>
        <v>37.9</v>
      </c>
      <c r="F1379" s="4" t="str">
        <f t="array" ref="F1379">IF(D1379&gt;=_xlfn.PERCENTILE.INC(D1379:D3037, 0.9), "High", "Low")</f>
        <v>Low</v>
      </c>
      <c r="L1379" s="4" t="str">
        <f t="shared" si="2"/>
        <v/>
      </c>
    </row>
    <row r="1380" ht="14.25" customHeight="1">
      <c r="A1380" s="1" t="s">
        <v>3503</v>
      </c>
      <c r="B1380" s="1">
        <v>6.6</v>
      </c>
      <c r="C1380" s="4" t="str">
        <f>IFERROR(__xludf.DUMMYFUNCTION("""COMPUTED_VALUE"""),"Michael Cuesta")</f>
        <v>Michael Cuesta</v>
      </c>
      <c r="D1380" s="4">
        <f t="array" ref="D1380">IFERROR(AVERAGEIFS($B$2:$B$3757, $A$2:$A$3757, C1380:C5134), "")</f>
        <v>7.1</v>
      </c>
      <c r="E1380" s="4">
        <f t="shared" si="1"/>
        <v>68</v>
      </c>
      <c r="F1380" s="4" t="str">
        <f t="array" ref="F1380">IF(D1380&gt;=_xlfn.PERCENTILE.INC(D1380:D3038, 0.9), "High", "Low")</f>
        <v>Low</v>
      </c>
      <c r="L1380" s="4" t="str">
        <f t="shared" si="2"/>
        <v/>
      </c>
    </row>
    <row r="1381" ht="14.25" customHeight="1">
      <c r="A1381" s="1" t="s">
        <v>7060</v>
      </c>
      <c r="B1381" s="1">
        <v>6.1</v>
      </c>
      <c r="C1381" s="4" t="str">
        <f>IFERROR(__xludf.DUMMYFUNCTION("""COMPUTED_VALUE"""),"Fenton Bailey")</f>
        <v>Fenton Bailey</v>
      </c>
      <c r="D1381" s="4">
        <f t="array" ref="D1381">IFERROR(AVERAGEIFS($B$2:$B$3757, $A$2:$A$3757, C1381:C5135), "")</f>
        <v>6.55</v>
      </c>
      <c r="E1381" s="4">
        <f t="shared" si="1"/>
        <v>44.3</v>
      </c>
      <c r="F1381" s="4" t="str">
        <f t="array" ref="F1381">IF(D1381&gt;=_xlfn.PERCENTILE.INC(D1381:D3039, 0.9), "High", "Low")</f>
        <v>Low</v>
      </c>
      <c r="L1381" s="4" t="str">
        <f t="shared" si="2"/>
        <v/>
      </c>
    </row>
    <row r="1382" ht="14.25" customHeight="1">
      <c r="A1382" s="1" t="s">
        <v>5167</v>
      </c>
      <c r="B1382" s="1">
        <v>6.6</v>
      </c>
      <c r="C1382" s="4" t="str">
        <f>IFERROR(__xludf.DUMMYFUNCTION("""COMPUTED_VALUE"""),"Jeremy Saulnier")</f>
        <v>Jeremy Saulnier</v>
      </c>
      <c r="D1382" s="4">
        <f t="array" ref="D1382">IFERROR(AVERAGEIFS($B$2:$B$3757, $A$2:$A$3757, C1382:C5136), "")</f>
        <v>7.1</v>
      </c>
      <c r="E1382" s="4">
        <f t="shared" si="1"/>
        <v>68.1</v>
      </c>
      <c r="F1382" s="4" t="str">
        <f t="array" ref="F1382">IF(D1382&gt;=_xlfn.PERCENTILE.INC(D1382:D3040, 0.9), "High", "Low")</f>
        <v>Low</v>
      </c>
      <c r="L1382" s="4" t="str">
        <f t="shared" si="2"/>
        <v/>
      </c>
    </row>
    <row r="1383" ht="14.25" customHeight="1">
      <c r="A1383" s="1" t="s">
        <v>7070</v>
      </c>
      <c r="B1383" s="1">
        <v>5.9</v>
      </c>
      <c r="C1383" s="4" t="str">
        <f>IFERROR(__xludf.DUMMYFUNCTION("""COMPUTED_VALUE"""),"Nicholas Fackler")</f>
        <v>Nicholas Fackler</v>
      </c>
      <c r="D1383" s="4">
        <f t="array" ref="D1383">IFERROR(AVERAGEIFS($B$2:$B$3757, $A$2:$A$3757, C1383:C5137), "")</f>
        <v>7.3</v>
      </c>
      <c r="E1383" s="4">
        <f t="shared" si="1"/>
        <v>77.7</v>
      </c>
      <c r="F1383" s="4" t="str">
        <f t="array" ref="F1383">IF(D1383&gt;=_xlfn.PERCENTILE.INC(D1383:D3041, 0.9), "High", "Low")</f>
        <v>Low</v>
      </c>
      <c r="L1383" s="4" t="str">
        <f t="shared" si="2"/>
        <v/>
      </c>
    </row>
    <row r="1384" ht="14.25" customHeight="1">
      <c r="A1384" s="1" t="s">
        <v>7075</v>
      </c>
      <c r="B1384" s="1">
        <v>6.3</v>
      </c>
      <c r="C1384" s="4" t="str">
        <f>IFERROR(__xludf.DUMMYFUNCTION("""COMPUTED_VALUE"""),"Morgan J. Freeman")</f>
        <v>Morgan J. Freeman</v>
      </c>
      <c r="D1384" s="4">
        <f t="array" ref="D1384">IFERROR(AVERAGEIFS($B$2:$B$3757, $A$2:$A$3757, C1384:C5138), "")</f>
        <v>6.35</v>
      </c>
      <c r="E1384" s="4">
        <f t="shared" si="1"/>
        <v>37.9</v>
      </c>
      <c r="F1384" s="4" t="str">
        <f t="array" ref="F1384">IF(D1384&gt;=_xlfn.PERCENTILE.INC(D1384:D3042, 0.9), "High", "Low")</f>
        <v>Low</v>
      </c>
      <c r="L1384" s="4" t="str">
        <f t="shared" si="2"/>
        <v/>
      </c>
    </row>
    <row r="1385" ht="14.25" customHeight="1">
      <c r="A1385" s="1" t="s">
        <v>7080</v>
      </c>
      <c r="B1385" s="1">
        <v>7.1</v>
      </c>
      <c r="C1385" s="4" t="str">
        <f>IFERROR(__xludf.DUMMYFUNCTION("""COMPUTED_VALUE"""),"Klaus Menzel")</f>
        <v>Klaus Menzel</v>
      </c>
      <c r="D1385" s="4">
        <f t="array" ref="D1385">IFERROR(AVERAGEIFS($B$2:$B$3757, $A$2:$A$3757, C1385:C5139), "")</f>
        <v>3.3</v>
      </c>
      <c r="E1385" s="4">
        <f t="shared" si="1"/>
        <v>1.1</v>
      </c>
      <c r="F1385" s="4" t="str">
        <f t="array" ref="F1385">IF(D1385&gt;=_xlfn.PERCENTILE.INC(D1385:D3043, 0.9), "High", "Low")</f>
        <v>Low</v>
      </c>
      <c r="L1385" s="4" t="str">
        <f t="shared" si="2"/>
        <v/>
      </c>
    </row>
    <row r="1386" ht="14.25" customHeight="1">
      <c r="A1386" s="1" t="s">
        <v>2793</v>
      </c>
      <c r="B1386" s="1">
        <v>5.0</v>
      </c>
      <c r="C1386" s="4" t="str">
        <f>IFERROR(__xludf.DUMMYFUNCTION("""COMPUTED_VALUE"""),"JirÃ­ Menzel")</f>
        <v>JirÃ­ Menzel</v>
      </c>
      <c r="D1386" s="4">
        <f t="array" ref="D1386">IFERROR(AVERAGEIFS($B$2:$B$3757, $A$2:$A$3757, C1386:C5140), "")</f>
        <v>7.4</v>
      </c>
      <c r="E1386" s="4">
        <f t="shared" si="1"/>
        <v>79.6</v>
      </c>
      <c r="F1386" s="4" t="str">
        <f t="array" ref="F1386">IF(D1386&gt;=_xlfn.PERCENTILE.INC(D1386:D3044, 0.9), "High", "Low")</f>
        <v>Low</v>
      </c>
      <c r="L1386" s="4" t="str">
        <f t="shared" si="2"/>
        <v/>
      </c>
    </row>
    <row r="1387" ht="14.25" customHeight="1">
      <c r="A1387" s="1" t="s">
        <v>7090</v>
      </c>
      <c r="B1387" s="1">
        <v>5.6</v>
      </c>
      <c r="C1387" s="4" t="str">
        <f>IFERROR(__xludf.DUMMYFUNCTION("""COMPUTED_VALUE"""),"Frank LaLoggia")</f>
        <v>Frank LaLoggia</v>
      </c>
      <c r="D1387" s="4">
        <f t="array" ref="D1387">IFERROR(AVERAGEIFS($B$2:$B$3757, $A$2:$A$3757, C1387:C5141), "")</f>
        <v>6.7</v>
      </c>
      <c r="E1387" s="4">
        <f t="shared" si="1"/>
        <v>47.4</v>
      </c>
      <c r="F1387" s="4" t="str">
        <f t="array" ref="F1387">IF(D1387&gt;=_xlfn.PERCENTILE.INC(D1387:D3045, 0.9), "High", "Low")</f>
        <v>Low</v>
      </c>
      <c r="L1387" s="4" t="str">
        <f t="shared" si="2"/>
        <v/>
      </c>
    </row>
    <row r="1388" ht="14.25" customHeight="1">
      <c r="A1388" s="1" t="s">
        <v>4643</v>
      </c>
      <c r="B1388" s="1">
        <v>7.4</v>
      </c>
      <c r="C1388" s="4" t="str">
        <f>IFERROR(__xludf.DUMMYFUNCTION("""COMPUTED_VALUE"""),"Michel Leclerc")</f>
        <v>Michel Leclerc</v>
      </c>
      <c r="D1388" s="4">
        <f t="array" ref="D1388">IFERROR(AVERAGEIFS($B$2:$B$3757, $A$2:$A$3757, C1388:C5142), "")</f>
        <v>7.2</v>
      </c>
      <c r="E1388" s="4">
        <f t="shared" si="1"/>
        <v>72.5</v>
      </c>
      <c r="F1388" s="4" t="str">
        <f t="array" ref="F1388">IF(D1388&gt;=_xlfn.PERCENTILE.INC(D1388:D3046, 0.9), "High", "Low")</f>
        <v>Low</v>
      </c>
      <c r="L1388" s="4" t="str">
        <f t="shared" si="2"/>
        <v/>
      </c>
    </row>
    <row r="1389" ht="14.25" customHeight="1">
      <c r="A1389" s="1" t="s">
        <v>7100</v>
      </c>
      <c r="B1389" s="1">
        <v>4.5</v>
      </c>
      <c r="C1389" s="4" t="str">
        <f>IFERROR(__xludf.DUMMYFUNCTION("""COMPUTED_VALUE"""),"Tom Kalin")</f>
        <v>Tom Kalin</v>
      </c>
      <c r="D1389" s="4">
        <f t="array" ref="D1389">IFERROR(AVERAGEIFS($B$2:$B$3757, $A$2:$A$3757, C1389:C5143), "")</f>
        <v>5.9</v>
      </c>
      <c r="E1389" s="4">
        <f t="shared" si="1"/>
        <v>21.3</v>
      </c>
      <c r="F1389" s="4" t="str">
        <f t="array" ref="F1389">IF(D1389&gt;=_xlfn.PERCENTILE.INC(D1389:D3047, 0.9), "High", "Low")</f>
        <v>Low</v>
      </c>
      <c r="L1389" s="4" t="str">
        <f t="shared" si="2"/>
        <v/>
      </c>
    </row>
    <row r="1390" ht="14.25" customHeight="1">
      <c r="A1390" s="1" t="s">
        <v>7107</v>
      </c>
      <c r="B1390" s="1">
        <v>6.2</v>
      </c>
      <c r="C1390" s="4" t="str">
        <f>IFERROR(__xludf.DUMMYFUNCTION("""COMPUTED_VALUE"""),"Carlos Saura")</f>
        <v>Carlos Saura</v>
      </c>
      <c r="D1390" s="4">
        <f t="array" ref="D1390">IFERROR(AVERAGEIFS($B$2:$B$3757, $A$2:$A$3757, C1390:C5144), "")</f>
        <v>7.2</v>
      </c>
      <c r="E1390" s="4">
        <f t="shared" si="1"/>
        <v>72.7</v>
      </c>
      <c r="F1390" s="4" t="str">
        <f t="array" ref="F1390">IF(D1390&gt;=_xlfn.PERCENTILE.INC(D1390:D3048, 0.9), "High", "Low")</f>
        <v>Low</v>
      </c>
      <c r="L1390" s="4" t="str">
        <f t="shared" si="2"/>
        <v/>
      </c>
    </row>
    <row r="1391" ht="14.25" customHeight="1">
      <c r="A1391" s="1" t="s">
        <v>5922</v>
      </c>
      <c r="B1391" s="1">
        <v>5.0</v>
      </c>
      <c r="C1391" s="4" t="str">
        <f>IFERROR(__xludf.DUMMYFUNCTION("""COMPUTED_VALUE"""),"Mike van Diem")</f>
        <v>Mike van Diem</v>
      </c>
      <c r="D1391" s="4">
        <f t="array" ref="D1391">IFERROR(AVERAGEIFS($B$2:$B$3757, $A$2:$A$3757, C1391:C5145), "")</f>
        <v>7.8</v>
      </c>
      <c r="E1391" s="4">
        <f t="shared" si="1"/>
        <v>91.1</v>
      </c>
      <c r="F1391" s="4" t="str">
        <f t="array" ref="F1391">IF(D1391&gt;=_xlfn.PERCENTILE.INC(D1391:D3049, 0.9), "High", "Low")</f>
        <v>High</v>
      </c>
      <c r="L1391" s="4" t="str">
        <f t="shared" si="2"/>
        <v/>
      </c>
    </row>
    <row r="1392" ht="14.25" customHeight="1">
      <c r="A1392" s="1" t="s">
        <v>4175</v>
      </c>
      <c r="B1392" s="1">
        <v>6.5</v>
      </c>
      <c r="C1392" s="4" t="str">
        <f>IFERROR(__xludf.DUMMYFUNCTION("""COMPUTED_VALUE"""),"Jonas Ã…kerlund")</f>
        <v>Jonas Ã…kerlund</v>
      </c>
      <c r="D1392" s="4">
        <f t="array" ref="D1392">IFERROR(AVERAGEIFS($B$2:$B$3757, $A$2:$A$3757, C1392:C5146), "")</f>
        <v>6.8</v>
      </c>
      <c r="E1392" s="4">
        <f t="shared" si="1"/>
        <v>53.5</v>
      </c>
      <c r="F1392" s="4" t="str">
        <f t="array" ref="F1392">IF(D1392&gt;=_xlfn.PERCENTILE.INC(D1392:D3050, 0.9), "High", "Low")</f>
        <v>Low</v>
      </c>
      <c r="L1392" s="4" t="str">
        <f t="shared" si="2"/>
        <v/>
      </c>
    </row>
    <row r="1393" ht="14.25" customHeight="1">
      <c r="A1393" s="1" t="s">
        <v>5857</v>
      </c>
      <c r="B1393" s="1">
        <v>5.1</v>
      </c>
      <c r="C1393" s="4" t="str">
        <f>IFERROR(__xludf.DUMMYFUNCTION("""COMPUTED_VALUE"""),"Barry Skolnick")</f>
        <v>Barry Skolnick</v>
      </c>
      <c r="D1393" s="4">
        <f t="array" ref="D1393">IFERROR(AVERAGEIFS($B$2:$B$3757, $A$2:$A$3757, C1393:C5147), "")</f>
        <v>6.5</v>
      </c>
      <c r="E1393" s="4">
        <f t="shared" si="1"/>
        <v>41</v>
      </c>
      <c r="F1393" s="4" t="str">
        <f t="array" ref="F1393">IF(D1393&gt;=_xlfn.PERCENTILE.INC(D1393:D3051, 0.9), "High", "Low")</f>
        <v>Low</v>
      </c>
      <c r="L1393" s="4" t="str">
        <f t="shared" si="2"/>
        <v/>
      </c>
    </row>
    <row r="1394" ht="14.25" customHeight="1">
      <c r="A1394" s="1" t="s">
        <v>4515</v>
      </c>
      <c r="B1394" s="1">
        <v>6.5</v>
      </c>
      <c r="C1394" s="4" t="str">
        <f>IFERROR(__xludf.DUMMYFUNCTION("""COMPUTED_VALUE"""),"Johnnie To")</f>
        <v>Johnnie To</v>
      </c>
      <c r="D1394" s="4">
        <f t="array" ref="D1394">IFERROR(AVERAGEIFS($B$2:$B$3757, $A$2:$A$3757, C1394:C5148), "")</f>
        <v>7.3</v>
      </c>
      <c r="E1394" s="4">
        <f t="shared" si="1"/>
        <v>77.9</v>
      </c>
      <c r="F1394" s="4" t="str">
        <f t="array" ref="F1394">IF(D1394&gt;=_xlfn.PERCENTILE.INC(D1394:D3052, 0.9), "High", "Low")</f>
        <v>Low</v>
      </c>
      <c r="L1394" s="4" t="str">
        <f t="shared" si="2"/>
        <v/>
      </c>
    </row>
    <row r="1395" ht="14.25" customHeight="1">
      <c r="A1395" s="1" t="s">
        <v>3582</v>
      </c>
      <c r="B1395" s="1">
        <v>6.2</v>
      </c>
      <c r="C1395" s="4" t="str">
        <f>IFERROR(__xludf.DUMMYFUNCTION("""COMPUTED_VALUE"""),"Agnieszka Wojtowicz-Vosloo")</f>
        <v>Agnieszka Wojtowicz-Vosloo</v>
      </c>
      <c r="D1395" s="4">
        <f t="array" ref="D1395">IFERROR(AVERAGEIFS($B$2:$B$3757, $A$2:$A$3757, C1395:C5149), "")</f>
        <v>5.9</v>
      </c>
      <c r="E1395" s="4">
        <f t="shared" si="1"/>
        <v>21.8</v>
      </c>
      <c r="F1395" s="4" t="str">
        <f t="array" ref="F1395">IF(D1395&gt;=_xlfn.PERCENTILE.INC(D1395:D3053, 0.9), "High", "Low")</f>
        <v>Low</v>
      </c>
      <c r="L1395" s="4" t="str">
        <f t="shared" si="2"/>
        <v/>
      </c>
    </row>
    <row r="1396" ht="14.25" customHeight="1">
      <c r="A1396" s="1" t="s">
        <v>4916</v>
      </c>
      <c r="B1396" s="1">
        <v>6.3</v>
      </c>
      <c r="C1396" s="4" t="str">
        <f>IFERROR(__xludf.DUMMYFUNCTION("""COMPUTED_VALUE"""),"Nick Love")</f>
        <v>Nick Love</v>
      </c>
      <c r="D1396" s="4">
        <f t="array" ref="D1396">IFERROR(AVERAGEIFS($B$2:$B$3757, $A$2:$A$3757, C1396:C5150), "")</f>
        <v>6.1</v>
      </c>
      <c r="E1396" s="4">
        <f t="shared" si="1"/>
        <v>28.7</v>
      </c>
      <c r="F1396" s="4" t="str">
        <f t="array" ref="F1396">IF(D1396&gt;=_xlfn.PERCENTILE.INC(D1396:D3054, 0.9), "High", "Low")</f>
        <v>Low</v>
      </c>
      <c r="L1396" s="4" t="str">
        <f t="shared" si="2"/>
        <v/>
      </c>
    </row>
    <row r="1397" ht="14.25" customHeight="1">
      <c r="A1397" s="1" t="s">
        <v>5688</v>
      </c>
      <c r="B1397" s="1">
        <v>3.8</v>
      </c>
      <c r="C1397" s="4" t="str">
        <f>IFERROR(__xludf.DUMMYFUNCTION("""COMPUTED_VALUE"""),"Cecil B. DeMille")</f>
        <v>Cecil B. DeMille</v>
      </c>
      <c r="D1397" s="4">
        <f t="array" ref="D1397">IFERROR(AVERAGEIFS($B$2:$B$3757, $A$2:$A$3757, C1397:C5151), "")</f>
        <v>6.7</v>
      </c>
      <c r="E1397" s="4">
        <f t="shared" si="1"/>
        <v>47.7</v>
      </c>
      <c r="F1397" s="4" t="str">
        <f t="array" ref="F1397">IF(D1397&gt;=_xlfn.PERCENTILE.INC(D1397:D3055, 0.9), "High", "Low")</f>
        <v>Low</v>
      </c>
      <c r="L1397" s="4" t="str">
        <f t="shared" si="2"/>
        <v/>
      </c>
    </row>
    <row r="1398" ht="14.25" customHeight="1">
      <c r="A1398" s="1" t="s">
        <v>3834</v>
      </c>
      <c r="B1398" s="1">
        <v>6.2</v>
      </c>
      <c r="C1398" s="4" t="str">
        <f>IFERROR(__xludf.DUMMYFUNCTION("""COMPUTED_VALUE"""),"Henry Hobson")</f>
        <v>Henry Hobson</v>
      </c>
      <c r="D1398" s="4">
        <f t="array" ref="D1398">IFERROR(AVERAGEIFS($B$2:$B$3757, $A$2:$A$3757, C1398:C5152), "")</f>
        <v>5.6</v>
      </c>
      <c r="E1398" s="4">
        <f t="shared" si="1"/>
        <v>15.6</v>
      </c>
      <c r="F1398" s="4" t="str">
        <f t="array" ref="F1398">IF(D1398&gt;=_xlfn.PERCENTILE.INC(D1398:D3056, 0.9), "High", "Low")</f>
        <v>Low</v>
      </c>
      <c r="L1398" s="4" t="str">
        <f t="shared" si="2"/>
        <v/>
      </c>
    </row>
    <row r="1399" ht="14.25" customHeight="1">
      <c r="A1399" s="1" t="s">
        <v>2192</v>
      </c>
      <c r="B1399" s="1">
        <v>5.7</v>
      </c>
      <c r="C1399" s="4" t="str">
        <f>IFERROR(__xludf.DUMMYFUNCTION("""COMPUTED_VALUE"""),"Mike Figgis")</f>
        <v>Mike Figgis</v>
      </c>
      <c r="D1399" s="4">
        <f t="array" ref="D1399">IFERROR(AVERAGEIFS($B$2:$B$3757, $A$2:$A$3757, C1399:C5153), "")</f>
        <v>6.5</v>
      </c>
      <c r="E1399" s="4">
        <f t="shared" si="1"/>
        <v>40.8</v>
      </c>
      <c r="F1399" s="4" t="str">
        <f t="array" ref="F1399">IF(D1399&gt;=_xlfn.PERCENTILE.INC(D1399:D3057, 0.9), "High", "Low")</f>
        <v>Low</v>
      </c>
      <c r="L1399" s="4" t="str">
        <f t="shared" si="2"/>
        <v/>
      </c>
    </row>
    <row r="1400" ht="14.25" customHeight="1">
      <c r="A1400" s="1" t="s">
        <v>6179</v>
      </c>
      <c r="B1400" s="1">
        <v>6.7</v>
      </c>
      <c r="C1400" s="4" t="str">
        <f>IFERROR(__xludf.DUMMYFUNCTION("""COMPUTED_VALUE"""),"Lisa Cholodenko")</f>
        <v>Lisa Cholodenko</v>
      </c>
      <c r="D1400" s="4">
        <f t="array" ref="D1400">IFERROR(AVERAGEIFS($B$2:$B$3757, $A$2:$A$3757, C1400:C5154), "")</f>
        <v>7.1</v>
      </c>
      <c r="E1400" s="4">
        <f t="shared" si="1"/>
        <v>68.6</v>
      </c>
      <c r="F1400" s="4" t="str">
        <f t="array" ref="F1400">IF(D1400&gt;=_xlfn.PERCENTILE.INC(D1400:D3058, 0.9), "High", "Low")</f>
        <v>Low</v>
      </c>
      <c r="L1400" s="4" t="str">
        <f t="shared" si="2"/>
        <v/>
      </c>
    </row>
    <row r="1401" ht="14.25" customHeight="1">
      <c r="A1401" s="1" t="s">
        <v>7160</v>
      </c>
      <c r="B1401" s="1">
        <v>6.8</v>
      </c>
      <c r="C1401" s="4" t="str">
        <f>IFERROR(__xludf.DUMMYFUNCTION("""COMPUTED_VALUE"""),"Ed Gass-Donnelly")</f>
        <v>Ed Gass-Donnelly</v>
      </c>
      <c r="D1401" s="4">
        <f t="array" ref="D1401">IFERROR(AVERAGEIFS($B$2:$B$3757, $A$2:$A$3757, C1401:C5155), "")</f>
        <v>4</v>
      </c>
      <c r="E1401" s="4">
        <f t="shared" si="1"/>
        <v>2.7</v>
      </c>
      <c r="F1401" s="4" t="str">
        <f t="array" ref="F1401">IF(D1401&gt;=_xlfn.PERCENTILE.INC(D1401:D3059, 0.9), "High", "Low")</f>
        <v>Low</v>
      </c>
      <c r="L1401" s="4" t="str">
        <f t="shared" si="2"/>
        <v/>
      </c>
    </row>
    <row r="1402" ht="14.25" customHeight="1">
      <c r="A1402" s="1" t="s">
        <v>2538</v>
      </c>
      <c r="B1402" s="1">
        <v>6.0</v>
      </c>
      <c r="C1402" s="4" t="str">
        <f>IFERROR(__xludf.DUMMYFUNCTION("""COMPUTED_VALUE"""),"DJ Pooh")</f>
        <v>DJ Pooh</v>
      </c>
      <c r="D1402" s="4">
        <f t="array" ref="D1402">IFERROR(AVERAGEIFS($B$2:$B$3757, $A$2:$A$3757, C1402:C5156), "")</f>
        <v>4.3</v>
      </c>
      <c r="E1402" s="4">
        <f t="shared" si="1"/>
        <v>3.5</v>
      </c>
      <c r="F1402" s="4" t="str">
        <f t="array" ref="F1402">IF(D1402&gt;=_xlfn.PERCENTILE.INC(D1402:D3060, 0.9), "High", "Low")</f>
        <v>Low</v>
      </c>
      <c r="L1402" s="4" t="str">
        <f t="shared" si="2"/>
        <v/>
      </c>
    </row>
    <row r="1403" ht="14.25" customHeight="1">
      <c r="A1403" s="1" t="s">
        <v>7169</v>
      </c>
      <c r="B1403" s="1">
        <v>7.3</v>
      </c>
      <c r="C1403" s="4" t="str">
        <f>IFERROR(__xludf.DUMMYFUNCTION("""COMPUTED_VALUE"""),"Patrick Stettner")</f>
        <v>Patrick Stettner</v>
      </c>
      <c r="D1403" s="4">
        <f t="array" ref="D1403">IFERROR(AVERAGEIFS($B$2:$B$3757, $A$2:$A$3757, C1403:C5157), "")</f>
        <v>5.9</v>
      </c>
      <c r="E1403" s="4">
        <f t="shared" si="1"/>
        <v>21.3</v>
      </c>
      <c r="F1403" s="4" t="str">
        <f t="array" ref="F1403">IF(D1403&gt;=_xlfn.PERCENTILE.INC(D1403:D3061, 0.9), "High", "Low")</f>
        <v>Low</v>
      </c>
      <c r="L1403" s="4" t="str">
        <f t="shared" si="2"/>
        <v/>
      </c>
    </row>
    <row r="1404" ht="14.25" customHeight="1">
      <c r="A1404" s="1" t="s">
        <v>1604</v>
      </c>
      <c r="B1404" s="1">
        <v>5.5</v>
      </c>
      <c r="C1404" s="4" t="str">
        <f>IFERROR(__xludf.DUMMYFUNCTION("""COMPUTED_VALUE"""),"Michael Tiddes")</f>
        <v>Michael Tiddes</v>
      </c>
      <c r="D1404" s="4">
        <f t="array" ref="D1404">IFERROR(AVERAGEIFS($B$2:$B$3757, $A$2:$A$3757, C1404:C5158), "")</f>
        <v>4.9</v>
      </c>
      <c r="E1404" s="4">
        <f t="shared" si="1"/>
        <v>7</v>
      </c>
      <c r="F1404" s="4" t="str">
        <f t="array" ref="F1404">IF(D1404&gt;=_xlfn.PERCENTILE.INC(D1404:D3062, 0.9), "High", "Low")</f>
        <v>Low</v>
      </c>
      <c r="L1404" s="4" t="str">
        <f t="shared" si="2"/>
        <v/>
      </c>
    </row>
    <row r="1405" ht="14.25" customHeight="1">
      <c r="A1405" s="1" t="s">
        <v>4676</v>
      </c>
      <c r="B1405" s="1">
        <v>6.7</v>
      </c>
      <c r="C1405" s="4" t="str">
        <f>IFERROR(__xludf.DUMMYFUNCTION("""COMPUTED_VALUE"""),"Roger Avary")</f>
        <v>Roger Avary</v>
      </c>
      <c r="D1405" s="4">
        <f t="array" ref="D1405">IFERROR(AVERAGEIFS($B$2:$B$3757, $A$2:$A$3757, C1405:C5159), "")</f>
        <v>6.6</v>
      </c>
      <c r="E1405" s="4">
        <f t="shared" si="1"/>
        <v>43.8</v>
      </c>
      <c r="F1405" s="4" t="str">
        <f t="array" ref="F1405">IF(D1405&gt;=_xlfn.PERCENTILE.INC(D1405:D3063, 0.9), "High", "Low")</f>
        <v>Low</v>
      </c>
      <c r="L1405" s="4" t="str">
        <f t="shared" si="2"/>
        <v/>
      </c>
    </row>
    <row r="1406" ht="14.25" customHeight="1">
      <c r="A1406" s="1" t="s">
        <v>7182</v>
      </c>
      <c r="B1406" s="1">
        <v>4.8</v>
      </c>
      <c r="C1406" s="4" t="str">
        <f>IFERROR(__xludf.DUMMYFUNCTION("""COMPUTED_VALUE"""),"Allison Anders")</f>
        <v>Allison Anders</v>
      </c>
      <c r="D1406" s="4">
        <f t="array" ref="D1406">IFERROR(AVERAGEIFS($B$2:$B$3757, $A$2:$A$3757, C1406:C5160), "")</f>
        <v>6.7</v>
      </c>
      <c r="E1406" s="4">
        <f t="shared" si="1"/>
        <v>46.7</v>
      </c>
      <c r="F1406" s="4" t="str">
        <f t="array" ref="F1406">IF(D1406&gt;=_xlfn.PERCENTILE.INC(D1406:D3064, 0.9), "High", "Low")</f>
        <v>Low</v>
      </c>
      <c r="L1406" s="4" t="str">
        <f t="shared" si="2"/>
        <v/>
      </c>
    </row>
    <row r="1407" ht="14.25" customHeight="1">
      <c r="A1407" s="1" t="s">
        <v>492</v>
      </c>
      <c r="B1407" s="1">
        <v>5.7</v>
      </c>
      <c r="C1407" s="4" t="str">
        <f>IFERROR(__xludf.DUMMYFUNCTION("""COMPUTED_VALUE"""),"Rick de Oliveira")</f>
        <v>Rick de Oliveira</v>
      </c>
      <c r="D1407" s="4">
        <f t="array" ref="D1407">IFERROR(AVERAGEIFS($B$2:$B$3757, $A$2:$A$3757, C1407:C5161), "")</f>
        <v>2.7</v>
      </c>
      <c r="E1407" s="4">
        <f t="shared" si="1"/>
        <v>0</v>
      </c>
      <c r="F1407" s="4" t="str">
        <f t="array" ref="F1407">IF(D1407&gt;=_xlfn.PERCENTILE.INC(D1407:D3065, 0.9), "High", "Low")</f>
        <v>Low</v>
      </c>
      <c r="L1407" s="4" t="str">
        <f t="shared" si="2"/>
        <v/>
      </c>
    </row>
    <row r="1408" ht="14.25" customHeight="1">
      <c r="A1408" s="1" t="s">
        <v>4806</v>
      </c>
      <c r="B1408" s="1">
        <v>5.1</v>
      </c>
      <c r="C1408" s="4" t="str">
        <f>IFERROR(__xludf.DUMMYFUNCTION("""COMPUTED_VALUE"""),"Jeff Franklin")</f>
        <v>Jeff Franklin</v>
      </c>
      <c r="D1408" s="4">
        <f t="array" ref="D1408">IFERROR(AVERAGEIFS($B$2:$B$3757, $A$2:$A$3757, C1408:C5162), "")</f>
        <v>5.8</v>
      </c>
      <c r="E1408" s="4">
        <f t="shared" si="1"/>
        <v>19</v>
      </c>
      <c r="F1408" s="4" t="str">
        <f t="array" ref="F1408">IF(D1408&gt;=_xlfn.PERCENTILE.INC(D1408:D3066, 0.9), "High", "Low")</f>
        <v>Low</v>
      </c>
      <c r="L1408" s="4" t="str">
        <f t="shared" si="2"/>
        <v/>
      </c>
    </row>
    <row r="1409" ht="14.25" customHeight="1">
      <c r="A1409" s="1" t="s">
        <v>7198</v>
      </c>
      <c r="B1409" s="1">
        <v>6.0</v>
      </c>
      <c r="C1409" s="4" t="str">
        <f>IFERROR(__xludf.DUMMYFUNCTION("""COMPUTED_VALUE"""),"Mike Mills")</f>
        <v>Mike Mills</v>
      </c>
      <c r="D1409" s="4">
        <f t="array" ref="D1409">IFERROR(AVERAGEIFS($B$2:$B$3757, $A$2:$A$3757, C1409:C5163), "")</f>
        <v>6.9</v>
      </c>
      <c r="E1409" s="4">
        <f t="shared" si="1"/>
        <v>56</v>
      </c>
      <c r="F1409" s="4" t="str">
        <f t="array" ref="F1409">IF(D1409&gt;=_xlfn.PERCENTILE.INC(D1409:D3067, 0.9), "High", "Low")</f>
        <v>Low</v>
      </c>
      <c r="L1409" s="4" t="str">
        <f t="shared" si="2"/>
        <v/>
      </c>
    </row>
    <row r="1410" ht="14.25" customHeight="1">
      <c r="A1410" s="1" t="s">
        <v>4827</v>
      </c>
      <c r="B1410" s="1">
        <v>4.2</v>
      </c>
      <c r="C1410" s="4" t="str">
        <f>IFERROR(__xludf.DUMMYFUNCTION("""COMPUTED_VALUE"""),"Dave McKean")</f>
        <v>Dave McKean</v>
      </c>
      <c r="D1410" s="4">
        <f t="array" ref="D1410">IFERROR(AVERAGEIFS($B$2:$B$3757, $A$2:$A$3757, C1410:C5164), "")</f>
        <v>6.9</v>
      </c>
      <c r="E1410" s="4">
        <f t="shared" si="1"/>
        <v>56.2</v>
      </c>
      <c r="F1410" s="4" t="str">
        <f t="array" ref="F1410">IF(D1410&gt;=_xlfn.PERCENTILE.INC(D1410:D3068, 0.9), "High", "Low")</f>
        <v>Low</v>
      </c>
      <c r="L1410" s="4" t="str">
        <f t="shared" si="2"/>
        <v/>
      </c>
    </row>
    <row r="1411" ht="14.25" customHeight="1">
      <c r="A1411" s="1" t="s">
        <v>420</v>
      </c>
      <c r="B1411" s="1">
        <v>7.4</v>
      </c>
      <c r="C1411" s="4" t="str">
        <f>IFERROR(__xludf.DUMMYFUNCTION("""COMPUTED_VALUE"""),"Ron Fricke")</f>
        <v>Ron Fricke</v>
      </c>
      <c r="D1411" s="4">
        <f t="array" ref="D1411">IFERROR(AVERAGEIFS($B$2:$B$3757, $A$2:$A$3757, C1411:C5165), "")</f>
        <v>8.5</v>
      </c>
      <c r="E1411" s="4">
        <f t="shared" si="1"/>
        <v>98.4</v>
      </c>
      <c r="F1411" s="4" t="str">
        <f t="array" ref="F1411">IF(D1411&gt;=_xlfn.PERCENTILE.INC(D1411:D3069, 0.9), "High", "Low")</f>
        <v>High</v>
      </c>
      <c r="L1411" s="4" t="str">
        <f t="shared" si="2"/>
        <v/>
      </c>
    </row>
    <row r="1412" ht="14.25" customHeight="1">
      <c r="A1412" s="1" t="s">
        <v>7213</v>
      </c>
      <c r="B1412" s="1">
        <v>4.6</v>
      </c>
      <c r="C1412" s="4" t="str">
        <f>IFERROR(__xludf.DUMMYFUNCTION("""COMPUTED_VALUE"""),"Ruggero Deodato")</f>
        <v>Ruggero Deodato</v>
      </c>
      <c r="D1412" s="4">
        <f t="array" ref="D1412">IFERROR(AVERAGEIFS($B$2:$B$3757, $A$2:$A$3757, C1412:C5166), "")</f>
        <v>4.8</v>
      </c>
      <c r="E1412" s="4">
        <f t="shared" si="1"/>
        <v>6</v>
      </c>
      <c r="F1412" s="4" t="str">
        <f t="array" ref="F1412">IF(D1412&gt;=_xlfn.PERCENTILE.INC(D1412:D3070, 0.9), "High", "Low")</f>
        <v>Low</v>
      </c>
      <c r="L1412" s="4" t="str">
        <f t="shared" si="2"/>
        <v/>
      </c>
    </row>
    <row r="1413" ht="14.25" customHeight="1">
      <c r="A1413" s="1" t="s">
        <v>179</v>
      </c>
      <c r="B1413" s="1">
        <v>6.9</v>
      </c>
      <c r="C1413" s="4" t="str">
        <f>IFERROR(__xludf.DUMMYFUNCTION("""COMPUTED_VALUE"""),"Mars Callahan")</f>
        <v>Mars Callahan</v>
      </c>
      <c r="D1413" s="4">
        <f t="array" ref="D1413">IFERROR(AVERAGEIFS($B$2:$B$3757, $A$2:$A$3757, C1413:C5167), "")</f>
        <v>7</v>
      </c>
      <c r="E1413" s="4">
        <f t="shared" si="1"/>
        <v>60.9</v>
      </c>
      <c r="F1413" s="4" t="str">
        <f t="array" ref="F1413">IF(D1413&gt;=_xlfn.PERCENTILE.INC(D1413:D3071, 0.9), "High", "Low")</f>
        <v>Low</v>
      </c>
      <c r="L1413" s="4" t="str">
        <f t="shared" si="2"/>
        <v/>
      </c>
    </row>
    <row r="1414" ht="14.25" customHeight="1">
      <c r="A1414" s="1" t="s">
        <v>1021</v>
      </c>
      <c r="B1414" s="1">
        <v>6.9</v>
      </c>
      <c r="C1414" s="4" t="str">
        <f>IFERROR(__xludf.DUMMYFUNCTION("""COMPUTED_VALUE"""),"Stefan Schwartz")</f>
        <v>Stefan Schwartz</v>
      </c>
      <c r="D1414" s="4">
        <f t="array" ref="D1414">IFERROR(AVERAGEIFS($B$2:$B$3757, $A$2:$A$3757, C1414:C5168), "")</f>
        <v>6.6</v>
      </c>
      <c r="E1414" s="4">
        <f t="shared" si="1"/>
        <v>44.1</v>
      </c>
      <c r="F1414" s="4" t="str">
        <f t="array" ref="F1414">IF(D1414&gt;=_xlfn.PERCENTILE.INC(D1414:D3072, 0.9), "High", "Low")</f>
        <v>Low</v>
      </c>
      <c r="L1414" s="4" t="str">
        <f t="shared" si="2"/>
        <v/>
      </c>
    </row>
    <row r="1415" ht="14.25" customHeight="1">
      <c r="A1415" s="1" t="s">
        <v>3582</v>
      </c>
      <c r="B1415" s="1">
        <v>8.0</v>
      </c>
      <c r="C1415" s="4" t="str">
        <f>IFERROR(__xludf.DUMMYFUNCTION("""COMPUTED_VALUE"""),"Robert Lee King")</f>
        <v>Robert Lee King</v>
      </c>
      <c r="D1415" s="4">
        <f t="array" ref="D1415">IFERROR(AVERAGEIFS($B$2:$B$3757, $A$2:$A$3757, C1415:C5169), "")</f>
        <v>6.3</v>
      </c>
      <c r="E1415" s="4">
        <f t="shared" si="1"/>
        <v>34.1</v>
      </c>
      <c r="F1415" s="4" t="str">
        <f t="array" ref="F1415">IF(D1415&gt;=_xlfn.PERCENTILE.INC(D1415:D3073, 0.9), "High", "Low")</f>
        <v>Low</v>
      </c>
      <c r="L1415" s="4" t="str">
        <f t="shared" si="2"/>
        <v/>
      </c>
    </row>
    <row r="1416" ht="14.25" customHeight="1">
      <c r="A1416" s="1" t="s">
        <v>7229</v>
      </c>
      <c r="B1416" s="1">
        <v>6.4</v>
      </c>
      <c r="C1416" s="4" t="str">
        <f>IFERROR(__xludf.DUMMYFUNCTION("""COMPUTED_VALUE"""),"David Schwimmer")</f>
        <v>David Schwimmer</v>
      </c>
      <c r="D1416" s="4">
        <f t="array" ref="D1416">IFERROR(AVERAGEIFS($B$2:$B$3757, $A$2:$A$3757, C1416:C5170), "")</f>
        <v>7</v>
      </c>
      <c r="E1416" s="4">
        <f t="shared" si="1"/>
        <v>60.8</v>
      </c>
      <c r="F1416" s="4" t="str">
        <f t="array" ref="F1416">IF(D1416&gt;=_xlfn.PERCENTILE.INC(D1416:D3074, 0.9), "High", "Low")</f>
        <v>Low</v>
      </c>
      <c r="L1416" s="4" t="str">
        <f t="shared" si="2"/>
        <v/>
      </c>
    </row>
    <row r="1417" ht="14.25" customHeight="1">
      <c r="A1417" s="1" t="s">
        <v>2161</v>
      </c>
      <c r="B1417" s="1">
        <v>6.3</v>
      </c>
      <c r="C1417" s="4" t="str">
        <f>IFERROR(__xludf.DUMMYFUNCTION("""COMPUTED_VALUE"""),"Fernando LeÃ³n de Aranoa")</f>
        <v>Fernando LeÃ³n de Aranoa</v>
      </c>
      <c r="D1417" s="4">
        <f t="array" ref="D1417">IFERROR(AVERAGEIFS($B$2:$B$3757, $A$2:$A$3757, C1417:C5171), "")</f>
        <v>7.7</v>
      </c>
      <c r="E1417" s="4">
        <f t="shared" si="1"/>
        <v>87.3</v>
      </c>
      <c r="F1417" s="4" t="str">
        <f t="array" ref="F1417">IF(D1417&gt;=_xlfn.PERCENTILE.INC(D1417:D3075, 0.9), "High", "Low")</f>
        <v>High</v>
      </c>
      <c r="L1417" s="4" t="str">
        <f t="shared" si="2"/>
        <v/>
      </c>
    </row>
    <row r="1418" ht="14.25" customHeight="1">
      <c r="A1418" s="1" t="s">
        <v>1027</v>
      </c>
      <c r="B1418" s="1">
        <v>6.8</v>
      </c>
      <c r="C1418" s="4" t="str">
        <f>IFERROR(__xludf.DUMMYFUNCTION("""COMPUTED_VALUE"""),"Jim Mickle")</f>
        <v>Jim Mickle</v>
      </c>
      <c r="D1418" s="4">
        <f t="array" ref="D1418">IFERROR(AVERAGEIFS($B$2:$B$3757, $A$2:$A$3757, C1418:C5172), "")</f>
        <v>6.5</v>
      </c>
      <c r="E1418" s="4">
        <f t="shared" si="1"/>
        <v>40.7</v>
      </c>
      <c r="F1418" s="4" t="str">
        <f t="array" ref="F1418">IF(D1418&gt;=_xlfn.PERCENTILE.INC(D1418:D3076, 0.9), "High", "Low")</f>
        <v>Low</v>
      </c>
      <c r="L1418" s="4" t="str">
        <f t="shared" si="2"/>
        <v/>
      </c>
    </row>
    <row r="1419" ht="14.25" customHeight="1">
      <c r="A1419" s="1" t="s">
        <v>3814</v>
      </c>
      <c r="B1419" s="1">
        <v>6.8</v>
      </c>
      <c r="C1419" s="4" t="str">
        <f>IFERROR(__xludf.DUMMYFUNCTION("""COMPUTED_VALUE"""),"Karim AÃ¯nouz")</f>
        <v>Karim AÃ¯nouz</v>
      </c>
      <c r="D1419" s="4">
        <f t="array" ref="D1419">IFERROR(AVERAGEIFS($B$2:$B$3757, $A$2:$A$3757, C1419:C5173), "")</f>
        <v>6.1</v>
      </c>
      <c r="E1419" s="4">
        <f t="shared" si="1"/>
        <v>28.1</v>
      </c>
      <c r="F1419" s="4" t="str">
        <f t="array" ref="F1419">IF(D1419&gt;=_xlfn.PERCENTILE.INC(D1419:D3077, 0.9), "High", "Low")</f>
        <v>Low</v>
      </c>
      <c r="L1419" s="4" t="str">
        <f t="shared" si="2"/>
        <v/>
      </c>
    </row>
    <row r="1420" ht="14.25" customHeight="1">
      <c r="A1420" s="1" t="s">
        <v>7250</v>
      </c>
      <c r="B1420" s="1">
        <v>5.4</v>
      </c>
      <c r="C1420" s="4" t="str">
        <f>IFERROR(__xludf.DUMMYFUNCTION("""COMPUTED_VALUE"""),"Victor Fleming")</f>
        <v>Victor Fleming</v>
      </c>
      <c r="D1420" s="4">
        <f t="array" ref="D1420">IFERROR(AVERAGEIFS($B$2:$B$3757, $A$2:$A$3757, C1420:C5174), "")</f>
        <v>8.15</v>
      </c>
      <c r="E1420" s="4">
        <f t="shared" si="1"/>
        <v>96.3</v>
      </c>
      <c r="F1420" s="4" t="str">
        <f t="array" ref="F1420">IF(D1420&gt;=_xlfn.PERCENTILE.INC(D1420:D3078, 0.9), "High", "Low")</f>
        <v>High</v>
      </c>
      <c r="L1420" s="4" t="str">
        <f t="shared" si="2"/>
        <v/>
      </c>
    </row>
    <row r="1421" ht="14.25" customHeight="1">
      <c r="A1421" s="1" t="s">
        <v>472</v>
      </c>
      <c r="B1421" s="1">
        <v>7.2</v>
      </c>
      <c r="C1421" s="4" t="str">
        <f>IFERROR(__xludf.DUMMYFUNCTION("""COMPUTED_VALUE"""),"Richard Raymond")</f>
        <v>Richard Raymond</v>
      </c>
      <c r="D1421" s="4">
        <f t="array" ref="D1421">IFERROR(AVERAGEIFS($B$2:$B$3757, $A$2:$A$3757, C1421:C5175), "")</f>
        <v>6</v>
      </c>
      <c r="E1421" s="4">
        <f t="shared" si="1"/>
        <v>25</v>
      </c>
      <c r="F1421" s="4" t="str">
        <f t="array" ref="F1421">IF(D1421&gt;=_xlfn.PERCENTILE.INC(D1421:D3079, 0.9), "High", "Low")</f>
        <v>Low</v>
      </c>
      <c r="L1421" s="4" t="str">
        <f t="shared" si="2"/>
        <v/>
      </c>
    </row>
    <row r="1422" ht="14.25" customHeight="1">
      <c r="A1422" s="1" t="s">
        <v>1159</v>
      </c>
      <c r="B1422" s="1">
        <v>7.3</v>
      </c>
      <c r="C1422" s="4" t="str">
        <f>IFERROR(__xludf.DUMMYFUNCTION("""COMPUTED_VALUE"""),"Sam Peckinpah")</f>
        <v>Sam Peckinpah</v>
      </c>
      <c r="D1422" s="4">
        <f t="array" ref="D1422">IFERROR(AVERAGEIFS($B$2:$B$3757, $A$2:$A$3757, C1422:C5176), "")</f>
        <v>6.8</v>
      </c>
      <c r="E1422" s="4">
        <f t="shared" si="1"/>
        <v>51.9</v>
      </c>
      <c r="F1422" s="4" t="str">
        <f t="array" ref="F1422">IF(D1422&gt;=_xlfn.PERCENTILE.INC(D1422:D3080, 0.9), "High", "Low")</f>
        <v>Low</v>
      </c>
      <c r="L1422" s="4" t="str">
        <f t="shared" si="2"/>
        <v/>
      </c>
    </row>
    <row r="1423" ht="14.25" customHeight="1">
      <c r="A1423" s="1" t="s">
        <v>7263</v>
      </c>
      <c r="B1423" s="1">
        <v>5.2</v>
      </c>
      <c r="C1423" s="4" t="str">
        <f>IFERROR(__xludf.DUMMYFUNCTION("""COMPUTED_VALUE"""),"George Sidney")</f>
        <v>George Sidney</v>
      </c>
      <c r="D1423" s="4">
        <f t="array" ref="D1423">IFERROR(AVERAGEIFS($B$2:$B$3757, $A$2:$A$3757, C1423:C5177), "")</f>
        <v>7</v>
      </c>
      <c r="E1423" s="4">
        <f t="shared" si="1"/>
        <v>60.9</v>
      </c>
      <c r="F1423" s="4" t="str">
        <f t="array" ref="F1423">IF(D1423&gt;=_xlfn.PERCENTILE.INC(D1423:D3081, 0.9), "High", "Low")</f>
        <v>Low</v>
      </c>
      <c r="L1423" s="4" t="str">
        <f t="shared" si="2"/>
        <v/>
      </c>
    </row>
    <row r="1424" ht="14.25" customHeight="1">
      <c r="A1424" s="1" t="s">
        <v>1700</v>
      </c>
      <c r="B1424" s="1">
        <v>5.5</v>
      </c>
      <c r="C1424" s="4" t="str">
        <f>IFERROR(__xludf.DUMMYFUNCTION("""COMPUTED_VALUE"""),"Peter Stebbings")</f>
        <v>Peter Stebbings</v>
      </c>
      <c r="D1424" s="4">
        <f t="array" ref="D1424">IFERROR(AVERAGEIFS($B$2:$B$3757, $A$2:$A$3757, C1424:C5178), "")</f>
        <v>6.8</v>
      </c>
      <c r="E1424" s="4">
        <f t="shared" si="1"/>
        <v>52.3</v>
      </c>
      <c r="F1424" s="4" t="str">
        <f t="array" ref="F1424">IF(D1424&gt;=_xlfn.PERCENTILE.INC(D1424:D3082, 0.9), "High", "Low")</f>
        <v>Low</v>
      </c>
      <c r="L1424" s="4" t="str">
        <f t="shared" si="2"/>
        <v/>
      </c>
    </row>
    <row r="1425" ht="14.25" customHeight="1">
      <c r="A1425" s="1" t="s">
        <v>7274</v>
      </c>
      <c r="B1425" s="1">
        <v>7.7</v>
      </c>
      <c r="C1425" s="4" t="str">
        <f>IFERROR(__xludf.DUMMYFUNCTION("""COMPUTED_VALUE"""),"Vincente Minnelli")</f>
        <v>Vincente Minnelli</v>
      </c>
      <c r="D1425" s="4">
        <f t="array" ref="D1425">IFERROR(AVERAGEIFS($B$2:$B$3757, $A$2:$A$3757, C1425:C5179), "")</f>
        <v>7.1</v>
      </c>
      <c r="E1425" s="4">
        <f t="shared" si="1"/>
        <v>66.9</v>
      </c>
      <c r="F1425" s="4" t="str">
        <f t="array" ref="F1425">IF(D1425&gt;=_xlfn.PERCENTILE.INC(D1425:D3083, 0.9), "High", "Low")</f>
        <v>Low</v>
      </c>
      <c r="L1425" s="4" t="str">
        <f t="shared" si="2"/>
        <v/>
      </c>
    </row>
    <row r="1426" ht="14.25" customHeight="1">
      <c r="A1426" s="1" t="s">
        <v>7282</v>
      </c>
      <c r="B1426" s="1">
        <v>7.1</v>
      </c>
      <c r="C1426" s="4" t="str">
        <f>IFERROR(__xludf.DUMMYFUNCTION("""COMPUTED_VALUE"""),"Dagur KÃ¡ri")</f>
        <v>Dagur KÃ¡ri</v>
      </c>
      <c r="D1426" s="4">
        <f t="array" ref="D1426">IFERROR(AVERAGEIFS($B$2:$B$3757, $A$2:$A$3757, C1426:C5180), "")</f>
        <v>6.9</v>
      </c>
      <c r="E1426" s="4">
        <f t="shared" si="1"/>
        <v>56.6</v>
      </c>
      <c r="F1426" s="4" t="str">
        <f t="array" ref="F1426">IF(D1426&gt;=_xlfn.PERCENTILE.INC(D1426:D3084, 0.9), "High", "Low")</f>
        <v>Low</v>
      </c>
      <c r="L1426" s="4" t="str">
        <f t="shared" si="2"/>
        <v/>
      </c>
    </row>
    <row r="1427" ht="14.25" customHeight="1">
      <c r="A1427" s="1" t="s">
        <v>7289</v>
      </c>
      <c r="B1427" s="1">
        <v>5.3</v>
      </c>
      <c r="C1427" s="4" t="str">
        <f>IFERROR(__xludf.DUMMYFUNCTION("""COMPUTED_VALUE"""),"Jim Abrahams")</f>
        <v>Jim Abrahams</v>
      </c>
      <c r="D1427" s="4">
        <f t="array" ref="D1427">IFERROR(AVERAGEIFS($B$2:$B$3757, $A$2:$A$3757, C1427:C5181), "")</f>
        <v>7.8</v>
      </c>
      <c r="E1427" s="4">
        <f t="shared" si="1"/>
        <v>91</v>
      </c>
      <c r="F1427" s="4" t="str">
        <f t="array" ref="F1427">IF(D1427&gt;=_xlfn.PERCENTILE.INC(D1427:D3085, 0.9), "High", "Low")</f>
        <v>High</v>
      </c>
      <c r="L1427" s="4" t="str">
        <f t="shared" si="2"/>
        <v/>
      </c>
    </row>
    <row r="1428" ht="14.25" customHeight="1">
      <c r="A1428" s="1" t="s">
        <v>7293</v>
      </c>
      <c r="B1428" s="1">
        <v>5.6</v>
      </c>
      <c r="C1428" s="4" t="str">
        <f>IFERROR(__xludf.DUMMYFUNCTION("""COMPUTED_VALUE"""),"Michael Gornick")</f>
        <v>Michael Gornick</v>
      </c>
      <c r="D1428" s="4">
        <f t="array" ref="D1428">IFERROR(AVERAGEIFS($B$2:$B$3757, $A$2:$A$3757, C1428:C5182), "")</f>
        <v>6</v>
      </c>
      <c r="E1428" s="4">
        <f t="shared" si="1"/>
        <v>25.8</v>
      </c>
      <c r="F1428" s="4" t="str">
        <f t="array" ref="F1428">IF(D1428&gt;=_xlfn.PERCENTILE.INC(D1428:D3086, 0.9), "High", "Low")</f>
        <v>Low</v>
      </c>
      <c r="L1428" s="4" t="str">
        <f t="shared" si="2"/>
        <v/>
      </c>
    </row>
    <row r="1429" ht="14.25" customHeight="1">
      <c r="A1429" s="1" t="s">
        <v>4376</v>
      </c>
      <c r="B1429" s="1">
        <v>5.7</v>
      </c>
      <c r="C1429" s="4" t="str">
        <f>IFERROR(__xludf.DUMMYFUNCTION("""COMPUTED_VALUE"""),"Robert Eggers")</f>
        <v>Robert Eggers</v>
      </c>
      <c r="D1429" s="4">
        <f t="array" ref="D1429">IFERROR(AVERAGEIFS($B$2:$B$3757, $A$2:$A$3757, C1429:C5183), "")</f>
        <v>6.8</v>
      </c>
      <c r="E1429" s="4">
        <f t="shared" si="1"/>
        <v>53</v>
      </c>
      <c r="F1429" s="4" t="str">
        <f t="array" ref="F1429">IF(D1429&gt;=_xlfn.PERCENTILE.INC(D1429:D3087, 0.9), "High", "Low")</f>
        <v>Low</v>
      </c>
      <c r="L1429" s="4" t="str">
        <f t="shared" si="2"/>
        <v/>
      </c>
    </row>
    <row r="1430" ht="14.25" customHeight="1">
      <c r="A1430" s="1" t="s">
        <v>6269</v>
      </c>
      <c r="B1430" s="1">
        <v>7.1</v>
      </c>
      <c r="C1430" s="4" t="str">
        <f>IFERROR(__xludf.DUMMYFUNCTION("""COMPUTED_VALUE"""),"Michael Martin")</f>
        <v>Michael Martin</v>
      </c>
      <c r="D1430" s="4">
        <f t="array" ref="D1430">IFERROR(AVERAGEIFS($B$2:$B$3757, $A$2:$A$3757, C1430:C5184), "")</f>
        <v>3.9</v>
      </c>
      <c r="E1430" s="4">
        <f t="shared" si="1"/>
        <v>1.7</v>
      </c>
      <c r="F1430" s="4" t="str">
        <f t="array" ref="F1430">IF(D1430&gt;=_xlfn.PERCENTILE.INC(D1430:D3088, 0.9), "High", "Low")</f>
        <v>Low</v>
      </c>
      <c r="L1430" s="4" t="str">
        <f t="shared" si="2"/>
        <v/>
      </c>
    </row>
    <row r="1431" ht="14.25" customHeight="1">
      <c r="A1431" s="1" t="s">
        <v>3691</v>
      </c>
      <c r="B1431" s="1">
        <v>7.6</v>
      </c>
      <c r="C1431" s="4" t="str">
        <f>IFERROR(__xludf.DUMMYFUNCTION("""COMPUTED_VALUE"""),"Edward Burns")</f>
        <v>Edward Burns</v>
      </c>
      <c r="D1431" s="4">
        <f t="array" ref="D1431">IFERROR(AVERAGEIFS($B$2:$B$3757, $A$2:$A$3757, C1431:C5185), "")</f>
        <v>6.35</v>
      </c>
      <c r="E1431" s="4">
        <f t="shared" si="1"/>
        <v>38.3</v>
      </c>
      <c r="F1431" s="4" t="str">
        <f t="array" ref="F1431">IF(D1431&gt;=_xlfn.PERCENTILE.INC(D1431:D3089, 0.9), "High", "Low")</f>
        <v>Low</v>
      </c>
      <c r="L1431" s="4" t="str">
        <f t="shared" si="2"/>
        <v/>
      </c>
    </row>
    <row r="1432" ht="14.25" customHeight="1">
      <c r="A1432" s="1" t="s">
        <v>3272</v>
      </c>
      <c r="B1432" s="1">
        <v>5.5</v>
      </c>
      <c r="C1432" s="4" t="str">
        <f>IFERROR(__xludf.DUMMYFUNCTION("""COMPUTED_VALUE"""),"Juan JosÃ© Campanella")</f>
        <v>Juan JosÃ© Campanella</v>
      </c>
      <c r="D1432" s="4">
        <f t="array" ref="D1432">IFERROR(AVERAGEIFS($B$2:$B$3757, $A$2:$A$3757, C1432:C5186), "")</f>
        <v>8.2</v>
      </c>
      <c r="E1432" s="4">
        <f t="shared" si="1"/>
        <v>96.5</v>
      </c>
      <c r="F1432" s="4" t="str">
        <f t="array" ref="F1432">IF(D1432&gt;=_xlfn.PERCENTILE.INC(D1432:D3090, 0.9), "High", "Low")</f>
        <v>High</v>
      </c>
      <c r="L1432" s="4" t="str">
        <f t="shared" si="2"/>
        <v/>
      </c>
    </row>
    <row r="1433" ht="14.25" customHeight="1">
      <c r="A1433" s="1" t="s">
        <v>1497</v>
      </c>
      <c r="B1433" s="1">
        <v>5.1</v>
      </c>
      <c r="C1433" s="4" t="str">
        <f>IFERROR(__xludf.DUMMYFUNCTION("""COMPUTED_VALUE"""),"Louis C.K.")</f>
        <v>Louis C.K.</v>
      </c>
      <c r="D1433" s="4">
        <f t="array" ref="D1433">IFERROR(AVERAGEIFS($B$2:$B$3757, $A$2:$A$3757, C1433:C5187), "")</f>
        <v>5.2</v>
      </c>
      <c r="E1433" s="4">
        <f t="shared" si="1"/>
        <v>8.3</v>
      </c>
      <c r="F1433" s="4" t="str">
        <f t="array" ref="F1433">IF(D1433&gt;=_xlfn.PERCENTILE.INC(D1433:D3091, 0.9), "High", "Low")</f>
        <v>Low</v>
      </c>
      <c r="L1433" s="4" t="str">
        <f t="shared" si="2"/>
        <v/>
      </c>
    </row>
    <row r="1434" ht="14.25" customHeight="1">
      <c r="A1434" s="1" t="s">
        <v>7318</v>
      </c>
      <c r="B1434" s="1">
        <v>4.9</v>
      </c>
      <c r="C1434" s="4" t="str">
        <f>IFERROR(__xludf.DUMMYFUNCTION("""COMPUTED_VALUE"""),"Salvador Carrasco")</f>
        <v>Salvador Carrasco</v>
      </c>
      <c r="D1434" s="4">
        <f t="array" ref="D1434">IFERROR(AVERAGEIFS($B$2:$B$3757, $A$2:$A$3757, C1434:C5188), "")</f>
        <v>6.8</v>
      </c>
      <c r="E1434" s="4">
        <f t="shared" si="1"/>
        <v>52.9</v>
      </c>
      <c r="F1434" s="4" t="str">
        <f t="array" ref="F1434">IF(D1434&gt;=_xlfn.PERCENTILE.INC(D1434:D3092, 0.9), "High", "Low")</f>
        <v>Low</v>
      </c>
      <c r="L1434" s="4" t="str">
        <f t="shared" si="2"/>
        <v/>
      </c>
    </row>
    <row r="1435" ht="14.25" customHeight="1">
      <c r="A1435" s="1" t="s">
        <v>7324</v>
      </c>
      <c r="B1435" s="1">
        <v>6.5</v>
      </c>
      <c r="C1435" s="4" t="str">
        <f>IFERROR(__xludf.DUMMYFUNCTION("""COMPUTED_VALUE"""),"AndrÃ© Ã˜vredal")</f>
        <v>AndrÃ© Ã˜vredal</v>
      </c>
      <c r="D1435" s="4">
        <f t="array" ref="D1435">IFERROR(AVERAGEIFS($B$2:$B$3757, $A$2:$A$3757, C1435:C5189), "")</f>
        <v>7</v>
      </c>
      <c r="E1435" s="4">
        <f t="shared" si="1"/>
        <v>60.6</v>
      </c>
      <c r="F1435" s="4" t="str">
        <f t="array" ref="F1435">IF(D1435&gt;=_xlfn.PERCENTILE.INC(D1435:D3093, 0.9), "High", "Low")</f>
        <v>Low</v>
      </c>
      <c r="L1435" s="4" t="str">
        <f t="shared" si="2"/>
        <v/>
      </c>
    </row>
    <row r="1436" ht="14.25" customHeight="1">
      <c r="A1436" s="1" t="s">
        <v>5498</v>
      </c>
      <c r="B1436" s="1">
        <v>5.6</v>
      </c>
      <c r="C1436" s="4" t="str">
        <f>IFERROR(__xludf.DUMMYFUNCTION("""COMPUTED_VALUE"""),"Robert Cary")</f>
        <v>Robert Cary</v>
      </c>
      <c r="D1436" s="4">
        <f t="array" ref="D1436">IFERROR(AVERAGEIFS($B$2:$B$3757, $A$2:$A$3757, C1436:C5190), "")</f>
        <v>6.5</v>
      </c>
      <c r="E1436" s="4">
        <f t="shared" si="1"/>
        <v>41.3</v>
      </c>
      <c r="F1436" s="4" t="str">
        <f t="array" ref="F1436">IF(D1436&gt;=_xlfn.PERCENTILE.INC(D1436:D3094, 0.9), "High", "Low")</f>
        <v>Low</v>
      </c>
      <c r="L1436" s="4" t="str">
        <f t="shared" si="2"/>
        <v/>
      </c>
    </row>
    <row r="1437" ht="14.25" customHeight="1">
      <c r="A1437" s="1" t="s">
        <v>7336</v>
      </c>
      <c r="B1437" s="1">
        <v>5.3</v>
      </c>
      <c r="C1437" s="4" t="str">
        <f>IFERROR(__xludf.DUMMYFUNCTION("""COMPUTED_VALUE"""),"Adam Rapp")</f>
        <v>Adam Rapp</v>
      </c>
      <c r="D1437" s="4">
        <f t="array" ref="D1437">IFERROR(AVERAGEIFS($B$2:$B$3757, $A$2:$A$3757, C1437:C5191), "")</f>
        <v>6.4</v>
      </c>
      <c r="E1437" s="4">
        <f t="shared" si="1"/>
        <v>38.8</v>
      </c>
      <c r="F1437" s="4" t="str">
        <f t="array" ref="F1437">IF(D1437&gt;=_xlfn.PERCENTILE.INC(D1437:D3095, 0.9), "High", "Low")</f>
        <v>Low</v>
      </c>
      <c r="L1437" s="4" t="str">
        <f t="shared" si="2"/>
        <v/>
      </c>
    </row>
    <row r="1438" ht="14.25" customHeight="1">
      <c r="A1438" s="1" t="s">
        <v>7342</v>
      </c>
      <c r="B1438" s="1">
        <v>6.5</v>
      </c>
      <c r="C1438" s="4" t="str">
        <f>IFERROR(__xludf.DUMMYFUNCTION("""COMPUTED_VALUE"""),"Luc Jacquet")</f>
        <v>Luc Jacquet</v>
      </c>
      <c r="D1438" s="4">
        <f t="array" ref="D1438">IFERROR(AVERAGEIFS($B$2:$B$3757, $A$2:$A$3757, C1438:C5192), "")</f>
        <v>7.6</v>
      </c>
      <c r="E1438" s="4">
        <f t="shared" si="1"/>
        <v>83.9</v>
      </c>
      <c r="F1438" s="4" t="str">
        <f t="array" ref="F1438">IF(D1438&gt;=_xlfn.PERCENTILE.INC(D1438:D3096, 0.9), "High", "Low")</f>
        <v>Low</v>
      </c>
      <c r="L1438" s="4" t="str">
        <f t="shared" si="2"/>
        <v/>
      </c>
    </row>
    <row r="1439" ht="14.25" customHeight="1">
      <c r="A1439" s="1" t="s">
        <v>7348</v>
      </c>
      <c r="B1439" s="1">
        <v>6.8</v>
      </c>
      <c r="C1439" s="4" t="str">
        <f>IFERROR(__xludf.DUMMYFUNCTION("""COMPUTED_VALUE"""),"Clark Gregg")</f>
        <v>Clark Gregg</v>
      </c>
      <c r="D1439" s="4">
        <f t="array" ref="D1439">IFERROR(AVERAGEIFS($B$2:$B$3757, $A$2:$A$3757, C1439:C5193), "")</f>
        <v>6.5</v>
      </c>
      <c r="E1439" s="4">
        <f t="shared" si="1"/>
        <v>41.4</v>
      </c>
      <c r="F1439" s="4" t="str">
        <f t="array" ref="F1439">IF(D1439&gt;=_xlfn.PERCENTILE.INC(D1439:D3097, 0.9), "High", "Low")</f>
        <v>Low</v>
      </c>
      <c r="L1439" s="4" t="str">
        <f t="shared" si="2"/>
        <v/>
      </c>
    </row>
    <row r="1440" ht="14.25" customHeight="1">
      <c r="A1440" s="1" t="s">
        <v>7352</v>
      </c>
      <c r="B1440" s="1">
        <v>6.5</v>
      </c>
      <c r="C1440" s="4" t="str">
        <f>IFERROR(__xludf.DUMMYFUNCTION("""COMPUTED_VALUE"""),"Damien Chazelle")</f>
        <v>Damien Chazelle</v>
      </c>
      <c r="D1440" s="4">
        <f t="array" ref="D1440">IFERROR(AVERAGEIFS($B$2:$B$3757, $A$2:$A$3757, C1440:C5194), "")</f>
        <v>8.5</v>
      </c>
      <c r="E1440" s="4">
        <f t="shared" si="1"/>
        <v>98.6</v>
      </c>
      <c r="F1440" s="4" t="str">
        <f t="array" ref="F1440">IF(D1440&gt;=_xlfn.PERCENTILE.INC(D1440:D3098, 0.9), "High", "Low")</f>
        <v>High</v>
      </c>
      <c r="L1440" s="4" t="str">
        <f t="shared" si="2"/>
        <v/>
      </c>
    </row>
    <row r="1441" ht="14.25" customHeight="1">
      <c r="A1441" s="1" t="s">
        <v>363</v>
      </c>
      <c r="B1441" s="1">
        <v>6.0</v>
      </c>
      <c r="C1441" s="4" t="str">
        <f>IFERROR(__xludf.DUMMYFUNCTION("""COMPUTED_VALUE"""),"Justin Kerrigan")</f>
        <v>Justin Kerrigan</v>
      </c>
      <c r="D1441" s="4">
        <f t="array" ref="D1441">IFERROR(AVERAGEIFS($B$2:$B$3757, $A$2:$A$3757, C1441:C5195), "")</f>
        <v>7.1</v>
      </c>
      <c r="E1441" s="4">
        <f t="shared" si="1"/>
        <v>66.8</v>
      </c>
      <c r="F1441" s="4" t="str">
        <f t="array" ref="F1441">IF(D1441&gt;=_xlfn.PERCENTILE.INC(D1441:D3099, 0.9), "High", "Low")</f>
        <v>Low</v>
      </c>
      <c r="L1441" s="4" t="str">
        <f t="shared" si="2"/>
        <v/>
      </c>
    </row>
    <row r="1442" ht="14.25" customHeight="1">
      <c r="A1442" s="1" t="s">
        <v>7360</v>
      </c>
      <c r="B1442" s="1">
        <v>8.4</v>
      </c>
      <c r="C1442" s="4" t="str">
        <f>IFERROR(__xludf.DUMMYFUNCTION("""COMPUTED_VALUE"""),"Alejandro Monteverde")</f>
        <v>Alejandro Monteverde</v>
      </c>
      <c r="D1442" s="4">
        <f t="array" ref="D1442">IFERROR(AVERAGEIFS($B$2:$B$3757, $A$2:$A$3757, C1442:C5196), "")</f>
        <v>7.4</v>
      </c>
      <c r="E1442" s="4">
        <f t="shared" si="1"/>
        <v>78.5</v>
      </c>
      <c r="F1442" s="4" t="str">
        <f t="array" ref="F1442">IF(D1442&gt;=_xlfn.PERCENTILE.INC(D1442:D3100, 0.9), "High", "Low")</f>
        <v>Low</v>
      </c>
      <c r="L1442" s="4" t="str">
        <f t="shared" si="2"/>
        <v/>
      </c>
    </row>
    <row r="1443" ht="14.25" customHeight="1">
      <c r="A1443" s="1" t="s">
        <v>7365</v>
      </c>
      <c r="B1443" s="1">
        <v>6.0</v>
      </c>
      <c r="C1443" s="4" t="str">
        <f>IFERROR(__xludf.DUMMYFUNCTION("""COMPUTED_VALUE"""),"Joshua Marston")</f>
        <v>Joshua Marston</v>
      </c>
      <c r="D1443" s="4">
        <f t="array" ref="D1443">IFERROR(AVERAGEIFS($B$2:$B$3757, $A$2:$A$3757, C1443:C5197), "")</f>
        <v>7.5</v>
      </c>
      <c r="E1443" s="4">
        <f t="shared" si="1"/>
        <v>82.1</v>
      </c>
      <c r="F1443" s="4" t="str">
        <f t="array" ref="F1443">IF(D1443&gt;=_xlfn.PERCENTILE.INC(D1443:D3101, 0.9), "High", "Low")</f>
        <v>Low</v>
      </c>
      <c r="L1443" s="4" t="str">
        <f t="shared" si="2"/>
        <v/>
      </c>
    </row>
    <row r="1444" ht="14.25" customHeight="1">
      <c r="A1444" s="1" t="s">
        <v>6221</v>
      </c>
      <c r="B1444" s="1">
        <v>7.6</v>
      </c>
      <c r="C1444" s="4" t="str">
        <f>IFERROR(__xludf.DUMMYFUNCTION("""COMPUTED_VALUE"""),"Tod Williams")</f>
        <v>Tod Williams</v>
      </c>
      <c r="D1444" s="4">
        <f t="array" ref="D1444">IFERROR(AVERAGEIFS($B$2:$B$3757, $A$2:$A$3757, C1444:C5198), "")</f>
        <v>5.7</v>
      </c>
      <c r="E1444" s="4">
        <f t="shared" si="1"/>
        <v>18</v>
      </c>
      <c r="F1444" s="4" t="str">
        <f t="array" ref="F1444">IF(D1444&gt;=_xlfn.PERCENTILE.INC(D1444:D3102, 0.9), "High", "Low")</f>
        <v>Low</v>
      </c>
      <c r="L1444" s="4" t="str">
        <f t="shared" si="2"/>
        <v/>
      </c>
    </row>
    <row r="1445" ht="14.25" customHeight="1">
      <c r="A1445" s="1" t="s">
        <v>243</v>
      </c>
      <c r="B1445" s="1">
        <v>6.9</v>
      </c>
      <c r="C1445" s="4" t="str">
        <f>IFERROR(__xludf.DUMMYFUNCTION("""COMPUTED_VALUE"""),"Jack Sholder")</f>
        <v>Jack Sholder</v>
      </c>
      <c r="D1445" s="4">
        <f t="array" ref="D1445">IFERROR(AVERAGEIFS($B$2:$B$3757, $A$2:$A$3757, C1445:C5199), "")</f>
        <v>5.4</v>
      </c>
      <c r="E1445" s="4">
        <f t="shared" si="1"/>
        <v>12.5</v>
      </c>
      <c r="F1445" s="4" t="str">
        <f t="array" ref="F1445">IF(D1445&gt;=_xlfn.PERCENTILE.INC(D1445:D3103, 0.9), "High", "Low")</f>
        <v>Low</v>
      </c>
      <c r="L1445" s="4" t="str">
        <f t="shared" si="2"/>
        <v/>
      </c>
    </row>
    <row r="1446" ht="14.25" customHeight="1">
      <c r="A1446" s="1" t="s">
        <v>666</v>
      </c>
      <c r="B1446" s="1">
        <v>6.4</v>
      </c>
      <c r="C1446" s="4" t="str">
        <f>IFERROR(__xludf.DUMMYFUNCTION("""COMPUTED_VALUE"""),"Tom McLoughlin")</f>
        <v>Tom McLoughlin</v>
      </c>
      <c r="D1446" s="4">
        <f t="array" ref="D1446">IFERROR(AVERAGEIFS($B$2:$B$3757, $A$2:$A$3757, C1446:C5200), "")</f>
        <v>5.9</v>
      </c>
      <c r="E1446" s="4">
        <f t="shared" si="1"/>
        <v>21.9</v>
      </c>
      <c r="F1446" s="4" t="str">
        <f t="array" ref="F1446">IF(D1446&gt;=_xlfn.PERCENTILE.INC(D1446:D3104, 0.9), "High", "Low")</f>
        <v>Low</v>
      </c>
      <c r="L1446" s="4" t="str">
        <f t="shared" si="2"/>
        <v/>
      </c>
    </row>
    <row r="1447" ht="14.25" customHeight="1">
      <c r="A1447" s="1" t="s">
        <v>3900</v>
      </c>
      <c r="B1447" s="1">
        <v>5.1</v>
      </c>
      <c r="C1447" s="4" t="str">
        <f>IFERROR(__xludf.DUMMYFUNCTION("""COMPUTED_VALUE"""),"Adam Marcus")</f>
        <v>Adam Marcus</v>
      </c>
      <c r="D1447" s="4">
        <f t="array" ref="D1447">IFERROR(AVERAGEIFS($B$2:$B$3757, $A$2:$A$3757, C1447:C5201), "")</f>
        <v>4.3</v>
      </c>
      <c r="E1447" s="4">
        <f t="shared" si="1"/>
        <v>3.3</v>
      </c>
      <c r="F1447" s="4" t="str">
        <f t="array" ref="F1447">IF(D1447&gt;=_xlfn.PERCENTILE.INC(D1447:D3105, 0.9), "High", "Low")</f>
        <v>Low</v>
      </c>
      <c r="L1447" s="4" t="str">
        <f t="shared" si="2"/>
        <v/>
      </c>
    </row>
    <row r="1448" ht="14.25" customHeight="1">
      <c r="A1448" s="1" t="s">
        <v>1021</v>
      </c>
      <c r="B1448" s="1">
        <v>7.0</v>
      </c>
      <c r="C1448" s="4" t="str">
        <f>IFERROR(__xludf.DUMMYFUNCTION("""COMPUTED_VALUE"""),"Benny Boom")</f>
        <v>Benny Boom</v>
      </c>
      <c r="D1448" s="4">
        <f t="array" ref="D1448">IFERROR(AVERAGEIFS($B$2:$B$3757, $A$2:$A$3757, C1448:C5202), "")</f>
        <v>5.9</v>
      </c>
      <c r="E1448" s="4">
        <f t="shared" si="1"/>
        <v>21.6</v>
      </c>
      <c r="F1448" s="4" t="str">
        <f t="array" ref="F1448">IF(D1448&gt;=_xlfn.PERCENTILE.INC(D1448:D3106, 0.9), "High", "Low")</f>
        <v>Low</v>
      </c>
      <c r="L1448" s="4" t="str">
        <f t="shared" si="2"/>
        <v/>
      </c>
    </row>
    <row r="1449" ht="14.25" customHeight="1">
      <c r="A1449" s="1" t="s">
        <v>7391</v>
      </c>
      <c r="B1449" s="1">
        <v>5.7</v>
      </c>
      <c r="C1449" s="4" t="str">
        <f>IFERROR(__xludf.DUMMYFUNCTION("""COMPUTED_VALUE"""),"Nnegest LikkÃ©")</f>
        <v>Nnegest LikkÃ©</v>
      </c>
      <c r="D1449" s="4">
        <f t="array" ref="D1449">IFERROR(AVERAGEIFS($B$2:$B$3757, $A$2:$A$3757, C1449:C5203), "")</f>
        <v>3</v>
      </c>
      <c r="E1449" s="4">
        <f t="shared" si="1"/>
        <v>0</v>
      </c>
      <c r="F1449" s="4" t="str">
        <f t="array" ref="F1449">IF(D1449&gt;=_xlfn.PERCENTILE.INC(D1449:D3107, 0.9), "High", "Low")</f>
        <v>Low</v>
      </c>
      <c r="L1449" s="4" t="str">
        <f t="shared" si="2"/>
        <v/>
      </c>
    </row>
    <row r="1450" ht="14.25" customHeight="1">
      <c r="A1450" s="1" t="s">
        <v>932</v>
      </c>
      <c r="B1450" s="1">
        <v>6.8</v>
      </c>
      <c r="C1450" s="4" t="str">
        <f>IFERROR(__xludf.DUMMYFUNCTION("""COMPUTED_VALUE"""),"Christopher Leitch")</f>
        <v>Christopher Leitch</v>
      </c>
      <c r="D1450" s="4">
        <f t="array" ref="D1450">IFERROR(AVERAGEIFS($B$2:$B$3757, $A$2:$A$3757, C1450:C5204), "")</f>
        <v>3.2</v>
      </c>
      <c r="E1450" s="4">
        <f t="shared" si="1"/>
        <v>0</v>
      </c>
      <c r="F1450" s="4" t="str">
        <f t="array" ref="F1450">IF(D1450&gt;=_xlfn.PERCENTILE.INC(D1450:D3108, 0.9), "High", "Low")</f>
        <v>Low</v>
      </c>
      <c r="L1450" s="4" t="str">
        <f t="shared" si="2"/>
        <v/>
      </c>
    </row>
    <row r="1451" ht="14.25" customHeight="1">
      <c r="A1451" s="1" t="s">
        <v>5801</v>
      </c>
      <c r="B1451" s="1">
        <v>6.7</v>
      </c>
      <c r="C1451" s="4" t="str">
        <f>IFERROR(__xludf.DUMMYFUNCTION("""COMPUTED_VALUE"""),"Don Coscarelli")</f>
        <v>Don Coscarelli</v>
      </c>
      <c r="D1451" s="4">
        <f t="array" ref="D1451">IFERROR(AVERAGEIFS($B$2:$B$3757, $A$2:$A$3757, C1451:C5205), "")</f>
        <v>6.5</v>
      </c>
      <c r="E1451" s="4">
        <f t="shared" si="1"/>
        <v>40.5</v>
      </c>
      <c r="F1451" s="4" t="str">
        <f t="array" ref="F1451">IF(D1451&gt;=_xlfn.PERCENTILE.INC(D1451:D3109, 0.9), "High", "Low")</f>
        <v>Low</v>
      </c>
      <c r="L1451" s="4" t="str">
        <f t="shared" si="2"/>
        <v/>
      </c>
    </row>
    <row r="1452" ht="14.25" customHeight="1">
      <c r="A1452" s="1" t="s">
        <v>7405</v>
      </c>
      <c r="B1452" s="1">
        <v>6.2</v>
      </c>
      <c r="C1452" s="4" t="str">
        <f>IFERROR(__xludf.DUMMYFUNCTION("""COMPUTED_VALUE"""),"Patricia Cardoso")</f>
        <v>Patricia Cardoso</v>
      </c>
      <c r="D1452" s="4">
        <f t="array" ref="D1452">IFERROR(AVERAGEIFS($B$2:$B$3757, $A$2:$A$3757, C1452:C5206), "")</f>
        <v>7</v>
      </c>
      <c r="E1452" s="4">
        <f t="shared" si="1"/>
        <v>60.3</v>
      </c>
      <c r="F1452" s="4" t="str">
        <f t="array" ref="F1452">IF(D1452&gt;=_xlfn.PERCENTILE.INC(D1452:D3110, 0.9), "High", "Low")</f>
        <v>Low</v>
      </c>
      <c r="L1452" s="4" t="str">
        <f t="shared" si="2"/>
        <v/>
      </c>
    </row>
    <row r="1453" ht="14.25" customHeight="1">
      <c r="A1453" s="1" t="s">
        <v>7282</v>
      </c>
      <c r="B1453" s="1">
        <v>7.2</v>
      </c>
      <c r="C1453" s="4" t="str">
        <f>IFERROR(__xludf.DUMMYFUNCTION("""COMPUTED_VALUE"""),"Damien O'Donnell")</f>
        <v>Damien O'Donnell</v>
      </c>
      <c r="D1453" s="4">
        <f t="array" ref="D1453">IFERROR(AVERAGEIFS($B$2:$B$3757, $A$2:$A$3757, C1453:C5207), "")</f>
        <v>6.9</v>
      </c>
      <c r="E1453" s="4">
        <f t="shared" si="1"/>
        <v>55.8</v>
      </c>
      <c r="F1453" s="4" t="str">
        <f t="array" ref="F1453">IF(D1453&gt;=_xlfn.PERCENTILE.INC(D1453:D3111, 0.9), "High", "Low")</f>
        <v>Low</v>
      </c>
      <c r="L1453" s="4" t="str">
        <f t="shared" si="2"/>
        <v/>
      </c>
    </row>
    <row r="1454" ht="14.25" customHeight="1">
      <c r="A1454" s="1" t="s">
        <v>7412</v>
      </c>
      <c r="B1454" s="1">
        <v>6.2</v>
      </c>
      <c r="C1454" s="4" t="str">
        <f>IFERROR(__xludf.DUMMYFUNCTION("""COMPUTED_VALUE"""),"Peter M. Cohen")</f>
        <v>Peter M. Cohen</v>
      </c>
      <c r="D1454" s="4">
        <f t="array" ref="D1454">IFERROR(AVERAGEIFS($B$2:$B$3757, $A$2:$A$3757, C1454:C5208), "")</f>
        <v>4.4</v>
      </c>
      <c r="E1454" s="4">
        <f t="shared" si="1"/>
        <v>2.4</v>
      </c>
      <c r="F1454" s="4" t="str">
        <f t="array" ref="F1454">IF(D1454&gt;=_xlfn.PERCENTILE.INC(D1454:D3112, 0.9), "High", "Low")</f>
        <v>Low</v>
      </c>
      <c r="L1454" s="4" t="str">
        <f t="shared" si="2"/>
        <v/>
      </c>
    </row>
    <row r="1455" ht="14.25" customHeight="1">
      <c r="A1455" s="1" t="s">
        <v>7416</v>
      </c>
      <c r="B1455" s="1">
        <v>5.6</v>
      </c>
      <c r="C1455" s="4" t="str">
        <f>IFERROR(__xludf.DUMMYFUNCTION("""COMPUTED_VALUE"""),"Anthony Hickox")</f>
        <v>Anthony Hickox</v>
      </c>
      <c r="D1455" s="4">
        <f t="array" ref="D1455">IFERROR(AVERAGEIFS($B$2:$B$3757, $A$2:$A$3757, C1455:C5209), "")</f>
        <v>5.3</v>
      </c>
      <c r="E1455" s="4">
        <f t="shared" si="1"/>
        <v>7.8</v>
      </c>
      <c r="F1455" s="4" t="str">
        <f t="array" ref="F1455">IF(D1455&gt;=_xlfn.PERCENTILE.INC(D1455:D3113, 0.9), "High", "Low")</f>
        <v>Low</v>
      </c>
      <c r="L1455" s="4" t="str">
        <f t="shared" si="2"/>
        <v/>
      </c>
    </row>
    <row r="1456" ht="14.25" customHeight="1">
      <c r="A1456" s="1" t="s">
        <v>5997</v>
      </c>
      <c r="B1456" s="1">
        <v>4.4</v>
      </c>
      <c r="C1456" s="4" t="str">
        <f>IFERROR(__xludf.DUMMYFUNCTION("""COMPUTED_VALUE"""),"Tom Schulman")</f>
        <v>Tom Schulman</v>
      </c>
      <c r="D1456" s="4">
        <f t="array" ref="D1456">IFERROR(AVERAGEIFS($B$2:$B$3757, $A$2:$A$3757, C1456:C5210), "")</f>
        <v>5.3</v>
      </c>
      <c r="E1456" s="4">
        <f t="shared" si="1"/>
        <v>7.8</v>
      </c>
      <c r="F1456" s="4" t="str">
        <f t="array" ref="F1456">IF(D1456&gt;=_xlfn.PERCENTILE.INC(D1456:D3114, 0.9), "High", "Low")</f>
        <v>Low</v>
      </c>
      <c r="L1456" s="4" t="str">
        <f t="shared" si="2"/>
        <v/>
      </c>
    </row>
    <row r="1457" ht="14.25" customHeight="1">
      <c r="A1457" s="1" t="s">
        <v>691</v>
      </c>
      <c r="B1457" s="1">
        <v>7.5</v>
      </c>
      <c r="C1457" s="4" t="str">
        <f>IFERROR(__xludf.DUMMYFUNCTION("""COMPUTED_VALUE"""),"Jill Sprecher")</f>
        <v>Jill Sprecher</v>
      </c>
      <c r="D1457" s="4">
        <f t="array" ref="D1457">IFERROR(AVERAGEIFS($B$2:$B$3757, $A$2:$A$3757, C1457:C5211), "")</f>
        <v>7.1</v>
      </c>
      <c r="E1457" s="4">
        <f t="shared" si="1"/>
        <v>65.7</v>
      </c>
      <c r="F1457" s="4" t="str">
        <f t="array" ref="F1457">IF(D1457&gt;=_xlfn.PERCENTILE.INC(D1457:D3115, 0.9), "High", "Low")</f>
        <v>Low</v>
      </c>
      <c r="L1457" s="4" t="str">
        <f t="shared" si="2"/>
        <v/>
      </c>
    </row>
    <row r="1458" ht="14.25" customHeight="1">
      <c r="A1458" s="1" t="s">
        <v>4812</v>
      </c>
      <c r="B1458" s="1">
        <v>7.1</v>
      </c>
      <c r="C1458" s="4" t="str">
        <f>IFERROR(__xludf.DUMMYFUNCTION("""COMPUTED_VALUE"""),"Darren Stein")</f>
        <v>Darren Stein</v>
      </c>
      <c r="D1458" s="4">
        <f t="array" ref="D1458">IFERROR(AVERAGEIFS($B$2:$B$3757, $A$2:$A$3757, C1458:C5212), "")</f>
        <v>5.4</v>
      </c>
      <c r="E1458" s="4">
        <f t="shared" si="1"/>
        <v>10.3</v>
      </c>
      <c r="F1458" s="4" t="str">
        <f t="array" ref="F1458">IF(D1458&gt;=_xlfn.PERCENTILE.INC(D1458:D3116, 0.9), "High", "Low")</f>
        <v>Low</v>
      </c>
      <c r="L1458" s="4" t="str">
        <f t="shared" si="2"/>
        <v/>
      </c>
    </row>
    <row r="1459" ht="14.25" customHeight="1">
      <c r="A1459" s="1" t="s">
        <v>1268</v>
      </c>
      <c r="B1459" s="1">
        <v>6.4</v>
      </c>
      <c r="C1459" s="4" t="str">
        <f>IFERROR(__xludf.DUMMYFUNCTION("""COMPUTED_VALUE"""),"Julian Schnabel")</f>
        <v>Julian Schnabel</v>
      </c>
      <c r="D1459" s="4">
        <f t="array" ref="D1459">IFERROR(AVERAGEIFS($B$2:$B$3757, $A$2:$A$3757, C1459:C5213), "")</f>
        <v>6.9</v>
      </c>
      <c r="E1459" s="4">
        <f t="shared" si="1"/>
        <v>55.4</v>
      </c>
      <c r="F1459" s="4" t="str">
        <f t="array" ref="F1459">IF(D1459&gt;=_xlfn.PERCENTILE.INC(D1459:D3117, 0.9), "High", "Low")</f>
        <v>Low</v>
      </c>
      <c r="L1459" s="4" t="str">
        <f t="shared" si="2"/>
        <v/>
      </c>
    </row>
    <row r="1460" ht="14.25" customHeight="1">
      <c r="A1460" s="1" t="s">
        <v>3964</v>
      </c>
      <c r="B1460" s="1">
        <v>7.1</v>
      </c>
      <c r="C1460" s="4" t="str">
        <f>IFERROR(__xludf.DUMMYFUNCTION("""COMPUTED_VALUE"""),"David Nixon")</f>
        <v>David Nixon</v>
      </c>
      <c r="D1460" s="4">
        <f t="array" ref="D1460">IFERROR(AVERAGEIFS($B$2:$B$3757, $A$2:$A$3757, C1460:C5214), "")</f>
        <v>6.3</v>
      </c>
      <c r="E1460" s="4">
        <f t="shared" si="1"/>
        <v>33.8</v>
      </c>
      <c r="F1460" s="4" t="str">
        <f t="array" ref="F1460">IF(D1460&gt;=_xlfn.PERCENTILE.INC(D1460:D3118, 0.9), "High", "Low")</f>
        <v>Low</v>
      </c>
      <c r="L1460" s="4" t="str">
        <f t="shared" si="2"/>
        <v/>
      </c>
    </row>
    <row r="1461" ht="14.25" customHeight="1">
      <c r="A1461" s="1" t="s">
        <v>6440</v>
      </c>
      <c r="B1461" s="1">
        <v>6.9</v>
      </c>
      <c r="C1461" s="4" t="str">
        <f>IFERROR(__xludf.DUMMYFUNCTION("""COMPUTED_VALUE"""),"Jason Eisener")</f>
        <v>Jason Eisener</v>
      </c>
      <c r="D1461" s="4">
        <f t="array" ref="D1461">IFERROR(AVERAGEIFS($B$2:$B$3757, $A$2:$A$3757, C1461:C5215), "")</f>
        <v>6.1</v>
      </c>
      <c r="E1461" s="4">
        <f t="shared" si="1"/>
        <v>26.5</v>
      </c>
      <c r="F1461" s="4" t="str">
        <f t="array" ref="F1461">IF(D1461&gt;=_xlfn.PERCENTILE.INC(D1461:D3119, 0.9), "High", "Low")</f>
        <v>Low</v>
      </c>
      <c r="L1461" s="4" t="str">
        <f t="shared" si="2"/>
        <v/>
      </c>
    </row>
    <row r="1462" ht="14.25" customHeight="1">
      <c r="A1462" s="1" t="s">
        <v>5104</v>
      </c>
      <c r="B1462" s="1">
        <v>7.5</v>
      </c>
      <c r="C1462" s="4" t="str">
        <f>IFERROR(__xludf.DUMMYFUNCTION("""COMPUTED_VALUE"""),"Leslye Headland")</f>
        <v>Leslye Headland</v>
      </c>
      <c r="D1462" s="4">
        <f t="array" ref="D1462">IFERROR(AVERAGEIFS($B$2:$B$3757, $A$2:$A$3757, C1462:C5216), "")</f>
        <v>5.3</v>
      </c>
      <c r="E1462" s="4">
        <f t="shared" si="1"/>
        <v>8</v>
      </c>
      <c r="F1462" s="4" t="str">
        <f t="array" ref="F1462">IF(D1462&gt;=_xlfn.PERCENTILE.INC(D1462:D3120, 0.9), "High", "Low")</f>
        <v>Low</v>
      </c>
      <c r="L1462" s="4" t="str">
        <f t="shared" si="2"/>
        <v/>
      </c>
    </row>
    <row r="1463" ht="14.25" customHeight="1">
      <c r="A1463" s="1" t="s">
        <v>1077</v>
      </c>
      <c r="B1463" s="1">
        <v>6.3</v>
      </c>
      <c r="C1463" s="4" t="str">
        <f>IFERROR(__xludf.DUMMYFUNCTION("""COMPUTED_VALUE"""),"Tim Heidecker")</f>
        <v>Tim Heidecker</v>
      </c>
      <c r="D1463" s="4">
        <f t="array" ref="D1463">IFERROR(AVERAGEIFS($B$2:$B$3757, $A$2:$A$3757, C1463:C5217), "")</f>
        <v>5.3</v>
      </c>
      <c r="E1463" s="4">
        <f t="shared" si="1"/>
        <v>8.1</v>
      </c>
      <c r="F1463" s="4" t="str">
        <f t="array" ref="F1463">IF(D1463&gt;=_xlfn.PERCENTILE.INC(D1463:D3121, 0.9), "High", "Low")</f>
        <v>Low</v>
      </c>
      <c r="L1463" s="4" t="str">
        <f t="shared" si="2"/>
        <v/>
      </c>
    </row>
    <row r="1464" ht="14.25" customHeight="1">
      <c r="A1464" s="1" t="s">
        <v>71</v>
      </c>
      <c r="B1464" s="1">
        <v>6.4</v>
      </c>
      <c r="C1464" s="4" t="str">
        <f>IFERROR(__xludf.DUMMYFUNCTION("""COMPUTED_VALUE"""),"Deon Taylor")</f>
        <v>Deon Taylor</v>
      </c>
      <c r="D1464" s="4">
        <f t="array" ref="D1464">IFERROR(AVERAGEIFS($B$2:$B$3757, $A$2:$A$3757, C1464:C5218), "")</f>
        <v>4.1</v>
      </c>
      <c r="E1464" s="4">
        <f t="shared" si="1"/>
        <v>1.5</v>
      </c>
      <c r="F1464" s="4" t="str">
        <f t="array" ref="F1464">IF(D1464&gt;=_xlfn.PERCENTILE.INC(D1464:D3122, 0.9), "High", "Low")</f>
        <v>Low</v>
      </c>
      <c r="L1464" s="4" t="str">
        <f t="shared" si="2"/>
        <v/>
      </c>
    </row>
    <row r="1465" ht="14.25" customHeight="1">
      <c r="A1465" s="1" t="s">
        <v>5504</v>
      </c>
      <c r="B1465" s="1">
        <v>5.9</v>
      </c>
      <c r="C1465" s="4" t="str">
        <f>IFERROR(__xludf.DUMMYFUNCTION("""COMPUTED_VALUE"""),"Jason Alexander")</f>
        <v>Jason Alexander</v>
      </c>
      <c r="D1465" s="4">
        <f t="array" ref="D1465">IFERROR(AVERAGEIFS($B$2:$B$3757, $A$2:$A$3757, C1465:C5219), "")</f>
        <v>6.7</v>
      </c>
      <c r="E1465" s="4">
        <f t="shared" si="1"/>
        <v>44.4</v>
      </c>
      <c r="F1465" s="4" t="str">
        <f t="array" ref="F1465">IF(D1465&gt;=_xlfn.PERCENTILE.INC(D1465:D3123, 0.9), "High", "Low")</f>
        <v>Low</v>
      </c>
      <c r="L1465" s="4" t="str">
        <f t="shared" si="2"/>
        <v/>
      </c>
    </row>
    <row r="1466" ht="14.25" customHeight="1">
      <c r="A1466" s="1" t="s">
        <v>472</v>
      </c>
      <c r="B1466" s="1">
        <v>6.8</v>
      </c>
      <c r="C1466" s="4" t="str">
        <f>IFERROR(__xludf.DUMMYFUNCTION("""COMPUTED_VALUE"""),"Susan Seidelman")</f>
        <v>Susan Seidelman</v>
      </c>
      <c r="D1466" s="4">
        <f t="array" ref="D1466">IFERROR(AVERAGEIFS($B$2:$B$3757, $A$2:$A$3757, C1466:C5220), "")</f>
        <v>6.5</v>
      </c>
      <c r="E1466" s="4">
        <f t="shared" si="1"/>
        <v>39</v>
      </c>
      <c r="F1466" s="4" t="str">
        <f t="array" ref="F1466">IF(D1466&gt;=_xlfn.PERCENTILE.INC(D1466:D3124, 0.9), "High", "Low")</f>
        <v>Low</v>
      </c>
      <c r="L1466" s="4" t="str">
        <f t="shared" si="2"/>
        <v/>
      </c>
    </row>
    <row r="1467" ht="14.25" customHeight="1">
      <c r="A1467" s="1" t="s">
        <v>7475</v>
      </c>
      <c r="B1467" s="1">
        <v>6.3</v>
      </c>
      <c r="C1467" s="4" t="str">
        <f>IFERROR(__xludf.DUMMYFUNCTION("""COMPUTED_VALUE"""),"Billy Wilder")</f>
        <v>Billy Wilder</v>
      </c>
      <c r="D1467" s="4">
        <f t="array" ref="D1467">IFERROR(AVERAGEIFS($B$2:$B$3757, $A$2:$A$3757, C1467:C5221), "")</f>
        <v>8.3</v>
      </c>
      <c r="E1467" s="4">
        <f t="shared" si="1"/>
        <v>97.9</v>
      </c>
      <c r="F1467" s="4" t="str">
        <f t="array" ref="F1467">IF(D1467&gt;=_xlfn.PERCENTILE.INC(D1467:D3125, 0.9), "High", "Low")</f>
        <v>High</v>
      </c>
      <c r="L1467" s="4" t="str">
        <f t="shared" si="2"/>
        <v/>
      </c>
    </row>
    <row r="1468" ht="14.25" customHeight="1">
      <c r="A1468" s="1" t="s">
        <v>7479</v>
      </c>
      <c r="B1468" s="1">
        <v>3.6</v>
      </c>
      <c r="C1468" s="4" t="str">
        <f>IFERROR(__xludf.DUMMYFUNCTION("""COMPUTED_VALUE"""),"John Carl Buechler")</f>
        <v>John Carl Buechler</v>
      </c>
      <c r="D1468" s="4">
        <f t="array" ref="D1468">IFERROR(AVERAGEIFS($B$2:$B$3757, $A$2:$A$3757, C1468:C5222), "")</f>
        <v>5.3</v>
      </c>
      <c r="E1468" s="4">
        <f t="shared" si="1"/>
        <v>7.8</v>
      </c>
      <c r="F1468" s="4" t="str">
        <f t="array" ref="F1468">IF(D1468&gt;=_xlfn.PERCENTILE.INC(D1468:D3126, 0.9), "High", "Low")</f>
        <v>Low</v>
      </c>
      <c r="L1468" s="4" t="str">
        <f t="shared" si="2"/>
        <v/>
      </c>
    </row>
    <row r="1469" ht="14.25" customHeight="1">
      <c r="A1469" s="1" t="s">
        <v>6567</v>
      </c>
      <c r="B1469" s="1">
        <v>5.3</v>
      </c>
      <c r="C1469" s="4" t="str">
        <f>IFERROR(__xludf.DUMMYFUNCTION("""COMPUTED_VALUE"""),"Victor Nunez")</f>
        <v>Victor Nunez</v>
      </c>
      <c r="D1469" s="4">
        <f t="array" ref="D1469">IFERROR(AVERAGEIFS($B$2:$B$3757, $A$2:$A$3757, C1469:C5223), "")</f>
        <v>7.15</v>
      </c>
      <c r="E1469" s="4">
        <f t="shared" si="1"/>
        <v>67.7</v>
      </c>
      <c r="F1469" s="4" t="str">
        <f t="array" ref="F1469">IF(D1469&gt;=_xlfn.PERCENTILE.INC(D1469:D3127, 0.9), "High", "Low")</f>
        <v>Low</v>
      </c>
      <c r="L1469" s="4" t="str">
        <f t="shared" si="2"/>
        <v/>
      </c>
    </row>
    <row r="1470" ht="14.25" customHeight="1">
      <c r="A1470" s="1" t="s">
        <v>7490</v>
      </c>
      <c r="B1470" s="1">
        <v>5.9</v>
      </c>
      <c r="C1470" s="4" t="str">
        <f>IFERROR(__xludf.DUMMYFUNCTION("""COMPUTED_VALUE"""),"Joseph Zito")</f>
        <v>Joseph Zito</v>
      </c>
      <c r="D1470" s="4">
        <f t="array" ref="D1470">IFERROR(AVERAGEIFS($B$2:$B$3757, $A$2:$A$3757, C1470:C5224), "")</f>
        <v>5.9</v>
      </c>
      <c r="E1470" s="4">
        <f t="shared" si="1"/>
        <v>18.8</v>
      </c>
      <c r="F1470" s="4" t="str">
        <f t="array" ref="F1470">IF(D1470&gt;=_xlfn.PERCENTILE.INC(D1470:D3128, 0.9), "High", "Low")</f>
        <v>Low</v>
      </c>
      <c r="L1470" s="4" t="str">
        <f t="shared" si="2"/>
        <v/>
      </c>
    </row>
    <row r="1471" ht="14.25" customHeight="1">
      <c r="A1471" s="1" t="s">
        <v>1693</v>
      </c>
      <c r="B1471" s="1">
        <v>6.9</v>
      </c>
      <c r="C1471" s="4" t="str">
        <f>IFERROR(__xludf.DUMMYFUNCTION("""COMPUTED_VALUE"""),"Nacho Vigalondo")</f>
        <v>Nacho Vigalondo</v>
      </c>
      <c r="D1471" s="4">
        <f t="array" ref="D1471">IFERROR(AVERAGEIFS($B$2:$B$3757, $A$2:$A$3757, C1471:C5225), "")</f>
        <v>7.2</v>
      </c>
      <c r="E1471" s="4">
        <f t="shared" si="1"/>
        <v>67.9</v>
      </c>
      <c r="F1471" s="4" t="str">
        <f t="array" ref="F1471">IF(D1471&gt;=_xlfn.PERCENTILE.INC(D1471:D3129, 0.9), "High", "Low")</f>
        <v>Low</v>
      </c>
      <c r="L1471" s="4" t="str">
        <f t="shared" si="2"/>
        <v/>
      </c>
    </row>
    <row r="1472" ht="14.25" customHeight="1">
      <c r="A1472" s="1" t="s">
        <v>7499</v>
      </c>
      <c r="B1472" s="1">
        <v>6.9</v>
      </c>
      <c r="C1472" s="4" t="str">
        <f>IFERROR(__xludf.DUMMYFUNCTION("""COMPUTED_VALUE"""),"Dinesh D'Souza")</f>
        <v>Dinesh D'Souza</v>
      </c>
      <c r="D1472" s="4">
        <f t="array" ref="D1472">IFERROR(AVERAGEIFS($B$2:$B$3757, $A$2:$A$3757, C1472:C5226), "")</f>
        <v>5.1</v>
      </c>
      <c r="E1472" s="4">
        <f t="shared" si="1"/>
        <v>5.8</v>
      </c>
      <c r="F1472" s="4" t="str">
        <f t="array" ref="F1472">IF(D1472&gt;=_xlfn.PERCENTILE.INC(D1472:D3130, 0.9), "High", "Low")</f>
        <v>Low</v>
      </c>
      <c r="L1472" s="4" t="str">
        <f t="shared" si="2"/>
        <v/>
      </c>
    </row>
    <row r="1473" ht="14.25" customHeight="1">
      <c r="A1473" s="1" t="s">
        <v>1456</v>
      </c>
      <c r="B1473" s="1">
        <v>6.1</v>
      </c>
      <c r="C1473" s="4" t="str">
        <f>IFERROR(__xludf.DUMMYFUNCTION("""COMPUTED_VALUE"""),"Tommy Lee Wallace")</f>
        <v>Tommy Lee Wallace</v>
      </c>
      <c r="D1473" s="4">
        <f t="array" ref="D1473">IFERROR(AVERAGEIFS($B$2:$B$3757, $A$2:$A$3757, C1473:C5227), "")</f>
        <v>4.6</v>
      </c>
      <c r="E1473" s="4">
        <f t="shared" si="1"/>
        <v>2.1</v>
      </c>
      <c r="F1473" s="4" t="str">
        <f t="array" ref="F1473">IF(D1473&gt;=_xlfn.PERCENTILE.INC(D1473:D3131, 0.9), "High", "Low")</f>
        <v>Low</v>
      </c>
      <c r="L1473" s="4" t="str">
        <f t="shared" si="2"/>
        <v/>
      </c>
    </row>
    <row r="1474" ht="14.25" customHeight="1">
      <c r="A1474" s="1" t="s">
        <v>4578</v>
      </c>
      <c r="B1474" s="1">
        <v>8.5</v>
      </c>
      <c r="C1474" s="4" t="str">
        <f>IFERROR(__xludf.DUMMYFUNCTION("""COMPUTED_VALUE"""),"Leslie Small")</f>
        <v>Leslie Small</v>
      </c>
      <c r="D1474" s="4">
        <f t="array" ref="D1474">IFERROR(AVERAGEIFS($B$2:$B$3757, $A$2:$A$3757, C1474:C5228), "")</f>
        <v>6.7</v>
      </c>
      <c r="E1474" s="4">
        <f t="shared" si="1"/>
        <v>43.9</v>
      </c>
      <c r="F1474" s="4" t="str">
        <f t="array" ref="F1474">IF(D1474&gt;=_xlfn.PERCENTILE.INC(D1474:D3132, 0.9), "High", "Low")</f>
        <v>Low</v>
      </c>
      <c r="L1474" s="4" t="str">
        <f t="shared" si="2"/>
        <v/>
      </c>
    </row>
    <row r="1475" ht="14.25" customHeight="1">
      <c r="A1475" s="1" t="s">
        <v>7509</v>
      </c>
      <c r="B1475" s="1">
        <v>6.3</v>
      </c>
      <c r="C1475" s="4" t="str">
        <f>IFERROR(__xludf.DUMMYFUNCTION("""COMPUTED_VALUE"""),"Alison Maclean")</f>
        <v>Alison Maclean</v>
      </c>
      <c r="D1475" s="4">
        <f t="array" ref="D1475">IFERROR(AVERAGEIFS($B$2:$B$3757, $A$2:$A$3757, C1475:C5229), "")</f>
        <v>7</v>
      </c>
      <c r="E1475" s="4">
        <f t="shared" si="1"/>
        <v>58.1</v>
      </c>
      <c r="F1475" s="4" t="str">
        <f t="array" ref="F1475">IF(D1475&gt;=_xlfn.PERCENTILE.INC(D1475:D3133, 0.9), "High", "Low")</f>
        <v>Low</v>
      </c>
      <c r="L1475" s="4" t="str">
        <f t="shared" si="2"/>
        <v/>
      </c>
    </row>
    <row r="1476" ht="14.25" customHeight="1">
      <c r="A1476" s="1" t="s">
        <v>4205</v>
      </c>
      <c r="B1476" s="1">
        <v>7.3</v>
      </c>
      <c r="C1476" s="4" t="str">
        <f>IFERROR(__xludf.DUMMYFUNCTION("""COMPUTED_VALUE"""),"Isabel Coixet")</f>
        <v>Isabel Coixet</v>
      </c>
      <c r="D1476" s="4">
        <f t="array" ref="D1476">IFERROR(AVERAGEIFS($B$2:$B$3757, $A$2:$A$3757, C1476:C5230), "")</f>
        <v>7.6</v>
      </c>
      <c r="E1476" s="4">
        <f t="shared" si="1"/>
        <v>82.2</v>
      </c>
      <c r="F1476" s="4" t="str">
        <f t="array" ref="F1476">IF(D1476&gt;=_xlfn.PERCENTILE.INC(D1476:D3134, 0.9), "High", "Low")</f>
        <v>Low</v>
      </c>
      <c r="L1476" s="4" t="str">
        <f t="shared" si="2"/>
        <v/>
      </c>
    </row>
    <row r="1477" ht="14.25" customHeight="1">
      <c r="A1477" s="1" t="s">
        <v>7518</v>
      </c>
      <c r="B1477" s="1">
        <v>6.3</v>
      </c>
      <c r="C1477" s="4" t="str">
        <f>IFERROR(__xludf.DUMMYFUNCTION("""COMPUTED_VALUE"""),"James Ponsoldt")</f>
        <v>James Ponsoldt</v>
      </c>
      <c r="D1477" s="4">
        <f t="array" ref="D1477">IFERROR(AVERAGEIFS($B$2:$B$3757, $A$2:$A$3757, C1477:C5231), "")</f>
        <v>7.1</v>
      </c>
      <c r="E1477" s="4">
        <f t="shared" si="1"/>
        <v>64.7</v>
      </c>
      <c r="F1477" s="4" t="str">
        <f t="array" ref="F1477">IF(D1477&gt;=_xlfn.PERCENTILE.INC(D1477:D3135, 0.9), "High", "Low")</f>
        <v>Low</v>
      </c>
      <c r="L1477" s="4" t="str">
        <f t="shared" si="2"/>
        <v/>
      </c>
    </row>
    <row r="1478" ht="14.25" customHeight="1">
      <c r="A1478" s="1" t="s">
        <v>2128</v>
      </c>
      <c r="B1478" s="1">
        <v>7.2</v>
      </c>
      <c r="C1478" s="4" t="str">
        <f>IFERROR(__xludf.DUMMYFUNCTION("""COMPUTED_VALUE"""),"Joshua Tickell")</f>
        <v>Joshua Tickell</v>
      </c>
      <c r="D1478" s="4">
        <f t="array" ref="D1478">IFERROR(AVERAGEIFS($B$2:$B$3757, $A$2:$A$3757, C1478:C5232), "")</f>
        <v>7.6</v>
      </c>
      <c r="E1478" s="4">
        <f t="shared" si="1"/>
        <v>82.5</v>
      </c>
      <c r="F1478" s="4" t="str">
        <f t="array" ref="F1478">IF(D1478&gt;=_xlfn.PERCENTILE.INC(D1478:D3136, 0.9), "High", "Low")</f>
        <v>Low</v>
      </c>
      <c r="L1478" s="4" t="str">
        <f t="shared" si="2"/>
        <v/>
      </c>
    </row>
    <row r="1479" ht="14.25" customHeight="1">
      <c r="A1479" s="1" t="s">
        <v>420</v>
      </c>
      <c r="B1479" s="1">
        <v>7.3</v>
      </c>
      <c r="C1479" s="4" t="str">
        <f>IFERROR(__xludf.DUMMYFUNCTION("""COMPUTED_VALUE"""),"Michael D. Sellers")</f>
        <v>Michael D. Sellers</v>
      </c>
      <c r="D1479" s="4">
        <f t="array" ref="D1479">IFERROR(AVERAGEIFS($B$2:$B$3757, $A$2:$A$3757, C1479:C5233), "")</f>
        <v>5.7</v>
      </c>
      <c r="E1479" s="4">
        <f t="shared" si="1"/>
        <v>13.7</v>
      </c>
      <c r="F1479" s="4" t="str">
        <f t="array" ref="F1479">IF(D1479&gt;=_xlfn.PERCENTILE.INC(D1479:D3137, 0.9), "High", "Low")</f>
        <v>Low</v>
      </c>
      <c r="L1479" s="4" t="str">
        <f t="shared" si="2"/>
        <v/>
      </c>
    </row>
    <row r="1480" ht="14.25" customHeight="1">
      <c r="A1480" s="1" t="s">
        <v>7530</v>
      </c>
      <c r="B1480" s="1">
        <v>6.3</v>
      </c>
      <c r="C1480" s="4" t="str">
        <f>IFERROR(__xludf.DUMMYFUNCTION("""COMPUTED_VALUE"""),"Reed Cowan")</f>
        <v>Reed Cowan</v>
      </c>
      <c r="D1480" s="4">
        <f t="array" ref="D1480">IFERROR(AVERAGEIFS($B$2:$B$3757, $A$2:$A$3757, C1480:C5234), "")</f>
        <v>7.1</v>
      </c>
      <c r="E1480" s="4">
        <f t="shared" si="1"/>
        <v>65.2</v>
      </c>
      <c r="F1480" s="4" t="str">
        <f t="array" ref="F1480">IF(D1480&gt;=_xlfn.PERCENTILE.INC(D1480:D3138, 0.9), "High", "Low")</f>
        <v>Low</v>
      </c>
      <c r="L1480" s="4" t="str">
        <f t="shared" si="2"/>
        <v/>
      </c>
    </row>
    <row r="1481" ht="14.25" customHeight="1">
      <c r="A1481" s="1" t="s">
        <v>5083</v>
      </c>
      <c r="B1481" s="1">
        <v>8.1</v>
      </c>
      <c r="C1481" s="4" t="str">
        <f>IFERROR(__xludf.DUMMYFUNCTION("""COMPUTED_VALUE"""),"James Dodson")</f>
        <v>James Dodson</v>
      </c>
      <c r="D1481" s="4">
        <f t="array" ref="D1481">IFERROR(AVERAGEIFS($B$2:$B$3757, $A$2:$A$3757, C1481:C5235), "")</f>
        <v>6.2</v>
      </c>
      <c r="E1481" s="4">
        <f t="shared" si="1"/>
        <v>30</v>
      </c>
      <c r="F1481" s="4" t="str">
        <f t="array" ref="F1481">IF(D1481&gt;=_xlfn.PERCENTILE.INC(D1481:D3139, 0.9), "High", "Low")</f>
        <v>Low</v>
      </c>
      <c r="L1481" s="4" t="str">
        <f t="shared" si="2"/>
        <v/>
      </c>
    </row>
    <row r="1482" ht="14.25" customHeight="1">
      <c r="A1482" s="1" t="s">
        <v>6760</v>
      </c>
      <c r="B1482" s="1">
        <v>6.9</v>
      </c>
      <c r="C1482" s="4" t="str">
        <f>IFERROR(__xludf.DUMMYFUNCTION("""COMPUTED_VALUE"""),"Alex Rivera")</f>
        <v>Alex Rivera</v>
      </c>
      <c r="D1482" s="4">
        <f t="array" ref="D1482">IFERROR(AVERAGEIFS($B$2:$B$3757, $A$2:$A$3757, C1482:C5236), "")</f>
        <v>5.9</v>
      </c>
      <c r="E1482" s="4">
        <f t="shared" si="1"/>
        <v>18.4</v>
      </c>
      <c r="F1482" s="4" t="str">
        <f t="array" ref="F1482">IF(D1482&gt;=_xlfn.PERCENTILE.INC(D1482:D3140, 0.9), "High", "Low")</f>
        <v>Low</v>
      </c>
      <c r="L1482" s="4" t="str">
        <f t="shared" si="2"/>
        <v/>
      </c>
    </row>
    <row r="1483" ht="14.25" customHeight="1">
      <c r="A1483" s="1" t="s">
        <v>4812</v>
      </c>
      <c r="B1483" s="1">
        <v>6.3</v>
      </c>
      <c r="C1483" s="4" t="str">
        <f>IFERROR(__xludf.DUMMYFUNCTION("""COMPUTED_VALUE"""),"Robby Henson")</f>
        <v>Robby Henson</v>
      </c>
      <c r="D1483" s="4">
        <f t="array" ref="D1483">IFERROR(AVERAGEIFS($B$2:$B$3757, $A$2:$A$3757, C1483:C5237), "")</f>
        <v>5.1</v>
      </c>
      <c r="E1483" s="4">
        <f t="shared" si="1"/>
        <v>5.6</v>
      </c>
      <c r="F1483" s="4" t="str">
        <f t="array" ref="F1483">IF(D1483&gt;=_xlfn.PERCENTILE.INC(D1483:D3141, 0.9), "High", "Low")</f>
        <v>Low</v>
      </c>
      <c r="L1483" s="4" t="str">
        <f t="shared" si="2"/>
        <v/>
      </c>
    </row>
    <row r="1484" ht="14.25" customHeight="1">
      <c r="A1484" s="1" t="s">
        <v>3298</v>
      </c>
      <c r="B1484" s="1">
        <v>7.3</v>
      </c>
      <c r="C1484" s="4" t="str">
        <f>IFERROR(__xludf.DUMMYFUNCTION("""COMPUTED_VALUE"""),"Shane Meadows")</f>
        <v>Shane Meadows</v>
      </c>
      <c r="D1484" s="4">
        <f t="array" ref="D1484">IFERROR(AVERAGEIFS($B$2:$B$3757, $A$2:$A$3757, C1484:C5238), "")</f>
        <v>7.7</v>
      </c>
      <c r="E1484" s="4">
        <f t="shared" si="1"/>
        <v>85.9</v>
      </c>
      <c r="F1484" s="4" t="str">
        <f t="array" ref="F1484">IF(D1484&gt;=_xlfn.PERCENTILE.INC(D1484:D3142, 0.9), "High", "Low")</f>
        <v>Low</v>
      </c>
      <c r="L1484" s="4" t="str">
        <f t="shared" si="2"/>
        <v/>
      </c>
    </row>
    <row r="1485" ht="14.25" customHeight="1">
      <c r="A1485" s="1" t="s">
        <v>932</v>
      </c>
      <c r="B1485" s="1">
        <v>5.5</v>
      </c>
      <c r="C1485" s="4" t="str">
        <f>IFERROR(__xludf.DUMMYFUNCTION("""COMPUTED_VALUE"""),"Carmen Marron")</f>
        <v>Carmen Marron</v>
      </c>
      <c r="D1485" s="4">
        <f t="array" ref="D1485">IFERROR(AVERAGEIFS($B$2:$B$3757, $A$2:$A$3757, C1485:C5239), "")</f>
        <v>3.9</v>
      </c>
      <c r="E1485" s="4">
        <f t="shared" si="1"/>
        <v>1.1</v>
      </c>
      <c r="F1485" s="4" t="str">
        <f t="array" ref="F1485">IF(D1485&gt;=_xlfn.PERCENTILE.INC(D1485:D3143, 0.9), "High", "Low")</f>
        <v>Low</v>
      </c>
      <c r="L1485" s="4" t="str">
        <f t="shared" si="2"/>
        <v/>
      </c>
    </row>
    <row r="1486" ht="14.25" customHeight="1">
      <c r="A1486" s="1" t="s">
        <v>7554</v>
      </c>
      <c r="B1486" s="1">
        <v>6.1</v>
      </c>
      <c r="C1486" s="4" t="str">
        <f>IFERROR(__xludf.DUMMYFUNCTION("""COMPUTED_VALUE"""),"Danny Steinmann")</f>
        <v>Danny Steinmann</v>
      </c>
      <c r="D1486" s="4">
        <f t="array" ref="D1486">IFERROR(AVERAGEIFS($B$2:$B$3757, $A$2:$A$3757, C1486:C5240), "")</f>
        <v>4.7</v>
      </c>
      <c r="E1486" s="4">
        <f t="shared" si="1"/>
        <v>2.9</v>
      </c>
      <c r="F1486" s="4" t="str">
        <f t="array" ref="F1486">IF(D1486&gt;=_xlfn.PERCENTILE.INC(D1486:D3144, 0.9), "High", "Low")</f>
        <v>Low</v>
      </c>
      <c r="L1486" s="4" t="str">
        <f t="shared" si="2"/>
        <v/>
      </c>
    </row>
    <row r="1487" ht="14.25" customHeight="1">
      <c r="A1487" s="1" t="s">
        <v>155</v>
      </c>
      <c r="B1487" s="1">
        <v>6.9</v>
      </c>
      <c r="C1487" s="4" t="str">
        <f>IFERROR(__xludf.DUMMYFUNCTION("""COMPUTED_VALUE"""),"Michael Landon Jr.")</f>
        <v>Michael Landon Jr.</v>
      </c>
      <c r="D1487" s="4">
        <f t="array" ref="D1487">IFERROR(AVERAGEIFS($B$2:$B$3757, $A$2:$A$3757, C1487:C5241), "")</f>
        <v>5.9</v>
      </c>
      <c r="E1487" s="4">
        <f t="shared" si="1"/>
        <v>17.2</v>
      </c>
      <c r="F1487" s="4" t="str">
        <f t="array" ref="F1487">IF(D1487&gt;=_xlfn.PERCENTILE.INC(D1487:D3145, 0.9), "High", "Low")</f>
        <v>Low</v>
      </c>
      <c r="L1487" s="4" t="str">
        <f t="shared" si="2"/>
        <v/>
      </c>
    </row>
    <row r="1488" ht="14.25" customHeight="1">
      <c r="A1488" s="1" t="s">
        <v>149</v>
      </c>
      <c r="B1488" s="1">
        <v>7.2</v>
      </c>
      <c r="C1488" s="4" t="str">
        <f>IFERROR(__xludf.DUMMYFUNCTION("""COMPUTED_VALUE"""),"William Wyler")</f>
        <v>William Wyler</v>
      </c>
      <c r="D1488" s="4">
        <f t="array" ref="D1488">IFERROR(AVERAGEIFS($B$2:$B$3757, $A$2:$A$3757, C1488:C5242), "")</f>
        <v>8.1</v>
      </c>
      <c r="E1488" s="4">
        <f t="shared" si="1"/>
        <v>95.4</v>
      </c>
      <c r="F1488" s="4" t="str">
        <f t="array" ref="F1488">IF(D1488&gt;=_xlfn.PERCENTILE.INC(D1488:D3146, 0.9), "High", "Low")</f>
        <v>High</v>
      </c>
      <c r="L1488" s="4" t="str">
        <f t="shared" si="2"/>
        <v/>
      </c>
    </row>
    <row r="1489" ht="14.25" customHeight="1">
      <c r="A1489" s="1" t="s">
        <v>2093</v>
      </c>
      <c r="B1489" s="1">
        <v>6.4</v>
      </c>
      <c r="C1489" s="4" t="str">
        <f>IFERROR(__xludf.DUMMYFUNCTION("""COMPUTED_VALUE"""),"Petter NÃ¦ss")</f>
        <v>Petter NÃ¦ss</v>
      </c>
      <c r="D1489" s="4">
        <f t="array" ref="D1489">IFERROR(AVERAGEIFS($B$2:$B$3757, $A$2:$A$3757, C1489:C5243), "")</f>
        <v>7.6</v>
      </c>
      <c r="E1489" s="4">
        <f t="shared" si="1"/>
        <v>83.1</v>
      </c>
      <c r="F1489" s="4" t="str">
        <f t="array" ref="F1489">IF(D1489&gt;=_xlfn.PERCENTILE.INC(D1489:D3147, 0.9), "High", "Low")</f>
        <v>Low</v>
      </c>
      <c r="L1489" s="4" t="str">
        <f t="shared" si="2"/>
        <v/>
      </c>
    </row>
    <row r="1490" ht="14.25" customHeight="1">
      <c r="A1490" s="1" t="s">
        <v>7572</v>
      </c>
      <c r="B1490" s="1">
        <v>6.4</v>
      </c>
      <c r="C1490" s="4" t="str">
        <f>IFERROR(__xludf.DUMMYFUNCTION("""COMPUTED_VALUE"""),"Michael Herz")</f>
        <v>Michael Herz</v>
      </c>
      <c r="D1490" s="4">
        <f t="array" ref="D1490">IFERROR(AVERAGEIFS($B$2:$B$3757, $A$2:$A$3757, C1490:C5244), "")</f>
        <v>5.1</v>
      </c>
      <c r="E1490" s="4">
        <f t="shared" si="1"/>
        <v>4.7</v>
      </c>
      <c r="F1490" s="4" t="str">
        <f t="array" ref="F1490">IF(D1490&gt;=_xlfn.PERCENTILE.INC(D1490:D3148, 0.9), "High", "Low")</f>
        <v>Low</v>
      </c>
      <c r="L1490" s="4" t="str">
        <f t="shared" si="2"/>
        <v/>
      </c>
    </row>
    <row r="1491" ht="14.25" customHeight="1">
      <c r="A1491" s="1" t="s">
        <v>298</v>
      </c>
      <c r="B1491" s="1">
        <v>8.3</v>
      </c>
      <c r="C1491" s="4" t="str">
        <f>IFERROR(__xludf.DUMMYFUNCTION("""COMPUTED_VALUE"""),"David Robert Mitchell")</f>
        <v>David Robert Mitchell</v>
      </c>
      <c r="D1491" s="4">
        <f t="array" ref="D1491">IFERROR(AVERAGEIFS($B$2:$B$3757, $A$2:$A$3757, C1491:C5245), "")</f>
        <v>6.9</v>
      </c>
      <c r="E1491" s="4">
        <f t="shared" si="1"/>
        <v>54.1</v>
      </c>
      <c r="F1491" s="4" t="str">
        <f t="array" ref="F1491">IF(D1491&gt;=_xlfn.PERCENTILE.INC(D1491:D3149, 0.9), "High", "Low")</f>
        <v>Low</v>
      </c>
      <c r="L1491" s="4" t="str">
        <f t="shared" si="2"/>
        <v/>
      </c>
    </row>
    <row r="1492" ht="14.25" customHeight="1">
      <c r="A1492" s="1" t="s">
        <v>1527</v>
      </c>
      <c r="B1492" s="1">
        <v>7.2</v>
      </c>
      <c r="C1492" s="4" t="str">
        <f>IFERROR(__xludf.DUMMYFUNCTION("""COMPUTED_VALUE"""),"Chia-Liang Liu")</f>
        <v>Chia-Liang Liu</v>
      </c>
      <c r="D1492" s="4">
        <f t="array" ref="D1492">IFERROR(AVERAGEIFS($B$2:$B$3757, $A$2:$A$3757, C1492:C5246), "")</f>
        <v>7.6</v>
      </c>
      <c r="E1492" s="4">
        <f t="shared" si="1"/>
        <v>83.4</v>
      </c>
      <c r="F1492" s="4" t="str">
        <f t="array" ref="F1492">IF(D1492&gt;=_xlfn.PERCENTILE.INC(D1492:D3150, 0.9), "High", "Low")</f>
        <v>Low</v>
      </c>
      <c r="L1492" s="4" t="str">
        <f t="shared" si="2"/>
        <v/>
      </c>
    </row>
    <row r="1493" ht="14.25" customHeight="1">
      <c r="A1493" s="1" t="s">
        <v>7582</v>
      </c>
      <c r="B1493" s="1">
        <v>6.8</v>
      </c>
      <c r="C1493" s="4" t="str">
        <f>IFERROR(__xludf.DUMMYFUNCTION("""COMPUTED_VALUE"""),"Chris Kentis")</f>
        <v>Chris Kentis</v>
      </c>
      <c r="D1493" s="4">
        <f t="array" ref="D1493">IFERROR(AVERAGEIFS($B$2:$B$3757, $A$2:$A$3757, C1493:C5247), "")</f>
        <v>5.5</v>
      </c>
      <c r="E1493" s="4">
        <f t="shared" si="1"/>
        <v>7.7</v>
      </c>
      <c r="F1493" s="4" t="str">
        <f t="array" ref="F1493">IF(D1493&gt;=_xlfn.PERCENTILE.INC(D1493:D3151, 0.9), "High", "Low")</f>
        <v>Low</v>
      </c>
      <c r="L1493" s="4" t="str">
        <f t="shared" si="2"/>
        <v/>
      </c>
    </row>
    <row r="1494" ht="14.25" customHeight="1">
      <c r="A1494" s="1" t="s">
        <v>7588</v>
      </c>
      <c r="B1494" s="1">
        <v>6.5</v>
      </c>
      <c r="C1494" s="4" t="str">
        <f>IFERROR(__xludf.DUMMYFUNCTION("""COMPUTED_VALUE"""),"Alex Kendrick")</f>
        <v>Alex Kendrick</v>
      </c>
      <c r="D1494" s="4">
        <f t="array" ref="D1494">IFERROR(AVERAGEIFS($B$2:$B$3757, $A$2:$A$3757, C1494:C5248), "")</f>
        <v>6.733333333</v>
      </c>
      <c r="E1494" s="4">
        <f t="shared" si="1"/>
        <v>49.7</v>
      </c>
      <c r="F1494" s="4" t="str">
        <f t="array" ref="F1494">IF(D1494&gt;=_xlfn.PERCENTILE.INC(D1494:D3152, 0.9), "High", "Low")</f>
        <v>Low</v>
      </c>
      <c r="L1494" s="4" t="str">
        <f t="shared" si="2"/>
        <v/>
      </c>
    </row>
    <row r="1495" ht="14.25" customHeight="1">
      <c r="A1495" s="1" t="s">
        <v>7352</v>
      </c>
      <c r="B1495" s="1">
        <v>7.8</v>
      </c>
      <c r="C1495" s="4" t="str">
        <f>IFERROR(__xludf.DUMMYFUNCTION("""COMPUTED_VALUE"""),"Sylvain Chomet")</f>
        <v>Sylvain Chomet</v>
      </c>
      <c r="D1495" s="4">
        <f t="array" ref="D1495">IFERROR(AVERAGEIFS($B$2:$B$3757, $A$2:$A$3757, C1495:C5249), "")</f>
        <v>7.8</v>
      </c>
      <c r="E1495" s="4">
        <f t="shared" si="1"/>
        <v>90.4</v>
      </c>
      <c r="F1495" s="4" t="str">
        <f t="array" ref="F1495">IF(D1495&gt;=_xlfn.PERCENTILE.INC(D1495:D3153, 0.9), "High", "Low")</f>
        <v>High</v>
      </c>
      <c r="L1495" s="4" t="str">
        <f t="shared" si="2"/>
        <v/>
      </c>
    </row>
    <row r="1496" ht="14.25" customHeight="1">
      <c r="A1496" s="1" t="s">
        <v>1255</v>
      </c>
      <c r="B1496" s="1">
        <v>7.6</v>
      </c>
      <c r="C1496" s="4" t="str">
        <f>IFERROR(__xludf.DUMMYFUNCTION("""COMPUTED_VALUE"""),"Chris Eyre")</f>
        <v>Chris Eyre</v>
      </c>
      <c r="D1496" s="4">
        <f t="array" ref="D1496">IFERROR(AVERAGEIFS($B$2:$B$3757, $A$2:$A$3757, C1496:C5250), "")</f>
        <v>7.2</v>
      </c>
      <c r="E1496" s="4">
        <f t="shared" si="1"/>
        <v>67.9</v>
      </c>
      <c r="F1496" s="4" t="str">
        <f t="array" ref="F1496">IF(D1496&gt;=_xlfn.PERCENTILE.INC(D1496:D3154, 0.9), "High", "Low")</f>
        <v>Low</v>
      </c>
      <c r="L1496" s="4" t="str">
        <f t="shared" si="2"/>
        <v/>
      </c>
    </row>
    <row r="1497" ht="14.25" customHeight="1">
      <c r="A1497" s="1" t="s">
        <v>6607</v>
      </c>
      <c r="B1497" s="1">
        <v>7.2</v>
      </c>
      <c r="C1497" s="4" t="str">
        <f>IFERROR(__xludf.DUMMYFUNCTION("""COMPUTED_VALUE"""),"Debra Granik")</f>
        <v>Debra Granik</v>
      </c>
      <c r="D1497" s="4">
        <f t="array" ref="D1497">IFERROR(AVERAGEIFS($B$2:$B$3757, $A$2:$A$3757, C1497:C5251), "")</f>
        <v>7.2</v>
      </c>
      <c r="E1497" s="4">
        <f t="shared" si="1"/>
        <v>68.3</v>
      </c>
      <c r="F1497" s="4" t="str">
        <f t="array" ref="F1497">IF(D1497&gt;=_xlfn.PERCENTILE.INC(D1497:D3155, 0.9), "High", "Low")</f>
        <v>Low</v>
      </c>
      <c r="L1497" s="4" t="str">
        <f t="shared" si="2"/>
        <v/>
      </c>
    </row>
    <row r="1498" ht="14.25" customHeight="1">
      <c r="A1498" s="1" t="s">
        <v>4784</v>
      </c>
      <c r="B1498" s="1">
        <v>6.7</v>
      </c>
      <c r="C1498" s="4" t="str">
        <f>IFERROR(__xludf.DUMMYFUNCTION("""COMPUTED_VALUE"""),"Miranda July")</f>
        <v>Miranda July</v>
      </c>
      <c r="D1498" s="4">
        <f t="array" ref="D1498">IFERROR(AVERAGEIFS($B$2:$B$3757, $A$2:$A$3757, C1498:C5252), "")</f>
        <v>7.4</v>
      </c>
      <c r="E1498" s="4">
        <f t="shared" si="1"/>
        <v>77.3</v>
      </c>
      <c r="F1498" s="4" t="str">
        <f t="array" ref="F1498">IF(D1498&gt;=_xlfn.PERCENTILE.INC(D1498:D3156, 0.9), "High", "Low")</f>
        <v>Low</v>
      </c>
      <c r="L1498" s="4" t="str">
        <f t="shared" si="2"/>
        <v/>
      </c>
    </row>
    <row r="1499" ht="14.25" customHeight="1">
      <c r="A1499" s="1" t="s">
        <v>155</v>
      </c>
      <c r="B1499" s="1">
        <v>6.8</v>
      </c>
      <c r="C1499" s="4" t="str">
        <f>IFERROR(__xludf.DUMMYFUNCTION("""COMPUTED_VALUE"""),"Max Joseph")</f>
        <v>Max Joseph</v>
      </c>
      <c r="D1499" s="4">
        <f t="array" ref="D1499">IFERROR(AVERAGEIFS($B$2:$B$3757, $A$2:$A$3757, C1499:C5253), "")</f>
        <v>6.1</v>
      </c>
      <c r="E1499" s="4">
        <f t="shared" si="1"/>
        <v>23.5</v>
      </c>
      <c r="F1499" s="4" t="str">
        <f t="array" ref="F1499">IF(D1499&gt;=_xlfn.PERCENTILE.INC(D1499:D3157, 0.9), "High", "Low")</f>
        <v>Low</v>
      </c>
      <c r="L1499" s="4" t="str">
        <f t="shared" si="2"/>
        <v/>
      </c>
    </row>
    <row r="1500" ht="14.25" customHeight="1">
      <c r="A1500" s="1" t="s">
        <v>4713</v>
      </c>
      <c r="B1500" s="1">
        <v>6.3</v>
      </c>
      <c r="C1500" s="4" t="str">
        <f>IFERROR(__xludf.DUMMYFUNCTION("""COMPUTED_VALUE"""),"Kevin Tenney")</f>
        <v>Kevin Tenney</v>
      </c>
      <c r="D1500" s="4">
        <f t="array" ref="D1500">IFERROR(AVERAGEIFS($B$2:$B$3757, $A$2:$A$3757, C1500:C5254), "")</f>
        <v>5.7</v>
      </c>
      <c r="E1500" s="4">
        <f t="shared" si="1"/>
        <v>12.4</v>
      </c>
      <c r="F1500" s="4" t="str">
        <f t="array" ref="F1500">IF(D1500&gt;=_xlfn.PERCENTILE.INC(D1500:D3158, 0.9), "High", "Low")</f>
        <v>Low</v>
      </c>
      <c r="L1500" s="4" t="str">
        <f t="shared" si="2"/>
        <v/>
      </c>
    </row>
    <row r="1501" ht="14.25" customHeight="1">
      <c r="A1501" s="1" t="s">
        <v>3138</v>
      </c>
      <c r="B1501" s="1">
        <v>6.2</v>
      </c>
      <c r="C1501" s="4" t="str">
        <f>IFERROR(__xludf.DUMMYFUNCTION("""COMPUTED_VALUE"""),"Ari Folman")</f>
        <v>Ari Folman</v>
      </c>
      <c r="D1501" s="4">
        <f t="array" ref="D1501">IFERROR(AVERAGEIFS($B$2:$B$3757, $A$2:$A$3757, C1501:C5255), "")</f>
        <v>8</v>
      </c>
      <c r="E1501" s="4">
        <f t="shared" si="1"/>
        <v>95</v>
      </c>
      <c r="F1501" s="4" t="str">
        <f t="array" ref="F1501">IF(D1501&gt;=_xlfn.PERCENTILE.INC(D1501:D3159, 0.9), "High", "Low")</f>
        <v>High</v>
      </c>
      <c r="L1501" s="4" t="str">
        <f t="shared" si="2"/>
        <v/>
      </c>
    </row>
    <row r="1502" ht="14.25" customHeight="1">
      <c r="A1502" s="1" t="s">
        <v>7041</v>
      </c>
      <c r="B1502" s="1">
        <v>6.2</v>
      </c>
      <c r="C1502" s="4" t="str">
        <f>IFERROR(__xludf.DUMMYFUNCTION("""COMPUTED_VALUE"""),"Gary Rogers")</f>
        <v>Gary Rogers</v>
      </c>
      <c r="D1502" s="4">
        <f t="array" ref="D1502">IFERROR(AVERAGEIFS($B$2:$B$3757, $A$2:$A$3757, C1502:C5256), "")</f>
        <v>3.3</v>
      </c>
      <c r="E1502" s="4">
        <f t="shared" si="1"/>
        <v>0</v>
      </c>
      <c r="F1502" s="4" t="str">
        <f t="array" ref="F1502">IF(D1502&gt;=_xlfn.PERCENTILE.INC(D1502:D3160, 0.9), "High", "Low")</f>
        <v>Low</v>
      </c>
      <c r="L1502" s="4" t="str">
        <f t="shared" si="2"/>
        <v/>
      </c>
    </row>
    <row r="1503" ht="14.25" customHeight="1">
      <c r="A1503" s="1" t="s">
        <v>648</v>
      </c>
      <c r="B1503" s="1">
        <v>8.6</v>
      </c>
      <c r="C1503" s="4" t="str">
        <f>IFERROR(__xludf.DUMMYFUNCTION("""COMPUTED_VALUE"""),"Marielle Heller")</f>
        <v>Marielle Heller</v>
      </c>
      <c r="D1503" s="4">
        <f t="array" ref="D1503">IFERROR(AVERAGEIFS($B$2:$B$3757, $A$2:$A$3757, C1503:C5257), "")</f>
        <v>6.9</v>
      </c>
      <c r="E1503" s="4">
        <f t="shared" si="1"/>
        <v>55.1</v>
      </c>
      <c r="F1503" s="4" t="str">
        <f t="array" ref="F1503">IF(D1503&gt;=_xlfn.PERCENTILE.INC(D1503:D3161, 0.9), "High", "Low")</f>
        <v>Low</v>
      </c>
      <c r="L1503" s="4" t="str">
        <f t="shared" si="2"/>
        <v/>
      </c>
    </row>
    <row r="1504" ht="14.25" customHeight="1">
      <c r="A1504" s="1" t="s">
        <v>1333</v>
      </c>
      <c r="B1504" s="1">
        <v>8.0</v>
      </c>
      <c r="C1504" s="4" t="str">
        <f>IFERROR(__xludf.DUMMYFUNCTION("""COMPUTED_VALUE"""),"David Sington")</f>
        <v>David Sington</v>
      </c>
      <c r="D1504" s="4">
        <f t="array" ref="D1504">IFERROR(AVERAGEIFS($B$2:$B$3757, $A$2:$A$3757, C1504:C5258), "")</f>
        <v>8.1</v>
      </c>
      <c r="E1504" s="4">
        <f t="shared" si="1"/>
        <v>95.5</v>
      </c>
      <c r="F1504" s="4" t="str">
        <f t="array" ref="F1504">IF(D1504&gt;=_xlfn.PERCENTILE.INC(D1504:D3162, 0.9), "High", "Low")</f>
        <v>High</v>
      </c>
      <c r="L1504" s="4" t="str">
        <f t="shared" si="2"/>
        <v/>
      </c>
    </row>
    <row r="1505" ht="14.25" customHeight="1">
      <c r="A1505" s="1" t="s">
        <v>7625</v>
      </c>
      <c r="B1505" s="1">
        <v>7.0</v>
      </c>
      <c r="C1505" s="4" t="str">
        <f>IFERROR(__xludf.DUMMYFUNCTION("""COMPUTED_VALUE"""),"Huck Botko")</f>
        <v>Huck Botko</v>
      </c>
      <c r="D1505" s="4">
        <f t="array" ref="D1505">IFERROR(AVERAGEIFS($B$2:$B$3757, $A$2:$A$3757, C1505:C5259), "")</f>
        <v>4.6</v>
      </c>
      <c r="E1505" s="4">
        <f t="shared" si="1"/>
        <v>1.3</v>
      </c>
      <c r="F1505" s="4" t="str">
        <f t="array" ref="F1505">IF(D1505&gt;=_xlfn.PERCENTILE.INC(D1505:D3163, 0.9), "High", "Low")</f>
        <v>Low</v>
      </c>
      <c r="L1505" s="4" t="str">
        <f t="shared" si="2"/>
        <v/>
      </c>
    </row>
    <row r="1506" ht="14.25" customHeight="1">
      <c r="A1506" s="1" t="s">
        <v>3503</v>
      </c>
      <c r="B1506" s="1">
        <v>8.0</v>
      </c>
      <c r="C1506" s="4" t="str">
        <f>IFERROR(__xludf.DUMMYFUNCTION("""COMPUTED_VALUE"""),"David Duchovny")</f>
        <v>David Duchovny</v>
      </c>
      <c r="D1506" s="4">
        <f t="array" ref="D1506">IFERROR(AVERAGEIFS($B$2:$B$3757, $A$2:$A$3757, C1506:C5260), "")</f>
        <v>7</v>
      </c>
      <c r="E1506" s="4">
        <f t="shared" si="1"/>
        <v>59.4</v>
      </c>
      <c r="F1506" s="4" t="str">
        <f t="array" ref="F1506">IF(D1506&gt;=_xlfn.PERCENTILE.INC(D1506:D3164, 0.9), "High", "Low")</f>
        <v>Low</v>
      </c>
      <c r="L1506" s="4" t="str">
        <f t="shared" si="2"/>
        <v/>
      </c>
    </row>
    <row r="1507" ht="14.25" customHeight="1">
      <c r="A1507" s="1" t="s">
        <v>3503</v>
      </c>
      <c r="B1507" s="1">
        <v>8.1</v>
      </c>
      <c r="C1507" s="4" t="str">
        <f>IFERROR(__xludf.DUMMYFUNCTION("""COMPUTED_VALUE"""),"Lance Mungia")</f>
        <v>Lance Mungia</v>
      </c>
      <c r="D1507" s="4">
        <f t="array" ref="D1507">IFERROR(AVERAGEIFS($B$2:$B$3757, $A$2:$A$3757, C1507:C5261), "")</f>
        <v>6.7</v>
      </c>
      <c r="E1507" s="4">
        <f t="shared" si="1"/>
        <v>44.8</v>
      </c>
      <c r="F1507" s="4" t="str">
        <f t="array" ref="F1507">IF(D1507&gt;=_xlfn.PERCENTILE.INC(D1507:D3165, 0.9), "High", "Low")</f>
        <v>Low</v>
      </c>
      <c r="L1507" s="4" t="str">
        <f t="shared" si="2"/>
        <v/>
      </c>
    </row>
    <row r="1508" ht="14.25" customHeight="1">
      <c r="A1508" s="1" t="s">
        <v>4006</v>
      </c>
      <c r="B1508" s="1">
        <v>6.7</v>
      </c>
      <c r="C1508" s="4" t="str">
        <f>IFERROR(__xludf.DUMMYFUNCTION("""COMPUTED_VALUE"""),"Hue Rhodes")</f>
        <v>Hue Rhodes</v>
      </c>
      <c r="D1508" s="4">
        <f t="array" ref="D1508">IFERROR(AVERAGEIFS($B$2:$B$3757, $A$2:$A$3757, C1508:C5262), "")</f>
        <v>5.8</v>
      </c>
      <c r="E1508" s="4">
        <f t="shared" si="1"/>
        <v>13.7</v>
      </c>
      <c r="F1508" s="4" t="str">
        <f t="array" ref="F1508">IF(D1508&gt;=_xlfn.PERCENTILE.INC(D1508:D3166, 0.9), "High", "Low")</f>
        <v>Low</v>
      </c>
      <c r="L1508" s="4" t="str">
        <f t="shared" si="2"/>
        <v/>
      </c>
    </row>
    <row r="1509" ht="14.25" customHeight="1">
      <c r="A1509" s="1" t="s">
        <v>6012</v>
      </c>
      <c r="B1509" s="1">
        <v>7.9</v>
      </c>
      <c r="C1509" s="4" t="str">
        <f>IFERROR(__xludf.DUMMYFUNCTION("""COMPUTED_VALUE"""),"Hunter Richards")</f>
        <v>Hunter Richards</v>
      </c>
      <c r="D1509" s="4">
        <f t="array" ref="D1509">IFERROR(AVERAGEIFS($B$2:$B$3757, $A$2:$A$3757, C1509:C5263), "")</f>
        <v>6.6</v>
      </c>
      <c r="E1509" s="4">
        <f t="shared" si="1"/>
        <v>40.8</v>
      </c>
      <c r="F1509" s="4" t="str">
        <f t="array" ref="F1509">IF(D1509&gt;=_xlfn.PERCENTILE.INC(D1509:D3167, 0.9), "High", "Low")</f>
        <v>Low</v>
      </c>
      <c r="L1509" s="4" t="str">
        <f t="shared" si="2"/>
        <v/>
      </c>
    </row>
    <row r="1510" ht="14.25" customHeight="1">
      <c r="A1510" s="1" t="s">
        <v>5857</v>
      </c>
      <c r="B1510" s="1">
        <v>6.1</v>
      </c>
      <c r="C1510" s="4" t="str">
        <f>IFERROR(__xludf.DUMMYFUNCTION("""COMPUTED_VALUE"""),"Laurie Collyer")</f>
        <v>Laurie Collyer</v>
      </c>
      <c r="D1510" s="4">
        <f t="array" ref="D1510">IFERROR(AVERAGEIFS($B$2:$B$3757, $A$2:$A$3757, C1510:C5264), "")</f>
        <v>6.6</v>
      </c>
      <c r="E1510" s="4">
        <f t="shared" si="1"/>
        <v>41.1</v>
      </c>
      <c r="F1510" s="4" t="str">
        <f t="array" ref="F1510">IF(D1510&gt;=_xlfn.PERCENTILE.INC(D1510:D3168, 0.9), "High", "Low")</f>
        <v>Low</v>
      </c>
      <c r="L1510" s="4" t="str">
        <f t="shared" si="2"/>
        <v/>
      </c>
    </row>
    <row r="1511" ht="14.25" customHeight="1">
      <c r="A1511" s="1" t="s">
        <v>1596</v>
      </c>
      <c r="B1511" s="1">
        <v>4.2</v>
      </c>
      <c r="C1511" s="4" t="str">
        <f>IFERROR(__xludf.DUMMYFUNCTION("""COMPUTED_VALUE"""),"Ralph Ziman")</f>
        <v>Ralph Ziman</v>
      </c>
      <c r="D1511" s="4">
        <f t="array" ref="D1511">IFERROR(AVERAGEIFS($B$2:$B$3757, $A$2:$A$3757, C1511:C5265), "")</f>
        <v>7.8</v>
      </c>
      <c r="E1511" s="4">
        <f t="shared" si="1"/>
        <v>91.3</v>
      </c>
      <c r="F1511" s="4" t="str">
        <f t="array" ref="F1511">IF(D1511&gt;=_xlfn.PERCENTILE.INC(D1511:D3169, 0.9), "High", "Low")</f>
        <v>High</v>
      </c>
      <c r="L1511" s="4" t="str">
        <f t="shared" si="2"/>
        <v/>
      </c>
    </row>
    <row r="1512" ht="14.25" customHeight="1">
      <c r="A1512" s="1" t="s">
        <v>7654</v>
      </c>
      <c r="B1512" s="1">
        <v>6.1</v>
      </c>
      <c r="C1512" s="4" t="str">
        <f>IFERROR(__xludf.DUMMYFUNCTION("""COMPUTED_VALUE"""),"Orson Welles")</f>
        <v>Orson Welles</v>
      </c>
      <c r="D1512" s="4">
        <f t="array" ref="D1512">IFERROR(AVERAGEIFS($B$2:$B$3757, $A$2:$A$3757, C1512:C5266), "")</f>
        <v>7.7</v>
      </c>
      <c r="E1512" s="4">
        <f t="shared" si="1"/>
        <v>87.2</v>
      </c>
      <c r="F1512" s="4" t="str">
        <f t="array" ref="F1512">IF(D1512&gt;=_xlfn.PERCENTILE.INC(D1512:D3170, 0.9), "High", "Low")</f>
        <v>High</v>
      </c>
      <c r="L1512" s="4" t="str">
        <f t="shared" si="2"/>
        <v/>
      </c>
    </row>
    <row r="1513" ht="14.25" customHeight="1">
      <c r="A1513" s="1" t="s">
        <v>5751</v>
      </c>
      <c r="B1513" s="1">
        <v>6.6</v>
      </c>
      <c r="C1513" s="4" t="str">
        <f>IFERROR(__xludf.DUMMYFUNCTION("""COMPUTED_VALUE"""),"Paul Bunnell")</f>
        <v>Paul Bunnell</v>
      </c>
      <c r="D1513" s="4">
        <f t="array" ref="D1513">IFERROR(AVERAGEIFS($B$2:$B$3757, $A$2:$A$3757, C1513:C5267), "")</f>
        <v>5.7</v>
      </c>
      <c r="E1513" s="4">
        <f t="shared" si="1"/>
        <v>12.2</v>
      </c>
      <c r="F1513" s="4" t="str">
        <f t="array" ref="F1513">IF(D1513&gt;=_xlfn.PERCENTILE.INC(D1513:D3171, 0.9), "High", "Low")</f>
        <v>Low</v>
      </c>
      <c r="L1513" s="4" t="str">
        <f t="shared" si="2"/>
        <v/>
      </c>
    </row>
    <row r="1514" ht="14.25" customHeight="1">
      <c r="A1514" s="1" t="s">
        <v>978</v>
      </c>
      <c r="B1514" s="1">
        <v>7.5</v>
      </c>
      <c r="C1514" s="4" t="str">
        <f>IFERROR(__xludf.DUMMYFUNCTION("""COMPUTED_VALUE"""),"Tim Hunter")</f>
        <v>Tim Hunter</v>
      </c>
      <c r="D1514" s="4">
        <f t="array" ref="D1514">IFERROR(AVERAGEIFS($B$2:$B$3757, $A$2:$A$3757, C1514:C5268), "")</f>
        <v>7.1</v>
      </c>
      <c r="E1514" s="4">
        <f t="shared" si="1"/>
        <v>66</v>
      </c>
      <c r="F1514" s="4" t="str">
        <f t="array" ref="F1514">IF(D1514&gt;=_xlfn.PERCENTILE.INC(D1514:D3172, 0.9), "High", "Low")</f>
        <v>Low</v>
      </c>
      <c r="L1514" s="4" t="str">
        <f t="shared" si="2"/>
        <v/>
      </c>
    </row>
    <row r="1515" ht="14.25" customHeight="1">
      <c r="A1515" s="1" t="s">
        <v>7666</v>
      </c>
      <c r="B1515" s="1">
        <v>7.4</v>
      </c>
      <c r="C1515" s="4" t="str">
        <f>IFERROR(__xludf.DUMMYFUNCTION("""COMPUTED_VALUE"""),"Rodrigo CortÃ©s")</f>
        <v>Rodrigo CortÃ©s</v>
      </c>
      <c r="D1515" s="4">
        <f t="array" ref="D1515">IFERROR(AVERAGEIFS($B$2:$B$3757, $A$2:$A$3757, C1515:C5269), "")</f>
        <v>7</v>
      </c>
      <c r="E1515" s="4">
        <f t="shared" si="1"/>
        <v>59.6</v>
      </c>
      <c r="F1515" s="4" t="str">
        <f t="array" ref="F1515">IF(D1515&gt;=_xlfn.PERCENTILE.INC(D1515:D3173, 0.9), "High", "Low")</f>
        <v>Low</v>
      </c>
      <c r="L1515" s="4" t="str">
        <f t="shared" si="2"/>
        <v/>
      </c>
    </row>
    <row r="1516" ht="14.25" customHeight="1">
      <c r="A1516" s="1" t="s">
        <v>7671</v>
      </c>
      <c r="B1516" s="1">
        <v>7.2</v>
      </c>
      <c r="C1516" s="4" t="str">
        <f>IFERROR(__xludf.DUMMYFUNCTION("""COMPUTED_VALUE"""),"Pascal Arnold")</f>
        <v>Pascal Arnold</v>
      </c>
      <c r="D1516" s="4">
        <f t="array" ref="D1516">IFERROR(AVERAGEIFS($B$2:$B$3757, $A$2:$A$3757, C1516:C5270), "")</f>
        <v>5.8</v>
      </c>
      <c r="E1516" s="4">
        <f t="shared" si="1"/>
        <v>13.8</v>
      </c>
      <c r="F1516" s="4" t="str">
        <f t="array" ref="F1516">IF(D1516&gt;=_xlfn.PERCENTILE.INC(D1516:D3174, 0.9), "High", "Low")</f>
        <v>Low</v>
      </c>
      <c r="L1516" s="4" t="str">
        <f t="shared" si="2"/>
        <v/>
      </c>
    </row>
    <row r="1517" ht="14.25" customHeight="1">
      <c r="A1517" s="1" t="s">
        <v>7677</v>
      </c>
      <c r="B1517" s="1">
        <v>6.9</v>
      </c>
      <c r="C1517" s="4" t="str">
        <f>IFERROR(__xludf.DUMMYFUNCTION("""COMPUTED_VALUE"""),"Jamal Hill")</f>
        <v>Jamal Hill</v>
      </c>
      <c r="D1517" s="4">
        <f t="array" ref="D1517">IFERROR(AVERAGEIFS($B$2:$B$3757, $A$2:$A$3757, C1517:C5271), "")</f>
        <v>7.2</v>
      </c>
      <c r="E1517" s="4">
        <f t="shared" si="1"/>
        <v>68.1</v>
      </c>
      <c r="F1517" s="4" t="str">
        <f t="array" ref="F1517">IF(D1517&gt;=_xlfn.PERCENTILE.INC(D1517:D3175, 0.9), "High", "Low")</f>
        <v>Low</v>
      </c>
      <c r="L1517" s="4" t="str">
        <f t="shared" si="2"/>
        <v/>
      </c>
    </row>
    <row r="1518" ht="14.25" customHeight="1">
      <c r="A1518" s="1" t="s">
        <v>7685</v>
      </c>
      <c r="B1518" s="1">
        <v>7.4</v>
      </c>
      <c r="C1518" s="4" t="str">
        <f>IFERROR(__xludf.DUMMYFUNCTION("""COMPUTED_VALUE"""),"Daniel Stamm")</f>
        <v>Daniel Stamm</v>
      </c>
      <c r="D1518" s="4">
        <f t="array" ref="D1518">IFERROR(AVERAGEIFS($B$2:$B$3757, $A$2:$A$3757, C1518:C5272), "")</f>
        <v>5.6</v>
      </c>
      <c r="E1518" s="4">
        <f t="shared" si="1"/>
        <v>9.1</v>
      </c>
      <c r="F1518" s="4" t="str">
        <f t="array" ref="F1518">IF(D1518&gt;=_xlfn.PERCENTILE.INC(D1518:D3176, 0.9), "High", "Low")</f>
        <v>Low</v>
      </c>
      <c r="L1518" s="4" t="str">
        <f t="shared" si="2"/>
        <v/>
      </c>
    </row>
    <row r="1519" ht="14.25" customHeight="1">
      <c r="A1519" s="1" t="s">
        <v>190</v>
      </c>
      <c r="B1519" s="1">
        <v>5.4</v>
      </c>
      <c r="C1519" s="4" t="str">
        <f>IFERROR(__xludf.DUMMYFUNCTION("""COMPUTED_VALUE"""),"Carlos Carrera")</f>
        <v>Carlos Carrera</v>
      </c>
      <c r="D1519" s="4">
        <f t="array" ref="D1519">IFERROR(AVERAGEIFS($B$2:$B$3757, $A$2:$A$3757, C1519:C5273), "")</f>
        <v>6.8</v>
      </c>
      <c r="E1519" s="4">
        <f t="shared" si="1"/>
        <v>50.7</v>
      </c>
      <c r="F1519" s="4" t="str">
        <f t="array" ref="F1519">IF(D1519&gt;=_xlfn.PERCENTILE.INC(D1519:D3177, 0.9), "High", "Low")</f>
        <v>Low</v>
      </c>
      <c r="L1519" s="4" t="str">
        <f t="shared" si="2"/>
        <v/>
      </c>
    </row>
    <row r="1520" ht="14.25" customHeight="1">
      <c r="A1520" s="1" t="s">
        <v>7693</v>
      </c>
      <c r="B1520" s="1">
        <v>6.8</v>
      </c>
      <c r="C1520" s="4" t="str">
        <f>IFERROR(__xludf.DUMMYFUNCTION("""COMPUTED_VALUE"""),"Benh Zeitlin")</f>
        <v>Benh Zeitlin</v>
      </c>
      <c r="D1520" s="4">
        <f t="array" ref="D1520">IFERROR(AVERAGEIFS($B$2:$B$3757, $A$2:$A$3757, C1520:C5274), "")</f>
        <v>7.3</v>
      </c>
      <c r="E1520" s="4">
        <f t="shared" si="1"/>
        <v>74.5</v>
      </c>
      <c r="F1520" s="4" t="str">
        <f t="array" ref="F1520">IF(D1520&gt;=_xlfn.PERCENTILE.INC(D1520:D3178, 0.9), "High", "Low")</f>
        <v>Low</v>
      </c>
      <c r="L1520" s="4" t="str">
        <f t="shared" si="2"/>
        <v/>
      </c>
    </row>
    <row r="1521" ht="14.25" customHeight="1">
      <c r="A1521" s="1" t="s">
        <v>3729</v>
      </c>
      <c r="B1521" s="1">
        <v>6.3</v>
      </c>
      <c r="C1521" s="4" t="str">
        <f>IFERROR(__xludf.DUMMYFUNCTION("""COMPUTED_VALUE"""),"Maggie Greenwald")</f>
        <v>Maggie Greenwald</v>
      </c>
      <c r="D1521" s="4">
        <f t="array" ref="D1521">IFERROR(AVERAGEIFS($B$2:$B$3757, $A$2:$A$3757, C1521:C5275), "")</f>
        <v>7.3</v>
      </c>
      <c r="E1521" s="4">
        <f t="shared" si="1"/>
        <v>75</v>
      </c>
      <c r="F1521" s="4" t="str">
        <f t="array" ref="F1521">IF(D1521&gt;=_xlfn.PERCENTILE.INC(D1521:D3179, 0.9), "High", "Low")</f>
        <v>Low</v>
      </c>
      <c r="L1521" s="4" t="str">
        <f t="shared" si="2"/>
        <v/>
      </c>
    </row>
    <row r="1522" ht="14.25" customHeight="1">
      <c r="A1522" s="1" t="s">
        <v>6911</v>
      </c>
      <c r="B1522" s="1">
        <v>7.2</v>
      </c>
      <c r="C1522" s="4" t="str">
        <f>IFERROR(__xludf.DUMMYFUNCTION("""COMPUTED_VALUE"""),"Lucky McKee")</f>
        <v>Lucky McKee</v>
      </c>
      <c r="D1522" s="4">
        <f t="array" ref="D1522">IFERROR(AVERAGEIFS($B$2:$B$3757, $A$2:$A$3757, C1522:C5276), "")</f>
        <v>6.7</v>
      </c>
      <c r="E1522" s="4">
        <f t="shared" si="1"/>
        <v>45.3</v>
      </c>
      <c r="F1522" s="4" t="str">
        <f t="array" ref="F1522">IF(D1522&gt;=_xlfn.PERCENTILE.INC(D1522:D3180, 0.9), "High", "Low")</f>
        <v>Low</v>
      </c>
      <c r="L1522" s="4" t="str">
        <f t="shared" si="2"/>
        <v/>
      </c>
    </row>
    <row r="1523" ht="14.25" customHeight="1">
      <c r="A1523" s="1" t="s">
        <v>2793</v>
      </c>
      <c r="B1523" s="1">
        <v>6.9</v>
      </c>
      <c r="C1523" s="4" t="str">
        <f>IFERROR(__xludf.DUMMYFUNCTION("""COMPUTED_VALUE"""),"Steven R. Monroe")</f>
        <v>Steven R. Monroe</v>
      </c>
      <c r="D1523" s="4">
        <f t="array" ref="D1523">IFERROR(AVERAGEIFS($B$2:$B$3757, $A$2:$A$3757, C1523:C5277), "")</f>
        <v>6.3</v>
      </c>
      <c r="E1523" s="4">
        <f t="shared" si="1"/>
        <v>31.2</v>
      </c>
      <c r="F1523" s="4" t="str">
        <f t="array" ref="F1523">IF(D1523&gt;=_xlfn.PERCENTILE.INC(D1523:D3181, 0.9), "High", "Low")</f>
        <v>Low</v>
      </c>
      <c r="L1523" s="4" t="str">
        <f t="shared" si="2"/>
        <v/>
      </c>
    </row>
    <row r="1524" ht="14.25" customHeight="1">
      <c r="A1524" s="1" t="s">
        <v>7711</v>
      </c>
      <c r="B1524" s="1">
        <v>6.0</v>
      </c>
      <c r="C1524" s="4" t="str">
        <f>IFERROR(__xludf.DUMMYFUNCTION("""COMPUTED_VALUE"""),"Mark Illsley")</f>
        <v>Mark Illsley</v>
      </c>
      <c r="D1524" s="4">
        <f t="array" ref="D1524">IFERROR(AVERAGEIFS($B$2:$B$3757, $A$2:$A$3757, C1524:C5278), "")</f>
        <v>6.3</v>
      </c>
      <c r="E1524" s="4">
        <f t="shared" si="1"/>
        <v>31.4</v>
      </c>
      <c r="F1524" s="4" t="str">
        <f t="array" ref="F1524">IF(D1524&gt;=_xlfn.PERCENTILE.INC(D1524:D3182, 0.9), "High", "Low")</f>
        <v>Low</v>
      </c>
      <c r="L1524" s="4" t="str">
        <f t="shared" si="2"/>
        <v/>
      </c>
    </row>
    <row r="1525" ht="14.25" customHeight="1">
      <c r="A1525" s="1" t="s">
        <v>7715</v>
      </c>
      <c r="B1525" s="1">
        <v>5.9</v>
      </c>
      <c r="C1525" s="4" t="str">
        <f>IFERROR(__xludf.DUMMYFUNCTION("""COMPUTED_VALUE"""),"Pawel Pawlikowski")</f>
        <v>Pawel Pawlikowski</v>
      </c>
      <c r="D1525" s="4">
        <f t="array" ref="D1525">IFERROR(AVERAGEIFS($B$2:$B$3757, $A$2:$A$3757, C1525:C5279), "")</f>
        <v>6.8</v>
      </c>
      <c r="E1525" s="4">
        <f t="shared" si="1"/>
        <v>50.7</v>
      </c>
      <c r="F1525" s="4" t="str">
        <f t="array" ref="F1525">IF(D1525&gt;=_xlfn.PERCENTILE.INC(D1525:D3183, 0.9), "High", "Low")</f>
        <v>Low</v>
      </c>
      <c r="L1525" s="4" t="str">
        <f t="shared" si="2"/>
        <v/>
      </c>
    </row>
    <row r="1526" ht="14.25" customHeight="1">
      <c r="A1526" s="1" t="s">
        <v>7719</v>
      </c>
      <c r="B1526" s="1">
        <v>5.4</v>
      </c>
      <c r="C1526" s="4" t="str">
        <f>IFERROR(__xludf.DUMMYFUNCTION("""COMPUTED_VALUE"""),"Ritesh Batra")</f>
        <v>Ritesh Batra</v>
      </c>
      <c r="D1526" s="4">
        <f t="array" ref="D1526">IFERROR(AVERAGEIFS($B$2:$B$3757, $A$2:$A$3757, C1526:C5280), "")</f>
        <v>7.8</v>
      </c>
      <c r="E1526" s="4">
        <f t="shared" si="1"/>
        <v>91.1</v>
      </c>
      <c r="F1526" s="4" t="str">
        <f t="array" ref="F1526">IF(D1526&gt;=_xlfn.PERCENTILE.INC(D1526:D3184, 0.9), "High", "Low")</f>
        <v>High</v>
      </c>
      <c r="L1526" s="4" t="str">
        <f t="shared" si="2"/>
        <v/>
      </c>
    </row>
    <row r="1527" ht="14.25" customHeight="1">
      <c r="A1527" s="1" t="s">
        <v>2655</v>
      </c>
      <c r="B1527" s="1">
        <v>5.9</v>
      </c>
      <c r="C1527" s="4" t="str">
        <f>IFERROR(__xludf.DUMMYFUNCTION("""COMPUTED_VALUE"""),"Sally Potter")</f>
        <v>Sally Potter</v>
      </c>
      <c r="D1527" s="4">
        <f t="array" ref="D1527">IFERROR(AVERAGEIFS($B$2:$B$3757, $A$2:$A$3757, C1527:C5281), "")</f>
        <v>6.9</v>
      </c>
      <c r="E1527" s="4">
        <f t="shared" si="1"/>
        <v>55.2</v>
      </c>
      <c r="F1527" s="4" t="str">
        <f t="array" ref="F1527">IF(D1527&gt;=_xlfn.PERCENTILE.INC(D1527:D3185, 0.9), "High", "Low")</f>
        <v>Low</v>
      </c>
      <c r="L1527" s="4" t="str">
        <f t="shared" si="2"/>
        <v/>
      </c>
    </row>
    <row r="1528" ht="14.25" customHeight="1">
      <c r="A1528" s="1" t="s">
        <v>7719</v>
      </c>
      <c r="B1528" s="1">
        <v>6.1</v>
      </c>
      <c r="C1528" s="4" t="str">
        <f>IFERROR(__xludf.DUMMYFUNCTION("""COMPUTED_VALUE"""),"Nadine Labaki")</f>
        <v>Nadine Labaki</v>
      </c>
      <c r="D1528" s="4">
        <f t="array" ref="D1528">IFERROR(AVERAGEIFS($B$2:$B$3757, $A$2:$A$3757, C1528:C5282), "")</f>
        <v>7.2</v>
      </c>
      <c r="E1528" s="4">
        <f t="shared" si="1"/>
        <v>68.4</v>
      </c>
      <c r="F1528" s="4" t="str">
        <f t="array" ref="F1528">IF(D1528&gt;=_xlfn.PERCENTILE.INC(D1528:D3186, 0.9), "High", "Low")</f>
        <v>Low</v>
      </c>
      <c r="L1528" s="4" t="str">
        <f t="shared" si="2"/>
        <v/>
      </c>
    </row>
    <row r="1529" ht="14.25" customHeight="1">
      <c r="A1529" s="1" t="s">
        <v>3797</v>
      </c>
      <c r="B1529" s="1">
        <v>7.7</v>
      </c>
      <c r="C1529" s="4" t="str">
        <f>IFERROR(__xludf.DUMMYFUNCTION("""COMPUTED_VALUE"""),"FranÃ§ois Truffaut")</f>
        <v>FranÃ§ois Truffaut</v>
      </c>
      <c r="D1529" s="4">
        <f t="array" ref="D1529">IFERROR(AVERAGEIFS($B$2:$B$3757, $A$2:$A$3757, C1529:C5283), "")</f>
        <v>7.2</v>
      </c>
      <c r="E1529" s="4">
        <f t="shared" si="1"/>
        <v>68.9</v>
      </c>
      <c r="F1529" s="4" t="str">
        <f t="array" ref="F1529">IF(D1529&gt;=_xlfn.PERCENTILE.INC(D1529:D3187, 0.9), "High", "Low")</f>
        <v>Low</v>
      </c>
      <c r="L1529" s="4" t="str">
        <f t="shared" si="2"/>
        <v/>
      </c>
    </row>
    <row r="1530" ht="14.25" customHeight="1">
      <c r="A1530" s="1" t="s">
        <v>7738</v>
      </c>
      <c r="B1530" s="1">
        <v>5.8</v>
      </c>
      <c r="C1530" s="4" t="str">
        <f>IFERROR(__xludf.DUMMYFUNCTION("""COMPUTED_VALUE"""),"Adam Goldberg")</f>
        <v>Adam Goldberg</v>
      </c>
      <c r="D1530" s="4">
        <f t="array" ref="D1530">IFERROR(AVERAGEIFS($B$2:$B$3757, $A$2:$A$3757, C1530:C5284), "")</f>
        <v>5.4</v>
      </c>
      <c r="E1530" s="4">
        <f t="shared" si="1"/>
        <v>6.9</v>
      </c>
      <c r="F1530" s="4" t="str">
        <f t="array" ref="F1530">IF(D1530&gt;=_xlfn.PERCENTILE.INC(D1530:D3188, 0.9), "High", "Low")</f>
        <v>Low</v>
      </c>
      <c r="L1530" s="4" t="str">
        <f t="shared" si="2"/>
        <v/>
      </c>
    </row>
    <row r="1531" ht="14.25" customHeight="1">
      <c r="A1531" s="1" t="s">
        <v>7742</v>
      </c>
      <c r="B1531" s="1">
        <v>7.6</v>
      </c>
      <c r="C1531" s="4" t="str">
        <f>IFERROR(__xludf.DUMMYFUNCTION("""COMPUTED_VALUE"""),"Adrienne Shelly")</f>
        <v>Adrienne Shelly</v>
      </c>
      <c r="D1531" s="4">
        <f t="array" ref="D1531">IFERROR(AVERAGEIFS($B$2:$B$3757, $A$2:$A$3757, C1531:C5285), "")</f>
        <v>7.1</v>
      </c>
      <c r="E1531" s="4">
        <f t="shared" si="1"/>
        <v>66.9</v>
      </c>
      <c r="F1531" s="4" t="str">
        <f t="array" ref="F1531">IF(D1531&gt;=_xlfn.PERCENTILE.INC(D1531:D3189, 0.9), "High", "Low")</f>
        <v>Low</v>
      </c>
      <c r="L1531" s="4" t="str">
        <f t="shared" si="2"/>
        <v/>
      </c>
    </row>
    <row r="1532" ht="14.25" customHeight="1">
      <c r="A1532" s="1" t="s">
        <v>6585</v>
      </c>
      <c r="B1532" s="1">
        <v>6.1</v>
      </c>
      <c r="C1532" s="4" t="str">
        <f>IFERROR(__xludf.DUMMYFUNCTION("""COMPUTED_VALUE"""),"Newt Arnold")</f>
        <v>Newt Arnold</v>
      </c>
      <c r="D1532" s="4">
        <f t="array" ref="D1532">IFERROR(AVERAGEIFS($B$2:$B$3757, $A$2:$A$3757, C1532:C5286), "")</f>
        <v>6.8</v>
      </c>
      <c r="E1532" s="4">
        <f t="shared" si="1"/>
        <v>52.7</v>
      </c>
      <c r="F1532" s="4" t="str">
        <f t="array" ref="F1532">IF(D1532&gt;=_xlfn.PERCENTILE.INC(D1532:D3190, 0.9), "High", "Low")</f>
        <v>Low</v>
      </c>
      <c r="L1532" s="4" t="str">
        <f t="shared" si="2"/>
        <v/>
      </c>
    </row>
    <row r="1533" ht="14.25" customHeight="1">
      <c r="A1533" s="1" t="s">
        <v>7751</v>
      </c>
      <c r="B1533" s="1">
        <v>5.4</v>
      </c>
      <c r="C1533" s="4" t="str">
        <f>IFERROR(__xludf.DUMMYFUNCTION("""COMPUTED_VALUE"""),"FabiÃ¡n Bielinsky")</f>
        <v>FabiÃ¡n Bielinsky</v>
      </c>
      <c r="D1533" s="4">
        <f t="array" ref="D1533">IFERROR(AVERAGEIFS($B$2:$B$3757, $A$2:$A$3757, C1533:C5287), "")</f>
        <v>7.9</v>
      </c>
      <c r="E1533" s="4">
        <f t="shared" si="1"/>
        <v>93</v>
      </c>
      <c r="F1533" s="4" t="str">
        <f t="array" ref="F1533">IF(D1533&gt;=_xlfn.PERCENTILE.INC(D1533:D3191, 0.9), "High", "Low")</f>
        <v>High</v>
      </c>
      <c r="L1533" s="4" t="str">
        <f t="shared" si="2"/>
        <v/>
      </c>
    </row>
    <row r="1534" ht="14.25" customHeight="1">
      <c r="A1534" s="1" t="s">
        <v>5548</v>
      </c>
      <c r="B1534" s="1">
        <v>5.1</v>
      </c>
      <c r="C1534" s="4" t="str">
        <f>IFERROR(__xludf.DUMMYFUNCTION("""COMPUTED_VALUE"""),"Rebecca Miller")</f>
        <v>Rebecca Miller</v>
      </c>
      <c r="D1534" s="4">
        <f t="array" ref="D1534">IFERROR(AVERAGEIFS($B$2:$B$3757, $A$2:$A$3757, C1534:C5288), "")</f>
        <v>6.7</v>
      </c>
      <c r="E1534" s="4">
        <f t="shared" si="1"/>
        <v>47.2</v>
      </c>
      <c r="F1534" s="4" t="str">
        <f t="array" ref="F1534">IF(D1534&gt;=_xlfn.PERCENTILE.INC(D1534:D3192, 0.9), "High", "Low")</f>
        <v>Low</v>
      </c>
      <c r="L1534" s="4" t="str">
        <f t="shared" si="2"/>
        <v/>
      </c>
    </row>
    <row r="1535" ht="14.25" customHeight="1">
      <c r="A1535" s="1" t="s">
        <v>2368</v>
      </c>
      <c r="B1535" s="1">
        <v>6.4</v>
      </c>
      <c r="C1535" s="4" t="str">
        <f>IFERROR(__xludf.DUMMYFUNCTION("""COMPUTED_VALUE"""),"Maggie Carey")</f>
        <v>Maggie Carey</v>
      </c>
      <c r="D1535" s="4">
        <f t="array" ref="D1535">IFERROR(AVERAGEIFS($B$2:$B$3757, $A$2:$A$3757, C1535:C5289), "")</f>
        <v>5.8</v>
      </c>
      <c r="E1535" s="4">
        <f t="shared" si="1"/>
        <v>14.3</v>
      </c>
      <c r="F1535" s="4" t="str">
        <f t="array" ref="F1535">IF(D1535&gt;=_xlfn.PERCENTILE.INC(D1535:D3193, 0.9), "High", "Low")</f>
        <v>Low</v>
      </c>
      <c r="L1535" s="4" t="str">
        <f t="shared" si="2"/>
        <v/>
      </c>
    </row>
    <row r="1536" ht="14.25" customHeight="1">
      <c r="A1536" s="1" t="s">
        <v>5767</v>
      </c>
      <c r="B1536" s="1">
        <v>6.3</v>
      </c>
      <c r="C1536" s="4" t="str">
        <f>IFERROR(__xludf.DUMMYFUNCTION("""COMPUTED_VALUE"""),"Henry Bean")</f>
        <v>Henry Bean</v>
      </c>
      <c r="D1536" s="4">
        <f t="array" ref="D1536">IFERROR(AVERAGEIFS($B$2:$B$3757, $A$2:$A$3757, C1536:C5290), "")</f>
        <v>7.2</v>
      </c>
      <c r="E1536" s="4">
        <f t="shared" si="1"/>
        <v>68.8</v>
      </c>
      <c r="F1536" s="4" t="str">
        <f t="array" ref="F1536">IF(D1536&gt;=_xlfn.PERCENTILE.INC(D1536:D3194, 0.9), "High", "Low")</f>
        <v>Low</v>
      </c>
      <c r="L1536" s="4" t="str">
        <f t="shared" si="2"/>
        <v/>
      </c>
    </row>
    <row r="1537" ht="14.25" customHeight="1">
      <c r="A1537" s="1" t="s">
        <v>7770</v>
      </c>
      <c r="B1537" s="1">
        <v>7.5</v>
      </c>
      <c r="C1537" s="4" t="str">
        <f>IFERROR(__xludf.DUMMYFUNCTION("""COMPUTED_VALUE"""),"Jeff Garlin")</f>
        <v>Jeff Garlin</v>
      </c>
      <c r="D1537" s="4">
        <f t="array" ref="D1537">IFERROR(AVERAGEIFS($B$2:$B$3757, $A$2:$A$3757, C1537:C5291), "")</f>
        <v>6.2</v>
      </c>
      <c r="E1537" s="4">
        <f t="shared" si="1"/>
        <v>29.8</v>
      </c>
      <c r="F1537" s="4" t="str">
        <f t="array" ref="F1537">IF(D1537&gt;=_xlfn.PERCENTILE.INC(D1537:D3195, 0.9), "High", "Low")</f>
        <v>Low</v>
      </c>
      <c r="L1537" s="4" t="str">
        <f t="shared" si="2"/>
        <v/>
      </c>
    </row>
    <row r="1538" ht="14.25" customHeight="1">
      <c r="A1538" s="1" t="s">
        <v>5160</v>
      </c>
      <c r="B1538" s="1">
        <v>7.1</v>
      </c>
      <c r="C1538" s="4" t="str">
        <f>IFERROR(__xludf.DUMMYFUNCTION("""COMPUTED_VALUE"""),"Charles Chaplin")</f>
        <v>Charles Chaplin</v>
      </c>
      <c r="D1538" s="4">
        <f t="array" ref="D1538">IFERROR(AVERAGEIFS($B$2:$B$3757, $A$2:$A$3757, C1538:C5292), "")</f>
        <v>8.6</v>
      </c>
      <c r="E1538" s="4">
        <f t="shared" si="1"/>
        <v>99.2</v>
      </c>
      <c r="F1538" s="4" t="str">
        <f t="array" ref="F1538">IF(D1538&gt;=_xlfn.PERCENTILE.INC(D1538:D3196, 0.9), "High", "Low")</f>
        <v>High</v>
      </c>
      <c r="L1538" s="4" t="str">
        <f t="shared" si="2"/>
        <v/>
      </c>
    </row>
    <row r="1539" ht="14.25" customHeight="1">
      <c r="A1539" s="1" t="s">
        <v>903</v>
      </c>
      <c r="B1539" s="1">
        <v>7.8</v>
      </c>
      <c r="C1539" s="4" t="str">
        <f>IFERROR(__xludf.DUMMYFUNCTION("""COMPUTED_VALUE"""),"Pete Jones")</f>
        <v>Pete Jones</v>
      </c>
      <c r="D1539" s="4">
        <f t="array" ref="D1539">IFERROR(AVERAGEIFS($B$2:$B$3757, $A$2:$A$3757, C1539:C5293), "")</f>
        <v>6.5</v>
      </c>
      <c r="E1539" s="4">
        <f t="shared" si="1"/>
        <v>41</v>
      </c>
      <c r="F1539" s="4" t="str">
        <f t="array" ref="F1539">IF(D1539&gt;=_xlfn.PERCENTILE.INC(D1539:D3197, 0.9), "High", "Low")</f>
        <v>Low</v>
      </c>
      <c r="L1539" s="4" t="str">
        <f t="shared" si="2"/>
        <v/>
      </c>
    </row>
    <row r="1540" ht="14.25" customHeight="1">
      <c r="A1540" s="1" t="s">
        <v>7719</v>
      </c>
      <c r="B1540" s="1">
        <v>6.5</v>
      </c>
      <c r="C1540" s="4" t="str">
        <f>IFERROR(__xludf.DUMMYFUNCTION("""COMPUTED_VALUE"""),"Bruce Campbell")</f>
        <v>Bruce Campbell</v>
      </c>
      <c r="D1540" s="4">
        <f t="array" ref="D1540">IFERROR(AVERAGEIFS($B$2:$B$3757, $A$2:$A$3757, C1540:C5294), "")</f>
        <v>6.3</v>
      </c>
      <c r="E1540" s="4">
        <f t="shared" si="1"/>
        <v>33.1</v>
      </c>
      <c r="F1540" s="4" t="str">
        <f t="array" ref="F1540">IF(D1540&gt;=_xlfn.PERCENTILE.INC(D1540:D3198, 0.9), "High", "Low")</f>
        <v>Low</v>
      </c>
      <c r="L1540" s="4" t="str">
        <f t="shared" si="2"/>
        <v/>
      </c>
    </row>
    <row r="1541" ht="14.25" customHeight="1">
      <c r="A1541" s="1" t="s">
        <v>179</v>
      </c>
      <c r="B1541" s="1">
        <v>6.6</v>
      </c>
      <c r="C1541" s="4" t="str">
        <f>IFERROR(__xludf.DUMMYFUNCTION("""COMPUTED_VALUE"""),"Bruce McDonald")</f>
        <v>Bruce McDonald</v>
      </c>
      <c r="D1541" s="4">
        <f t="array" ref="D1541">IFERROR(AVERAGEIFS($B$2:$B$3757, $A$2:$A$3757, C1541:C5295), "")</f>
        <v>6.7</v>
      </c>
      <c r="E1541" s="4">
        <f t="shared" si="1"/>
        <v>46.7</v>
      </c>
      <c r="F1541" s="4" t="str">
        <f t="array" ref="F1541">IF(D1541&gt;=_xlfn.PERCENTILE.INC(D1541:D3199, 0.9), "High", "Low")</f>
        <v>Low</v>
      </c>
      <c r="L1541" s="4" t="str">
        <f t="shared" si="2"/>
        <v/>
      </c>
    </row>
    <row r="1542" ht="14.25" customHeight="1">
      <c r="A1542" s="1" t="s">
        <v>247</v>
      </c>
      <c r="B1542" s="1">
        <v>7.4</v>
      </c>
      <c r="C1542" s="4" t="str">
        <f>IFERROR(__xludf.DUMMYFUNCTION("""COMPUTED_VALUE"""),"James Mottern")</f>
        <v>James Mottern</v>
      </c>
      <c r="D1542" s="4">
        <f t="array" ref="D1542">IFERROR(AVERAGEIFS($B$2:$B$3757, $A$2:$A$3757, C1542:C5296), "")</f>
        <v>6.7</v>
      </c>
      <c r="E1542" s="4">
        <f t="shared" si="1"/>
        <v>47.1</v>
      </c>
      <c r="F1542" s="4" t="str">
        <f t="array" ref="F1542">IF(D1542&gt;=_xlfn.PERCENTILE.INC(D1542:D3200, 0.9), "High", "Low")</f>
        <v>Low</v>
      </c>
      <c r="L1542" s="4" t="str">
        <f t="shared" si="2"/>
        <v/>
      </c>
    </row>
    <row r="1543" ht="14.25" customHeight="1">
      <c r="A1543" s="1" t="s">
        <v>5383</v>
      </c>
      <c r="B1543" s="1">
        <v>7.6</v>
      </c>
      <c r="C1543" s="4" t="str">
        <f>IFERROR(__xludf.DUMMYFUNCTION("""COMPUTED_VALUE"""),"William Cottrell")</f>
        <v>William Cottrell</v>
      </c>
      <c r="D1543" s="4">
        <f t="array" ref="D1543">IFERROR(AVERAGEIFS($B$2:$B$3757, $A$2:$A$3757, C1543:C5297), "")</f>
        <v>7.7</v>
      </c>
      <c r="E1543" s="4">
        <f t="shared" si="1"/>
        <v>87.3</v>
      </c>
      <c r="F1543" s="4" t="str">
        <f t="array" ref="F1543">IF(D1543&gt;=_xlfn.PERCENTILE.INC(D1543:D3201, 0.9), "High", "Low")</f>
        <v>High</v>
      </c>
      <c r="L1543" s="4" t="str">
        <f t="shared" si="2"/>
        <v/>
      </c>
    </row>
    <row r="1544" ht="14.25" customHeight="1">
      <c r="A1544" s="1" t="s">
        <v>2938</v>
      </c>
      <c r="B1544" s="1">
        <v>7.5</v>
      </c>
      <c r="C1544" s="4" t="str">
        <f>IFERROR(__xludf.DUMMYFUNCTION("""COMPUTED_VALUE"""),"Lucrecia Martel")</f>
        <v>Lucrecia Martel</v>
      </c>
      <c r="D1544" s="4">
        <f t="array" ref="D1544">IFERROR(AVERAGEIFS($B$2:$B$3757, $A$2:$A$3757, C1544:C5298), "")</f>
        <v>6.7</v>
      </c>
      <c r="E1544" s="4">
        <f t="shared" si="1"/>
        <v>47.9</v>
      </c>
      <c r="F1544" s="4" t="str">
        <f t="array" ref="F1544">IF(D1544&gt;=_xlfn.PERCENTILE.INC(D1544:D3202, 0.9), "High", "Low")</f>
        <v>Low</v>
      </c>
      <c r="L1544" s="4" t="str">
        <f t="shared" si="2"/>
        <v/>
      </c>
    </row>
    <row r="1545" ht="14.25" customHeight="1">
      <c r="A1545" s="1" t="s">
        <v>71</v>
      </c>
      <c r="B1545" s="1">
        <v>6.6</v>
      </c>
      <c r="C1545" s="4" t="str">
        <f>IFERROR(__xludf.DUMMYFUNCTION("""COMPUTED_VALUE"""),"Zak Penn")</f>
        <v>Zak Penn</v>
      </c>
      <c r="D1545" s="4">
        <f t="array" ref="D1545">IFERROR(AVERAGEIFS($B$2:$B$3757, $A$2:$A$3757, C1545:C5299), "")</f>
        <v>6.6</v>
      </c>
      <c r="E1545" s="4">
        <f t="shared" si="1"/>
        <v>44.8</v>
      </c>
      <c r="F1545" s="4" t="str">
        <f t="array" ref="F1545">IF(D1545&gt;=_xlfn.PERCENTILE.INC(D1545:D3203, 0.9), "High", "Low")</f>
        <v>Low</v>
      </c>
      <c r="L1545" s="4" t="str">
        <f t="shared" si="2"/>
        <v/>
      </c>
    </row>
    <row r="1546" ht="14.25" customHeight="1">
      <c r="A1546" s="1" t="s">
        <v>7813</v>
      </c>
      <c r="B1546" s="1">
        <v>7.2</v>
      </c>
      <c r="C1546" s="4" t="str">
        <f>IFERROR(__xludf.DUMMYFUNCTION("""COMPUTED_VALUE"""),"Steve Buscemi")</f>
        <v>Steve Buscemi</v>
      </c>
      <c r="D1546" s="4">
        <f t="array" ref="D1546">IFERROR(AVERAGEIFS($B$2:$B$3757, $A$2:$A$3757, C1546:C5300), "")</f>
        <v>6.9</v>
      </c>
      <c r="E1546" s="4">
        <f t="shared" si="1"/>
        <v>54.8</v>
      </c>
      <c r="F1546" s="4" t="str">
        <f t="array" ref="F1546">IF(D1546&gt;=_xlfn.PERCENTILE.INC(D1546:D3204, 0.9), "High", "Low")</f>
        <v>Low</v>
      </c>
      <c r="L1546" s="4" t="str">
        <f t="shared" si="2"/>
        <v/>
      </c>
    </row>
    <row r="1547" ht="14.25" customHeight="1">
      <c r="A1547" s="1" t="s">
        <v>7817</v>
      </c>
      <c r="B1547" s="1">
        <v>7.6</v>
      </c>
      <c r="C1547" s="4" t="str">
        <f>IFERROR(__xludf.DUMMYFUNCTION("""COMPUTED_VALUE"""),"Ham Tran")</f>
        <v>Ham Tran</v>
      </c>
      <c r="D1547" s="4">
        <f t="array" ref="D1547">IFERROR(AVERAGEIFS($B$2:$B$3757, $A$2:$A$3757, C1547:C5301), "")</f>
        <v>7.4</v>
      </c>
      <c r="E1547" s="4">
        <f t="shared" si="1"/>
        <v>75.4</v>
      </c>
      <c r="F1547" s="4" t="str">
        <f t="array" ref="F1547">IF(D1547&gt;=_xlfn.PERCENTILE.INC(D1547:D3205, 0.9), "High", "Low")</f>
        <v>Low</v>
      </c>
      <c r="L1547" s="4" t="str">
        <f t="shared" si="2"/>
        <v/>
      </c>
    </row>
    <row r="1548" ht="14.25" customHeight="1">
      <c r="A1548" s="1" t="s">
        <v>1034</v>
      </c>
      <c r="B1548" s="1">
        <v>6.2</v>
      </c>
      <c r="C1548" s="4" t="str">
        <f>IFERROR(__xludf.DUMMYFUNCTION("""COMPUTED_VALUE"""),"Rich Cowan")</f>
        <v>Rich Cowan</v>
      </c>
      <c r="D1548" s="4">
        <f t="array" ref="D1548">IFERROR(AVERAGEIFS($B$2:$B$3757, $A$2:$A$3757, C1548:C5302), "")</f>
        <v>6.5</v>
      </c>
      <c r="E1548" s="4">
        <f t="shared" si="1"/>
        <v>43.4</v>
      </c>
      <c r="F1548" s="4" t="str">
        <f t="array" ref="F1548">IF(D1548&gt;=_xlfn.PERCENTILE.INC(D1548:D3206, 0.9), "High", "Low")</f>
        <v>Low</v>
      </c>
      <c r="L1548" s="4" t="str">
        <f t="shared" si="2"/>
        <v/>
      </c>
    </row>
    <row r="1549" ht="14.25" customHeight="1">
      <c r="A1549" s="1" t="s">
        <v>5109</v>
      </c>
      <c r="B1549" s="1">
        <v>5.6</v>
      </c>
      <c r="C1549" s="4" t="str">
        <f>IFERROR(__xludf.DUMMYFUNCTION("""COMPUTED_VALUE"""),"Jonathan Kesselman")</f>
        <v>Jonathan Kesselman</v>
      </c>
      <c r="D1549" s="4">
        <f t="array" ref="D1549">IFERROR(AVERAGEIFS($B$2:$B$3757, $A$2:$A$3757, C1549:C5303), "")</f>
        <v>6.2</v>
      </c>
      <c r="E1549" s="4">
        <f t="shared" si="1"/>
        <v>33</v>
      </c>
      <c r="F1549" s="4" t="str">
        <f t="array" ref="F1549">IF(D1549&gt;=_xlfn.PERCENTILE.INC(D1549:D3207, 0.9), "High", "Low")</f>
        <v>Low</v>
      </c>
      <c r="L1549" s="4" t="str">
        <f t="shared" si="2"/>
        <v/>
      </c>
    </row>
    <row r="1550" ht="14.25" customHeight="1">
      <c r="A1550" s="1" t="s">
        <v>117</v>
      </c>
      <c r="B1550" s="1">
        <v>7.6</v>
      </c>
      <c r="C1550" s="4" t="str">
        <f>IFERROR(__xludf.DUMMYFUNCTION("""COMPUTED_VALUE"""),"Jamie Babbit")</f>
        <v>Jamie Babbit</v>
      </c>
      <c r="D1550" s="4">
        <f t="array" ref="D1550">IFERROR(AVERAGEIFS($B$2:$B$3757, $A$2:$A$3757, C1550:C5304), "")</f>
        <v>6.5</v>
      </c>
      <c r="E1550" s="4">
        <f t="shared" si="1"/>
        <v>43.2</v>
      </c>
      <c r="F1550" s="4" t="str">
        <f t="array" ref="F1550">IF(D1550&gt;=_xlfn.PERCENTILE.INC(D1550:D3208, 0.9), "High", "Low")</f>
        <v>Low</v>
      </c>
      <c r="L1550" s="4" t="str">
        <f t="shared" si="2"/>
        <v/>
      </c>
    </row>
    <row r="1551" ht="14.25" customHeight="1">
      <c r="A1551" s="1" t="s">
        <v>3363</v>
      </c>
      <c r="B1551" s="1">
        <v>6.6</v>
      </c>
      <c r="C1551" s="4" t="str">
        <f>IFERROR(__xludf.DUMMYFUNCTION("""COMPUTED_VALUE"""),"David Boyd")</f>
        <v>David Boyd</v>
      </c>
      <c r="D1551" s="4">
        <f t="array" ref="D1551">IFERROR(AVERAGEIFS($B$2:$B$3757, $A$2:$A$3757, C1551:C5305), "")</f>
        <v>6</v>
      </c>
      <c r="E1551" s="4">
        <f t="shared" si="1"/>
        <v>20.9</v>
      </c>
      <c r="F1551" s="4" t="str">
        <f t="array" ref="F1551">IF(D1551&gt;=_xlfn.PERCENTILE.INC(D1551:D3209, 0.9), "High", "Low")</f>
        <v>Low</v>
      </c>
      <c r="L1551" s="4" t="str">
        <f t="shared" si="2"/>
        <v/>
      </c>
    </row>
    <row r="1552" ht="14.25" customHeight="1">
      <c r="A1552" s="1" t="s">
        <v>7840</v>
      </c>
      <c r="B1552" s="1">
        <v>7.0</v>
      </c>
      <c r="C1552" s="4" t="str">
        <f>IFERROR(__xludf.DUMMYFUNCTION("""COMPUTED_VALUE"""),"Anna Muylaert")</f>
        <v>Anna Muylaert</v>
      </c>
      <c r="D1552" s="4">
        <f t="array" ref="D1552">IFERROR(AVERAGEIFS($B$2:$B$3757, $A$2:$A$3757, C1552:C5306), "")</f>
        <v>7.9</v>
      </c>
      <c r="E1552" s="4">
        <f t="shared" si="1"/>
        <v>93.6</v>
      </c>
      <c r="F1552" s="4" t="str">
        <f t="array" ref="F1552">IF(D1552&gt;=_xlfn.PERCENTILE.INC(D1552:D3210, 0.9), "High", "Low")</f>
        <v>High</v>
      </c>
      <c r="L1552" s="4" t="str">
        <f t="shared" si="2"/>
        <v/>
      </c>
    </row>
    <row r="1553" ht="14.25" customHeight="1">
      <c r="A1553" s="1" t="s">
        <v>7844</v>
      </c>
      <c r="B1553" s="1">
        <v>2.7</v>
      </c>
      <c r="C1553" s="4" t="str">
        <f>IFERROR(__xludf.DUMMYFUNCTION("""COMPUTED_VALUE"""),"Steve Taylor")</f>
        <v>Steve Taylor</v>
      </c>
      <c r="D1553" s="4">
        <f t="array" ref="D1553">IFERROR(AVERAGEIFS($B$2:$B$3757, $A$2:$A$3757, C1553:C5307), "")</f>
        <v>6</v>
      </c>
      <c r="E1553" s="4">
        <f t="shared" si="1"/>
        <v>21.3</v>
      </c>
      <c r="F1553" s="4" t="str">
        <f t="array" ref="F1553">IF(D1553&gt;=_xlfn.PERCENTILE.INC(D1553:D3211, 0.9), "High", "Low")</f>
        <v>Low</v>
      </c>
      <c r="L1553" s="4" t="str">
        <f t="shared" si="2"/>
        <v/>
      </c>
    </row>
    <row r="1554" ht="14.25" customHeight="1">
      <c r="A1554" s="1" t="s">
        <v>2338</v>
      </c>
      <c r="B1554" s="1">
        <v>7.6</v>
      </c>
      <c r="C1554" s="4" t="str">
        <f>IFERROR(__xludf.DUMMYFUNCTION("""COMPUTED_VALUE"""),"Kurt Voss")</f>
        <v>Kurt Voss</v>
      </c>
      <c r="D1554" s="4">
        <f t="array" ref="D1554">IFERROR(AVERAGEIFS($B$2:$B$3757, $A$2:$A$3757, C1554:C5308), "")</f>
        <v>6.1</v>
      </c>
      <c r="E1554" s="4">
        <f t="shared" si="1"/>
        <v>25.2</v>
      </c>
      <c r="F1554" s="4" t="str">
        <f t="array" ref="F1554">IF(D1554&gt;=_xlfn.PERCENTILE.INC(D1554:D3212, 0.9), "High", "Low")</f>
        <v>Low</v>
      </c>
      <c r="L1554" s="4" t="str">
        <f t="shared" si="2"/>
        <v/>
      </c>
    </row>
    <row r="1555" ht="14.25" customHeight="1">
      <c r="A1555" s="1" t="s">
        <v>2481</v>
      </c>
      <c r="B1555" s="1">
        <v>6.6</v>
      </c>
      <c r="C1555" s="4" t="str">
        <f>IFERROR(__xludf.DUMMYFUNCTION("""COMPUTED_VALUE"""),"Rob McKittrick")</f>
        <v>Rob McKittrick</v>
      </c>
      <c r="D1555" s="4">
        <f t="array" ref="D1555">IFERROR(AVERAGEIFS($B$2:$B$3757, $A$2:$A$3757, C1555:C5309), "")</f>
        <v>6.8</v>
      </c>
      <c r="E1555" s="4">
        <f t="shared" si="1"/>
        <v>50</v>
      </c>
      <c r="F1555" s="4" t="str">
        <f t="array" ref="F1555">IF(D1555&gt;=_xlfn.PERCENTILE.INC(D1555:D3213, 0.9), "High", "Low")</f>
        <v>Low</v>
      </c>
      <c r="L1555" s="4" t="str">
        <f t="shared" si="2"/>
        <v/>
      </c>
    </row>
    <row r="1556" ht="14.25" customHeight="1">
      <c r="A1556" s="1" t="s">
        <v>1872</v>
      </c>
      <c r="B1556" s="1">
        <v>6.9</v>
      </c>
      <c r="C1556" s="4" t="str">
        <f>IFERROR(__xludf.DUMMYFUNCTION("""COMPUTED_VALUE"""),"Jeff Burr")</f>
        <v>Jeff Burr</v>
      </c>
      <c r="D1556" s="4">
        <f t="array" ref="D1556">IFERROR(AVERAGEIFS($B$2:$B$3757, $A$2:$A$3757, C1556:C5310), "")</f>
        <v>5.9</v>
      </c>
      <c r="E1556" s="4">
        <f t="shared" si="1"/>
        <v>18.1</v>
      </c>
      <c r="F1556" s="4" t="str">
        <f t="array" ref="F1556">IF(D1556&gt;=_xlfn.PERCENTILE.INC(D1556:D3214, 0.9), "High", "Low")</f>
        <v>Low</v>
      </c>
      <c r="L1556" s="4" t="str">
        <f t="shared" si="2"/>
        <v/>
      </c>
    </row>
    <row r="1557" ht="14.25" customHeight="1">
      <c r="A1557" s="1" t="s">
        <v>903</v>
      </c>
      <c r="B1557" s="1">
        <v>6.8</v>
      </c>
      <c r="C1557" s="4" t="str">
        <f>IFERROR(__xludf.DUMMYFUNCTION("""COMPUTED_VALUE"""),"Panos Cosmatos")</f>
        <v>Panos Cosmatos</v>
      </c>
      <c r="D1557" s="4">
        <f t="array" ref="D1557">IFERROR(AVERAGEIFS($B$2:$B$3757, $A$2:$A$3757, C1557:C5311), "")</f>
        <v>6.1</v>
      </c>
      <c r="E1557" s="4">
        <f t="shared" si="1"/>
        <v>25</v>
      </c>
      <c r="F1557" s="4" t="str">
        <f t="array" ref="F1557">IF(D1557&gt;=_xlfn.PERCENTILE.INC(D1557:D3215, 0.9), "High", "Low")</f>
        <v>Low</v>
      </c>
      <c r="L1557" s="4" t="str">
        <f t="shared" si="2"/>
        <v/>
      </c>
    </row>
    <row r="1558" ht="14.25" customHeight="1">
      <c r="A1558" s="1" t="s">
        <v>7869</v>
      </c>
      <c r="B1558" s="1">
        <v>3.7</v>
      </c>
      <c r="C1558" s="4" t="str">
        <f>IFERROR(__xludf.DUMMYFUNCTION("""COMPUTED_VALUE"""),"Gareth Evans")</f>
        <v>Gareth Evans</v>
      </c>
      <c r="D1558" s="4">
        <f t="array" ref="D1558">IFERROR(AVERAGEIFS($B$2:$B$3757, $A$2:$A$3757, C1558:C5312), "")</f>
        <v>7.6</v>
      </c>
      <c r="E1558" s="4">
        <f t="shared" si="1"/>
        <v>83.5</v>
      </c>
      <c r="F1558" s="4" t="str">
        <f t="array" ref="F1558">IF(D1558&gt;=_xlfn.PERCENTILE.INC(D1558:D3216, 0.9), "High", "Low")</f>
        <v>Low</v>
      </c>
      <c r="L1558" s="4" t="str">
        <f t="shared" si="2"/>
        <v/>
      </c>
    </row>
    <row r="1559" ht="14.25" customHeight="1">
      <c r="A1559" s="1" t="s">
        <v>314</v>
      </c>
      <c r="B1559" s="1">
        <v>6.1</v>
      </c>
      <c r="C1559" s="4" t="str">
        <f>IFERROR(__xludf.DUMMYFUNCTION("""COMPUTED_VALUE"""),"Levan Gabriadze")</f>
        <v>Levan Gabriadze</v>
      </c>
      <c r="D1559" s="4">
        <f t="array" ref="D1559">IFERROR(AVERAGEIFS($B$2:$B$3757, $A$2:$A$3757, C1559:C5313), "")</f>
        <v>5.7</v>
      </c>
      <c r="E1559" s="4">
        <f t="shared" si="1"/>
        <v>15.7</v>
      </c>
      <c r="F1559" s="4" t="str">
        <f t="array" ref="F1559">IF(D1559&gt;=_xlfn.PERCENTILE.INC(D1559:D3217, 0.9), "High", "Low")</f>
        <v>Low</v>
      </c>
      <c r="L1559" s="4" t="str">
        <f t="shared" si="2"/>
        <v/>
      </c>
    </row>
    <row r="1560" ht="14.25" customHeight="1">
      <c r="A1560" s="1" t="s">
        <v>7876</v>
      </c>
      <c r="B1560" s="1">
        <v>5.9</v>
      </c>
      <c r="C1560" s="4" t="str">
        <f>IFERROR(__xludf.DUMMYFUNCTION("""COMPUTED_VALUE"""),"Bradley Parker")</f>
        <v>Bradley Parker</v>
      </c>
      <c r="D1560" s="4">
        <f t="array" ref="D1560">IFERROR(AVERAGEIFS($B$2:$B$3757, $A$2:$A$3757, C1560:C5314), "")</f>
        <v>5</v>
      </c>
      <c r="E1560" s="4">
        <f t="shared" si="1"/>
        <v>5</v>
      </c>
      <c r="F1560" s="4" t="str">
        <f t="array" ref="F1560">IF(D1560&gt;=_xlfn.PERCENTILE.INC(D1560:D3218, 0.9), "High", "Low")</f>
        <v>Low</v>
      </c>
      <c r="L1560" s="4" t="str">
        <f t="shared" si="2"/>
        <v/>
      </c>
    </row>
    <row r="1561" ht="14.25" customHeight="1">
      <c r="A1561" s="1" t="s">
        <v>7880</v>
      </c>
      <c r="B1561" s="1">
        <v>6.7</v>
      </c>
      <c r="C1561" s="4" t="str">
        <f>IFERROR(__xludf.DUMMYFUNCTION("""COMPUTED_VALUE"""),"Clive Barker")</f>
        <v>Clive Barker</v>
      </c>
      <c r="D1561" s="4">
        <f t="array" ref="D1561">IFERROR(AVERAGEIFS($B$2:$B$3757, $A$2:$A$3757, C1561:C5315), "")</f>
        <v>7</v>
      </c>
      <c r="E1561" s="4">
        <f t="shared" si="1"/>
        <v>56</v>
      </c>
      <c r="F1561" s="4" t="str">
        <f t="array" ref="F1561">IF(D1561&gt;=_xlfn.PERCENTILE.INC(D1561:D3219, 0.9), "High", "Low")</f>
        <v>Low</v>
      </c>
      <c r="L1561" s="4" t="str">
        <f t="shared" si="2"/>
        <v/>
      </c>
    </row>
    <row r="1562" ht="14.25" customHeight="1">
      <c r="A1562" s="1" t="s">
        <v>7886</v>
      </c>
      <c r="B1562" s="1">
        <v>6.9</v>
      </c>
      <c r="C1562" s="4" t="str">
        <f>IFERROR(__xludf.DUMMYFUNCTION("""COMPUTED_VALUE"""),"Harold Cronk")</f>
        <v>Harold Cronk</v>
      </c>
      <c r="D1562" s="4">
        <f t="array" ref="D1562">IFERROR(AVERAGEIFS($B$2:$B$3757, $A$2:$A$3757, C1562:C5316), "")</f>
        <v>3.4</v>
      </c>
      <c r="E1562" s="4">
        <f t="shared" si="1"/>
        <v>0</v>
      </c>
      <c r="F1562" s="4" t="str">
        <f t="array" ref="F1562">IF(D1562&gt;=_xlfn.PERCENTILE.INC(D1562:D3220, 0.9), "High", "Low")</f>
        <v>Low</v>
      </c>
      <c r="L1562" s="4" t="str">
        <f t="shared" si="2"/>
        <v/>
      </c>
    </row>
    <row r="1563" ht="14.25" customHeight="1">
      <c r="A1563" s="1" t="s">
        <v>4339</v>
      </c>
      <c r="B1563" s="1">
        <v>5.5</v>
      </c>
      <c r="C1563" s="4" t="str">
        <f>IFERROR(__xludf.DUMMYFUNCTION("""COMPUTED_VALUE"""),"Takao Okawara")</f>
        <v>Takao Okawara</v>
      </c>
      <c r="D1563" s="4">
        <f t="array" ref="D1563">IFERROR(AVERAGEIFS($B$2:$B$3757, $A$2:$A$3757, C1563:C5317), "")</f>
        <v>6</v>
      </c>
      <c r="E1563" s="4">
        <f t="shared" si="1"/>
        <v>19.4</v>
      </c>
      <c r="F1563" s="4" t="str">
        <f t="array" ref="F1563">IF(D1563&gt;=_xlfn.PERCENTILE.INC(D1563:D3221, 0.9), "High", "Low")</f>
        <v>Low</v>
      </c>
      <c r="L1563" s="4" t="str">
        <f t="shared" si="2"/>
        <v/>
      </c>
    </row>
    <row r="1564" ht="14.25" customHeight="1">
      <c r="A1564" s="1" t="s">
        <v>7895</v>
      </c>
      <c r="B1564" s="1">
        <v>7.1</v>
      </c>
      <c r="C1564" s="4" t="str">
        <f>IFERROR(__xludf.DUMMYFUNCTION("""COMPUTED_VALUE"""),"Duncan Tucker")</f>
        <v>Duncan Tucker</v>
      </c>
      <c r="D1564" s="4">
        <f t="array" ref="D1564">IFERROR(AVERAGEIFS($B$2:$B$3757, $A$2:$A$3757, C1564:C5318), "")</f>
        <v>7.4</v>
      </c>
      <c r="E1564" s="4">
        <f t="shared" si="1"/>
        <v>74.2</v>
      </c>
      <c r="F1564" s="4" t="str">
        <f t="array" ref="F1564">IF(D1564&gt;=_xlfn.PERCENTILE.INC(D1564:D3222, 0.9), "High", "Low")</f>
        <v>Low</v>
      </c>
      <c r="L1564" s="4" t="str">
        <f t="shared" si="2"/>
        <v/>
      </c>
    </row>
    <row r="1565" ht="14.25" customHeight="1">
      <c r="A1565" s="1" t="s">
        <v>1456</v>
      </c>
      <c r="B1565" s="1">
        <v>7.1</v>
      </c>
      <c r="C1565" s="4" t="str">
        <f>IFERROR(__xludf.DUMMYFUNCTION("""COMPUTED_VALUE"""),"Russ Meyer")</f>
        <v>Russ Meyer</v>
      </c>
      <c r="D1565" s="4">
        <f t="array" ref="D1565">IFERROR(AVERAGEIFS($B$2:$B$3757, $A$2:$A$3757, C1565:C5319), "")</f>
        <v>6.2</v>
      </c>
      <c r="E1565" s="4">
        <f t="shared" si="1"/>
        <v>29.2</v>
      </c>
      <c r="F1565" s="4" t="str">
        <f t="array" ref="F1565">IF(D1565&gt;=_xlfn.PERCENTILE.INC(D1565:D3223, 0.9), "High", "Low")</f>
        <v>Low</v>
      </c>
      <c r="L1565" s="4" t="str">
        <f t="shared" si="2"/>
        <v/>
      </c>
    </row>
    <row r="1566" ht="14.25" customHeight="1">
      <c r="A1566" s="1" t="s">
        <v>7905</v>
      </c>
      <c r="B1566" s="1">
        <v>7.3</v>
      </c>
      <c r="C1566" s="4" t="str">
        <f>IFERROR(__xludf.DUMMYFUNCTION("""COMPUTED_VALUE"""),"Ben Lewin")</f>
        <v>Ben Lewin</v>
      </c>
      <c r="D1566" s="4">
        <f t="array" ref="D1566">IFERROR(AVERAGEIFS($B$2:$B$3757, $A$2:$A$3757, C1566:C5320), "")</f>
        <v>7.2</v>
      </c>
      <c r="E1566" s="4">
        <f t="shared" si="1"/>
        <v>66.3</v>
      </c>
      <c r="F1566" s="4" t="str">
        <f t="array" ref="F1566">IF(D1566&gt;=_xlfn.PERCENTILE.INC(D1566:D3224, 0.9), "High", "Low")</f>
        <v>Low</v>
      </c>
      <c r="L1566" s="4" t="str">
        <f t="shared" si="2"/>
        <v/>
      </c>
    </row>
    <row r="1567" ht="14.25" customHeight="1">
      <c r="A1567" s="1" t="s">
        <v>7911</v>
      </c>
      <c r="B1567" s="1">
        <v>3.4</v>
      </c>
      <c r="C1567" s="4" t="str">
        <f>IFERROR(__xludf.DUMMYFUNCTION("""COMPUTED_VALUE"""),"Courtney Hunt")</f>
        <v>Courtney Hunt</v>
      </c>
      <c r="D1567" s="4">
        <f t="array" ref="D1567">IFERROR(AVERAGEIFS($B$2:$B$3757, $A$2:$A$3757, C1567:C5321), "")</f>
        <v>7.2</v>
      </c>
      <c r="E1567" s="4">
        <f t="shared" si="1"/>
        <v>67</v>
      </c>
      <c r="F1567" s="4" t="str">
        <f t="array" ref="F1567">IF(D1567&gt;=_xlfn.PERCENTILE.INC(D1567:D3225, 0.9), "High", "Low")</f>
        <v>Low</v>
      </c>
      <c r="L1567" s="4" t="str">
        <f t="shared" si="2"/>
        <v/>
      </c>
    </row>
    <row r="1568" ht="14.25" customHeight="1">
      <c r="A1568" s="1" t="s">
        <v>1600</v>
      </c>
      <c r="B1568" s="1">
        <v>6.8</v>
      </c>
      <c r="C1568" s="4" t="str">
        <f>IFERROR(__xludf.DUMMYFUNCTION("""COMPUTED_VALUE"""),"Morgan Neville")</f>
        <v>Morgan Neville</v>
      </c>
      <c r="D1568" s="4">
        <f t="array" ref="D1568">IFERROR(AVERAGEIFS($B$2:$B$3757, $A$2:$A$3757, C1568:C5322), "")</f>
        <v>7.4</v>
      </c>
      <c r="E1568" s="4">
        <f t="shared" si="1"/>
        <v>74.2</v>
      </c>
      <c r="F1568" s="4" t="str">
        <f t="array" ref="F1568">IF(D1568&gt;=_xlfn.PERCENTILE.INC(D1568:D3226, 0.9), "High", "Low")</f>
        <v>Low</v>
      </c>
      <c r="L1568" s="4" t="str">
        <f t="shared" si="2"/>
        <v/>
      </c>
    </row>
    <row r="1569" ht="14.25" customHeight="1">
      <c r="A1569" s="1" t="s">
        <v>3281</v>
      </c>
      <c r="B1569" s="1">
        <v>6.9</v>
      </c>
      <c r="C1569" s="4" t="str">
        <f>IFERROR(__xludf.DUMMYFUNCTION("""COMPUTED_VALUE"""),"Chris Paine")</f>
        <v>Chris Paine</v>
      </c>
      <c r="D1569" s="4">
        <f t="array" ref="D1569">IFERROR(AVERAGEIFS($B$2:$B$3757, $A$2:$A$3757, C1569:C5323), "")</f>
        <v>7.7</v>
      </c>
      <c r="E1569" s="4">
        <f t="shared" si="1"/>
        <v>85.9</v>
      </c>
      <c r="F1569" s="4" t="str">
        <f t="array" ref="F1569">IF(D1569&gt;=_xlfn.PERCENTILE.INC(D1569:D3227, 0.9), "High", "Low")</f>
        <v>High</v>
      </c>
      <c r="L1569" s="4" t="str">
        <f t="shared" si="2"/>
        <v/>
      </c>
    </row>
    <row r="1570" ht="14.25" customHeight="1">
      <c r="A1570" s="1" t="s">
        <v>4985</v>
      </c>
      <c r="B1570" s="1">
        <v>7.0</v>
      </c>
      <c r="C1570" s="4" t="str">
        <f>IFERROR(__xludf.DUMMYFUNCTION("""COMPUTED_VALUE"""),"Greg Berlanti")</f>
        <v>Greg Berlanti</v>
      </c>
      <c r="D1570" s="4">
        <f t="array" ref="D1570">IFERROR(AVERAGEIFS($B$2:$B$3757, $A$2:$A$3757, C1570:C5324), "")</f>
        <v>7</v>
      </c>
      <c r="E1570" s="4">
        <f t="shared" si="1"/>
        <v>58.2</v>
      </c>
      <c r="F1570" s="4" t="str">
        <f t="array" ref="F1570">IF(D1570&gt;=_xlfn.PERCENTILE.INC(D1570:D3228, 0.9), "High", "Low")</f>
        <v>Low</v>
      </c>
      <c r="L1570" s="4" t="str">
        <f t="shared" si="2"/>
        <v/>
      </c>
    </row>
    <row r="1571" ht="14.25" customHeight="1">
      <c r="A1571" s="1" t="s">
        <v>7931</v>
      </c>
      <c r="B1571" s="1">
        <v>5.5</v>
      </c>
      <c r="C1571" s="4" t="str">
        <f>IFERROR(__xludf.DUMMYFUNCTION("""COMPUTED_VALUE"""),"Marc Levin")</f>
        <v>Marc Levin</v>
      </c>
      <c r="D1571" s="4">
        <f t="array" ref="D1571">IFERROR(AVERAGEIFS($B$2:$B$3757, $A$2:$A$3757, C1571:C5325), "")</f>
        <v>7.2</v>
      </c>
      <c r="E1571" s="4">
        <f t="shared" si="1"/>
        <v>68.9</v>
      </c>
      <c r="F1571" s="4" t="str">
        <f t="array" ref="F1571">IF(D1571&gt;=_xlfn.PERCENTILE.INC(D1571:D3229, 0.9), "High", "Low")</f>
        <v>Low</v>
      </c>
      <c r="L1571" s="4" t="str">
        <f t="shared" si="2"/>
        <v/>
      </c>
    </row>
    <row r="1572" ht="14.25" customHeight="1">
      <c r="A1572" s="1" t="s">
        <v>2580</v>
      </c>
      <c r="B1572" s="1">
        <v>5.1</v>
      </c>
      <c r="C1572" s="4" t="str">
        <f>IFERROR(__xludf.DUMMYFUNCTION("""COMPUTED_VALUE"""),"Richard Dutcher")</f>
        <v>Richard Dutcher</v>
      </c>
      <c r="D1572" s="4">
        <f t="array" ref="D1572">IFERROR(AVERAGEIFS($B$2:$B$3757, $A$2:$A$3757, C1572:C5326), "")</f>
        <v>7.2</v>
      </c>
      <c r="E1572" s="4">
        <f t="shared" si="1"/>
        <v>69.7</v>
      </c>
      <c r="F1572" s="4" t="str">
        <f t="array" ref="F1572">IF(D1572&gt;=_xlfn.PERCENTILE.INC(D1572:D3230, 0.9), "High", "Low")</f>
        <v>Low</v>
      </c>
      <c r="L1572" s="4" t="str">
        <f t="shared" si="2"/>
        <v/>
      </c>
    </row>
    <row r="1573" ht="14.25" customHeight="1">
      <c r="A1573" s="1" t="s">
        <v>2564</v>
      </c>
      <c r="B1573" s="1">
        <v>6.2</v>
      </c>
      <c r="C1573" s="4" t="str">
        <f>IFERROR(__xludf.DUMMYFUNCTION("""COMPUTED_VALUE"""),"Finn Taylor")</f>
        <v>Finn Taylor</v>
      </c>
      <c r="D1573" s="4">
        <f t="array" ref="D1573">IFERROR(AVERAGEIFS($B$2:$B$3757, $A$2:$A$3757, C1573:C5327), "")</f>
        <v>7</v>
      </c>
      <c r="E1573" s="4">
        <f t="shared" si="1"/>
        <v>60.2</v>
      </c>
      <c r="F1573" s="4" t="str">
        <f t="array" ref="F1573">IF(D1573&gt;=_xlfn.PERCENTILE.INC(D1573:D3231, 0.9), "High", "Low")</f>
        <v>Low</v>
      </c>
      <c r="L1573" s="4" t="str">
        <f t="shared" si="2"/>
        <v/>
      </c>
    </row>
    <row r="1574" ht="14.25" customHeight="1">
      <c r="A1574" s="1" t="s">
        <v>7941</v>
      </c>
      <c r="B1574" s="1">
        <v>5.9</v>
      </c>
      <c r="C1574" s="4" t="str">
        <f>IFERROR(__xludf.DUMMYFUNCTION("""COMPUTED_VALUE"""),"Karen Moncrieff")</f>
        <v>Karen Moncrieff</v>
      </c>
      <c r="D1574" s="4">
        <f t="array" ref="D1574">IFERROR(AVERAGEIFS($B$2:$B$3757, $A$2:$A$3757, C1574:C5328), "")</f>
        <v>6.7</v>
      </c>
      <c r="E1574" s="4">
        <f t="shared" si="1"/>
        <v>48.3</v>
      </c>
      <c r="F1574" s="4" t="str">
        <f t="array" ref="F1574">IF(D1574&gt;=_xlfn.PERCENTILE.INC(D1574:D3232, 0.9), "High", "Low")</f>
        <v>Low</v>
      </c>
      <c r="L1574" s="4" t="str">
        <f t="shared" si="2"/>
        <v/>
      </c>
    </row>
    <row r="1575" ht="14.25" customHeight="1">
      <c r="A1575" s="1" t="s">
        <v>7946</v>
      </c>
      <c r="B1575" s="1">
        <v>5.2</v>
      </c>
      <c r="C1575" s="4" t="str">
        <f>IFERROR(__xludf.DUMMYFUNCTION("""COMPUTED_VALUE"""),"Goran Dukic")</f>
        <v>Goran Dukic</v>
      </c>
      <c r="D1575" s="4">
        <f t="array" ref="D1575">IFERROR(AVERAGEIFS($B$2:$B$3757, $A$2:$A$3757, C1575:C5329), "")</f>
        <v>7.4</v>
      </c>
      <c r="E1575" s="4">
        <f t="shared" si="1"/>
        <v>74.4</v>
      </c>
      <c r="F1575" s="4" t="str">
        <f t="array" ref="F1575">IF(D1575&gt;=_xlfn.PERCENTILE.INC(D1575:D3233, 0.9), "High", "Low")</f>
        <v>Low</v>
      </c>
      <c r="L1575" s="4" t="str">
        <f t="shared" si="2"/>
        <v/>
      </c>
    </row>
    <row r="1576" ht="14.25" customHeight="1">
      <c r="A1576" s="1" t="s">
        <v>6911</v>
      </c>
      <c r="B1576" s="1">
        <v>6.2</v>
      </c>
      <c r="C1576" s="4" t="str">
        <f>IFERROR(__xludf.DUMMYFUNCTION("""COMPUTED_VALUE"""),"Efram Potelle")</f>
        <v>Efram Potelle</v>
      </c>
      <c r="D1576" s="4">
        <f t="array" ref="D1576">IFERROR(AVERAGEIFS($B$2:$B$3757, $A$2:$A$3757, C1576:C5330), "")</f>
        <v>6.1</v>
      </c>
      <c r="E1576" s="4">
        <f t="shared" si="1"/>
        <v>25.9</v>
      </c>
      <c r="F1576" s="4" t="str">
        <f t="array" ref="F1576">IF(D1576&gt;=_xlfn.PERCENTILE.INC(D1576:D3234, 0.9), "High", "Low")</f>
        <v>Low</v>
      </c>
      <c r="L1576" s="4" t="str">
        <f t="shared" si="2"/>
        <v/>
      </c>
    </row>
    <row r="1577" ht="14.25" customHeight="1">
      <c r="A1577" s="1" t="s">
        <v>7955</v>
      </c>
      <c r="B1577" s="1">
        <v>5.5</v>
      </c>
      <c r="C1577" s="4" t="str">
        <f>IFERROR(__xludf.DUMMYFUNCTION("""COMPUTED_VALUE"""),"Joshua Oppenheimer")</f>
        <v>Joshua Oppenheimer</v>
      </c>
      <c r="D1577" s="4">
        <f t="array" ref="D1577">IFERROR(AVERAGEIFS($B$2:$B$3757, $A$2:$A$3757, C1577:C5331), "")</f>
        <v>8.2</v>
      </c>
      <c r="E1577" s="4">
        <f t="shared" si="1"/>
        <v>95.2</v>
      </c>
      <c r="F1577" s="4" t="str">
        <f t="array" ref="F1577">IF(D1577&gt;=_xlfn.PERCENTILE.INC(D1577:D3235, 0.9), "High", "Low")</f>
        <v>High</v>
      </c>
      <c r="L1577" s="4" t="str">
        <f t="shared" si="2"/>
        <v/>
      </c>
    </row>
    <row r="1578" ht="14.25" customHeight="1">
      <c r="A1578" s="1" t="s">
        <v>7959</v>
      </c>
      <c r="B1578" s="1">
        <v>7.4</v>
      </c>
      <c r="C1578" s="4" t="str">
        <f>IFERROR(__xludf.DUMMYFUNCTION("""COMPUTED_VALUE"""),"Alex Gibney")</f>
        <v>Alex Gibney</v>
      </c>
      <c r="D1578" s="4">
        <f t="array" ref="D1578">IFERROR(AVERAGEIFS($B$2:$B$3757, $A$2:$A$3757, C1578:C5332), "")</f>
        <v>7.7</v>
      </c>
      <c r="E1578" s="4">
        <f t="shared" si="1"/>
        <v>86.7</v>
      </c>
      <c r="F1578" s="4" t="str">
        <f t="array" ref="F1578">IF(D1578&gt;=_xlfn.PERCENTILE.INC(D1578:D3236, 0.9), "High", "Low")</f>
        <v>High</v>
      </c>
      <c r="L1578" s="4" t="str">
        <f t="shared" si="2"/>
        <v/>
      </c>
    </row>
    <row r="1579" ht="14.25" customHeight="1">
      <c r="A1579" s="1" t="s">
        <v>7965</v>
      </c>
      <c r="B1579" s="1">
        <v>4.4</v>
      </c>
      <c r="C1579" s="4" t="str">
        <f>IFERROR(__xludf.DUMMYFUNCTION("""COMPUTED_VALUE"""),"Paul Crowder")</f>
        <v>Paul Crowder</v>
      </c>
      <c r="D1579" s="4">
        <f t="array" ref="D1579">IFERROR(AVERAGEIFS($B$2:$B$3757, $A$2:$A$3757, C1579:C5333), "")</f>
        <v>7.3</v>
      </c>
      <c r="E1579" s="4">
        <f t="shared" si="1"/>
        <v>74.4</v>
      </c>
      <c r="F1579" s="4" t="str">
        <f t="array" ref="F1579">IF(D1579&gt;=_xlfn.PERCENTILE.INC(D1579:D3237, 0.9), "High", "Low")</f>
        <v>Low</v>
      </c>
      <c r="L1579" s="4" t="str">
        <f t="shared" si="2"/>
        <v/>
      </c>
    </row>
    <row r="1580" ht="14.25" customHeight="1">
      <c r="A1580" s="1" t="s">
        <v>7970</v>
      </c>
      <c r="B1580" s="1">
        <v>6.3</v>
      </c>
      <c r="C1580" s="4" t="str">
        <f>IFERROR(__xludf.DUMMYFUNCTION("""COMPUTED_VALUE"""),"Anthony Powell")</f>
        <v>Anthony Powell</v>
      </c>
      <c r="D1580" s="4">
        <f t="array" ref="D1580">IFERROR(AVERAGEIFS($B$2:$B$3757, $A$2:$A$3757, C1580:C5334), "")</f>
        <v>7.6</v>
      </c>
      <c r="E1580" s="4">
        <f t="shared" si="1"/>
        <v>84</v>
      </c>
      <c r="F1580" s="4" t="str">
        <f t="array" ref="F1580">IF(D1580&gt;=_xlfn.PERCENTILE.INC(D1580:D3238, 0.9), "High", "Low")</f>
        <v>Low</v>
      </c>
      <c r="L1580" s="4" t="str">
        <f t="shared" si="2"/>
        <v/>
      </c>
    </row>
    <row r="1581" ht="14.25" customHeight="1">
      <c r="A1581" s="1" t="s">
        <v>2938</v>
      </c>
      <c r="B1581" s="1">
        <v>6.1</v>
      </c>
      <c r="C1581" s="4" t="str">
        <f>IFERROR(__xludf.DUMMYFUNCTION("""COMPUTED_VALUE"""),"Johnny Remo")</f>
        <v>Johnny Remo</v>
      </c>
      <c r="D1581" s="4">
        <f t="array" ref="D1581">IFERROR(AVERAGEIFS($B$2:$B$3757, $A$2:$A$3757, C1581:C5335), "")</f>
        <v>5.6</v>
      </c>
      <c r="E1581" s="4">
        <f t="shared" si="1"/>
        <v>12.5</v>
      </c>
      <c r="F1581" s="4" t="str">
        <f t="array" ref="F1581">IF(D1581&gt;=_xlfn.PERCENTILE.INC(D1581:D3239, 0.9), "High", "Low")</f>
        <v>Low</v>
      </c>
      <c r="L1581" s="4" t="str">
        <f t="shared" si="2"/>
        <v/>
      </c>
    </row>
    <row r="1582" ht="14.25" customHeight="1">
      <c r="A1582" s="1" t="s">
        <v>7979</v>
      </c>
      <c r="B1582" s="1">
        <v>5.3</v>
      </c>
      <c r="C1582" s="4" t="str">
        <f>IFERROR(__xludf.DUMMYFUNCTION("""COMPUTED_VALUE"""),"Ti West")</f>
        <v>Ti West</v>
      </c>
      <c r="D1582" s="4">
        <f t="array" ref="D1582">IFERROR(AVERAGEIFS($B$2:$B$3757, $A$2:$A$3757, C1582:C5336), "")</f>
        <v>5.95</v>
      </c>
      <c r="E1582" s="4">
        <f t="shared" si="1"/>
        <v>21.5</v>
      </c>
      <c r="F1582" s="4" t="str">
        <f t="array" ref="F1582">IF(D1582&gt;=_xlfn.PERCENTILE.INC(D1582:D3240, 0.9), "High", "Low")</f>
        <v>Low</v>
      </c>
      <c r="L1582" s="4" t="str">
        <f t="shared" si="2"/>
        <v/>
      </c>
    </row>
    <row r="1583" ht="14.25" customHeight="1">
      <c r="A1583" s="1" t="s">
        <v>7985</v>
      </c>
      <c r="B1583" s="1">
        <v>5.4</v>
      </c>
      <c r="C1583" s="4" t="str">
        <f>IFERROR(__xludf.DUMMYFUNCTION("""COMPUTED_VALUE"""),"Nick Tomnay")</f>
        <v>Nick Tomnay</v>
      </c>
      <c r="D1583" s="4">
        <f t="array" ref="D1583">IFERROR(AVERAGEIFS($B$2:$B$3757, $A$2:$A$3757, C1583:C5337), "")</f>
        <v>6.8</v>
      </c>
      <c r="E1583" s="4">
        <f t="shared" si="1"/>
        <v>53.8</v>
      </c>
      <c r="F1583" s="4" t="str">
        <f t="array" ref="F1583">IF(D1583&gt;=_xlfn.PERCENTILE.INC(D1583:D3241, 0.9), "High", "Low")</f>
        <v>Low</v>
      </c>
      <c r="L1583" s="4" t="str">
        <f t="shared" si="2"/>
        <v/>
      </c>
    </row>
    <row r="1584" ht="14.25" customHeight="1">
      <c r="A1584" s="1" t="s">
        <v>978</v>
      </c>
      <c r="B1584" s="1">
        <v>6.7</v>
      </c>
      <c r="C1584" s="4" t="str">
        <f>IFERROR(__xludf.DUMMYFUNCTION("""COMPUTED_VALUE"""),"Eric Nicholas")</f>
        <v>Eric Nicholas</v>
      </c>
      <c r="D1584" s="4">
        <f t="array" ref="D1584">IFERROR(AVERAGEIFS($B$2:$B$3757, $A$2:$A$3757, C1584:C5338), "")</f>
        <v>6.1</v>
      </c>
      <c r="E1584" s="4">
        <f t="shared" si="1"/>
        <v>26</v>
      </c>
      <c r="F1584" s="4" t="str">
        <f t="array" ref="F1584">IF(D1584&gt;=_xlfn.PERCENTILE.INC(D1584:D3242, 0.9), "High", "Low")</f>
        <v>Low</v>
      </c>
      <c r="L1584" s="4" t="str">
        <f t="shared" si="2"/>
        <v/>
      </c>
    </row>
    <row r="1585" ht="14.25" customHeight="1">
      <c r="A1585" s="1" t="s">
        <v>3928</v>
      </c>
      <c r="B1585" s="1">
        <v>5.9</v>
      </c>
      <c r="C1585" s="4" t="str">
        <f>IFERROR(__xludf.DUMMYFUNCTION("""COMPUTED_VALUE"""),"Benjamin Dickinson")</f>
        <v>Benjamin Dickinson</v>
      </c>
      <c r="D1585" s="4">
        <f t="array" ref="D1585">IFERROR(AVERAGEIFS($B$2:$B$3757, $A$2:$A$3757, C1585:C5339), "")</f>
        <v>5.5</v>
      </c>
      <c r="E1585" s="4">
        <f t="shared" si="1"/>
        <v>10.5</v>
      </c>
      <c r="F1585" s="4" t="str">
        <f t="array" ref="F1585">IF(D1585&gt;=_xlfn.PERCENTILE.INC(D1585:D3243, 0.9), "High", "Low")</f>
        <v>Low</v>
      </c>
      <c r="L1585" s="4" t="str">
        <f t="shared" si="2"/>
        <v/>
      </c>
    </row>
    <row r="1586" ht="14.25" customHeight="1">
      <c r="A1586" s="1" t="s">
        <v>7997</v>
      </c>
      <c r="B1586" s="1">
        <v>7.3</v>
      </c>
      <c r="C1586" s="4" t="str">
        <f>IFERROR(__xludf.DUMMYFUNCTION("""COMPUTED_VALUE"""),"Hal Haberman")</f>
        <v>Hal Haberman</v>
      </c>
      <c r="D1586" s="4">
        <f t="array" ref="D1586">IFERROR(AVERAGEIFS($B$2:$B$3757, $A$2:$A$3757, C1586:C5340), "")</f>
        <v>6.9</v>
      </c>
      <c r="E1586" s="4">
        <f t="shared" si="1"/>
        <v>56</v>
      </c>
      <c r="F1586" s="4" t="str">
        <f t="array" ref="F1586">IF(D1586&gt;=_xlfn.PERCENTILE.INC(D1586:D3244, 0.9), "High", "Low")</f>
        <v>Low</v>
      </c>
      <c r="L1586" s="4" t="str">
        <f t="shared" si="2"/>
        <v/>
      </c>
    </row>
    <row r="1587" ht="14.25" customHeight="1">
      <c r="A1587" s="1" t="s">
        <v>4937</v>
      </c>
      <c r="B1587" s="1">
        <v>5.5</v>
      </c>
      <c r="C1587" s="4" t="str">
        <f>IFERROR(__xludf.DUMMYFUNCTION("""COMPUTED_VALUE"""),"Frank Whaley")</f>
        <v>Frank Whaley</v>
      </c>
      <c r="D1587" s="4">
        <f t="array" ref="D1587">IFERROR(AVERAGEIFS($B$2:$B$3757, $A$2:$A$3757, C1587:C5341), "")</f>
        <v>5.4</v>
      </c>
      <c r="E1587" s="4">
        <f t="shared" si="1"/>
        <v>9.5</v>
      </c>
      <c r="F1587" s="4" t="str">
        <f t="array" ref="F1587">IF(D1587&gt;=_xlfn.PERCENTILE.INC(D1587:D3245, 0.9), "High", "Low")</f>
        <v>Low</v>
      </c>
      <c r="L1587" s="4" t="str">
        <f t="shared" si="2"/>
        <v/>
      </c>
    </row>
    <row r="1588" ht="14.25" customHeight="1">
      <c r="A1588" s="1" t="s">
        <v>8004</v>
      </c>
      <c r="B1588" s="1">
        <v>5.8</v>
      </c>
      <c r="C1588" s="4" t="str">
        <f>IFERROR(__xludf.DUMMYFUNCTION("""COMPUTED_VALUE"""),"Elia Kazan")</f>
        <v>Elia Kazan</v>
      </c>
      <c r="D1588" s="4">
        <f t="array" ref="D1588">IFERROR(AVERAGEIFS($B$2:$B$3757, $A$2:$A$3757, C1588:C5342), "")</f>
        <v>8.2</v>
      </c>
      <c r="E1588" s="4">
        <f t="shared" si="1"/>
        <v>95.9</v>
      </c>
      <c r="F1588" s="4" t="str">
        <f t="array" ref="F1588">IF(D1588&gt;=_xlfn.PERCENTILE.INC(D1588:D3246, 0.9), "High", "Low")</f>
        <v>High</v>
      </c>
      <c r="L1588" s="4" t="str">
        <f t="shared" si="2"/>
        <v/>
      </c>
    </row>
    <row r="1589" ht="14.25" customHeight="1">
      <c r="A1589" s="1" t="s">
        <v>8011</v>
      </c>
      <c r="B1589" s="1">
        <v>4.6</v>
      </c>
      <c r="C1589" s="4" t="str">
        <f>IFERROR(__xludf.DUMMYFUNCTION("""COMPUTED_VALUE"""),"Kat Coiro")</f>
        <v>Kat Coiro</v>
      </c>
      <c r="D1589" s="4">
        <f t="array" ref="D1589">IFERROR(AVERAGEIFS($B$2:$B$3757, $A$2:$A$3757, C1589:C5343), "")</f>
        <v>5.7</v>
      </c>
      <c r="E1589" s="4">
        <f t="shared" si="1"/>
        <v>15.3</v>
      </c>
      <c r="F1589" s="4" t="str">
        <f t="array" ref="F1589">IF(D1589&gt;=_xlfn.PERCENTILE.INC(D1589:D3247, 0.9), "High", "Low")</f>
        <v>Low</v>
      </c>
      <c r="L1589" s="4" t="str">
        <f t="shared" si="2"/>
        <v/>
      </c>
    </row>
    <row r="1590" ht="14.25" customHeight="1">
      <c r="A1590" s="1" t="s">
        <v>8016</v>
      </c>
      <c r="B1590" s="1">
        <v>6.7</v>
      </c>
      <c r="C1590" s="4" t="str">
        <f>IFERROR(__xludf.DUMMYFUNCTION("""COMPUTED_VALUE"""),"Cristian Mungiu")</f>
        <v>Cristian Mungiu</v>
      </c>
      <c r="D1590" s="4">
        <f t="array" ref="D1590">IFERROR(AVERAGEIFS($B$2:$B$3757, $A$2:$A$3757, C1590:C5344), "")</f>
        <v>7.9</v>
      </c>
      <c r="E1590" s="4">
        <f t="shared" si="1"/>
        <v>94.4</v>
      </c>
      <c r="F1590" s="4" t="str">
        <f t="array" ref="F1590">IF(D1590&gt;=_xlfn.PERCENTILE.INC(D1590:D3248, 0.9), "High", "Low")</f>
        <v>High</v>
      </c>
      <c r="L1590" s="4" t="str">
        <f t="shared" si="2"/>
        <v/>
      </c>
    </row>
    <row r="1591" ht="14.25" customHeight="1">
      <c r="A1591" s="1" t="s">
        <v>8020</v>
      </c>
      <c r="B1591" s="1">
        <v>5.1</v>
      </c>
      <c r="C1591" s="4" t="str">
        <f>IFERROR(__xludf.DUMMYFUNCTION("""COMPUTED_VALUE"""),"Ramaa Mosley")</f>
        <v>Ramaa Mosley</v>
      </c>
      <c r="D1591" s="4">
        <f t="array" ref="D1591">IFERROR(AVERAGEIFS($B$2:$B$3757, $A$2:$A$3757, C1591:C5345), "")</f>
        <v>6.4</v>
      </c>
      <c r="E1591" s="4">
        <f t="shared" si="1"/>
        <v>37.1</v>
      </c>
      <c r="F1591" s="4" t="str">
        <f t="array" ref="F1591">IF(D1591&gt;=_xlfn.PERCENTILE.INC(D1591:D3249, 0.9), "High", "Low")</f>
        <v>Low</v>
      </c>
      <c r="L1591" s="4" t="str">
        <f t="shared" si="2"/>
        <v/>
      </c>
    </row>
    <row r="1592" ht="14.25" customHeight="1">
      <c r="A1592" s="1" t="s">
        <v>3691</v>
      </c>
      <c r="B1592" s="1">
        <v>5.6</v>
      </c>
      <c r="C1592" s="4" t="str">
        <f>IFERROR(__xludf.DUMMYFUNCTION("""COMPUTED_VALUE"""),"C. Jay Cox")</f>
        <v>C. Jay Cox</v>
      </c>
      <c r="D1592" s="4">
        <f t="array" ref="D1592">IFERROR(AVERAGEIFS($B$2:$B$3757, $A$2:$A$3757, C1592:C5346), "")</f>
        <v>6.45</v>
      </c>
      <c r="E1592" s="4">
        <f t="shared" si="1"/>
        <v>42</v>
      </c>
      <c r="F1592" s="4" t="str">
        <f t="array" ref="F1592">IF(D1592&gt;=_xlfn.PERCENTILE.INC(D1592:D3250, 0.9), "High", "Low")</f>
        <v>Low</v>
      </c>
      <c r="L1592" s="4" t="str">
        <f t="shared" si="2"/>
        <v/>
      </c>
    </row>
    <row r="1593" ht="14.25" customHeight="1">
      <c r="A1593" s="1" t="s">
        <v>5671</v>
      </c>
      <c r="B1593" s="1">
        <v>7.0</v>
      </c>
      <c r="C1593" s="4" t="str">
        <f>IFERROR(__xludf.DUMMYFUNCTION("""COMPUTED_VALUE"""),"Jamie Travis")</f>
        <v>Jamie Travis</v>
      </c>
      <c r="D1593" s="4">
        <f t="array" ref="D1593">IFERROR(AVERAGEIFS($B$2:$B$3757, $A$2:$A$3757, C1593:C5347), "")</f>
        <v>6</v>
      </c>
      <c r="E1593" s="4">
        <f t="shared" si="1"/>
        <v>20.6</v>
      </c>
      <c r="F1593" s="4" t="str">
        <f t="array" ref="F1593">IF(D1593&gt;=_xlfn.PERCENTILE.INC(D1593:D3251, 0.9), "High", "Low")</f>
        <v>Low</v>
      </c>
      <c r="L1593" s="4" t="str">
        <f t="shared" si="2"/>
        <v/>
      </c>
    </row>
    <row r="1594" ht="14.25" customHeight="1">
      <c r="A1594" s="1" t="s">
        <v>8037</v>
      </c>
      <c r="B1594" s="1">
        <v>6.4</v>
      </c>
      <c r="C1594" s="4" t="str">
        <f>IFERROR(__xludf.DUMMYFUNCTION("""COMPUTED_VALUE"""),"Rich Christiano")</f>
        <v>Rich Christiano</v>
      </c>
      <c r="D1594" s="4">
        <f t="array" ref="D1594">IFERROR(AVERAGEIFS($B$2:$B$3757, $A$2:$A$3757, C1594:C5348), "")</f>
        <v>5.6</v>
      </c>
      <c r="E1594" s="4">
        <f t="shared" si="1"/>
        <v>11.9</v>
      </c>
      <c r="F1594" s="4" t="str">
        <f t="array" ref="F1594">IF(D1594&gt;=_xlfn.PERCENTILE.INC(D1594:D3252, 0.9), "High", "Low")</f>
        <v>Low</v>
      </c>
      <c r="L1594" s="4" t="str">
        <f t="shared" si="2"/>
        <v/>
      </c>
    </row>
    <row r="1595" ht="14.25" customHeight="1">
      <c r="A1595" s="1" t="s">
        <v>4676</v>
      </c>
      <c r="B1595" s="1">
        <v>6.7</v>
      </c>
      <c r="C1595" s="4" t="str">
        <f>IFERROR(__xludf.DUMMYFUNCTION("""COMPUTED_VALUE"""),"Asghar Farhadi")</f>
        <v>Asghar Farhadi</v>
      </c>
      <c r="D1595" s="4">
        <f t="array" ref="D1595">IFERROR(AVERAGEIFS($B$2:$B$3757, $A$2:$A$3757, C1595:C5349), "")</f>
        <v>8.4</v>
      </c>
      <c r="E1595" s="4">
        <f t="shared" si="1"/>
        <v>97</v>
      </c>
      <c r="F1595" s="4" t="str">
        <f t="array" ref="F1595">IF(D1595&gt;=_xlfn.PERCENTILE.INC(D1595:D3253, 0.9), "High", "Low")</f>
        <v>High</v>
      </c>
      <c r="L1595" s="4" t="str">
        <f t="shared" si="2"/>
        <v/>
      </c>
    </row>
    <row r="1596" ht="14.25" customHeight="1">
      <c r="A1596" s="1" t="s">
        <v>8048</v>
      </c>
      <c r="B1596" s="1">
        <v>4.1</v>
      </c>
      <c r="C1596" s="4" t="str">
        <f>IFERROR(__xludf.DUMMYFUNCTION("""COMPUTED_VALUE"""),"Todd Solondz")</f>
        <v>Todd Solondz</v>
      </c>
      <c r="D1596" s="4">
        <f t="array" ref="D1596">IFERROR(AVERAGEIFS($B$2:$B$3757, $A$2:$A$3757, C1596:C5350), "")</f>
        <v>7.5</v>
      </c>
      <c r="E1596" s="4">
        <f t="shared" si="1"/>
        <v>80</v>
      </c>
      <c r="F1596" s="4" t="str">
        <f t="array" ref="F1596">IF(D1596&gt;=_xlfn.PERCENTILE.INC(D1596:D3254, 0.9), "High", "Low")</f>
        <v>Low</v>
      </c>
      <c r="L1596" s="4" t="str">
        <f t="shared" si="2"/>
        <v/>
      </c>
    </row>
    <row r="1597" ht="14.25" customHeight="1">
      <c r="A1597" s="1" t="s">
        <v>4775</v>
      </c>
      <c r="B1597" s="1">
        <v>5.5</v>
      </c>
      <c r="C1597" s="4" t="str">
        <f>IFERROR(__xludf.DUMMYFUNCTION("""COMPUTED_VALUE"""),"Matt Maiellaro")</f>
        <v>Matt Maiellaro</v>
      </c>
      <c r="D1597" s="4">
        <f t="array" ref="D1597">IFERROR(AVERAGEIFS($B$2:$B$3757, $A$2:$A$3757, C1597:C5351), "")</f>
        <v>6.9</v>
      </c>
      <c r="E1597" s="4">
        <f t="shared" si="1"/>
        <v>56.3</v>
      </c>
      <c r="F1597" s="4" t="str">
        <f t="array" ref="F1597">IF(D1597&gt;=_xlfn.PERCENTILE.INC(D1597:D3255, 0.9), "High", "Low")</f>
        <v>Low</v>
      </c>
      <c r="L1597" s="4" t="str">
        <f t="shared" si="2"/>
        <v/>
      </c>
    </row>
    <row r="1598" ht="14.25" customHeight="1">
      <c r="A1598" s="1" t="s">
        <v>5193</v>
      </c>
      <c r="B1598" s="1">
        <v>2.7</v>
      </c>
      <c r="C1598" s="4" t="str">
        <f>IFERROR(__xludf.DUMMYFUNCTION("""COMPUTED_VALUE"""),"Ben Wheatley")</f>
        <v>Ben Wheatley</v>
      </c>
      <c r="D1598" s="4">
        <f t="array" ref="D1598">IFERROR(AVERAGEIFS($B$2:$B$3757, $A$2:$A$3757, C1598:C5352), "")</f>
        <v>6.3</v>
      </c>
      <c r="E1598" s="4">
        <f t="shared" si="1"/>
        <v>31.7</v>
      </c>
      <c r="F1598" s="4" t="str">
        <f t="array" ref="F1598">IF(D1598&gt;=_xlfn.PERCENTILE.INC(D1598:D3256, 0.9), "High", "Low")</f>
        <v>Low</v>
      </c>
      <c r="L1598" s="4" t="str">
        <f t="shared" si="2"/>
        <v/>
      </c>
    </row>
    <row r="1599" ht="14.25" customHeight="1">
      <c r="A1599" s="1" t="s">
        <v>8059</v>
      </c>
      <c r="B1599" s="1">
        <v>6.4</v>
      </c>
      <c r="C1599" s="4" t="str">
        <f>IFERROR(__xludf.DUMMYFUNCTION("""COMPUTED_VALUE"""),"Oliver Blackburn")</f>
        <v>Oliver Blackburn</v>
      </c>
      <c r="D1599" s="4">
        <f t="array" ref="D1599">IFERROR(AVERAGEIFS($B$2:$B$3757, $A$2:$A$3757, C1599:C5353), "")</f>
        <v>5.2</v>
      </c>
      <c r="E1599" s="4">
        <f t="shared" si="1"/>
        <v>6.5</v>
      </c>
      <c r="F1599" s="4" t="str">
        <f t="array" ref="F1599">IF(D1599&gt;=_xlfn.PERCENTILE.INC(D1599:D3257, 0.9), "High", "Low")</f>
        <v>Low</v>
      </c>
      <c r="L1599" s="4" t="str">
        <f t="shared" si="2"/>
        <v/>
      </c>
    </row>
    <row r="1600" ht="14.25" customHeight="1">
      <c r="A1600" s="1" t="s">
        <v>8066</v>
      </c>
      <c r="B1600" s="1">
        <v>4.8</v>
      </c>
      <c r="C1600" s="4" t="str">
        <f>IFERROR(__xludf.DUMMYFUNCTION("""COMPUTED_VALUE"""),"Ryan Fleck")</f>
        <v>Ryan Fleck</v>
      </c>
      <c r="D1600" s="4">
        <f t="array" ref="D1600">IFERROR(AVERAGEIFS($B$2:$B$3757, $A$2:$A$3757, C1600:C5354), "")</f>
        <v>7.2</v>
      </c>
      <c r="E1600" s="4">
        <f t="shared" si="1"/>
        <v>72.1</v>
      </c>
      <c r="F1600" s="4" t="str">
        <f t="array" ref="F1600">IF(D1600&gt;=_xlfn.PERCENTILE.INC(D1600:D3258, 0.9), "High", "Low")</f>
        <v>Low</v>
      </c>
      <c r="L1600" s="4" t="str">
        <f t="shared" si="2"/>
        <v/>
      </c>
    </row>
    <row r="1601" ht="14.25" customHeight="1">
      <c r="A1601" s="1" t="s">
        <v>8071</v>
      </c>
      <c r="B1601" s="1">
        <v>6.1</v>
      </c>
      <c r="C1601" s="4" t="str">
        <f>IFERROR(__xludf.DUMMYFUNCTION("""COMPUTED_VALUE"""),"Mark Sandrich")</f>
        <v>Mark Sandrich</v>
      </c>
      <c r="D1601" s="4">
        <f t="array" ref="D1601">IFERROR(AVERAGEIFS($B$2:$B$3757, $A$2:$A$3757, C1601:C5355), "")</f>
        <v>7.8</v>
      </c>
      <c r="E1601" s="4">
        <f t="shared" si="1"/>
        <v>93.3</v>
      </c>
      <c r="F1601" s="4" t="str">
        <f t="array" ref="F1601">IF(D1601&gt;=_xlfn.PERCENTILE.INC(D1601:D3259, 0.9), "High", "Low")</f>
        <v>High</v>
      </c>
      <c r="L1601" s="4" t="str">
        <f t="shared" si="2"/>
        <v/>
      </c>
    </row>
    <row r="1602" ht="14.25" customHeight="1">
      <c r="A1602" s="1" t="s">
        <v>8077</v>
      </c>
      <c r="B1602" s="1">
        <v>4.8</v>
      </c>
      <c r="C1602" s="4" t="str">
        <f>IFERROR(__xludf.DUMMYFUNCTION("""COMPUTED_VALUE"""),"Daniel Myrick")</f>
        <v>Daniel Myrick</v>
      </c>
      <c r="D1602" s="4">
        <f t="array" ref="D1602">IFERROR(AVERAGEIFS($B$2:$B$3757, $A$2:$A$3757, C1602:C5356), "")</f>
        <v>6.4</v>
      </c>
      <c r="E1602" s="4">
        <f t="shared" si="1"/>
        <v>37.3</v>
      </c>
      <c r="F1602" s="4" t="str">
        <f t="array" ref="F1602">IF(D1602&gt;=_xlfn.PERCENTILE.INC(D1602:D3260, 0.9), "High", "Low")</f>
        <v>Low</v>
      </c>
      <c r="L1602" s="4" t="str">
        <f t="shared" si="2"/>
        <v/>
      </c>
    </row>
    <row r="1603" ht="14.25" customHeight="1">
      <c r="A1603" s="1" t="s">
        <v>7160</v>
      </c>
      <c r="B1603" s="1">
        <v>7.0</v>
      </c>
      <c r="C1603" s="4" t="str">
        <f>IFERROR(__xludf.DUMMYFUNCTION("""COMPUTED_VALUE"""),"Michael Wadleigh")</f>
        <v>Michael Wadleigh</v>
      </c>
      <c r="D1603" s="4">
        <f t="array" ref="D1603">IFERROR(AVERAGEIFS($B$2:$B$3757, $A$2:$A$3757, C1603:C5357), "")</f>
        <v>8.1</v>
      </c>
      <c r="E1603" s="4">
        <f t="shared" si="1"/>
        <v>96.6</v>
      </c>
      <c r="F1603" s="4" t="str">
        <f t="array" ref="F1603">IF(D1603&gt;=_xlfn.PERCENTILE.INC(D1603:D3261, 0.9), "High", "Low")</f>
        <v>High</v>
      </c>
      <c r="L1603" s="4" t="str">
        <f t="shared" si="2"/>
        <v/>
      </c>
    </row>
    <row r="1604" ht="14.25" customHeight="1">
      <c r="A1604" s="1" t="s">
        <v>2661</v>
      </c>
      <c r="B1604" s="1">
        <v>6.8</v>
      </c>
      <c r="C1604" s="4" t="str">
        <f>IFERROR(__xludf.DUMMYFUNCTION("""COMPUTED_VALUE"""),"Jon Gunn")</f>
        <v>Jon Gunn</v>
      </c>
      <c r="D1604" s="4">
        <f t="array" ref="D1604">IFERROR(AVERAGEIFS($B$2:$B$3757, $A$2:$A$3757, C1604:C5358), "")</f>
        <v>6.1</v>
      </c>
      <c r="E1604" s="4">
        <f t="shared" si="1"/>
        <v>24.6</v>
      </c>
      <c r="F1604" s="4" t="str">
        <f t="array" ref="F1604">IF(D1604&gt;=_xlfn.PERCENTILE.INC(D1604:D3262, 0.9), "High", "Low")</f>
        <v>Low</v>
      </c>
      <c r="L1604" s="4" t="str">
        <f t="shared" si="2"/>
        <v/>
      </c>
    </row>
    <row r="1605" ht="14.25" customHeight="1">
      <c r="A1605" s="1" t="s">
        <v>6050</v>
      </c>
      <c r="B1605" s="1">
        <v>5.6</v>
      </c>
      <c r="C1605" s="4" t="str">
        <f>IFERROR(__xludf.DUMMYFUNCTION("""COMPUTED_VALUE"""),"Scott Ziehl")</f>
        <v>Scott Ziehl</v>
      </c>
      <c r="D1605" s="4">
        <f t="array" ref="D1605">IFERROR(AVERAGEIFS($B$2:$B$3757, $A$2:$A$3757, C1605:C5359), "")</f>
        <v>6.6</v>
      </c>
      <c r="E1605" s="4">
        <f t="shared" si="1"/>
        <v>42.9</v>
      </c>
      <c r="F1605" s="4" t="str">
        <f t="array" ref="F1605">IF(D1605&gt;=_xlfn.PERCENTILE.INC(D1605:D3263, 0.9), "High", "Low")</f>
        <v>Low</v>
      </c>
      <c r="L1605" s="4" t="str">
        <f t="shared" si="2"/>
        <v/>
      </c>
    </row>
    <row r="1606" ht="14.25" customHeight="1">
      <c r="A1606" s="1" t="s">
        <v>5504</v>
      </c>
      <c r="B1606" s="1">
        <v>6.1</v>
      </c>
      <c r="C1606" s="4" t="str">
        <f>IFERROR(__xludf.DUMMYFUNCTION("""COMPUTED_VALUE"""),"Joe Camp")</f>
        <v>Joe Camp</v>
      </c>
      <c r="D1606" s="4">
        <f t="array" ref="D1606">IFERROR(AVERAGEIFS($B$2:$B$3757, $A$2:$A$3757, C1606:C5360), "")</f>
        <v>6.1</v>
      </c>
      <c r="E1606" s="4">
        <f t="shared" si="1"/>
        <v>25.5</v>
      </c>
      <c r="F1606" s="4" t="str">
        <f t="array" ref="F1606">IF(D1606&gt;=_xlfn.PERCENTILE.INC(D1606:D3264, 0.9), "High", "Low")</f>
        <v>Low</v>
      </c>
      <c r="L1606" s="4" t="str">
        <f t="shared" si="2"/>
        <v/>
      </c>
    </row>
    <row r="1607" ht="14.25" customHeight="1">
      <c r="A1607" s="1" t="s">
        <v>978</v>
      </c>
      <c r="B1607" s="1">
        <v>7.9</v>
      </c>
      <c r="C1607" s="4" t="str">
        <f>IFERROR(__xludf.DUMMYFUNCTION("""COMPUTED_VALUE"""),"John 'Bud' Cardos")</f>
        <v>John 'Bud' Cardos</v>
      </c>
      <c r="D1607" s="4">
        <f t="array" ref="D1607">IFERROR(AVERAGEIFS($B$2:$B$3757, $A$2:$A$3757, C1607:C5361), "")</f>
        <v>5.9</v>
      </c>
      <c r="E1607" s="4">
        <f t="shared" si="1"/>
        <v>18.5</v>
      </c>
      <c r="F1607" s="4" t="str">
        <f t="array" ref="F1607">IF(D1607&gt;=_xlfn.PERCENTILE.INC(D1607:D3265, 0.9), "High", "Low")</f>
        <v>Low</v>
      </c>
      <c r="L1607" s="4" t="str">
        <f t="shared" si="2"/>
        <v/>
      </c>
    </row>
    <row r="1608" ht="14.25" customHeight="1">
      <c r="A1608" s="1" t="s">
        <v>8101</v>
      </c>
      <c r="B1608" s="1">
        <v>8.4</v>
      </c>
      <c r="C1608" s="4" t="str">
        <f>IFERROR(__xludf.DUMMYFUNCTION("""COMPUTED_VALUE"""),"Brian Baugh")</f>
        <v>Brian Baugh</v>
      </c>
      <c r="D1608" s="4">
        <f t="array" ref="D1608">IFERROR(AVERAGEIFS($B$2:$B$3757, $A$2:$A$3757, C1608:C5362), "")</f>
        <v>7.1</v>
      </c>
      <c r="E1608" s="4">
        <f t="shared" si="1"/>
        <v>69.8</v>
      </c>
      <c r="F1608" s="4" t="str">
        <f t="array" ref="F1608">IF(D1608&gt;=_xlfn.PERCENTILE.INC(D1608:D3266, 0.9), "High", "Low")</f>
        <v>Low</v>
      </c>
      <c r="L1608" s="4" t="str">
        <f t="shared" si="2"/>
        <v/>
      </c>
    </row>
    <row r="1609" ht="14.25" customHeight="1">
      <c r="A1609" s="1" t="s">
        <v>8106</v>
      </c>
      <c r="B1609" s="1">
        <v>6.5</v>
      </c>
      <c r="C1609" s="4" t="str">
        <f>IFERROR(__xludf.DUMMYFUNCTION("""COMPUTED_VALUE"""),"Barry W. Blaustein")</f>
        <v>Barry W. Blaustein</v>
      </c>
      <c r="D1609" s="4">
        <f t="array" ref="D1609">IFERROR(AVERAGEIFS($B$2:$B$3757, $A$2:$A$3757, C1609:C5363), "")</f>
        <v>7.6</v>
      </c>
      <c r="E1609" s="4">
        <f t="shared" si="1"/>
        <v>86.5</v>
      </c>
      <c r="F1609" s="4" t="str">
        <f t="array" ref="F1609">IF(D1609&gt;=_xlfn.PERCENTILE.INC(D1609:D3267, 0.9), "High", "Low")</f>
        <v>Low</v>
      </c>
      <c r="L1609" s="4" t="str">
        <f t="shared" si="2"/>
        <v/>
      </c>
    </row>
    <row r="1610" ht="14.25" customHeight="1">
      <c r="A1610" s="1" t="s">
        <v>8111</v>
      </c>
      <c r="B1610" s="1">
        <v>7.1</v>
      </c>
      <c r="C1610" s="4" t="str">
        <f>IFERROR(__xludf.DUMMYFUNCTION("""COMPUTED_VALUE"""),"Siddiq Barmak")</f>
        <v>Siddiq Barmak</v>
      </c>
      <c r="D1610" s="4">
        <f t="array" ref="D1610">IFERROR(AVERAGEIFS($B$2:$B$3757, $A$2:$A$3757, C1610:C5364), "")</f>
        <v>7.4</v>
      </c>
      <c r="E1610" s="4">
        <f t="shared" si="1"/>
        <v>78.4</v>
      </c>
      <c r="F1610" s="4" t="str">
        <f t="array" ref="F1610">IF(D1610&gt;=_xlfn.PERCENTILE.INC(D1610:D3268, 0.9), "High", "Low")</f>
        <v>Low</v>
      </c>
      <c r="L1610" s="4" t="str">
        <f t="shared" si="2"/>
        <v/>
      </c>
    </row>
    <row r="1611" ht="14.25" customHeight="1">
      <c r="A1611" s="1" t="s">
        <v>4775</v>
      </c>
      <c r="B1611" s="1">
        <v>6.6</v>
      </c>
      <c r="C1611" s="4" t="str">
        <f>IFERROR(__xludf.DUMMYFUNCTION("""COMPUTED_VALUE"""),"Joseph Dorman")</f>
        <v>Joseph Dorman</v>
      </c>
      <c r="D1611" s="4">
        <f t="array" ref="D1611">IFERROR(AVERAGEIFS($B$2:$B$3757, $A$2:$A$3757, C1611:C5365), "")</f>
        <v>6.8</v>
      </c>
      <c r="E1611" s="4">
        <f t="shared" si="1"/>
        <v>54</v>
      </c>
      <c r="F1611" s="4" t="str">
        <f t="array" ref="F1611">IF(D1611&gt;=_xlfn.PERCENTILE.INC(D1611:D3269, 0.9), "High", "Low")</f>
        <v>Low</v>
      </c>
      <c r="L1611" s="4" t="str">
        <f t="shared" si="2"/>
        <v/>
      </c>
    </row>
    <row r="1612" ht="14.25" customHeight="1">
      <c r="A1612" s="1" t="s">
        <v>7693</v>
      </c>
      <c r="B1612" s="1">
        <v>7.0</v>
      </c>
      <c r="C1612" s="4" t="str">
        <f>IFERROR(__xludf.DUMMYFUNCTION("""COMPUTED_VALUE"""),"Greg Harrison")</f>
        <v>Greg Harrison</v>
      </c>
      <c r="D1612" s="4">
        <f t="array" ref="D1612">IFERROR(AVERAGEIFS($B$2:$B$3757, $A$2:$A$3757, C1612:C5366), "")</f>
        <v>6</v>
      </c>
      <c r="E1612" s="4">
        <f t="shared" si="1"/>
        <v>22.4</v>
      </c>
      <c r="F1612" s="4" t="str">
        <f t="array" ref="F1612">IF(D1612&gt;=_xlfn.PERCENTILE.INC(D1612:D3270, 0.9), "High", "Low")</f>
        <v>Low</v>
      </c>
      <c r="L1612" s="4" t="str">
        <f t="shared" si="2"/>
        <v/>
      </c>
    </row>
    <row r="1613" ht="14.25" customHeight="1">
      <c r="A1613" s="1" t="s">
        <v>8125</v>
      </c>
      <c r="B1613" s="1">
        <v>5.6</v>
      </c>
      <c r="C1613" s="4" t="str">
        <f>IFERROR(__xludf.DUMMYFUNCTION("""COMPUTED_VALUE"""),"Jacob Aaron Estes")</f>
        <v>Jacob Aaron Estes</v>
      </c>
      <c r="D1613" s="4">
        <f t="array" ref="D1613">IFERROR(AVERAGEIFS($B$2:$B$3757, $A$2:$A$3757, C1613:C5367), "")</f>
        <v>7.3</v>
      </c>
      <c r="E1613" s="4">
        <f t="shared" si="1"/>
        <v>77.1</v>
      </c>
      <c r="F1613" s="4" t="str">
        <f t="array" ref="F1613">IF(D1613&gt;=_xlfn.PERCENTILE.INC(D1613:D3271, 0.9), "High", "Low")</f>
        <v>Low</v>
      </c>
      <c r="L1613" s="4" t="str">
        <f t="shared" si="2"/>
        <v/>
      </c>
    </row>
    <row r="1614" ht="14.25" customHeight="1">
      <c r="A1614" s="1" t="s">
        <v>8131</v>
      </c>
      <c r="B1614" s="1">
        <v>4.8</v>
      </c>
      <c r="C1614" s="4" t="str">
        <f>IFERROR(__xludf.DUMMYFUNCTION("""COMPUTED_VALUE"""),"Eric Schaeffer")</f>
        <v>Eric Schaeffer</v>
      </c>
      <c r="D1614" s="4">
        <f t="array" ref="D1614">IFERROR(AVERAGEIFS($B$2:$B$3757, $A$2:$A$3757, C1614:C5368), "")</f>
        <v>6</v>
      </c>
      <c r="E1614" s="4">
        <f t="shared" si="1"/>
        <v>23.4</v>
      </c>
      <c r="F1614" s="4" t="str">
        <f t="array" ref="F1614">IF(D1614&gt;=_xlfn.PERCENTILE.INC(D1614:D3272, 0.9), "High", "Low")</f>
        <v>Low</v>
      </c>
      <c r="L1614" s="4" t="str">
        <f t="shared" si="2"/>
        <v/>
      </c>
    </row>
    <row r="1615" ht="14.25" customHeight="1">
      <c r="A1615" s="1" t="s">
        <v>8137</v>
      </c>
      <c r="B1615" s="1">
        <v>7.5</v>
      </c>
      <c r="C1615" s="4" t="str">
        <f>IFERROR(__xludf.DUMMYFUNCTION("""COMPUTED_VALUE"""),"Neema Barnette")</f>
        <v>Neema Barnette</v>
      </c>
      <c r="D1615" s="4">
        <f t="array" ref="D1615">IFERROR(AVERAGEIFS($B$2:$B$3757, $A$2:$A$3757, C1615:C5369), "")</f>
        <v>5.3</v>
      </c>
      <c r="E1615" s="4">
        <f t="shared" si="1"/>
        <v>8.7</v>
      </c>
      <c r="F1615" s="4" t="str">
        <f t="array" ref="F1615">IF(D1615&gt;=_xlfn.PERCENTILE.INC(D1615:D3273, 0.9), "High", "Low")</f>
        <v>Low</v>
      </c>
      <c r="L1615" s="4" t="str">
        <f t="shared" si="2"/>
        <v/>
      </c>
    </row>
    <row r="1616" ht="14.25" customHeight="1">
      <c r="A1616" s="1" t="s">
        <v>8142</v>
      </c>
      <c r="B1616" s="1">
        <v>6.0</v>
      </c>
      <c r="C1616" s="4" t="str">
        <f>IFERROR(__xludf.DUMMYFUNCTION("""COMPUTED_VALUE"""),"Akira Kurosawa")</f>
        <v>Akira Kurosawa</v>
      </c>
      <c r="D1616" s="4">
        <f t="array" ref="D1616">IFERROR(AVERAGEIFS($B$2:$B$3757, $A$2:$A$3757, C1616:C5370), "")</f>
        <v>8.7</v>
      </c>
      <c r="E1616" s="4">
        <f t="shared" si="1"/>
        <v>100</v>
      </c>
      <c r="F1616" s="4" t="str">
        <f t="array" ref="F1616">IF(D1616&gt;=_xlfn.PERCENTILE.INC(D1616:D3274, 0.9), "High", "Low")</f>
        <v>High</v>
      </c>
      <c r="L1616" s="4" t="str">
        <f t="shared" si="2"/>
        <v/>
      </c>
    </row>
    <row r="1617" ht="14.25" customHeight="1">
      <c r="A1617" s="1" t="s">
        <v>117</v>
      </c>
      <c r="B1617" s="1">
        <v>6.8</v>
      </c>
      <c r="C1617" s="4" t="str">
        <f>IFERROR(__xludf.DUMMYFUNCTION("""COMPUTED_VALUE"""),"Quentin Dupieux")</f>
        <v>Quentin Dupieux</v>
      </c>
      <c r="D1617" s="4">
        <f t="array" ref="D1617">IFERROR(AVERAGEIFS($B$2:$B$3757, $A$2:$A$3757, C1617:C5371), "")</f>
        <v>5.8</v>
      </c>
      <c r="E1617" s="4">
        <f t="shared" si="1"/>
        <v>18.2</v>
      </c>
      <c r="F1617" s="4" t="str">
        <f t="array" ref="F1617">IF(D1617&gt;=_xlfn.PERCENTILE.INC(D1617:D3275, 0.9), "High", "Low")</f>
        <v>Low</v>
      </c>
    </row>
    <row r="1618" ht="14.25" customHeight="1">
      <c r="A1618" s="1" t="s">
        <v>8151</v>
      </c>
      <c r="B1618" s="1">
        <v>6.5</v>
      </c>
      <c r="C1618" s="4" t="str">
        <f>IFERROR(__xludf.DUMMYFUNCTION("""COMPUTED_VALUE"""),"Alex Smith")</f>
        <v>Alex Smith</v>
      </c>
      <c r="D1618" s="4">
        <f t="array" ref="D1618">IFERROR(AVERAGEIFS($B$2:$B$3757, $A$2:$A$3757, C1618:C5372), "")</f>
        <v>6.1</v>
      </c>
      <c r="E1618" s="4">
        <f t="shared" si="1"/>
        <v>20.9</v>
      </c>
      <c r="F1618" s="4" t="str">
        <f t="array" ref="F1618">IF(D1618&gt;=_xlfn.PERCENTILE.INC(D1618:D3276, 0.9), "High", "Low")</f>
        <v>Low</v>
      </c>
      <c r="L1618" s="4" t="str">
        <f t="shared" ref="L1618:L1661" si="3">IF(D1617 &gt;= PERCENTILE($D$2:$D$1661, 1), "Top Director", "")</f>
        <v/>
      </c>
    </row>
    <row r="1619" ht="14.25" customHeight="1">
      <c r="A1619" s="1" t="s">
        <v>1365</v>
      </c>
      <c r="B1619" s="1">
        <v>7.9</v>
      </c>
      <c r="C1619" s="4" t="str">
        <f>IFERROR(__xludf.DUMMYFUNCTION("""COMPUTED_VALUE"""),"Gareth Edwards")</f>
        <v>Gareth Edwards</v>
      </c>
      <c r="D1619" s="4">
        <f t="array" ref="D1619">IFERROR(AVERAGEIFS($B$2:$B$3757, $A$2:$A$3757, C1619:C5373), "")</f>
        <v>6.4</v>
      </c>
      <c r="E1619" s="4">
        <f t="shared" si="1"/>
        <v>33.3</v>
      </c>
      <c r="F1619" s="4" t="str">
        <f t="array" ref="F1619">IF(D1619&gt;=_xlfn.PERCENTILE.INC(D1619:D3277, 0.9), "High", "Low")</f>
        <v>Low</v>
      </c>
      <c r="L1619" s="4" t="str">
        <f t="shared" si="3"/>
        <v/>
      </c>
    </row>
    <row r="1620" ht="14.25" customHeight="1">
      <c r="A1620" s="1" t="s">
        <v>8163</v>
      </c>
      <c r="B1620" s="1">
        <v>6.4</v>
      </c>
      <c r="C1620" s="4" t="str">
        <f>IFERROR(__xludf.DUMMYFUNCTION("""COMPUTED_VALUE"""),"Alex Craig Mann")</f>
        <v>Alex Craig Mann</v>
      </c>
      <c r="D1620" s="4">
        <f t="array" ref="D1620">IFERROR(AVERAGEIFS($B$2:$B$3757, $A$2:$A$3757, C1620:C5374), "")</f>
        <v>4.6</v>
      </c>
      <c r="E1620" s="4">
        <f t="shared" si="1"/>
        <v>2.4</v>
      </c>
      <c r="F1620" s="4" t="str">
        <f t="array" ref="F1620">IF(D1620&gt;=_xlfn.PERCENTILE.INC(D1620:D3278, 0.9), "High", "Low")</f>
        <v>Low</v>
      </c>
      <c r="L1620" s="4" t="str">
        <f t="shared" si="3"/>
        <v/>
      </c>
    </row>
    <row r="1621" ht="14.25" customHeight="1">
      <c r="A1621" s="1" t="s">
        <v>4827</v>
      </c>
      <c r="B1621" s="1">
        <v>5.8</v>
      </c>
      <c r="C1621" s="4" t="str">
        <f>IFERROR(__xludf.DUMMYFUNCTION("""COMPUTED_VALUE"""),"Matty Rich")</f>
        <v>Matty Rich</v>
      </c>
      <c r="D1621" s="4">
        <f t="array" ref="D1621">IFERROR(AVERAGEIFS($B$2:$B$3757, $A$2:$A$3757, C1621:C5375), "")</f>
        <v>5.9</v>
      </c>
      <c r="E1621" s="4">
        <f t="shared" si="1"/>
        <v>17.5</v>
      </c>
      <c r="F1621" s="4" t="str">
        <f t="array" ref="F1621">IF(D1621&gt;=_xlfn.PERCENTILE.INC(D1621:D3279, 0.9), "High", "Low")</f>
        <v>Low</v>
      </c>
      <c r="L1621" s="4" t="str">
        <f t="shared" si="3"/>
        <v/>
      </c>
    </row>
    <row r="1622" ht="14.25" customHeight="1">
      <c r="A1622" s="1" t="s">
        <v>813</v>
      </c>
      <c r="B1622" s="1">
        <v>7.7</v>
      </c>
      <c r="C1622" s="4" t="str">
        <f>IFERROR(__xludf.DUMMYFUNCTION("""COMPUTED_VALUE"""),"Hans Canosa")</f>
        <v>Hans Canosa</v>
      </c>
      <c r="D1622" s="4">
        <f t="array" ref="D1622">IFERROR(AVERAGEIFS($B$2:$B$3757, $A$2:$A$3757, C1622:C5376), "")</f>
        <v>7.1</v>
      </c>
      <c r="E1622" s="4">
        <f t="shared" si="1"/>
        <v>71.8</v>
      </c>
      <c r="F1622" s="4" t="str">
        <f t="array" ref="F1622">IF(D1622&gt;=_xlfn.PERCENTILE.INC(D1622:D3280, 0.9), "High", "Low")</f>
        <v>Low</v>
      </c>
      <c r="L1622" s="4" t="str">
        <f t="shared" si="3"/>
        <v/>
      </c>
    </row>
    <row r="1623" ht="14.25" customHeight="1">
      <c r="A1623" s="1" t="s">
        <v>5727</v>
      </c>
      <c r="B1623" s="1">
        <v>5.3</v>
      </c>
      <c r="C1623" s="4" t="str">
        <f>IFERROR(__xludf.DUMMYFUNCTION("""COMPUTED_VALUE"""),"Lloyd Kaufman")</f>
        <v>Lloyd Kaufman</v>
      </c>
      <c r="D1623" s="4">
        <f t="array" ref="D1623">IFERROR(AVERAGEIFS($B$2:$B$3757, $A$2:$A$3757, C1623:C5377), "")</f>
        <v>6.2</v>
      </c>
      <c r="E1623" s="4">
        <f t="shared" si="1"/>
        <v>21.1</v>
      </c>
      <c r="F1623" s="4" t="str">
        <f t="array" ref="F1623">IF(D1623&gt;=_xlfn.PERCENTILE.INC(D1623:D3281, 0.9), "High", "Low")</f>
        <v>Low</v>
      </c>
      <c r="L1623" s="4" t="str">
        <f t="shared" si="3"/>
        <v/>
      </c>
    </row>
    <row r="1624" ht="14.25" customHeight="1">
      <c r="A1624" s="1" t="s">
        <v>8178</v>
      </c>
      <c r="B1624" s="1">
        <v>5.3</v>
      </c>
      <c r="C1624" s="4" t="str">
        <f>IFERROR(__xludf.DUMMYFUNCTION("""COMPUTED_VALUE"""),"Lloyd Bacon")</f>
        <v>Lloyd Bacon</v>
      </c>
      <c r="D1624" s="4">
        <f t="array" ref="D1624">IFERROR(AVERAGEIFS($B$2:$B$3757, $A$2:$A$3757, C1624:C5378), "")</f>
        <v>7.7</v>
      </c>
      <c r="E1624" s="4">
        <f t="shared" si="1"/>
        <v>89.2</v>
      </c>
      <c r="F1624" s="4" t="str">
        <f t="array" ref="F1624">IF(D1624&gt;=_xlfn.PERCENTILE.INC(D1624:D3282, 0.9), "High", "Low")</f>
        <v>High</v>
      </c>
      <c r="L1624" s="4" t="str">
        <f t="shared" si="3"/>
        <v/>
      </c>
    </row>
    <row r="1625" ht="14.25" customHeight="1">
      <c r="A1625" s="1" t="s">
        <v>8182</v>
      </c>
      <c r="B1625" s="1">
        <v>7.5</v>
      </c>
      <c r="C1625" s="4" t="str">
        <f>IFERROR(__xludf.DUMMYFUNCTION("""COMPUTED_VALUE"""),"Whit Stillman")</f>
        <v>Whit Stillman</v>
      </c>
      <c r="D1625" s="4">
        <f t="array" ref="D1625">IFERROR(AVERAGEIFS($B$2:$B$3757, $A$2:$A$3757, C1625:C5379), "")</f>
        <v>7.5</v>
      </c>
      <c r="E1625" s="4">
        <f t="shared" si="1"/>
        <v>80.6</v>
      </c>
      <c r="F1625" s="4" t="str">
        <f t="array" ref="F1625">IF(D1625&gt;=_xlfn.PERCENTILE.INC(D1625:D3283, 0.9), "High", "Low")</f>
        <v>Low</v>
      </c>
      <c r="L1625" s="4" t="str">
        <f t="shared" si="3"/>
        <v/>
      </c>
    </row>
    <row r="1626" ht="14.25" customHeight="1">
      <c r="A1626" s="1" t="s">
        <v>3446</v>
      </c>
      <c r="B1626" s="1">
        <v>6.9</v>
      </c>
      <c r="C1626" s="4" t="str">
        <f>IFERROR(__xludf.DUMMYFUNCTION("""COMPUTED_VALUE"""),"Oren Peli")</f>
        <v>Oren Peli</v>
      </c>
      <c r="D1626" s="4">
        <f t="array" ref="D1626">IFERROR(AVERAGEIFS($B$2:$B$3757, $A$2:$A$3757, C1626:C5380), "")</f>
        <v>6.3</v>
      </c>
      <c r="E1626" s="4">
        <f t="shared" si="1"/>
        <v>22.9</v>
      </c>
      <c r="F1626" s="4" t="str">
        <f t="array" ref="F1626">IF(D1626&gt;=_xlfn.PERCENTILE.INC(D1626:D3284, 0.9), "High", "Low")</f>
        <v>Low</v>
      </c>
      <c r="L1626" s="4" t="str">
        <f t="shared" si="3"/>
        <v/>
      </c>
    </row>
    <row r="1627" ht="14.25" customHeight="1">
      <c r="A1627" s="1" t="s">
        <v>8189</v>
      </c>
      <c r="B1627" s="1">
        <v>4.9</v>
      </c>
      <c r="C1627" s="4" t="str">
        <f>IFERROR(__xludf.DUMMYFUNCTION("""COMPUTED_VALUE"""),"Jonathan Caouette")</f>
        <v>Jonathan Caouette</v>
      </c>
      <c r="D1627" s="4">
        <f t="array" ref="D1627">IFERROR(AVERAGEIFS($B$2:$B$3757, $A$2:$A$3757, C1627:C5381), "")</f>
        <v>7.2</v>
      </c>
      <c r="E1627" s="4">
        <f t="shared" si="1"/>
        <v>76.5</v>
      </c>
      <c r="F1627" s="4" t="str">
        <f t="array" ref="F1627">IF(D1627&gt;=_xlfn.PERCENTILE.INC(D1627:D3285, 0.9), "High", "Low")</f>
        <v>Low</v>
      </c>
      <c r="L1627" s="4" t="str">
        <f t="shared" si="3"/>
        <v/>
      </c>
    </row>
    <row r="1628" ht="14.25" customHeight="1">
      <c r="A1628" s="1" t="s">
        <v>8195</v>
      </c>
      <c r="B1628" s="1">
        <v>7.1</v>
      </c>
      <c r="C1628" s="4" t="str">
        <f>IFERROR(__xludf.DUMMYFUNCTION("""COMPUTED_VALUE"""),"Lucio Fulci")</f>
        <v>Lucio Fulci</v>
      </c>
      <c r="D1628" s="4">
        <f t="array" ref="D1628">IFERROR(AVERAGEIFS($B$2:$B$3757, $A$2:$A$3757, C1628:C5382), "")</f>
        <v>6.9</v>
      </c>
      <c r="E1628" s="4">
        <f t="shared" si="1"/>
        <v>54.5</v>
      </c>
      <c r="F1628" s="4" t="str">
        <f t="array" ref="F1628">IF(D1628&gt;=_xlfn.PERCENTILE.INC(D1628:D3286, 0.9), "High", "Low")</f>
        <v>Low</v>
      </c>
      <c r="L1628" s="4" t="str">
        <f t="shared" si="3"/>
        <v/>
      </c>
    </row>
    <row r="1629" ht="14.25" customHeight="1">
      <c r="A1629" s="1" t="s">
        <v>1580</v>
      </c>
      <c r="B1629" s="1">
        <v>8.0</v>
      </c>
      <c r="C1629" s="4" t="str">
        <f>IFERROR(__xludf.DUMMYFUNCTION("""COMPUTED_VALUE"""),"Harry Beaumont")</f>
        <v>Harry Beaumont</v>
      </c>
      <c r="D1629" s="4">
        <f t="array" ref="D1629">IFERROR(AVERAGEIFS($B$2:$B$3757, $A$2:$A$3757, C1629:C5383), "")</f>
        <v>6.3</v>
      </c>
      <c r="E1629" s="4">
        <f t="shared" si="1"/>
        <v>25</v>
      </c>
      <c r="F1629" s="4" t="str">
        <f t="array" ref="F1629">IF(D1629&gt;=_xlfn.PERCENTILE.INC(D1629:D3287, 0.9), "High", "Low")</f>
        <v>Low</v>
      </c>
      <c r="L1629" s="4" t="str">
        <f t="shared" si="3"/>
        <v/>
      </c>
    </row>
    <row r="1630" ht="14.25" customHeight="1">
      <c r="A1630" s="1" t="s">
        <v>2928</v>
      </c>
      <c r="B1630" s="1">
        <v>7.9</v>
      </c>
      <c r="C1630" s="4" t="str">
        <f>IFERROR(__xludf.DUMMYFUNCTION("""COMPUTED_VALUE"""),"Franck Khalfoun")</f>
        <v>Franck Khalfoun</v>
      </c>
      <c r="D1630" s="4">
        <f t="array" ref="D1630">IFERROR(AVERAGEIFS($B$2:$B$3757, $A$2:$A$3757, C1630:C5384), "")</f>
        <v>6.1</v>
      </c>
      <c r="E1630" s="4">
        <f t="shared" si="1"/>
        <v>22.6</v>
      </c>
      <c r="F1630" s="4" t="str">
        <f t="array" ref="F1630">IF(D1630&gt;=_xlfn.PERCENTILE.INC(D1630:D3288, 0.9), "High", "Low")</f>
        <v>Low</v>
      </c>
      <c r="L1630" s="4" t="str">
        <f t="shared" si="3"/>
        <v/>
      </c>
    </row>
    <row r="1631" ht="14.25" customHeight="1">
      <c r="A1631" s="1" t="s">
        <v>381</v>
      </c>
      <c r="B1631" s="1">
        <v>7.6</v>
      </c>
      <c r="C1631" s="4" t="str">
        <f>IFERROR(__xludf.DUMMYFUNCTION("""COMPUTED_VALUE"""),"Henry Alex Rubin")</f>
        <v>Henry Alex Rubin</v>
      </c>
      <c r="D1631" s="4">
        <f t="array" ref="D1631">IFERROR(AVERAGEIFS($B$2:$B$3757, $A$2:$A$3757, C1631:C5385), "")</f>
        <v>7.8</v>
      </c>
      <c r="E1631" s="4">
        <f t="shared" si="1"/>
        <v>96.7</v>
      </c>
      <c r="F1631" s="4" t="str">
        <f t="array" ref="F1631">IF(D1631&gt;=_xlfn.PERCENTILE.INC(D1631:D3289, 0.9), "High", "Low")</f>
        <v>High</v>
      </c>
      <c r="L1631" s="4" t="str">
        <f t="shared" si="3"/>
        <v/>
      </c>
    </row>
    <row r="1632" ht="14.25" customHeight="1">
      <c r="A1632" s="1" t="s">
        <v>8215</v>
      </c>
      <c r="B1632" s="1">
        <v>5.9</v>
      </c>
      <c r="C1632" s="4" t="str">
        <f>IFERROR(__xludf.DUMMYFUNCTION("""COMPUTED_VALUE"""),"Sam Firstenberg")</f>
        <v>Sam Firstenberg</v>
      </c>
      <c r="D1632" s="4">
        <f t="array" ref="D1632">IFERROR(AVERAGEIFS($B$2:$B$3757, $A$2:$A$3757, C1632:C5386), "")</f>
        <v>4.7</v>
      </c>
      <c r="E1632" s="4">
        <f t="shared" si="1"/>
        <v>3.4</v>
      </c>
      <c r="F1632" s="4" t="str">
        <f t="array" ref="F1632">IF(D1632&gt;=_xlfn.PERCENTILE.INC(D1632:D3290, 0.9), "High", "Low")</f>
        <v>Low</v>
      </c>
      <c r="L1632" s="4" t="str">
        <f t="shared" si="3"/>
        <v/>
      </c>
    </row>
    <row r="1633" ht="14.25" customHeight="1">
      <c r="A1633" s="1" t="s">
        <v>925</v>
      </c>
      <c r="B1633" s="1">
        <v>6.3</v>
      </c>
      <c r="C1633" s="4" t="str">
        <f>IFERROR(__xludf.DUMMYFUNCTION("""COMPUTED_VALUE"""),"Gregory Widen")</f>
        <v>Gregory Widen</v>
      </c>
      <c r="D1633" s="4">
        <f t="array" ref="D1633">IFERROR(AVERAGEIFS($B$2:$B$3757, $A$2:$A$3757, C1633:C5387), "")</f>
        <v>6.6</v>
      </c>
      <c r="E1633" s="4">
        <f t="shared" si="1"/>
        <v>32.1</v>
      </c>
      <c r="F1633" s="4" t="str">
        <f t="array" ref="F1633">IF(D1633&gt;=_xlfn.PERCENTILE.INC(D1633:D3291, 0.9), "High", "Low")</f>
        <v>Low</v>
      </c>
      <c r="L1633" s="4" t="str">
        <f t="shared" si="3"/>
        <v/>
      </c>
    </row>
    <row r="1634" ht="14.25" customHeight="1">
      <c r="A1634" s="1" t="s">
        <v>4632</v>
      </c>
      <c r="B1634" s="1">
        <v>6.4</v>
      </c>
      <c r="C1634" s="4" t="str">
        <f>IFERROR(__xludf.DUMMYFUNCTION("""COMPUTED_VALUE"""),"Kelly Reichardt")</f>
        <v>Kelly Reichardt</v>
      </c>
      <c r="D1634" s="4">
        <f t="array" ref="D1634">IFERROR(AVERAGEIFS($B$2:$B$3757, $A$2:$A$3757, C1634:C5388), "")</f>
        <v>6.9</v>
      </c>
      <c r="E1634" s="4">
        <f t="shared" si="1"/>
        <v>51.9</v>
      </c>
      <c r="F1634" s="4" t="str">
        <f t="array" ref="F1634">IF(D1634&gt;=_xlfn.PERCENTILE.INC(D1634:D3292, 0.9), "High", "Low")</f>
        <v>Low</v>
      </c>
      <c r="L1634" s="4" t="str">
        <f t="shared" si="3"/>
        <v/>
      </c>
    </row>
    <row r="1635" ht="14.25" customHeight="1">
      <c r="A1635" s="1" t="s">
        <v>1255</v>
      </c>
      <c r="B1635" s="1">
        <v>8.2</v>
      </c>
      <c r="C1635" s="4" t="str">
        <f>IFERROR(__xludf.DUMMYFUNCTION("""COMPUTED_VALUE"""),"Eddie O'Flaherty")</f>
        <v>Eddie O'Flaherty</v>
      </c>
      <c r="D1635" s="4">
        <f t="array" ref="D1635">IFERROR(AVERAGEIFS($B$2:$B$3757, $A$2:$A$3757, C1635:C5389), "")</f>
        <v>6.6</v>
      </c>
      <c r="E1635" s="4">
        <f t="shared" si="1"/>
        <v>34.6</v>
      </c>
      <c r="F1635" s="4" t="str">
        <f t="array" ref="F1635">IF(D1635&gt;=_xlfn.PERCENTILE.INC(D1635:D3293, 0.9), "High", "Low")</f>
        <v>Low</v>
      </c>
      <c r="L1635" s="4" t="str">
        <f t="shared" si="3"/>
        <v/>
      </c>
    </row>
    <row r="1636" ht="14.25" customHeight="1">
      <c r="A1636" s="1" t="s">
        <v>8231</v>
      </c>
      <c r="B1636" s="1">
        <v>6.9</v>
      </c>
      <c r="C1636" s="4" t="str">
        <f>IFERROR(__xludf.DUMMYFUNCTION("""COMPUTED_VALUE"""),"Bruce Dellis")</f>
        <v>Bruce Dellis</v>
      </c>
      <c r="D1636" s="4">
        <f t="array" ref="D1636">IFERROR(AVERAGEIFS($B$2:$B$3757, $A$2:$A$3757, C1636:C5390), "")</f>
        <v>4.8</v>
      </c>
      <c r="E1636" s="4">
        <f t="shared" si="1"/>
        <v>4</v>
      </c>
      <c r="F1636" s="4" t="str">
        <f t="array" ref="F1636">IF(D1636&gt;=_xlfn.PERCENTILE.INC(D1636:D3294, 0.9), "High", "Low")</f>
        <v>Low</v>
      </c>
      <c r="L1636" s="4" t="str">
        <f t="shared" si="3"/>
        <v/>
      </c>
    </row>
    <row r="1637" ht="14.25" customHeight="1">
      <c r="A1637" s="1" t="s">
        <v>1668</v>
      </c>
      <c r="B1637" s="1">
        <v>7.8</v>
      </c>
      <c r="C1637" s="4" t="str">
        <f>IFERROR(__xludf.DUMMYFUNCTION("""COMPUTED_VALUE"""),"Craig Zobel")</f>
        <v>Craig Zobel</v>
      </c>
      <c r="D1637" s="4">
        <f t="array" ref="D1637">IFERROR(AVERAGEIFS($B$2:$B$3757, $A$2:$A$3757, C1637:C5391), "")</f>
        <v>6.4</v>
      </c>
      <c r="E1637" s="4">
        <f t="shared" si="1"/>
        <v>25</v>
      </c>
      <c r="F1637" s="4" t="str">
        <f t="array" ref="F1637">IF(D1637&gt;=_xlfn.PERCENTILE.INC(D1637:D3295, 0.9), "High", "Low")</f>
        <v>Low</v>
      </c>
      <c r="L1637" s="4" t="str">
        <f t="shared" si="3"/>
        <v/>
      </c>
    </row>
    <row r="1638" ht="14.25" customHeight="1">
      <c r="A1638" s="1" t="s">
        <v>1027</v>
      </c>
      <c r="B1638" s="1">
        <v>6.7</v>
      </c>
      <c r="C1638" s="4" t="str">
        <f>IFERROR(__xludf.DUMMYFUNCTION("""COMPUTED_VALUE"""),"Maria Maggenti")</f>
        <v>Maria Maggenti</v>
      </c>
      <c r="D1638" s="4">
        <f t="array" ref="D1638">IFERROR(AVERAGEIFS($B$2:$B$3757, $A$2:$A$3757, C1638:C5392), "")</f>
        <v>6.5</v>
      </c>
      <c r="E1638" s="4">
        <f t="shared" si="1"/>
        <v>26.1</v>
      </c>
      <c r="F1638" s="4" t="str">
        <f t="array" ref="F1638">IF(D1638&gt;=_xlfn.PERCENTILE.INC(D1638:D3296, 0.9), "High", "Low")</f>
        <v>Low</v>
      </c>
      <c r="L1638" s="4" t="str">
        <f t="shared" si="3"/>
        <v/>
      </c>
    </row>
    <row r="1639" ht="14.25" customHeight="1">
      <c r="A1639" s="1" t="s">
        <v>8016</v>
      </c>
      <c r="B1639" s="1">
        <v>7.5</v>
      </c>
      <c r="C1639" s="4" t="str">
        <f>IFERROR(__xludf.DUMMYFUNCTION("""COMPUTED_VALUE"""),"Piyush Dinker Pandya")</f>
        <v>Piyush Dinker Pandya</v>
      </c>
      <c r="D1639" s="4">
        <f t="array" ref="D1639">IFERROR(AVERAGEIFS($B$2:$B$3757, $A$2:$A$3757, C1639:C5393), "")</f>
        <v>6.7</v>
      </c>
      <c r="E1639" s="4">
        <f t="shared" si="1"/>
        <v>27.3</v>
      </c>
      <c r="F1639" s="4" t="str">
        <f t="array" ref="F1639">IF(D1639&gt;=_xlfn.PERCENTILE.INC(D1639:D3297, 0.9), "High", "Low")</f>
        <v>Low</v>
      </c>
      <c r="L1639" s="4" t="str">
        <f t="shared" si="3"/>
        <v/>
      </c>
    </row>
    <row r="1640" ht="14.25" customHeight="1">
      <c r="A1640" s="1" t="s">
        <v>103</v>
      </c>
      <c r="B1640" s="1">
        <v>7.4</v>
      </c>
      <c r="C1640" s="4" t="str">
        <f>IFERROR(__xludf.DUMMYFUNCTION("""COMPUTED_VALUE"""),"Bill Plympton")</f>
        <v>Bill Plympton</v>
      </c>
      <c r="D1640" s="4">
        <f t="array" ref="D1640">IFERROR(AVERAGEIFS($B$2:$B$3757, $A$2:$A$3757, C1640:C5394), "")</f>
        <v>7</v>
      </c>
      <c r="E1640" s="4">
        <f t="shared" si="1"/>
        <v>42.9</v>
      </c>
      <c r="F1640" s="4" t="str">
        <f t="array" ref="F1640">IF(D1640&gt;=_xlfn.PERCENTILE.INC(D1640:D3298, 0.9), "High", "Low")</f>
        <v>Low</v>
      </c>
      <c r="L1640" s="4" t="str">
        <f t="shared" si="3"/>
        <v/>
      </c>
    </row>
    <row r="1641" ht="14.25" customHeight="1">
      <c r="A1641" s="1" t="s">
        <v>2502</v>
      </c>
      <c r="B1641" s="1">
        <v>5.2</v>
      </c>
      <c r="C1641" s="4" t="str">
        <f>IFERROR(__xludf.DUMMYFUNCTION("""COMPUTED_VALUE"""),"Drake Doremus")</f>
        <v>Drake Doremus</v>
      </c>
      <c r="D1641" s="4">
        <f t="array" ref="D1641">IFERROR(AVERAGEIFS($B$2:$B$3757, $A$2:$A$3757, C1641:C5395), "")</f>
        <v>6.7</v>
      </c>
      <c r="E1641" s="4">
        <f t="shared" si="1"/>
        <v>30</v>
      </c>
      <c r="F1641" s="4" t="str">
        <f t="array" ref="F1641">IF(D1641&gt;=_xlfn.PERCENTILE.INC(D1641:D3299, 0.9), "High", "Low")</f>
        <v>Low</v>
      </c>
      <c r="L1641" s="4" t="str">
        <f t="shared" si="3"/>
        <v/>
      </c>
    </row>
    <row r="1642" ht="14.25" customHeight="1">
      <c r="A1642" s="1" t="s">
        <v>5083</v>
      </c>
      <c r="B1642" s="1">
        <v>7.6</v>
      </c>
      <c r="C1642" s="4" t="str">
        <f>IFERROR(__xludf.DUMMYFUNCTION("""COMPUTED_VALUE"""),"Tom Putnam")</f>
        <v>Tom Putnam</v>
      </c>
      <c r="D1642" s="4">
        <f t="array" ref="D1642">IFERROR(AVERAGEIFS($B$2:$B$3757, $A$2:$A$3757, C1642:C5396), "")</f>
        <v>7.5</v>
      </c>
      <c r="E1642" s="4">
        <f t="shared" si="1"/>
        <v>73.7</v>
      </c>
      <c r="F1642" s="4" t="str">
        <f t="array" ref="F1642">IF(D1642&gt;=_xlfn.PERCENTILE.INC(D1642:D3300, 0.9), "High", "Low")</f>
        <v>Low</v>
      </c>
      <c r="L1642" s="4" t="str">
        <f t="shared" si="3"/>
        <v/>
      </c>
    </row>
    <row r="1643" ht="14.25" customHeight="1">
      <c r="A1643" s="1" t="s">
        <v>1365</v>
      </c>
      <c r="B1643" s="1">
        <v>7.3</v>
      </c>
      <c r="C1643" s="4" t="str">
        <f>IFERROR(__xludf.DUMMYFUNCTION("""COMPUTED_VALUE"""),"Jon Shear")</f>
        <v>Jon Shear</v>
      </c>
      <c r="D1643" s="4">
        <f t="array" ref="D1643">IFERROR(AVERAGEIFS($B$2:$B$3757, $A$2:$A$3757, C1643:C5397), "")</f>
        <v>7</v>
      </c>
      <c r="E1643" s="4">
        <f t="shared" si="1"/>
        <v>44.4</v>
      </c>
      <c r="F1643" s="4" t="str">
        <f t="array" ref="F1643">IF(D1643&gt;=_xlfn.PERCENTILE.INC(D1643:D3301, 0.9), "High", "Low")</f>
        <v>Low</v>
      </c>
      <c r="L1643" s="4" t="str">
        <f t="shared" si="3"/>
        <v/>
      </c>
    </row>
    <row r="1644" ht="14.25" customHeight="1">
      <c r="A1644" s="1" t="s">
        <v>666</v>
      </c>
      <c r="B1644" s="1">
        <v>6.6</v>
      </c>
      <c r="C1644" s="4" t="str">
        <f>IFERROR(__xludf.DUMMYFUNCTION("""COMPUTED_VALUE"""),"EugÃ¨ne LouriÃ©")</f>
        <v>EugÃ¨ne LouriÃ©</v>
      </c>
      <c r="D1644" s="4">
        <f t="array" ref="D1644">IFERROR(AVERAGEIFS($B$2:$B$3757, $A$2:$A$3757, C1644:C5398), "")</f>
        <v>6.7</v>
      </c>
      <c r="E1644" s="4">
        <f t="shared" si="1"/>
        <v>35.3</v>
      </c>
      <c r="F1644" s="4" t="str">
        <f t="array" ref="F1644">IF(D1644&gt;=_xlfn.PERCENTILE.INC(D1644:D3302, 0.9), "High", "Low")</f>
        <v>Low</v>
      </c>
      <c r="L1644" s="4" t="str">
        <f t="shared" si="3"/>
        <v/>
      </c>
    </row>
    <row r="1645" ht="14.25" customHeight="1">
      <c r="A1645" s="1" t="s">
        <v>5767</v>
      </c>
      <c r="B1645" s="1">
        <v>6.8</v>
      </c>
      <c r="C1645" s="4" t="str">
        <f>IFERROR(__xludf.DUMMYFUNCTION("""COMPUTED_VALUE"""),"Ricki Stern")</f>
        <v>Ricki Stern</v>
      </c>
      <c r="D1645" s="4">
        <f t="array" ref="D1645">IFERROR(AVERAGEIFS($B$2:$B$3757, $A$2:$A$3757, C1645:C5399), "")</f>
        <v>7.7</v>
      </c>
      <c r="E1645" s="4">
        <f t="shared" si="1"/>
        <v>87.5</v>
      </c>
      <c r="F1645" s="4" t="str">
        <f t="array" ref="F1645">IF(D1645&gt;=_xlfn.PERCENTILE.INC(D1645:D3303, 0.9), "High", "Low")</f>
        <v>High</v>
      </c>
      <c r="L1645" s="4" t="str">
        <f t="shared" si="3"/>
        <v/>
      </c>
    </row>
    <row r="1646" ht="14.25" customHeight="1">
      <c r="A1646" s="1" t="s">
        <v>1596</v>
      </c>
      <c r="B1646" s="1">
        <v>6.9</v>
      </c>
      <c r="C1646" s="4" t="str">
        <f>IFERROR(__xludf.DUMMYFUNCTION("""COMPUTED_VALUE"""),"Majid Majidi")</f>
        <v>Majid Majidi</v>
      </c>
      <c r="D1646" s="4">
        <f t="array" ref="D1646">IFERROR(AVERAGEIFS($B$2:$B$3757, $A$2:$A$3757, C1646:C5400), "")</f>
        <v>8.5</v>
      </c>
      <c r="E1646" s="4">
        <f t="shared" si="1"/>
        <v>100</v>
      </c>
      <c r="F1646" s="4" t="str">
        <f t="array" ref="F1646">IF(D1646&gt;=_xlfn.PERCENTILE.INC(D1646:D3304, 0.9), "High", "Low")</f>
        <v>High</v>
      </c>
      <c r="L1646" s="4" t="str">
        <f t="shared" si="3"/>
        <v/>
      </c>
    </row>
    <row r="1647" ht="14.25" customHeight="1">
      <c r="A1647" s="1" t="s">
        <v>1736</v>
      </c>
      <c r="B1647" s="1">
        <v>5.8</v>
      </c>
      <c r="C1647" s="4" t="str">
        <f>IFERROR(__xludf.DUMMYFUNCTION("""COMPUTED_VALUE"""),"Andrew Haigh")</f>
        <v>Andrew Haigh</v>
      </c>
      <c r="D1647" s="4">
        <f t="array" ref="D1647">IFERROR(AVERAGEIFS($B$2:$B$3757, $A$2:$A$3757, C1647:C5401), "")</f>
        <v>7.7</v>
      </c>
      <c r="E1647" s="4">
        <f t="shared" si="1"/>
        <v>100</v>
      </c>
      <c r="F1647" s="4" t="str">
        <f t="array" ref="F1647">IF(D1647&gt;=_xlfn.PERCENTILE.INC(D1647:D3305, 0.9), "High", "Low")</f>
        <v>High</v>
      </c>
      <c r="L1647" s="4" t="str">
        <f t="shared" si="3"/>
        <v/>
      </c>
    </row>
    <row r="1648" ht="14.25" customHeight="1">
      <c r="A1648" s="1" t="s">
        <v>2031</v>
      </c>
      <c r="B1648" s="1">
        <v>6.6</v>
      </c>
      <c r="C1648" s="4" t="str">
        <f>IFERROR(__xludf.DUMMYFUNCTION("""COMPUTED_VALUE"""),"Mike Cahill")</f>
        <v>Mike Cahill</v>
      </c>
      <c r="D1648" s="4">
        <f t="array" ref="D1648">IFERROR(AVERAGEIFS($B$2:$B$3757, $A$2:$A$3757, C1648:C5402), "")</f>
        <v>7</v>
      </c>
      <c r="E1648" s="4">
        <f t="shared" si="1"/>
        <v>53.8</v>
      </c>
      <c r="F1648" s="4" t="str">
        <f t="array" ref="F1648">IF(D1648&gt;=_xlfn.PERCENTILE.INC(D1648:D3306, 0.9), "High", "Low")</f>
        <v>Low</v>
      </c>
      <c r="L1648" s="4" t="str">
        <f t="shared" si="3"/>
        <v/>
      </c>
    </row>
    <row r="1649" ht="14.25" customHeight="1">
      <c r="A1649" s="1" t="s">
        <v>7160</v>
      </c>
      <c r="B1649" s="1">
        <v>6.7</v>
      </c>
      <c r="C1649" s="4" t="str">
        <f>IFERROR(__xludf.DUMMYFUNCTION("""COMPUTED_VALUE"""),"Melvin Van Peebles")</f>
        <v>Melvin Van Peebles</v>
      </c>
      <c r="D1649" s="4">
        <f t="array" ref="D1649">IFERROR(AVERAGEIFS($B$2:$B$3757, $A$2:$A$3757, C1649:C5403), "")</f>
        <v>5.5</v>
      </c>
      <c r="E1649" s="4">
        <f t="shared" si="1"/>
        <v>16.7</v>
      </c>
      <c r="F1649" s="4" t="str">
        <f t="array" ref="F1649">IF(D1649&gt;=_xlfn.PERCENTILE.INC(D1649:D3307, 0.9), "High", "Low")</f>
        <v>Low</v>
      </c>
      <c r="L1649" s="4" t="str">
        <f t="shared" si="3"/>
        <v/>
      </c>
    </row>
    <row r="1650" ht="14.25" customHeight="1">
      <c r="A1650" s="1" t="s">
        <v>3859</v>
      </c>
      <c r="B1650" s="1">
        <v>6.7</v>
      </c>
      <c r="C1650" s="4" t="str">
        <f>IFERROR(__xludf.DUMMYFUNCTION("""COMPUTED_VALUE"""),"Michel Orion Scott")</f>
        <v>Michel Orion Scott</v>
      </c>
      <c r="D1650" s="4">
        <f t="array" ref="D1650">IFERROR(AVERAGEIFS($B$2:$B$3757, $A$2:$A$3757, C1650:C5404), "")</f>
        <v>7.4</v>
      </c>
      <c r="E1650" s="4">
        <f t="shared" si="1"/>
        <v>81.8</v>
      </c>
      <c r="F1650" s="4" t="str">
        <f t="array" ref="F1650">IF(D1650&gt;=_xlfn.PERCENTILE.INC(D1650:D3308, 0.9), "High", "Low")</f>
        <v>Low</v>
      </c>
      <c r="L1650" s="4" t="str">
        <f t="shared" si="3"/>
        <v/>
      </c>
    </row>
    <row r="1651" ht="14.25" customHeight="1">
      <c r="A1651" s="1" t="s">
        <v>6760</v>
      </c>
      <c r="B1651" s="1">
        <v>6.3</v>
      </c>
      <c r="C1651" s="4" t="str">
        <f>IFERROR(__xludf.DUMMYFUNCTION("""COMPUTED_VALUE"""),"Travis Cluff")</f>
        <v>Travis Cluff</v>
      </c>
      <c r="D1651" s="4">
        <f t="array" ref="D1651">IFERROR(AVERAGEIFS($B$2:$B$3757, $A$2:$A$3757, C1651:C5405), "")</f>
        <v>4.2</v>
      </c>
      <c r="E1651" s="4">
        <f t="shared" si="1"/>
        <v>0</v>
      </c>
      <c r="F1651" s="4" t="str">
        <f t="array" ref="F1651">IF(D1651&gt;=_xlfn.PERCENTILE.INC(D1651:D3309, 0.9), "High", "Low")</f>
        <v>Low</v>
      </c>
      <c r="L1651" s="4" t="str">
        <f t="shared" si="3"/>
        <v/>
      </c>
    </row>
    <row r="1652" ht="14.25" customHeight="1">
      <c r="A1652" s="1" t="s">
        <v>655</v>
      </c>
      <c r="B1652" s="1">
        <v>7.7</v>
      </c>
      <c r="C1652" s="4" t="str">
        <f>IFERROR(__xludf.DUMMYFUNCTION("""COMPUTED_VALUE"""),"Robert Townsend")</f>
        <v>Robert Townsend</v>
      </c>
      <c r="D1652" s="4">
        <f t="array" ref="D1652">IFERROR(AVERAGEIFS($B$2:$B$3757, $A$2:$A$3757, C1652:C5406), "")</f>
        <v>7</v>
      </c>
      <c r="E1652" s="4">
        <f t="shared" si="1"/>
        <v>55.6</v>
      </c>
      <c r="F1652" s="4" t="str">
        <f t="array" ref="F1652">IF(D1652&gt;=_xlfn.PERCENTILE.INC(D1652:D3310, 0.9), "High", "Low")</f>
        <v>Low</v>
      </c>
      <c r="L1652" s="4" t="str">
        <f t="shared" si="3"/>
        <v/>
      </c>
    </row>
    <row r="1653" ht="14.25" customHeight="1">
      <c r="A1653" s="1" t="s">
        <v>4000</v>
      </c>
      <c r="B1653" s="1">
        <v>6.1</v>
      </c>
      <c r="C1653" s="4" t="str">
        <f>IFERROR(__xludf.DUMMYFUNCTION("""COMPUTED_VALUE"""),"Larry Blamire")</f>
        <v>Larry Blamire</v>
      </c>
      <c r="D1653" s="4">
        <f t="array" ref="D1653">IFERROR(AVERAGEIFS($B$2:$B$3757, $A$2:$A$3757, C1653:C5407), "")</f>
        <v>7</v>
      </c>
      <c r="E1653" s="4">
        <f t="shared" si="1"/>
        <v>62.5</v>
      </c>
      <c r="F1653" s="4" t="str">
        <f t="array" ref="F1653">IF(D1653&gt;=_xlfn.PERCENTILE.INC(D1653:D3311, 0.9), "High", "Low")</f>
        <v>Low</v>
      </c>
      <c r="L1653" s="4" t="str">
        <f t="shared" si="3"/>
        <v/>
      </c>
    </row>
    <row r="1654" ht="14.25" customHeight="1">
      <c r="A1654" s="1" t="s">
        <v>5184</v>
      </c>
      <c r="B1654" s="1">
        <v>4.9</v>
      </c>
      <c r="C1654" s="4" t="str">
        <f>IFERROR(__xludf.DUMMYFUNCTION("""COMPUTED_VALUE"""),"E.L. Katz")</f>
        <v>E.L. Katz</v>
      </c>
      <c r="D1654" s="4">
        <f t="array" ref="D1654">IFERROR(AVERAGEIFS($B$2:$B$3757, $A$2:$A$3757, C1654:C5408), "")</f>
        <v>6.8</v>
      </c>
      <c r="E1654" s="4">
        <f t="shared" si="1"/>
        <v>57.1</v>
      </c>
      <c r="F1654" s="4" t="str">
        <f t="array" ref="F1654">IF(D1654&gt;=_xlfn.PERCENTILE.INC(D1654:D3312, 0.9), "High", "Low")</f>
        <v>Low</v>
      </c>
      <c r="L1654" s="4" t="str">
        <f t="shared" si="3"/>
        <v/>
      </c>
    </row>
    <row r="1655" ht="14.25" customHeight="1">
      <c r="A1655" s="1" t="s">
        <v>8315</v>
      </c>
      <c r="B1655" s="1">
        <v>6.2</v>
      </c>
      <c r="C1655" s="4" t="str">
        <f>IFERROR(__xludf.DUMMYFUNCTION("""COMPUTED_VALUE"""),"Myles Berkowitz")</f>
        <v>Myles Berkowitz</v>
      </c>
      <c r="D1655" s="4">
        <f t="array" ref="D1655">IFERROR(AVERAGEIFS($B$2:$B$3757, $A$2:$A$3757, C1655:C5409), "")</f>
        <v>5.3</v>
      </c>
      <c r="E1655" s="4">
        <f t="shared" si="1"/>
        <v>0</v>
      </c>
      <c r="F1655" s="4" t="str">
        <f t="array" ref="F1655">IF(D1655&gt;=_xlfn.PERCENTILE.INC(D1655:D3313, 0.9), "High", "Low")</f>
        <v>Low</v>
      </c>
      <c r="L1655" s="4" t="str">
        <f t="shared" si="3"/>
        <v/>
      </c>
    </row>
    <row r="1656" ht="14.25" customHeight="1">
      <c r="A1656" s="1" t="s">
        <v>903</v>
      </c>
      <c r="B1656" s="1">
        <v>7.8</v>
      </c>
      <c r="C1656" s="4" t="str">
        <f>IFERROR(__xludf.DUMMYFUNCTION("""COMPUTED_VALUE"""),"Brandon Trost")</f>
        <v>Brandon Trost</v>
      </c>
      <c r="D1656" s="4">
        <f t="array" ref="D1656">IFERROR(AVERAGEIFS($B$2:$B$3757, $A$2:$A$3757, C1656:C5410), "")</f>
        <v>5.6</v>
      </c>
      <c r="E1656" s="4">
        <f t="shared" si="1"/>
        <v>0</v>
      </c>
      <c r="F1656" s="4" t="str">
        <f t="array" ref="F1656">IF(D1656&gt;=_xlfn.PERCENTILE.INC(D1656:D3314, 0.9), "High", "Low")</f>
        <v>Low</v>
      </c>
      <c r="L1656" s="4" t="str">
        <f t="shared" si="3"/>
        <v/>
      </c>
    </row>
    <row r="1657" ht="14.25" customHeight="1">
      <c r="A1657" s="1" t="s">
        <v>179</v>
      </c>
      <c r="B1657" s="1">
        <v>8.2</v>
      </c>
      <c r="C1657" s="4" t="str">
        <f>IFERROR(__xludf.DUMMYFUNCTION("""COMPUTED_VALUE"""),"Joe Swanberg")</f>
        <v>Joe Swanberg</v>
      </c>
      <c r="D1657" s="4">
        <f t="array" ref="D1657">IFERROR(AVERAGEIFS($B$2:$B$3757, $A$2:$A$3757, C1657:C5411), "")</f>
        <v>5.6</v>
      </c>
      <c r="E1657" s="4">
        <f t="shared" si="1"/>
        <v>0</v>
      </c>
      <c r="F1657" s="4" t="str">
        <f t="array" ref="F1657">IF(D1657&gt;=_xlfn.PERCENTILE.INC(D1657:D3315, 0.9), "High", "Low")</f>
        <v>Low</v>
      </c>
      <c r="L1657" s="4" t="str">
        <f t="shared" si="3"/>
        <v/>
      </c>
    </row>
    <row r="1658" ht="14.25" customHeight="1">
      <c r="A1658" s="1" t="s">
        <v>3338</v>
      </c>
      <c r="B1658" s="1">
        <v>6.9</v>
      </c>
      <c r="C1658" s="4" t="str">
        <f>IFERROR(__xludf.DUMMYFUNCTION("""COMPUTED_VALUE"""),"Lena Dunham")</f>
        <v>Lena Dunham</v>
      </c>
      <c r="D1658" s="4">
        <f t="array" ref="D1658">IFERROR(AVERAGEIFS($B$2:$B$3757, $A$2:$A$3757, C1658:C5412), "")</f>
        <v>6.3</v>
      </c>
      <c r="E1658" s="4">
        <f t="shared" si="1"/>
        <v>0</v>
      </c>
      <c r="F1658" s="4" t="str">
        <f t="array" ref="F1658">IF(D1658&gt;=_xlfn.PERCENTILE.INC(D1658:D3316, 0.9), "High", "Low")</f>
        <v>Low</v>
      </c>
      <c r="L1658" s="4" t="str">
        <f t="shared" si="3"/>
        <v/>
      </c>
    </row>
    <row r="1659" ht="14.25" customHeight="1">
      <c r="A1659" s="1" t="s">
        <v>319</v>
      </c>
      <c r="B1659" s="1">
        <v>6.2</v>
      </c>
      <c r="C1659" s="4" t="str">
        <f>IFERROR(__xludf.DUMMYFUNCTION("""COMPUTED_VALUE"""),"Kevin Jordan")</f>
        <v>Kevin Jordan</v>
      </c>
      <c r="D1659" s="4">
        <f t="array" ref="D1659">IFERROR(AVERAGEIFS($B$2:$B$3757, $A$2:$A$3757, C1659:C5413), "")</f>
        <v>7.6</v>
      </c>
      <c r="E1659" s="4">
        <f t="shared" si="1"/>
        <v>100</v>
      </c>
      <c r="F1659" s="4" t="str">
        <f t="array" ref="F1659">IF(D1659&gt;=_xlfn.PERCENTILE.INC(D1659:D3317, 0.9), "High", "Low")</f>
        <v>High</v>
      </c>
      <c r="L1659" s="4" t="str">
        <f t="shared" si="3"/>
        <v/>
      </c>
    </row>
    <row r="1660" ht="14.25" customHeight="1">
      <c r="A1660" s="1" t="s">
        <v>8337</v>
      </c>
      <c r="B1660" s="1">
        <v>6.9</v>
      </c>
      <c r="C1660" s="4" t="str">
        <f>IFERROR(__xludf.DUMMYFUNCTION("""COMPUTED_VALUE"""),"Jafar Panahi")</f>
        <v>Jafar Panahi</v>
      </c>
      <c r="D1660" s="4">
        <f t="array" ref="D1660">IFERROR(AVERAGEIFS($B$2:$B$3757, $A$2:$A$3757, C1660:C5414), "")</f>
        <v>7.5</v>
      </c>
      <c r="E1660" s="4">
        <f t="shared" si="1"/>
        <v>100</v>
      </c>
      <c r="F1660" s="4" t="str">
        <f t="array" ref="F1660">IF(D1660&gt;=_xlfn.PERCENTILE.INC(D1660:D3318, 0.9), "High", "Low")</f>
        <v>High</v>
      </c>
      <c r="L1660" s="4" t="str">
        <f t="shared" si="3"/>
        <v/>
      </c>
    </row>
    <row r="1661" ht="14.25" customHeight="1">
      <c r="A1661" s="1" t="s">
        <v>8343</v>
      </c>
      <c r="B1661" s="1">
        <v>4.8</v>
      </c>
      <c r="C1661" s="4" t="str">
        <f>IFERROR(__xludf.DUMMYFUNCTION("""COMPUTED_VALUE"""),"Shane Carruth")</f>
        <v>Shane Carruth</v>
      </c>
      <c r="D1661" s="4">
        <f t="array" ref="D1661">IFERROR(AVERAGEIFS($B$2:$B$3757, $A$2:$A$3757, C1661:C5415), "")</f>
        <v>7</v>
      </c>
      <c r="E1661" s="4">
        <f t="shared" si="1"/>
        <v>100</v>
      </c>
      <c r="F1661" s="4" t="str">
        <f t="array" ref="F1661">IF(D1661&gt;=_xlfn.PERCENTILE.INC(D1661:D3319, 0.9), "High", "Low")</f>
        <v>High</v>
      </c>
      <c r="L1661" s="4" t="str">
        <f t="shared" si="3"/>
        <v/>
      </c>
    </row>
    <row r="1662" ht="14.25" customHeight="1">
      <c r="A1662" s="1" t="s">
        <v>4022</v>
      </c>
      <c r="B1662" s="1">
        <v>5.3</v>
      </c>
    </row>
    <row r="1663" ht="14.25" customHeight="1">
      <c r="A1663" s="1" t="s">
        <v>1883</v>
      </c>
      <c r="B1663" s="1">
        <v>6.7</v>
      </c>
    </row>
    <row r="1664" ht="14.25" customHeight="1">
      <c r="A1664" s="1" t="s">
        <v>3900</v>
      </c>
      <c r="B1664" s="1">
        <v>5.4</v>
      </c>
    </row>
    <row r="1665" ht="14.25" customHeight="1">
      <c r="A1665" s="1" t="s">
        <v>8363</v>
      </c>
      <c r="B1665" s="1">
        <v>5.4</v>
      </c>
    </row>
    <row r="1666" ht="14.25" customHeight="1">
      <c r="A1666" s="1" t="s">
        <v>5073</v>
      </c>
      <c r="B1666" s="1">
        <v>4.9</v>
      </c>
    </row>
    <row r="1667" ht="14.25" customHeight="1">
      <c r="A1667" s="1" t="s">
        <v>5119</v>
      </c>
      <c r="B1667" s="1">
        <v>6.1</v>
      </c>
    </row>
    <row r="1668" ht="14.25" customHeight="1">
      <c r="A1668" s="1" t="s">
        <v>5699</v>
      </c>
      <c r="B1668" s="1">
        <v>5.8</v>
      </c>
    </row>
    <row r="1669" ht="14.25" customHeight="1">
      <c r="A1669" s="1" t="s">
        <v>472</v>
      </c>
      <c r="B1669" s="1">
        <v>7.0</v>
      </c>
    </row>
    <row r="1670" ht="14.25" customHeight="1">
      <c r="A1670" s="1" t="s">
        <v>8387</v>
      </c>
      <c r="B1670" s="1">
        <v>6.5</v>
      </c>
    </row>
    <row r="1671" ht="14.25" customHeight="1">
      <c r="A1671" s="1" t="s">
        <v>8393</v>
      </c>
      <c r="B1671" s="1">
        <v>6.6</v>
      </c>
    </row>
    <row r="1672" ht="14.25" customHeight="1">
      <c r="A1672" s="1" t="s">
        <v>8398</v>
      </c>
      <c r="B1672" s="1">
        <v>5.7</v>
      </c>
    </row>
    <row r="1673" ht="14.25" customHeight="1">
      <c r="A1673" s="1" t="s">
        <v>5767</v>
      </c>
      <c r="B1673" s="1">
        <v>6.6</v>
      </c>
    </row>
    <row r="1674" ht="14.25" customHeight="1">
      <c r="A1674" s="1" t="s">
        <v>3052</v>
      </c>
      <c r="B1674" s="1">
        <v>7.0</v>
      </c>
    </row>
    <row r="1675" ht="14.25" customHeight="1">
      <c r="A1675" s="1" t="s">
        <v>6012</v>
      </c>
      <c r="B1675" s="1">
        <v>7.4</v>
      </c>
    </row>
    <row r="1676" ht="14.25" customHeight="1">
      <c r="A1676" s="1" t="s">
        <v>8417</v>
      </c>
      <c r="B1676" s="1">
        <v>5.3</v>
      </c>
    </row>
    <row r="1677" ht="14.25" customHeight="1">
      <c r="A1677" s="1" t="s">
        <v>8421</v>
      </c>
      <c r="B1677" s="1">
        <v>7.4</v>
      </c>
    </row>
    <row r="1678" ht="14.25" customHeight="1">
      <c r="A1678" s="1" t="s">
        <v>8426</v>
      </c>
      <c r="B1678" s="1">
        <v>7.4</v>
      </c>
    </row>
    <row r="1679" ht="14.25" customHeight="1">
      <c r="A1679" s="1" t="s">
        <v>779</v>
      </c>
      <c r="B1679" s="1">
        <v>6.8</v>
      </c>
    </row>
    <row r="1680" ht="14.25" customHeight="1">
      <c r="A1680" s="1" t="s">
        <v>8436</v>
      </c>
      <c r="B1680" s="1">
        <v>7.2</v>
      </c>
    </row>
    <row r="1681" ht="14.25" customHeight="1">
      <c r="A1681" s="1" t="s">
        <v>8440</v>
      </c>
      <c r="B1681" s="1">
        <v>6.0</v>
      </c>
    </row>
    <row r="1682" ht="14.25" customHeight="1">
      <c r="A1682" s="1" t="s">
        <v>243</v>
      </c>
      <c r="B1682" s="1">
        <v>7.8</v>
      </c>
    </row>
    <row r="1683" ht="14.25" customHeight="1">
      <c r="A1683" s="1" t="s">
        <v>4876</v>
      </c>
      <c r="B1683" s="1">
        <v>6.6</v>
      </c>
    </row>
    <row r="1684" ht="14.25" customHeight="1">
      <c r="A1684" s="1" t="s">
        <v>4957</v>
      </c>
      <c r="B1684" s="1">
        <v>7.9</v>
      </c>
    </row>
    <row r="1685" ht="14.25" customHeight="1">
      <c r="A1685" s="1" t="s">
        <v>3234</v>
      </c>
      <c r="B1685" s="1">
        <v>5.7</v>
      </c>
    </row>
    <row r="1686" ht="14.25" customHeight="1">
      <c r="A1686" s="1" t="s">
        <v>190</v>
      </c>
      <c r="B1686" s="1">
        <v>7.1</v>
      </c>
    </row>
    <row r="1687" ht="14.25" customHeight="1">
      <c r="A1687" s="1" t="s">
        <v>6634</v>
      </c>
      <c r="B1687" s="1">
        <v>5.6</v>
      </c>
    </row>
    <row r="1688" ht="14.25" customHeight="1">
      <c r="A1688" s="1" t="s">
        <v>5671</v>
      </c>
      <c r="B1688" s="1">
        <v>7.8</v>
      </c>
    </row>
    <row r="1689" ht="14.25" customHeight="1">
      <c r="A1689" s="1" t="s">
        <v>8474</v>
      </c>
      <c r="B1689" s="1">
        <v>7.9</v>
      </c>
    </row>
    <row r="1690" ht="14.25" customHeight="1">
      <c r="A1690" s="1" t="s">
        <v>414</v>
      </c>
      <c r="B1690" s="1">
        <v>6.9</v>
      </c>
    </row>
    <row r="1691" ht="14.25" customHeight="1">
      <c r="A1691" s="1" t="s">
        <v>1002</v>
      </c>
      <c r="B1691" s="1">
        <v>7.7</v>
      </c>
    </row>
    <row r="1692" ht="14.25" customHeight="1">
      <c r="A1692" s="1" t="s">
        <v>8485</v>
      </c>
      <c r="B1692" s="1">
        <v>6.9</v>
      </c>
    </row>
    <row r="1693" ht="14.25" customHeight="1">
      <c r="A1693" s="1" t="s">
        <v>8489</v>
      </c>
      <c r="B1693" s="1">
        <v>6.0</v>
      </c>
    </row>
    <row r="1694" ht="14.25" customHeight="1">
      <c r="A1694" s="1" t="s">
        <v>6414</v>
      </c>
      <c r="B1694" s="1">
        <v>6.2</v>
      </c>
    </row>
    <row r="1695" ht="14.25" customHeight="1">
      <c r="A1695" s="1" t="s">
        <v>8499</v>
      </c>
      <c r="B1695" s="1">
        <v>5.9</v>
      </c>
    </row>
    <row r="1696" ht="14.25" customHeight="1">
      <c r="A1696" s="1" t="s">
        <v>8504</v>
      </c>
      <c r="B1696" s="1">
        <v>6.8</v>
      </c>
    </row>
    <row r="1697" ht="14.25" customHeight="1">
      <c r="A1697" s="1" t="s">
        <v>4632</v>
      </c>
      <c r="B1697" s="1">
        <v>3.6</v>
      </c>
    </row>
    <row r="1698" ht="14.25" customHeight="1">
      <c r="A1698" s="1" t="s">
        <v>8511</v>
      </c>
      <c r="B1698" s="1">
        <v>6.7</v>
      </c>
    </row>
    <row r="1699" ht="14.25" customHeight="1">
      <c r="A1699" s="1" t="s">
        <v>7213</v>
      </c>
      <c r="B1699" s="1">
        <v>6.3</v>
      </c>
    </row>
    <row r="1700" ht="14.25" customHeight="1">
      <c r="A1700" s="1" t="s">
        <v>1268</v>
      </c>
      <c r="B1700" s="1">
        <v>6.4</v>
      </c>
    </row>
    <row r="1701" ht="14.25" customHeight="1">
      <c r="A1701" s="1" t="s">
        <v>1985</v>
      </c>
      <c r="B1701" s="1">
        <v>6.4</v>
      </c>
    </row>
    <row r="1702" ht="14.25" customHeight="1">
      <c r="A1702" s="1" t="s">
        <v>2962</v>
      </c>
      <c r="B1702" s="1">
        <v>5.7</v>
      </c>
    </row>
    <row r="1703" ht="14.25" customHeight="1">
      <c r="A1703" s="1" t="s">
        <v>6567</v>
      </c>
      <c r="B1703" s="1">
        <v>6.2</v>
      </c>
    </row>
    <row r="1704" ht="14.25" customHeight="1">
      <c r="A1704" s="1" t="s">
        <v>3067</v>
      </c>
      <c r="B1704" s="1">
        <v>5.2</v>
      </c>
    </row>
    <row r="1705" ht="14.25" customHeight="1">
      <c r="A1705" s="1" t="s">
        <v>1961</v>
      </c>
      <c r="B1705" s="1">
        <v>6.1</v>
      </c>
    </row>
    <row r="1706" ht="14.25" customHeight="1">
      <c r="A1706" s="1" t="s">
        <v>3052</v>
      </c>
      <c r="B1706" s="1">
        <v>7.1</v>
      </c>
    </row>
    <row r="1707" ht="14.25" customHeight="1">
      <c r="A1707" s="1" t="s">
        <v>4291</v>
      </c>
      <c r="B1707" s="1">
        <v>7.2</v>
      </c>
    </row>
    <row r="1708" ht="14.25" customHeight="1">
      <c r="A1708" s="1" t="s">
        <v>8553</v>
      </c>
      <c r="B1708" s="1">
        <v>6.5</v>
      </c>
    </row>
    <row r="1709" ht="14.25" customHeight="1">
      <c r="A1709" s="1" t="s">
        <v>2580</v>
      </c>
      <c r="B1709" s="1">
        <v>6.0</v>
      </c>
    </row>
    <row r="1710" ht="14.25" customHeight="1">
      <c r="A1710" s="1" t="s">
        <v>5119</v>
      </c>
      <c r="B1710" s="1">
        <v>7.0</v>
      </c>
    </row>
    <row r="1711" ht="14.25" customHeight="1">
      <c r="A1711" s="1" t="s">
        <v>2976</v>
      </c>
      <c r="B1711" s="1">
        <v>7.0</v>
      </c>
    </row>
    <row r="1712" ht="14.25" customHeight="1">
      <c r="A1712" s="1" t="s">
        <v>2716</v>
      </c>
      <c r="B1712" s="1">
        <v>7.5</v>
      </c>
    </row>
    <row r="1713" ht="14.25" customHeight="1">
      <c r="A1713" s="1" t="s">
        <v>1268</v>
      </c>
      <c r="B1713" s="1">
        <v>6.6</v>
      </c>
    </row>
    <row r="1714" ht="14.25" customHeight="1">
      <c r="A1714" s="1" t="s">
        <v>8182</v>
      </c>
      <c r="B1714" s="1">
        <v>7.4</v>
      </c>
    </row>
    <row r="1715" ht="14.25" customHeight="1">
      <c r="A1715" s="1" t="s">
        <v>5922</v>
      </c>
      <c r="B1715" s="1">
        <v>6.5</v>
      </c>
    </row>
    <row r="1716" ht="14.25" customHeight="1">
      <c r="A1716" s="1" t="s">
        <v>5498</v>
      </c>
      <c r="B1716" s="1">
        <v>6.2</v>
      </c>
    </row>
    <row r="1717" ht="14.25" customHeight="1">
      <c r="A1717" s="1" t="s">
        <v>4043</v>
      </c>
      <c r="B1717" s="1">
        <v>7.8</v>
      </c>
    </row>
    <row r="1718" ht="14.25" customHeight="1">
      <c r="A1718" s="1" t="s">
        <v>4091</v>
      </c>
      <c r="B1718" s="1">
        <v>5.2</v>
      </c>
    </row>
    <row r="1719" ht="14.25" customHeight="1">
      <c r="A1719" s="1" t="s">
        <v>270</v>
      </c>
      <c r="B1719" s="1">
        <v>6.5</v>
      </c>
    </row>
    <row r="1720" ht="14.25" customHeight="1">
      <c r="A1720" s="1" t="s">
        <v>1661</v>
      </c>
      <c r="B1720" s="1">
        <v>6.5</v>
      </c>
    </row>
    <row r="1721" ht="14.25" customHeight="1">
      <c r="A1721" s="1" t="s">
        <v>3204</v>
      </c>
      <c r="B1721" s="1">
        <v>5.2</v>
      </c>
    </row>
    <row r="1722" ht="14.25" customHeight="1">
      <c r="A1722" s="1" t="s">
        <v>3446</v>
      </c>
      <c r="B1722" s="1">
        <v>7.2</v>
      </c>
    </row>
    <row r="1723" ht="14.25" customHeight="1">
      <c r="A1723" s="1" t="s">
        <v>5124</v>
      </c>
      <c r="B1723" s="1">
        <v>7.1</v>
      </c>
    </row>
    <row r="1724" ht="14.25" customHeight="1">
      <c r="A1724" s="1" t="s">
        <v>8622</v>
      </c>
      <c r="B1724" s="1">
        <v>4.5</v>
      </c>
    </row>
    <row r="1725" ht="14.25" customHeight="1">
      <c r="A1725" s="1" t="s">
        <v>3138</v>
      </c>
      <c r="B1725" s="1">
        <v>5.7</v>
      </c>
    </row>
    <row r="1726" ht="14.25" customHeight="1">
      <c r="A1726" s="1" t="s">
        <v>8632</v>
      </c>
      <c r="B1726" s="1">
        <v>6.0</v>
      </c>
    </row>
    <row r="1727" ht="14.25" customHeight="1">
      <c r="A1727" s="1" t="s">
        <v>4855</v>
      </c>
      <c r="B1727" s="1">
        <v>6.4</v>
      </c>
    </row>
    <row r="1728" ht="14.25" customHeight="1">
      <c r="A1728" s="1" t="s">
        <v>4022</v>
      </c>
      <c r="B1728" s="1">
        <v>5.2</v>
      </c>
    </row>
    <row r="1729" ht="14.25" customHeight="1">
      <c r="A1729" s="1" t="s">
        <v>8646</v>
      </c>
      <c r="B1729" s="1">
        <v>4.3</v>
      </c>
    </row>
    <row r="1730" ht="14.25" customHeight="1">
      <c r="A1730" s="1" t="s">
        <v>8652</v>
      </c>
      <c r="B1730" s="1">
        <v>6.1</v>
      </c>
    </row>
    <row r="1731" ht="14.25" customHeight="1">
      <c r="A1731" s="1" t="s">
        <v>3797</v>
      </c>
      <c r="B1731" s="1">
        <v>6.8</v>
      </c>
    </row>
    <row r="1732" ht="14.25" customHeight="1">
      <c r="A1732" s="1" t="s">
        <v>8660</v>
      </c>
      <c r="B1732" s="1">
        <v>5.2</v>
      </c>
    </row>
    <row r="1733" ht="14.25" customHeight="1">
      <c r="A1733" s="1" t="s">
        <v>2349</v>
      </c>
      <c r="B1733" s="1">
        <v>6.5</v>
      </c>
    </row>
    <row r="1734" ht="14.25" customHeight="1">
      <c r="A1734" s="1" t="s">
        <v>8672</v>
      </c>
      <c r="B1734" s="1">
        <v>7.5</v>
      </c>
    </row>
    <row r="1735" ht="14.25" customHeight="1">
      <c r="A1735" s="1" t="s">
        <v>3073</v>
      </c>
      <c r="B1735" s="1">
        <v>7.1</v>
      </c>
    </row>
    <row r="1736" ht="14.25" customHeight="1">
      <c r="A1736" s="1" t="s">
        <v>1200</v>
      </c>
      <c r="B1736" s="1">
        <v>6.9</v>
      </c>
    </row>
    <row r="1737" ht="14.25" customHeight="1">
      <c r="A1737" s="1" t="s">
        <v>2962</v>
      </c>
      <c r="B1737" s="1">
        <v>8.0</v>
      </c>
    </row>
    <row r="1738" ht="14.25" customHeight="1">
      <c r="A1738" s="1" t="s">
        <v>3503</v>
      </c>
      <c r="B1738" s="1">
        <v>8.2</v>
      </c>
    </row>
    <row r="1739" ht="14.25" customHeight="1">
      <c r="A1739" s="1" t="s">
        <v>723</v>
      </c>
      <c r="B1739" s="1">
        <v>6.4</v>
      </c>
    </row>
    <row r="1740" ht="14.25" customHeight="1">
      <c r="A1740" s="1" t="s">
        <v>4696</v>
      </c>
      <c r="B1740" s="1">
        <v>7.9</v>
      </c>
    </row>
    <row r="1741" ht="14.25" customHeight="1">
      <c r="A1741" s="1" t="s">
        <v>8703</v>
      </c>
      <c r="B1741" s="1">
        <v>6.7</v>
      </c>
    </row>
    <row r="1742" ht="14.25" customHeight="1">
      <c r="A1742" s="1" t="s">
        <v>2175</v>
      </c>
      <c r="B1742" s="1">
        <v>6.1</v>
      </c>
    </row>
    <row r="1743" ht="14.25" customHeight="1">
      <c r="A1743" s="1" t="s">
        <v>381</v>
      </c>
      <c r="B1743" s="1">
        <v>8.9</v>
      </c>
    </row>
    <row r="1744" ht="14.25" customHeight="1">
      <c r="A1744" s="1" t="s">
        <v>3281</v>
      </c>
      <c r="B1744" s="1">
        <v>8.1</v>
      </c>
    </row>
    <row r="1745" ht="14.25" customHeight="1">
      <c r="A1745" s="1" t="s">
        <v>1067</v>
      </c>
      <c r="B1745" s="1">
        <v>6.2</v>
      </c>
    </row>
    <row r="1746" ht="14.25" customHeight="1">
      <c r="A1746" s="1" t="s">
        <v>1497</v>
      </c>
      <c r="B1746" s="1">
        <v>4.9</v>
      </c>
    </row>
    <row r="1747" ht="14.25" customHeight="1">
      <c r="A1747" s="1" t="s">
        <v>7213</v>
      </c>
      <c r="B1747" s="1">
        <v>5.8</v>
      </c>
    </row>
    <row r="1748" ht="14.25" customHeight="1">
      <c r="A1748" s="1" t="s">
        <v>5510</v>
      </c>
      <c r="B1748" s="1">
        <v>6.0</v>
      </c>
    </row>
    <row r="1749" ht="14.25" customHeight="1">
      <c r="A1749" s="1" t="s">
        <v>555</v>
      </c>
      <c r="B1749" s="1">
        <v>7.0</v>
      </c>
    </row>
    <row r="1750" ht="14.25" customHeight="1">
      <c r="A1750" s="1" t="s">
        <v>8742</v>
      </c>
      <c r="B1750" s="1">
        <v>6.0</v>
      </c>
    </row>
    <row r="1751" ht="14.25" customHeight="1">
      <c r="A1751" s="1" t="s">
        <v>2161</v>
      </c>
      <c r="B1751" s="1">
        <v>7.9</v>
      </c>
    </row>
    <row r="1752" ht="14.25" customHeight="1">
      <c r="A1752" s="1" t="s">
        <v>6676</v>
      </c>
      <c r="B1752" s="1">
        <v>8.1</v>
      </c>
    </row>
    <row r="1753" ht="14.25" customHeight="1">
      <c r="A1753" s="1" t="s">
        <v>1295</v>
      </c>
      <c r="B1753" s="1">
        <v>6.2</v>
      </c>
    </row>
    <row r="1754" ht="14.25" customHeight="1">
      <c r="A1754" s="1" t="s">
        <v>8761</v>
      </c>
      <c r="B1754" s="1">
        <v>6.7</v>
      </c>
    </row>
    <row r="1755" ht="14.25" customHeight="1">
      <c r="A1755" s="1" t="s">
        <v>7160</v>
      </c>
      <c r="B1755" s="1">
        <v>7.3</v>
      </c>
    </row>
    <row r="1756" ht="14.25" customHeight="1">
      <c r="A1756" s="1" t="s">
        <v>8770</v>
      </c>
      <c r="B1756" s="1">
        <v>4.6</v>
      </c>
    </row>
    <row r="1757" ht="14.25" customHeight="1">
      <c r="A1757" s="1" t="s">
        <v>4849</v>
      </c>
      <c r="B1757" s="1">
        <v>6.1</v>
      </c>
    </row>
    <row r="1758" ht="14.25" customHeight="1">
      <c r="A1758" s="1" t="s">
        <v>2580</v>
      </c>
      <c r="B1758" s="1">
        <v>6.2</v>
      </c>
    </row>
    <row r="1759" ht="14.25" customHeight="1">
      <c r="A1759" s="1" t="s">
        <v>5615</v>
      </c>
      <c r="B1759" s="1">
        <v>7.8</v>
      </c>
    </row>
    <row r="1760" ht="14.25" customHeight="1">
      <c r="A1760" s="1" t="s">
        <v>3272</v>
      </c>
      <c r="B1760" s="1">
        <v>6.1</v>
      </c>
    </row>
    <row r="1761" ht="14.25" customHeight="1">
      <c r="A1761" s="1" t="s">
        <v>5193</v>
      </c>
      <c r="B1761" s="1">
        <v>5.8</v>
      </c>
    </row>
    <row r="1762" ht="14.25" customHeight="1">
      <c r="A1762" s="1" t="s">
        <v>6760</v>
      </c>
      <c r="B1762" s="1">
        <v>6.5</v>
      </c>
    </row>
    <row r="1763" ht="14.25" customHeight="1">
      <c r="A1763" s="1" t="s">
        <v>8801</v>
      </c>
      <c r="B1763" s="1">
        <v>7.2</v>
      </c>
    </row>
    <row r="1764" ht="14.25" customHeight="1">
      <c r="A1764" s="1" t="s">
        <v>117</v>
      </c>
      <c r="B1764" s="1">
        <v>7.8</v>
      </c>
    </row>
    <row r="1765" ht="14.25" customHeight="1">
      <c r="A1765" s="1" t="s">
        <v>8809</v>
      </c>
      <c r="B1765" s="1">
        <v>4.7</v>
      </c>
    </row>
    <row r="1766" ht="14.25" customHeight="1">
      <c r="A1766" s="1" t="s">
        <v>8814</v>
      </c>
      <c r="B1766" s="1">
        <v>6.8</v>
      </c>
    </row>
    <row r="1767" ht="14.25" customHeight="1">
      <c r="A1767" s="1" t="s">
        <v>8818</v>
      </c>
      <c r="B1767" s="1">
        <v>5.9</v>
      </c>
    </row>
    <row r="1768" ht="14.25" customHeight="1">
      <c r="A1768" s="1" t="s">
        <v>1668</v>
      </c>
      <c r="B1768" s="1">
        <v>7.2</v>
      </c>
    </row>
    <row r="1769" ht="14.25" customHeight="1">
      <c r="A1769" s="1" t="s">
        <v>472</v>
      </c>
      <c r="B1769" s="1">
        <v>8.7</v>
      </c>
    </row>
    <row r="1770" ht="14.25" customHeight="1">
      <c r="A1770" s="1" t="s">
        <v>4144</v>
      </c>
      <c r="B1770" s="1">
        <v>5.0</v>
      </c>
    </row>
    <row r="1771" ht="14.25" customHeight="1">
      <c r="A1771" s="1" t="s">
        <v>6672</v>
      </c>
      <c r="B1771" s="1">
        <v>6.6</v>
      </c>
    </row>
    <row r="1772" ht="14.25" customHeight="1">
      <c r="A1772" s="1" t="s">
        <v>2161</v>
      </c>
      <c r="B1772" s="1">
        <v>8.3</v>
      </c>
    </row>
    <row r="1773" ht="14.25" customHeight="1">
      <c r="A1773" s="1" t="s">
        <v>4713</v>
      </c>
      <c r="B1773" s="1">
        <v>6.7</v>
      </c>
    </row>
    <row r="1774" ht="14.25" customHeight="1">
      <c r="A1774" s="1" t="s">
        <v>8844</v>
      </c>
      <c r="B1774" s="1">
        <v>7.8</v>
      </c>
    </row>
    <row r="1775" ht="14.25" customHeight="1">
      <c r="A1775" s="1" t="s">
        <v>3636</v>
      </c>
      <c r="B1775" s="1">
        <v>6.5</v>
      </c>
    </row>
    <row r="1776" ht="14.25" customHeight="1">
      <c r="A1776" s="1" t="s">
        <v>252</v>
      </c>
      <c r="B1776" s="1">
        <v>6.1</v>
      </c>
    </row>
    <row r="1777" ht="14.25" customHeight="1">
      <c r="A1777" s="1" t="s">
        <v>6646</v>
      </c>
      <c r="B1777" s="1">
        <v>8.1</v>
      </c>
    </row>
    <row r="1778" ht="14.25" customHeight="1">
      <c r="A1778" s="1" t="s">
        <v>8860</v>
      </c>
      <c r="B1778" s="1">
        <v>5.2</v>
      </c>
    </row>
    <row r="1779" ht="14.25" customHeight="1">
      <c r="A1779" s="1" t="s">
        <v>8865</v>
      </c>
      <c r="B1779" s="1">
        <v>5.6</v>
      </c>
    </row>
    <row r="1780" ht="14.25" customHeight="1">
      <c r="A1780" s="1" t="s">
        <v>8417</v>
      </c>
      <c r="B1780" s="1">
        <v>5.8</v>
      </c>
    </row>
    <row r="1781" ht="14.25" customHeight="1">
      <c r="A1781" s="1" t="s">
        <v>5911</v>
      </c>
      <c r="B1781" s="1">
        <v>6.6</v>
      </c>
    </row>
    <row r="1782" ht="14.25" customHeight="1">
      <c r="A1782" s="1" t="s">
        <v>8877</v>
      </c>
      <c r="B1782" s="1">
        <v>6.6</v>
      </c>
    </row>
    <row r="1783" ht="14.25" customHeight="1">
      <c r="A1783" s="1" t="s">
        <v>8881</v>
      </c>
      <c r="B1783" s="1">
        <v>5.5</v>
      </c>
    </row>
    <row r="1784" ht="14.25" customHeight="1">
      <c r="A1784" s="1" t="s">
        <v>8037</v>
      </c>
      <c r="B1784" s="1">
        <v>7.0</v>
      </c>
    </row>
    <row r="1785" ht="14.25" customHeight="1">
      <c r="A1785" s="1" t="s">
        <v>1153</v>
      </c>
      <c r="B1785" s="1">
        <v>6.5</v>
      </c>
    </row>
    <row r="1786" ht="14.25" customHeight="1">
      <c r="A1786" s="1" t="s">
        <v>6371</v>
      </c>
      <c r="B1786" s="1">
        <v>5.8</v>
      </c>
    </row>
    <row r="1787" ht="14.25" customHeight="1">
      <c r="A1787" s="1" t="s">
        <v>8898</v>
      </c>
      <c r="B1787" s="1">
        <v>5.6</v>
      </c>
    </row>
    <row r="1788" ht="14.25" customHeight="1">
      <c r="A1788" s="1" t="s">
        <v>8904</v>
      </c>
      <c r="B1788" s="1">
        <v>5.6</v>
      </c>
    </row>
    <row r="1789" ht="14.25" customHeight="1">
      <c r="A1789" s="1" t="s">
        <v>3272</v>
      </c>
      <c r="B1789" s="1">
        <v>5.8</v>
      </c>
    </row>
    <row r="1790" ht="14.25" customHeight="1">
      <c r="A1790" s="1" t="s">
        <v>6221</v>
      </c>
      <c r="B1790" s="1">
        <v>7.6</v>
      </c>
    </row>
    <row r="1791" ht="14.25" customHeight="1">
      <c r="A1791" s="1" t="s">
        <v>4849</v>
      </c>
      <c r="B1791" s="1">
        <v>6.4</v>
      </c>
    </row>
    <row r="1792" ht="14.25" customHeight="1">
      <c r="A1792" s="1" t="s">
        <v>8920</v>
      </c>
      <c r="B1792" s="1">
        <v>6.3</v>
      </c>
    </row>
    <row r="1793" ht="14.25" customHeight="1">
      <c r="A1793" s="1" t="s">
        <v>8927</v>
      </c>
      <c r="B1793" s="1">
        <v>4.6</v>
      </c>
    </row>
    <row r="1794" ht="14.25" customHeight="1">
      <c r="A1794" s="1" t="s">
        <v>8934</v>
      </c>
      <c r="B1794" s="1">
        <v>6.5</v>
      </c>
    </row>
    <row r="1795" ht="14.25" customHeight="1">
      <c r="A1795" s="1" t="s">
        <v>8938</v>
      </c>
      <c r="B1795" s="1">
        <v>7.5</v>
      </c>
    </row>
    <row r="1796" ht="14.25" customHeight="1">
      <c r="A1796" s="1" t="s">
        <v>4515</v>
      </c>
      <c r="B1796" s="1">
        <v>7.5</v>
      </c>
    </row>
    <row r="1797" ht="14.25" customHeight="1">
      <c r="A1797" s="1" t="s">
        <v>7213</v>
      </c>
      <c r="B1797" s="1">
        <v>5.3</v>
      </c>
    </row>
    <row r="1798" ht="14.25" customHeight="1">
      <c r="A1798" s="1" t="s">
        <v>8955</v>
      </c>
      <c r="B1798" s="1">
        <v>7.5</v>
      </c>
    </row>
    <row r="1799" ht="14.25" customHeight="1">
      <c r="A1799" s="1" t="s">
        <v>8962</v>
      </c>
      <c r="B1799" s="1">
        <v>3.3</v>
      </c>
    </row>
    <row r="1800" ht="14.25" customHeight="1">
      <c r="A1800" s="1" t="s">
        <v>8969</v>
      </c>
      <c r="B1800" s="1">
        <v>3.5</v>
      </c>
    </row>
    <row r="1801" ht="14.25" customHeight="1">
      <c r="A1801" s="1" t="s">
        <v>3093</v>
      </c>
      <c r="B1801" s="1">
        <v>9.3</v>
      </c>
    </row>
    <row r="1802" ht="14.25" customHeight="1">
      <c r="A1802" s="1" t="s">
        <v>5567</v>
      </c>
      <c r="B1802" s="1">
        <v>4.8</v>
      </c>
    </row>
    <row r="1803" ht="14.25" customHeight="1">
      <c r="A1803" s="1" t="s">
        <v>3322</v>
      </c>
      <c r="B1803" s="1">
        <v>6.9</v>
      </c>
    </row>
    <row r="1804" ht="14.25" customHeight="1">
      <c r="A1804" s="1" t="s">
        <v>1956</v>
      </c>
      <c r="B1804" s="1">
        <v>6.0</v>
      </c>
    </row>
    <row r="1805" ht="14.25" customHeight="1">
      <c r="A1805" s="1" t="s">
        <v>8992</v>
      </c>
      <c r="B1805" s="1">
        <v>7.3</v>
      </c>
    </row>
    <row r="1806" ht="14.25" customHeight="1">
      <c r="A1806" s="1" t="s">
        <v>8996</v>
      </c>
      <c r="B1806" s="1">
        <v>6.6</v>
      </c>
    </row>
    <row r="1807" ht="14.25" customHeight="1">
      <c r="A1807" s="1" t="s">
        <v>3276</v>
      </c>
      <c r="B1807" s="1">
        <v>7.5</v>
      </c>
    </row>
    <row r="1808" ht="14.25" customHeight="1">
      <c r="A1808" s="1" t="s">
        <v>4801</v>
      </c>
      <c r="B1808" s="1">
        <v>6.9</v>
      </c>
    </row>
    <row r="1809" ht="14.25" customHeight="1">
      <c r="A1809" s="1" t="s">
        <v>9010</v>
      </c>
      <c r="B1809" s="1">
        <v>6.8</v>
      </c>
    </row>
    <row r="1810" ht="14.25" customHeight="1">
      <c r="A1810" s="1" t="s">
        <v>9014</v>
      </c>
      <c r="B1810" s="1">
        <v>6.4</v>
      </c>
    </row>
    <row r="1811" ht="14.25" customHeight="1">
      <c r="A1811" s="1" t="s">
        <v>9019</v>
      </c>
      <c r="B1811" s="1">
        <v>5.6</v>
      </c>
    </row>
    <row r="1812" ht="14.25" customHeight="1">
      <c r="A1812" s="1" t="s">
        <v>9024</v>
      </c>
      <c r="B1812" s="1">
        <v>6.3</v>
      </c>
    </row>
    <row r="1813" ht="14.25" customHeight="1">
      <c r="A1813" s="1" t="s">
        <v>6646</v>
      </c>
      <c r="B1813" s="1">
        <v>7.3</v>
      </c>
    </row>
    <row r="1814" ht="14.25" customHeight="1">
      <c r="A1814" s="1" t="s">
        <v>9033</v>
      </c>
      <c r="B1814" s="1">
        <v>6.6</v>
      </c>
    </row>
    <row r="1815" ht="14.25" customHeight="1">
      <c r="A1815" s="1" t="s">
        <v>9039</v>
      </c>
      <c r="B1815" s="1">
        <v>4.6</v>
      </c>
    </row>
    <row r="1816" ht="14.25" customHeight="1">
      <c r="A1816" s="1" t="s">
        <v>932</v>
      </c>
      <c r="B1816" s="1">
        <v>5.1</v>
      </c>
    </row>
    <row r="1817" ht="14.25" customHeight="1">
      <c r="A1817" s="1" t="s">
        <v>9051</v>
      </c>
      <c r="B1817" s="1">
        <v>5.6</v>
      </c>
    </row>
    <row r="1818" ht="14.25" customHeight="1">
      <c r="A1818" s="1" t="s">
        <v>9055</v>
      </c>
      <c r="B1818" s="1">
        <v>5.3</v>
      </c>
    </row>
    <row r="1819" ht="14.25" customHeight="1">
      <c r="A1819" s="1" t="s">
        <v>9062</v>
      </c>
      <c r="B1819" s="1">
        <v>5.6</v>
      </c>
    </row>
    <row r="1820" ht="14.25" customHeight="1">
      <c r="A1820" s="1" t="s">
        <v>9067</v>
      </c>
      <c r="B1820" s="1">
        <v>5.9</v>
      </c>
    </row>
    <row r="1821" ht="14.25" customHeight="1">
      <c r="A1821" s="1" t="s">
        <v>9073</v>
      </c>
      <c r="B1821" s="1">
        <v>4.7</v>
      </c>
    </row>
    <row r="1822" ht="14.25" customHeight="1">
      <c r="A1822" s="1" t="s">
        <v>5922</v>
      </c>
      <c r="B1822" s="1">
        <v>4.8</v>
      </c>
    </row>
    <row r="1823" ht="14.25" customHeight="1">
      <c r="A1823" s="1" t="s">
        <v>6982</v>
      </c>
      <c r="B1823" s="1">
        <v>6.8</v>
      </c>
    </row>
    <row r="1824" ht="14.25" customHeight="1">
      <c r="A1824" s="1" t="s">
        <v>9088</v>
      </c>
      <c r="B1824" s="1">
        <v>5.4</v>
      </c>
    </row>
    <row r="1825" ht="14.25" customHeight="1">
      <c r="A1825" s="1" t="s">
        <v>9094</v>
      </c>
      <c r="B1825" s="1">
        <v>5.1</v>
      </c>
    </row>
    <row r="1826" ht="14.25" customHeight="1">
      <c r="A1826" s="1" t="s">
        <v>4806</v>
      </c>
      <c r="B1826" s="1">
        <v>7.0</v>
      </c>
    </row>
    <row r="1827" ht="14.25" customHeight="1">
      <c r="A1827" s="1" t="s">
        <v>5498</v>
      </c>
      <c r="B1827" s="1">
        <v>4.0</v>
      </c>
    </row>
    <row r="1828" ht="14.25" customHeight="1">
      <c r="A1828" s="1" t="s">
        <v>4446</v>
      </c>
      <c r="B1828" s="1">
        <v>7.3</v>
      </c>
    </row>
    <row r="1829" ht="14.25" customHeight="1">
      <c r="A1829" s="1" t="s">
        <v>2580</v>
      </c>
      <c r="B1829" s="1">
        <v>6.8</v>
      </c>
    </row>
    <row r="1830" ht="14.25" customHeight="1">
      <c r="A1830" s="1" t="s">
        <v>3834</v>
      </c>
      <c r="B1830" s="1">
        <v>7.0</v>
      </c>
    </row>
    <row r="1831" ht="14.25" customHeight="1">
      <c r="A1831" s="1" t="s">
        <v>5773</v>
      </c>
      <c r="B1831" s="1">
        <v>7.1</v>
      </c>
    </row>
    <row r="1832" ht="14.25" customHeight="1">
      <c r="A1832" s="1" t="s">
        <v>9122</v>
      </c>
      <c r="B1832" s="1">
        <v>6.9</v>
      </c>
    </row>
    <row r="1833" ht="14.25" customHeight="1">
      <c r="A1833" s="1" t="s">
        <v>5073</v>
      </c>
      <c r="B1833" s="1">
        <v>7.3</v>
      </c>
    </row>
    <row r="1834" ht="14.25" customHeight="1">
      <c r="A1834" s="1" t="s">
        <v>8016</v>
      </c>
      <c r="B1834" s="1">
        <v>8.2</v>
      </c>
    </row>
    <row r="1835" ht="14.25" customHeight="1">
      <c r="A1835" s="1" t="s">
        <v>4775</v>
      </c>
      <c r="B1835" s="1">
        <v>7.1</v>
      </c>
    </row>
    <row r="1836" ht="14.25" customHeight="1">
      <c r="A1836" s="1" t="s">
        <v>4524</v>
      </c>
      <c r="B1836" s="1">
        <v>7.7</v>
      </c>
    </row>
    <row r="1837" ht="14.25" customHeight="1">
      <c r="A1837" s="1" t="s">
        <v>7876</v>
      </c>
      <c r="B1837" s="1">
        <v>6.5</v>
      </c>
    </row>
    <row r="1838" ht="14.25" customHeight="1">
      <c r="A1838" s="1" t="s">
        <v>4900</v>
      </c>
      <c r="B1838" s="1">
        <v>4.9</v>
      </c>
    </row>
    <row r="1839" ht="14.25" customHeight="1">
      <c r="A1839" s="1" t="s">
        <v>9152</v>
      </c>
      <c r="B1839" s="1">
        <v>6.4</v>
      </c>
    </row>
    <row r="1840" ht="14.25" customHeight="1">
      <c r="A1840" s="1" t="s">
        <v>9159</v>
      </c>
      <c r="B1840" s="1">
        <v>5.9</v>
      </c>
    </row>
    <row r="1841" ht="14.25" customHeight="1">
      <c r="A1841" s="1" t="s">
        <v>9165</v>
      </c>
      <c r="B1841" s="1">
        <v>6.2</v>
      </c>
    </row>
    <row r="1842" ht="14.25" customHeight="1">
      <c r="A1842" s="1" t="s">
        <v>4125</v>
      </c>
      <c r="B1842" s="1">
        <v>5.8</v>
      </c>
    </row>
    <row r="1843" ht="14.25" customHeight="1">
      <c r="A1843" s="1" t="s">
        <v>7160</v>
      </c>
      <c r="B1843" s="1">
        <v>6.7</v>
      </c>
    </row>
    <row r="1844" ht="14.25" customHeight="1">
      <c r="A1844" s="1" t="s">
        <v>9178</v>
      </c>
      <c r="B1844" s="1">
        <v>5.9</v>
      </c>
    </row>
    <row r="1845" ht="14.25" customHeight="1">
      <c r="A1845" s="1" t="s">
        <v>9185</v>
      </c>
      <c r="B1845" s="1">
        <v>7.3</v>
      </c>
    </row>
    <row r="1846" ht="14.25" customHeight="1">
      <c r="A1846" s="1" t="s">
        <v>9189</v>
      </c>
      <c r="B1846" s="1">
        <v>4.1</v>
      </c>
    </row>
    <row r="1847" ht="14.25" customHeight="1">
      <c r="A1847" s="1" t="s">
        <v>7572</v>
      </c>
      <c r="B1847" s="1">
        <v>4.9</v>
      </c>
    </row>
    <row r="1848" ht="14.25" customHeight="1">
      <c r="A1848" s="1" t="s">
        <v>1424</v>
      </c>
      <c r="B1848" s="1">
        <v>7.9</v>
      </c>
    </row>
    <row r="1849" ht="14.25" customHeight="1">
      <c r="A1849" s="1" t="s">
        <v>5498</v>
      </c>
      <c r="B1849" s="1">
        <v>5.6</v>
      </c>
    </row>
    <row r="1850" ht="14.25" customHeight="1">
      <c r="A1850" s="1" t="s">
        <v>9202</v>
      </c>
      <c r="B1850" s="1">
        <v>5.2</v>
      </c>
    </row>
    <row r="1851" ht="14.25" customHeight="1">
      <c r="A1851" s="1" t="s">
        <v>9206</v>
      </c>
      <c r="B1851" s="1">
        <v>4.1</v>
      </c>
    </row>
    <row r="1852" ht="14.25" customHeight="1">
      <c r="A1852" s="1" t="s">
        <v>8672</v>
      </c>
      <c r="B1852" s="1">
        <v>6.6</v>
      </c>
    </row>
    <row r="1853" ht="14.25" customHeight="1">
      <c r="A1853" s="1" t="s">
        <v>4182</v>
      </c>
      <c r="B1853" s="1">
        <v>2.9</v>
      </c>
    </row>
    <row r="1854" ht="14.25" customHeight="1">
      <c r="A1854" s="1" t="s">
        <v>9221</v>
      </c>
      <c r="B1854" s="1">
        <v>6.5</v>
      </c>
    </row>
    <row r="1855" ht="14.25" customHeight="1">
      <c r="A1855" s="1" t="s">
        <v>9225</v>
      </c>
      <c r="B1855" s="1">
        <v>7.2</v>
      </c>
    </row>
    <row r="1856" ht="14.25" customHeight="1">
      <c r="A1856" s="1" t="s">
        <v>8489</v>
      </c>
      <c r="B1856" s="1">
        <v>6.8</v>
      </c>
    </row>
    <row r="1857" ht="14.25" customHeight="1">
      <c r="A1857" s="1" t="s">
        <v>9234</v>
      </c>
      <c r="B1857" s="1">
        <v>7.8</v>
      </c>
    </row>
    <row r="1858" ht="14.25" customHeight="1">
      <c r="A1858" s="1" t="s">
        <v>9241</v>
      </c>
      <c r="B1858" s="1">
        <v>6.7</v>
      </c>
    </row>
    <row r="1859" ht="14.25" customHeight="1">
      <c r="A1859" s="1" t="s">
        <v>8934</v>
      </c>
      <c r="B1859" s="1">
        <v>7.1</v>
      </c>
    </row>
    <row r="1860" ht="14.25" customHeight="1">
      <c r="A1860" s="1" t="s">
        <v>3582</v>
      </c>
      <c r="B1860" s="1">
        <v>5.7</v>
      </c>
    </row>
    <row r="1861" ht="14.25" customHeight="1">
      <c r="A1861" s="1" t="s">
        <v>179</v>
      </c>
      <c r="B1861" s="1">
        <v>5.3</v>
      </c>
    </row>
    <row r="1862" ht="14.25" customHeight="1">
      <c r="A1862" s="1" t="s">
        <v>5299</v>
      </c>
      <c r="B1862" s="1">
        <v>7.7</v>
      </c>
    </row>
    <row r="1863" ht="14.25" customHeight="1">
      <c r="A1863" s="1" t="s">
        <v>4156</v>
      </c>
      <c r="B1863" s="1">
        <v>6.1</v>
      </c>
    </row>
    <row r="1864" ht="14.25" customHeight="1">
      <c r="A1864" s="1" t="s">
        <v>992</v>
      </c>
      <c r="B1864" s="1">
        <v>7.3</v>
      </c>
    </row>
    <row r="1865" ht="14.25" customHeight="1">
      <c r="A1865" s="1" t="s">
        <v>1702</v>
      </c>
      <c r="B1865" s="1">
        <v>7.2</v>
      </c>
    </row>
    <row r="1866" ht="14.25" customHeight="1">
      <c r="A1866" s="1" t="s">
        <v>1801</v>
      </c>
      <c r="B1866" s="1">
        <v>5.3</v>
      </c>
    </row>
    <row r="1867" ht="14.25" customHeight="1">
      <c r="A1867" s="1" t="s">
        <v>5922</v>
      </c>
      <c r="B1867" s="1">
        <v>6.1</v>
      </c>
    </row>
    <row r="1868" ht="14.25" customHeight="1">
      <c r="A1868" s="1" t="s">
        <v>8016</v>
      </c>
      <c r="B1868" s="1">
        <v>5.8</v>
      </c>
    </row>
    <row r="1869" ht="14.25" customHeight="1">
      <c r="A1869" s="1" t="s">
        <v>1295</v>
      </c>
      <c r="B1869" s="1">
        <v>5.7</v>
      </c>
    </row>
    <row r="1870" ht="14.25" customHeight="1">
      <c r="A1870" s="1" t="s">
        <v>6543</v>
      </c>
      <c r="B1870" s="1">
        <v>6.7</v>
      </c>
    </row>
    <row r="1871" ht="14.25" customHeight="1">
      <c r="A1871" s="1" t="s">
        <v>9287</v>
      </c>
      <c r="B1871" s="1">
        <v>6.5</v>
      </c>
    </row>
    <row r="1872" ht="14.25" customHeight="1">
      <c r="A1872" s="1" t="s">
        <v>2436</v>
      </c>
      <c r="B1872" s="1">
        <v>7.2</v>
      </c>
    </row>
    <row r="1873" ht="14.25" customHeight="1">
      <c r="A1873" s="1" t="s">
        <v>2661</v>
      </c>
      <c r="B1873" s="1">
        <v>7.6</v>
      </c>
    </row>
    <row r="1874" ht="14.25" customHeight="1">
      <c r="A1874" s="1" t="s">
        <v>7348</v>
      </c>
      <c r="B1874" s="1">
        <v>4.6</v>
      </c>
    </row>
    <row r="1875" ht="14.25" customHeight="1">
      <c r="A1875" s="1" t="s">
        <v>4736</v>
      </c>
      <c r="B1875" s="1">
        <v>6.9</v>
      </c>
    </row>
    <row r="1876" ht="14.25" customHeight="1">
      <c r="A1876" s="1" t="s">
        <v>6697</v>
      </c>
      <c r="B1876" s="1">
        <v>6.6</v>
      </c>
    </row>
    <row r="1877" ht="14.25" customHeight="1">
      <c r="A1877" s="1" t="s">
        <v>9311</v>
      </c>
      <c r="B1877" s="1">
        <v>6.3</v>
      </c>
    </row>
    <row r="1878" ht="14.25" customHeight="1">
      <c r="A1878" s="1" t="s">
        <v>1427</v>
      </c>
      <c r="B1878" s="1">
        <v>6.2</v>
      </c>
    </row>
    <row r="1879" ht="14.25" customHeight="1">
      <c r="A1879" s="1" t="s">
        <v>9320</v>
      </c>
      <c r="B1879" s="1">
        <v>5.3</v>
      </c>
    </row>
    <row r="1880" ht="14.25" customHeight="1">
      <c r="A1880" s="1" t="s">
        <v>1365</v>
      </c>
      <c r="B1880" s="1">
        <v>7.3</v>
      </c>
    </row>
    <row r="1881" ht="14.25" customHeight="1">
      <c r="A1881" s="1" t="s">
        <v>2942</v>
      </c>
      <c r="B1881" s="1">
        <v>5.6</v>
      </c>
    </row>
    <row r="1882" ht="14.25" customHeight="1">
      <c r="A1882" s="1" t="s">
        <v>3717</v>
      </c>
      <c r="B1882" s="1">
        <v>6.2</v>
      </c>
    </row>
    <row r="1883" ht="14.25" customHeight="1">
      <c r="A1883" s="1" t="s">
        <v>9335</v>
      </c>
      <c r="B1883" s="1">
        <v>5.2</v>
      </c>
    </row>
    <row r="1884" ht="14.25" customHeight="1">
      <c r="A1884" s="1" t="s">
        <v>3892</v>
      </c>
      <c r="B1884" s="1">
        <v>5.3</v>
      </c>
    </row>
    <row r="1885" ht="14.25" customHeight="1">
      <c r="A1885" s="1" t="s">
        <v>2999</v>
      </c>
      <c r="B1885" s="1">
        <v>5.4</v>
      </c>
    </row>
    <row r="1886" ht="14.25" customHeight="1">
      <c r="A1886" s="1" t="s">
        <v>9351</v>
      </c>
      <c r="B1886" s="1">
        <v>4.9</v>
      </c>
    </row>
    <row r="1887" ht="14.25" customHeight="1">
      <c r="A1887" s="1" t="s">
        <v>7023</v>
      </c>
      <c r="B1887" s="1">
        <v>5.5</v>
      </c>
    </row>
    <row r="1888" ht="14.25" customHeight="1">
      <c r="A1888" s="1" t="s">
        <v>112</v>
      </c>
      <c r="B1888" s="1">
        <v>6.7</v>
      </c>
    </row>
    <row r="1889" ht="14.25" customHeight="1">
      <c r="A1889" s="1" t="s">
        <v>9362</v>
      </c>
      <c r="B1889" s="1">
        <v>7.2</v>
      </c>
    </row>
    <row r="1890" ht="14.25" customHeight="1">
      <c r="A1890" s="1" t="s">
        <v>9370</v>
      </c>
      <c r="B1890" s="1">
        <v>5.1</v>
      </c>
    </row>
    <row r="1891" ht="14.25" customHeight="1">
      <c r="A1891" s="1" t="s">
        <v>7282</v>
      </c>
      <c r="B1891" s="1">
        <v>6.5</v>
      </c>
    </row>
    <row r="1892" ht="14.25" customHeight="1">
      <c r="A1892" s="1" t="s">
        <v>7274</v>
      </c>
      <c r="B1892" s="1">
        <v>8.2</v>
      </c>
    </row>
    <row r="1893" ht="14.25" customHeight="1">
      <c r="A1893" s="1" t="s">
        <v>4000</v>
      </c>
      <c r="B1893" s="1">
        <v>7.7</v>
      </c>
    </row>
    <row r="1894" ht="14.25" customHeight="1">
      <c r="A1894" s="1" t="s">
        <v>163</v>
      </c>
      <c r="B1894" s="1">
        <v>7.2</v>
      </c>
    </row>
    <row r="1895" ht="14.25" customHeight="1">
      <c r="A1895" s="1" t="s">
        <v>1549</v>
      </c>
      <c r="B1895" s="1">
        <v>6.1</v>
      </c>
    </row>
    <row r="1896" ht="14.25" customHeight="1">
      <c r="A1896" s="1" t="s">
        <v>6730</v>
      </c>
      <c r="B1896" s="1">
        <v>8.8</v>
      </c>
    </row>
    <row r="1897" ht="14.25" customHeight="1">
      <c r="A1897" s="1" t="s">
        <v>270</v>
      </c>
      <c r="B1897" s="1">
        <v>6.8</v>
      </c>
    </row>
    <row r="1898" ht="14.25" customHeight="1">
      <c r="A1898" s="1" t="s">
        <v>5342</v>
      </c>
      <c r="B1898" s="1">
        <v>6.8</v>
      </c>
    </row>
    <row r="1899" ht="14.25" customHeight="1">
      <c r="A1899" s="1" t="s">
        <v>5193</v>
      </c>
      <c r="B1899" s="1">
        <v>6.7</v>
      </c>
    </row>
    <row r="1900" ht="14.25" customHeight="1">
      <c r="A1900" s="1" t="s">
        <v>3229</v>
      </c>
      <c r="B1900" s="1">
        <v>7.1</v>
      </c>
    </row>
    <row r="1901" ht="14.25" customHeight="1">
      <c r="A1901" s="1" t="s">
        <v>1338</v>
      </c>
      <c r="B1901" s="1">
        <v>7.1</v>
      </c>
    </row>
    <row r="1902" ht="14.25" customHeight="1">
      <c r="A1902" s="1" t="s">
        <v>981</v>
      </c>
      <c r="B1902" s="1">
        <v>6.1</v>
      </c>
    </row>
    <row r="1903" ht="14.25" customHeight="1">
      <c r="A1903" s="1" t="s">
        <v>1717</v>
      </c>
      <c r="B1903" s="1">
        <v>8.0</v>
      </c>
    </row>
    <row r="1904" ht="14.25" customHeight="1">
      <c r="A1904" s="1" t="s">
        <v>3276</v>
      </c>
      <c r="B1904" s="1">
        <v>7.5</v>
      </c>
    </row>
    <row r="1905" ht="14.25" customHeight="1">
      <c r="A1905" s="1" t="s">
        <v>4191</v>
      </c>
      <c r="B1905" s="1">
        <v>6.6</v>
      </c>
    </row>
    <row r="1906" ht="14.25" customHeight="1">
      <c r="A1906" s="1" t="s">
        <v>9426</v>
      </c>
      <c r="B1906" s="1">
        <v>5.4</v>
      </c>
    </row>
    <row r="1907" ht="14.25" customHeight="1">
      <c r="A1907" s="1" t="s">
        <v>4367</v>
      </c>
      <c r="B1907" s="1">
        <v>6.1</v>
      </c>
    </row>
    <row r="1908" ht="14.25" customHeight="1">
      <c r="A1908" s="1" t="s">
        <v>8071</v>
      </c>
      <c r="B1908" s="1">
        <v>6.1</v>
      </c>
    </row>
    <row r="1909" ht="14.25" customHeight="1">
      <c r="A1909" s="1" t="s">
        <v>9436</v>
      </c>
      <c r="B1909" s="1">
        <v>5.6</v>
      </c>
    </row>
    <row r="1910" ht="14.25" customHeight="1">
      <c r="A1910" s="1" t="s">
        <v>1456</v>
      </c>
      <c r="B1910" s="1">
        <v>5.8</v>
      </c>
    </row>
    <row r="1911" ht="14.25" customHeight="1">
      <c r="A1911" s="1" t="s">
        <v>9445</v>
      </c>
      <c r="B1911" s="1">
        <v>2.8</v>
      </c>
    </row>
    <row r="1912" ht="14.25" customHeight="1">
      <c r="A1912" s="1" t="s">
        <v>9451</v>
      </c>
      <c r="B1912" s="1">
        <v>6.7</v>
      </c>
    </row>
    <row r="1913" ht="14.25" customHeight="1">
      <c r="A1913" s="1" t="s">
        <v>9455</v>
      </c>
      <c r="B1913" s="1">
        <v>5.1</v>
      </c>
    </row>
    <row r="1914" ht="14.25" customHeight="1">
      <c r="A1914" s="1" t="s">
        <v>4775</v>
      </c>
      <c r="B1914" s="1">
        <v>7.2</v>
      </c>
    </row>
    <row r="1915" ht="14.25" customHeight="1">
      <c r="A1915" s="1" t="s">
        <v>5567</v>
      </c>
      <c r="B1915" s="1">
        <v>6.0</v>
      </c>
    </row>
    <row r="1916" ht="14.25" customHeight="1">
      <c r="A1916" s="1" t="s">
        <v>9470</v>
      </c>
      <c r="B1916" s="1">
        <v>6.7</v>
      </c>
    </row>
    <row r="1917" ht="14.25" customHeight="1">
      <c r="A1917" s="1" t="s">
        <v>5299</v>
      </c>
      <c r="B1917" s="1">
        <v>6.2</v>
      </c>
    </row>
    <row r="1918" ht="14.25" customHeight="1">
      <c r="A1918" s="1" t="s">
        <v>9482</v>
      </c>
      <c r="B1918" s="1">
        <v>6.2</v>
      </c>
    </row>
    <row r="1919" ht="14.25" customHeight="1">
      <c r="A1919" s="1" t="s">
        <v>3345</v>
      </c>
      <c r="B1919" s="1">
        <v>6.8</v>
      </c>
    </row>
    <row r="1920" ht="14.25" customHeight="1">
      <c r="A1920" s="1" t="s">
        <v>9494</v>
      </c>
      <c r="B1920" s="1">
        <v>7.1</v>
      </c>
    </row>
    <row r="1921" ht="14.25" customHeight="1">
      <c r="A1921" s="1" t="s">
        <v>9501</v>
      </c>
      <c r="B1921" s="1">
        <v>7.1</v>
      </c>
    </row>
    <row r="1922" ht="14.25" customHeight="1">
      <c r="A1922" s="1" t="s">
        <v>2969</v>
      </c>
      <c r="B1922" s="1">
        <v>7.0</v>
      </c>
    </row>
    <row r="1923" ht="14.25" customHeight="1">
      <c r="A1923" s="1" t="s">
        <v>3322</v>
      </c>
      <c r="B1923" s="1">
        <v>7.1</v>
      </c>
    </row>
    <row r="1924" ht="14.25" customHeight="1">
      <c r="A1924" s="1" t="s">
        <v>3991</v>
      </c>
      <c r="B1924" s="1">
        <v>6.4</v>
      </c>
    </row>
    <row r="1925" ht="14.25" customHeight="1">
      <c r="A1925" s="1" t="s">
        <v>1973</v>
      </c>
      <c r="B1925" s="1">
        <v>7.0</v>
      </c>
    </row>
    <row r="1926" ht="14.25" customHeight="1">
      <c r="A1926" s="1" t="s">
        <v>4849</v>
      </c>
      <c r="B1926" s="1">
        <v>6.2</v>
      </c>
    </row>
    <row r="1927" ht="14.25" customHeight="1">
      <c r="A1927" s="1" t="s">
        <v>3503</v>
      </c>
      <c r="B1927" s="1">
        <v>7.5</v>
      </c>
    </row>
    <row r="1928" ht="14.25" customHeight="1">
      <c r="A1928" s="1" t="s">
        <v>6982</v>
      </c>
      <c r="B1928" s="1">
        <v>4.8</v>
      </c>
    </row>
    <row r="1929" ht="14.25" customHeight="1">
      <c r="A1929" s="1" t="s">
        <v>7160</v>
      </c>
      <c r="B1929" s="1">
        <v>7.3</v>
      </c>
    </row>
    <row r="1930" ht="14.25" customHeight="1">
      <c r="A1930" s="1" t="s">
        <v>6307</v>
      </c>
      <c r="B1930" s="1">
        <v>5.8</v>
      </c>
    </row>
    <row r="1931" ht="14.25" customHeight="1">
      <c r="A1931" s="1" t="s">
        <v>9543</v>
      </c>
      <c r="B1931" s="1">
        <v>7.6</v>
      </c>
    </row>
    <row r="1932" ht="14.25" customHeight="1">
      <c r="A1932" s="1" t="s">
        <v>9547</v>
      </c>
      <c r="B1932" s="1">
        <v>5.6</v>
      </c>
    </row>
    <row r="1933" ht="14.25" customHeight="1">
      <c r="A1933" s="1" t="s">
        <v>1539</v>
      </c>
      <c r="B1933" s="1">
        <v>7.0</v>
      </c>
    </row>
    <row r="1934" ht="14.25" customHeight="1">
      <c r="A1934" s="1" t="s">
        <v>3345</v>
      </c>
      <c r="B1934" s="1">
        <v>6.6</v>
      </c>
    </row>
    <row r="1935" ht="14.25" customHeight="1">
      <c r="A1935" s="1" t="s">
        <v>1456</v>
      </c>
      <c r="B1935" s="1">
        <v>6.5</v>
      </c>
    </row>
    <row r="1936" ht="14.25" customHeight="1">
      <c r="A1936" s="1" t="s">
        <v>8182</v>
      </c>
      <c r="B1936" s="1">
        <v>7.4</v>
      </c>
    </row>
    <row r="1937" ht="14.25" customHeight="1">
      <c r="A1937" s="1" t="s">
        <v>9567</v>
      </c>
      <c r="B1937" s="1">
        <v>4.6</v>
      </c>
    </row>
    <row r="1938" ht="14.25" customHeight="1">
      <c r="A1938" s="1" t="s">
        <v>7250</v>
      </c>
      <c r="B1938" s="1">
        <v>6.4</v>
      </c>
    </row>
    <row r="1939" ht="14.25" customHeight="1">
      <c r="A1939" s="1" t="s">
        <v>5671</v>
      </c>
      <c r="B1939" s="1">
        <v>6.0</v>
      </c>
    </row>
    <row r="1940" ht="14.25" customHeight="1">
      <c r="A1940" s="1" t="s">
        <v>2093</v>
      </c>
      <c r="B1940" s="1">
        <v>5.9</v>
      </c>
    </row>
    <row r="1941" ht="14.25" customHeight="1">
      <c r="A1941" s="1" t="s">
        <v>898</v>
      </c>
      <c r="B1941" s="1">
        <v>6.4</v>
      </c>
    </row>
    <row r="1942" ht="14.25" customHeight="1">
      <c r="A1942" s="1" t="s">
        <v>4801</v>
      </c>
      <c r="B1942" s="1">
        <v>6.6</v>
      </c>
    </row>
    <row r="1943" ht="14.25" customHeight="1">
      <c r="A1943" s="1" t="s">
        <v>6697</v>
      </c>
      <c r="B1943" s="1">
        <v>6.9</v>
      </c>
    </row>
    <row r="1944" ht="14.25" customHeight="1">
      <c r="A1944" s="1" t="s">
        <v>270</v>
      </c>
      <c r="B1944" s="1">
        <v>6.9</v>
      </c>
    </row>
    <row r="1945" ht="14.25" customHeight="1">
      <c r="A1945" s="1" t="s">
        <v>9594</v>
      </c>
      <c r="B1945" s="1">
        <v>5.8</v>
      </c>
    </row>
    <row r="1946" ht="14.25" customHeight="1">
      <c r="A1946" s="1" t="s">
        <v>6676</v>
      </c>
      <c r="B1946" s="1">
        <v>6.4</v>
      </c>
    </row>
    <row r="1947" ht="14.25" customHeight="1">
      <c r="A1947" s="1" t="s">
        <v>9603</v>
      </c>
      <c r="B1947" s="1">
        <v>5.3</v>
      </c>
    </row>
    <row r="1948" ht="14.25" customHeight="1">
      <c r="A1948" s="1" t="s">
        <v>4876</v>
      </c>
      <c r="B1948" s="1">
        <v>6.5</v>
      </c>
    </row>
    <row r="1949" ht="14.25" customHeight="1">
      <c r="A1949" s="1" t="s">
        <v>9612</v>
      </c>
      <c r="B1949" s="1">
        <v>5.7</v>
      </c>
    </row>
    <row r="1950" ht="14.25" customHeight="1">
      <c r="A1950" s="1" t="s">
        <v>3954</v>
      </c>
      <c r="B1950" s="1">
        <v>6.7</v>
      </c>
    </row>
    <row r="1951" ht="14.25" customHeight="1">
      <c r="A1951" s="1" t="s">
        <v>9619</v>
      </c>
      <c r="B1951" s="1">
        <v>3.9</v>
      </c>
    </row>
    <row r="1952" ht="14.25" customHeight="1">
      <c r="A1952" s="1" t="s">
        <v>9623</v>
      </c>
      <c r="B1952" s="1">
        <v>4.1</v>
      </c>
    </row>
    <row r="1953" ht="14.25" customHeight="1">
      <c r="A1953" s="1" t="s">
        <v>9627</v>
      </c>
      <c r="B1953" s="1">
        <v>6.2</v>
      </c>
    </row>
    <row r="1954" ht="14.25" customHeight="1">
      <c r="A1954" s="1" t="s">
        <v>7041</v>
      </c>
      <c r="B1954" s="1">
        <v>3.8</v>
      </c>
    </row>
    <row r="1955" ht="14.25" customHeight="1">
      <c r="A1955" s="1" t="s">
        <v>8398</v>
      </c>
      <c r="B1955" s="1">
        <v>5.1</v>
      </c>
    </row>
    <row r="1956" ht="14.25" customHeight="1">
      <c r="A1956" s="1" t="s">
        <v>1248</v>
      </c>
      <c r="B1956" s="1">
        <v>7.8</v>
      </c>
    </row>
    <row r="1957" ht="14.25" customHeight="1">
      <c r="A1957" s="1" t="s">
        <v>9648</v>
      </c>
      <c r="B1957" s="1">
        <v>7.8</v>
      </c>
    </row>
    <row r="1958" ht="14.25" customHeight="1">
      <c r="A1958" s="1" t="s">
        <v>9653</v>
      </c>
      <c r="B1958" s="1">
        <v>6.1</v>
      </c>
    </row>
    <row r="1959" ht="14.25" customHeight="1">
      <c r="A1959" s="1" t="s">
        <v>8440</v>
      </c>
      <c r="B1959" s="1">
        <v>5.8</v>
      </c>
    </row>
    <row r="1960" ht="14.25" customHeight="1">
      <c r="A1960" s="1" t="s">
        <v>9661</v>
      </c>
      <c r="B1960" s="1">
        <v>6.3</v>
      </c>
    </row>
    <row r="1961" ht="14.25" customHeight="1">
      <c r="A1961" s="1" t="s">
        <v>9667</v>
      </c>
      <c r="B1961" s="1">
        <v>5.4</v>
      </c>
    </row>
    <row r="1962" ht="14.25" customHeight="1">
      <c r="A1962" s="1" t="s">
        <v>9671</v>
      </c>
      <c r="B1962" s="1">
        <v>7.3</v>
      </c>
    </row>
    <row r="1963" ht="14.25" customHeight="1">
      <c r="A1963" s="1" t="s">
        <v>4622</v>
      </c>
      <c r="B1963" s="1">
        <v>6.8</v>
      </c>
    </row>
    <row r="1964" ht="14.25" customHeight="1">
      <c r="A1964" s="1" t="s">
        <v>1262</v>
      </c>
      <c r="B1964" s="1">
        <v>7.3</v>
      </c>
    </row>
    <row r="1965" ht="14.25" customHeight="1">
      <c r="A1965" s="1" t="s">
        <v>2368</v>
      </c>
      <c r="B1965" s="1">
        <v>6.5</v>
      </c>
    </row>
    <row r="1966" ht="14.25" customHeight="1">
      <c r="A1966" s="1" t="s">
        <v>5756</v>
      </c>
      <c r="B1966" s="1">
        <v>7.2</v>
      </c>
    </row>
    <row r="1967" ht="14.25" customHeight="1">
      <c r="A1967" s="1" t="s">
        <v>3797</v>
      </c>
      <c r="B1967" s="1">
        <v>6.3</v>
      </c>
    </row>
    <row r="1968" ht="14.25" customHeight="1">
      <c r="A1968" s="1" t="s">
        <v>3503</v>
      </c>
      <c r="B1968" s="1">
        <v>5.9</v>
      </c>
    </row>
    <row r="1969" ht="14.25" customHeight="1">
      <c r="A1969" s="1" t="s">
        <v>9702</v>
      </c>
      <c r="B1969" s="1">
        <v>7.8</v>
      </c>
    </row>
    <row r="1970" ht="14.25" customHeight="1">
      <c r="A1970" s="1" t="s">
        <v>1872</v>
      </c>
      <c r="B1970" s="1">
        <v>7.4</v>
      </c>
    </row>
    <row r="1971" ht="14.25" customHeight="1">
      <c r="A1971" s="1" t="s">
        <v>9710</v>
      </c>
      <c r="B1971" s="1">
        <v>4.8</v>
      </c>
    </row>
    <row r="1972" ht="14.25" customHeight="1">
      <c r="A1972" s="1" t="s">
        <v>3892</v>
      </c>
      <c r="B1972" s="1">
        <v>6.3</v>
      </c>
    </row>
    <row r="1973" ht="14.25" customHeight="1">
      <c r="A1973" s="1" t="s">
        <v>3954</v>
      </c>
      <c r="B1973" s="1">
        <v>7.8</v>
      </c>
    </row>
    <row r="1974" ht="14.25" customHeight="1">
      <c r="A1974" s="1" t="s">
        <v>5160</v>
      </c>
      <c r="B1974" s="1">
        <v>7.5</v>
      </c>
    </row>
    <row r="1975" ht="14.25" customHeight="1">
      <c r="A1975" s="1" t="s">
        <v>1077</v>
      </c>
      <c r="B1975" s="1">
        <v>6.8</v>
      </c>
    </row>
    <row r="1976" ht="14.25" customHeight="1">
      <c r="A1976" s="1" t="s">
        <v>8393</v>
      </c>
      <c r="B1976" s="1">
        <v>6.6</v>
      </c>
    </row>
    <row r="1977" ht="14.25" customHeight="1">
      <c r="A1977" s="1" t="s">
        <v>9734</v>
      </c>
      <c r="B1977" s="1">
        <v>4.6</v>
      </c>
    </row>
    <row r="1978" ht="14.25" customHeight="1">
      <c r="A1978" s="1" t="s">
        <v>46</v>
      </c>
      <c r="B1978" s="1">
        <v>7.1</v>
      </c>
    </row>
    <row r="1979" ht="14.25" customHeight="1">
      <c r="A1979" s="1" t="s">
        <v>9743</v>
      </c>
      <c r="B1979" s="1">
        <v>6.1</v>
      </c>
    </row>
    <row r="1980" ht="14.25" customHeight="1">
      <c r="A1980" s="1" t="s">
        <v>1790</v>
      </c>
      <c r="B1980" s="1">
        <v>6.7</v>
      </c>
    </row>
    <row r="1981" ht="14.25" customHeight="1">
      <c r="A1981" s="1" t="s">
        <v>9750</v>
      </c>
      <c r="B1981" s="1">
        <v>7.1</v>
      </c>
    </row>
    <row r="1982" ht="14.25" customHeight="1">
      <c r="A1982" s="1" t="s">
        <v>9754</v>
      </c>
      <c r="B1982" s="1">
        <v>5.8</v>
      </c>
    </row>
    <row r="1983" ht="14.25" customHeight="1">
      <c r="A1983" s="1" t="s">
        <v>8511</v>
      </c>
      <c r="B1983" s="1">
        <v>6.7</v>
      </c>
    </row>
    <row r="1984" ht="14.25" customHeight="1">
      <c r="A1984" s="1" t="s">
        <v>9764</v>
      </c>
      <c r="B1984" s="1">
        <v>5.8</v>
      </c>
    </row>
    <row r="1985" ht="14.25" customHeight="1">
      <c r="A1985" s="1" t="s">
        <v>5104</v>
      </c>
      <c r="B1985" s="1">
        <v>6.8</v>
      </c>
    </row>
    <row r="1986" ht="14.25" customHeight="1">
      <c r="A1986" s="1" t="s">
        <v>381</v>
      </c>
      <c r="B1986" s="1">
        <v>8.5</v>
      </c>
    </row>
    <row r="1987" ht="14.25" customHeight="1">
      <c r="A1987" s="1" t="s">
        <v>1200</v>
      </c>
      <c r="B1987" s="1">
        <v>6.6</v>
      </c>
    </row>
    <row r="1988" ht="14.25" customHeight="1">
      <c r="A1988" s="1" t="s">
        <v>381</v>
      </c>
      <c r="B1988" s="1">
        <v>7.7</v>
      </c>
    </row>
    <row r="1989" ht="14.25" customHeight="1">
      <c r="A1989" s="1" t="s">
        <v>9782</v>
      </c>
      <c r="B1989" s="1">
        <v>4.7</v>
      </c>
    </row>
    <row r="1990" ht="14.25" customHeight="1">
      <c r="A1990" s="1" t="s">
        <v>1656</v>
      </c>
      <c r="B1990" s="1">
        <v>6.4</v>
      </c>
    </row>
    <row r="1991" ht="14.25" customHeight="1">
      <c r="A1991" s="1" t="s">
        <v>2502</v>
      </c>
      <c r="B1991" s="1">
        <v>5.5</v>
      </c>
    </row>
    <row r="1992" ht="14.25" customHeight="1">
      <c r="A1992" s="1" t="s">
        <v>2610</v>
      </c>
      <c r="B1992" s="1">
        <v>8.6</v>
      </c>
    </row>
    <row r="1993" ht="14.25" customHeight="1">
      <c r="A1993" s="1" t="s">
        <v>9798</v>
      </c>
      <c r="B1993" s="1">
        <v>7.0</v>
      </c>
    </row>
    <row r="1994" ht="14.25" customHeight="1">
      <c r="A1994" s="1" t="s">
        <v>9802</v>
      </c>
      <c r="B1994" s="1">
        <v>7.1</v>
      </c>
    </row>
    <row r="1995" ht="14.25" customHeight="1">
      <c r="A1995" s="1" t="s">
        <v>9810</v>
      </c>
      <c r="B1995" s="1">
        <v>5.7</v>
      </c>
    </row>
    <row r="1996" ht="14.25" customHeight="1">
      <c r="A1996" s="1" t="s">
        <v>1497</v>
      </c>
      <c r="B1996" s="1">
        <v>3.7</v>
      </c>
    </row>
    <row r="1997" ht="14.25" customHeight="1">
      <c r="A1997" s="1" t="s">
        <v>324</v>
      </c>
      <c r="B1997" s="1">
        <v>7.5</v>
      </c>
    </row>
    <row r="1998" ht="14.25" customHeight="1">
      <c r="A1998" s="1" t="s">
        <v>3900</v>
      </c>
      <c r="B1998" s="1">
        <v>4.6</v>
      </c>
    </row>
    <row r="1999" ht="14.25" customHeight="1">
      <c r="A1999" s="1" t="s">
        <v>8178</v>
      </c>
      <c r="B1999" s="1">
        <v>4.9</v>
      </c>
    </row>
    <row r="2000" ht="14.25" customHeight="1">
      <c r="A2000" s="1" t="s">
        <v>2523</v>
      </c>
      <c r="B2000" s="1">
        <v>6.9</v>
      </c>
    </row>
    <row r="2001" ht="14.25" customHeight="1">
      <c r="A2001" s="1" t="s">
        <v>8489</v>
      </c>
      <c r="B2001" s="1">
        <v>7.1</v>
      </c>
    </row>
    <row r="2002" ht="14.25" customHeight="1">
      <c r="A2002" s="1" t="s">
        <v>2246</v>
      </c>
      <c r="B2002" s="1">
        <v>5.8</v>
      </c>
    </row>
    <row r="2003" ht="14.25" customHeight="1">
      <c r="A2003" s="1" t="s">
        <v>5671</v>
      </c>
      <c r="B2003" s="1">
        <v>7.0</v>
      </c>
    </row>
    <row r="2004" ht="14.25" customHeight="1">
      <c r="A2004" s="1" t="s">
        <v>3680</v>
      </c>
      <c r="B2004" s="1">
        <v>5.4</v>
      </c>
    </row>
    <row r="2005" ht="14.25" customHeight="1">
      <c r="A2005" s="1" t="s">
        <v>7671</v>
      </c>
      <c r="B2005" s="1">
        <v>7.3</v>
      </c>
    </row>
    <row r="2006" ht="14.25" customHeight="1">
      <c r="A2006" s="1" t="s">
        <v>2342</v>
      </c>
      <c r="B2006" s="1">
        <v>7.1</v>
      </c>
    </row>
    <row r="2007" ht="14.25" customHeight="1">
      <c r="A2007" s="1" t="s">
        <v>5796</v>
      </c>
      <c r="B2007" s="1">
        <v>5.8</v>
      </c>
    </row>
    <row r="2008" ht="14.25" customHeight="1">
      <c r="A2008" s="1" t="s">
        <v>9860</v>
      </c>
      <c r="B2008" s="1">
        <v>8.1</v>
      </c>
    </row>
    <row r="2009" ht="14.25" customHeight="1">
      <c r="A2009" s="1" t="s">
        <v>7955</v>
      </c>
      <c r="B2009" s="1">
        <v>5.7</v>
      </c>
    </row>
    <row r="2010" ht="14.25" customHeight="1">
      <c r="A2010" s="1" t="s">
        <v>8809</v>
      </c>
      <c r="B2010" s="1">
        <v>4.4</v>
      </c>
    </row>
    <row r="2011" ht="14.25" customHeight="1">
      <c r="A2011" s="1" t="s">
        <v>247</v>
      </c>
      <c r="B2011" s="1">
        <v>7.9</v>
      </c>
    </row>
    <row r="2012" ht="14.25" customHeight="1">
      <c r="A2012" s="1" t="s">
        <v>9876</v>
      </c>
      <c r="B2012" s="1">
        <v>7.6</v>
      </c>
    </row>
    <row r="2013" ht="14.25" customHeight="1">
      <c r="A2013" s="1" t="s">
        <v>8809</v>
      </c>
      <c r="B2013" s="1">
        <v>4.8</v>
      </c>
    </row>
    <row r="2014" ht="14.25" customHeight="1">
      <c r="A2014" s="1" t="s">
        <v>9885</v>
      </c>
      <c r="B2014" s="1">
        <v>2.7</v>
      </c>
    </row>
    <row r="2015" ht="14.25" customHeight="1">
      <c r="A2015" s="1" t="s">
        <v>9889</v>
      </c>
      <c r="B2015" s="1">
        <v>5.8</v>
      </c>
    </row>
    <row r="2016" ht="14.25" customHeight="1">
      <c r="A2016" s="1" t="s">
        <v>9893</v>
      </c>
      <c r="B2016" s="1">
        <v>7.5</v>
      </c>
    </row>
    <row r="2017" ht="14.25" customHeight="1">
      <c r="A2017" s="1" t="s">
        <v>9897</v>
      </c>
      <c r="B2017" s="1">
        <v>5.4</v>
      </c>
    </row>
    <row r="2018" ht="14.25" customHeight="1">
      <c r="A2018" s="1" t="s">
        <v>6334</v>
      </c>
      <c r="B2018" s="1">
        <v>4.1</v>
      </c>
    </row>
    <row r="2019" ht="14.25" customHeight="1">
      <c r="A2019" s="1" t="s">
        <v>9910</v>
      </c>
      <c r="B2019" s="1">
        <v>5.9</v>
      </c>
    </row>
    <row r="2020" ht="14.25" customHeight="1">
      <c r="A2020" s="1" t="s">
        <v>9915</v>
      </c>
      <c r="B2020" s="1">
        <v>6.3</v>
      </c>
    </row>
    <row r="2021" ht="14.25" customHeight="1">
      <c r="A2021" s="1" t="s">
        <v>7352</v>
      </c>
      <c r="B2021" s="1">
        <v>6.8</v>
      </c>
    </row>
    <row r="2022" ht="14.25" customHeight="1">
      <c r="A2022" s="1" t="s">
        <v>7844</v>
      </c>
      <c r="B2022" s="1">
        <v>2.3</v>
      </c>
    </row>
    <row r="2023" ht="14.25" customHeight="1">
      <c r="A2023" s="1" t="s">
        <v>2192</v>
      </c>
      <c r="B2023" s="1">
        <v>6.9</v>
      </c>
    </row>
    <row r="2024" ht="14.25" customHeight="1">
      <c r="A2024" s="1" t="s">
        <v>417</v>
      </c>
      <c r="B2024" s="1">
        <v>8.1</v>
      </c>
    </row>
    <row r="2025" ht="14.25" customHeight="1">
      <c r="A2025" s="1" t="s">
        <v>9311</v>
      </c>
      <c r="B2025" s="1">
        <v>6.1</v>
      </c>
    </row>
    <row r="2026" ht="14.25" customHeight="1">
      <c r="A2026" s="1" t="s">
        <v>9938</v>
      </c>
      <c r="B2026" s="1">
        <v>5.0</v>
      </c>
    </row>
    <row r="2027" ht="14.25" customHeight="1">
      <c r="A2027" s="1" t="s">
        <v>6853</v>
      </c>
      <c r="B2027" s="1">
        <v>5.5</v>
      </c>
    </row>
    <row r="2028" ht="14.25" customHeight="1">
      <c r="A2028" s="1" t="s">
        <v>4827</v>
      </c>
      <c r="B2028" s="1">
        <v>6.2</v>
      </c>
    </row>
    <row r="2029" ht="14.25" customHeight="1">
      <c r="A2029" s="1" t="s">
        <v>2962</v>
      </c>
      <c r="B2029" s="1">
        <v>6.2</v>
      </c>
    </row>
    <row r="2030" ht="14.25" customHeight="1">
      <c r="A2030" s="1" t="s">
        <v>9955</v>
      </c>
      <c r="B2030" s="1">
        <v>6.3</v>
      </c>
    </row>
    <row r="2031" ht="14.25" customHeight="1">
      <c r="A2031" s="1" t="s">
        <v>9962</v>
      </c>
      <c r="B2031" s="1">
        <v>6.7</v>
      </c>
    </row>
    <row r="2032" ht="14.25" customHeight="1">
      <c r="A2032" s="1" t="s">
        <v>7844</v>
      </c>
      <c r="B2032" s="1">
        <v>3.5</v>
      </c>
    </row>
    <row r="2033" ht="14.25" customHeight="1">
      <c r="A2033" s="1" t="s">
        <v>1088</v>
      </c>
      <c r="B2033" s="1">
        <v>7.5</v>
      </c>
    </row>
    <row r="2034" ht="14.25" customHeight="1">
      <c r="A2034" s="1" t="s">
        <v>772</v>
      </c>
      <c r="B2034" s="1">
        <v>6.6</v>
      </c>
    </row>
    <row r="2035" ht="14.25" customHeight="1">
      <c r="A2035" s="1" t="s">
        <v>9979</v>
      </c>
      <c r="B2035" s="1">
        <v>7.5</v>
      </c>
    </row>
    <row r="2036" ht="14.25" customHeight="1">
      <c r="A2036" s="1" t="s">
        <v>9702</v>
      </c>
      <c r="B2036" s="1">
        <v>7.2</v>
      </c>
    </row>
    <row r="2037" ht="14.25" customHeight="1">
      <c r="A2037" s="1" t="s">
        <v>7412</v>
      </c>
      <c r="B2037" s="1">
        <v>4.8</v>
      </c>
    </row>
    <row r="2038" ht="14.25" customHeight="1">
      <c r="A2038" s="1" t="s">
        <v>2362</v>
      </c>
      <c r="B2038" s="1">
        <v>6.6</v>
      </c>
    </row>
    <row r="2039" ht="14.25" customHeight="1">
      <c r="A2039" s="1" t="s">
        <v>8417</v>
      </c>
      <c r="B2039" s="1">
        <v>3.5</v>
      </c>
    </row>
    <row r="2040" ht="14.25" customHeight="1">
      <c r="A2040" s="1" t="s">
        <v>5676</v>
      </c>
      <c r="B2040" s="1">
        <v>7.6</v>
      </c>
    </row>
    <row r="2041" ht="14.25" customHeight="1">
      <c r="A2041" s="1" t="s">
        <v>513</v>
      </c>
      <c r="B2041" s="1">
        <v>6.3</v>
      </c>
    </row>
    <row r="2042" ht="14.25" customHeight="1">
      <c r="A2042" s="1" t="s">
        <v>10012</v>
      </c>
      <c r="B2042" s="1">
        <v>5.5</v>
      </c>
    </row>
    <row r="2043" ht="14.25" customHeight="1">
      <c r="A2043" s="1" t="s">
        <v>10018</v>
      </c>
      <c r="B2043" s="1">
        <v>6.3</v>
      </c>
    </row>
    <row r="2044" ht="14.25" customHeight="1">
      <c r="A2044" s="1" t="s">
        <v>10022</v>
      </c>
      <c r="B2044" s="1">
        <v>6.5</v>
      </c>
    </row>
    <row r="2045" ht="14.25" customHeight="1">
      <c r="A2045" s="1" t="s">
        <v>4291</v>
      </c>
      <c r="B2045" s="1">
        <v>6.9</v>
      </c>
    </row>
    <row r="2046" ht="14.25" customHeight="1">
      <c r="A2046" s="1" t="s">
        <v>5299</v>
      </c>
      <c r="B2046" s="1">
        <v>7.6</v>
      </c>
    </row>
    <row r="2047" ht="14.25" customHeight="1">
      <c r="A2047" s="1" t="s">
        <v>10035</v>
      </c>
      <c r="B2047" s="1">
        <v>3.9</v>
      </c>
    </row>
    <row r="2048" ht="14.25" customHeight="1">
      <c r="A2048" s="1" t="s">
        <v>9073</v>
      </c>
      <c r="B2048" s="1">
        <v>6.1</v>
      </c>
    </row>
    <row r="2049" ht="14.25" customHeight="1">
      <c r="A2049" s="1" t="s">
        <v>1424</v>
      </c>
      <c r="B2049" s="1">
        <v>7.3</v>
      </c>
    </row>
    <row r="2050" ht="14.25" customHeight="1">
      <c r="A2050" s="1" t="s">
        <v>1485</v>
      </c>
      <c r="B2050" s="1">
        <v>8.3</v>
      </c>
    </row>
    <row r="2051" ht="14.25" customHeight="1">
      <c r="A2051" s="1" t="s">
        <v>4849</v>
      </c>
      <c r="B2051" s="1">
        <v>5.8</v>
      </c>
    </row>
    <row r="2052" ht="14.25" customHeight="1">
      <c r="A2052" s="1" t="s">
        <v>492</v>
      </c>
      <c r="B2052" s="1">
        <v>6.8</v>
      </c>
    </row>
    <row r="2053" ht="14.25" customHeight="1">
      <c r="A2053" s="1" t="s">
        <v>2354</v>
      </c>
      <c r="B2053" s="1">
        <v>7.0</v>
      </c>
    </row>
    <row r="2054" ht="14.25" customHeight="1">
      <c r="A2054" s="1" t="s">
        <v>10063</v>
      </c>
      <c r="B2054" s="1">
        <v>5.9</v>
      </c>
    </row>
    <row r="2055" ht="14.25" customHeight="1">
      <c r="A2055" s="1" t="s">
        <v>10069</v>
      </c>
      <c r="B2055" s="1">
        <v>6.5</v>
      </c>
    </row>
    <row r="2056" ht="14.25" customHeight="1">
      <c r="A2056" s="1" t="s">
        <v>10076</v>
      </c>
      <c r="B2056" s="1">
        <v>6.4</v>
      </c>
    </row>
    <row r="2057" ht="14.25" customHeight="1">
      <c r="A2057" s="1" t="s">
        <v>10081</v>
      </c>
      <c r="B2057" s="1">
        <v>5.8</v>
      </c>
    </row>
    <row r="2058" ht="14.25" customHeight="1">
      <c r="A2058" s="1" t="s">
        <v>10087</v>
      </c>
      <c r="B2058" s="1">
        <v>5.1</v>
      </c>
    </row>
    <row r="2059" ht="14.25" customHeight="1">
      <c r="A2059" s="1" t="s">
        <v>5567</v>
      </c>
      <c r="B2059" s="1">
        <v>6.8</v>
      </c>
    </row>
    <row r="2060" ht="14.25" customHeight="1">
      <c r="A2060" s="1" t="s">
        <v>10095</v>
      </c>
      <c r="B2060" s="1">
        <v>5.3</v>
      </c>
    </row>
    <row r="2061" ht="14.25" customHeight="1">
      <c r="A2061" s="1" t="s">
        <v>1985</v>
      </c>
      <c r="B2061" s="1">
        <v>5.3</v>
      </c>
    </row>
    <row r="2062" ht="14.25" customHeight="1">
      <c r="A2062" s="1" t="s">
        <v>4632</v>
      </c>
      <c r="B2062" s="1">
        <v>4.9</v>
      </c>
    </row>
    <row r="2063" ht="14.25" customHeight="1">
      <c r="A2063" s="1" t="s">
        <v>5676</v>
      </c>
      <c r="B2063" s="1">
        <v>6.8</v>
      </c>
    </row>
    <row r="2064" ht="14.25" customHeight="1">
      <c r="A2064" s="1" t="s">
        <v>5073</v>
      </c>
      <c r="B2064" s="1">
        <v>6.1</v>
      </c>
    </row>
    <row r="2065" ht="14.25" customHeight="1">
      <c r="A2065" s="1" t="s">
        <v>10115</v>
      </c>
      <c r="B2065" s="1">
        <v>8.5</v>
      </c>
    </row>
    <row r="2066" ht="14.25" customHeight="1">
      <c r="A2066" s="1" t="s">
        <v>4937</v>
      </c>
      <c r="B2066" s="1">
        <v>5.9</v>
      </c>
    </row>
    <row r="2067" ht="14.25" customHeight="1">
      <c r="A2067" s="1" t="s">
        <v>10126</v>
      </c>
      <c r="B2067" s="1">
        <v>6.3</v>
      </c>
    </row>
    <row r="2068" ht="14.25" customHeight="1">
      <c r="A2068" s="1" t="s">
        <v>3138</v>
      </c>
      <c r="B2068" s="1">
        <v>5.9</v>
      </c>
    </row>
    <row r="2069" ht="14.25" customHeight="1">
      <c r="A2069" s="1" t="s">
        <v>10133</v>
      </c>
      <c r="B2069" s="1">
        <v>5.4</v>
      </c>
    </row>
    <row r="2070" ht="14.25" customHeight="1">
      <c r="A2070" s="1" t="s">
        <v>1306</v>
      </c>
      <c r="B2070" s="1">
        <v>6.9</v>
      </c>
    </row>
    <row r="2071" ht="14.25" customHeight="1">
      <c r="A2071" s="1" t="s">
        <v>10142</v>
      </c>
      <c r="B2071" s="1">
        <v>7.5</v>
      </c>
    </row>
    <row r="2072" ht="14.25" customHeight="1">
      <c r="A2072" s="1" t="s">
        <v>5555</v>
      </c>
      <c r="B2072" s="1">
        <v>8.2</v>
      </c>
    </row>
    <row r="2073" ht="14.25" customHeight="1">
      <c r="A2073" s="1" t="s">
        <v>2436</v>
      </c>
      <c r="B2073" s="1">
        <v>5.9</v>
      </c>
    </row>
    <row r="2074" ht="14.25" customHeight="1">
      <c r="A2074" s="1" t="s">
        <v>10153</v>
      </c>
      <c r="B2074" s="1">
        <v>5.0</v>
      </c>
    </row>
    <row r="2075" ht="14.25" customHeight="1">
      <c r="A2075" s="1" t="s">
        <v>4632</v>
      </c>
      <c r="B2075" s="1">
        <v>7.3</v>
      </c>
    </row>
    <row r="2076" ht="14.25" customHeight="1">
      <c r="A2076" s="1" t="s">
        <v>10162</v>
      </c>
      <c r="B2076" s="1">
        <v>6.4</v>
      </c>
    </row>
    <row r="2077" ht="14.25" customHeight="1">
      <c r="A2077" s="1" t="s">
        <v>8511</v>
      </c>
      <c r="B2077" s="1">
        <v>6.6</v>
      </c>
    </row>
    <row r="2078" ht="14.25" customHeight="1">
      <c r="A2078" s="1" t="s">
        <v>10171</v>
      </c>
      <c r="B2078" s="1">
        <v>7.8</v>
      </c>
    </row>
    <row r="2079" ht="14.25" customHeight="1">
      <c r="A2079" s="1" t="s">
        <v>10179</v>
      </c>
      <c r="B2079" s="1">
        <v>4.0</v>
      </c>
    </row>
    <row r="2080" ht="14.25" customHeight="1">
      <c r="A2080" s="1" t="s">
        <v>117</v>
      </c>
      <c r="B2080" s="1">
        <v>7.6</v>
      </c>
    </row>
    <row r="2081" ht="14.25" customHeight="1">
      <c r="A2081" s="1" t="s">
        <v>1088</v>
      </c>
      <c r="B2081" s="1">
        <v>7.7</v>
      </c>
    </row>
    <row r="2082" ht="14.25" customHeight="1">
      <c r="A2082" s="1" t="s">
        <v>10193</v>
      </c>
      <c r="B2082" s="1">
        <v>5.8</v>
      </c>
    </row>
    <row r="2083" ht="14.25" customHeight="1">
      <c r="A2083" s="1" t="s">
        <v>5773</v>
      </c>
      <c r="B2083" s="1">
        <v>5.2</v>
      </c>
    </row>
    <row r="2084" ht="14.25" customHeight="1">
      <c r="A2084" s="1" t="s">
        <v>10199</v>
      </c>
      <c r="B2084" s="1">
        <v>5.6</v>
      </c>
    </row>
    <row r="2085" ht="14.25" customHeight="1">
      <c r="A2085" s="1" t="s">
        <v>10204</v>
      </c>
      <c r="B2085" s="1">
        <v>5.3</v>
      </c>
    </row>
    <row r="2086" ht="14.25" customHeight="1">
      <c r="A2086" s="1" t="s">
        <v>10210</v>
      </c>
      <c r="B2086" s="1">
        <v>6.6</v>
      </c>
    </row>
    <row r="2087" ht="14.25" customHeight="1">
      <c r="A2087" s="1" t="s">
        <v>7844</v>
      </c>
      <c r="B2087" s="1">
        <v>1.9</v>
      </c>
    </row>
    <row r="2088" ht="14.25" customHeight="1">
      <c r="A2088" s="1" t="s">
        <v>6082</v>
      </c>
      <c r="B2088" s="1">
        <v>5.7</v>
      </c>
    </row>
    <row r="2089" ht="14.25" customHeight="1">
      <c r="A2089" s="1" t="s">
        <v>2362</v>
      </c>
      <c r="B2089" s="1">
        <v>6.6</v>
      </c>
    </row>
    <row r="2090" ht="14.25" customHeight="1">
      <c r="A2090" s="1" t="s">
        <v>10226</v>
      </c>
      <c r="B2090" s="1">
        <v>6.0</v>
      </c>
    </row>
    <row r="2091" ht="14.25" customHeight="1">
      <c r="A2091" s="1" t="s">
        <v>10231</v>
      </c>
      <c r="B2091" s="1">
        <v>6.1</v>
      </c>
    </row>
    <row r="2092" ht="14.25" customHeight="1">
      <c r="A2092" s="1" t="s">
        <v>2962</v>
      </c>
      <c r="B2092" s="1">
        <v>4.8</v>
      </c>
    </row>
    <row r="2093" ht="14.25" customHeight="1">
      <c r="A2093" s="1" t="s">
        <v>4285</v>
      </c>
      <c r="B2093" s="1">
        <v>6.2</v>
      </c>
    </row>
    <row r="2094" ht="14.25" customHeight="1">
      <c r="A2094" s="1" t="s">
        <v>3797</v>
      </c>
      <c r="B2094" s="1">
        <v>7.5</v>
      </c>
    </row>
    <row r="2095" ht="14.25" customHeight="1">
      <c r="A2095" s="1" t="s">
        <v>10246</v>
      </c>
      <c r="B2095" s="1">
        <v>6.3</v>
      </c>
    </row>
    <row r="2096" ht="14.25" customHeight="1">
      <c r="A2096" s="1" t="s">
        <v>1153</v>
      </c>
      <c r="B2096" s="1">
        <v>7.1</v>
      </c>
    </row>
    <row r="2097" ht="14.25" customHeight="1">
      <c r="A2097" s="1" t="s">
        <v>38</v>
      </c>
      <c r="B2097" s="1">
        <v>6.6</v>
      </c>
    </row>
    <row r="2098" ht="14.25" customHeight="1">
      <c r="A2098" s="1" t="s">
        <v>4130</v>
      </c>
      <c r="B2098" s="1">
        <v>6.1</v>
      </c>
    </row>
    <row r="2099" ht="14.25" customHeight="1">
      <c r="A2099" s="1" t="s">
        <v>4175</v>
      </c>
      <c r="B2099" s="1">
        <v>6.7</v>
      </c>
    </row>
    <row r="2100" ht="14.25" customHeight="1">
      <c r="A2100" s="1" t="s">
        <v>1985</v>
      </c>
      <c r="B2100" s="1">
        <v>5.6</v>
      </c>
    </row>
    <row r="2101" ht="14.25" customHeight="1">
      <c r="A2101" s="1" t="s">
        <v>555</v>
      </c>
      <c r="B2101" s="1">
        <v>7.2</v>
      </c>
    </row>
    <row r="2102" ht="14.25" customHeight="1">
      <c r="A2102" s="1" t="s">
        <v>10278</v>
      </c>
      <c r="B2102" s="1">
        <v>4.3</v>
      </c>
    </row>
    <row r="2103" ht="14.25" customHeight="1">
      <c r="A2103" s="1" t="s">
        <v>1485</v>
      </c>
      <c r="B2103" s="1">
        <v>6.4</v>
      </c>
    </row>
    <row r="2104" ht="14.25" customHeight="1">
      <c r="A2104" s="1" t="s">
        <v>5299</v>
      </c>
      <c r="B2104" s="1">
        <v>7.1</v>
      </c>
    </row>
    <row r="2105" ht="14.25" customHeight="1">
      <c r="A2105" s="1" t="s">
        <v>9185</v>
      </c>
      <c r="B2105" s="1">
        <v>6.3</v>
      </c>
    </row>
    <row r="2106" ht="14.25" customHeight="1">
      <c r="A2106" s="1" t="s">
        <v>3797</v>
      </c>
      <c r="B2106" s="1">
        <v>7.4</v>
      </c>
    </row>
    <row r="2107" ht="14.25" customHeight="1">
      <c r="A2107" s="1" t="s">
        <v>10301</v>
      </c>
      <c r="B2107" s="1">
        <v>6.1</v>
      </c>
    </row>
    <row r="2108" ht="14.25" customHeight="1">
      <c r="A2108" s="1" t="s">
        <v>8992</v>
      </c>
      <c r="B2108" s="1">
        <v>6.6</v>
      </c>
    </row>
    <row r="2109" ht="14.25" customHeight="1">
      <c r="A2109" s="1" t="s">
        <v>4775</v>
      </c>
      <c r="B2109" s="1">
        <v>6.0</v>
      </c>
    </row>
    <row r="2110" ht="14.25" customHeight="1">
      <c r="A2110" s="1" t="s">
        <v>3797</v>
      </c>
      <c r="B2110" s="1">
        <v>6.8</v>
      </c>
    </row>
    <row r="2111" ht="14.25" customHeight="1">
      <c r="A2111" s="1" t="s">
        <v>1872</v>
      </c>
      <c r="B2111" s="1">
        <v>7.4</v>
      </c>
    </row>
    <row r="2112" ht="14.25" customHeight="1">
      <c r="A2112" s="1" t="s">
        <v>324</v>
      </c>
      <c r="B2112" s="1">
        <v>6.8</v>
      </c>
    </row>
    <row r="2113" ht="14.25" customHeight="1">
      <c r="A2113" s="1" t="s">
        <v>6672</v>
      </c>
      <c r="B2113" s="1">
        <v>7.2</v>
      </c>
    </row>
    <row r="2114" ht="14.25" customHeight="1">
      <c r="A2114" s="1" t="s">
        <v>10327</v>
      </c>
      <c r="B2114" s="1">
        <v>1.9</v>
      </c>
    </row>
    <row r="2115" ht="14.25" customHeight="1">
      <c r="A2115" s="1" t="s">
        <v>2538</v>
      </c>
      <c r="B2115" s="1">
        <v>5.5</v>
      </c>
    </row>
    <row r="2116" ht="14.25" customHeight="1">
      <c r="A2116" s="1" t="s">
        <v>2538</v>
      </c>
      <c r="B2116" s="1">
        <v>4.5</v>
      </c>
    </row>
    <row r="2117" ht="14.25" customHeight="1">
      <c r="A2117" s="1" t="s">
        <v>3466</v>
      </c>
      <c r="B2117" s="1">
        <v>6.3</v>
      </c>
    </row>
    <row r="2118" ht="14.25" customHeight="1">
      <c r="A2118" s="1" t="s">
        <v>6646</v>
      </c>
      <c r="B2118" s="1">
        <v>6.7</v>
      </c>
    </row>
    <row r="2119" ht="14.25" customHeight="1">
      <c r="A2119" s="1" t="s">
        <v>10353</v>
      </c>
      <c r="B2119" s="1">
        <v>2.8</v>
      </c>
    </row>
    <row r="2120" ht="14.25" customHeight="1">
      <c r="A2120" s="1" t="s">
        <v>10357</v>
      </c>
      <c r="B2120" s="1">
        <v>5.0</v>
      </c>
    </row>
    <row r="2121" ht="14.25" customHeight="1">
      <c r="A2121" s="1" t="s">
        <v>5342</v>
      </c>
      <c r="B2121" s="1">
        <v>4.3</v>
      </c>
    </row>
    <row r="2122" ht="14.25" customHeight="1">
      <c r="A2122" s="1" t="s">
        <v>4632</v>
      </c>
      <c r="B2122" s="1">
        <v>5.6</v>
      </c>
    </row>
    <row r="2123" ht="14.25" customHeight="1">
      <c r="A2123" s="1" t="s">
        <v>10374</v>
      </c>
      <c r="B2123" s="1">
        <v>6.2</v>
      </c>
    </row>
    <row r="2124" ht="14.25" customHeight="1">
      <c r="A2124" s="1" t="s">
        <v>8881</v>
      </c>
      <c r="B2124" s="1">
        <v>5.3</v>
      </c>
    </row>
    <row r="2125" ht="14.25" customHeight="1">
      <c r="A2125" s="1" t="s">
        <v>10383</v>
      </c>
      <c r="B2125" s="1">
        <v>7.4</v>
      </c>
    </row>
    <row r="2126" ht="14.25" customHeight="1">
      <c r="A2126" s="1" t="s">
        <v>5104</v>
      </c>
      <c r="B2126" s="1">
        <v>6.5</v>
      </c>
    </row>
    <row r="2127" ht="14.25" customHeight="1">
      <c r="A2127" s="1" t="s">
        <v>8489</v>
      </c>
      <c r="B2127" s="1">
        <v>7.1</v>
      </c>
    </row>
    <row r="2128" ht="14.25" customHeight="1">
      <c r="A2128" s="1" t="s">
        <v>704</v>
      </c>
      <c r="B2128" s="1">
        <v>7.2</v>
      </c>
    </row>
    <row r="2129" ht="14.25" customHeight="1">
      <c r="A2129" s="1" t="s">
        <v>4182</v>
      </c>
      <c r="B2129" s="1">
        <v>2.3</v>
      </c>
    </row>
    <row r="2130" ht="14.25" customHeight="1">
      <c r="A2130" s="1" t="s">
        <v>3234</v>
      </c>
      <c r="B2130" s="1">
        <v>6.4</v>
      </c>
    </row>
    <row r="2131" ht="14.25" customHeight="1">
      <c r="A2131" s="1" t="s">
        <v>10410</v>
      </c>
      <c r="B2131" s="1">
        <v>6.1</v>
      </c>
    </row>
    <row r="2132" ht="14.25" customHeight="1">
      <c r="A2132" s="1" t="s">
        <v>10414</v>
      </c>
      <c r="B2132" s="1">
        <v>7.0</v>
      </c>
    </row>
    <row r="2133" ht="14.25" customHeight="1">
      <c r="A2133" s="1" t="s">
        <v>10418</v>
      </c>
      <c r="B2133" s="1">
        <v>7.0</v>
      </c>
    </row>
    <row r="2134" ht="14.25" customHeight="1">
      <c r="A2134" s="1" t="s">
        <v>10425</v>
      </c>
      <c r="B2134" s="1">
        <v>7.0</v>
      </c>
    </row>
    <row r="2135" ht="14.25" customHeight="1">
      <c r="A2135" s="1" t="s">
        <v>10430</v>
      </c>
      <c r="B2135" s="1">
        <v>4.9</v>
      </c>
    </row>
    <row r="2136" ht="14.25" customHeight="1">
      <c r="A2136" s="1" t="s">
        <v>7685</v>
      </c>
      <c r="B2136" s="1">
        <v>6.9</v>
      </c>
    </row>
    <row r="2137" ht="14.25" customHeight="1">
      <c r="A2137" s="1" t="s">
        <v>10439</v>
      </c>
      <c r="B2137" s="1">
        <v>7.5</v>
      </c>
    </row>
    <row r="2138" ht="14.25" customHeight="1">
      <c r="A2138" s="1" t="s">
        <v>7274</v>
      </c>
      <c r="B2138" s="1">
        <v>8.4</v>
      </c>
    </row>
    <row r="2139" ht="14.25" customHeight="1">
      <c r="A2139" s="1" t="s">
        <v>10447</v>
      </c>
      <c r="B2139" s="1">
        <v>6.9</v>
      </c>
    </row>
    <row r="2140" ht="14.25" customHeight="1">
      <c r="A2140" s="1" t="s">
        <v>10452</v>
      </c>
      <c r="B2140" s="1">
        <v>4.5</v>
      </c>
    </row>
    <row r="2141" ht="14.25" customHeight="1">
      <c r="A2141" s="1" t="s">
        <v>9185</v>
      </c>
      <c r="B2141" s="1">
        <v>7.4</v>
      </c>
    </row>
    <row r="2142" ht="14.25" customHeight="1">
      <c r="A2142" s="1" t="s">
        <v>10463</v>
      </c>
      <c r="B2142" s="1">
        <v>7.0</v>
      </c>
    </row>
    <row r="2143" ht="14.25" customHeight="1">
      <c r="A2143" s="1" t="s">
        <v>9165</v>
      </c>
      <c r="B2143" s="1">
        <v>2.8</v>
      </c>
    </row>
    <row r="2144" ht="14.25" customHeight="1">
      <c r="A2144" s="1" t="s">
        <v>7965</v>
      </c>
      <c r="B2144" s="1">
        <v>7.5</v>
      </c>
    </row>
    <row r="2145" ht="14.25" customHeight="1">
      <c r="A2145" s="1" t="s">
        <v>1446</v>
      </c>
      <c r="B2145" s="1">
        <v>7.1</v>
      </c>
    </row>
    <row r="2146" ht="14.25" customHeight="1">
      <c r="A2146" s="1" t="s">
        <v>8337</v>
      </c>
      <c r="B2146" s="1">
        <v>6.4</v>
      </c>
    </row>
    <row r="2147" ht="14.25" customHeight="1">
      <c r="A2147" s="1" t="s">
        <v>550</v>
      </c>
      <c r="B2147" s="1">
        <v>5.3</v>
      </c>
    </row>
    <row r="2148" ht="14.25" customHeight="1">
      <c r="A2148" s="1" t="s">
        <v>10488</v>
      </c>
      <c r="B2148" s="1">
        <v>6.9</v>
      </c>
    </row>
    <row r="2149" ht="14.25" customHeight="1">
      <c r="A2149" s="1" t="s">
        <v>10494</v>
      </c>
      <c r="B2149" s="1">
        <v>6.2</v>
      </c>
    </row>
    <row r="2150" ht="14.25" customHeight="1">
      <c r="A2150" s="1" t="s">
        <v>513</v>
      </c>
      <c r="B2150" s="1">
        <v>6.4</v>
      </c>
    </row>
    <row r="2151" ht="14.25" customHeight="1">
      <c r="A2151" s="1" t="s">
        <v>6900</v>
      </c>
      <c r="B2151" s="1">
        <v>5.1</v>
      </c>
    </row>
    <row r="2152" ht="14.25" customHeight="1">
      <c r="A2152" s="1" t="s">
        <v>10508</v>
      </c>
      <c r="B2152" s="1">
        <v>5.5</v>
      </c>
    </row>
    <row r="2153" ht="14.25" customHeight="1">
      <c r="A2153" s="1" t="s">
        <v>5519</v>
      </c>
      <c r="B2153" s="1">
        <v>5.4</v>
      </c>
    </row>
    <row r="2154" ht="14.25" customHeight="1">
      <c r="A2154" s="1" t="s">
        <v>9667</v>
      </c>
      <c r="B2154" s="1">
        <v>7.5</v>
      </c>
    </row>
    <row r="2155" ht="14.25" customHeight="1">
      <c r="A2155" s="1" t="s">
        <v>9612</v>
      </c>
      <c r="B2155" s="1">
        <v>7.4</v>
      </c>
    </row>
    <row r="2156" ht="14.25" customHeight="1">
      <c r="A2156" s="1" t="s">
        <v>2716</v>
      </c>
      <c r="B2156" s="1">
        <v>8.0</v>
      </c>
    </row>
    <row r="2157" ht="14.25" customHeight="1">
      <c r="A2157" s="1" t="s">
        <v>6179</v>
      </c>
      <c r="B2157" s="1">
        <v>5.7</v>
      </c>
    </row>
    <row r="2158" ht="14.25" customHeight="1">
      <c r="A2158" s="1" t="s">
        <v>4069</v>
      </c>
      <c r="B2158" s="1">
        <v>6.8</v>
      </c>
    </row>
    <row r="2159" ht="14.25" customHeight="1">
      <c r="A2159" s="1" t="s">
        <v>10537</v>
      </c>
      <c r="B2159" s="1">
        <v>5.9</v>
      </c>
    </row>
    <row r="2160" ht="14.25" customHeight="1">
      <c r="A2160" s="1" t="s">
        <v>5922</v>
      </c>
      <c r="B2160" s="1">
        <v>7.2</v>
      </c>
    </row>
    <row r="2161" ht="14.25" customHeight="1">
      <c r="A2161" s="1" t="s">
        <v>10012</v>
      </c>
      <c r="B2161" s="1">
        <v>5.5</v>
      </c>
    </row>
    <row r="2162" ht="14.25" customHeight="1">
      <c r="A2162" s="1" t="s">
        <v>420</v>
      </c>
      <c r="B2162" s="1">
        <v>8.5</v>
      </c>
    </row>
    <row r="2163" ht="14.25" customHeight="1">
      <c r="A2163" s="1" t="s">
        <v>6393</v>
      </c>
      <c r="B2163" s="1">
        <v>5.6</v>
      </c>
    </row>
    <row r="2164" ht="14.25" customHeight="1">
      <c r="A2164" s="1" t="s">
        <v>8809</v>
      </c>
      <c r="B2164" s="1">
        <v>4.1</v>
      </c>
    </row>
    <row r="2165" ht="14.25" customHeight="1">
      <c r="A2165" s="1" t="s">
        <v>3712</v>
      </c>
      <c r="B2165" s="1">
        <v>6.1</v>
      </c>
    </row>
    <row r="2166" ht="14.25" customHeight="1">
      <c r="A2166" s="1" t="s">
        <v>772</v>
      </c>
      <c r="B2166" s="1">
        <v>5.4</v>
      </c>
    </row>
    <row r="2167" ht="14.25" customHeight="1">
      <c r="A2167" s="1" t="s">
        <v>925</v>
      </c>
      <c r="B2167" s="1">
        <v>7.1</v>
      </c>
    </row>
    <row r="2168" ht="14.25" customHeight="1">
      <c r="A2168" s="1" t="s">
        <v>10577</v>
      </c>
      <c r="B2168" s="1">
        <v>3.6</v>
      </c>
    </row>
    <row r="2169" ht="14.25" customHeight="1">
      <c r="A2169" s="1" t="s">
        <v>1039</v>
      </c>
      <c r="B2169" s="1">
        <v>6.5</v>
      </c>
    </row>
    <row r="2170" ht="14.25" customHeight="1">
      <c r="A2170" s="1" t="s">
        <v>7274</v>
      </c>
      <c r="B2170" s="1">
        <v>8.6</v>
      </c>
    </row>
    <row r="2171" ht="14.25" customHeight="1">
      <c r="A2171" s="1" t="s">
        <v>1424</v>
      </c>
      <c r="B2171" s="1">
        <v>7.0</v>
      </c>
    </row>
    <row r="2172" ht="14.25" customHeight="1">
      <c r="A2172" s="1" t="s">
        <v>10593</v>
      </c>
      <c r="B2172" s="1">
        <v>7.6</v>
      </c>
    </row>
    <row r="2173" ht="14.25" customHeight="1">
      <c r="A2173" s="1" t="s">
        <v>4270</v>
      </c>
      <c r="B2173" s="1">
        <v>6.5</v>
      </c>
    </row>
    <row r="2174" ht="14.25" customHeight="1">
      <c r="A2174" s="1" t="s">
        <v>10604</v>
      </c>
      <c r="B2174" s="1">
        <v>6.4</v>
      </c>
    </row>
    <row r="2175" ht="14.25" customHeight="1">
      <c r="A2175" s="1" t="s">
        <v>10610</v>
      </c>
      <c r="B2175" s="1">
        <v>6.3</v>
      </c>
    </row>
    <row r="2176" ht="14.25" customHeight="1">
      <c r="A2176" s="1" t="s">
        <v>10614</v>
      </c>
      <c r="B2176" s="1">
        <v>5.7</v>
      </c>
    </row>
    <row r="2177" ht="14.25" customHeight="1">
      <c r="A2177" s="1" t="s">
        <v>10622</v>
      </c>
      <c r="B2177" s="1">
        <v>6.3</v>
      </c>
    </row>
    <row r="2178" ht="14.25" customHeight="1">
      <c r="A2178" s="1" t="s">
        <v>10627</v>
      </c>
      <c r="B2178" s="1">
        <v>6.0</v>
      </c>
    </row>
    <row r="2179" ht="14.25" customHeight="1">
      <c r="A2179" s="1" t="s">
        <v>1717</v>
      </c>
      <c r="B2179" s="1">
        <v>7.7</v>
      </c>
    </row>
    <row r="2180" ht="14.25" customHeight="1">
      <c r="A2180" s="1" t="s">
        <v>10634</v>
      </c>
      <c r="B2180" s="1">
        <v>6.2</v>
      </c>
    </row>
    <row r="2181" ht="14.25" customHeight="1">
      <c r="A2181" s="1" t="s">
        <v>2661</v>
      </c>
      <c r="B2181" s="1">
        <v>7.7</v>
      </c>
    </row>
    <row r="2182" ht="14.25" customHeight="1">
      <c r="A2182" s="1" t="s">
        <v>10642</v>
      </c>
      <c r="B2182" s="1">
        <v>6.4</v>
      </c>
    </row>
    <row r="2183" ht="14.25" customHeight="1">
      <c r="A2183" s="1" t="s">
        <v>6911</v>
      </c>
      <c r="B2183" s="1">
        <v>6.4</v>
      </c>
    </row>
    <row r="2184" ht="14.25" customHeight="1">
      <c r="A2184" s="1" t="s">
        <v>1674</v>
      </c>
      <c r="B2184" s="1">
        <v>6.9</v>
      </c>
    </row>
    <row r="2185" ht="14.25" customHeight="1">
      <c r="A2185" s="1" t="s">
        <v>5289</v>
      </c>
      <c r="B2185" s="1">
        <v>7.3</v>
      </c>
    </row>
    <row r="2186" ht="14.25" customHeight="1">
      <c r="A2186" s="1" t="s">
        <v>3531</v>
      </c>
      <c r="B2186" s="1">
        <v>7.3</v>
      </c>
    </row>
    <row r="2187" ht="14.25" customHeight="1">
      <c r="A2187" s="1" t="s">
        <v>2942</v>
      </c>
      <c r="B2187" s="1">
        <v>6.2</v>
      </c>
    </row>
    <row r="2188" ht="14.25" customHeight="1">
      <c r="A2188" s="1" t="s">
        <v>992</v>
      </c>
      <c r="B2188" s="1">
        <v>6.6</v>
      </c>
    </row>
    <row r="2189" ht="14.25" customHeight="1">
      <c r="A2189" s="1" t="s">
        <v>2564</v>
      </c>
      <c r="B2189" s="1">
        <v>6.7</v>
      </c>
    </row>
    <row r="2190" ht="14.25" customHeight="1">
      <c r="A2190" s="1" t="s">
        <v>572</v>
      </c>
      <c r="B2190" s="1">
        <v>5.7</v>
      </c>
    </row>
    <row r="2191" ht="14.25" customHeight="1">
      <c r="A2191" s="1" t="s">
        <v>10679</v>
      </c>
      <c r="B2191" s="1">
        <v>3.1</v>
      </c>
    </row>
    <row r="2192" ht="14.25" customHeight="1">
      <c r="A2192" s="1" t="s">
        <v>10081</v>
      </c>
      <c r="B2192" s="1">
        <v>6.3</v>
      </c>
    </row>
    <row r="2193" ht="14.25" customHeight="1">
      <c r="A2193" s="1" t="s">
        <v>6853</v>
      </c>
      <c r="B2193" s="1">
        <v>5.7</v>
      </c>
    </row>
    <row r="2194" ht="14.25" customHeight="1">
      <c r="A2194" s="1" t="s">
        <v>10692</v>
      </c>
      <c r="B2194" s="1">
        <v>7.1</v>
      </c>
    </row>
    <row r="2195" ht="14.25" customHeight="1">
      <c r="A2195" s="1" t="s">
        <v>1883</v>
      </c>
      <c r="B2195" s="1">
        <v>7.0</v>
      </c>
    </row>
    <row r="2196" ht="14.25" customHeight="1">
      <c r="A2196" s="1" t="s">
        <v>6672</v>
      </c>
      <c r="B2196" s="1">
        <v>6.1</v>
      </c>
    </row>
    <row r="2197" ht="14.25" customHeight="1">
      <c r="A2197" s="1" t="s">
        <v>898</v>
      </c>
      <c r="B2197" s="1">
        <v>6.6</v>
      </c>
    </row>
    <row r="2198" ht="14.25" customHeight="1">
      <c r="A2198" s="1" t="s">
        <v>1255</v>
      </c>
      <c r="B2198" s="1">
        <v>7.8</v>
      </c>
    </row>
    <row r="2199" ht="14.25" customHeight="1">
      <c r="A2199" s="1" t="s">
        <v>4686</v>
      </c>
      <c r="B2199" s="1">
        <v>8.3</v>
      </c>
    </row>
    <row r="2200" ht="14.25" customHeight="1">
      <c r="A2200" s="1" t="s">
        <v>10716</v>
      </c>
      <c r="B2200" s="1">
        <v>3.9</v>
      </c>
    </row>
    <row r="2201" ht="14.25" customHeight="1">
      <c r="A2201" s="1" t="s">
        <v>1961</v>
      </c>
      <c r="B2201" s="1">
        <v>7.0</v>
      </c>
    </row>
    <row r="2202" ht="14.25" customHeight="1">
      <c r="A2202" s="1" t="s">
        <v>10724</v>
      </c>
      <c r="B2202" s="1">
        <v>6.7</v>
      </c>
    </row>
    <row r="2203" ht="14.25" customHeight="1">
      <c r="A2203" s="1" t="s">
        <v>10622</v>
      </c>
      <c r="B2203" s="1">
        <v>7.3</v>
      </c>
    </row>
    <row r="2204" ht="14.25" customHeight="1">
      <c r="A2204" s="1" t="s">
        <v>4578</v>
      </c>
      <c r="B2204" s="1">
        <v>6.3</v>
      </c>
    </row>
    <row r="2205" ht="14.25" customHeight="1">
      <c r="A2205" s="1" t="s">
        <v>1088</v>
      </c>
      <c r="B2205" s="1">
        <v>7.8</v>
      </c>
    </row>
    <row r="2206" ht="14.25" customHeight="1">
      <c r="A2206" s="1" t="s">
        <v>3797</v>
      </c>
      <c r="B2206" s="1">
        <v>7.3</v>
      </c>
    </row>
    <row r="2207" ht="14.25" customHeight="1">
      <c r="A2207" s="1" t="s">
        <v>1110</v>
      </c>
      <c r="B2207" s="1">
        <v>7.6</v>
      </c>
    </row>
    <row r="2208" ht="14.25" customHeight="1">
      <c r="A2208" s="1" t="s">
        <v>10749</v>
      </c>
      <c r="B2208" s="1">
        <v>5.3</v>
      </c>
    </row>
    <row r="2209" ht="14.25" customHeight="1">
      <c r="A2209" s="1" t="s">
        <v>978</v>
      </c>
      <c r="B2209" s="1">
        <v>7.9</v>
      </c>
    </row>
    <row r="2210" ht="14.25" customHeight="1">
      <c r="A2210" s="1" t="s">
        <v>10754</v>
      </c>
      <c r="B2210" s="1">
        <v>5.3</v>
      </c>
    </row>
    <row r="2211" ht="14.25" customHeight="1">
      <c r="A2211" s="1" t="s">
        <v>5073</v>
      </c>
      <c r="B2211" s="1">
        <v>6.8</v>
      </c>
    </row>
    <row r="2212" ht="14.25" customHeight="1">
      <c r="A2212" s="1" t="s">
        <v>10764</v>
      </c>
      <c r="B2212" s="1">
        <v>7.1</v>
      </c>
    </row>
    <row r="2213" ht="14.25" customHeight="1">
      <c r="A2213" s="1" t="s">
        <v>10770</v>
      </c>
      <c r="B2213" s="1">
        <v>5.8</v>
      </c>
    </row>
    <row r="2214" ht="14.25" customHeight="1">
      <c r="A2214" s="1" t="s">
        <v>8955</v>
      </c>
      <c r="B2214" s="1">
        <v>5.8</v>
      </c>
    </row>
    <row r="2215" ht="14.25" customHeight="1">
      <c r="A2215" s="1" t="s">
        <v>472</v>
      </c>
      <c r="B2215" s="1">
        <v>8.3</v>
      </c>
    </row>
    <row r="2216" ht="14.25" customHeight="1">
      <c r="A2216" s="1" t="s">
        <v>10784</v>
      </c>
      <c r="B2216" s="1">
        <v>5.6</v>
      </c>
    </row>
    <row r="2217" ht="14.25" customHeight="1">
      <c r="A2217" s="1" t="s">
        <v>2962</v>
      </c>
      <c r="B2217" s="1">
        <v>6.8</v>
      </c>
    </row>
    <row r="2218" ht="14.25" customHeight="1">
      <c r="A2218" s="1" t="s">
        <v>10796</v>
      </c>
      <c r="B2218" s="1">
        <v>5.0</v>
      </c>
    </row>
    <row r="2219" ht="14.25" customHeight="1">
      <c r="A2219" s="1" t="s">
        <v>5001</v>
      </c>
      <c r="B2219" s="1">
        <v>7.6</v>
      </c>
    </row>
    <row r="2220" ht="14.25" customHeight="1">
      <c r="A2220" s="1" t="s">
        <v>3797</v>
      </c>
      <c r="B2220" s="1">
        <v>6.7</v>
      </c>
    </row>
    <row r="2221" ht="14.25" customHeight="1">
      <c r="A2221" s="1" t="s">
        <v>10806</v>
      </c>
      <c r="B2221" s="1">
        <v>6.7</v>
      </c>
    </row>
    <row r="2222" ht="14.25" customHeight="1">
      <c r="A2222" s="1" t="s">
        <v>9543</v>
      </c>
      <c r="B2222" s="1">
        <v>5.7</v>
      </c>
    </row>
    <row r="2223" ht="14.25" customHeight="1">
      <c r="A2223" s="1" t="s">
        <v>10817</v>
      </c>
      <c r="B2223" s="1">
        <v>5.2</v>
      </c>
    </row>
    <row r="2224" ht="14.25" customHeight="1">
      <c r="A2224" s="1" t="s">
        <v>6307</v>
      </c>
      <c r="B2224" s="1">
        <v>7.5</v>
      </c>
    </row>
    <row r="2225" ht="14.25" customHeight="1">
      <c r="A2225" s="1" t="s">
        <v>5001</v>
      </c>
      <c r="B2225" s="1">
        <v>7.2</v>
      </c>
    </row>
    <row r="2226" ht="14.25" customHeight="1">
      <c r="A2226" s="1" t="s">
        <v>1200</v>
      </c>
      <c r="B2226" s="1">
        <v>5.3</v>
      </c>
    </row>
    <row r="2227" ht="14.25" customHeight="1">
      <c r="A2227" s="1" t="s">
        <v>8315</v>
      </c>
      <c r="B2227" s="1">
        <v>6.5</v>
      </c>
    </row>
    <row r="2228" ht="14.25" customHeight="1">
      <c r="A2228" s="1" t="s">
        <v>10836</v>
      </c>
      <c r="B2228" s="1">
        <v>5.0</v>
      </c>
    </row>
    <row r="2229" ht="14.25" customHeight="1">
      <c r="A2229" s="1" t="s">
        <v>10842</v>
      </c>
      <c r="B2229" s="1">
        <v>6.1</v>
      </c>
    </row>
    <row r="2230" ht="14.25" customHeight="1">
      <c r="A2230" s="1" t="s">
        <v>10846</v>
      </c>
      <c r="B2230" s="1">
        <v>4.4</v>
      </c>
    </row>
    <row r="2231" ht="14.25" customHeight="1">
      <c r="A2231" s="1" t="s">
        <v>1027</v>
      </c>
      <c r="B2231" s="1">
        <v>7.5</v>
      </c>
    </row>
    <row r="2232" ht="14.25" customHeight="1">
      <c r="A2232" s="1" t="s">
        <v>3691</v>
      </c>
      <c r="B2232" s="1">
        <v>5.7</v>
      </c>
    </row>
    <row r="2233" ht="14.25" customHeight="1">
      <c r="A2233" s="1" t="s">
        <v>10860</v>
      </c>
      <c r="B2233" s="1">
        <v>5.5</v>
      </c>
    </row>
    <row r="2234" ht="14.25" customHeight="1">
      <c r="A2234" s="1" t="s">
        <v>10866</v>
      </c>
      <c r="B2234" s="1">
        <v>7.1</v>
      </c>
    </row>
    <row r="2235" ht="14.25" customHeight="1">
      <c r="A2235" s="1" t="s">
        <v>4887</v>
      </c>
      <c r="B2235" s="1">
        <v>5.9</v>
      </c>
    </row>
    <row r="2236" ht="14.25" customHeight="1">
      <c r="A2236" s="1" t="s">
        <v>10877</v>
      </c>
      <c r="B2236" s="1">
        <v>6.7</v>
      </c>
    </row>
    <row r="2237" ht="14.25" customHeight="1">
      <c r="A2237" s="1" t="s">
        <v>8703</v>
      </c>
      <c r="B2237" s="1">
        <v>7.0</v>
      </c>
    </row>
    <row r="2238" ht="14.25" customHeight="1">
      <c r="A2238" s="1" t="s">
        <v>247</v>
      </c>
      <c r="B2238" s="1">
        <v>7.9</v>
      </c>
    </row>
    <row r="2239" ht="14.25" customHeight="1">
      <c r="A2239" s="1" t="s">
        <v>7666</v>
      </c>
      <c r="B2239" s="1">
        <v>6.9</v>
      </c>
    </row>
    <row r="2240" ht="14.25" customHeight="1">
      <c r="A2240" s="1" t="s">
        <v>1936</v>
      </c>
      <c r="B2240" s="1">
        <v>7.3</v>
      </c>
    </row>
    <row r="2241" ht="14.25" customHeight="1">
      <c r="A2241" s="1" t="s">
        <v>1238</v>
      </c>
      <c r="B2241" s="1">
        <v>7.3</v>
      </c>
    </row>
    <row r="2242" ht="14.25" customHeight="1">
      <c r="A2242" s="1" t="s">
        <v>10903</v>
      </c>
      <c r="B2242" s="1">
        <v>3.5</v>
      </c>
    </row>
    <row r="2243" ht="14.25" customHeight="1">
      <c r="A2243" s="1" t="s">
        <v>820</v>
      </c>
      <c r="B2243" s="1">
        <v>7.8</v>
      </c>
    </row>
    <row r="2244" ht="14.25" customHeight="1">
      <c r="A2244" s="1" t="s">
        <v>10913</v>
      </c>
      <c r="B2244" s="1">
        <v>6.7</v>
      </c>
    </row>
    <row r="2245" ht="14.25" customHeight="1">
      <c r="A2245" s="1" t="s">
        <v>3797</v>
      </c>
      <c r="B2245" s="1">
        <v>6.4</v>
      </c>
    </row>
    <row r="2246" ht="14.25" customHeight="1">
      <c r="A2246" s="1" t="s">
        <v>10922</v>
      </c>
      <c r="B2246" s="1">
        <v>7.1</v>
      </c>
    </row>
    <row r="2247" ht="14.25" customHeight="1">
      <c r="A2247" s="1" t="s">
        <v>10928</v>
      </c>
      <c r="B2247" s="1">
        <v>7.8</v>
      </c>
    </row>
    <row r="2248" ht="14.25" customHeight="1">
      <c r="A2248" s="1" t="s">
        <v>10935</v>
      </c>
      <c r="B2248" s="1">
        <v>5.9</v>
      </c>
    </row>
    <row r="2249" ht="14.25" customHeight="1">
      <c r="A2249" s="1" t="s">
        <v>2523</v>
      </c>
      <c r="B2249" s="1">
        <v>7.2</v>
      </c>
    </row>
    <row r="2250" ht="14.25" customHeight="1">
      <c r="A2250" s="1" t="s">
        <v>10943</v>
      </c>
      <c r="B2250" s="1">
        <v>6.2</v>
      </c>
    </row>
    <row r="2251" ht="14.25" customHeight="1">
      <c r="A2251" s="1" t="s">
        <v>10949</v>
      </c>
      <c r="B2251" s="1">
        <v>6.7</v>
      </c>
    </row>
    <row r="2252" ht="14.25" customHeight="1">
      <c r="A2252" s="1" t="s">
        <v>6155</v>
      </c>
      <c r="B2252" s="1">
        <v>7.6</v>
      </c>
    </row>
    <row r="2253" ht="14.25" customHeight="1">
      <c r="A2253" s="1" t="s">
        <v>1034</v>
      </c>
      <c r="B2253" s="1">
        <v>6.2</v>
      </c>
    </row>
    <row r="2254" ht="14.25" customHeight="1">
      <c r="A2254" s="1" t="s">
        <v>10964</v>
      </c>
      <c r="B2254" s="1">
        <v>6.5</v>
      </c>
    </row>
    <row r="2255" ht="14.25" customHeight="1">
      <c r="A2255" s="1" t="s">
        <v>10969</v>
      </c>
      <c r="B2255" s="1">
        <v>8.1</v>
      </c>
    </row>
    <row r="2256" ht="14.25" customHeight="1">
      <c r="A2256" s="1" t="s">
        <v>10974</v>
      </c>
      <c r="B2256" s="1">
        <v>6.3</v>
      </c>
    </row>
    <row r="2257" ht="14.25" customHeight="1">
      <c r="A2257" s="1" t="s">
        <v>10979</v>
      </c>
      <c r="B2257" s="1">
        <v>4.4</v>
      </c>
    </row>
    <row r="2258" ht="14.25" customHeight="1">
      <c r="A2258" s="1" t="s">
        <v>10985</v>
      </c>
      <c r="B2258" s="1">
        <v>6.0</v>
      </c>
    </row>
    <row r="2259" ht="14.25" customHeight="1">
      <c r="A2259" s="1" t="s">
        <v>3385</v>
      </c>
      <c r="B2259" s="1">
        <v>7.6</v>
      </c>
    </row>
    <row r="2260" ht="14.25" customHeight="1">
      <c r="A2260" s="1" t="s">
        <v>27</v>
      </c>
      <c r="B2260" s="1">
        <v>8.4</v>
      </c>
    </row>
    <row r="2261" ht="14.25" customHeight="1">
      <c r="A2261" s="1" t="s">
        <v>11001</v>
      </c>
      <c r="B2261" s="1">
        <v>7.9</v>
      </c>
    </row>
    <row r="2262" ht="14.25" customHeight="1">
      <c r="A2262" s="1" t="s">
        <v>11009</v>
      </c>
      <c r="B2262" s="1">
        <v>5.6</v>
      </c>
    </row>
    <row r="2263" ht="14.25" customHeight="1">
      <c r="A2263" s="1" t="s">
        <v>6982</v>
      </c>
      <c r="B2263" s="1">
        <v>6.5</v>
      </c>
    </row>
    <row r="2264" ht="14.25" customHeight="1">
      <c r="A2264" s="1" t="s">
        <v>7671</v>
      </c>
      <c r="B2264" s="1">
        <v>7.5</v>
      </c>
    </row>
    <row r="2265" ht="14.25" customHeight="1">
      <c r="A2265" s="1" t="s">
        <v>4669</v>
      </c>
      <c r="B2265" s="1">
        <v>6.3</v>
      </c>
    </row>
    <row r="2266" ht="14.25" customHeight="1">
      <c r="A2266" s="1" t="s">
        <v>5073</v>
      </c>
      <c r="B2266" s="1">
        <v>7.9</v>
      </c>
    </row>
    <row r="2267" ht="14.25" customHeight="1">
      <c r="A2267" s="1" t="s">
        <v>1857</v>
      </c>
      <c r="B2267" s="1">
        <v>7.9</v>
      </c>
    </row>
    <row r="2268" ht="14.25" customHeight="1">
      <c r="A2268" s="1" t="s">
        <v>11029</v>
      </c>
      <c r="B2268" s="1">
        <v>5.1</v>
      </c>
    </row>
    <row r="2269" ht="14.25" customHeight="1">
      <c r="A2269" s="1" t="s">
        <v>8417</v>
      </c>
      <c r="B2269" s="1">
        <v>6.7</v>
      </c>
    </row>
    <row r="2270" ht="14.25" customHeight="1">
      <c r="A2270" s="1" t="s">
        <v>8814</v>
      </c>
      <c r="B2270" s="1">
        <v>6.7</v>
      </c>
    </row>
    <row r="2271" ht="14.25" customHeight="1">
      <c r="A2271" s="1" t="s">
        <v>11040</v>
      </c>
      <c r="B2271" s="1">
        <v>5.6</v>
      </c>
    </row>
    <row r="2272" ht="14.25" customHeight="1">
      <c r="A2272" s="1" t="s">
        <v>3602</v>
      </c>
      <c r="B2272" s="1">
        <v>5.6</v>
      </c>
    </row>
    <row r="2273" ht="14.25" customHeight="1">
      <c r="A2273" s="1" t="s">
        <v>291</v>
      </c>
      <c r="B2273" s="1">
        <v>6.8</v>
      </c>
    </row>
    <row r="2274" ht="14.25" customHeight="1">
      <c r="A2274" s="1" t="s">
        <v>11048</v>
      </c>
      <c r="B2274" s="1">
        <v>6.2</v>
      </c>
    </row>
    <row r="2275" ht="14.25" customHeight="1">
      <c r="A2275" s="1" t="s">
        <v>11054</v>
      </c>
      <c r="B2275" s="1">
        <v>5.6</v>
      </c>
    </row>
    <row r="2276" ht="14.25" customHeight="1">
      <c r="A2276" s="1" t="s">
        <v>7023</v>
      </c>
      <c r="B2276" s="1">
        <v>6.4</v>
      </c>
    </row>
    <row r="2277" ht="14.25" customHeight="1">
      <c r="A2277" s="1" t="s">
        <v>4339</v>
      </c>
      <c r="B2277" s="1">
        <v>5.6</v>
      </c>
    </row>
    <row r="2278" ht="14.25" customHeight="1">
      <c r="A2278" s="1" t="s">
        <v>7997</v>
      </c>
      <c r="B2278" s="1">
        <v>7.4</v>
      </c>
    </row>
    <row r="2279" ht="14.25" customHeight="1">
      <c r="A2279" s="1" t="s">
        <v>11072</v>
      </c>
      <c r="B2279" s="1">
        <v>7.2</v>
      </c>
    </row>
    <row r="2280" ht="14.25" customHeight="1">
      <c r="A2280" s="1" t="s">
        <v>6904</v>
      </c>
      <c r="B2280" s="1">
        <v>4.9</v>
      </c>
    </row>
    <row r="2281" ht="14.25" customHeight="1">
      <c r="A2281" s="1" t="s">
        <v>71</v>
      </c>
      <c r="B2281" s="1">
        <v>7.5</v>
      </c>
    </row>
    <row r="2282" ht="14.25" customHeight="1">
      <c r="A2282" s="1" t="s">
        <v>11083</v>
      </c>
      <c r="B2282" s="1">
        <v>4.8</v>
      </c>
    </row>
    <row r="2283" ht="14.25" customHeight="1">
      <c r="A2283" s="1" t="s">
        <v>11087</v>
      </c>
      <c r="B2283" s="1">
        <v>3.1</v>
      </c>
    </row>
    <row r="2284" ht="14.25" customHeight="1">
      <c r="A2284" s="1" t="s">
        <v>11092</v>
      </c>
      <c r="B2284" s="1">
        <v>5.8</v>
      </c>
    </row>
    <row r="2285" ht="14.25" customHeight="1">
      <c r="A2285" s="1" t="s">
        <v>2938</v>
      </c>
      <c r="B2285" s="1">
        <v>6.7</v>
      </c>
    </row>
    <row r="2286" ht="14.25" customHeight="1">
      <c r="A2286" s="1" t="s">
        <v>11102</v>
      </c>
      <c r="B2286" s="1">
        <v>6.5</v>
      </c>
    </row>
    <row r="2287" ht="14.25" customHeight="1">
      <c r="A2287" s="1" t="s">
        <v>4022</v>
      </c>
      <c r="B2287" s="1">
        <v>5.9</v>
      </c>
    </row>
    <row r="2288" ht="14.25" customHeight="1">
      <c r="A2288" s="1" t="s">
        <v>1661</v>
      </c>
      <c r="B2288" s="1">
        <v>5.5</v>
      </c>
    </row>
    <row r="2289" ht="14.25" customHeight="1">
      <c r="A2289" s="1" t="s">
        <v>11117</v>
      </c>
      <c r="B2289" s="1">
        <v>3.6</v>
      </c>
    </row>
    <row r="2290" ht="14.25" customHeight="1">
      <c r="A2290" s="1" t="s">
        <v>11121</v>
      </c>
      <c r="B2290" s="1">
        <v>7.4</v>
      </c>
    </row>
    <row r="2291" ht="14.25" customHeight="1">
      <c r="A2291" s="1" t="s">
        <v>11125</v>
      </c>
      <c r="B2291" s="1">
        <v>3.0</v>
      </c>
    </row>
    <row r="2292" ht="14.25" customHeight="1">
      <c r="A2292" s="1" t="s">
        <v>2301</v>
      </c>
      <c r="B2292" s="1">
        <v>7.6</v>
      </c>
    </row>
    <row r="2293" ht="14.25" customHeight="1">
      <c r="A2293" s="1" t="s">
        <v>11135</v>
      </c>
      <c r="B2293" s="1">
        <v>6.4</v>
      </c>
    </row>
    <row r="2294" ht="14.25" customHeight="1">
      <c r="A2294" s="1" t="s">
        <v>1268</v>
      </c>
      <c r="B2294" s="1">
        <v>6.9</v>
      </c>
    </row>
    <row r="2295" ht="14.25" customHeight="1">
      <c r="A2295" s="1" t="s">
        <v>9062</v>
      </c>
      <c r="B2295" s="1">
        <v>5.5</v>
      </c>
    </row>
    <row r="2296" ht="14.25" customHeight="1">
      <c r="A2296" s="1" t="s">
        <v>11152</v>
      </c>
      <c r="B2296" s="1">
        <v>4.1</v>
      </c>
    </row>
    <row r="2297" ht="14.25" customHeight="1">
      <c r="A2297" s="1" t="s">
        <v>11159</v>
      </c>
      <c r="B2297" s="1">
        <v>6.8</v>
      </c>
    </row>
    <row r="2298" ht="14.25" customHeight="1">
      <c r="A2298" s="1" t="s">
        <v>11163</v>
      </c>
      <c r="B2298" s="1">
        <v>6.5</v>
      </c>
    </row>
    <row r="2299" ht="14.25" customHeight="1">
      <c r="A2299" s="1" t="s">
        <v>2301</v>
      </c>
      <c r="B2299" s="1">
        <v>7.6</v>
      </c>
    </row>
    <row r="2300" ht="14.25" customHeight="1">
      <c r="A2300" s="1" t="s">
        <v>723</v>
      </c>
      <c r="B2300" s="1">
        <v>7.4</v>
      </c>
    </row>
    <row r="2301" ht="14.25" customHeight="1">
      <c r="A2301" s="1" t="s">
        <v>1027</v>
      </c>
      <c r="B2301" s="1">
        <v>7.7</v>
      </c>
    </row>
    <row r="2302" ht="14.25" customHeight="1">
      <c r="A2302" s="1" t="s">
        <v>11175</v>
      </c>
      <c r="B2302" s="1">
        <v>7.1</v>
      </c>
    </row>
    <row r="2303" ht="14.25" customHeight="1">
      <c r="A2303" s="1" t="s">
        <v>11180</v>
      </c>
      <c r="B2303" s="1">
        <v>6.3</v>
      </c>
    </row>
    <row r="2304" ht="14.25" customHeight="1">
      <c r="A2304" s="1" t="s">
        <v>11186</v>
      </c>
      <c r="B2304" s="1">
        <v>7.6</v>
      </c>
    </row>
    <row r="2305" ht="14.25" customHeight="1">
      <c r="A2305" s="1" t="s">
        <v>1059</v>
      </c>
      <c r="B2305" s="1">
        <v>8.0</v>
      </c>
    </row>
    <row r="2306" ht="14.25" customHeight="1">
      <c r="A2306" s="1" t="s">
        <v>11193</v>
      </c>
      <c r="B2306" s="1">
        <v>7.3</v>
      </c>
    </row>
    <row r="2307" ht="14.25" customHeight="1">
      <c r="A2307" s="1" t="s">
        <v>3691</v>
      </c>
      <c r="B2307" s="1">
        <v>7.6</v>
      </c>
    </row>
    <row r="2308" ht="14.25" customHeight="1">
      <c r="A2308" s="1" t="s">
        <v>9335</v>
      </c>
      <c r="B2308" s="1">
        <v>7.8</v>
      </c>
    </row>
    <row r="2309" ht="14.25" customHeight="1">
      <c r="A2309" s="1" t="s">
        <v>2436</v>
      </c>
      <c r="B2309" s="1">
        <v>6.5</v>
      </c>
    </row>
    <row r="2310" ht="14.25" customHeight="1">
      <c r="A2310" s="1" t="s">
        <v>3892</v>
      </c>
      <c r="B2310" s="1">
        <v>6.4</v>
      </c>
    </row>
    <row r="2311" ht="14.25" customHeight="1">
      <c r="A2311" s="1" t="s">
        <v>11216</v>
      </c>
      <c r="B2311" s="1">
        <v>8.0</v>
      </c>
    </row>
    <row r="2312" ht="14.25" customHeight="1">
      <c r="A2312" s="1" t="s">
        <v>3558</v>
      </c>
      <c r="B2312" s="1">
        <v>4.8</v>
      </c>
    </row>
    <row r="2313" ht="14.25" customHeight="1">
      <c r="A2313" s="1" t="s">
        <v>5083</v>
      </c>
      <c r="B2313" s="1">
        <v>7.8</v>
      </c>
    </row>
    <row r="2314" ht="14.25" customHeight="1">
      <c r="A2314" s="1" t="s">
        <v>839</v>
      </c>
      <c r="B2314" s="1">
        <v>5.9</v>
      </c>
    </row>
    <row r="2315" ht="14.25" customHeight="1">
      <c r="A2315" s="1" t="s">
        <v>11230</v>
      </c>
      <c r="B2315" s="1">
        <v>5.4</v>
      </c>
    </row>
    <row r="2316" ht="14.25" customHeight="1">
      <c r="A2316" s="1" t="s">
        <v>11236</v>
      </c>
      <c r="B2316" s="1">
        <v>3.3</v>
      </c>
    </row>
    <row r="2317" ht="14.25" customHeight="1">
      <c r="A2317" s="1" t="s">
        <v>370</v>
      </c>
      <c r="B2317" s="1">
        <v>8.2</v>
      </c>
    </row>
    <row r="2318" ht="14.25" customHeight="1">
      <c r="A2318" s="1" t="s">
        <v>5997</v>
      </c>
      <c r="B2318" s="1">
        <v>5.4</v>
      </c>
    </row>
    <row r="2319" ht="14.25" customHeight="1">
      <c r="A2319" s="1" t="s">
        <v>2793</v>
      </c>
      <c r="B2319" s="1">
        <v>6.4</v>
      </c>
    </row>
    <row r="2320" ht="14.25" customHeight="1">
      <c r="A2320" s="1" t="s">
        <v>11255</v>
      </c>
      <c r="B2320" s="1">
        <v>4.8</v>
      </c>
    </row>
    <row r="2321" ht="14.25" customHeight="1">
      <c r="A2321" s="1" t="s">
        <v>6371</v>
      </c>
      <c r="B2321" s="1">
        <v>5.9</v>
      </c>
    </row>
    <row r="2322" ht="14.25" customHeight="1">
      <c r="A2322" s="1" t="s">
        <v>11262</v>
      </c>
      <c r="B2322" s="1">
        <v>5.5</v>
      </c>
    </row>
    <row r="2323" ht="14.25" customHeight="1">
      <c r="A2323" s="1" t="s">
        <v>2354</v>
      </c>
      <c r="B2323" s="1">
        <v>7.9</v>
      </c>
    </row>
    <row r="2324" ht="14.25" customHeight="1">
      <c r="A2324" s="1" t="s">
        <v>11275</v>
      </c>
      <c r="B2324" s="1">
        <v>4.9</v>
      </c>
    </row>
    <row r="2325" ht="14.25" customHeight="1">
      <c r="A2325" s="1" t="s">
        <v>3797</v>
      </c>
      <c r="B2325" s="1">
        <v>7.2</v>
      </c>
    </row>
    <row r="2326" ht="14.25" customHeight="1">
      <c r="A2326" s="1" t="s">
        <v>11282</v>
      </c>
      <c r="B2326" s="1">
        <v>5.3</v>
      </c>
    </row>
    <row r="2327" ht="14.25" customHeight="1">
      <c r="A2327" s="1" t="s">
        <v>11287</v>
      </c>
      <c r="B2327" s="1">
        <v>7.2</v>
      </c>
    </row>
    <row r="2328" ht="14.25" customHeight="1">
      <c r="A2328" s="1" t="s">
        <v>4519</v>
      </c>
      <c r="B2328" s="1">
        <v>5.1</v>
      </c>
    </row>
    <row r="2329" ht="14.25" customHeight="1">
      <c r="A2329" s="1" t="s">
        <v>10271</v>
      </c>
      <c r="B2329" s="1">
        <v>5.6</v>
      </c>
    </row>
    <row r="2330" ht="14.25" customHeight="1">
      <c r="A2330" s="1" t="s">
        <v>3797</v>
      </c>
      <c r="B2330" s="1">
        <v>7.6</v>
      </c>
    </row>
    <row r="2331" ht="14.25" customHeight="1">
      <c r="A2331" s="1" t="s">
        <v>10679</v>
      </c>
      <c r="B2331" s="1">
        <v>3.1</v>
      </c>
    </row>
    <row r="2332" ht="14.25" customHeight="1">
      <c r="A2332" s="1" t="s">
        <v>11305</v>
      </c>
      <c r="B2332" s="1">
        <v>7.2</v>
      </c>
    </row>
    <row r="2333" ht="14.25" customHeight="1">
      <c r="A2333" s="1" t="s">
        <v>11310</v>
      </c>
      <c r="B2333" s="1">
        <v>5.7</v>
      </c>
    </row>
    <row r="2334" ht="14.25" customHeight="1">
      <c r="A2334" s="1" t="s">
        <v>9165</v>
      </c>
      <c r="B2334" s="1">
        <v>5.2</v>
      </c>
    </row>
    <row r="2335" ht="14.25" customHeight="1">
      <c r="A2335" s="1" t="s">
        <v>2610</v>
      </c>
      <c r="B2335" s="1">
        <v>7.7</v>
      </c>
    </row>
    <row r="2336" ht="14.25" customHeight="1">
      <c r="A2336" s="1" t="s">
        <v>11322</v>
      </c>
      <c r="B2336" s="1">
        <v>7.0</v>
      </c>
    </row>
    <row r="2337" ht="14.25" customHeight="1">
      <c r="A2337" s="1" t="s">
        <v>11327</v>
      </c>
      <c r="B2337" s="1">
        <v>6.0</v>
      </c>
    </row>
    <row r="2338" ht="14.25" customHeight="1">
      <c r="A2338" s="1" t="s">
        <v>3797</v>
      </c>
      <c r="B2338" s="1">
        <v>6.6</v>
      </c>
    </row>
    <row r="2339" ht="14.25" customHeight="1">
      <c r="A2339" s="1" t="s">
        <v>11334</v>
      </c>
      <c r="B2339" s="1">
        <v>6.8</v>
      </c>
    </row>
    <row r="2340" ht="14.25" customHeight="1">
      <c r="A2340" s="1" t="s">
        <v>5471</v>
      </c>
      <c r="B2340" s="1">
        <v>7.2</v>
      </c>
    </row>
    <row r="2341" ht="14.25" customHeight="1">
      <c r="A2341" s="1" t="s">
        <v>11343</v>
      </c>
      <c r="B2341" s="1">
        <v>7.2</v>
      </c>
    </row>
    <row r="2342" ht="14.25" customHeight="1">
      <c r="A2342" s="1" t="s">
        <v>11348</v>
      </c>
      <c r="B2342" s="1">
        <v>2.8</v>
      </c>
    </row>
    <row r="2343" ht="14.25" customHeight="1">
      <c r="A2343" s="1" t="s">
        <v>8337</v>
      </c>
      <c r="B2343" s="1">
        <v>6.6</v>
      </c>
    </row>
    <row r="2344" ht="14.25" customHeight="1">
      <c r="A2344" s="1" t="s">
        <v>11357</v>
      </c>
      <c r="B2344" s="1">
        <v>6.7</v>
      </c>
    </row>
    <row r="2345" ht="14.25" customHeight="1">
      <c r="A2345" s="1" t="s">
        <v>5001</v>
      </c>
      <c r="B2345" s="1">
        <v>7.0</v>
      </c>
    </row>
    <row r="2346" ht="14.25" customHeight="1">
      <c r="A2346" s="1" t="s">
        <v>11366</v>
      </c>
      <c r="B2346" s="1">
        <v>4.4</v>
      </c>
    </row>
    <row r="2347" ht="14.25" customHeight="1">
      <c r="A2347" s="1" t="s">
        <v>11370</v>
      </c>
      <c r="B2347" s="1">
        <v>6.2</v>
      </c>
    </row>
    <row r="2348" ht="14.25" customHeight="1">
      <c r="A2348" s="1" t="s">
        <v>11375</v>
      </c>
      <c r="B2348" s="1">
        <v>7.3</v>
      </c>
    </row>
    <row r="2349" ht="14.25" customHeight="1">
      <c r="A2349" s="1" t="s">
        <v>10204</v>
      </c>
      <c r="B2349" s="1">
        <v>5.1</v>
      </c>
    </row>
    <row r="2350" ht="14.25" customHeight="1">
      <c r="A2350" s="1" t="s">
        <v>11386</v>
      </c>
      <c r="B2350" s="1">
        <v>6.6</v>
      </c>
    </row>
    <row r="2351" ht="14.25" customHeight="1">
      <c r="A2351" s="1" t="s">
        <v>11390</v>
      </c>
      <c r="B2351" s="1">
        <v>4.5</v>
      </c>
    </row>
    <row r="2352" ht="14.25" customHeight="1">
      <c r="A2352" s="1" t="s">
        <v>11394</v>
      </c>
      <c r="B2352" s="1">
        <v>5.9</v>
      </c>
    </row>
    <row r="2353" ht="14.25" customHeight="1">
      <c r="A2353" s="1" t="s">
        <v>11398</v>
      </c>
      <c r="B2353" s="1">
        <v>6.6</v>
      </c>
    </row>
    <row r="2354" ht="14.25" customHeight="1">
      <c r="A2354" s="1" t="s">
        <v>629</v>
      </c>
      <c r="B2354" s="1">
        <v>6.5</v>
      </c>
    </row>
    <row r="2355" ht="14.25" customHeight="1">
      <c r="A2355" s="1" t="s">
        <v>2338</v>
      </c>
      <c r="B2355" s="1">
        <v>7.3</v>
      </c>
    </row>
    <row r="2356" ht="14.25" customHeight="1">
      <c r="A2356" s="1" t="s">
        <v>1200</v>
      </c>
      <c r="B2356" s="1">
        <v>7.5</v>
      </c>
    </row>
    <row r="2357" ht="14.25" customHeight="1">
      <c r="A2357" s="1" t="s">
        <v>992</v>
      </c>
      <c r="B2357" s="1">
        <v>5.9</v>
      </c>
    </row>
    <row r="2358" ht="14.25" customHeight="1">
      <c r="A2358" s="1" t="s">
        <v>2128</v>
      </c>
      <c r="B2358" s="1">
        <v>7.4</v>
      </c>
    </row>
    <row r="2359" ht="14.25" customHeight="1">
      <c r="A2359" s="1" t="s">
        <v>1656</v>
      </c>
      <c r="B2359" s="1">
        <v>6.9</v>
      </c>
    </row>
    <row r="2360" ht="14.25" customHeight="1">
      <c r="A2360" s="1" t="s">
        <v>1027</v>
      </c>
      <c r="B2360" s="1">
        <v>7.9</v>
      </c>
    </row>
    <row r="2361" ht="14.25" customHeight="1">
      <c r="A2361" s="1" t="s">
        <v>46</v>
      </c>
      <c r="B2361" s="1">
        <v>8.4</v>
      </c>
    </row>
    <row r="2362" ht="14.25" customHeight="1">
      <c r="A2362" s="1" t="s">
        <v>3473</v>
      </c>
      <c r="B2362" s="1">
        <v>8.0</v>
      </c>
    </row>
    <row r="2363" ht="14.25" customHeight="1">
      <c r="A2363" s="1" t="s">
        <v>2580</v>
      </c>
      <c r="B2363" s="1">
        <v>6.0</v>
      </c>
    </row>
    <row r="2364" ht="14.25" customHeight="1">
      <c r="A2364" s="1" t="s">
        <v>11444</v>
      </c>
      <c r="B2364" s="1">
        <v>6.8</v>
      </c>
    </row>
    <row r="2365" ht="14.25" customHeight="1">
      <c r="A2365" s="1" t="s">
        <v>381</v>
      </c>
      <c r="B2365" s="1">
        <v>7.8</v>
      </c>
    </row>
    <row r="2366" ht="14.25" customHeight="1">
      <c r="A2366" s="1" t="s">
        <v>11452</v>
      </c>
      <c r="B2366" s="1">
        <v>8.1</v>
      </c>
    </row>
    <row r="2367" ht="14.25" customHeight="1">
      <c r="A2367" s="1" t="s">
        <v>11159</v>
      </c>
      <c r="B2367" s="1">
        <v>6.1</v>
      </c>
    </row>
    <row r="2368" ht="14.25" customHeight="1">
      <c r="A2368" s="1" t="s">
        <v>2137</v>
      </c>
      <c r="B2368" s="1">
        <v>6.2</v>
      </c>
    </row>
    <row r="2369" ht="14.25" customHeight="1">
      <c r="A2369" s="1" t="s">
        <v>11463</v>
      </c>
      <c r="B2369" s="1">
        <v>6.2</v>
      </c>
    </row>
    <row r="2370" ht="14.25" customHeight="1">
      <c r="A2370" s="1" t="s">
        <v>5073</v>
      </c>
      <c r="B2370" s="1">
        <v>7.9</v>
      </c>
    </row>
    <row r="2371" ht="14.25" customHeight="1">
      <c r="A2371" s="1" t="s">
        <v>4006</v>
      </c>
      <c r="B2371" s="1">
        <v>7.4</v>
      </c>
    </row>
    <row r="2372" ht="14.25" customHeight="1">
      <c r="A2372" s="1" t="s">
        <v>9802</v>
      </c>
      <c r="B2372" s="1">
        <v>6.6</v>
      </c>
    </row>
    <row r="2373" ht="14.25" customHeight="1">
      <c r="A2373" s="1" t="s">
        <v>5299</v>
      </c>
      <c r="B2373" s="1">
        <v>7.3</v>
      </c>
    </row>
    <row r="2374" ht="14.25" customHeight="1">
      <c r="A2374" s="1" t="s">
        <v>247</v>
      </c>
      <c r="B2374" s="1">
        <v>7.5</v>
      </c>
    </row>
    <row r="2375" ht="14.25" customHeight="1">
      <c r="A2375" s="1" t="s">
        <v>8809</v>
      </c>
      <c r="B2375" s="1">
        <v>5.6</v>
      </c>
    </row>
    <row r="2376" ht="14.25" customHeight="1">
      <c r="A2376" s="1" t="s">
        <v>11490</v>
      </c>
      <c r="B2376" s="1">
        <v>7.3</v>
      </c>
    </row>
    <row r="2377" ht="14.25" customHeight="1">
      <c r="A2377" s="1" t="s">
        <v>11495</v>
      </c>
      <c r="B2377" s="1">
        <v>6.4</v>
      </c>
    </row>
    <row r="2378" ht="14.25" customHeight="1">
      <c r="A2378" s="1" t="s">
        <v>1700</v>
      </c>
      <c r="B2378" s="1">
        <v>5.0</v>
      </c>
    </row>
    <row r="2379" ht="14.25" customHeight="1">
      <c r="A2379" s="1" t="s">
        <v>772</v>
      </c>
      <c r="B2379" s="1">
        <v>5.4</v>
      </c>
    </row>
    <row r="2380" ht="14.25" customHeight="1">
      <c r="A2380" s="1" t="s">
        <v>2962</v>
      </c>
      <c r="B2380" s="1">
        <v>7.1</v>
      </c>
    </row>
    <row r="2381" ht="14.25" customHeight="1">
      <c r="A2381" s="1" t="s">
        <v>11511</v>
      </c>
      <c r="B2381" s="1">
        <v>5.3</v>
      </c>
    </row>
    <row r="2382" ht="14.25" customHeight="1">
      <c r="A2382" s="1" t="s">
        <v>11518</v>
      </c>
      <c r="B2382" s="1">
        <v>6.5</v>
      </c>
    </row>
    <row r="2383" ht="14.25" customHeight="1">
      <c r="A2383" s="1" t="s">
        <v>11522</v>
      </c>
      <c r="B2383" s="1">
        <v>6.2</v>
      </c>
    </row>
    <row r="2384" ht="14.25" customHeight="1">
      <c r="A2384" s="1" t="s">
        <v>4632</v>
      </c>
      <c r="B2384" s="1">
        <v>6.4</v>
      </c>
    </row>
    <row r="2385" ht="14.25" customHeight="1">
      <c r="A2385" s="1" t="s">
        <v>1365</v>
      </c>
      <c r="B2385" s="1">
        <v>6.9</v>
      </c>
    </row>
    <row r="2386" ht="14.25" customHeight="1">
      <c r="A2386" s="1" t="s">
        <v>11533</v>
      </c>
      <c r="B2386" s="1">
        <v>5.7</v>
      </c>
    </row>
    <row r="2387" ht="14.25" customHeight="1">
      <c r="A2387" s="1" t="s">
        <v>492</v>
      </c>
      <c r="B2387" s="1">
        <v>7.7</v>
      </c>
    </row>
    <row r="2388" ht="14.25" customHeight="1">
      <c r="A2388" s="1" t="s">
        <v>3175</v>
      </c>
      <c r="B2388" s="1">
        <v>5.4</v>
      </c>
    </row>
    <row r="2389" ht="14.25" customHeight="1">
      <c r="A2389" s="1" t="s">
        <v>484</v>
      </c>
      <c r="B2389" s="1">
        <v>5.6</v>
      </c>
    </row>
    <row r="2390" ht="14.25" customHeight="1">
      <c r="A2390" s="1" t="s">
        <v>11545</v>
      </c>
      <c r="B2390" s="1">
        <v>7.7</v>
      </c>
    </row>
    <row r="2391" ht="14.25" customHeight="1">
      <c r="A2391" s="1" t="s">
        <v>5997</v>
      </c>
      <c r="B2391" s="1">
        <v>5.1</v>
      </c>
    </row>
    <row r="2392" ht="14.25" customHeight="1">
      <c r="A2392" s="1" t="s">
        <v>11552</v>
      </c>
      <c r="B2392" s="1">
        <v>6.8</v>
      </c>
    </row>
    <row r="2393" ht="14.25" customHeight="1">
      <c r="A2393" s="1" t="s">
        <v>8421</v>
      </c>
      <c r="B2393" s="1">
        <v>8.4</v>
      </c>
    </row>
    <row r="2394" ht="14.25" customHeight="1">
      <c r="A2394" s="1" t="s">
        <v>11561</v>
      </c>
      <c r="B2394" s="1">
        <v>4.9</v>
      </c>
    </row>
    <row r="2395" ht="14.25" customHeight="1">
      <c r="A2395" s="1" t="s">
        <v>7169</v>
      </c>
      <c r="B2395" s="1">
        <v>7.1</v>
      </c>
    </row>
    <row r="2396" ht="14.25" customHeight="1">
      <c r="A2396" s="1" t="s">
        <v>11568</v>
      </c>
      <c r="B2396" s="1">
        <v>6.6</v>
      </c>
    </row>
    <row r="2397" ht="14.25" customHeight="1">
      <c r="A2397" s="1" t="s">
        <v>11310</v>
      </c>
      <c r="B2397" s="1">
        <v>6.1</v>
      </c>
    </row>
    <row r="2398" ht="14.25" customHeight="1">
      <c r="A2398" s="1" t="s">
        <v>11576</v>
      </c>
      <c r="B2398" s="1">
        <v>4.1</v>
      </c>
    </row>
    <row r="2399" ht="14.25" customHeight="1">
      <c r="A2399" s="1" t="s">
        <v>1077</v>
      </c>
      <c r="B2399" s="1">
        <v>5.8</v>
      </c>
    </row>
    <row r="2400" ht="14.25" customHeight="1">
      <c r="A2400" s="1" t="s">
        <v>3691</v>
      </c>
      <c r="B2400" s="1">
        <v>8.1</v>
      </c>
    </row>
    <row r="2401" ht="14.25" customHeight="1">
      <c r="A2401" s="1" t="s">
        <v>1644</v>
      </c>
      <c r="B2401" s="1">
        <v>7.6</v>
      </c>
    </row>
    <row r="2402" ht="14.25" customHeight="1">
      <c r="A2402" s="1" t="s">
        <v>11588</v>
      </c>
      <c r="B2402" s="1">
        <v>7.8</v>
      </c>
    </row>
    <row r="2403" ht="14.25" customHeight="1">
      <c r="A2403" s="1" t="s">
        <v>11593</v>
      </c>
      <c r="B2403" s="1">
        <v>4.6</v>
      </c>
    </row>
    <row r="2404" ht="14.25" customHeight="1">
      <c r="A2404" s="1" t="s">
        <v>10806</v>
      </c>
      <c r="B2404" s="1">
        <v>6.0</v>
      </c>
    </row>
    <row r="2405" ht="14.25" customHeight="1">
      <c r="A2405" s="1" t="s">
        <v>11602</v>
      </c>
      <c r="B2405" s="1">
        <v>7.0</v>
      </c>
    </row>
    <row r="2406" ht="14.25" customHeight="1">
      <c r="A2406" s="1" t="s">
        <v>5410</v>
      </c>
      <c r="B2406" s="1">
        <v>6.7</v>
      </c>
    </row>
    <row r="2407" ht="14.25" customHeight="1">
      <c r="A2407" s="1" t="s">
        <v>4367</v>
      </c>
      <c r="B2407" s="1">
        <v>6.4</v>
      </c>
    </row>
    <row r="2408" ht="14.25" customHeight="1">
      <c r="A2408" s="1" t="s">
        <v>11615</v>
      </c>
      <c r="B2408" s="1">
        <v>7.2</v>
      </c>
    </row>
    <row r="2409" ht="14.25" customHeight="1">
      <c r="A2409" s="1" t="s">
        <v>5174</v>
      </c>
      <c r="B2409" s="1">
        <v>7.4</v>
      </c>
    </row>
    <row r="2410" ht="14.25" customHeight="1">
      <c r="A2410" s="1" t="s">
        <v>11623</v>
      </c>
      <c r="B2410" s="1">
        <v>4.8</v>
      </c>
    </row>
    <row r="2411" ht="14.25" customHeight="1">
      <c r="A2411" s="1" t="s">
        <v>11627</v>
      </c>
      <c r="B2411" s="1">
        <v>4.0</v>
      </c>
    </row>
    <row r="2412" ht="14.25" customHeight="1">
      <c r="A2412" s="1" t="s">
        <v>10063</v>
      </c>
      <c r="B2412" s="1">
        <v>6.2</v>
      </c>
    </row>
    <row r="2413" ht="14.25" customHeight="1">
      <c r="A2413" s="1" t="s">
        <v>3797</v>
      </c>
      <c r="B2413" s="1">
        <v>7.7</v>
      </c>
    </row>
    <row r="2414" ht="14.25" customHeight="1">
      <c r="A2414" s="1" t="s">
        <v>11643</v>
      </c>
      <c r="B2414" s="1">
        <v>6.7</v>
      </c>
    </row>
    <row r="2415" ht="14.25" customHeight="1">
      <c r="A2415" s="1" t="s">
        <v>11357</v>
      </c>
      <c r="B2415" s="1">
        <v>7.9</v>
      </c>
    </row>
    <row r="2416" ht="14.25" customHeight="1">
      <c r="A2416" s="1" t="s">
        <v>6646</v>
      </c>
      <c r="B2416" s="1">
        <v>7.9</v>
      </c>
    </row>
    <row r="2417" ht="14.25" customHeight="1">
      <c r="A2417" s="1" t="s">
        <v>11083</v>
      </c>
      <c r="B2417" s="1">
        <v>5.5</v>
      </c>
    </row>
    <row r="2418" ht="14.25" customHeight="1">
      <c r="A2418" s="1" t="s">
        <v>11663</v>
      </c>
      <c r="B2418" s="1">
        <v>6.2</v>
      </c>
    </row>
    <row r="2419" ht="14.25" customHeight="1">
      <c r="A2419" s="1" t="s">
        <v>11668</v>
      </c>
      <c r="B2419" s="1">
        <v>5.1</v>
      </c>
    </row>
    <row r="2420" ht="14.25" customHeight="1">
      <c r="A2420" s="1" t="s">
        <v>11672</v>
      </c>
      <c r="B2420" s="1">
        <v>4.1</v>
      </c>
    </row>
    <row r="2421" ht="14.25" customHeight="1">
      <c r="A2421" s="1" t="s">
        <v>3846</v>
      </c>
      <c r="B2421" s="1">
        <v>6.7</v>
      </c>
    </row>
    <row r="2422" ht="14.25" customHeight="1">
      <c r="A2422" s="1" t="s">
        <v>11680</v>
      </c>
      <c r="B2422" s="1">
        <v>4.7</v>
      </c>
    </row>
    <row r="2423" ht="14.25" customHeight="1">
      <c r="A2423" s="1" t="s">
        <v>11685</v>
      </c>
      <c r="B2423" s="1">
        <v>6.4</v>
      </c>
    </row>
    <row r="2424" ht="14.25" customHeight="1">
      <c r="A2424" s="1" t="s">
        <v>10126</v>
      </c>
      <c r="B2424" s="1">
        <v>6.3</v>
      </c>
    </row>
    <row r="2425" ht="14.25" customHeight="1">
      <c r="A2425" s="1" t="s">
        <v>11694</v>
      </c>
      <c r="B2425" s="1">
        <v>5.5</v>
      </c>
    </row>
    <row r="2426" ht="14.25" customHeight="1">
      <c r="A2426" s="1" t="s">
        <v>11698</v>
      </c>
      <c r="B2426" s="1">
        <v>7.3</v>
      </c>
    </row>
    <row r="2427" ht="14.25" customHeight="1">
      <c r="A2427" s="1" t="s">
        <v>1424</v>
      </c>
      <c r="B2427" s="1">
        <v>6.3</v>
      </c>
    </row>
    <row r="2428" ht="14.25" customHeight="1">
      <c r="A2428" s="1" t="s">
        <v>11707</v>
      </c>
      <c r="B2428" s="1">
        <v>4.9</v>
      </c>
    </row>
    <row r="2429" ht="14.25" customHeight="1">
      <c r="A2429" s="1" t="s">
        <v>2186</v>
      </c>
      <c r="B2429" s="1">
        <v>7.6</v>
      </c>
    </row>
    <row r="2430" ht="14.25" customHeight="1">
      <c r="A2430" s="1" t="s">
        <v>11716</v>
      </c>
      <c r="B2430" s="1">
        <v>6.0</v>
      </c>
    </row>
    <row r="2431" ht="14.25" customHeight="1">
      <c r="A2431" s="1" t="s">
        <v>8137</v>
      </c>
      <c r="B2431" s="1">
        <v>6.2</v>
      </c>
    </row>
    <row r="2432" ht="14.25" customHeight="1">
      <c r="A2432" s="1" t="s">
        <v>9955</v>
      </c>
      <c r="B2432" s="1">
        <v>6.8</v>
      </c>
    </row>
    <row r="2433" ht="14.25" customHeight="1">
      <c r="A2433" s="1" t="s">
        <v>11729</v>
      </c>
      <c r="B2433" s="1">
        <v>4.5</v>
      </c>
    </row>
    <row r="2434" ht="14.25" customHeight="1">
      <c r="A2434" s="1" t="s">
        <v>11733</v>
      </c>
      <c r="B2434" s="1">
        <v>5.7</v>
      </c>
    </row>
    <row r="2435" ht="14.25" customHeight="1">
      <c r="A2435" s="1" t="s">
        <v>11740</v>
      </c>
      <c r="B2435" s="1">
        <v>4.6</v>
      </c>
    </row>
    <row r="2436" ht="14.25" customHeight="1">
      <c r="A2436" s="1" t="s">
        <v>11746</v>
      </c>
      <c r="B2436" s="1">
        <v>6.2</v>
      </c>
    </row>
    <row r="2437" ht="14.25" customHeight="1">
      <c r="A2437" s="1" t="s">
        <v>11751</v>
      </c>
      <c r="B2437" s="1">
        <v>7.0</v>
      </c>
    </row>
    <row r="2438" ht="14.25" customHeight="1">
      <c r="A2438" s="1" t="s">
        <v>11755</v>
      </c>
      <c r="B2438" s="1">
        <v>6.9</v>
      </c>
    </row>
    <row r="2439" ht="14.25" customHeight="1">
      <c r="A2439" s="1" t="s">
        <v>11760</v>
      </c>
      <c r="B2439" s="1">
        <v>6.7</v>
      </c>
    </row>
    <row r="2440" ht="14.25" customHeight="1">
      <c r="A2440" s="1" t="s">
        <v>2818</v>
      </c>
      <c r="B2440" s="1">
        <v>5.6</v>
      </c>
    </row>
    <row r="2441" ht="14.25" customHeight="1">
      <c r="A2441" s="1" t="s">
        <v>6307</v>
      </c>
      <c r="B2441" s="1">
        <v>6.6</v>
      </c>
    </row>
    <row r="2442" ht="14.25" customHeight="1">
      <c r="A2442" s="1" t="s">
        <v>3797</v>
      </c>
      <c r="B2442" s="1">
        <v>6.4</v>
      </c>
    </row>
    <row r="2443" ht="14.25" customHeight="1">
      <c r="A2443" s="1" t="s">
        <v>11776</v>
      </c>
      <c r="B2443" s="1">
        <v>2.8</v>
      </c>
    </row>
    <row r="2444" ht="14.25" customHeight="1">
      <c r="A2444" s="1" t="s">
        <v>1646</v>
      </c>
      <c r="B2444" s="1">
        <v>5.4</v>
      </c>
    </row>
    <row r="2445" ht="14.25" customHeight="1">
      <c r="A2445" s="1" t="s">
        <v>970</v>
      </c>
      <c r="B2445" s="1">
        <v>5.0</v>
      </c>
    </row>
    <row r="2446" ht="14.25" customHeight="1">
      <c r="A2446" s="1" t="s">
        <v>11790</v>
      </c>
      <c r="B2446" s="1">
        <v>5.1</v>
      </c>
    </row>
    <row r="2447" ht="14.25" customHeight="1">
      <c r="A2447" s="1" t="s">
        <v>2661</v>
      </c>
      <c r="B2447" s="1">
        <v>8.0</v>
      </c>
    </row>
    <row r="2448" ht="14.25" customHeight="1">
      <c r="A2448" s="1" t="s">
        <v>10764</v>
      </c>
      <c r="B2448" s="1">
        <v>5.9</v>
      </c>
    </row>
    <row r="2449" ht="14.25" customHeight="1">
      <c r="A2449" s="1" t="s">
        <v>4043</v>
      </c>
      <c r="B2449" s="1">
        <v>8.2</v>
      </c>
    </row>
    <row r="2450" ht="14.25" customHeight="1">
      <c r="A2450" s="1" t="s">
        <v>11804</v>
      </c>
      <c r="B2450" s="1">
        <v>7.0</v>
      </c>
    </row>
    <row r="2451" ht="14.25" customHeight="1">
      <c r="A2451" s="1" t="s">
        <v>2999</v>
      </c>
      <c r="B2451" s="1">
        <v>6.6</v>
      </c>
    </row>
    <row r="2452" ht="14.25" customHeight="1">
      <c r="A2452" s="1" t="s">
        <v>11814</v>
      </c>
      <c r="B2452" s="1">
        <v>6.7</v>
      </c>
    </row>
    <row r="2453" ht="14.25" customHeight="1">
      <c r="A2453" s="1" t="s">
        <v>11820</v>
      </c>
      <c r="B2453" s="1">
        <v>5.5</v>
      </c>
    </row>
    <row r="2454" ht="14.25" customHeight="1">
      <c r="A2454" s="1" t="s">
        <v>11826</v>
      </c>
      <c r="B2454" s="1">
        <v>4.9</v>
      </c>
    </row>
    <row r="2455" ht="14.25" customHeight="1">
      <c r="A2455" s="1" t="s">
        <v>5620</v>
      </c>
      <c r="B2455" s="1">
        <v>6.9</v>
      </c>
    </row>
    <row r="2456" ht="14.25" customHeight="1">
      <c r="A2456" s="1" t="s">
        <v>11833</v>
      </c>
      <c r="B2456" s="1">
        <v>5.6</v>
      </c>
    </row>
    <row r="2457" ht="14.25" customHeight="1">
      <c r="A2457" s="1" t="s">
        <v>11837</v>
      </c>
      <c r="B2457" s="1">
        <v>8.0</v>
      </c>
    </row>
    <row r="2458" ht="14.25" customHeight="1">
      <c r="A2458" s="1" t="s">
        <v>11844</v>
      </c>
      <c r="B2458" s="1">
        <v>5.3</v>
      </c>
    </row>
    <row r="2459" ht="14.25" customHeight="1">
      <c r="A2459" s="1" t="s">
        <v>11849</v>
      </c>
      <c r="B2459" s="1">
        <v>6.2</v>
      </c>
    </row>
    <row r="2460" ht="14.25" customHeight="1">
      <c r="A2460" s="1" t="s">
        <v>11853</v>
      </c>
      <c r="B2460" s="1">
        <v>5.3</v>
      </c>
    </row>
    <row r="2461" ht="14.25" customHeight="1">
      <c r="A2461" s="1" t="s">
        <v>5676</v>
      </c>
      <c r="B2461" s="1">
        <v>6.6</v>
      </c>
    </row>
    <row r="2462" ht="14.25" customHeight="1">
      <c r="A2462" s="1" t="s">
        <v>3797</v>
      </c>
      <c r="B2462" s="1">
        <v>7.2</v>
      </c>
    </row>
    <row r="2463" ht="14.25" customHeight="1">
      <c r="A2463" s="1" t="s">
        <v>11864</v>
      </c>
      <c r="B2463" s="1">
        <v>4.6</v>
      </c>
    </row>
    <row r="2464" ht="14.25" customHeight="1">
      <c r="A2464" s="1" t="s">
        <v>11386</v>
      </c>
      <c r="B2464" s="1">
        <v>7.5</v>
      </c>
    </row>
    <row r="2465" ht="14.25" customHeight="1">
      <c r="A2465" s="1" t="s">
        <v>11875</v>
      </c>
      <c r="B2465" s="1">
        <v>6.5</v>
      </c>
    </row>
    <row r="2466" ht="14.25" customHeight="1">
      <c r="A2466" s="1" t="s">
        <v>241</v>
      </c>
      <c r="B2466" s="1">
        <v>7.6</v>
      </c>
    </row>
    <row r="2467" ht="14.25" customHeight="1">
      <c r="A2467" s="1" t="s">
        <v>11883</v>
      </c>
      <c r="B2467" s="1">
        <v>6.2</v>
      </c>
    </row>
    <row r="2468" ht="14.25" customHeight="1">
      <c r="A2468" s="1" t="s">
        <v>5514</v>
      </c>
      <c r="B2468" s="1">
        <v>8.0</v>
      </c>
    </row>
    <row r="2469" ht="14.25" customHeight="1">
      <c r="A2469" s="1" t="s">
        <v>3797</v>
      </c>
      <c r="B2469" s="1">
        <v>6.3</v>
      </c>
    </row>
    <row r="2470" ht="14.25" customHeight="1">
      <c r="A2470" s="1" t="s">
        <v>11893</v>
      </c>
      <c r="B2470" s="1">
        <v>7.2</v>
      </c>
    </row>
    <row r="2471" ht="14.25" customHeight="1">
      <c r="A2471" s="1" t="s">
        <v>11897</v>
      </c>
      <c r="B2471" s="1">
        <v>6.7</v>
      </c>
    </row>
    <row r="2472" ht="14.25" customHeight="1">
      <c r="A2472" s="1" t="s">
        <v>11903</v>
      </c>
      <c r="B2472" s="1">
        <v>5.3</v>
      </c>
    </row>
    <row r="2473" ht="14.25" customHeight="1">
      <c r="A2473" s="1" t="s">
        <v>11908</v>
      </c>
      <c r="B2473" s="1">
        <v>6.3</v>
      </c>
    </row>
    <row r="2474" ht="14.25" customHeight="1">
      <c r="A2474" s="1" t="s">
        <v>10928</v>
      </c>
      <c r="B2474" s="1">
        <v>6.5</v>
      </c>
    </row>
    <row r="2475" ht="14.25" customHeight="1">
      <c r="A2475" s="1" t="s">
        <v>11915</v>
      </c>
      <c r="B2475" s="1">
        <v>8.3</v>
      </c>
    </row>
    <row r="2476" ht="14.25" customHeight="1">
      <c r="A2476" s="1" t="s">
        <v>4696</v>
      </c>
      <c r="B2476" s="1">
        <v>7.2</v>
      </c>
    </row>
    <row r="2477" ht="14.25" customHeight="1">
      <c r="A2477" s="1" t="s">
        <v>4876</v>
      </c>
      <c r="B2477" s="1">
        <v>6.8</v>
      </c>
    </row>
    <row r="2478" ht="14.25" customHeight="1">
      <c r="A2478" s="1" t="s">
        <v>11929</v>
      </c>
      <c r="B2478" s="1">
        <v>6.4</v>
      </c>
    </row>
    <row r="2479" ht="14.25" customHeight="1">
      <c r="A2479" s="1" t="s">
        <v>11934</v>
      </c>
      <c r="B2479" s="1">
        <v>6.9</v>
      </c>
    </row>
    <row r="2480" ht="14.25" customHeight="1">
      <c r="A2480" s="1" t="s">
        <v>11939</v>
      </c>
      <c r="B2480" s="1">
        <v>6.2</v>
      </c>
    </row>
    <row r="2481" ht="14.25" customHeight="1">
      <c r="A2481" s="1" t="s">
        <v>11948</v>
      </c>
      <c r="B2481" s="1">
        <v>6.1</v>
      </c>
    </row>
    <row r="2482" ht="14.25" customHeight="1">
      <c r="A2482" s="1" t="s">
        <v>11953</v>
      </c>
      <c r="B2482" s="1">
        <v>5.1</v>
      </c>
    </row>
    <row r="2483" ht="14.25" customHeight="1">
      <c r="A2483" s="1" t="s">
        <v>11957</v>
      </c>
      <c r="B2483" s="1">
        <v>4.5</v>
      </c>
    </row>
    <row r="2484" ht="14.25" customHeight="1">
      <c r="A2484" s="1" t="s">
        <v>11963</v>
      </c>
      <c r="B2484" s="1">
        <v>5.9</v>
      </c>
    </row>
    <row r="2485" ht="14.25" customHeight="1">
      <c r="A2485" s="1" t="s">
        <v>4006</v>
      </c>
      <c r="B2485" s="1">
        <v>8.1</v>
      </c>
    </row>
    <row r="2486" ht="14.25" customHeight="1">
      <c r="A2486" s="1" t="s">
        <v>11972</v>
      </c>
      <c r="B2486" s="1">
        <v>5.7</v>
      </c>
    </row>
    <row r="2487" ht="14.25" customHeight="1">
      <c r="A2487" s="1" t="s">
        <v>356</v>
      </c>
      <c r="B2487" s="1">
        <v>6.8</v>
      </c>
    </row>
    <row r="2488" ht="14.25" customHeight="1">
      <c r="A2488" s="1" t="s">
        <v>11979</v>
      </c>
      <c r="B2488" s="1">
        <v>7.5</v>
      </c>
    </row>
    <row r="2489" ht="14.25" customHeight="1">
      <c r="A2489" s="1" t="s">
        <v>3503</v>
      </c>
      <c r="B2489" s="1">
        <v>8.3</v>
      </c>
    </row>
    <row r="2490" ht="14.25" customHeight="1">
      <c r="A2490" s="1" t="s">
        <v>11987</v>
      </c>
      <c r="B2490" s="1">
        <v>7.4</v>
      </c>
    </row>
    <row r="2491" ht="14.25" customHeight="1">
      <c r="A2491" s="1" t="s">
        <v>5001</v>
      </c>
      <c r="B2491" s="1">
        <v>8.0</v>
      </c>
    </row>
    <row r="2492" ht="14.25" customHeight="1">
      <c r="A2492" s="1" t="s">
        <v>4887</v>
      </c>
      <c r="B2492" s="1">
        <v>6.9</v>
      </c>
    </row>
    <row r="2493" ht="14.25" customHeight="1">
      <c r="A2493" s="1" t="s">
        <v>3138</v>
      </c>
      <c r="B2493" s="1">
        <v>6.9</v>
      </c>
    </row>
    <row r="2494" ht="14.25" customHeight="1">
      <c r="A2494" s="1" t="s">
        <v>12006</v>
      </c>
      <c r="B2494" s="1">
        <v>5.5</v>
      </c>
    </row>
    <row r="2495" ht="14.25" customHeight="1">
      <c r="A2495" s="1" t="s">
        <v>723</v>
      </c>
      <c r="B2495" s="1">
        <v>7.2</v>
      </c>
    </row>
    <row r="2496" ht="14.25" customHeight="1">
      <c r="A2496" s="1" t="s">
        <v>666</v>
      </c>
      <c r="B2496" s="1">
        <v>6.9</v>
      </c>
    </row>
    <row r="2497" ht="14.25" customHeight="1">
      <c r="A2497" s="1" t="s">
        <v>5184</v>
      </c>
      <c r="B2497" s="1">
        <v>5.5</v>
      </c>
    </row>
    <row r="2498" ht="14.25" customHeight="1">
      <c r="A2498" s="1" t="s">
        <v>9159</v>
      </c>
      <c r="B2498" s="1">
        <v>5.9</v>
      </c>
    </row>
    <row r="2499" ht="14.25" customHeight="1">
      <c r="A2499" s="1" t="s">
        <v>9014</v>
      </c>
      <c r="B2499" s="1">
        <v>5.2</v>
      </c>
    </row>
    <row r="2500" ht="14.25" customHeight="1">
      <c r="A2500" s="1" t="s">
        <v>7530</v>
      </c>
      <c r="B2500" s="1">
        <v>7.1</v>
      </c>
    </row>
    <row r="2501" ht="14.25" customHeight="1">
      <c r="A2501" s="1" t="s">
        <v>12030</v>
      </c>
      <c r="B2501" s="1">
        <v>5.5</v>
      </c>
    </row>
    <row r="2502" ht="14.25" customHeight="1">
      <c r="A2502" s="1" t="s">
        <v>5299</v>
      </c>
      <c r="B2502" s="1">
        <v>7.7</v>
      </c>
    </row>
    <row r="2503" ht="14.25" customHeight="1">
      <c r="A2503" s="1" t="s">
        <v>12034</v>
      </c>
      <c r="B2503" s="1">
        <v>6.7</v>
      </c>
    </row>
    <row r="2504" ht="14.25" customHeight="1">
      <c r="A2504" s="1" t="s">
        <v>9094</v>
      </c>
      <c r="B2504" s="1">
        <v>5.0</v>
      </c>
    </row>
    <row r="2505" ht="14.25" customHeight="1">
      <c r="A2505" s="1" t="s">
        <v>4661</v>
      </c>
      <c r="B2505" s="1">
        <v>6.4</v>
      </c>
    </row>
    <row r="2506" ht="14.25" customHeight="1">
      <c r="A2506" s="1" t="s">
        <v>11733</v>
      </c>
      <c r="B2506" s="1">
        <v>6.6</v>
      </c>
    </row>
    <row r="2507" ht="14.25" customHeight="1">
      <c r="A2507" s="1" t="s">
        <v>2793</v>
      </c>
      <c r="B2507" s="1">
        <v>5.9</v>
      </c>
    </row>
    <row r="2508" ht="14.25" customHeight="1">
      <c r="A2508" s="1" t="s">
        <v>4302</v>
      </c>
      <c r="B2508" s="1">
        <v>5.7</v>
      </c>
    </row>
    <row r="2509" ht="14.25" customHeight="1">
      <c r="A2509" s="1" t="s">
        <v>5922</v>
      </c>
      <c r="B2509" s="1">
        <v>4.5</v>
      </c>
    </row>
    <row r="2510" ht="14.25" customHeight="1">
      <c r="A2510" s="1" t="s">
        <v>10846</v>
      </c>
      <c r="B2510" s="1">
        <v>5.0</v>
      </c>
    </row>
    <row r="2511" ht="14.25" customHeight="1">
      <c r="A2511" s="1" t="s">
        <v>5342</v>
      </c>
      <c r="B2511" s="1">
        <v>4.6</v>
      </c>
    </row>
    <row r="2512" ht="14.25" customHeight="1">
      <c r="A2512" s="1" t="s">
        <v>1338</v>
      </c>
      <c r="B2512" s="1">
        <v>6.5</v>
      </c>
    </row>
    <row r="2513" ht="14.25" customHeight="1">
      <c r="A2513" s="1" t="s">
        <v>12073</v>
      </c>
      <c r="B2513" s="1">
        <v>4.9</v>
      </c>
    </row>
    <row r="2514" ht="14.25" customHeight="1">
      <c r="A2514" s="1" t="s">
        <v>12078</v>
      </c>
      <c r="B2514" s="1">
        <v>6.0</v>
      </c>
    </row>
    <row r="2515" ht="14.25" customHeight="1">
      <c r="A2515" s="1" t="s">
        <v>12083</v>
      </c>
      <c r="B2515" s="1">
        <v>6.9</v>
      </c>
    </row>
    <row r="2516" ht="14.25" customHeight="1">
      <c r="A2516" s="1" t="s">
        <v>12089</v>
      </c>
      <c r="B2516" s="1">
        <v>5.7</v>
      </c>
    </row>
    <row r="2517" ht="14.25" customHeight="1">
      <c r="A2517" s="1" t="s">
        <v>4801</v>
      </c>
      <c r="B2517" s="1">
        <v>6.9</v>
      </c>
    </row>
    <row r="2518" ht="14.25" customHeight="1">
      <c r="A2518" s="1" t="s">
        <v>12097</v>
      </c>
      <c r="B2518" s="1">
        <v>4.4</v>
      </c>
    </row>
    <row r="2519" ht="14.25" customHeight="1">
      <c r="A2519" s="1" t="s">
        <v>772</v>
      </c>
      <c r="B2519" s="1">
        <v>5.4</v>
      </c>
    </row>
    <row r="2520" ht="14.25" customHeight="1">
      <c r="A2520" s="1" t="s">
        <v>12103</v>
      </c>
      <c r="B2520" s="1">
        <v>7.0</v>
      </c>
    </row>
    <row r="2521" ht="14.25" customHeight="1">
      <c r="A2521" s="1" t="s">
        <v>1961</v>
      </c>
      <c r="B2521" s="1">
        <v>5.4</v>
      </c>
    </row>
    <row r="2522" ht="14.25" customHeight="1">
      <c r="A2522" s="1" t="s">
        <v>12112</v>
      </c>
      <c r="B2522" s="1">
        <v>5.4</v>
      </c>
    </row>
    <row r="2523" ht="14.25" customHeight="1">
      <c r="A2523" s="1" t="s">
        <v>12117</v>
      </c>
      <c r="B2523" s="1">
        <v>7.6</v>
      </c>
    </row>
    <row r="2524" ht="14.25" customHeight="1">
      <c r="A2524" s="1" t="s">
        <v>12122</v>
      </c>
      <c r="B2524" s="1">
        <v>5.9</v>
      </c>
    </row>
    <row r="2525" ht="14.25" customHeight="1">
      <c r="A2525" s="1" t="s">
        <v>981</v>
      </c>
      <c r="B2525" s="1">
        <v>6.6</v>
      </c>
    </row>
    <row r="2526" ht="14.25" customHeight="1">
      <c r="A2526" s="1" t="s">
        <v>1153</v>
      </c>
      <c r="B2526" s="1">
        <v>6.7</v>
      </c>
    </row>
    <row r="2527" ht="14.25" customHeight="1">
      <c r="A2527" s="1" t="s">
        <v>12136</v>
      </c>
      <c r="B2527" s="1">
        <v>3.9</v>
      </c>
    </row>
    <row r="2528" ht="14.25" customHeight="1">
      <c r="A2528" s="1" t="s">
        <v>11357</v>
      </c>
      <c r="B2528" s="1">
        <v>5.7</v>
      </c>
    </row>
    <row r="2529" ht="14.25" customHeight="1">
      <c r="A2529" s="1" t="s">
        <v>12148</v>
      </c>
      <c r="B2529" s="1">
        <v>6.5</v>
      </c>
    </row>
    <row r="2530" ht="14.25" customHeight="1">
      <c r="A2530" s="1" t="s">
        <v>10383</v>
      </c>
      <c r="B2530" s="1">
        <v>6.8</v>
      </c>
    </row>
    <row r="2531" ht="14.25" customHeight="1">
      <c r="A2531" s="1" t="s">
        <v>5129</v>
      </c>
      <c r="B2531" s="1">
        <v>7.3</v>
      </c>
    </row>
    <row r="2532" ht="14.25" customHeight="1">
      <c r="A2532" s="1" t="s">
        <v>2301</v>
      </c>
      <c r="B2532" s="1">
        <v>7.0</v>
      </c>
    </row>
    <row r="2533" ht="14.25" customHeight="1">
      <c r="A2533" s="1" t="s">
        <v>12168</v>
      </c>
      <c r="B2533" s="1">
        <v>6.5</v>
      </c>
    </row>
    <row r="2534" ht="14.25" customHeight="1">
      <c r="A2534" s="1" t="s">
        <v>3691</v>
      </c>
      <c r="B2534" s="1">
        <v>7.7</v>
      </c>
    </row>
    <row r="2535" ht="14.25" customHeight="1">
      <c r="A2535" s="1" t="s">
        <v>1027</v>
      </c>
      <c r="B2535" s="1">
        <v>7.7</v>
      </c>
    </row>
    <row r="2536" ht="14.25" customHeight="1">
      <c r="A2536" s="1" t="s">
        <v>839</v>
      </c>
      <c r="B2536" s="1">
        <v>5.9</v>
      </c>
    </row>
    <row r="2537" ht="14.25" customHeight="1">
      <c r="A2537" s="1" t="s">
        <v>10204</v>
      </c>
      <c r="B2537" s="1">
        <v>6.8</v>
      </c>
    </row>
    <row r="2538" ht="14.25" customHeight="1">
      <c r="A2538" s="1" t="s">
        <v>10425</v>
      </c>
      <c r="B2538" s="1">
        <v>7.4</v>
      </c>
    </row>
    <row r="2539" ht="14.25" customHeight="1">
      <c r="A2539" s="1" t="s">
        <v>6737</v>
      </c>
      <c r="B2539" s="1">
        <v>5.1</v>
      </c>
    </row>
    <row r="2540" ht="14.25" customHeight="1">
      <c r="A2540" s="1" t="s">
        <v>8474</v>
      </c>
      <c r="B2540" s="1">
        <v>7.4</v>
      </c>
    </row>
    <row r="2541" ht="14.25" customHeight="1">
      <c r="A2541" s="1" t="s">
        <v>11837</v>
      </c>
      <c r="B2541" s="1">
        <v>7.2</v>
      </c>
    </row>
    <row r="2542" ht="14.25" customHeight="1">
      <c r="A2542" s="1" t="s">
        <v>2802</v>
      </c>
      <c r="B2542" s="1">
        <v>8.3</v>
      </c>
    </row>
    <row r="2543" ht="14.25" customHeight="1">
      <c r="A2543" s="1" t="s">
        <v>3385</v>
      </c>
      <c r="B2543" s="1">
        <v>8.1</v>
      </c>
    </row>
    <row r="2544" ht="14.25" customHeight="1">
      <c r="A2544" s="1" t="s">
        <v>2962</v>
      </c>
      <c r="B2544" s="1">
        <v>7.3</v>
      </c>
    </row>
    <row r="2545" ht="14.25" customHeight="1">
      <c r="A2545" s="1" t="s">
        <v>7479</v>
      </c>
      <c r="B2545" s="1">
        <v>3.6</v>
      </c>
    </row>
    <row r="2546" ht="14.25" customHeight="1">
      <c r="A2546" s="1" t="s">
        <v>1034</v>
      </c>
      <c r="B2546" s="1">
        <v>1.6</v>
      </c>
    </row>
    <row r="2547" ht="14.25" customHeight="1">
      <c r="A2547" s="1" t="s">
        <v>1159</v>
      </c>
      <c r="B2547" s="1">
        <v>8.0</v>
      </c>
    </row>
    <row r="2548" ht="14.25" customHeight="1">
      <c r="A2548" s="1" t="s">
        <v>1343</v>
      </c>
      <c r="B2548" s="1">
        <v>6.2</v>
      </c>
    </row>
    <row r="2549" ht="14.25" customHeight="1">
      <c r="A2549" s="1" t="s">
        <v>4578</v>
      </c>
      <c r="B2549" s="1">
        <v>9.0</v>
      </c>
    </row>
    <row r="2550" ht="14.25" customHeight="1">
      <c r="A2550" s="1" t="s">
        <v>5410</v>
      </c>
      <c r="B2550" s="1">
        <v>6.1</v>
      </c>
    </row>
    <row r="2551" ht="14.25" customHeight="1">
      <c r="A2551" s="1" t="s">
        <v>1985</v>
      </c>
      <c r="B2551" s="1">
        <v>5.7</v>
      </c>
    </row>
    <row r="2552" ht="14.25" customHeight="1">
      <c r="A2552" s="1" t="s">
        <v>9122</v>
      </c>
      <c r="B2552" s="1">
        <v>6.8</v>
      </c>
    </row>
    <row r="2553" ht="14.25" customHeight="1">
      <c r="A2553" s="1" t="s">
        <v>12240</v>
      </c>
      <c r="B2553" s="1">
        <v>5.5</v>
      </c>
    </row>
    <row r="2554" ht="14.25" customHeight="1">
      <c r="A2554" s="1" t="s">
        <v>12244</v>
      </c>
      <c r="B2554" s="1">
        <v>6.8</v>
      </c>
    </row>
    <row r="2555" ht="14.25" customHeight="1">
      <c r="A2555" s="1" t="s">
        <v>12250</v>
      </c>
      <c r="B2555" s="1">
        <v>7.3</v>
      </c>
    </row>
    <row r="2556" ht="14.25" customHeight="1">
      <c r="A2556" s="1" t="s">
        <v>6737</v>
      </c>
      <c r="B2556" s="1">
        <v>6.1</v>
      </c>
    </row>
    <row r="2557" ht="14.25" customHeight="1">
      <c r="A2557" s="1" t="s">
        <v>6989</v>
      </c>
      <c r="B2557" s="1">
        <v>7.2</v>
      </c>
    </row>
    <row r="2558" ht="14.25" customHeight="1">
      <c r="A2558" s="1" t="s">
        <v>12261</v>
      </c>
      <c r="B2558" s="1">
        <v>5.9</v>
      </c>
    </row>
    <row r="2559" ht="14.25" customHeight="1">
      <c r="A2559" s="1" t="s">
        <v>12266</v>
      </c>
      <c r="B2559" s="1">
        <v>6.1</v>
      </c>
    </row>
    <row r="2560" ht="14.25" customHeight="1">
      <c r="A2560" s="1" t="s">
        <v>4844</v>
      </c>
      <c r="B2560" s="1">
        <v>6.8</v>
      </c>
    </row>
    <row r="2561" ht="14.25" customHeight="1">
      <c r="A2561" s="1" t="s">
        <v>12274</v>
      </c>
      <c r="B2561" s="1">
        <v>7.7</v>
      </c>
    </row>
    <row r="2562" ht="14.25" customHeight="1">
      <c r="A2562" s="1" t="s">
        <v>10199</v>
      </c>
      <c r="B2562" s="1">
        <v>4.9</v>
      </c>
    </row>
    <row r="2563" ht="14.25" customHeight="1">
      <c r="A2563" s="1" t="s">
        <v>12281</v>
      </c>
      <c r="B2563" s="1">
        <v>6.1</v>
      </c>
    </row>
    <row r="2564" ht="14.25" customHeight="1">
      <c r="A2564" s="1" t="s">
        <v>10327</v>
      </c>
      <c r="B2564" s="1">
        <v>2.5</v>
      </c>
    </row>
    <row r="2565" ht="14.25" customHeight="1">
      <c r="A2565" s="1" t="s">
        <v>12289</v>
      </c>
      <c r="B2565" s="1">
        <v>6.1</v>
      </c>
    </row>
    <row r="2566" ht="14.25" customHeight="1">
      <c r="A2566" s="1" t="s">
        <v>12294</v>
      </c>
      <c r="B2566" s="1">
        <v>5.9</v>
      </c>
    </row>
    <row r="2567" ht="14.25" customHeight="1">
      <c r="A2567" s="1" t="s">
        <v>12299</v>
      </c>
      <c r="B2567" s="1">
        <v>5.7</v>
      </c>
    </row>
    <row r="2568" ht="14.25" customHeight="1">
      <c r="A2568" s="1" t="s">
        <v>12305</v>
      </c>
      <c r="B2568" s="1">
        <v>5.6</v>
      </c>
    </row>
    <row r="2569" ht="14.25" customHeight="1">
      <c r="A2569" s="1" t="s">
        <v>3093</v>
      </c>
      <c r="B2569" s="1">
        <v>7.2</v>
      </c>
    </row>
    <row r="2570" ht="14.25" customHeight="1">
      <c r="A2570" s="1" t="s">
        <v>12314</v>
      </c>
      <c r="B2570" s="1">
        <v>7.7</v>
      </c>
    </row>
    <row r="2571" ht="14.25" customHeight="1">
      <c r="A2571" s="1" t="s">
        <v>1717</v>
      </c>
      <c r="B2571" s="1">
        <v>7.8</v>
      </c>
    </row>
    <row r="2572" ht="14.25" customHeight="1">
      <c r="A2572" s="1" t="s">
        <v>12325</v>
      </c>
      <c r="B2572" s="1">
        <v>6.1</v>
      </c>
    </row>
    <row r="2573" ht="14.25" customHeight="1">
      <c r="A2573" s="1" t="s">
        <v>12329</v>
      </c>
      <c r="B2573" s="1">
        <v>5.8</v>
      </c>
    </row>
    <row r="2574" ht="14.25" customHeight="1">
      <c r="A2574" s="1" t="s">
        <v>5109</v>
      </c>
      <c r="B2574" s="1">
        <v>6.5</v>
      </c>
    </row>
    <row r="2575" ht="14.25" customHeight="1">
      <c r="A2575" s="1" t="s">
        <v>3503</v>
      </c>
      <c r="B2575" s="1">
        <v>7.9</v>
      </c>
    </row>
    <row r="2576" ht="14.25" customHeight="1">
      <c r="A2576" s="1" t="s">
        <v>12347</v>
      </c>
      <c r="B2576" s="1">
        <v>6.3</v>
      </c>
    </row>
    <row r="2577" ht="14.25" customHeight="1">
      <c r="A2577" s="1" t="s">
        <v>12351</v>
      </c>
      <c r="B2577" s="1">
        <v>8.3</v>
      </c>
    </row>
    <row r="2578" ht="14.25" customHeight="1">
      <c r="A2578" s="1" t="s">
        <v>6375</v>
      </c>
      <c r="B2578" s="1">
        <v>6.4</v>
      </c>
    </row>
    <row r="2579" ht="14.25" customHeight="1">
      <c r="A2579" s="1" t="s">
        <v>12358</v>
      </c>
      <c r="B2579" s="1">
        <v>6.7</v>
      </c>
    </row>
    <row r="2580" ht="14.25" customHeight="1">
      <c r="A2580" s="1" t="s">
        <v>10063</v>
      </c>
      <c r="B2580" s="1">
        <v>6.1</v>
      </c>
    </row>
    <row r="2581" ht="14.25" customHeight="1">
      <c r="A2581" s="1" t="s">
        <v>12365</v>
      </c>
      <c r="B2581" s="1">
        <v>6.0</v>
      </c>
    </row>
    <row r="2582" ht="14.25" customHeight="1">
      <c r="A2582" s="1" t="s">
        <v>12369</v>
      </c>
      <c r="B2582" s="1">
        <v>5.8</v>
      </c>
    </row>
    <row r="2583" ht="14.25" customHeight="1">
      <c r="A2583" s="1" t="s">
        <v>12372</v>
      </c>
      <c r="B2583" s="1">
        <v>5.6</v>
      </c>
    </row>
    <row r="2584" ht="14.25" customHeight="1">
      <c r="A2584" s="1" t="s">
        <v>12377</v>
      </c>
      <c r="B2584" s="1">
        <v>6.1</v>
      </c>
    </row>
    <row r="2585" ht="14.25" customHeight="1">
      <c r="A2585" s="1" t="s">
        <v>12381</v>
      </c>
      <c r="B2585" s="1">
        <v>5.9</v>
      </c>
    </row>
    <row r="2586" ht="14.25" customHeight="1">
      <c r="A2586" s="1" t="s">
        <v>12388</v>
      </c>
      <c r="B2586" s="1">
        <v>7.3</v>
      </c>
    </row>
    <row r="2587" ht="14.25" customHeight="1">
      <c r="A2587" s="1" t="s">
        <v>4125</v>
      </c>
      <c r="B2587" s="1">
        <v>6.8</v>
      </c>
    </row>
    <row r="2588" ht="14.25" customHeight="1">
      <c r="A2588" s="1" t="s">
        <v>1661</v>
      </c>
      <c r="B2588" s="1">
        <v>5.7</v>
      </c>
    </row>
    <row r="2589" ht="14.25" customHeight="1">
      <c r="A2589" s="1" t="s">
        <v>12401</v>
      </c>
      <c r="B2589" s="1">
        <v>7.3</v>
      </c>
    </row>
    <row r="2590" ht="14.25" customHeight="1">
      <c r="A2590" s="1" t="s">
        <v>9221</v>
      </c>
      <c r="B2590" s="1">
        <v>6.3</v>
      </c>
    </row>
    <row r="2591" ht="14.25" customHeight="1">
      <c r="A2591" s="1" t="s">
        <v>12412</v>
      </c>
      <c r="B2591" s="1">
        <v>5.9</v>
      </c>
    </row>
    <row r="2592" ht="14.25" customHeight="1">
      <c r="A2592" s="1" t="s">
        <v>5124</v>
      </c>
      <c r="B2592" s="1">
        <v>7.1</v>
      </c>
    </row>
    <row r="2593" ht="14.25" customHeight="1">
      <c r="A2593" s="1" t="s">
        <v>9335</v>
      </c>
      <c r="B2593" s="1">
        <v>7.1</v>
      </c>
    </row>
    <row r="2594" ht="14.25" customHeight="1">
      <c r="A2594" s="1" t="s">
        <v>12419</v>
      </c>
      <c r="B2594" s="1">
        <v>8.0</v>
      </c>
    </row>
    <row r="2595" ht="14.25" customHeight="1">
      <c r="A2595" s="1" t="s">
        <v>12424</v>
      </c>
      <c r="B2595" s="1">
        <v>5.1</v>
      </c>
    </row>
    <row r="2596" ht="14.25" customHeight="1">
      <c r="A2596" s="1" t="s">
        <v>9351</v>
      </c>
      <c r="B2596" s="1">
        <v>7.1</v>
      </c>
    </row>
    <row r="2597" ht="14.25" customHeight="1">
      <c r="A2597" s="1" t="s">
        <v>11814</v>
      </c>
      <c r="B2597" s="1">
        <v>6.5</v>
      </c>
    </row>
    <row r="2598" ht="14.25" customHeight="1">
      <c r="A2598" s="1" t="s">
        <v>4285</v>
      </c>
      <c r="B2598" s="1">
        <v>4.5</v>
      </c>
    </row>
    <row r="2599" ht="14.25" customHeight="1">
      <c r="A2599" s="1" t="s">
        <v>11271</v>
      </c>
      <c r="B2599" s="1">
        <v>6.6</v>
      </c>
    </row>
    <row r="2600" ht="14.25" customHeight="1">
      <c r="A2600" s="1" t="s">
        <v>550</v>
      </c>
      <c r="B2600" s="1">
        <v>4.3</v>
      </c>
    </row>
    <row r="2601" ht="14.25" customHeight="1">
      <c r="A2601" s="1" t="s">
        <v>11897</v>
      </c>
      <c r="B2601" s="1">
        <v>6.7</v>
      </c>
    </row>
    <row r="2602" ht="14.25" customHeight="1">
      <c r="A2602" s="1" t="s">
        <v>12455</v>
      </c>
      <c r="B2602" s="1">
        <v>5.4</v>
      </c>
    </row>
    <row r="2603" ht="14.25" customHeight="1">
      <c r="A2603" s="1" t="s">
        <v>3548</v>
      </c>
      <c r="B2603" s="1">
        <v>6.6</v>
      </c>
    </row>
    <row r="2604" ht="14.25" customHeight="1">
      <c r="A2604" s="1" t="s">
        <v>1644</v>
      </c>
      <c r="B2604" s="1">
        <v>7.3</v>
      </c>
    </row>
    <row r="2605" ht="14.25" customHeight="1">
      <c r="A2605" s="1" t="s">
        <v>8703</v>
      </c>
      <c r="B2605" s="1">
        <v>6.9</v>
      </c>
    </row>
    <row r="2606" ht="14.25" customHeight="1">
      <c r="A2606" s="1" t="s">
        <v>1656</v>
      </c>
      <c r="B2606" s="1">
        <v>8.0</v>
      </c>
    </row>
    <row r="2607" ht="14.25" customHeight="1">
      <c r="A2607" s="1" t="s">
        <v>11760</v>
      </c>
      <c r="B2607" s="1">
        <v>7.8</v>
      </c>
    </row>
    <row r="2608" ht="14.25" customHeight="1">
      <c r="A2608" s="1" t="s">
        <v>11814</v>
      </c>
      <c r="B2608" s="1">
        <v>6.1</v>
      </c>
    </row>
    <row r="2609" ht="14.25" customHeight="1">
      <c r="A2609" s="1" t="s">
        <v>12487</v>
      </c>
      <c r="B2609" s="1">
        <v>5.1</v>
      </c>
    </row>
    <row r="2610" ht="14.25" customHeight="1">
      <c r="A2610" s="1" t="s">
        <v>8037</v>
      </c>
      <c r="B2610" s="1">
        <v>7.4</v>
      </c>
    </row>
    <row r="2611" ht="14.25" customHeight="1">
      <c r="A2611" s="1" t="s">
        <v>12496</v>
      </c>
      <c r="B2611" s="1">
        <v>7.8</v>
      </c>
    </row>
    <row r="2612" ht="14.25" customHeight="1">
      <c r="A2612" s="1" t="s">
        <v>11987</v>
      </c>
      <c r="B2612" s="1">
        <v>8.0</v>
      </c>
    </row>
    <row r="2613" ht="14.25" customHeight="1">
      <c r="A2613" s="1" t="s">
        <v>11490</v>
      </c>
      <c r="B2613" s="1">
        <v>6.7</v>
      </c>
    </row>
    <row r="2614" ht="14.25" customHeight="1">
      <c r="A2614" s="1" t="s">
        <v>12511</v>
      </c>
      <c r="B2614" s="1">
        <v>6.6</v>
      </c>
    </row>
    <row r="2615" ht="14.25" customHeight="1">
      <c r="A2615" s="1" t="s">
        <v>12516</v>
      </c>
      <c r="B2615" s="1">
        <v>6.4</v>
      </c>
    </row>
    <row r="2616" ht="14.25" customHeight="1">
      <c r="A2616" s="1" t="s">
        <v>12520</v>
      </c>
      <c r="B2616" s="1">
        <v>6.7</v>
      </c>
    </row>
    <row r="2617" ht="14.25" customHeight="1">
      <c r="A2617" s="1" t="s">
        <v>12524</v>
      </c>
      <c r="B2617" s="1">
        <v>6.2</v>
      </c>
    </row>
    <row r="2618" ht="14.25" customHeight="1">
      <c r="A2618" s="1" t="s">
        <v>2994</v>
      </c>
      <c r="B2618" s="1">
        <v>7.3</v>
      </c>
    </row>
    <row r="2619" ht="14.25" customHeight="1">
      <c r="A2619" s="1" t="s">
        <v>12534</v>
      </c>
      <c r="B2619" s="1">
        <v>8.1</v>
      </c>
    </row>
    <row r="2620" ht="14.25" customHeight="1">
      <c r="A2620" s="1" t="s">
        <v>12541</v>
      </c>
      <c r="B2620" s="1">
        <v>7.0</v>
      </c>
    </row>
    <row r="2621" ht="14.25" customHeight="1">
      <c r="A2621" s="1" t="s">
        <v>4475</v>
      </c>
      <c r="B2621" s="1">
        <v>8.0</v>
      </c>
    </row>
    <row r="2622" ht="14.25" customHeight="1">
      <c r="A2622" s="1" t="s">
        <v>381</v>
      </c>
      <c r="B2622" s="1">
        <v>8.0</v>
      </c>
    </row>
    <row r="2623" ht="14.25" customHeight="1">
      <c r="A2623" s="1" t="s">
        <v>1661</v>
      </c>
      <c r="B2623" s="1">
        <v>7.0</v>
      </c>
    </row>
    <row r="2624" ht="14.25" customHeight="1">
      <c r="A2624" s="1" t="s">
        <v>12558</v>
      </c>
      <c r="B2624" s="1">
        <v>7.9</v>
      </c>
    </row>
    <row r="2625" ht="14.25" customHeight="1">
      <c r="A2625" s="1" t="s">
        <v>8363</v>
      </c>
      <c r="B2625" s="1">
        <v>5.9</v>
      </c>
    </row>
    <row r="2626" ht="14.25" customHeight="1">
      <c r="A2626" s="1" t="s">
        <v>1295</v>
      </c>
      <c r="B2626" s="1">
        <v>6.6</v>
      </c>
    </row>
    <row r="2627" ht="14.25" customHeight="1">
      <c r="A2627" s="1" t="s">
        <v>1295</v>
      </c>
      <c r="B2627" s="1">
        <v>6.3</v>
      </c>
    </row>
    <row r="2628" ht="14.25" customHeight="1">
      <c r="A2628" s="1" t="s">
        <v>8436</v>
      </c>
      <c r="B2628" s="1">
        <v>7.7</v>
      </c>
    </row>
    <row r="2629" ht="14.25" customHeight="1">
      <c r="A2629" s="1" t="s">
        <v>499</v>
      </c>
      <c r="B2629" s="1">
        <v>6.9</v>
      </c>
    </row>
    <row r="2630" ht="14.25" customHeight="1">
      <c r="A2630" s="1" t="s">
        <v>12582</v>
      </c>
      <c r="B2630" s="1">
        <v>7.1</v>
      </c>
    </row>
    <row r="2631" ht="14.25" customHeight="1">
      <c r="A2631" s="1" t="s">
        <v>1059</v>
      </c>
      <c r="B2631" s="1">
        <v>7.4</v>
      </c>
    </row>
    <row r="2632" ht="14.25" customHeight="1">
      <c r="A2632" s="1" t="s">
        <v>12590</v>
      </c>
      <c r="B2632" s="1">
        <v>6.5</v>
      </c>
    </row>
    <row r="2633" ht="14.25" customHeight="1">
      <c r="A2633" s="1" t="s">
        <v>5857</v>
      </c>
      <c r="B2633" s="1">
        <v>6.5</v>
      </c>
    </row>
    <row r="2634" ht="14.25" customHeight="1">
      <c r="A2634" s="1" t="s">
        <v>12603</v>
      </c>
      <c r="B2634" s="1">
        <v>6.8</v>
      </c>
    </row>
    <row r="2635" ht="14.25" customHeight="1">
      <c r="A2635" s="1" t="s">
        <v>1681</v>
      </c>
      <c r="B2635" s="1">
        <v>7.5</v>
      </c>
    </row>
    <row r="2636" ht="14.25" customHeight="1">
      <c r="A2636" s="1" t="s">
        <v>4942</v>
      </c>
      <c r="B2636" s="1">
        <v>6.6</v>
      </c>
    </row>
    <row r="2637" ht="14.25" customHeight="1">
      <c r="A2637" s="1" t="s">
        <v>1430</v>
      </c>
      <c r="B2637" s="1">
        <v>7.1</v>
      </c>
    </row>
    <row r="2638" ht="14.25" customHeight="1">
      <c r="A2638" s="1" t="s">
        <v>5751</v>
      </c>
      <c r="B2638" s="1">
        <v>6.6</v>
      </c>
    </row>
    <row r="2639" ht="14.25" customHeight="1">
      <c r="A2639" s="1" t="s">
        <v>2661</v>
      </c>
      <c r="B2639" s="1">
        <v>7.0</v>
      </c>
    </row>
    <row r="2640" ht="14.25" customHeight="1">
      <c r="A2640" s="1" t="s">
        <v>12628</v>
      </c>
      <c r="B2640" s="1">
        <v>3.3</v>
      </c>
    </row>
    <row r="2641" ht="14.25" customHeight="1">
      <c r="A2641" s="1" t="s">
        <v>12635</v>
      </c>
      <c r="B2641" s="1">
        <v>6.7</v>
      </c>
    </row>
    <row r="2642" ht="14.25" customHeight="1">
      <c r="A2642" s="1" t="s">
        <v>11893</v>
      </c>
      <c r="B2642" s="1">
        <v>6.8</v>
      </c>
    </row>
    <row r="2643" ht="14.25" customHeight="1">
      <c r="A2643" s="1" t="s">
        <v>12644</v>
      </c>
      <c r="B2643" s="1">
        <v>6.0</v>
      </c>
    </row>
    <row r="2644" ht="14.25" customHeight="1">
      <c r="A2644" s="1" t="s">
        <v>12648</v>
      </c>
      <c r="B2644" s="1">
        <v>5.4</v>
      </c>
    </row>
    <row r="2645" ht="14.25" customHeight="1">
      <c r="A2645" s="1" t="s">
        <v>12652</v>
      </c>
      <c r="B2645" s="1">
        <v>4.3</v>
      </c>
    </row>
    <row r="2646" ht="14.25" customHeight="1">
      <c r="A2646" s="1" t="s">
        <v>4345</v>
      </c>
      <c r="B2646" s="1">
        <v>6.2</v>
      </c>
    </row>
    <row r="2647" ht="14.25" customHeight="1">
      <c r="A2647" s="1" t="s">
        <v>12660</v>
      </c>
      <c r="B2647" s="1">
        <v>7.7</v>
      </c>
    </row>
    <row r="2648" ht="14.25" customHeight="1">
      <c r="A2648" s="1" t="s">
        <v>305</v>
      </c>
      <c r="B2648" s="1">
        <v>8.0</v>
      </c>
    </row>
    <row r="2649" ht="14.25" customHeight="1">
      <c r="A2649" s="1" t="s">
        <v>5519</v>
      </c>
      <c r="B2649" s="1">
        <v>7.4</v>
      </c>
    </row>
    <row r="2650" ht="14.25" customHeight="1">
      <c r="A2650" s="1" t="s">
        <v>12669</v>
      </c>
      <c r="B2650" s="1">
        <v>5.9</v>
      </c>
    </row>
    <row r="2651" ht="14.25" customHeight="1">
      <c r="A2651" s="1" t="s">
        <v>12676</v>
      </c>
      <c r="B2651" s="1">
        <v>7.8</v>
      </c>
    </row>
    <row r="2652" ht="14.25" customHeight="1">
      <c r="A2652" s="1" t="s">
        <v>4191</v>
      </c>
      <c r="B2652" s="1">
        <v>7.4</v>
      </c>
    </row>
    <row r="2653" ht="14.25" customHeight="1">
      <c r="A2653" s="1" t="s">
        <v>6783</v>
      </c>
      <c r="B2653" s="1">
        <v>6.5</v>
      </c>
    </row>
    <row r="2654" ht="14.25" customHeight="1">
      <c r="A2654" s="1" t="s">
        <v>4175</v>
      </c>
      <c r="B2654" s="1">
        <v>7.0</v>
      </c>
    </row>
    <row r="2655" ht="14.25" customHeight="1">
      <c r="A2655" s="1" t="s">
        <v>5299</v>
      </c>
      <c r="B2655" s="1">
        <v>7.6</v>
      </c>
    </row>
    <row r="2656" ht="14.25" customHeight="1">
      <c r="A2656" s="1" t="s">
        <v>10142</v>
      </c>
      <c r="B2656" s="1">
        <v>6.9</v>
      </c>
    </row>
    <row r="2657" ht="14.25" customHeight="1">
      <c r="A2657" s="1" t="s">
        <v>11643</v>
      </c>
      <c r="B2657" s="1">
        <v>5.3</v>
      </c>
    </row>
    <row r="2658" ht="14.25" customHeight="1">
      <c r="A2658" s="1" t="s">
        <v>12707</v>
      </c>
      <c r="B2658" s="1">
        <v>6.4</v>
      </c>
    </row>
    <row r="2659" ht="14.25" customHeight="1">
      <c r="A2659" s="1" t="s">
        <v>7671</v>
      </c>
      <c r="B2659" s="1">
        <v>7.8</v>
      </c>
    </row>
    <row r="2660" ht="14.25" customHeight="1">
      <c r="A2660" s="1" t="s">
        <v>12715</v>
      </c>
      <c r="B2660" s="1">
        <v>6.7</v>
      </c>
    </row>
    <row r="2661" ht="14.25" customHeight="1">
      <c r="A2661" s="1" t="s">
        <v>3717</v>
      </c>
      <c r="B2661" s="1">
        <v>5.3</v>
      </c>
    </row>
    <row r="2662" ht="14.25" customHeight="1">
      <c r="A2662" s="1" t="s">
        <v>7666</v>
      </c>
      <c r="B2662" s="1">
        <v>6.3</v>
      </c>
    </row>
    <row r="2663" ht="14.25" customHeight="1">
      <c r="A2663" s="1" t="s">
        <v>4285</v>
      </c>
      <c r="B2663" s="1">
        <v>7.0</v>
      </c>
    </row>
    <row r="2664" ht="14.25" customHeight="1">
      <c r="A2664" s="1" t="s">
        <v>5160</v>
      </c>
      <c r="B2664" s="1">
        <v>6.6</v>
      </c>
    </row>
    <row r="2665" ht="14.25" customHeight="1">
      <c r="A2665" s="1" t="s">
        <v>673</v>
      </c>
      <c r="B2665" s="1">
        <v>8.4</v>
      </c>
    </row>
    <row r="2666" ht="14.25" customHeight="1">
      <c r="A2666" s="1" t="s">
        <v>1973</v>
      </c>
      <c r="B2666" s="1">
        <v>6.0</v>
      </c>
    </row>
    <row r="2667" ht="14.25" customHeight="1">
      <c r="A2667" s="1" t="s">
        <v>12739</v>
      </c>
      <c r="B2667" s="1">
        <v>5.4</v>
      </c>
    </row>
    <row r="2668" ht="14.25" customHeight="1">
      <c r="A2668" s="1" t="s">
        <v>5434</v>
      </c>
      <c r="B2668" s="1">
        <v>7.8</v>
      </c>
    </row>
    <row r="2669" ht="14.25" customHeight="1">
      <c r="A2669" s="1" t="s">
        <v>1857</v>
      </c>
      <c r="B2669" s="1">
        <v>7.6</v>
      </c>
    </row>
    <row r="2670" ht="14.25" customHeight="1">
      <c r="A2670" s="1" t="s">
        <v>12751</v>
      </c>
      <c r="B2670" s="1">
        <v>6.6</v>
      </c>
    </row>
    <row r="2671" ht="14.25" customHeight="1">
      <c r="A2671" s="1" t="s">
        <v>12755</v>
      </c>
      <c r="B2671" s="1">
        <v>6.4</v>
      </c>
    </row>
    <row r="2672" ht="14.25" customHeight="1">
      <c r="A2672" s="1" t="s">
        <v>12762</v>
      </c>
      <c r="B2672" s="1">
        <v>7.0</v>
      </c>
    </row>
    <row r="2673" ht="14.25" customHeight="1">
      <c r="A2673" s="1" t="s">
        <v>12768</v>
      </c>
      <c r="B2673" s="1">
        <v>5.7</v>
      </c>
    </row>
    <row r="2674" ht="14.25" customHeight="1">
      <c r="A2674" s="1" t="s">
        <v>12773</v>
      </c>
      <c r="B2674" s="1">
        <v>5.9</v>
      </c>
    </row>
    <row r="2675" ht="14.25" customHeight="1">
      <c r="A2675" s="1" t="s">
        <v>10290</v>
      </c>
      <c r="B2675" s="1">
        <v>6.3</v>
      </c>
    </row>
    <row r="2676" ht="14.25" customHeight="1">
      <c r="A2676" s="1" t="s">
        <v>3797</v>
      </c>
      <c r="B2676" s="1">
        <v>6.3</v>
      </c>
    </row>
    <row r="2677" ht="14.25" customHeight="1">
      <c r="A2677" s="1" t="s">
        <v>3820</v>
      </c>
      <c r="B2677" s="1">
        <v>6.2</v>
      </c>
    </row>
    <row r="2678" ht="14.25" customHeight="1">
      <c r="A2678" s="1" t="s">
        <v>11282</v>
      </c>
      <c r="B2678" s="1">
        <v>2.1</v>
      </c>
    </row>
    <row r="2679" ht="14.25" customHeight="1">
      <c r="A2679" s="1" t="s">
        <v>4801</v>
      </c>
      <c r="B2679" s="1">
        <v>5.0</v>
      </c>
    </row>
    <row r="2680" ht="14.25" customHeight="1">
      <c r="A2680" s="1" t="s">
        <v>12796</v>
      </c>
      <c r="B2680" s="1">
        <v>5.3</v>
      </c>
    </row>
    <row r="2681" ht="14.25" customHeight="1">
      <c r="A2681" s="1" t="s">
        <v>8337</v>
      </c>
      <c r="B2681" s="1">
        <v>7.1</v>
      </c>
    </row>
    <row r="2682" ht="14.25" customHeight="1">
      <c r="A2682" s="1" t="s">
        <v>12806</v>
      </c>
      <c r="B2682" s="1">
        <v>7.0</v>
      </c>
    </row>
    <row r="2683" ht="14.25" customHeight="1">
      <c r="A2683" s="1" t="s">
        <v>6492</v>
      </c>
      <c r="B2683" s="1">
        <v>7.0</v>
      </c>
    </row>
    <row r="2684" ht="14.25" customHeight="1">
      <c r="A2684" s="1" t="s">
        <v>12816</v>
      </c>
      <c r="B2684" s="1">
        <v>7.1</v>
      </c>
    </row>
    <row r="2685" ht="14.25" customHeight="1">
      <c r="A2685" s="1" t="s">
        <v>12820</v>
      </c>
      <c r="B2685" s="1">
        <v>7.0</v>
      </c>
    </row>
    <row r="2686" ht="14.25" customHeight="1">
      <c r="A2686" s="1" t="s">
        <v>12824</v>
      </c>
      <c r="B2686" s="1">
        <v>7.7</v>
      </c>
    </row>
    <row r="2687" ht="14.25" customHeight="1">
      <c r="A2687" s="1" t="s">
        <v>12831</v>
      </c>
      <c r="B2687" s="1">
        <v>7.1</v>
      </c>
    </row>
    <row r="2688" ht="14.25" customHeight="1">
      <c r="A2688" s="1" t="s">
        <v>12837</v>
      </c>
      <c r="B2688" s="1">
        <v>6.8</v>
      </c>
    </row>
    <row r="2689" ht="14.25" customHeight="1">
      <c r="A2689" s="1" t="s">
        <v>6557</v>
      </c>
      <c r="B2689" s="1">
        <v>7.5</v>
      </c>
    </row>
    <row r="2690" ht="14.25" customHeight="1">
      <c r="A2690" s="1" t="s">
        <v>12845</v>
      </c>
      <c r="B2690" s="1">
        <v>6.3</v>
      </c>
    </row>
    <row r="2691" ht="14.25" customHeight="1">
      <c r="A2691" s="1" t="s">
        <v>12853</v>
      </c>
      <c r="B2691" s="1">
        <v>7.3</v>
      </c>
    </row>
    <row r="2692" ht="14.25" customHeight="1">
      <c r="A2692" s="1" t="s">
        <v>4775</v>
      </c>
      <c r="B2692" s="1">
        <v>6.8</v>
      </c>
    </row>
    <row r="2693" ht="14.25" customHeight="1">
      <c r="A2693" s="1" t="s">
        <v>12862</v>
      </c>
      <c r="B2693" s="1">
        <v>7.2</v>
      </c>
    </row>
    <row r="2694" ht="14.25" customHeight="1">
      <c r="A2694" s="1" t="s">
        <v>212</v>
      </c>
      <c r="B2694" s="1">
        <v>6.4</v>
      </c>
    </row>
    <row r="2695" ht="14.25" customHeight="1">
      <c r="A2695" s="1" t="s">
        <v>9335</v>
      </c>
      <c r="B2695" s="1">
        <v>6.0</v>
      </c>
    </row>
    <row r="2696" ht="14.25" customHeight="1">
      <c r="A2696" s="1" t="s">
        <v>11186</v>
      </c>
      <c r="B2696" s="1">
        <v>6.4</v>
      </c>
    </row>
    <row r="2697" ht="14.25" customHeight="1">
      <c r="A2697" s="1" t="s">
        <v>12877</v>
      </c>
      <c r="B2697" s="1">
        <v>7.5</v>
      </c>
    </row>
    <row r="2698" ht="14.25" customHeight="1">
      <c r="A2698" s="1" t="s">
        <v>12881</v>
      </c>
      <c r="B2698" s="1">
        <v>7.1</v>
      </c>
    </row>
    <row r="2699" ht="14.25" customHeight="1">
      <c r="A2699" s="1" t="s">
        <v>12889</v>
      </c>
      <c r="B2699" s="1">
        <v>4.6</v>
      </c>
    </row>
    <row r="2700" ht="14.25" customHeight="1">
      <c r="A2700" s="1" t="s">
        <v>12893</v>
      </c>
      <c r="B2700" s="1">
        <v>7.7</v>
      </c>
    </row>
    <row r="2701" ht="14.25" customHeight="1">
      <c r="A2701" s="1" t="s">
        <v>1130</v>
      </c>
      <c r="B2701" s="1">
        <v>6.7</v>
      </c>
    </row>
    <row r="2702" ht="14.25" customHeight="1">
      <c r="A2702" s="1" t="s">
        <v>1985</v>
      </c>
      <c r="B2702" s="1">
        <v>5.6</v>
      </c>
    </row>
    <row r="2703" ht="14.25" customHeight="1">
      <c r="A2703" s="1" t="s">
        <v>1238</v>
      </c>
      <c r="B2703" s="1">
        <v>8.3</v>
      </c>
    </row>
    <row r="2704" ht="14.25" customHeight="1">
      <c r="A2704" s="1" t="s">
        <v>11864</v>
      </c>
      <c r="B2704" s="1">
        <v>6.6</v>
      </c>
    </row>
    <row r="2705" ht="14.25" customHeight="1">
      <c r="A2705" s="1" t="s">
        <v>2700</v>
      </c>
      <c r="B2705" s="1">
        <v>7.2</v>
      </c>
    </row>
    <row r="2706" ht="14.25" customHeight="1">
      <c r="A2706" s="1" t="s">
        <v>1376</v>
      </c>
      <c r="B2706" s="1">
        <v>8.7</v>
      </c>
    </row>
    <row r="2707" ht="14.25" customHeight="1">
      <c r="A2707" s="1" t="s">
        <v>12921</v>
      </c>
      <c r="B2707" s="1">
        <v>6.0</v>
      </c>
    </row>
    <row r="2708" ht="14.25" customHeight="1">
      <c r="A2708" s="1" t="s">
        <v>8421</v>
      </c>
      <c r="B2708" s="1">
        <v>8.0</v>
      </c>
    </row>
    <row r="2709" ht="14.25" customHeight="1">
      <c r="A2709" s="1" t="s">
        <v>3859</v>
      </c>
      <c r="B2709" s="1">
        <v>4.5</v>
      </c>
    </row>
    <row r="2710" ht="14.25" customHeight="1">
      <c r="A2710" s="1" t="s">
        <v>3954</v>
      </c>
      <c r="B2710" s="1">
        <v>7.9</v>
      </c>
    </row>
    <row r="2711" ht="14.25" customHeight="1">
      <c r="A2711" s="1" t="s">
        <v>6543</v>
      </c>
      <c r="B2711" s="1">
        <v>7.5</v>
      </c>
    </row>
    <row r="2712" ht="14.25" customHeight="1">
      <c r="A2712" s="1" t="s">
        <v>12941</v>
      </c>
      <c r="B2712" s="1">
        <v>6.8</v>
      </c>
    </row>
    <row r="2713" ht="14.25" customHeight="1">
      <c r="A2713" s="1" t="s">
        <v>12946</v>
      </c>
      <c r="B2713" s="1">
        <v>7.2</v>
      </c>
    </row>
    <row r="2714" ht="14.25" customHeight="1">
      <c r="A2714" s="1" t="s">
        <v>1268</v>
      </c>
      <c r="B2714" s="1">
        <v>7.1</v>
      </c>
    </row>
    <row r="2715" ht="14.25" customHeight="1">
      <c r="A2715" s="1" t="s">
        <v>2502</v>
      </c>
      <c r="B2715" s="1">
        <v>7.4</v>
      </c>
    </row>
    <row r="2716" ht="14.25" customHeight="1">
      <c r="A2716" s="1" t="s">
        <v>7499</v>
      </c>
      <c r="B2716" s="1">
        <v>7.6</v>
      </c>
    </row>
    <row r="2717" ht="14.25" customHeight="1">
      <c r="A2717" s="1" t="s">
        <v>5688</v>
      </c>
      <c r="B2717" s="1">
        <v>6.9</v>
      </c>
    </row>
    <row r="2718" ht="14.25" customHeight="1">
      <c r="A2718" s="1" t="s">
        <v>11040</v>
      </c>
      <c r="B2718" s="1">
        <v>6.0</v>
      </c>
    </row>
    <row r="2719" ht="14.25" customHeight="1">
      <c r="A2719" s="1" t="s">
        <v>11615</v>
      </c>
      <c r="B2719" s="1">
        <v>7.3</v>
      </c>
    </row>
    <row r="2720" ht="14.25" customHeight="1">
      <c r="A2720" s="1" t="s">
        <v>12975</v>
      </c>
      <c r="B2720" s="1">
        <v>4.6</v>
      </c>
    </row>
    <row r="2721" ht="14.25" customHeight="1">
      <c r="A2721" s="1" t="s">
        <v>2161</v>
      </c>
      <c r="B2721" s="1">
        <v>6.0</v>
      </c>
    </row>
    <row r="2722" ht="14.25" customHeight="1">
      <c r="A2722" s="1" t="s">
        <v>6957</v>
      </c>
      <c r="B2722" s="1">
        <v>5.5</v>
      </c>
    </row>
    <row r="2723" ht="14.25" customHeight="1">
      <c r="A2723" s="1" t="s">
        <v>12989</v>
      </c>
      <c r="B2723" s="1">
        <v>7.5</v>
      </c>
    </row>
    <row r="2724" ht="14.25" customHeight="1">
      <c r="A2724" s="1" t="s">
        <v>12995</v>
      </c>
      <c r="B2724" s="1">
        <v>6.3</v>
      </c>
    </row>
    <row r="2725" ht="14.25" customHeight="1">
      <c r="A2725" s="1" t="s">
        <v>5727</v>
      </c>
      <c r="B2725" s="1">
        <v>5.1</v>
      </c>
    </row>
    <row r="2726" ht="14.25" customHeight="1">
      <c r="A2726" s="1" t="s">
        <v>13002</v>
      </c>
      <c r="B2726" s="1">
        <v>6.8</v>
      </c>
    </row>
    <row r="2727" ht="14.25" customHeight="1">
      <c r="A2727" s="1" t="s">
        <v>13008</v>
      </c>
      <c r="B2727" s="1">
        <v>5.3</v>
      </c>
    </row>
    <row r="2728" ht="14.25" customHeight="1">
      <c r="A2728" s="1" t="s">
        <v>13012</v>
      </c>
      <c r="B2728" s="1">
        <v>7.3</v>
      </c>
    </row>
    <row r="2729" ht="14.25" customHeight="1">
      <c r="A2729" s="1" t="s">
        <v>13016</v>
      </c>
      <c r="B2729" s="1">
        <v>7.3</v>
      </c>
    </row>
    <row r="2730" ht="14.25" customHeight="1">
      <c r="A2730" s="1" t="s">
        <v>1067</v>
      </c>
      <c r="B2730" s="1">
        <v>7.1</v>
      </c>
    </row>
    <row r="2731" ht="14.25" customHeight="1">
      <c r="A2731" s="1" t="s">
        <v>71</v>
      </c>
      <c r="B2731" s="1">
        <v>7.6</v>
      </c>
    </row>
    <row r="2732" ht="14.25" customHeight="1">
      <c r="A2732" s="1" t="s">
        <v>13027</v>
      </c>
      <c r="B2732" s="1">
        <v>5.3</v>
      </c>
    </row>
    <row r="2733" ht="14.25" customHeight="1">
      <c r="A2733" s="1" t="s">
        <v>7160</v>
      </c>
      <c r="B2733" s="1">
        <v>7.8</v>
      </c>
    </row>
    <row r="2734" ht="14.25" customHeight="1">
      <c r="A2734" s="1" t="s">
        <v>13036</v>
      </c>
      <c r="B2734" s="1">
        <v>7.7</v>
      </c>
    </row>
    <row r="2735" ht="14.25" customHeight="1">
      <c r="A2735" s="1" t="s">
        <v>10383</v>
      </c>
      <c r="B2735" s="1">
        <v>7.7</v>
      </c>
    </row>
    <row r="2736" ht="14.25" customHeight="1">
      <c r="A2736" s="1" t="s">
        <v>13045</v>
      </c>
      <c r="B2736" s="1">
        <v>5.4</v>
      </c>
    </row>
    <row r="2737" ht="14.25" customHeight="1">
      <c r="A2737" s="1" t="s">
        <v>9482</v>
      </c>
      <c r="B2737" s="1">
        <v>6.2</v>
      </c>
    </row>
    <row r="2738" ht="14.25" customHeight="1">
      <c r="A2738" s="1" t="s">
        <v>6676</v>
      </c>
      <c r="B2738" s="1">
        <v>7.4</v>
      </c>
    </row>
    <row r="2739" ht="14.25" customHeight="1">
      <c r="A2739" s="1" t="s">
        <v>1432</v>
      </c>
      <c r="B2739" s="1">
        <v>6.2</v>
      </c>
    </row>
    <row r="2740" ht="14.25" customHeight="1">
      <c r="A2740" s="1" t="s">
        <v>13060</v>
      </c>
      <c r="B2740" s="1">
        <v>5.1</v>
      </c>
    </row>
    <row r="2741" ht="14.25" customHeight="1">
      <c r="A2741" s="1" t="s">
        <v>13066</v>
      </c>
      <c r="B2741" s="1">
        <v>6.8</v>
      </c>
    </row>
    <row r="2742" ht="14.25" customHeight="1">
      <c r="A2742" s="1" t="s">
        <v>6957</v>
      </c>
      <c r="B2742" s="1">
        <v>7.4</v>
      </c>
    </row>
    <row r="2743" ht="14.25" customHeight="1">
      <c r="A2743" s="1" t="s">
        <v>13073</v>
      </c>
      <c r="B2743" s="1">
        <v>5.8</v>
      </c>
    </row>
    <row r="2744" ht="14.25" customHeight="1">
      <c r="A2744" s="1" t="s">
        <v>13078</v>
      </c>
      <c r="B2744" s="1">
        <v>6.4</v>
      </c>
    </row>
    <row r="2745" ht="14.25" customHeight="1">
      <c r="A2745" s="1" t="s">
        <v>13085</v>
      </c>
      <c r="B2745" s="1">
        <v>6.0</v>
      </c>
    </row>
    <row r="2746" ht="14.25" customHeight="1">
      <c r="A2746" s="1" t="s">
        <v>5620</v>
      </c>
      <c r="B2746" s="1">
        <v>6.9</v>
      </c>
    </row>
    <row r="2747" ht="14.25" customHeight="1">
      <c r="A2747" s="1" t="s">
        <v>13097</v>
      </c>
      <c r="B2747" s="1">
        <v>5.5</v>
      </c>
    </row>
    <row r="2748" ht="14.25" customHeight="1">
      <c r="A2748" s="1" t="s">
        <v>13102</v>
      </c>
      <c r="B2748" s="1">
        <v>5.4</v>
      </c>
    </row>
    <row r="2749" ht="14.25" customHeight="1">
      <c r="A2749" s="1" t="s">
        <v>3536</v>
      </c>
      <c r="B2749" s="1">
        <v>8.3</v>
      </c>
    </row>
    <row r="2750" ht="14.25" customHeight="1">
      <c r="A2750" s="1" t="s">
        <v>381</v>
      </c>
      <c r="B2750" s="1">
        <v>7.9</v>
      </c>
    </row>
    <row r="2751" ht="14.25" customHeight="1">
      <c r="A2751" s="1" t="s">
        <v>13118</v>
      </c>
      <c r="B2751" s="1">
        <v>6.5</v>
      </c>
    </row>
    <row r="2752" ht="14.25" customHeight="1">
      <c r="A2752" s="1" t="s">
        <v>13123</v>
      </c>
      <c r="B2752" s="1">
        <v>6.6</v>
      </c>
    </row>
    <row r="2753" ht="14.25" customHeight="1">
      <c r="A2753" s="1" t="s">
        <v>5676</v>
      </c>
      <c r="B2753" s="1">
        <v>8.3</v>
      </c>
    </row>
    <row r="2754" ht="14.25" customHeight="1">
      <c r="A2754" s="1" t="s">
        <v>13132</v>
      </c>
      <c r="B2754" s="1">
        <v>6.2</v>
      </c>
    </row>
    <row r="2755" ht="14.25" customHeight="1">
      <c r="A2755" s="1" t="s">
        <v>2580</v>
      </c>
      <c r="B2755" s="1">
        <v>6.9</v>
      </c>
    </row>
    <row r="2756" ht="14.25" customHeight="1">
      <c r="A2756" s="1" t="s">
        <v>1120</v>
      </c>
      <c r="B2756" s="1">
        <v>5.9</v>
      </c>
    </row>
    <row r="2757" ht="14.25" customHeight="1">
      <c r="A2757" s="1" t="s">
        <v>13145</v>
      </c>
      <c r="B2757" s="1">
        <v>6.1</v>
      </c>
    </row>
    <row r="2758" ht="14.25" customHeight="1">
      <c r="A2758" s="1" t="s">
        <v>11282</v>
      </c>
      <c r="B2758" s="1">
        <v>5.8</v>
      </c>
    </row>
    <row r="2759" ht="14.25" customHeight="1">
      <c r="A2759" s="1" t="s">
        <v>6607</v>
      </c>
      <c r="B2759" s="1">
        <v>7.3</v>
      </c>
    </row>
    <row r="2760" ht="14.25" customHeight="1">
      <c r="A2760" s="1" t="s">
        <v>13132</v>
      </c>
      <c r="B2760" s="1">
        <v>5.9</v>
      </c>
    </row>
    <row r="2761" ht="14.25" customHeight="1">
      <c r="A2761" s="1" t="s">
        <v>6455</v>
      </c>
      <c r="B2761" s="1">
        <v>5.5</v>
      </c>
    </row>
    <row r="2762" ht="14.25" customHeight="1">
      <c r="A2762" s="1" t="s">
        <v>8809</v>
      </c>
      <c r="B2762" s="1">
        <v>5.0</v>
      </c>
    </row>
    <row r="2763" ht="14.25" customHeight="1">
      <c r="A2763" s="1" t="s">
        <v>472</v>
      </c>
      <c r="B2763" s="1">
        <v>7.0</v>
      </c>
    </row>
    <row r="2764" ht="14.25" customHeight="1">
      <c r="A2764" s="1" t="s">
        <v>4205</v>
      </c>
      <c r="B2764" s="1">
        <v>6.4</v>
      </c>
    </row>
    <row r="2765" ht="14.25" customHeight="1">
      <c r="A2765" s="1" t="s">
        <v>9938</v>
      </c>
      <c r="B2765" s="1">
        <v>5.9</v>
      </c>
    </row>
    <row r="2766" ht="14.25" customHeight="1">
      <c r="A2766" s="1" t="s">
        <v>2093</v>
      </c>
      <c r="B2766" s="1">
        <v>7.0</v>
      </c>
    </row>
    <row r="2767" ht="14.25" customHeight="1">
      <c r="A2767" s="1" t="s">
        <v>8898</v>
      </c>
      <c r="B2767" s="1">
        <v>6.1</v>
      </c>
    </row>
    <row r="2768" ht="14.25" customHeight="1">
      <c r="A2768" s="1" t="s">
        <v>4205</v>
      </c>
      <c r="B2768" s="1">
        <v>6.9</v>
      </c>
    </row>
    <row r="2769" ht="14.25" customHeight="1">
      <c r="A2769" s="1" t="s">
        <v>13184</v>
      </c>
      <c r="B2769" s="1">
        <v>7.5</v>
      </c>
    </row>
    <row r="2770" ht="14.25" customHeight="1">
      <c r="A2770" s="1" t="s">
        <v>4291</v>
      </c>
      <c r="B2770" s="1">
        <v>7.3</v>
      </c>
    </row>
    <row r="2771" ht="14.25" customHeight="1">
      <c r="A2771" s="1" t="s">
        <v>13194</v>
      </c>
      <c r="B2771" s="1">
        <v>6.5</v>
      </c>
    </row>
    <row r="2772" ht="14.25" customHeight="1">
      <c r="A2772" s="1" t="s">
        <v>808</v>
      </c>
      <c r="B2772" s="1">
        <v>6.2</v>
      </c>
    </row>
    <row r="2773" ht="14.25" customHeight="1">
      <c r="A2773" s="1" t="s">
        <v>10087</v>
      </c>
      <c r="B2773" s="1">
        <v>6.0</v>
      </c>
    </row>
    <row r="2774" ht="14.25" customHeight="1">
      <c r="A2774" s="1" t="s">
        <v>12644</v>
      </c>
      <c r="B2774" s="1">
        <v>6.3</v>
      </c>
    </row>
    <row r="2775" ht="14.25" customHeight="1">
      <c r="A2775" s="1" t="s">
        <v>13212</v>
      </c>
      <c r="B2775" s="1">
        <v>5.8</v>
      </c>
    </row>
    <row r="2776" ht="14.25" customHeight="1">
      <c r="A2776" s="1" t="s">
        <v>13134</v>
      </c>
      <c r="B2776" s="1">
        <v>6.1</v>
      </c>
    </row>
    <row r="2777" ht="14.25" customHeight="1">
      <c r="A2777" s="1" t="s">
        <v>13220</v>
      </c>
      <c r="B2777" s="1">
        <v>6.9</v>
      </c>
    </row>
    <row r="2778" ht="14.25" customHeight="1">
      <c r="A2778" s="1" t="s">
        <v>1238</v>
      </c>
      <c r="B2778" s="1">
        <v>8.3</v>
      </c>
    </row>
    <row r="2779" ht="14.25" customHeight="1">
      <c r="A2779" s="1" t="s">
        <v>7931</v>
      </c>
      <c r="B2779" s="1">
        <v>5.4</v>
      </c>
    </row>
    <row r="2780" ht="14.25" customHeight="1">
      <c r="A2780" s="1" t="s">
        <v>13232</v>
      </c>
      <c r="B2780" s="1">
        <v>6.7</v>
      </c>
    </row>
    <row r="2781" ht="14.25" customHeight="1">
      <c r="A2781" s="1" t="s">
        <v>6697</v>
      </c>
      <c r="B2781" s="1">
        <v>7.4</v>
      </c>
    </row>
    <row r="2782" ht="14.25" customHeight="1">
      <c r="A2782" s="1" t="s">
        <v>13240</v>
      </c>
      <c r="B2782" s="1">
        <v>5.6</v>
      </c>
    </row>
    <row r="2783" ht="14.25" customHeight="1">
      <c r="A2783" s="1" t="s">
        <v>2700</v>
      </c>
      <c r="B2783" s="1">
        <v>6.5</v>
      </c>
    </row>
    <row r="2784" ht="14.25" customHeight="1">
      <c r="A2784" s="1" t="s">
        <v>13250</v>
      </c>
      <c r="B2784" s="1">
        <v>6.5</v>
      </c>
    </row>
    <row r="2785" ht="14.25" customHeight="1">
      <c r="A2785" s="1" t="s">
        <v>3680</v>
      </c>
      <c r="B2785" s="1">
        <v>5.8</v>
      </c>
    </row>
    <row r="2786" ht="14.25" customHeight="1">
      <c r="A2786" s="1" t="s">
        <v>8818</v>
      </c>
      <c r="B2786" s="1">
        <v>5.0</v>
      </c>
    </row>
    <row r="2787" ht="14.25" customHeight="1">
      <c r="A2787" s="1" t="s">
        <v>13261</v>
      </c>
      <c r="B2787" s="1">
        <v>5.5</v>
      </c>
    </row>
    <row r="2788" ht="14.25" customHeight="1">
      <c r="A2788" s="1" t="s">
        <v>9603</v>
      </c>
      <c r="B2788" s="1">
        <v>6.5</v>
      </c>
    </row>
    <row r="2789" ht="14.25" customHeight="1">
      <c r="A2789" s="1" t="s">
        <v>4578</v>
      </c>
      <c r="B2789" s="1">
        <v>7.2</v>
      </c>
    </row>
    <row r="2790" ht="14.25" customHeight="1">
      <c r="A2790" s="1" t="s">
        <v>13272</v>
      </c>
      <c r="B2790" s="1">
        <v>5.2</v>
      </c>
    </row>
    <row r="2791" ht="14.25" customHeight="1">
      <c r="A2791" s="1" t="s">
        <v>13278</v>
      </c>
      <c r="B2791" s="1">
        <v>5.7</v>
      </c>
    </row>
    <row r="2792" ht="14.25" customHeight="1">
      <c r="A2792" s="1" t="s">
        <v>12030</v>
      </c>
      <c r="B2792" s="1">
        <v>4.7</v>
      </c>
    </row>
    <row r="2793" ht="14.25" customHeight="1">
      <c r="A2793" s="1" t="s">
        <v>13286</v>
      </c>
      <c r="B2793" s="1">
        <v>5.9</v>
      </c>
    </row>
    <row r="2794" ht="14.25" customHeight="1">
      <c r="A2794" s="1" t="s">
        <v>10622</v>
      </c>
      <c r="B2794" s="1">
        <v>6.8</v>
      </c>
    </row>
    <row r="2795" ht="14.25" customHeight="1">
      <c r="A2795" s="1" t="s">
        <v>13293</v>
      </c>
      <c r="B2795" s="1">
        <v>5.9</v>
      </c>
    </row>
    <row r="2796" ht="14.25" customHeight="1">
      <c r="A2796" s="1" t="s">
        <v>5083</v>
      </c>
      <c r="B2796" s="1">
        <v>7.7</v>
      </c>
    </row>
    <row r="2797" ht="14.25" customHeight="1">
      <c r="A2797" s="1" t="s">
        <v>6139</v>
      </c>
      <c r="B2797" s="1">
        <v>4.4</v>
      </c>
    </row>
    <row r="2798" ht="14.25" customHeight="1">
      <c r="A2798" s="1" t="s">
        <v>4291</v>
      </c>
      <c r="B2798" s="1">
        <v>6.6</v>
      </c>
    </row>
    <row r="2799" ht="14.25" customHeight="1">
      <c r="A2799" s="1" t="s">
        <v>13308</v>
      </c>
      <c r="B2799" s="1">
        <v>6.7</v>
      </c>
    </row>
    <row r="2800" ht="14.25" customHeight="1">
      <c r="A2800" s="1" t="s">
        <v>10537</v>
      </c>
      <c r="B2800" s="1">
        <v>5.5</v>
      </c>
    </row>
    <row r="2801" ht="14.25" customHeight="1">
      <c r="A2801" s="1" t="s">
        <v>4801</v>
      </c>
      <c r="B2801" s="1">
        <v>6.5</v>
      </c>
    </row>
    <row r="2802" ht="14.25" customHeight="1">
      <c r="A2802" s="1" t="s">
        <v>4713</v>
      </c>
      <c r="B2802" s="1">
        <v>6.2</v>
      </c>
    </row>
    <row r="2803" ht="14.25" customHeight="1">
      <c r="A2803" s="1" t="s">
        <v>1819</v>
      </c>
      <c r="B2803" s="1">
        <v>7.1</v>
      </c>
    </row>
    <row r="2804" ht="14.25" customHeight="1">
      <c r="A2804" s="1" t="s">
        <v>13330</v>
      </c>
      <c r="B2804" s="1">
        <v>6.1</v>
      </c>
    </row>
    <row r="2805" ht="14.25" customHeight="1">
      <c r="A2805" s="1" t="s">
        <v>11760</v>
      </c>
      <c r="B2805" s="1">
        <v>6.0</v>
      </c>
    </row>
    <row r="2806" ht="14.25" customHeight="1">
      <c r="A2806" s="1" t="s">
        <v>10913</v>
      </c>
      <c r="B2806" s="1">
        <v>7.4</v>
      </c>
    </row>
    <row r="2807" ht="14.25" customHeight="1">
      <c r="A2807" s="1" t="s">
        <v>13342</v>
      </c>
      <c r="B2807" s="1">
        <v>5.9</v>
      </c>
    </row>
    <row r="2808" ht="14.25" customHeight="1">
      <c r="A2808" s="1" t="s">
        <v>13347</v>
      </c>
      <c r="B2808" s="1">
        <v>4.1</v>
      </c>
    </row>
    <row r="2809" ht="14.25" customHeight="1">
      <c r="A2809" s="1" t="s">
        <v>13354</v>
      </c>
      <c r="B2809" s="1">
        <v>5.9</v>
      </c>
    </row>
    <row r="2810" ht="14.25" customHeight="1">
      <c r="A2810" s="1" t="s">
        <v>13016</v>
      </c>
      <c r="B2810" s="1">
        <v>7.0</v>
      </c>
    </row>
    <row r="2811" ht="14.25" customHeight="1">
      <c r="A2811" s="1" t="s">
        <v>6469</v>
      </c>
      <c r="B2811" s="1">
        <v>6.8</v>
      </c>
    </row>
    <row r="2812" ht="14.25" customHeight="1">
      <c r="A2812" s="1" t="s">
        <v>13364</v>
      </c>
      <c r="B2812" s="1">
        <v>7.4</v>
      </c>
    </row>
    <row r="2813" ht="14.25" customHeight="1">
      <c r="A2813" s="1" t="s">
        <v>13368</v>
      </c>
      <c r="B2813" s="1">
        <v>7.1</v>
      </c>
    </row>
    <row r="2814" ht="14.25" customHeight="1">
      <c r="A2814" s="1" t="s">
        <v>13372</v>
      </c>
      <c r="B2814" s="1">
        <v>7.0</v>
      </c>
    </row>
    <row r="2815" ht="14.25" customHeight="1">
      <c r="A2815" s="1" t="s">
        <v>7075</v>
      </c>
      <c r="B2815" s="1">
        <v>5.8</v>
      </c>
    </row>
    <row r="2816" ht="14.25" customHeight="1">
      <c r="A2816" s="1" t="s">
        <v>12603</v>
      </c>
      <c r="B2816" s="1">
        <v>7.8</v>
      </c>
    </row>
    <row r="2817" ht="14.25" customHeight="1">
      <c r="A2817" s="1" t="s">
        <v>13385</v>
      </c>
      <c r="B2817" s="1">
        <v>6.5</v>
      </c>
    </row>
    <row r="2818" ht="14.25" customHeight="1">
      <c r="A2818" s="1" t="s">
        <v>247</v>
      </c>
      <c r="B2818" s="1">
        <v>7.0</v>
      </c>
    </row>
    <row r="2819" ht="14.25" customHeight="1">
      <c r="A2819" s="1" t="s">
        <v>217</v>
      </c>
      <c r="B2819" s="1">
        <v>6.3</v>
      </c>
    </row>
    <row r="2820" ht="14.25" customHeight="1">
      <c r="A2820" s="1" t="s">
        <v>11180</v>
      </c>
      <c r="B2820" s="1">
        <v>5.3</v>
      </c>
    </row>
    <row r="2821" ht="14.25" customHeight="1">
      <c r="A2821" s="1" t="s">
        <v>13400</v>
      </c>
      <c r="B2821" s="1">
        <v>5.5</v>
      </c>
    </row>
    <row r="2822" ht="14.25" customHeight="1">
      <c r="A2822" s="1" t="s">
        <v>5299</v>
      </c>
      <c r="B2822" s="1">
        <v>7.4</v>
      </c>
    </row>
    <row r="2823" ht="14.25" customHeight="1">
      <c r="A2823" s="1" t="s">
        <v>8151</v>
      </c>
      <c r="B2823" s="1">
        <v>4.3</v>
      </c>
    </row>
    <row r="2824" ht="14.25" customHeight="1">
      <c r="A2824" s="1" t="s">
        <v>1730</v>
      </c>
      <c r="B2824" s="1">
        <v>6.0</v>
      </c>
    </row>
    <row r="2825" ht="14.25" customHeight="1">
      <c r="A2825" s="1" t="s">
        <v>13411</v>
      </c>
      <c r="B2825" s="1">
        <v>5.2</v>
      </c>
    </row>
    <row r="2826" ht="14.25" customHeight="1">
      <c r="A2826" s="1" t="s">
        <v>13415</v>
      </c>
      <c r="B2826" s="1">
        <v>6.7</v>
      </c>
    </row>
    <row r="2827" ht="14.25" customHeight="1">
      <c r="A2827" s="1" t="s">
        <v>13421</v>
      </c>
      <c r="B2827" s="1">
        <v>8.6</v>
      </c>
    </row>
    <row r="2828" ht="14.25" customHeight="1">
      <c r="A2828" s="1" t="s">
        <v>13425</v>
      </c>
      <c r="B2828" s="1">
        <v>6.1</v>
      </c>
    </row>
    <row r="2829" ht="14.25" customHeight="1">
      <c r="A2829" s="1" t="s">
        <v>13431</v>
      </c>
      <c r="B2829" s="1">
        <v>5.8</v>
      </c>
    </row>
    <row r="2830" ht="14.25" customHeight="1">
      <c r="A2830" s="1" t="s">
        <v>13435</v>
      </c>
      <c r="B2830" s="1">
        <v>7.7</v>
      </c>
    </row>
    <row r="2831" ht="14.25" customHeight="1">
      <c r="A2831" s="1" t="s">
        <v>5514</v>
      </c>
      <c r="B2831" s="1">
        <v>8.0</v>
      </c>
    </row>
    <row r="2832" ht="14.25" customHeight="1">
      <c r="A2832" s="1" t="s">
        <v>13447</v>
      </c>
      <c r="B2832" s="1">
        <v>5.6</v>
      </c>
    </row>
    <row r="2833" ht="14.25" customHeight="1">
      <c r="A2833" s="1" t="s">
        <v>13452</v>
      </c>
      <c r="B2833" s="1">
        <v>6.7</v>
      </c>
    </row>
    <row r="2834" ht="14.25" customHeight="1">
      <c r="A2834" s="1" t="s">
        <v>10142</v>
      </c>
      <c r="B2834" s="1">
        <v>6.6</v>
      </c>
    </row>
    <row r="2835" ht="14.25" customHeight="1">
      <c r="A2835" s="1" t="s">
        <v>13460</v>
      </c>
      <c r="B2835" s="1">
        <v>4.1</v>
      </c>
    </row>
    <row r="2836" ht="14.25" customHeight="1">
      <c r="A2836" s="1" t="s">
        <v>9241</v>
      </c>
      <c r="B2836" s="1">
        <v>7.3</v>
      </c>
    </row>
    <row r="2837" ht="14.25" customHeight="1">
      <c r="A2837" s="1" t="s">
        <v>13470</v>
      </c>
      <c r="B2837" s="1">
        <v>6.5</v>
      </c>
    </row>
    <row r="2838" ht="14.25" customHeight="1">
      <c r="A2838" s="1" t="s">
        <v>13475</v>
      </c>
      <c r="B2838" s="1">
        <v>7.0</v>
      </c>
    </row>
    <row r="2839" ht="14.25" customHeight="1">
      <c r="A2839" s="1" t="s">
        <v>13482</v>
      </c>
      <c r="B2839" s="1">
        <v>5.5</v>
      </c>
    </row>
    <row r="2840" ht="14.25" customHeight="1">
      <c r="A2840" s="1" t="s">
        <v>13486</v>
      </c>
      <c r="B2840" s="1">
        <v>6.6</v>
      </c>
    </row>
    <row r="2841" ht="14.25" customHeight="1">
      <c r="A2841" s="1" t="s">
        <v>1456</v>
      </c>
      <c r="B2841" s="1">
        <v>7.1</v>
      </c>
    </row>
    <row r="2842" ht="14.25" customHeight="1">
      <c r="A2842" s="1" t="s">
        <v>7959</v>
      </c>
      <c r="B2842" s="1">
        <v>7.9</v>
      </c>
    </row>
    <row r="2843" ht="14.25" customHeight="1">
      <c r="A2843" s="1" t="s">
        <v>13497</v>
      </c>
      <c r="B2843" s="1">
        <v>7.1</v>
      </c>
    </row>
    <row r="2844" ht="14.25" customHeight="1">
      <c r="A2844" s="1" t="s">
        <v>13501</v>
      </c>
      <c r="B2844" s="1">
        <v>5.6</v>
      </c>
    </row>
    <row r="2845" ht="14.25" customHeight="1">
      <c r="A2845" s="1" t="s">
        <v>8898</v>
      </c>
      <c r="B2845" s="1">
        <v>7.3</v>
      </c>
    </row>
    <row r="2846" ht="14.25" customHeight="1">
      <c r="A2846" s="1" t="s">
        <v>13510</v>
      </c>
      <c r="B2846" s="1">
        <v>3.3</v>
      </c>
    </row>
    <row r="2847" ht="14.25" customHeight="1">
      <c r="A2847" s="1" t="s">
        <v>4801</v>
      </c>
      <c r="B2847" s="1">
        <v>6.5</v>
      </c>
    </row>
    <row r="2848" ht="14.25" customHeight="1">
      <c r="A2848" s="1" t="s">
        <v>13518</v>
      </c>
      <c r="B2848" s="1">
        <v>4.8</v>
      </c>
    </row>
    <row r="2849" ht="14.25" customHeight="1">
      <c r="A2849" s="1" t="s">
        <v>13525</v>
      </c>
      <c r="B2849" s="1">
        <v>5.2</v>
      </c>
    </row>
    <row r="2850" ht="14.25" customHeight="1">
      <c r="A2850" s="1" t="s">
        <v>13529</v>
      </c>
      <c r="B2850" s="1">
        <v>6.3</v>
      </c>
    </row>
    <row r="2851" ht="14.25" customHeight="1">
      <c r="A2851" s="1" t="s">
        <v>190</v>
      </c>
      <c r="B2851" s="1">
        <v>7.2</v>
      </c>
    </row>
    <row r="2852" ht="14.25" customHeight="1">
      <c r="A2852" s="1" t="s">
        <v>5104</v>
      </c>
      <c r="B2852" s="1">
        <v>6.8</v>
      </c>
    </row>
    <row r="2853" ht="14.25" customHeight="1">
      <c r="A2853" s="1" t="s">
        <v>13543</v>
      </c>
      <c r="B2853" s="1">
        <v>5.7</v>
      </c>
    </row>
    <row r="2854" ht="14.25" customHeight="1">
      <c r="A2854" s="1" t="s">
        <v>9351</v>
      </c>
      <c r="B2854" s="1">
        <v>7.2</v>
      </c>
    </row>
    <row r="2855" ht="14.25" customHeight="1">
      <c r="A2855" s="1" t="s">
        <v>7518</v>
      </c>
      <c r="B2855" s="1">
        <v>6.9</v>
      </c>
    </row>
    <row r="2856" ht="14.25" customHeight="1">
      <c r="A2856" s="1" t="s">
        <v>12358</v>
      </c>
      <c r="B2856" s="1">
        <v>6.2</v>
      </c>
    </row>
    <row r="2857" ht="14.25" customHeight="1">
      <c r="A2857" s="1" t="s">
        <v>4475</v>
      </c>
      <c r="B2857" s="1">
        <v>6.7</v>
      </c>
    </row>
    <row r="2858" ht="14.25" customHeight="1">
      <c r="A2858" s="1" t="s">
        <v>13561</v>
      </c>
      <c r="B2858" s="1">
        <v>6.5</v>
      </c>
    </row>
    <row r="2859" ht="14.25" customHeight="1">
      <c r="A2859" s="1" t="s">
        <v>13566</v>
      </c>
      <c r="B2859" s="1">
        <v>7.2</v>
      </c>
    </row>
    <row r="2860" ht="14.25" customHeight="1">
      <c r="A2860" s="1" t="s">
        <v>13570</v>
      </c>
      <c r="B2860" s="1">
        <v>5.3</v>
      </c>
    </row>
    <row r="2861" ht="14.25" customHeight="1">
      <c r="A2861" s="1" t="s">
        <v>6557</v>
      </c>
      <c r="B2861" s="1">
        <v>6.7</v>
      </c>
    </row>
    <row r="2862" ht="14.25" customHeight="1">
      <c r="A2862" s="1" t="s">
        <v>1238</v>
      </c>
      <c r="B2862" s="1">
        <v>3.6</v>
      </c>
    </row>
    <row r="2863" ht="14.25" customHeight="1">
      <c r="A2863" s="1" t="s">
        <v>13582</v>
      </c>
      <c r="B2863" s="1">
        <v>5.7</v>
      </c>
    </row>
    <row r="2864" ht="14.25" customHeight="1">
      <c r="A2864" s="1" t="s">
        <v>10171</v>
      </c>
      <c r="B2864" s="1">
        <v>7.3</v>
      </c>
    </row>
    <row r="2865" ht="14.25" customHeight="1">
      <c r="A2865" s="1" t="s">
        <v>12513</v>
      </c>
      <c r="B2865" s="1">
        <v>5.0</v>
      </c>
    </row>
    <row r="2866" ht="14.25" customHeight="1">
      <c r="A2866" s="1" t="s">
        <v>4729</v>
      </c>
      <c r="B2866" s="1">
        <v>6.6</v>
      </c>
    </row>
    <row r="2867" ht="14.25" customHeight="1">
      <c r="A2867" s="1" t="s">
        <v>13602</v>
      </c>
      <c r="B2867" s="1">
        <v>7.3</v>
      </c>
    </row>
    <row r="2868" ht="14.25" customHeight="1">
      <c r="A2868" s="1" t="s">
        <v>13608</v>
      </c>
      <c r="B2868" s="1">
        <v>6.2</v>
      </c>
    </row>
    <row r="2869" ht="14.25" customHeight="1">
      <c r="A2869" s="1" t="s">
        <v>13614</v>
      </c>
      <c r="B2869" s="1">
        <v>6.6</v>
      </c>
    </row>
    <row r="2870" ht="14.25" customHeight="1">
      <c r="A2870" s="1" t="s">
        <v>12773</v>
      </c>
      <c r="B2870" s="1">
        <v>6.3</v>
      </c>
    </row>
    <row r="2871" ht="14.25" customHeight="1">
      <c r="A2871" s="1" t="s">
        <v>13623</v>
      </c>
      <c r="B2871" s="1">
        <v>3.3</v>
      </c>
    </row>
    <row r="2872" ht="14.25" customHeight="1">
      <c r="A2872" s="1" t="s">
        <v>13627</v>
      </c>
      <c r="B2872" s="1">
        <v>3.5</v>
      </c>
    </row>
    <row r="2873" ht="14.25" customHeight="1">
      <c r="A2873" s="1" t="s">
        <v>13632</v>
      </c>
      <c r="B2873" s="1">
        <v>5.5</v>
      </c>
    </row>
    <row r="2874" ht="14.25" customHeight="1">
      <c r="A2874" s="1" t="s">
        <v>13636</v>
      </c>
      <c r="B2874" s="1">
        <v>5.9</v>
      </c>
    </row>
    <row r="2875" ht="14.25" customHeight="1">
      <c r="A2875" s="1" t="s">
        <v>13640</v>
      </c>
      <c r="B2875" s="1">
        <v>4.7</v>
      </c>
    </row>
    <row r="2876" ht="14.25" customHeight="1">
      <c r="A2876" s="1" t="s">
        <v>13644</v>
      </c>
      <c r="B2876" s="1">
        <v>3.9</v>
      </c>
    </row>
    <row r="2877" ht="14.25" customHeight="1">
      <c r="A2877" s="1" t="s">
        <v>13650</v>
      </c>
      <c r="B2877" s="1">
        <v>6.1</v>
      </c>
    </row>
    <row r="2878" ht="14.25" customHeight="1">
      <c r="A2878" s="1" t="s">
        <v>13656</v>
      </c>
      <c r="B2878" s="1">
        <v>6.7</v>
      </c>
    </row>
    <row r="2879" ht="14.25" customHeight="1">
      <c r="A2879" s="1" t="s">
        <v>8059</v>
      </c>
      <c r="B2879" s="1">
        <v>7.3</v>
      </c>
    </row>
    <row r="2880" ht="14.25" customHeight="1">
      <c r="A2880" s="1" t="s">
        <v>13665</v>
      </c>
      <c r="B2880" s="1">
        <v>6.7</v>
      </c>
    </row>
    <row r="2881" ht="14.25" customHeight="1">
      <c r="A2881" s="1" t="s">
        <v>3067</v>
      </c>
      <c r="B2881" s="1">
        <v>6.1</v>
      </c>
    </row>
    <row r="2882" ht="14.25" customHeight="1">
      <c r="A2882" s="1" t="s">
        <v>7530</v>
      </c>
      <c r="B2882" s="1">
        <v>6.9</v>
      </c>
    </row>
    <row r="2883" ht="14.25" customHeight="1">
      <c r="A2883" s="1" t="s">
        <v>10928</v>
      </c>
      <c r="B2883" s="1">
        <v>7.9</v>
      </c>
    </row>
    <row r="2884" ht="14.25" customHeight="1">
      <c r="A2884" s="1" t="s">
        <v>13683</v>
      </c>
      <c r="B2884" s="1">
        <v>4.5</v>
      </c>
    </row>
    <row r="2885" ht="14.25" customHeight="1">
      <c r="A2885" s="1" t="s">
        <v>13687</v>
      </c>
      <c r="B2885" s="1">
        <v>7.6</v>
      </c>
    </row>
    <row r="2886" ht="14.25" customHeight="1">
      <c r="A2886" s="1" t="s">
        <v>4916</v>
      </c>
      <c r="B2886" s="1">
        <v>7.5</v>
      </c>
    </row>
    <row r="2887" ht="14.25" customHeight="1">
      <c r="A2887" s="1" t="s">
        <v>11987</v>
      </c>
      <c r="B2887" s="1">
        <v>7.1</v>
      </c>
    </row>
    <row r="2888" ht="14.25" customHeight="1">
      <c r="A2888" s="1" t="s">
        <v>13699</v>
      </c>
      <c r="B2888" s="1">
        <v>6.9</v>
      </c>
    </row>
    <row r="2889" ht="14.25" customHeight="1">
      <c r="A2889" s="1" t="s">
        <v>179</v>
      </c>
      <c r="B2889" s="1">
        <v>8.5</v>
      </c>
    </row>
    <row r="2890" ht="14.25" customHeight="1">
      <c r="A2890" s="1" t="s">
        <v>6957</v>
      </c>
      <c r="B2890" s="1">
        <v>7.5</v>
      </c>
    </row>
    <row r="2891" ht="14.25" customHeight="1">
      <c r="A2891" s="1" t="s">
        <v>13714</v>
      </c>
      <c r="B2891" s="1">
        <v>6.6</v>
      </c>
    </row>
    <row r="2892" ht="14.25" customHeight="1">
      <c r="A2892" s="1" t="s">
        <v>6567</v>
      </c>
      <c r="B2892" s="1">
        <v>8.0</v>
      </c>
    </row>
    <row r="2893" ht="14.25" customHeight="1">
      <c r="A2893" s="1" t="s">
        <v>13722</v>
      </c>
      <c r="B2893" s="1">
        <v>7.0</v>
      </c>
    </row>
    <row r="2894" ht="14.25" customHeight="1">
      <c r="A2894" s="1" t="s">
        <v>2928</v>
      </c>
      <c r="B2894" s="1">
        <v>6.8</v>
      </c>
    </row>
    <row r="2895" ht="14.25" customHeight="1">
      <c r="A2895" s="1" t="s">
        <v>8417</v>
      </c>
      <c r="B2895" s="1">
        <v>6.7</v>
      </c>
    </row>
    <row r="2896" ht="14.25" customHeight="1">
      <c r="A2896" s="1" t="s">
        <v>12089</v>
      </c>
      <c r="B2896" s="1">
        <v>6.5</v>
      </c>
    </row>
    <row r="2897" ht="14.25" customHeight="1">
      <c r="A2897" s="1" t="s">
        <v>3607</v>
      </c>
      <c r="B2897" s="1">
        <v>8.0</v>
      </c>
    </row>
    <row r="2898" ht="14.25" customHeight="1">
      <c r="A2898" s="1" t="s">
        <v>13145</v>
      </c>
      <c r="B2898" s="1">
        <v>6.5</v>
      </c>
    </row>
    <row r="2899" ht="14.25" customHeight="1">
      <c r="A2899" s="1" t="s">
        <v>13749</v>
      </c>
      <c r="B2899" s="1">
        <v>4.9</v>
      </c>
    </row>
    <row r="2900" ht="14.25" customHeight="1">
      <c r="A2900" s="1" t="s">
        <v>12240</v>
      </c>
      <c r="B2900" s="1">
        <v>7.1</v>
      </c>
    </row>
    <row r="2901" ht="14.25" customHeight="1">
      <c r="A2901" s="1" t="s">
        <v>4125</v>
      </c>
      <c r="B2901" s="1">
        <v>7.0</v>
      </c>
    </row>
    <row r="2902" ht="14.25" customHeight="1">
      <c r="A2902" s="1" t="s">
        <v>13759</v>
      </c>
      <c r="B2902" s="1">
        <v>7.0</v>
      </c>
    </row>
    <row r="2903" ht="14.25" customHeight="1">
      <c r="A2903" s="1" t="s">
        <v>10374</v>
      </c>
      <c r="B2903" s="1">
        <v>4.5</v>
      </c>
    </row>
    <row r="2904" ht="14.25" customHeight="1">
      <c r="A2904" s="1" t="s">
        <v>820</v>
      </c>
      <c r="B2904" s="1">
        <v>7.7</v>
      </c>
    </row>
    <row r="2905" ht="14.25" customHeight="1">
      <c r="A2905" s="1" t="s">
        <v>849</v>
      </c>
      <c r="B2905" s="1">
        <v>6.7</v>
      </c>
    </row>
    <row r="2906" ht="14.25" customHeight="1">
      <c r="A2906" s="1" t="s">
        <v>5699</v>
      </c>
      <c r="B2906" s="1">
        <v>7.0</v>
      </c>
    </row>
    <row r="2907" ht="14.25" customHeight="1">
      <c r="A2907" s="1" t="s">
        <v>13781</v>
      </c>
      <c r="B2907" s="1">
        <v>6.5</v>
      </c>
    </row>
    <row r="2908" ht="14.25" customHeight="1">
      <c r="A2908" s="1" t="s">
        <v>12122</v>
      </c>
      <c r="B2908" s="1">
        <v>6.2</v>
      </c>
    </row>
    <row r="2909" ht="14.25" customHeight="1">
      <c r="A2909" s="1" t="s">
        <v>10817</v>
      </c>
      <c r="B2909" s="1">
        <v>5.7</v>
      </c>
    </row>
    <row r="2910" ht="14.25" customHeight="1">
      <c r="A2910" s="1" t="s">
        <v>10063</v>
      </c>
      <c r="B2910" s="1">
        <v>6.4</v>
      </c>
    </row>
    <row r="2911" ht="14.25" customHeight="1">
      <c r="A2911" s="1" t="s">
        <v>10796</v>
      </c>
      <c r="B2911" s="1">
        <v>5.4</v>
      </c>
    </row>
    <row r="2912" ht="14.25" customHeight="1">
      <c r="A2912" s="1" t="s">
        <v>13802</v>
      </c>
      <c r="B2912" s="1">
        <v>6.6</v>
      </c>
    </row>
    <row r="2913" ht="14.25" customHeight="1">
      <c r="A2913" s="1" t="s">
        <v>13808</v>
      </c>
      <c r="B2913" s="1">
        <v>6.1</v>
      </c>
    </row>
    <row r="2914" ht="14.25" customHeight="1">
      <c r="A2914" s="1" t="s">
        <v>10383</v>
      </c>
      <c r="B2914" s="1">
        <v>7.6</v>
      </c>
    </row>
    <row r="2915" ht="14.25" customHeight="1">
      <c r="A2915" s="1" t="s">
        <v>13817</v>
      </c>
      <c r="B2915" s="1">
        <v>6.2</v>
      </c>
    </row>
    <row r="2916" ht="14.25" customHeight="1">
      <c r="A2916" s="1" t="s">
        <v>11849</v>
      </c>
      <c r="B2916" s="1">
        <v>6.6</v>
      </c>
    </row>
    <row r="2917" ht="14.25" customHeight="1">
      <c r="A2917" s="1" t="s">
        <v>13828</v>
      </c>
      <c r="B2917" s="1">
        <v>7.3</v>
      </c>
    </row>
    <row r="2918" ht="14.25" customHeight="1">
      <c r="A2918" s="1" t="s">
        <v>13835</v>
      </c>
      <c r="B2918" s="1">
        <v>4.2</v>
      </c>
    </row>
    <row r="2919" ht="14.25" customHeight="1">
      <c r="A2919" s="1" t="s">
        <v>13840</v>
      </c>
      <c r="B2919" s="1">
        <v>6.5</v>
      </c>
    </row>
    <row r="2920" ht="14.25" customHeight="1">
      <c r="A2920" s="1" t="s">
        <v>13845</v>
      </c>
      <c r="B2920" s="1">
        <v>6.5</v>
      </c>
    </row>
    <row r="2921" ht="14.25" customHeight="1">
      <c r="A2921" s="1" t="s">
        <v>13849</v>
      </c>
      <c r="B2921" s="1">
        <v>5.7</v>
      </c>
    </row>
    <row r="2922" ht="14.25" customHeight="1">
      <c r="A2922" s="1" t="s">
        <v>4622</v>
      </c>
      <c r="B2922" s="1">
        <v>7.3</v>
      </c>
    </row>
    <row r="2923" ht="14.25" customHeight="1">
      <c r="A2923" s="1" t="s">
        <v>13858</v>
      </c>
      <c r="B2923" s="1">
        <v>6.9</v>
      </c>
    </row>
    <row r="2924" ht="14.25" customHeight="1">
      <c r="A2924" s="1" t="s">
        <v>13864</v>
      </c>
      <c r="B2924" s="1">
        <v>5.0</v>
      </c>
    </row>
    <row r="2925" ht="14.25" customHeight="1">
      <c r="A2925" s="1" t="s">
        <v>7671</v>
      </c>
      <c r="B2925" s="1">
        <v>7.3</v>
      </c>
    </row>
    <row r="2926" ht="14.25" customHeight="1">
      <c r="A2926" s="1" t="s">
        <v>13872</v>
      </c>
      <c r="B2926" s="1">
        <v>6.5</v>
      </c>
    </row>
    <row r="2927" ht="14.25" customHeight="1">
      <c r="A2927" s="1" t="s">
        <v>10982</v>
      </c>
      <c r="B2927" s="1">
        <v>2.1</v>
      </c>
    </row>
    <row r="2928" ht="14.25" customHeight="1">
      <c r="A2928" s="1" t="s">
        <v>12796</v>
      </c>
      <c r="B2928" s="1">
        <v>7.0</v>
      </c>
    </row>
    <row r="2929" ht="14.25" customHeight="1">
      <c r="A2929" s="1" t="s">
        <v>13085</v>
      </c>
      <c r="B2929" s="1">
        <v>8.0</v>
      </c>
    </row>
    <row r="2930" ht="14.25" customHeight="1">
      <c r="A2930" s="1" t="s">
        <v>9287</v>
      </c>
      <c r="B2930" s="1">
        <v>6.5</v>
      </c>
    </row>
    <row r="2931" ht="14.25" customHeight="1">
      <c r="A2931" s="1" t="s">
        <v>13891</v>
      </c>
      <c r="B2931" s="1">
        <v>7.1</v>
      </c>
    </row>
    <row r="2932" ht="14.25" customHeight="1">
      <c r="A2932" s="1" t="s">
        <v>5847</v>
      </c>
      <c r="B2932" s="1">
        <v>7.2</v>
      </c>
    </row>
    <row r="2933" ht="14.25" customHeight="1">
      <c r="A2933" s="1" t="s">
        <v>13132</v>
      </c>
      <c r="B2933" s="1">
        <v>6.7</v>
      </c>
    </row>
    <row r="2934" ht="14.25" customHeight="1">
      <c r="A2934" s="1" t="s">
        <v>1681</v>
      </c>
      <c r="B2934" s="1">
        <v>8.9</v>
      </c>
    </row>
    <row r="2935" ht="14.25" customHeight="1">
      <c r="A2935" s="1" t="s">
        <v>13904</v>
      </c>
      <c r="B2935" s="1">
        <v>7.9</v>
      </c>
    </row>
    <row r="2936" ht="14.25" customHeight="1">
      <c r="A2936" s="1" t="s">
        <v>4669</v>
      </c>
      <c r="B2936" s="1">
        <v>5.6</v>
      </c>
    </row>
    <row r="2937" ht="14.25" customHeight="1">
      <c r="A2937" s="1" t="s">
        <v>6833</v>
      </c>
      <c r="B2937" s="1">
        <v>8.0</v>
      </c>
    </row>
    <row r="2938" ht="14.25" customHeight="1">
      <c r="A2938" s="1" t="s">
        <v>813</v>
      </c>
      <c r="B2938" s="1">
        <v>6.2</v>
      </c>
    </row>
    <row r="2939" ht="14.25" customHeight="1">
      <c r="A2939" s="1" t="s">
        <v>13925</v>
      </c>
      <c r="B2939" s="1">
        <v>7.9</v>
      </c>
    </row>
    <row r="2940" ht="14.25" customHeight="1">
      <c r="A2940" s="1" t="s">
        <v>3691</v>
      </c>
      <c r="B2940" s="1">
        <v>8.1</v>
      </c>
    </row>
    <row r="2941" ht="14.25" customHeight="1">
      <c r="A2941" s="1" t="s">
        <v>5001</v>
      </c>
      <c r="B2941" s="1">
        <v>7.6</v>
      </c>
    </row>
    <row r="2942" ht="14.25" customHeight="1">
      <c r="A2942" s="1" t="s">
        <v>13941</v>
      </c>
      <c r="B2942" s="1">
        <v>3.5</v>
      </c>
    </row>
    <row r="2943" ht="14.25" customHeight="1">
      <c r="A2943" s="1" t="s">
        <v>13948</v>
      </c>
      <c r="B2943" s="1">
        <v>7.6</v>
      </c>
    </row>
    <row r="2944" ht="14.25" customHeight="1">
      <c r="A2944" s="1" t="s">
        <v>12073</v>
      </c>
      <c r="B2944" s="1">
        <v>6.5</v>
      </c>
    </row>
    <row r="2945" ht="14.25" customHeight="1">
      <c r="A2945" s="1" t="s">
        <v>13955</v>
      </c>
      <c r="B2945" s="1">
        <v>5.6</v>
      </c>
    </row>
    <row r="2946" ht="14.25" customHeight="1">
      <c r="A2946" s="1" t="s">
        <v>7677</v>
      </c>
      <c r="B2946" s="1">
        <v>7.7</v>
      </c>
    </row>
    <row r="2947" ht="14.25" customHeight="1">
      <c r="A2947" s="1" t="s">
        <v>13963</v>
      </c>
      <c r="B2947" s="1">
        <v>5.2</v>
      </c>
    </row>
    <row r="2948" ht="14.25" customHeight="1">
      <c r="A2948" s="1" t="s">
        <v>13970</v>
      </c>
      <c r="B2948" s="1">
        <v>6.1</v>
      </c>
    </row>
    <row r="2949" ht="14.25" customHeight="1">
      <c r="A2949" s="1" t="s">
        <v>820</v>
      </c>
      <c r="B2949" s="1">
        <v>7.4</v>
      </c>
    </row>
    <row r="2950" ht="14.25" customHeight="1">
      <c r="A2950" s="1" t="s">
        <v>13980</v>
      </c>
      <c r="B2950" s="1">
        <v>6.8</v>
      </c>
    </row>
    <row r="2951" ht="14.25" customHeight="1">
      <c r="A2951" s="1" t="s">
        <v>5922</v>
      </c>
      <c r="B2951" s="1">
        <v>6.4</v>
      </c>
    </row>
    <row r="2952" ht="14.25" customHeight="1">
      <c r="A2952" s="1" t="s">
        <v>5548</v>
      </c>
      <c r="B2952" s="1">
        <v>5.7</v>
      </c>
    </row>
    <row r="2953" ht="14.25" customHeight="1">
      <c r="A2953" s="1" t="s">
        <v>12628</v>
      </c>
      <c r="B2953" s="1">
        <v>6.7</v>
      </c>
    </row>
    <row r="2954" ht="14.25" customHeight="1">
      <c r="A2954" s="1" t="s">
        <v>13999</v>
      </c>
      <c r="B2954" s="1">
        <v>5.6</v>
      </c>
    </row>
    <row r="2955" ht="14.25" customHeight="1">
      <c r="A2955" s="1" t="s">
        <v>4900</v>
      </c>
      <c r="B2955" s="1">
        <v>7.0</v>
      </c>
    </row>
    <row r="2956" ht="14.25" customHeight="1">
      <c r="A2956" s="1" t="s">
        <v>14003</v>
      </c>
      <c r="B2956" s="1">
        <v>7.6</v>
      </c>
    </row>
    <row r="2957" ht="14.25" customHeight="1">
      <c r="A2957" s="1" t="s">
        <v>8315</v>
      </c>
      <c r="B2957" s="1">
        <v>6.5</v>
      </c>
    </row>
    <row r="2958" ht="14.25" customHeight="1">
      <c r="A2958" s="1" t="s">
        <v>14010</v>
      </c>
      <c r="B2958" s="1">
        <v>6.3</v>
      </c>
    </row>
    <row r="2959" ht="14.25" customHeight="1">
      <c r="A2959" s="1" t="s">
        <v>14014</v>
      </c>
      <c r="B2959" s="1">
        <v>7.1</v>
      </c>
    </row>
    <row r="2960" ht="14.25" customHeight="1">
      <c r="A2960" s="1" t="s">
        <v>3541</v>
      </c>
      <c r="B2960" s="1">
        <v>7.1</v>
      </c>
    </row>
    <row r="2961" ht="14.25" customHeight="1">
      <c r="A2961" s="1" t="s">
        <v>8499</v>
      </c>
      <c r="B2961" s="1">
        <v>6.9</v>
      </c>
    </row>
    <row r="2962" ht="14.25" customHeight="1">
      <c r="A2962" s="1" t="s">
        <v>11180</v>
      </c>
      <c r="B2962" s="1">
        <v>5.4</v>
      </c>
    </row>
    <row r="2963" ht="14.25" customHeight="1">
      <c r="A2963" s="1" t="s">
        <v>10133</v>
      </c>
      <c r="B2963" s="1">
        <v>5.1</v>
      </c>
    </row>
    <row r="2964" ht="14.25" customHeight="1">
      <c r="A2964" s="1" t="s">
        <v>14034</v>
      </c>
      <c r="B2964" s="1">
        <v>5.3</v>
      </c>
    </row>
    <row r="2965" ht="14.25" customHeight="1">
      <c r="A2965" s="1" t="s">
        <v>14039</v>
      </c>
      <c r="B2965" s="1">
        <v>7.3</v>
      </c>
    </row>
    <row r="2966" ht="14.25" customHeight="1">
      <c r="A2966" s="1" t="s">
        <v>10383</v>
      </c>
      <c r="B2966" s="1">
        <v>7.3</v>
      </c>
    </row>
    <row r="2967" ht="14.25" customHeight="1">
      <c r="A2967" s="1" t="s">
        <v>14048</v>
      </c>
      <c r="B2967" s="1">
        <v>7.1</v>
      </c>
    </row>
    <row r="2968" ht="14.25" customHeight="1">
      <c r="A2968" s="1" t="s">
        <v>11716</v>
      </c>
      <c r="B2968" s="1">
        <v>6.0</v>
      </c>
    </row>
    <row r="2969" ht="14.25" customHeight="1">
      <c r="A2969" s="1" t="s">
        <v>4681</v>
      </c>
      <c r="B2969" s="1">
        <v>6.6</v>
      </c>
    </row>
    <row r="2970" ht="14.25" customHeight="1">
      <c r="A2970" s="1" t="s">
        <v>14062</v>
      </c>
      <c r="B2970" s="1">
        <v>7.2</v>
      </c>
    </row>
    <row r="2971" ht="14.25" customHeight="1">
      <c r="A2971" s="1" t="s">
        <v>8996</v>
      </c>
      <c r="B2971" s="1">
        <v>7.2</v>
      </c>
    </row>
    <row r="2972" ht="14.25" customHeight="1">
      <c r="A2972" s="1" t="s">
        <v>10604</v>
      </c>
      <c r="B2972" s="1">
        <v>6.9</v>
      </c>
    </row>
    <row r="2973" ht="14.25" customHeight="1">
      <c r="A2973" s="1" t="s">
        <v>14074</v>
      </c>
      <c r="B2973" s="1">
        <v>6.8</v>
      </c>
    </row>
    <row r="2974" ht="14.25" customHeight="1">
      <c r="A2974" s="1" t="s">
        <v>14080</v>
      </c>
      <c r="B2974" s="1">
        <v>7.7</v>
      </c>
    </row>
    <row r="2975" ht="14.25" customHeight="1">
      <c r="A2975" s="1" t="s">
        <v>14087</v>
      </c>
      <c r="B2975" s="1">
        <v>7.4</v>
      </c>
    </row>
    <row r="2976" ht="14.25" customHeight="1">
      <c r="A2976" s="1" t="s">
        <v>14093</v>
      </c>
      <c r="B2976" s="1">
        <v>6.5</v>
      </c>
    </row>
    <row r="2977" ht="14.25" customHeight="1">
      <c r="A2977" s="1" t="s">
        <v>14097</v>
      </c>
      <c r="B2977" s="1">
        <v>6.4</v>
      </c>
    </row>
    <row r="2978" ht="14.25" customHeight="1">
      <c r="A2978" s="1" t="s">
        <v>14103</v>
      </c>
      <c r="B2978" s="1">
        <v>5.6</v>
      </c>
    </row>
    <row r="2979" ht="14.25" customHeight="1">
      <c r="A2979" s="1" t="s">
        <v>14108</v>
      </c>
      <c r="B2979" s="1">
        <v>6.8</v>
      </c>
    </row>
    <row r="2980" ht="14.25" customHeight="1">
      <c r="A2980" s="1" t="s">
        <v>5176</v>
      </c>
      <c r="B2980" s="1">
        <v>5.5</v>
      </c>
    </row>
    <row r="2981" ht="14.25" customHeight="1">
      <c r="A2981" s="1" t="s">
        <v>6543</v>
      </c>
      <c r="B2981" s="1">
        <v>6.9</v>
      </c>
    </row>
    <row r="2982" ht="14.25" customHeight="1">
      <c r="A2982" s="1" t="s">
        <v>14121</v>
      </c>
      <c r="B2982" s="1">
        <v>6.0</v>
      </c>
    </row>
    <row r="2983" ht="14.25" customHeight="1">
      <c r="A2983" s="1" t="s">
        <v>14126</v>
      </c>
      <c r="B2983" s="1">
        <v>6.4</v>
      </c>
    </row>
    <row r="2984" ht="14.25" customHeight="1">
      <c r="A2984" s="1" t="s">
        <v>14130</v>
      </c>
      <c r="B2984" s="1">
        <v>6.6</v>
      </c>
    </row>
    <row r="2985" ht="14.25" customHeight="1">
      <c r="A2985" s="1" t="s">
        <v>10488</v>
      </c>
      <c r="B2985" s="1">
        <v>8.1</v>
      </c>
    </row>
    <row r="2986" ht="14.25" customHeight="1">
      <c r="A2986" s="1" t="s">
        <v>14142</v>
      </c>
      <c r="B2986" s="1">
        <v>6.9</v>
      </c>
    </row>
    <row r="2987" ht="14.25" customHeight="1">
      <c r="A2987" s="1" t="s">
        <v>14147</v>
      </c>
      <c r="B2987" s="1">
        <v>6.5</v>
      </c>
    </row>
    <row r="2988" ht="14.25" customHeight="1">
      <c r="A2988" s="1" t="s">
        <v>5861</v>
      </c>
      <c r="B2988" s="1">
        <v>7.4</v>
      </c>
    </row>
    <row r="2989" ht="14.25" customHeight="1">
      <c r="A2989" s="1" t="s">
        <v>7282</v>
      </c>
      <c r="B2989" s="1">
        <v>6.9</v>
      </c>
    </row>
    <row r="2990" ht="14.25" customHeight="1">
      <c r="A2990" s="1" t="s">
        <v>14160</v>
      </c>
      <c r="B2990" s="1">
        <v>6.7</v>
      </c>
    </row>
    <row r="2991" ht="14.25" customHeight="1">
      <c r="A2991" s="1" t="s">
        <v>7666</v>
      </c>
      <c r="B2991" s="1">
        <v>7.6</v>
      </c>
    </row>
    <row r="2992" ht="14.25" customHeight="1">
      <c r="A2992" s="1" t="s">
        <v>14171</v>
      </c>
      <c r="B2992" s="1">
        <v>5.4</v>
      </c>
    </row>
    <row r="2993" ht="14.25" customHeight="1">
      <c r="A2993" s="1" t="s">
        <v>11751</v>
      </c>
      <c r="B2993" s="1">
        <v>7.3</v>
      </c>
    </row>
    <row r="2994" ht="14.25" customHeight="1">
      <c r="A2994" s="1" t="s">
        <v>14180</v>
      </c>
      <c r="B2994" s="1">
        <v>6.0</v>
      </c>
    </row>
    <row r="2995" ht="14.25" customHeight="1">
      <c r="A2995" s="1" t="s">
        <v>8814</v>
      </c>
      <c r="B2995" s="1">
        <v>7.2</v>
      </c>
    </row>
    <row r="2996" ht="14.25" customHeight="1">
      <c r="A2996" s="1" t="s">
        <v>14188</v>
      </c>
      <c r="B2996" s="1">
        <v>6.0</v>
      </c>
    </row>
    <row r="2997" ht="14.25" customHeight="1">
      <c r="A2997" s="1" t="s">
        <v>14193</v>
      </c>
      <c r="B2997" s="1">
        <v>3.1</v>
      </c>
    </row>
    <row r="2998" ht="14.25" customHeight="1">
      <c r="A2998" s="1" t="s">
        <v>12603</v>
      </c>
      <c r="B2998" s="1">
        <v>6.2</v>
      </c>
    </row>
    <row r="2999" ht="14.25" customHeight="1">
      <c r="A2999" s="1" t="s">
        <v>11814</v>
      </c>
      <c r="B2999" s="1">
        <v>6.3</v>
      </c>
    </row>
    <row r="3000" ht="14.25" customHeight="1">
      <c r="A3000" s="1" t="s">
        <v>7959</v>
      </c>
      <c r="B3000" s="1">
        <v>7.9</v>
      </c>
    </row>
    <row r="3001" ht="14.25" customHeight="1">
      <c r="A3001" s="1" t="s">
        <v>14206</v>
      </c>
      <c r="B3001" s="1">
        <v>6.7</v>
      </c>
    </row>
    <row r="3002" ht="14.25" customHeight="1">
      <c r="A3002" s="1" t="s">
        <v>14211</v>
      </c>
      <c r="B3002" s="1">
        <v>8.0</v>
      </c>
    </row>
    <row r="3003" ht="14.25" customHeight="1">
      <c r="A3003" s="1" t="s">
        <v>11588</v>
      </c>
      <c r="B3003" s="1">
        <v>7.0</v>
      </c>
    </row>
    <row r="3004" ht="14.25" customHeight="1">
      <c r="A3004" s="1" t="s">
        <v>14221</v>
      </c>
      <c r="B3004" s="1">
        <v>7.2</v>
      </c>
    </row>
    <row r="3005" ht="14.25" customHeight="1">
      <c r="A3005" s="1" t="s">
        <v>71</v>
      </c>
      <c r="B3005" s="1">
        <v>6.2</v>
      </c>
    </row>
    <row r="3006" ht="14.25" customHeight="1">
      <c r="A3006" s="1" t="s">
        <v>14225</v>
      </c>
      <c r="B3006" s="1">
        <v>3.5</v>
      </c>
    </row>
    <row r="3007" ht="14.25" customHeight="1">
      <c r="A3007" s="1" t="s">
        <v>7666</v>
      </c>
      <c r="B3007" s="1">
        <v>7.5</v>
      </c>
    </row>
    <row r="3008" ht="14.25" customHeight="1">
      <c r="A3008" s="1" t="s">
        <v>14234</v>
      </c>
      <c r="B3008" s="1">
        <v>6.7</v>
      </c>
    </row>
    <row r="3009" ht="14.25" customHeight="1">
      <c r="A3009" s="1" t="s">
        <v>4578</v>
      </c>
      <c r="B3009" s="1">
        <v>9.2</v>
      </c>
    </row>
    <row r="3010" ht="14.25" customHeight="1">
      <c r="A3010" s="1" t="s">
        <v>4887</v>
      </c>
      <c r="B3010" s="1">
        <v>6.1</v>
      </c>
    </row>
    <row r="3011" ht="14.25" customHeight="1">
      <c r="A3011" s="1" t="s">
        <v>172</v>
      </c>
      <c r="B3011" s="1">
        <v>7.7</v>
      </c>
    </row>
    <row r="3012" ht="14.25" customHeight="1">
      <c r="A3012" s="1" t="s">
        <v>12796</v>
      </c>
      <c r="B3012" s="1">
        <v>7.6</v>
      </c>
    </row>
    <row r="3013" ht="14.25" customHeight="1">
      <c r="A3013" s="1" t="s">
        <v>1456</v>
      </c>
      <c r="B3013" s="1">
        <v>6.1</v>
      </c>
    </row>
    <row r="3014" ht="14.25" customHeight="1">
      <c r="A3014" s="1" t="s">
        <v>839</v>
      </c>
      <c r="B3014" s="1">
        <v>4.9</v>
      </c>
    </row>
    <row r="3015" ht="14.25" customHeight="1">
      <c r="A3015" s="1" t="s">
        <v>14234</v>
      </c>
      <c r="B3015" s="1">
        <v>6.8</v>
      </c>
    </row>
    <row r="3016" ht="14.25" customHeight="1">
      <c r="A3016" s="1" t="s">
        <v>3846</v>
      </c>
      <c r="B3016" s="1">
        <v>7.0</v>
      </c>
    </row>
    <row r="3017" ht="14.25" customHeight="1">
      <c r="A3017" s="1" t="s">
        <v>13278</v>
      </c>
      <c r="B3017" s="1">
        <v>5.7</v>
      </c>
    </row>
    <row r="3018" ht="14.25" customHeight="1">
      <c r="A3018" s="1" t="s">
        <v>356</v>
      </c>
      <c r="B3018" s="1">
        <v>7.3</v>
      </c>
    </row>
    <row r="3019" ht="14.25" customHeight="1">
      <c r="A3019" s="1" t="s">
        <v>3229</v>
      </c>
      <c r="B3019" s="1">
        <v>7.5</v>
      </c>
    </row>
    <row r="3020" ht="14.25" customHeight="1">
      <c r="A3020" s="1" t="s">
        <v>4837</v>
      </c>
      <c r="B3020" s="1">
        <v>7.4</v>
      </c>
    </row>
    <row r="3021" ht="14.25" customHeight="1">
      <c r="A3021" s="1" t="s">
        <v>4632</v>
      </c>
      <c r="B3021" s="1">
        <v>7.2</v>
      </c>
    </row>
    <row r="3022" ht="14.25" customHeight="1">
      <c r="A3022" s="1" t="s">
        <v>11814</v>
      </c>
      <c r="B3022" s="1">
        <v>6.5</v>
      </c>
    </row>
    <row r="3023" ht="14.25" customHeight="1">
      <c r="A3023" s="1" t="s">
        <v>14286</v>
      </c>
      <c r="B3023" s="1">
        <v>6.8</v>
      </c>
    </row>
    <row r="3024" ht="14.25" customHeight="1">
      <c r="A3024" s="1" t="s">
        <v>14234</v>
      </c>
      <c r="B3024" s="1">
        <v>6.8</v>
      </c>
    </row>
    <row r="3025" ht="14.25" customHeight="1">
      <c r="A3025" s="1" t="s">
        <v>9178</v>
      </c>
      <c r="B3025" s="1">
        <v>5.2</v>
      </c>
    </row>
    <row r="3026" ht="14.25" customHeight="1">
      <c r="A3026" s="1" t="s">
        <v>7365</v>
      </c>
      <c r="B3026" s="1">
        <v>7.2</v>
      </c>
    </row>
    <row r="3027" ht="14.25" customHeight="1">
      <c r="A3027" s="1" t="s">
        <v>14305</v>
      </c>
      <c r="B3027" s="1">
        <v>4.0</v>
      </c>
    </row>
    <row r="3028" ht="14.25" customHeight="1">
      <c r="A3028" s="1" t="s">
        <v>3954</v>
      </c>
      <c r="B3028" s="1">
        <v>6.8</v>
      </c>
    </row>
    <row r="3029" ht="14.25" customHeight="1">
      <c r="A3029" s="1" t="s">
        <v>11561</v>
      </c>
      <c r="B3029" s="1">
        <v>6.9</v>
      </c>
    </row>
    <row r="3030" ht="14.25" customHeight="1">
      <c r="A3030" s="1" t="s">
        <v>12073</v>
      </c>
      <c r="B3030" s="1">
        <v>7.3</v>
      </c>
    </row>
    <row r="3031" ht="14.25" customHeight="1">
      <c r="A3031" s="1" t="s">
        <v>7027</v>
      </c>
      <c r="B3031" s="1">
        <v>6.1</v>
      </c>
    </row>
    <row r="3032" ht="14.25" customHeight="1">
      <c r="A3032" s="1" t="s">
        <v>46</v>
      </c>
      <c r="B3032" s="1">
        <v>7.8</v>
      </c>
    </row>
    <row r="3033" ht="14.25" customHeight="1">
      <c r="A3033" s="1" t="s">
        <v>11561</v>
      </c>
      <c r="B3033" s="1">
        <v>6.0</v>
      </c>
    </row>
    <row r="3034" ht="14.25" customHeight="1">
      <c r="A3034" s="1" t="s">
        <v>6676</v>
      </c>
      <c r="B3034" s="1">
        <v>7.0</v>
      </c>
    </row>
    <row r="3035" ht="14.25" customHeight="1">
      <c r="A3035" s="1" t="s">
        <v>14337</v>
      </c>
      <c r="B3035" s="1">
        <v>7.1</v>
      </c>
    </row>
    <row r="3036" ht="14.25" customHeight="1">
      <c r="A3036" s="1" t="s">
        <v>6634</v>
      </c>
      <c r="B3036" s="1">
        <v>6.2</v>
      </c>
    </row>
    <row r="3037" ht="14.25" customHeight="1">
      <c r="A3037" s="1" t="s">
        <v>14344</v>
      </c>
      <c r="B3037" s="1">
        <v>7.6</v>
      </c>
    </row>
    <row r="3038" ht="14.25" customHeight="1">
      <c r="A3038" s="1" t="s">
        <v>472</v>
      </c>
      <c r="B3038" s="1">
        <v>7.6</v>
      </c>
    </row>
    <row r="3039" ht="14.25" customHeight="1">
      <c r="A3039" s="1" t="s">
        <v>14097</v>
      </c>
      <c r="B3039" s="1">
        <v>6.4</v>
      </c>
    </row>
    <row r="3040" ht="14.25" customHeight="1">
      <c r="A3040" s="1" t="s">
        <v>14358</v>
      </c>
      <c r="B3040" s="1">
        <v>6.2</v>
      </c>
    </row>
    <row r="3041" ht="14.25" customHeight="1">
      <c r="A3041" s="1" t="s">
        <v>1153</v>
      </c>
      <c r="B3041" s="1">
        <v>7.5</v>
      </c>
    </row>
    <row r="3042" ht="14.25" customHeight="1">
      <c r="A3042" s="1" t="s">
        <v>9039</v>
      </c>
      <c r="B3042" s="1">
        <v>2.0</v>
      </c>
    </row>
    <row r="3043" ht="14.25" customHeight="1">
      <c r="A3043" s="1" t="s">
        <v>14373</v>
      </c>
      <c r="B3043" s="1">
        <v>6.2</v>
      </c>
    </row>
    <row r="3044" ht="14.25" customHeight="1">
      <c r="A3044" s="1" t="s">
        <v>14380</v>
      </c>
      <c r="B3044" s="1">
        <v>6.5</v>
      </c>
    </row>
    <row r="3045" ht="14.25" customHeight="1">
      <c r="A3045" s="1" t="s">
        <v>1840</v>
      </c>
      <c r="B3045" s="1">
        <v>6.8</v>
      </c>
    </row>
    <row r="3046" ht="14.25" customHeight="1">
      <c r="A3046" s="1" t="s">
        <v>13470</v>
      </c>
      <c r="B3046" s="1">
        <v>6.3</v>
      </c>
    </row>
    <row r="3047" ht="14.25" customHeight="1">
      <c r="A3047" s="1" t="s">
        <v>14394</v>
      </c>
      <c r="B3047" s="1">
        <v>6.3</v>
      </c>
    </row>
    <row r="3048" ht="14.25" customHeight="1">
      <c r="A3048" s="1" t="s">
        <v>14399</v>
      </c>
      <c r="B3048" s="1">
        <v>6.6</v>
      </c>
    </row>
    <row r="3049" ht="14.25" customHeight="1">
      <c r="A3049" s="1" t="s">
        <v>12524</v>
      </c>
      <c r="B3049" s="1">
        <v>6.4</v>
      </c>
    </row>
    <row r="3050" ht="14.25" customHeight="1">
      <c r="A3050" s="1" t="s">
        <v>14406</v>
      </c>
      <c r="B3050" s="1">
        <v>7.5</v>
      </c>
    </row>
    <row r="3051" ht="14.25" customHeight="1">
      <c r="A3051" s="1" t="s">
        <v>14411</v>
      </c>
      <c r="B3051" s="1">
        <v>6.5</v>
      </c>
    </row>
    <row r="3052" ht="14.25" customHeight="1">
      <c r="A3052" s="1" t="s">
        <v>14206</v>
      </c>
      <c r="B3052" s="1">
        <v>7.2</v>
      </c>
    </row>
    <row r="3053" ht="14.25" customHeight="1">
      <c r="A3053" s="1" t="s">
        <v>14419</v>
      </c>
      <c r="B3053" s="1">
        <v>6.3</v>
      </c>
    </row>
    <row r="3054" ht="14.25" customHeight="1">
      <c r="A3054" s="1" t="s">
        <v>6428</v>
      </c>
      <c r="B3054" s="1">
        <v>7.0</v>
      </c>
    </row>
    <row r="3055" ht="14.25" customHeight="1">
      <c r="A3055" s="1" t="s">
        <v>6327</v>
      </c>
      <c r="B3055" s="1">
        <v>6.3</v>
      </c>
    </row>
    <row r="3056" ht="14.25" customHeight="1">
      <c r="A3056" s="1" t="s">
        <v>14435</v>
      </c>
      <c r="B3056" s="1">
        <v>2.3</v>
      </c>
    </row>
    <row r="3057" ht="14.25" customHeight="1">
      <c r="A3057" s="1" t="s">
        <v>14439</v>
      </c>
      <c r="B3057" s="1">
        <v>7.1</v>
      </c>
    </row>
    <row r="3058" ht="14.25" customHeight="1">
      <c r="A3058" s="1" t="s">
        <v>14443</v>
      </c>
      <c r="B3058" s="1">
        <v>6.7</v>
      </c>
    </row>
    <row r="3059" ht="14.25" customHeight="1">
      <c r="A3059" s="1" t="s">
        <v>13232</v>
      </c>
      <c r="B3059" s="1">
        <v>6.5</v>
      </c>
    </row>
    <row r="3060" ht="14.25" customHeight="1">
      <c r="A3060" s="1" t="s">
        <v>14451</v>
      </c>
      <c r="B3060" s="1">
        <v>5.9</v>
      </c>
    </row>
    <row r="3061" ht="14.25" customHeight="1">
      <c r="A3061" s="1" t="s">
        <v>14455</v>
      </c>
      <c r="B3061" s="1">
        <v>6.0</v>
      </c>
    </row>
    <row r="3062" ht="14.25" customHeight="1">
      <c r="A3062" s="1" t="s">
        <v>2208</v>
      </c>
      <c r="B3062" s="1">
        <v>6.9</v>
      </c>
    </row>
    <row r="3063" ht="14.25" customHeight="1">
      <c r="A3063" s="1" t="s">
        <v>3503</v>
      </c>
      <c r="B3063" s="1">
        <v>7.3</v>
      </c>
    </row>
    <row r="3064" ht="14.25" customHeight="1">
      <c r="A3064" s="1" t="s">
        <v>8489</v>
      </c>
      <c r="B3064" s="1">
        <v>7.7</v>
      </c>
    </row>
    <row r="3065" ht="14.25" customHeight="1">
      <c r="A3065" s="1" t="s">
        <v>14470</v>
      </c>
      <c r="B3065" s="1">
        <v>7.0</v>
      </c>
    </row>
    <row r="3066" ht="14.25" customHeight="1">
      <c r="A3066" s="1" t="s">
        <v>14474</v>
      </c>
      <c r="B3066" s="1">
        <v>6.4</v>
      </c>
    </row>
    <row r="3067" ht="14.25" customHeight="1">
      <c r="A3067" s="1" t="s">
        <v>14481</v>
      </c>
      <c r="B3067" s="1">
        <v>5.6</v>
      </c>
    </row>
    <row r="3068" ht="14.25" customHeight="1">
      <c r="A3068" s="1" t="s">
        <v>5383</v>
      </c>
      <c r="B3068" s="1">
        <v>8.2</v>
      </c>
    </row>
    <row r="3069" ht="14.25" customHeight="1">
      <c r="A3069" s="1" t="s">
        <v>4376</v>
      </c>
      <c r="B3069" s="1">
        <v>6.5</v>
      </c>
    </row>
    <row r="3070" ht="14.25" customHeight="1">
      <c r="A3070" s="1" t="s">
        <v>1343</v>
      </c>
      <c r="B3070" s="1">
        <v>8.1</v>
      </c>
    </row>
    <row r="3071" ht="14.25" customHeight="1">
      <c r="A3071" s="1" t="s">
        <v>7869</v>
      </c>
      <c r="B3071" s="1">
        <v>5.4</v>
      </c>
    </row>
    <row r="3072" ht="14.25" customHeight="1">
      <c r="A3072" s="1" t="s">
        <v>14511</v>
      </c>
      <c r="B3072" s="1">
        <v>6.3</v>
      </c>
    </row>
    <row r="3073" ht="14.25" customHeight="1">
      <c r="A3073" s="1" t="s">
        <v>2793</v>
      </c>
      <c r="B3073" s="1">
        <v>7.8</v>
      </c>
    </row>
    <row r="3074" ht="14.25" customHeight="1">
      <c r="A3074" s="1" t="s">
        <v>14524</v>
      </c>
      <c r="B3074" s="1">
        <v>6.8</v>
      </c>
    </row>
    <row r="3075" ht="14.25" customHeight="1">
      <c r="A3075" s="1" t="s">
        <v>2161</v>
      </c>
      <c r="B3075" s="1">
        <v>7.1</v>
      </c>
    </row>
    <row r="3076" ht="14.25" customHeight="1">
      <c r="A3076" s="1" t="s">
        <v>520</v>
      </c>
      <c r="B3076" s="1">
        <v>6.2</v>
      </c>
    </row>
    <row r="3077" ht="14.25" customHeight="1">
      <c r="A3077" s="1" t="s">
        <v>506</v>
      </c>
      <c r="B3077" s="1">
        <v>7.3</v>
      </c>
    </row>
    <row r="3078" ht="14.25" customHeight="1">
      <c r="A3078" s="1" t="s">
        <v>14014</v>
      </c>
      <c r="B3078" s="1">
        <v>5.9</v>
      </c>
    </row>
    <row r="3079" ht="14.25" customHeight="1">
      <c r="A3079" s="1" t="s">
        <v>14548</v>
      </c>
      <c r="B3079" s="1">
        <v>3.6</v>
      </c>
    </row>
    <row r="3080" ht="14.25" customHeight="1">
      <c r="A3080" s="1" t="s">
        <v>14552</v>
      </c>
      <c r="B3080" s="1">
        <v>7.7</v>
      </c>
    </row>
    <row r="3081" ht="14.25" customHeight="1">
      <c r="A3081" s="1" t="s">
        <v>9860</v>
      </c>
      <c r="B3081" s="1">
        <v>7.3</v>
      </c>
    </row>
    <row r="3082" ht="14.25" customHeight="1">
      <c r="A3082" s="1" t="s">
        <v>655</v>
      </c>
      <c r="B3082" s="1">
        <v>7.4</v>
      </c>
    </row>
    <row r="3083" ht="14.25" customHeight="1">
      <c r="A3083" s="1" t="s">
        <v>14565</v>
      </c>
      <c r="B3083" s="1">
        <v>6.6</v>
      </c>
    </row>
    <row r="3084" ht="14.25" customHeight="1">
      <c r="A3084" s="1" t="s">
        <v>14571</v>
      </c>
      <c r="B3084" s="1">
        <v>6.9</v>
      </c>
    </row>
    <row r="3085" ht="14.25" customHeight="1">
      <c r="A3085" s="1" t="s">
        <v>11663</v>
      </c>
      <c r="B3085" s="1">
        <v>6.8</v>
      </c>
    </row>
    <row r="3086" ht="14.25" customHeight="1">
      <c r="A3086" s="1" t="s">
        <v>14578</v>
      </c>
      <c r="B3086" s="1">
        <v>7.2</v>
      </c>
    </row>
    <row r="3087" ht="14.25" customHeight="1">
      <c r="A3087" s="1" t="s">
        <v>9955</v>
      </c>
      <c r="B3087" s="1">
        <v>7.7</v>
      </c>
    </row>
    <row r="3088" ht="14.25" customHeight="1">
      <c r="A3088" s="1" t="s">
        <v>27</v>
      </c>
      <c r="B3088" s="1">
        <v>8.1</v>
      </c>
    </row>
    <row r="3089" ht="14.25" customHeight="1">
      <c r="A3089" s="1" t="s">
        <v>14589</v>
      </c>
      <c r="B3089" s="1">
        <v>7.7</v>
      </c>
    </row>
    <row r="3090" ht="14.25" customHeight="1">
      <c r="A3090" s="1" t="s">
        <v>3473</v>
      </c>
      <c r="B3090" s="1">
        <v>7.6</v>
      </c>
    </row>
    <row r="3091" ht="14.25" customHeight="1">
      <c r="A3091" s="1" t="s">
        <v>6697</v>
      </c>
      <c r="B3091" s="1">
        <v>7.2</v>
      </c>
    </row>
    <row r="3092" ht="14.25" customHeight="1">
      <c r="A3092" s="1" t="s">
        <v>12034</v>
      </c>
      <c r="B3092" s="1">
        <v>7.2</v>
      </c>
    </row>
    <row r="3093" ht="14.25" customHeight="1">
      <c r="A3093" s="1" t="s">
        <v>723</v>
      </c>
      <c r="B3093" s="1">
        <v>8.1</v>
      </c>
    </row>
    <row r="3094" ht="14.25" customHeight="1">
      <c r="A3094" s="1" t="s">
        <v>3607</v>
      </c>
      <c r="B3094" s="1">
        <v>7.5</v>
      </c>
    </row>
    <row r="3095" ht="14.25" customHeight="1">
      <c r="A3095" s="1" t="s">
        <v>14618</v>
      </c>
      <c r="B3095" s="1">
        <v>8.1</v>
      </c>
    </row>
    <row r="3096" ht="14.25" customHeight="1">
      <c r="A3096" s="1" t="s">
        <v>14626</v>
      </c>
      <c r="B3096" s="1">
        <v>7.8</v>
      </c>
    </row>
    <row r="3097" ht="14.25" customHeight="1">
      <c r="A3097" s="1" t="s">
        <v>3834</v>
      </c>
      <c r="B3097" s="1">
        <v>7.8</v>
      </c>
    </row>
    <row r="3098" ht="14.25" customHeight="1">
      <c r="A3098" s="1" t="s">
        <v>1549</v>
      </c>
      <c r="B3098" s="1">
        <v>5.8</v>
      </c>
    </row>
    <row r="3099" ht="14.25" customHeight="1">
      <c r="A3099" s="1" t="s">
        <v>14637</v>
      </c>
      <c r="B3099" s="1">
        <v>7.6</v>
      </c>
    </row>
    <row r="3100" ht="14.25" customHeight="1">
      <c r="A3100" s="1" t="s">
        <v>4006</v>
      </c>
      <c r="B3100" s="1">
        <v>7.4</v>
      </c>
    </row>
    <row r="3101" ht="14.25" customHeight="1">
      <c r="A3101" s="1" t="s">
        <v>14649</v>
      </c>
      <c r="B3101" s="1">
        <v>6.3</v>
      </c>
    </row>
    <row r="3102" ht="14.25" customHeight="1">
      <c r="A3102" s="1" t="s">
        <v>12073</v>
      </c>
      <c r="B3102" s="1">
        <v>6.9</v>
      </c>
    </row>
    <row r="3103" ht="14.25" customHeight="1">
      <c r="A3103" s="1" t="s">
        <v>110</v>
      </c>
      <c r="B3103" s="1">
        <v>8.6</v>
      </c>
    </row>
    <row r="3104" ht="14.25" customHeight="1">
      <c r="A3104" s="1" t="s">
        <v>2604</v>
      </c>
      <c r="B3104" s="1">
        <v>5.1</v>
      </c>
    </row>
    <row r="3105" ht="14.25" customHeight="1">
      <c r="A3105" s="1" t="s">
        <v>2081</v>
      </c>
      <c r="B3105" s="1">
        <v>6.4</v>
      </c>
    </row>
    <row r="3106" ht="14.25" customHeight="1">
      <c r="A3106" s="1" t="s">
        <v>1159</v>
      </c>
      <c r="B3106" s="1">
        <v>7.9</v>
      </c>
    </row>
    <row r="3107" ht="14.25" customHeight="1">
      <c r="A3107" s="1" t="s">
        <v>14675</v>
      </c>
      <c r="B3107" s="1">
        <v>6.9</v>
      </c>
    </row>
    <row r="3108" ht="14.25" customHeight="1">
      <c r="A3108" s="1" t="s">
        <v>10290</v>
      </c>
      <c r="B3108" s="1">
        <v>7.5</v>
      </c>
    </row>
    <row r="3109" ht="14.25" customHeight="1">
      <c r="A3109" s="1" t="s">
        <v>5073</v>
      </c>
      <c r="B3109" s="1">
        <v>7.2</v>
      </c>
    </row>
    <row r="3110" ht="14.25" customHeight="1">
      <c r="A3110" s="1" t="s">
        <v>4801</v>
      </c>
      <c r="B3110" s="1">
        <v>5.8</v>
      </c>
    </row>
    <row r="3111" ht="14.25" customHeight="1">
      <c r="A3111" s="1" t="s">
        <v>14692</v>
      </c>
      <c r="B3111" s="1">
        <v>2.9</v>
      </c>
    </row>
    <row r="3112" ht="14.25" customHeight="1">
      <c r="A3112" s="1" t="s">
        <v>4022</v>
      </c>
      <c r="B3112" s="1">
        <v>6.2</v>
      </c>
    </row>
    <row r="3113" ht="14.25" customHeight="1">
      <c r="A3113" s="1" t="s">
        <v>5504</v>
      </c>
      <c r="B3113" s="1">
        <v>6.8</v>
      </c>
    </row>
    <row r="3114" ht="14.25" customHeight="1">
      <c r="A3114" s="1" t="s">
        <v>14703</v>
      </c>
      <c r="B3114" s="1">
        <v>6.1</v>
      </c>
    </row>
    <row r="3115" ht="14.25" customHeight="1">
      <c r="A3115" s="1" t="s">
        <v>14708</v>
      </c>
      <c r="B3115" s="1">
        <v>7.7</v>
      </c>
    </row>
    <row r="3116" ht="14.25" customHeight="1">
      <c r="A3116" s="1" t="s">
        <v>14713</v>
      </c>
      <c r="B3116" s="1">
        <v>5.2</v>
      </c>
    </row>
    <row r="3117" ht="14.25" customHeight="1">
      <c r="A3117" s="1" t="s">
        <v>8489</v>
      </c>
      <c r="B3117" s="1">
        <v>6.8</v>
      </c>
    </row>
    <row r="3118" ht="14.25" customHeight="1">
      <c r="A3118" s="1" t="s">
        <v>14723</v>
      </c>
      <c r="B3118" s="1">
        <v>7.0</v>
      </c>
    </row>
    <row r="3119" ht="14.25" customHeight="1">
      <c r="A3119" s="1" t="s">
        <v>14728</v>
      </c>
      <c r="B3119" s="1">
        <v>5.9</v>
      </c>
    </row>
    <row r="3120" ht="14.25" customHeight="1">
      <c r="A3120" s="1" t="s">
        <v>14732</v>
      </c>
      <c r="B3120" s="1">
        <v>7.1</v>
      </c>
    </row>
    <row r="3121" ht="14.25" customHeight="1">
      <c r="A3121" s="1" t="s">
        <v>14736</v>
      </c>
      <c r="B3121" s="1">
        <v>5.5</v>
      </c>
    </row>
    <row r="3122" ht="14.25" customHeight="1">
      <c r="A3122" s="1" t="s">
        <v>14741</v>
      </c>
      <c r="B3122" s="1">
        <v>7.4</v>
      </c>
    </row>
    <row r="3123" ht="14.25" customHeight="1">
      <c r="A3123" s="1" t="s">
        <v>14746</v>
      </c>
      <c r="B3123" s="1">
        <v>7.3</v>
      </c>
    </row>
    <row r="3124" ht="14.25" customHeight="1">
      <c r="A3124" s="1" t="s">
        <v>14751</v>
      </c>
      <c r="B3124" s="1">
        <v>4.6</v>
      </c>
    </row>
    <row r="3125" ht="14.25" customHeight="1">
      <c r="A3125" s="1" t="s">
        <v>6327</v>
      </c>
      <c r="B3125" s="1">
        <v>7.2</v>
      </c>
    </row>
    <row r="3126" ht="14.25" customHeight="1">
      <c r="A3126" s="1" t="s">
        <v>14758</v>
      </c>
      <c r="B3126" s="1">
        <v>5.1</v>
      </c>
    </row>
    <row r="3127" ht="14.25" customHeight="1">
      <c r="A3127" s="1" t="s">
        <v>14765</v>
      </c>
      <c r="B3127" s="1">
        <v>6.7</v>
      </c>
    </row>
    <row r="3128" ht="14.25" customHeight="1">
      <c r="A3128" s="1" t="s">
        <v>14769</v>
      </c>
      <c r="B3128" s="1">
        <v>5.3</v>
      </c>
    </row>
    <row r="3129" ht="14.25" customHeight="1">
      <c r="A3129" s="1" t="s">
        <v>14774</v>
      </c>
      <c r="B3129" s="1">
        <v>7.8</v>
      </c>
    </row>
    <row r="3130" ht="14.25" customHeight="1">
      <c r="A3130" s="1" t="s">
        <v>11262</v>
      </c>
      <c r="B3130" s="1">
        <v>6.7</v>
      </c>
    </row>
    <row r="3131" ht="14.25" customHeight="1">
      <c r="A3131" s="1" t="s">
        <v>14785</v>
      </c>
      <c r="B3131" s="1">
        <v>7.2</v>
      </c>
    </row>
    <row r="3132" ht="14.25" customHeight="1">
      <c r="A3132" s="1" t="s">
        <v>14789</v>
      </c>
      <c r="B3132" s="1">
        <v>5.8</v>
      </c>
    </row>
    <row r="3133" ht="14.25" customHeight="1">
      <c r="A3133" s="1" t="s">
        <v>7677</v>
      </c>
      <c r="B3133" s="1">
        <v>7.0</v>
      </c>
    </row>
    <row r="3134" ht="14.25" customHeight="1">
      <c r="A3134" s="1" t="s">
        <v>14798</v>
      </c>
      <c r="B3134" s="1">
        <v>3.8</v>
      </c>
    </row>
    <row r="3135" ht="14.25" customHeight="1">
      <c r="A3135" s="1" t="s">
        <v>14804</v>
      </c>
      <c r="B3135" s="1">
        <v>5.7</v>
      </c>
    </row>
    <row r="3136" ht="14.25" customHeight="1">
      <c r="A3136" s="1" t="s">
        <v>10126</v>
      </c>
      <c r="B3136" s="1">
        <v>6.7</v>
      </c>
    </row>
    <row r="3137" ht="14.25" customHeight="1">
      <c r="A3137" s="1" t="s">
        <v>7569</v>
      </c>
      <c r="B3137" s="1">
        <v>6.2</v>
      </c>
    </row>
    <row r="3138" ht="14.25" customHeight="1">
      <c r="A3138" s="1" t="s">
        <v>11849</v>
      </c>
      <c r="B3138" s="1">
        <v>6.2</v>
      </c>
    </row>
    <row r="3139" ht="14.25" customHeight="1">
      <c r="A3139" s="1" t="s">
        <v>14823</v>
      </c>
      <c r="B3139" s="1">
        <v>4.7</v>
      </c>
    </row>
    <row r="3140" ht="14.25" customHeight="1">
      <c r="A3140" s="1" t="s">
        <v>11957</v>
      </c>
      <c r="B3140" s="1">
        <v>6.3</v>
      </c>
    </row>
    <row r="3141" ht="14.25" customHeight="1">
      <c r="A3141" s="1" t="s">
        <v>14830</v>
      </c>
      <c r="B3141" s="1">
        <v>7.3</v>
      </c>
    </row>
    <row r="3142" ht="14.25" customHeight="1">
      <c r="A3142" s="1" t="s">
        <v>5034</v>
      </c>
      <c r="B3142" s="1">
        <v>6.1</v>
      </c>
    </row>
    <row r="3143" ht="14.25" customHeight="1">
      <c r="A3143" s="1" t="s">
        <v>14835</v>
      </c>
      <c r="B3143" s="1">
        <v>7.1</v>
      </c>
    </row>
    <row r="3144" ht="14.25" customHeight="1">
      <c r="A3144" s="1" t="s">
        <v>14842</v>
      </c>
      <c r="B3144" s="1">
        <v>7.1</v>
      </c>
    </row>
    <row r="3145" ht="14.25" customHeight="1">
      <c r="A3145" s="1" t="s">
        <v>14358</v>
      </c>
      <c r="B3145" s="1">
        <v>6.7</v>
      </c>
    </row>
    <row r="3146" ht="14.25" customHeight="1">
      <c r="A3146" s="1" t="s">
        <v>13891</v>
      </c>
      <c r="B3146" s="1">
        <v>6.9</v>
      </c>
    </row>
    <row r="3147" ht="14.25" customHeight="1">
      <c r="A3147" s="1" t="s">
        <v>12281</v>
      </c>
      <c r="B3147" s="1">
        <v>2.1</v>
      </c>
    </row>
    <row r="3148" ht="14.25" customHeight="1">
      <c r="A3148" s="1" t="s">
        <v>13102</v>
      </c>
      <c r="B3148" s="1">
        <v>6.6</v>
      </c>
    </row>
    <row r="3149" ht="14.25" customHeight="1">
      <c r="A3149" s="1" t="s">
        <v>14618</v>
      </c>
      <c r="B3149" s="1">
        <v>8.3</v>
      </c>
    </row>
    <row r="3150" ht="14.25" customHeight="1">
      <c r="A3150" s="1" t="s">
        <v>7293</v>
      </c>
      <c r="B3150" s="1">
        <v>7.2</v>
      </c>
    </row>
    <row r="3151" ht="14.25" customHeight="1">
      <c r="A3151" s="1" t="s">
        <v>14876</v>
      </c>
      <c r="B3151" s="1">
        <v>5.6</v>
      </c>
    </row>
    <row r="3152" ht="14.25" customHeight="1">
      <c r="A3152" s="1" t="s">
        <v>6760</v>
      </c>
      <c r="B3152" s="1">
        <v>7.7</v>
      </c>
    </row>
    <row r="3153" ht="14.25" customHeight="1">
      <c r="A3153" s="1" t="s">
        <v>60</v>
      </c>
      <c r="B3153" s="1">
        <v>6.6</v>
      </c>
    </row>
    <row r="3154" ht="14.25" customHeight="1">
      <c r="A3154" s="1" t="s">
        <v>10692</v>
      </c>
      <c r="B3154" s="1">
        <v>7.4</v>
      </c>
    </row>
    <row r="3155" ht="14.25" customHeight="1">
      <c r="A3155" s="1" t="s">
        <v>8426</v>
      </c>
      <c r="B3155" s="1">
        <v>7.1</v>
      </c>
    </row>
    <row r="3156" ht="14.25" customHeight="1">
      <c r="A3156" s="1" t="s">
        <v>14895</v>
      </c>
      <c r="B3156" s="1">
        <v>7.9</v>
      </c>
    </row>
    <row r="3157" ht="14.25" customHeight="1">
      <c r="A3157" s="1" t="s">
        <v>14902</v>
      </c>
      <c r="B3157" s="1">
        <v>6.7</v>
      </c>
    </row>
    <row r="3158" ht="14.25" customHeight="1">
      <c r="A3158" s="1" t="s">
        <v>14908</v>
      </c>
      <c r="B3158" s="1">
        <v>6.6</v>
      </c>
    </row>
    <row r="3159" ht="14.25" customHeight="1">
      <c r="A3159" s="1" t="s">
        <v>4801</v>
      </c>
      <c r="B3159" s="1">
        <v>7.9</v>
      </c>
    </row>
    <row r="3160" ht="14.25" customHeight="1">
      <c r="A3160" s="1" t="s">
        <v>14917</v>
      </c>
      <c r="B3160" s="1">
        <v>4.9</v>
      </c>
    </row>
    <row r="3161" ht="14.25" customHeight="1">
      <c r="A3161" s="1" t="s">
        <v>14921</v>
      </c>
      <c r="B3161" s="1">
        <v>7.2</v>
      </c>
    </row>
    <row r="3162" ht="14.25" customHeight="1">
      <c r="A3162" s="1" t="s">
        <v>14929</v>
      </c>
      <c r="B3162" s="1">
        <v>6.1</v>
      </c>
    </row>
    <row r="3163" ht="14.25" customHeight="1">
      <c r="A3163" s="1" t="s">
        <v>14935</v>
      </c>
      <c r="B3163" s="1">
        <v>5.3</v>
      </c>
    </row>
    <row r="3164" ht="14.25" customHeight="1">
      <c r="A3164" s="1" t="s">
        <v>8231</v>
      </c>
      <c r="B3164" s="1">
        <v>5.0</v>
      </c>
    </row>
    <row r="3165" ht="14.25" customHeight="1">
      <c r="A3165" s="1" t="s">
        <v>11452</v>
      </c>
      <c r="B3165" s="1">
        <v>7.6</v>
      </c>
    </row>
    <row r="3166" ht="14.25" customHeight="1">
      <c r="A3166" s="1" t="s">
        <v>14954</v>
      </c>
      <c r="B3166" s="1">
        <v>7.6</v>
      </c>
    </row>
    <row r="3167" ht="14.25" customHeight="1">
      <c r="A3167" s="1" t="s">
        <v>324</v>
      </c>
      <c r="B3167" s="1">
        <v>6.6</v>
      </c>
    </row>
    <row r="3168" ht="14.25" customHeight="1">
      <c r="A3168" s="1" t="s">
        <v>13132</v>
      </c>
      <c r="B3168" s="1">
        <v>6.6</v>
      </c>
    </row>
    <row r="3169" ht="14.25" customHeight="1">
      <c r="A3169" s="1" t="s">
        <v>14966</v>
      </c>
      <c r="B3169" s="1">
        <v>7.3</v>
      </c>
    </row>
    <row r="3170" ht="14.25" customHeight="1">
      <c r="A3170" s="1" t="s">
        <v>9802</v>
      </c>
      <c r="B3170" s="1">
        <v>6.6</v>
      </c>
    </row>
    <row r="3171" ht="14.25" customHeight="1">
      <c r="A3171" s="1" t="s">
        <v>14976</v>
      </c>
      <c r="B3171" s="1">
        <v>6.9</v>
      </c>
    </row>
    <row r="3172" ht="14.25" customHeight="1">
      <c r="A3172" s="1" t="s">
        <v>14981</v>
      </c>
      <c r="B3172" s="1">
        <v>5.8</v>
      </c>
    </row>
    <row r="3173" ht="14.25" customHeight="1">
      <c r="A3173" s="1" t="s">
        <v>14986</v>
      </c>
      <c r="B3173" s="1">
        <v>4.4</v>
      </c>
    </row>
    <row r="3174" ht="14.25" customHeight="1">
      <c r="A3174" s="1" t="s">
        <v>1674</v>
      </c>
      <c r="B3174" s="1">
        <v>6.6</v>
      </c>
    </row>
    <row r="3175" ht="14.25" customHeight="1">
      <c r="A3175" s="1" t="s">
        <v>13368</v>
      </c>
      <c r="B3175" s="1">
        <v>7.1</v>
      </c>
    </row>
    <row r="3176" ht="14.25" customHeight="1">
      <c r="A3176" s="1" t="s">
        <v>14997</v>
      </c>
      <c r="B3176" s="1">
        <v>7.6</v>
      </c>
    </row>
    <row r="3177" ht="14.25" customHeight="1">
      <c r="A3177" s="1" t="s">
        <v>14981</v>
      </c>
      <c r="B3177" s="1">
        <v>4.6</v>
      </c>
    </row>
    <row r="3178" ht="14.25" customHeight="1">
      <c r="A3178" s="1" t="s">
        <v>15009</v>
      </c>
      <c r="B3178" s="1">
        <v>6.8</v>
      </c>
    </row>
    <row r="3179" ht="14.25" customHeight="1">
      <c r="A3179" s="1" t="s">
        <v>9202</v>
      </c>
      <c r="B3179" s="1">
        <v>4.9</v>
      </c>
    </row>
    <row r="3180" ht="14.25" customHeight="1">
      <c r="A3180" s="1" t="s">
        <v>15017</v>
      </c>
      <c r="B3180" s="1">
        <v>7.3</v>
      </c>
    </row>
    <row r="3181" ht="14.25" customHeight="1">
      <c r="A3181" s="1" t="s">
        <v>15021</v>
      </c>
      <c r="B3181" s="1">
        <v>5.0</v>
      </c>
    </row>
    <row r="3182" ht="14.25" customHeight="1">
      <c r="A3182" s="1" t="s">
        <v>7169</v>
      </c>
      <c r="B3182" s="1">
        <v>8.0</v>
      </c>
    </row>
    <row r="3183" ht="14.25" customHeight="1">
      <c r="A3183" s="1" t="s">
        <v>15031</v>
      </c>
      <c r="B3183" s="1">
        <v>5.2</v>
      </c>
    </row>
    <row r="3184" ht="14.25" customHeight="1">
      <c r="A3184" s="1" t="s">
        <v>55</v>
      </c>
      <c r="B3184" s="1">
        <v>8.5</v>
      </c>
    </row>
    <row r="3185" ht="14.25" customHeight="1">
      <c r="A3185" s="1" t="s">
        <v>15039</v>
      </c>
      <c r="B3185" s="1">
        <v>6.5</v>
      </c>
    </row>
    <row r="3186" ht="14.25" customHeight="1">
      <c r="A3186" s="1" t="s">
        <v>6697</v>
      </c>
      <c r="B3186" s="1">
        <v>7.4</v>
      </c>
    </row>
    <row r="3187" ht="14.25" customHeight="1">
      <c r="A3187" s="1" t="s">
        <v>6221</v>
      </c>
      <c r="B3187" s="1">
        <v>7.7</v>
      </c>
    </row>
    <row r="3188" ht="14.25" customHeight="1">
      <c r="A3188" s="1" t="s">
        <v>6181</v>
      </c>
      <c r="B3188" s="1">
        <v>7.4</v>
      </c>
    </row>
    <row r="3189" ht="14.25" customHeight="1">
      <c r="A3189" s="1" t="s">
        <v>15056</v>
      </c>
      <c r="B3189" s="1">
        <v>5.1</v>
      </c>
    </row>
    <row r="3190" ht="14.25" customHeight="1">
      <c r="A3190" s="1" t="s">
        <v>15062</v>
      </c>
      <c r="B3190" s="1">
        <v>5.0</v>
      </c>
    </row>
    <row r="3191" ht="14.25" customHeight="1">
      <c r="A3191" s="1" t="s">
        <v>1606</v>
      </c>
      <c r="B3191" s="1">
        <v>7.2</v>
      </c>
    </row>
    <row r="3192" ht="14.25" customHeight="1">
      <c r="A3192" s="1" t="s">
        <v>15073</v>
      </c>
      <c r="B3192" s="1">
        <v>6.4</v>
      </c>
    </row>
    <row r="3193" ht="14.25" customHeight="1">
      <c r="A3193" s="1" t="s">
        <v>15077</v>
      </c>
      <c r="B3193" s="1">
        <v>5.6</v>
      </c>
    </row>
    <row r="3194" ht="14.25" customHeight="1">
      <c r="A3194" s="1" t="s">
        <v>1432</v>
      </c>
      <c r="B3194" s="1">
        <v>6.2</v>
      </c>
    </row>
    <row r="3195" ht="14.25" customHeight="1">
      <c r="A3195" s="1" t="s">
        <v>12644</v>
      </c>
      <c r="B3195" s="1">
        <v>6.1</v>
      </c>
    </row>
    <row r="3196" ht="14.25" customHeight="1">
      <c r="A3196" s="1" t="s">
        <v>10749</v>
      </c>
      <c r="B3196" s="1">
        <v>5.2</v>
      </c>
    </row>
    <row r="3197" ht="14.25" customHeight="1">
      <c r="A3197" s="1" t="s">
        <v>10979</v>
      </c>
      <c r="B3197" s="1">
        <v>7.3</v>
      </c>
    </row>
    <row r="3198" ht="14.25" customHeight="1">
      <c r="A3198" s="1" t="s">
        <v>15096</v>
      </c>
      <c r="B3198" s="1">
        <v>7.5</v>
      </c>
    </row>
    <row r="3199" ht="14.25" customHeight="1">
      <c r="A3199" s="1" t="s">
        <v>15100</v>
      </c>
      <c r="B3199" s="1">
        <v>4.5</v>
      </c>
    </row>
    <row r="3200" ht="14.25" customHeight="1">
      <c r="A3200" s="1" t="s">
        <v>5466</v>
      </c>
      <c r="B3200" s="1">
        <v>6.6</v>
      </c>
    </row>
    <row r="3201" ht="14.25" customHeight="1">
      <c r="A3201" s="1" t="s">
        <v>12840</v>
      </c>
      <c r="B3201" s="1">
        <v>5.3</v>
      </c>
    </row>
    <row r="3202" ht="14.25" customHeight="1">
      <c r="A3202" s="1" t="s">
        <v>15114</v>
      </c>
      <c r="B3202" s="1">
        <v>4.9</v>
      </c>
    </row>
    <row r="3203" ht="14.25" customHeight="1">
      <c r="A3203" s="1" t="s">
        <v>1172</v>
      </c>
      <c r="B3203" s="1">
        <v>7.7</v>
      </c>
    </row>
    <row r="3204" ht="14.25" customHeight="1">
      <c r="A3204" s="1" t="s">
        <v>2354</v>
      </c>
      <c r="B3204" s="1">
        <v>8.0</v>
      </c>
    </row>
    <row r="3205" ht="14.25" customHeight="1">
      <c r="A3205" s="1" t="s">
        <v>15128</v>
      </c>
      <c r="B3205" s="1">
        <v>3.8</v>
      </c>
    </row>
    <row r="3206" ht="14.25" customHeight="1">
      <c r="A3206" s="1" t="s">
        <v>13891</v>
      </c>
      <c r="B3206" s="1">
        <v>7.6</v>
      </c>
    </row>
    <row r="3207" ht="14.25" customHeight="1">
      <c r="A3207" s="1" t="s">
        <v>8927</v>
      </c>
      <c r="B3207" s="1">
        <v>5.9</v>
      </c>
    </row>
    <row r="3208" ht="14.25" customHeight="1">
      <c r="A3208" s="1" t="s">
        <v>15143</v>
      </c>
      <c r="B3208" s="1">
        <v>6.2</v>
      </c>
    </row>
    <row r="3209" ht="14.25" customHeight="1">
      <c r="A3209" s="1" t="s">
        <v>2962</v>
      </c>
      <c r="B3209" s="1">
        <v>7.2</v>
      </c>
    </row>
    <row r="3210" ht="14.25" customHeight="1">
      <c r="A3210" s="1" t="s">
        <v>15152</v>
      </c>
      <c r="B3210" s="1">
        <v>6.3</v>
      </c>
    </row>
    <row r="3211" ht="14.25" customHeight="1">
      <c r="A3211" s="1" t="s">
        <v>15158</v>
      </c>
      <c r="B3211" s="1">
        <v>5.2</v>
      </c>
    </row>
    <row r="3212" ht="14.25" customHeight="1">
      <c r="A3212" s="1" t="s">
        <v>15164</v>
      </c>
      <c r="B3212" s="1">
        <v>6.9</v>
      </c>
    </row>
    <row r="3213" ht="14.25" customHeight="1">
      <c r="A3213" s="1" t="s">
        <v>12644</v>
      </c>
      <c r="B3213" s="1">
        <v>6.8</v>
      </c>
    </row>
    <row r="3214" ht="14.25" customHeight="1">
      <c r="A3214" s="1" t="s">
        <v>4808</v>
      </c>
      <c r="B3214" s="1">
        <v>6.1</v>
      </c>
    </row>
    <row r="3215" ht="14.25" customHeight="1">
      <c r="A3215" s="1" t="s">
        <v>15177</v>
      </c>
      <c r="B3215" s="1">
        <v>5.9</v>
      </c>
    </row>
    <row r="3216" ht="14.25" customHeight="1">
      <c r="A3216" s="1" t="s">
        <v>15184</v>
      </c>
      <c r="B3216" s="1">
        <v>6.9</v>
      </c>
    </row>
    <row r="3217" ht="14.25" customHeight="1">
      <c r="A3217" s="1" t="s">
        <v>15188</v>
      </c>
      <c r="B3217" s="1">
        <v>7.7</v>
      </c>
    </row>
    <row r="3218" ht="14.25" customHeight="1">
      <c r="A3218" s="1" t="s">
        <v>15195</v>
      </c>
      <c r="B3218" s="1">
        <v>5.3</v>
      </c>
    </row>
    <row r="3219" ht="14.25" customHeight="1">
      <c r="A3219" s="1" t="s">
        <v>15199</v>
      </c>
      <c r="B3219" s="1">
        <v>7.0</v>
      </c>
    </row>
    <row r="3220" ht="14.25" customHeight="1">
      <c r="A3220" s="1" t="s">
        <v>15204</v>
      </c>
      <c r="B3220" s="1">
        <v>6.6</v>
      </c>
    </row>
    <row r="3221" ht="14.25" customHeight="1">
      <c r="A3221" s="1" t="s">
        <v>243</v>
      </c>
      <c r="B3221" s="1">
        <v>6.4</v>
      </c>
    </row>
    <row r="3222" ht="14.25" customHeight="1">
      <c r="A3222" s="1" t="s">
        <v>691</v>
      </c>
      <c r="B3222" s="1">
        <v>7.9</v>
      </c>
    </row>
    <row r="3223" ht="14.25" customHeight="1">
      <c r="A3223" s="1" t="s">
        <v>9221</v>
      </c>
      <c r="B3223" s="1">
        <v>7.7</v>
      </c>
    </row>
    <row r="3224" ht="14.25" customHeight="1">
      <c r="A3224" s="1" t="s">
        <v>15221</v>
      </c>
      <c r="B3224" s="1">
        <v>7.2</v>
      </c>
    </row>
    <row r="3225" ht="14.25" customHeight="1">
      <c r="A3225" s="1" t="s">
        <v>15226</v>
      </c>
      <c r="B3225" s="1">
        <v>6.8</v>
      </c>
    </row>
    <row r="3226" ht="14.25" customHeight="1">
      <c r="A3226" s="1" t="s">
        <v>163</v>
      </c>
      <c r="B3226" s="1">
        <v>7.4</v>
      </c>
    </row>
    <row r="3227" ht="14.25" customHeight="1">
      <c r="A3227" s="1" t="s">
        <v>12347</v>
      </c>
      <c r="B3227" s="1">
        <v>4.6</v>
      </c>
    </row>
    <row r="3228" ht="14.25" customHeight="1">
      <c r="A3228" s="1" t="s">
        <v>15240</v>
      </c>
      <c r="B3228" s="1">
        <v>6.4</v>
      </c>
    </row>
    <row r="3229" ht="14.25" customHeight="1">
      <c r="A3229" s="1" t="s">
        <v>6179</v>
      </c>
      <c r="B3229" s="1">
        <v>7.0</v>
      </c>
    </row>
    <row r="3230" ht="14.25" customHeight="1">
      <c r="A3230" s="1" t="s">
        <v>11897</v>
      </c>
      <c r="B3230" s="1">
        <v>7.7</v>
      </c>
    </row>
    <row r="3231" ht="14.25" customHeight="1">
      <c r="A3231" s="1" t="s">
        <v>14399</v>
      </c>
      <c r="B3231" s="1">
        <v>6.8</v>
      </c>
    </row>
    <row r="3232" ht="14.25" customHeight="1">
      <c r="A3232" s="1" t="s">
        <v>15255</v>
      </c>
      <c r="B3232" s="1">
        <v>7.0</v>
      </c>
    </row>
    <row r="3233" ht="14.25" customHeight="1">
      <c r="A3233" s="1" t="s">
        <v>14774</v>
      </c>
      <c r="B3233" s="1">
        <v>7.0</v>
      </c>
    </row>
    <row r="3234" ht="14.25" customHeight="1">
      <c r="A3234" s="1" t="s">
        <v>15263</v>
      </c>
      <c r="B3234" s="1">
        <v>6.3</v>
      </c>
    </row>
    <row r="3235" ht="14.25" customHeight="1">
      <c r="A3235" s="1" t="s">
        <v>15268</v>
      </c>
      <c r="B3235" s="1">
        <v>7.1</v>
      </c>
    </row>
    <row r="3236" ht="14.25" customHeight="1">
      <c r="A3236" s="1" t="s">
        <v>5083</v>
      </c>
      <c r="B3236" s="1">
        <v>7.1</v>
      </c>
    </row>
    <row r="3237" ht="14.25" customHeight="1">
      <c r="A3237" s="1" t="s">
        <v>112</v>
      </c>
      <c r="B3237" s="1">
        <v>6.1</v>
      </c>
    </row>
    <row r="3238" ht="14.25" customHeight="1">
      <c r="A3238" s="1" t="s">
        <v>15282</v>
      </c>
      <c r="B3238" s="1">
        <v>7.3</v>
      </c>
    </row>
    <row r="3239" ht="14.25" customHeight="1">
      <c r="A3239" s="1" t="s">
        <v>15286</v>
      </c>
      <c r="B3239" s="1">
        <v>6.2</v>
      </c>
    </row>
    <row r="3240" ht="14.25" customHeight="1">
      <c r="A3240" s="1" t="s">
        <v>2161</v>
      </c>
      <c r="B3240" s="1">
        <v>6.2</v>
      </c>
    </row>
    <row r="3241" ht="14.25" customHeight="1">
      <c r="A3241" s="1" t="s">
        <v>15298</v>
      </c>
      <c r="B3241" s="1">
        <v>3.3</v>
      </c>
    </row>
    <row r="3242" ht="14.25" customHeight="1">
      <c r="A3242" s="1" t="s">
        <v>15304</v>
      </c>
      <c r="B3242" s="1">
        <v>7.4</v>
      </c>
    </row>
    <row r="3243" ht="14.25" customHeight="1">
      <c r="A3243" s="1" t="s">
        <v>5572</v>
      </c>
      <c r="B3243" s="1">
        <v>8.0</v>
      </c>
    </row>
    <row r="3244" ht="14.25" customHeight="1">
      <c r="A3244" s="1" t="s">
        <v>14171</v>
      </c>
      <c r="B3244" s="1">
        <v>5.9</v>
      </c>
    </row>
    <row r="3245" ht="14.25" customHeight="1">
      <c r="A3245" s="1" t="s">
        <v>11814</v>
      </c>
      <c r="B3245" s="1">
        <v>6.8</v>
      </c>
    </row>
    <row r="3246" ht="14.25" customHeight="1">
      <c r="A3246" s="1" t="s">
        <v>10913</v>
      </c>
      <c r="B3246" s="1">
        <v>7.4</v>
      </c>
    </row>
    <row r="3247" ht="14.25" customHeight="1">
      <c r="A3247" s="1" t="s">
        <v>15327</v>
      </c>
      <c r="B3247" s="1">
        <v>6.7</v>
      </c>
    </row>
    <row r="3248" ht="14.25" customHeight="1">
      <c r="A3248" s="1" t="s">
        <v>6957</v>
      </c>
      <c r="B3248" s="1">
        <v>5.5</v>
      </c>
    </row>
    <row r="3249" ht="14.25" customHeight="1">
      <c r="A3249" s="1" t="s">
        <v>11588</v>
      </c>
      <c r="B3249" s="1">
        <v>5.7</v>
      </c>
    </row>
    <row r="3250" ht="14.25" customHeight="1">
      <c r="A3250" s="1" t="s">
        <v>15342</v>
      </c>
      <c r="B3250" s="1">
        <v>7.2</v>
      </c>
    </row>
    <row r="3251" ht="14.25" customHeight="1">
      <c r="A3251" s="1" t="s">
        <v>15349</v>
      </c>
      <c r="B3251" s="1">
        <v>5.9</v>
      </c>
    </row>
    <row r="3252" ht="14.25" customHeight="1">
      <c r="A3252" s="1" t="s">
        <v>7041</v>
      </c>
      <c r="B3252" s="1">
        <v>6.7</v>
      </c>
    </row>
    <row r="3253" ht="14.25" customHeight="1">
      <c r="A3253" s="1" t="s">
        <v>363</v>
      </c>
      <c r="B3253" s="1">
        <v>7.1</v>
      </c>
    </row>
    <row r="3254" ht="14.25" customHeight="1">
      <c r="A3254" s="1" t="s">
        <v>4801</v>
      </c>
      <c r="B3254" s="1">
        <v>7.7</v>
      </c>
    </row>
    <row r="3255" ht="14.25" customHeight="1">
      <c r="A3255" s="1" t="s">
        <v>428</v>
      </c>
      <c r="B3255" s="1">
        <v>7.4</v>
      </c>
    </row>
    <row r="3256" ht="14.25" customHeight="1">
      <c r="A3256" s="1" t="s">
        <v>1159</v>
      </c>
      <c r="B3256" s="1">
        <v>8.4</v>
      </c>
    </row>
    <row r="3257" ht="14.25" customHeight="1">
      <c r="A3257" s="1" t="s">
        <v>15373</v>
      </c>
      <c r="B3257" s="1">
        <v>7.2</v>
      </c>
    </row>
    <row r="3258" ht="14.25" customHeight="1">
      <c r="A3258" s="1" t="s">
        <v>9062</v>
      </c>
      <c r="B3258" s="1">
        <v>8.1</v>
      </c>
    </row>
    <row r="3259" ht="14.25" customHeight="1">
      <c r="A3259" s="1" t="s">
        <v>15385</v>
      </c>
      <c r="B3259" s="1">
        <v>7.8</v>
      </c>
    </row>
    <row r="3260" ht="14.25" customHeight="1">
      <c r="A3260" s="1" t="s">
        <v>15392</v>
      </c>
      <c r="B3260" s="1">
        <v>6.8</v>
      </c>
    </row>
    <row r="3261" ht="14.25" customHeight="1">
      <c r="A3261" s="1" t="s">
        <v>12837</v>
      </c>
      <c r="B3261" s="1">
        <v>7.7</v>
      </c>
    </row>
    <row r="3262" ht="14.25" customHeight="1">
      <c r="A3262" s="1" t="s">
        <v>15402</v>
      </c>
      <c r="B3262" s="1">
        <v>6.5</v>
      </c>
    </row>
    <row r="3263" ht="14.25" customHeight="1">
      <c r="A3263" s="1" t="s">
        <v>15406</v>
      </c>
      <c r="B3263" s="1">
        <v>7.3</v>
      </c>
    </row>
    <row r="3264" ht="14.25" customHeight="1">
      <c r="A3264" s="1" t="s">
        <v>15411</v>
      </c>
      <c r="B3264" s="1">
        <v>5.9</v>
      </c>
    </row>
    <row r="3265" ht="14.25" customHeight="1">
      <c r="A3265" s="1" t="s">
        <v>4686</v>
      </c>
      <c r="B3265" s="1">
        <v>8.7</v>
      </c>
    </row>
    <row r="3266" ht="14.25" customHeight="1">
      <c r="A3266" s="1" t="s">
        <v>15419</v>
      </c>
      <c r="B3266" s="1">
        <v>6.1</v>
      </c>
    </row>
    <row r="3267" ht="14.25" customHeight="1">
      <c r="A3267" s="1" t="s">
        <v>7997</v>
      </c>
      <c r="B3267" s="1">
        <v>7.6</v>
      </c>
    </row>
    <row r="3268" ht="14.25" customHeight="1">
      <c r="A3268" s="1" t="s">
        <v>903</v>
      </c>
      <c r="B3268" s="1">
        <v>5.8</v>
      </c>
    </row>
    <row r="3269" ht="14.25" customHeight="1">
      <c r="A3269" s="1" t="s">
        <v>2854</v>
      </c>
      <c r="B3269" s="1">
        <v>6.5</v>
      </c>
    </row>
    <row r="3270" ht="14.25" customHeight="1">
      <c r="A3270" s="1" t="s">
        <v>4775</v>
      </c>
      <c r="B3270" s="1">
        <v>7.3</v>
      </c>
    </row>
    <row r="3271" ht="14.25" customHeight="1">
      <c r="A3271" s="1" t="s">
        <v>10327</v>
      </c>
      <c r="B3271" s="1">
        <v>6.2</v>
      </c>
    </row>
    <row r="3272" ht="14.25" customHeight="1">
      <c r="A3272" s="1" t="s">
        <v>10634</v>
      </c>
      <c r="B3272" s="1">
        <v>5.0</v>
      </c>
    </row>
    <row r="3273" ht="14.25" customHeight="1">
      <c r="A3273" s="1" t="s">
        <v>6327</v>
      </c>
      <c r="B3273" s="1">
        <v>7.8</v>
      </c>
    </row>
    <row r="3274" ht="14.25" customHeight="1">
      <c r="A3274" s="1" t="s">
        <v>3797</v>
      </c>
      <c r="B3274" s="1">
        <v>8.1</v>
      </c>
    </row>
    <row r="3275" ht="14.25" customHeight="1">
      <c r="A3275" s="1" t="s">
        <v>15456</v>
      </c>
      <c r="B3275" s="1">
        <v>6.7</v>
      </c>
    </row>
    <row r="3276" ht="14.25" customHeight="1">
      <c r="A3276" s="1" t="s">
        <v>179</v>
      </c>
      <c r="B3276" s="1">
        <v>6.1</v>
      </c>
    </row>
    <row r="3277" ht="14.25" customHeight="1">
      <c r="A3277" s="1" t="s">
        <v>117</v>
      </c>
      <c r="B3277" s="1">
        <v>7.1</v>
      </c>
    </row>
    <row r="3278" ht="14.25" customHeight="1">
      <c r="A3278" s="1" t="s">
        <v>15467</v>
      </c>
      <c r="B3278" s="1">
        <v>5.6</v>
      </c>
    </row>
    <row r="3279" ht="14.25" customHeight="1">
      <c r="A3279" s="1" t="s">
        <v>15472</v>
      </c>
      <c r="B3279" s="1">
        <v>7.6</v>
      </c>
    </row>
    <row r="3280" ht="14.25" customHeight="1">
      <c r="A3280" s="1" t="s">
        <v>484</v>
      </c>
      <c r="B3280" s="1">
        <v>4.6</v>
      </c>
    </row>
    <row r="3281" ht="14.25" customHeight="1">
      <c r="A3281" s="1" t="s">
        <v>15480</v>
      </c>
      <c r="B3281" s="1">
        <v>7.1</v>
      </c>
    </row>
    <row r="3282" ht="14.25" customHeight="1">
      <c r="A3282" s="1" t="s">
        <v>5073</v>
      </c>
      <c r="B3282" s="1">
        <v>7.3</v>
      </c>
    </row>
    <row r="3283" ht="14.25" customHeight="1">
      <c r="A3283" s="1" t="s">
        <v>15489</v>
      </c>
      <c r="B3283" s="1">
        <v>4.0</v>
      </c>
    </row>
    <row r="3284" ht="14.25" customHeight="1">
      <c r="A3284" s="1" t="s">
        <v>8489</v>
      </c>
      <c r="B3284" s="1">
        <v>8.0</v>
      </c>
    </row>
    <row r="3285" ht="14.25" customHeight="1">
      <c r="A3285" s="1" t="s">
        <v>3797</v>
      </c>
      <c r="B3285" s="1">
        <v>6.7</v>
      </c>
    </row>
    <row r="3286" ht="14.25" customHeight="1">
      <c r="A3286" s="1" t="s">
        <v>247</v>
      </c>
      <c r="B3286" s="1">
        <v>5.7</v>
      </c>
    </row>
    <row r="3287" ht="14.25" customHeight="1">
      <c r="A3287" s="1" t="s">
        <v>15503</v>
      </c>
      <c r="B3287" s="1">
        <v>4.6</v>
      </c>
    </row>
    <row r="3288" ht="14.25" customHeight="1">
      <c r="A3288" s="1" t="s">
        <v>15503</v>
      </c>
      <c r="B3288" s="1">
        <v>4.0</v>
      </c>
    </row>
    <row r="3289" ht="14.25" customHeight="1">
      <c r="A3289" s="1" t="s">
        <v>11121</v>
      </c>
      <c r="B3289" s="1">
        <v>7.0</v>
      </c>
    </row>
    <row r="3290" ht="14.25" customHeight="1">
      <c r="A3290" s="1" t="s">
        <v>15515</v>
      </c>
      <c r="B3290" s="1">
        <v>5.9</v>
      </c>
    </row>
    <row r="3291" ht="14.25" customHeight="1">
      <c r="A3291" s="1" t="s">
        <v>5922</v>
      </c>
      <c r="B3291" s="1">
        <v>4.8</v>
      </c>
    </row>
    <row r="3292" ht="14.25" customHeight="1">
      <c r="A3292" s="1" t="s">
        <v>6339</v>
      </c>
      <c r="B3292" s="1">
        <v>7.5</v>
      </c>
    </row>
    <row r="3293" ht="14.25" customHeight="1">
      <c r="A3293" s="1" t="s">
        <v>15523</v>
      </c>
      <c r="B3293" s="1">
        <v>4.7</v>
      </c>
    </row>
    <row r="3294" ht="14.25" customHeight="1">
      <c r="A3294" s="1" t="s">
        <v>15529</v>
      </c>
      <c r="B3294" s="1">
        <v>6.7</v>
      </c>
    </row>
    <row r="3295" ht="14.25" customHeight="1">
      <c r="A3295" s="1" t="s">
        <v>15533</v>
      </c>
      <c r="B3295" s="1">
        <v>6.7</v>
      </c>
    </row>
    <row r="3296" ht="14.25" customHeight="1">
      <c r="A3296" s="1" t="s">
        <v>11163</v>
      </c>
      <c r="B3296" s="1">
        <v>7.1</v>
      </c>
    </row>
    <row r="3297" ht="14.25" customHeight="1">
      <c r="A3297" s="1" t="s">
        <v>15540</v>
      </c>
      <c r="B3297" s="1">
        <v>2.7</v>
      </c>
    </row>
    <row r="3298" ht="14.25" customHeight="1">
      <c r="A3298" s="1" t="s">
        <v>723</v>
      </c>
      <c r="B3298" s="1">
        <v>7.3</v>
      </c>
    </row>
    <row r="3299" ht="14.25" customHeight="1">
      <c r="A3299" s="1" t="s">
        <v>10290</v>
      </c>
      <c r="B3299" s="1">
        <v>7.6</v>
      </c>
    </row>
    <row r="3300" ht="14.25" customHeight="1">
      <c r="A3300" s="1" t="s">
        <v>15552</v>
      </c>
      <c r="B3300" s="1">
        <v>5.8</v>
      </c>
    </row>
    <row r="3301" ht="14.25" customHeight="1">
      <c r="A3301" s="1" t="s">
        <v>4191</v>
      </c>
      <c r="B3301" s="1">
        <v>6.5</v>
      </c>
    </row>
    <row r="3302" ht="14.25" customHeight="1">
      <c r="A3302" s="1" t="s">
        <v>15560</v>
      </c>
      <c r="B3302" s="1">
        <v>6.6</v>
      </c>
    </row>
    <row r="3303" ht="14.25" customHeight="1">
      <c r="A3303" s="1" t="s">
        <v>15564</v>
      </c>
      <c r="B3303" s="1">
        <v>6.9</v>
      </c>
    </row>
    <row r="3304" ht="14.25" customHeight="1">
      <c r="A3304" s="1" t="s">
        <v>15570</v>
      </c>
      <c r="B3304" s="1">
        <v>8.5</v>
      </c>
    </row>
    <row r="3305" ht="14.25" customHeight="1">
      <c r="A3305" s="1" t="s">
        <v>15578</v>
      </c>
      <c r="B3305" s="1">
        <v>4.8</v>
      </c>
    </row>
    <row r="3306" ht="14.25" customHeight="1">
      <c r="A3306" s="1" t="s">
        <v>15584</v>
      </c>
      <c r="B3306" s="1">
        <v>7.0</v>
      </c>
    </row>
    <row r="3307" ht="14.25" customHeight="1">
      <c r="A3307" s="1" t="s">
        <v>15472</v>
      </c>
      <c r="B3307" s="1">
        <v>5.4</v>
      </c>
    </row>
    <row r="3308" ht="14.25" customHeight="1">
      <c r="A3308" s="1" t="s">
        <v>5119</v>
      </c>
      <c r="B3308" s="1">
        <v>6.9</v>
      </c>
    </row>
    <row r="3309" ht="14.25" customHeight="1">
      <c r="A3309" s="1" t="s">
        <v>15595</v>
      </c>
      <c r="B3309" s="1">
        <v>6.6</v>
      </c>
    </row>
    <row r="3310" ht="14.25" customHeight="1">
      <c r="A3310" s="1" t="s">
        <v>1985</v>
      </c>
      <c r="B3310" s="1">
        <v>5.9</v>
      </c>
    </row>
    <row r="3311" ht="14.25" customHeight="1">
      <c r="A3311" s="1" t="s">
        <v>15604</v>
      </c>
      <c r="B3311" s="1">
        <v>6.3</v>
      </c>
    </row>
    <row r="3312" ht="14.25" customHeight="1">
      <c r="A3312" s="1" t="s">
        <v>8622</v>
      </c>
      <c r="B3312" s="1">
        <v>6.3</v>
      </c>
    </row>
    <row r="3313" ht="14.25" customHeight="1">
      <c r="A3313" s="1" t="s">
        <v>15614</v>
      </c>
      <c r="B3313" s="1">
        <v>7.0</v>
      </c>
    </row>
    <row r="3314" ht="14.25" customHeight="1">
      <c r="A3314" s="1" t="s">
        <v>2962</v>
      </c>
      <c r="B3314" s="1">
        <v>6.3</v>
      </c>
    </row>
    <row r="3315" ht="14.25" customHeight="1">
      <c r="A3315" s="1" t="s">
        <v>9470</v>
      </c>
      <c r="B3315" s="1">
        <v>6.2</v>
      </c>
    </row>
    <row r="3316" ht="14.25" customHeight="1">
      <c r="A3316" s="1" t="s">
        <v>15626</v>
      </c>
      <c r="B3316" s="1">
        <v>7.7</v>
      </c>
    </row>
    <row r="3317" ht="14.25" customHeight="1">
      <c r="A3317" s="1" t="s">
        <v>15633</v>
      </c>
      <c r="B3317" s="1">
        <v>6.5</v>
      </c>
    </row>
    <row r="3318" ht="14.25" customHeight="1">
      <c r="A3318" s="1" t="s">
        <v>6334</v>
      </c>
      <c r="B3318" s="1">
        <v>5.8</v>
      </c>
    </row>
    <row r="3319" ht="14.25" customHeight="1">
      <c r="A3319" s="1" t="s">
        <v>15642</v>
      </c>
      <c r="B3319" s="1">
        <v>6.1</v>
      </c>
    </row>
    <row r="3320" ht="14.25" customHeight="1">
      <c r="A3320" s="1" t="s">
        <v>15647</v>
      </c>
      <c r="B3320" s="1">
        <v>8.2</v>
      </c>
    </row>
    <row r="3321" ht="14.25" customHeight="1">
      <c r="A3321" s="1" t="s">
        <v>15654</v>
      </c>
      <c r="B3321" s="1">
        <v>6.0</v>
      </c>
    </row>
    <row r="3322" ht="14.25" customHeight="1">
      <c r="A3322" s="1" t="s">
        <v>15659</v>
      </c>
      <c r="B3322" s="1">
        <v>6.8</v>
      </c>
    </row>
    <row r="3323" ht="14.25" customHeight="1">
      <c r="A3323" s="1" t="s">
        <v>15666</v>
      </c>
      <c r="B3323" s="1">
        <v>7.0</v>
      </c>
    </row>
    <row r="3324" ht="14.25" customHeight="1">
      <c r="A3324" s="1" t="s">
        <v>15675</v>
      </c>
      <c r="B3324" s="1">
        <v>6.8</v>
      </c>
    </row>
    <row r="3325" ht="14.25" customHeight="1">
      <c r="A3325" s="1" t="s">
        <v>15679</v>
      </c>
      <c r="B3325" s="1">
        <v>7.1</v>
      </c>
    </row>
    <row r="3326" ht="14.25" customHeight="1">
      <c r="A3326" s="1" t="s">
        <v>15687</v>
      </c>
      <c r="B3326" s="1">
        <v>6.9</v>
      </c>
    </row>
    <row r="3327" ht="14.25" customHeight="1">
      <c r="A3327" s="1" t="s">
        <v>10806</v>
      </c>
      <c r="B3327" s="1">
        <v>6.9</v>
      </c>
    </row>
    <row r="3328" ht="14.25" customHeight="1">
      <c r="A3328" s="1" t="s">
        <v>4844</v>
      </c>
      <c r="B3328" s="1">
        <v>6.9</v>
      </c>
    </row>
    <row r="3329" ht="14.25" customHeight="1">
      <c r="A3329" s="1" t="s">
        <v>11849</v>
      </c>
      <c r="B3329" s="1">
        <v>7.2</v>
      </c>
    </row>
    <row r="3330" ht="14.25" customHeight="1">
      <c r="A3330" s="1" t="s">
        <v>15700</v>
      </c>
      <c r="B3330" s="1">
        <v>7.8</v>
      </c>
    </row>
    <row r="3331" ht="14.25" customHeight="1">
      <c r="A3331" s="1" t="s">
        <v>2928</v>
      </c>
      <c r="B3331" s="1">
        <v>7.3</v>
      </c>
    </row>
    <row r="3332" ht="14.25" customHeight="1">
      <c r="A3332" s="1" t="s">
        <v>2534</v>
      </c>
      <c r="B3332" s="1">
        <v>7.5</v>
      </c>
    </row>
    <row r="3333" ht="14.25" customHeight="1">
      <c r="A3333" s="1" t="s">
        <v>15713</v>
      </c>
      <c r="B3333" s="1">
        <v>6.0</v>
      </c>
    </row>
    <row r="3334" ht="14.25" customHeight="1">
      <c r="A3334" s="1" t="s">
        <v>15717</v>
      </c>
      <c r="B3334" s="1">
        <v>6.8</v>
      </c>
    </row>
    <row r="3335" ht="14.25" customHeight="1">
      <c r="A3335" s="1" t="s">
        <v>15722</v>
      </c>
      <c r="B3335" s="1">
        <v>3.9</v>
      </c>
    </row>
    <row r="3336" ht="14.25" customHeight="1">
      <c r="A3336" s="1" t="s">
        <v>15729</v>
      </c>
      <c r="B3336" s="1">
        <v>6.1</v>
      </c>
    </row>
    <row r="3337" ht="14.25" customHeight="1">
      <c r="A3337" s="1" t="s">
        <v>1067</v>
      </c>
      <c r="B3337" s="1">
        <v>7.5</v>
      </c>
    </row>
    <row r="3338" ht="14.25" customHeight="1">
      <c r="A3338" s="1" t="s">
        <v>15737</v>
      </c>
      <c r="B3338" s="1">
        <v>8.2</v>
      </c>
    </row>
    <row r="3339" ht="14.25" customHeight="1">
      <c r="A3339" s="1" t="s">
        <v>71</v>
      </c>
      <c r="B3339" s="1">
        <v>7.8</v>
      </c>
    </row>
    <row r="3340" ht="14.25" customHeight="1">
      <c r="A3340" s="1" t="s">
        <v>15750</v>
      </c>
      <c r="B3340" s="1">
        <v>5.2</v>
      </c>
    </row>
    <row r="3341" ht="14.25" customHeight="1">
      <c r="A3341" s="1" t="s">
        <v>15755</v>
      </c>
      <c r="B3341" s="1">
        <v>6.8</v>
      </c>
    </row>
    <row r="3342" ht="14.25" customHeight="1">
      <c r="A3342" s="1" t="s">
        <v>15762</v>
      </c>
      <c r="B3342" s="1">
        <v>7.0</v>
      </c>
    </row>
    <row r="3343" ht="14.25" customHeight="1">
      <c r="A3343" s="1" t="s">
        <v>15770</v>
      </c>
      <c r="B3343" s="1">
        <v>6.5</v>
      </c>
    </row>
    <row r="3344" ht="14.25" customHeight="1">
      <c r="A3344" s="1" t="s">
        <v>4470</v>
      </c>
      <c r="B3344" s="1">
        <v>5.7</v>
      </c>
    </row>
    <row r="3345" ht="14.25" customHeight="1">
      <c r="A3345" s="1" t="s">
        <v>15774</v>
      </c>
      <c r="B3345" s="1">
        <v>6.4</v>
      </c>
    </row>
    <row r="3346" ht="14.25" customHeight="1">
      <c r="A3346" s="1" t="s">
        <v>4870</v>
      </c>
      <c r="B3346" s="1">
        <v>5.3</v>
      </c>
    </row>
    <row r="3347" ht="14.25" customHeight="1">
      <c r="A3347" s="1" t="s">
        <v>15781</v>
      </c>
      <c r="B3347" s="1">
        <v>7.6</v>
      </c>
    </row>
    <row r="3348" ht="14.25" customHeight="1">
      <c r="A3348" s="1" t="s">
        <v>10414</v>
      </c>
      <c r="B3348" s="1">
        <v>7.1</v>
      </c>
    </row>
    <row r="3349" ht="14.25" customHeight="1">
      <c r="A3349" s="1" t="s">
        <v>15790</v>
      </c>
      <c r="B3349" s="1">
        <v>6.5</v>
      </c>
    </row>
    <row r="3350" ht="14.25" customHeight="1">
      <c r="A3350" s="1" t="s">
        <v>15794</v>
      </c>
      <c r="B3350" s="1">
        <v>8.5</v>
      </c>
    </row>
    <row r="3351" ht="14.25" customHeight="1">
      <c r="A3351" s="1" t="s">
        <v>8672</v>
      </c>
      <c r="B3351" s="1">
        <v>8.7</v>
      </c>
    </row>
    <row r="3352" ht="14.25" customHeight="1">
      <c r="A3352" s="1" t="s">
        <v>15803</v>
      </c>
      <c r="B3352" s="1">
        <v>7.1</v>
      </c>
    </row>
    <row r="3353" ht="14.25" customHeight="1">
      <c r="A3353" s="1" t="s">
        <v>14130</v>
      </c>
      <c r="B3353" s="1">
        <v>8.3</v>
      </c>
    </row>
    <row r="3354" ht="14.25" customHeight="1">
      <c r="A3354" s="1" t="s">
        <v>15814</v>
      </c>
      <c r="B3354" s="1">
        <v>7.4</v>
      </c>
    </row>
    <row r="3355" ht="14.25" customHeight="1">
      <c r="A3355" s="1" t="s">
        <v>15818</v>
      </c>
      <c r="B3355" s="1">
        <v>7.5</v>
      </c>
    </row>
    <row r="3356" ht="14.25" customHeight="1">
      <c r="A3356" s="1" t="s">
        <v>15560</v>
      </c>
      <c r="B3356" s="1">
        <v>7.2</v>
      </c>
    </row>
    <row r="3357" ht="14.25" customHeight="1">
      <c r="A3357" s="1" t="s">
        <v>4957</v>
      </c>
      <c r="B3357" s="1">
        <v>7.6</v>
      </c>
    </row>
    <row r="3358" ht="14.25" customHeight="1">
      <c r="A3358" s="1" t="s">
        <v>14234</v>
      </c>
      <c r="B3358" s="1">
        <v>7.8</v>
      </c>
    </row>
    <row r="3359" ht="14.25" customHeight="1">
      <c r="A3359" s="1" t="s">
        <v>5001</v>
      </c>
      <c r="B3359" s="1">
        <v>8.2</v>
      </c>
    </row>
    <row r="3360" ht="14.25" customHeight="1">
      <c r="A3360" s="1" t="s">
        <v>4801</v>
      </c>
      <c r="B3360" s="1">
        <v>6.6</v>
      </c>
    </row>
    <row r="3361" ht="14.25" customHeight="1">
      <c r="A3361" s="1" t="s">
        <v>15843</v>
      </c>
      <c r="B3361" s="1">
        <v>5.7</v>
      </c>
    </row>
    <row r="3362" ht="14.25" customHeight="1">
      <c r="A3362" s="1" t="s">
        <v>6672</v>
      </c>
      <c r="B3362" s="1">
        <v>7.4</v>
      </c>
    </row>
    <row r="3363" ht="14.25" customHeight="1">
      <c r="A3363" s="1" t="s">
        <v>3607</v>
      </c>
      <c r="B3363" s="1">
        <v>8.0</v>
      </c>
    </row>
    <row r="3364" ht="14.25" customHeight="1">
      <c r="A3364" s="1" t="s">
        <v>15856</v>
      </c>
      <c r="B3364" s="1">
        <v>5.4</v>
      </c>
    </row>
    <row r="3365" ht="14.25" customHeight="1">
      <c r="A3365" s="1" t="s">
        <v>11357</v>
      </c>
      <c r="B3365" s="1">
        <v>7.4</v>
      </c>
    </row>
    <row r="3366" ht="14.25" customHeight="1">
      <c r="A3366" s="1" t="s">
        <v>13145</v>
      </c>
      <c r="B3366" s="1">
        <v>5.7</v>
      </c>
    </row>
    <row r="3367" ht="14.25" customHeight="1">
      <c r="A3367" s="1" t="s">
        <v>2564</v>
      </c>
      <c r="B3367" s="1">
        <v>6.8</v>
      </c>
    </row>
    <row r="3368" ht="14.25" customHeight="1">
      <c r="A3368" s="1" t="s">
        <v>11820</v>
      </c>
      <c r="B3368" s="1">
        <v>5.4</v>
      </c>
    </row>
    <row r="3369" ht="14.25" customHeight="1">
      <c r="A3369" s="1" t="s">
        <v>6705</v>
      </c>
      <c r="B3369" s="1">
        <v>5.1</v>
      </c>
    </row>
    <row r="3370" ht="14.25" customHeight="1">
      <c r="A3370" s="1" t="s">
        <v>15884</v>
      </c>
      <c r="B3370" s="1">
        <v>5.9</v>
      </c>
    </row>
    <row r="3371" ht="14.25" customHeight="1">
      <c r="A3371" s="1" t="s">
        <v>8421</v>
      </c>
      <c r="B3371" s="1">
        <v>8.2</v>
      </c>
    </row>
    <row r="3372" ht="14.25" customHeight="1">
      <c r="A3372" s="1" t="s">
        <v>5134</v>
      </c>
      <c r="B3372" s="1">
        <v>5.3</v>
      </c>
    </row>
    <row r="3373" ht="14.25" customHeight="1">
      <c r="A3373" s="1" t="s">
        <v>15900</v>
      </c>
      <c r="B3373" s="1">
        <v>4.3</v>
      </c>
    </row>
    <row r="3374" ht="14.25" customHeight="1">
      <c r="A3374" s="1" t="s">
        <v>1485</v>
      </c>
      <c r="B3374" s="1">
        <v>7.2</v>
      </c>
    </row>
    <row r="3375" ht="14.25" customHeight="1">
      <c r="A3375" s="1" t="s">
        <v>15911</v>
      </c>
      <c r="B3375" s="1">
        <v>5.9</v>
      </c>
    </row>
    <row r="3376" ht="14.25" customHeight="1">
      <c r="A3376" s="1" t="s">
        <v>15915</v>
      </c>
      <c r="B3376" s="1">
        <v>3.0</v>
      </c>
    </row>
    <row r="3377" ht="14.25" customHeight="1">
      <c r="A3377" s="1" t="s">
        <v>8489</v>
      </c>
      <c r="B3377" s="1">
        <v>7.9</v>
      </c>
    </row>
    <row r="3378" ht="14.25" customHeight="1">
      <c r="A3378" s="1" t="s">
        <v>15926</v>
      </c>
      <c r="B3378" s="1">
        <v>3.2</v>
      </c>
    </row>
    <row r="3379" ht="14.25" customHeight="1">
      <c r="A3379" s="1" t="s">
        <v>15932</v>
      </c>
      <c r="B3379" s="1">
        <v>6.5</v>
      </c>
    </row>
    <row r="3380" ht="14.25" customHeight="1">
      <c r="A3380" s="1" t="s">
        <v>15939</v>
      </c>
      <c r="B3380" s="1">
        <v>7.0</v>
      </c>
    </row>
    <row r="3381" ht="14.25" customHeight="1">
      <c r="A3381" s="1" t="s">
        <v>15943</v>
      </c>
      <c r="B3381" s="1">
        <v>6.9</v>
      </c>
    </row>
    <row r="3382" ht="14.25" customHeight="1">
      <c r="A3382" s="1" t="s">
        <v>15947</v>
      </c>
      <c r="B3382" s="1">
        <v>4.4</v>
      </c>
    </row>
    <row r="3383" ht="14.25" customHeight="1">
      <c r="A3383" s="1" t="s">
        <v>9482</v>
      </c>
      <c r="B3383" s="1">
        <v>6.0</v>
      </c>
    </row>
    <row r="3384" ht="14.25" customHeight="1">
      <c r="A3384" s="1" t="s">
        <v>15958</v>
      </c>
      <c r="B3384" s="1">
        <v>5.3</v>
      </c>
    </row>
    <row r="3385" ht="14.25" customHeight="1">
      <c r="A3385" s="1" t="s">
        <v>15963</v>
      </c>
      <c r="B3385" s="1">
        <v>5.3</v>
      </c>
    </row>
    <row r="3386" ht="14.25" customHeight="1">
      <c r="A3386" s="1" t="s">
        <v>15968</v>
      </c>
      <c r="B3386" s="1">
        <v>7.1</v>
      </c>
    </row>
    <row r="3387" ht="14.25" customHeight="1">
      <c r="A3387" s="1" t="s">
        <v>15973</v>
      </c>
      <c r="B3387" s="1">
        <v>5.4</v>
      </c>
    </row>
    <row r="3388" ht="14.25" customHeight="1">
      <c r="A3388" s="1" t="s">
        <v>15978</v>
      </c>
      <c r="B3388" s="1">
        <v>6.9</v>
      </c>
    </row>
    <row r="3389" ht="14.25" customHeight="1">
      <c r="A3389" s="1" t="s">
        <v>779</v>
      </c>
      <c r="B3389" s="1">
        <v>7.3</v>
      </c>
    </row>
    <row r="3390" ht="14.25" customHeight="1">
      <c r="A3390" s="1" t="s">
        <v>9320</v>
      </c>
      <c r="B3390" s="1">
        <v>6.6</v>
      </c>
    </row>
    <row r="3391" ht="14.25" customHeight="1">
      <c r="A3391" s="1" t="s">
        <v>6697</v>
      </c>
      <c r="B3391" s="1">
        <v>5.4</v>
      </c>
    </row>
    <row r="3392" ht="14.25" customHeight="1">
      <c r="A3392" s="1" t="s">
        <v>12837</v>
      </c>
      <c r="B3392" s="1">
        <v>8.4</v>
      </c>
    </row>
    <row r="3393" ht="14.25" customHeight="1">
      <c r="A3393" s="1" t="s">
        <v>16002</v>
      </c>
      <c r="B3393" s="1">
        <v>6.3</v>
      </c>
    </row>
    <row r="3394" ht="14.25" customHeight="1">
      <c r="A3394" s="1" t="s">
        <v>16009</v>
      </c>
      <c r="B3394" s="1">
        <v>6.1</v>
      </c>
    </row>
    <row r="3395" ht="14.25" customHeight="1">
      <c r="A3395" s="1" t="s">
        <v>16015</v>
      </c>
      <c r="B3395" s="1">
        <v>5.3</v>
      </c>
    </row>
    <row r="3396" ht="14.25" customHeight="1">
      <c r="A3396" s="1" t="s">
        <v>1434</v>
      </c>
      <c r="B3396" s="1">
        <v>5.3</v>
      </c>
    </row>
    <row r="3397" ht="14.25" customHeight="1">
      <c r="A3397" s="1" t="s">
        <v>1956</v>
      </c>
      <c r="B3397" s="1">
        <v>6.0</v>
      </c>
    </row>
    <row r="3398" ht="14.25" customHeight="1">
      <c r="A3398" s="1" t="s">
        <v>12877</v>
      </c>
      <c r="B3398" s="1">
        <v>7.4</v>
      </c>
    </row>
    <row r="3399" ht="14.25" customHeight="1">
      <c r="A3399" s="1" t="s">
        <v>16029</v>
      </c>
      <c r="B3399" s="1">
        <v>4.1</v>
      </c>
    </row>
    <row r="3400" ht="14.25" customHeight="1">
      <c r="A3400" s="1" t="s">
        <v>1689</v>
      </c>
      <c r="B3400" s="1">
        <v>6.7</v>
      </c>
    </row>
    <row r="3401" ht="14.25" customHeight="1">
      <c r="A3401" s="1" t="s">
        <v>10974</v>
      </c>
      <c r="B3401" s="1">
        <v>5.8</v>
      </c>
    </row>
    <row r="3402" ht="14.25" customHeight="1">
      <c r="A3402" s="1" t="s">
        <v>247</v>
      </c>
      <c r="B3402" s="1">
        <v>6.5</v>
      </c>
    </row>
    <row r="3403" ht="14.25" customHeight="1">
      <c r="A3403" s="1" t="s">
        <v>820</v>
      </c>
      <c r="B3403" s="1">
        <v>7.0</v>
      </c>
    </row>
    <row r="3404" ht="14.25" customHeight="1">
      <c r="A3404" s="1" t="s">
        <v>4156</v>
      </c>
      <c r="B3404" s="1">
        <v>8.0</v>
      </c>
    </row>
    <row r="3405" ht="14.25" customHeight="1">
      <c r="A3405" s="1" t="s">
        <v>16048</v>
      </c>
      <c r="B3405" s="1">
        <v>6.5</v>
      </c>
    </row>
    <row r="3406" ht="14.25" customHeight="1">
      <c r="A3406" s="1" t="s">
        <v>7023</v>
      </c>
      <c r="B3406" s="1">
        <v>6.8</v>
      </c>
    </row>
    <row r="3407" ht="14.25" customHeight="1">
      <c r="A3407" s="1" t="s">
        <v>11804</v>
      </c>
      <c r="B3407" s="1">
        <v>7.4</v>
      </c>
    </row>
    <row r="3408" ht="14.25" customHeight="1">
      <c r="A3408" s="1" t="s">
        <v>16064</v>
      </c>
      <c r="B3408" s="1">
        <v>8.3</v>
      </c>
    </row>
    <row r="3409" ht="14.25" customHeight="1">
      <c r="A3409" s="1" t="s">
        <v>16071</v>
      </c>
      <c r="B3409" s="1">
        <v>5.3</v>
      </c>
    </row>
    <row r="3410" ht="14.25" customHeight="1">
      <c r="A3410" s="1" t="s">
        <v>15647</v>
      </c>
      <c r="B3410" s="1">
        <v>8.1</v>
      </c>
    </row>
    <row r="3411" ht="14.25" customHeight="1">
      <c r="A3411" s="1" t="s">
        <v>9494</v>
      </c>
      <c r="B3411" s="1">
        <v>8.0</v>
      </c>
    </row>
    <row r="3412" ht="14.25" customHeight="1">
      <c r="A3412" s="1" t="s">
        <v>10634</v>
      </c>
      <c r="B3412" s="1">
        <v>5.7</v>
      </c>
    </row>
    <row r="3413" ht="14.25" customHeight="1">
      <c r="A3413" s="1" t="s">
        <v>16090</v>
      </c>
      <c r="B3413" s="1">
        <v>7.1</v>
      </c>
    </row>
    <row r="3414" ht="14.25" customHeight="1">
      <c r="A3414" s="1" t="s">
        <v>9494</v>
      </c>
      <c r="B3414" s="1">
        <v>7.8</v>
      </c>
    </row>
    <row r="3415" ht="14.25" customHeight="1">
      <c r="A3415" s="1" t="s">
        <v>16100</v>
      </c>
      <c r="B3415" s="1">
        <v>5.9</v>
      </c>
    </row>
    <row r="3416" ht="14.25" customHeight="1">
      <c r="A3416" s="1" t="s">
        <v>11357</v>
      </c>
      <c r="B3416" s="1">
        <v>7.8</v>
      </c>
    </row>
    <row r="3417" ht="14.25" customHeight="1">
      <c r="A3417" s="1" t="s">
        <v>7289</v>
      </c>
      <c r="B3417" s="1">
        <v>5.3</v>
      </c>
    </row>
    <row r="3418" ht="14.25" customHeight="1">
      <c r="A3418" s="1" t="s">
        <v>16110</v>
      </c>
      <c r="B3418" s="1">
        <v>7.2</v>
      </c>
    </row>
    <row r="3419" ht="14.25" customHeight="1">
      <c r="A3419" s="1" t="s">
        <v>15523</v>
      </c>
      <c r="B3419" s="1">
        <v>5.1</v>
      </c>
    </row>
    <row r="3420" ht="14.25" customHeight="1">
      <c r="A3420" s="1" t="s">
        <v>16119</v>
      </c>
      <c r="B3420" s="1">
        <v>5.1</v>
      </c>
    </row>
    <row r="3421" ht="14.25" customHeight="1">
      <c r="A3421" s="1" t="s">
        <v>11561</v>
      </c>
      <c r="B3421" s="1">
        <v>4.9</v>
      </c>
    </row>
    <row r="3422" ht="14.25" customHeight="1">
      <c r="A3422" s="1" t="s">
        <v>314</v>
      </c>
      <c r="B3422" s="1">
        <v>6.9</v>
      </c>
    </row>
    <row r="3423" ht="14.25" customHeight="1">
      <c r="A3423" s="1" t="s">
        <v>16128</v>
      </c>
      <c r="B3423" s="1">
        <v>4.6</v>
      </c>
    </row>
    <row r="3424" ht="14.25" customHeight="1">
      <c r="A3424" s="1" t="s">
        <v>16134</v>
      </c>
      <c r="B3424" s="1">
        <v>6.7</v>
      </c>
    </row>
    <row r="3425" ht="14.25" customHeight="1">
      <c r="A3425" s="1" t="s">
        <v>5676</v>
      </c>
      <c r="B3425" s="1">
        <v>7.1</v>
      </c>
    </row>
    <row r="3426" ht="14.25" customHeight="1">
      <c r="A3426" s="1" t="s">
        <v>14765</v>
      </c>
      <c r="B3426" s="1">
        <v>7.6</v>
      </c>
    </row>
    <row r="3427" ht="14.25" customHeight="1">
      <c r="A3427" s="1" t="s">
        <v>8489</v>
      </c>
      <c r="B3427" s="1">
        <v>8.1</v>
      </c>
    </row>
    <row r="3428" ht="14.25" customHeight="1">
      <c r="A3428" s="1" t="s">
        <v>16154</v>
      </c>
      <c r="B3428" s="1">
        <v>7.0</v>
      </c>
    </row>
    <row r="3429" ht="14.25" customHeight="1">
      <c r="A3429" s="1" t="s">
        <v>12707</v>
      </c>
      <c r="B3429" s="1">
        <v>7.1</v>
      </c>
    </row>
    <row r="3430" ht="14.25" customHeight="1">
      <c r="A3430" s="1" t="s">
        <v>16164</v>
      </c>
      <c r="B3430" s="1">
        <v>7.6</v>
      </c>
    </row>
    <row r="3431" ht="14.25" customHeight="1">
      <c r="A3431" s="1" t="s">
        <v>16169</v>
      </c>
      <c r="B3431" s="1">
        <v>7.1</v>
      </c>
    </row>
    <row r="3432" ht="14.25" customHeight="1">
      <c r="A3432" s="1" t="s">
        <v>3531</v>
      </c>
      <c r="B3432" s="1">
        <v>7.7</v>
      </c>
    </row>
    <row r="3433" ht="14.25" customHeight="1">
      <c r="A3433" s="1" t="s">
        <v>16181</v>
      </c>
      <c r="B3433" s="1">
        <v>7.6</v>
      </c>
    </row>
    <row r="3434" ht="14.25" customHeight="1">
      <c r="A3434" s="1" t="s">
        <v>4784</v>
      </c>
      <c r="B3434" s="1">
        <v>6.7</v>
      </c>
    </row>
    <row r="3435" ht="14.25" customHeight="1">
      <c r="A3435" s="1" t="s">
        <v>16187</v>
      </c>
      <c r="B3435" s="1">
        <v>5.7</v>
      </c>
    </row>
    <row r="3436" ht="14.25" customHeight="1">
      <c r="A3436" s="1" t="s">
        <v>16191</v>
      </c>
      <c r="B3436" s="1">
        <v>7.1</v>
      </c>
    </row>
    <row r="3437" ht="14.25" customHeight="1">
      <c r="A3437" s="1" t="s">
        <v>16198</v>
      </c>
      <c r="B3437" s="1">
        <v>6.2</v>
      </c>
    </row>
    <row r="3438" ht="14.25" customHeight="1">
      <c r="A3438" s="1" t="s">
        <v>11957</v>
      </c>
      <c r="B3438" s="1">
        <v>6.1</v>
      </c>
    </row>
    <row r="3439" ht="14.25" customHeight="1">
      <c r="A3439" s="1" t="s">
        <v>16208</v>
      </c>
      <c r="B3439" s="1">
        <v>5.9</v>
      </c>
    </row>
    <row r="3440" ht="14.25" customHeight="1">
      <c r="A3440" s="1" t="s">
        <v>629</v>
      </c>
      <c r="B3440" s="1">
        <v>6.8</v>
      </c>
    </row>
    <row r="3441" ht="14.25" customHeight="1">
      <c r="A3441" s="1" t="s">
        <v>4801</v>
      </c>
      <c r="B3441" s="1">
        <v>6.8</v>
      </c>
    </row>
    <row r="3442" ht="14.25" customHeight="1">
      <c r="A3442" s="1" t="s">
        <v>16220</v>
      </c>
      <c r="B3442" s="1">
        <v>5.1</v>
      </c>
    </row>
    <row r="3443" ht="14.25" customHeight="1">
      <c r="A3443" s="1" t="s">
        <v>16226</v>
      </c>
      <c r="B3443" s="1">
        <v>7.7</v>
      </c>
    </row>
    <row r="3444" ht="14.25" customHeight="1">
      <c r="A3444" s="1" t="s">
        <v>16230</v>
      </c>
      <c r="B3444" s="1">
        <v>3.9</v>
      </c>
    </row>
    <row r="3445" ht="14.25" customHeight="1">
      <c r="A3445" s="1" t="s">
        <v>6634</v>
      </c>
      <c r="B3445" s="1">
        <v>5.7</v>
      </c>
    </row>
    <row r="3446" ht="14.25" customHeight="1">
      <c r="A3446" s="1" t="s">
        <v>16242</v>
      </c>
      <c r="B3446" s="1">
        <v>4.7</v>
      </c>
    </row>
    <row r="3447" ht="14.25" customHeight="1">
      <c r="A3447" s="1" t="s">
        <v>16249</v>
      </c>
      <c r="B3447" s="1">
        <v>5.9</v>
      </c>
    </row>
    <row r="3448" ht="14.25" customHeight="1">
      <c r="A3448" s="1" t="s">
        <v>16253</v>
      </c>
      <c r="B3448" s="1">
        <v>8.1</v>
      </c>
    </row>
    <row r="3449" ht="14.25" customHeight="1">
      <c r="A3449" s="1" t="s">
        <v>16260</v>
      </c>
      <c r="B3449" s="1">
        <v>7.6</v>
      </c>
    </row>
    <row r="3450" ht="14.25" customHeight="1">
      <c r="A3450" s="1" t="s">
        <v>13722</v>
      </c>
      <c r="B3450" s="1">
        <v>7.5</v>
      </c>
    </row>
    <row r="3451" ht="14.25" customHeight="1">
      <c r="A3451" s="1" t="s">
        <v>16271</v>
      </c>
      <c r="B3451" s="1">
        <v>5.1</v>
      </c>
    </row>
    <row r="3452" ht="14.25" customHeight="1">
      <c r="A3452" s="1" t="s">
        <v>16279</v>
      </c>
      <c r="B3452" s="1">
        <v>6.9</v>
      </c>
    </row>
    <row r="3453" ht="14.25" customHeight="1">
      <c r="A3453" s="1" t="s">
        <v>808</v>
      </c>
      <c r="B3453" s="1">
        <v>7.6</v>
      </c>
    </row>
    <row r="3454" ht="14.25" customHeight="1">
      <c r="A3454" s="1" t="s">
        <v>16291</v>
      </c>
      <c r="B3454" s="1">
        <v>7.6</v>
      </c>
    </row>
    <row r="3455" ht="14.25" customHeight="1">
      <c r="A3455" s="1" t="s">
        <v>7876</v>
      </c>
      <c r="B3455" s="1">
        <v>7.6</v>
      </c>
    </row>
    <row r="3456" ht="14.25" customHeight="1">
      <c r="A3456" s="1" t="s">
        <v>16301</v>
      </c>
      <c r="B3456" s="1">
        <v>5.3</v>
      </c>
    </row>
    <row r="3457" ht="14.25" customHeight="1">
      <c r="A3457" s="1" t="s">
        <v>1730</v>
      </c>
      <c r="B3457" s="1">
        <v>8.5</v>
      </c>
    </row>
    <row r="3458" ht="14.25" customHeight="1">
      <c r="A3458" s="1" t="s">
        <v>16311</v>
      </c>
      <c r="B3458" s="1">
        <v>7.0</v>
      </c>
    </row>
    <row r="3459" ht="14.25" customHeight="1">
      <c r="A3459" s="1" t="s">
        <v>16317</v>
      </c>
      <c r="B3459" s="1">
        <v>7.8</v>
      </c>
    </row>
    <row r="3460" ht="14.25" customHeight="1">
      <c r="A3460" s="1" t="s">
        <v>16325</v>
      </c>
      <c r="B3460" s="1">
        <v>7.2</v>
      </c>
    </row>
    <row r="3461" ht="14.25" customHeight="1">
      <c r="A3461" s="1" t="s">
        <v>8489</v>
      </c>
      <c r="B3461" s="1">
        <v>8.0</v>
      </c>
    </row>
    <row r="3462" ht="14.25" customHeight="1">
      <c r="A3462" s="1" t="s">
        <v>1088</v>
      </c>
      <c r="B3462" s="1">
        <v>8.1</v>
      </c>
    </row>
    <row r="3463" ht="14.25" customHeight="1">
      <c r="A3463" s="1" t="s">
        <v>5773</v>
      </c>
      <c r="B3463" s="1">
        <v>6.8</v>
      </c>
    </row>
    <row r="3464" ht="14.25" customHeight="1">
      <c r="A3464" s="1" t="s">
        <v>16344</v>
      </c>
      <c r="B3464" s="1">
        <v>7.2</v>
      </c>
    </row>
    <row r="3465" ht="14.25" customHeight="1">
      <c r="A3465" s="1" t="s">
        <v>16350</v>
      </c>
      <c r="B3465" s="1">
        <v>7.4</v>
      </c>
    </row>
    <row r="3466" ht="14.25" customHeight="1">
      <c r="A3466" s="1" t="s">
        <v>16355</v>
      </c>
      <c r="B3466" s="1">
        <v>6.1</v>
      </c>
    </row>
    <row r="3467" ht="14.25" customHeight="1">
      <c r="A3467" s="1" t="s">
        <v>492</v>
      </c>
      <c r="B3467" s="1">
        <v>7.0</v>
      </c>
    </row>
    <row r="3468" ht="14.25" customHeight="1">
      <c r="A3468" s="1" t="s">
        <v>6405</v>
      </c>
      <c r="B3468" s="1">
        <v>5.3</v>
      </c>
    </row>
    <row r="3469" ht="14.25" customHeight="1">
      <c r="A3469" s="1" t="s">
        <v>1456</v>
      </c>
      <c r="B3469" s="1">
        <v>4.7</v>
      </c>
    </row>
    <row r="3470" ht="14.25" customHeight="1">
      <c r="A3470" s="1" t="s">
        <v>16369</v>
      </c>
      <c r="B3470" s="1">
        <v>5.7</v>
      </c>
    </row>
    <row r="3471" ht="14.25" customHeight="1">
      <c r="A3471" s="1" t="s">
        <v>820</v>
      </c>
      <c r="B3471" s="1">
        <v>7.8</v>
      </c>
    </row>
    <row r="3472" ht="14.25" customHeight="1">
      <c r="A3472" s="1" t="s">
        <v>14774</v>
      </c>
      <c r="B3472" s="1">
        <v>6.5</v>
      </c>
    </row>
    <row r="3473" ht="14.25" customHeight="1">
      <c r="A3473" s="1" t="s">
        <v>16381</v>
      </c>
      <c r="B3473" s="1">
        <v>8.0</v>
      </c>
    </row>
    <row r="3474" ht="14.25" customHeight="1">
      <c r="A3474" s="1" t="s">
        <v>16390</v>
      </c>
      <c r="B3474" s="1">
        <v>3.3</v>
      </c>
    </row>
    <row r="3475" ht="14.25" customHeight="1">
      <c r="A3475" s="1" t="s">
        <v>16397</v>
      </c>
      <c r="B3475" s="1">
        <v>6.9</v>
      </c>
    </row>
    <row r="3476" ht="14.25" customHeight="1">
      <c r="A3476" s="1" t="s">
        <v>16402</v>
      </c>
      <c r="B3476" s="1">
        <v>8.1</v>
      </c>
    </row>
    <row r="3477" ht="14.25" customHeight="1">
      <c r="A3477" s="1" t="s">
        <v>15263</v>
      </c>
      <c r="B3477" s="1">
        <v>6.8</v>
      </c>
    </row>
    <row r="3478" ht="14.25" customHeight="1">
      <c r="A3478" s="1" t="s">
        <v>16415</v>
      </c>
      <c r="B3478" s="1">
        <v>4.6</v>
      </c>
    </row>
    <row r="3479" ht="14.25" customHeight="1">
      <c r="A3479" s="1" t="s">
        <v>16422</v>
      </c>
      <c r="B3479" s="1">
        <v>7.0</v>
      </c>
    </row>
    <row r="3480" ht="14.25" customHeight="1">
      <c r="A3480" s="1" t="s">
        <v>16426</v>
      </c>
      <c r="B3480" s="1">
        <v>6.7</v>
      </c>
    </row>
    <row r="3481" ht="14.25" customHeight="1">
      <c r="A3481" s="1" t="s">
        <v>16434</v>
      </c>
      <c r="B3481" s="1">
        <v>5.8</v>
      </c>
    </row>
    <row r="3482" ht="14.25" customHeight="1">
      <c r="A3482" s="1" t="s">
        <v>414</v>
      </c>
      <c r="B3482" s="1">
        <v>4.5</v>
      </c>
    </row>
    <row r="3483" ht="14.25" customHeight="1">
      <c r="A3483" s="1" t="s">
        <v>16442</v>
      </c>
      <c r="B3483" s="1">
        <v>6.6</v>
      </c>
    </row>
    <row r="3484" ht="14.25" customHeight="1">
      <c r="A3484" s="1" t="s">
        <v>16446</v>
      </c>
      <c r="B3484" s="1">
        <v>6.6</v>
      </c>
    </row>
    <row r="3485" ht="14.25" customHeight="1">
      <c r="A3485" s="1" t="s">
        <v>9094</v>
      </c>
      <c r="B3485" s="1">
        <v>5.1</v>
      </c>
    </row>
    <row r="3486" ht="14.25" customHeight="1">
      <c r="A3486" s="1" t="s">
        <v>16451</v>
      </c>
      <c r="B3486" s="1">
        <v>7.8</v>
      </c>
    </row>
    <row r="3487" ht="14.25" customHeight="1">
      <c r="A3487" s="1" t="s">
        <v>16457</v>
      </c>
      <c r="B3487" s="1">
        <v>7.7</v>
      </c>
    </row>
    <row r="3488" ht="14.25" customHeight="1">
      <c r="A3488" s="1" t="s">
        <v>16465</v>
      </c>
      <c r="B3488" s="1">
        <v>5.7</v>
      </c>
    </row>
    <row r="3489" ht="14.25" customHeight="1">
      <c r="A3489" s="1" t="s">
        <v>16473</v>
      </c>
      <c r="B3489" s="1">
        <v>7.1</v>
      </c>
    </row>
    <row r="3490" ht="14.25" customHeight="1">
      <c r="A3490" s="1" t="s">
        <v>12347</v>
      </c>
      <c r="B3490" s="1">
        <v>6.4</v>
      </c>
    </row>
    <row r="3491" ht="14.25" customHeight="1">
      <c r="A3491" s="1" t="s">
        <v>16480</v>
      </c>
      <c r="B3491" s="1">
        <v>7.0</v>
      </c>
    </row>
    <row r="3492" ht="14.25" customHeight="1">
      <c r="A3492" s="1" t="s">
        <v>16485</v>
      </c>
      <c r="B3492" s="1">
        <v>5.8</v>
      </c>
    </row>
    <row r="3493" ht="14.25" customHeight="1">
      <c r="A3493" s="1" t="s">
        <v>7876</v>
      </c>
      <c r="B3493" s="1">
        <v>5.9</v>
      </c>
    </row>
    <row r="3494" ht="14.25" customHeight="1">
      <c r="A3494" s="1" t="s">
        <v>5922</v>
      </c>
      <c r="B3494" s="1">
        <v>7.5</v>
      </c>
    </row>
    <row r="3495" ht="14.25" customHeight="1">
      <c r="A3495" s="1" t="s">
        <v>11545</v>
      </c>
      <c r="B3495" s="1">
        <v>7.8</v>
      </c>
    </row>
    <row r="3496" ht="14.25" customHeight="1">
      <c r="A3496" s="1" t="s">
        <v>16499</v>
      </c>
      <c r="B3496" s="1">
        <v>7.2</v>
      </c>
    </row>
    <row r="3497" ht="14.25" customHeight="1">
      <c r="A3497" s="1" t="s">
        <v>16505</v>
      </c>
      <c r="B3497" s="1">
        <v>5.6</v>
      </c>
    </row>
    <row r="3498" ht="14.25" customHeight="1">
      <c r="A3498" s="1" t="s">
        <v>16510</v>
      </c>
      <c r="B3498" s="1">
        <v>6.8</v>
      </c>
    </row>
    <row r="3499" ht="14.25" customHeight="1">
      <c r="A3499" s="1" t="s">
        <v>16515</v>
      </c>
      <c r="B3499" s="1">
        <v>7.3</v>
      </c>
    </row>
    <row r="3500" ht="14.25" customHeight="1">
      <c r="A3500" s="1" t="s">
        <v>16521</v>
      </c>
      <c r="B3500" s="1">
        <v>7.3</v>
      </c>
    </row>
    <row r="3501" ht="14.25" customHeight="1">
      <c r="A3501" s="1" t="s">
        <v>1764</v>
      </c>
      <c r="B3501" s="1">
        <v>7.8</v>
      </c>
    </row>
    <row r="3502" ht="14.25" customHeight="1">
      <c r="A3502" s="1" t="s">
        <v>16530</v>
      </c>
      <c r="B3502" s="1">
        <v>6.7</v>
      </c>
    </row>
    <row r="3503" ht="14.25" customHeight="1">
      <c r="A3503" s="1" t="s">
        <v>12117</v>
      </c>
      <c r="B3503" s="1">
        <v>7.5</v>
      </c>
    </row>
    <row r="3504" ht="14.25" customHeight="1">
      <c r="A3504" s="1" t="s">
        <v>16538</v>
      </c>
      <c r="B3504" s="1">
        <v>6.3</v>
      </c>
    </row>
    <row r="3505" ht="14.25" customHeight="1">
      <c r="A3505" s="1" t="s">
        <v>16544</v>
      </c>
      <c r="B3505" s="1">
        <v>6.3</v>
      </c>
    </row>
    <row r="3506" ht="14.25" customHeight="1">
      <c r="A3506" s="1" t="s">
        <v>16549</v>
      </c>
      <c r="B3506" s="1">
        <v>6.8</v>
      </c>
    </row>
    <row r="3507" ht="14.25" customHeight="1">
      <c r="A3507" s="1" t="s">
        <v>16555</v>
      </c>
      <c r="B3507" s="1">
        <v>7.8</v>
      </c>
    </row>
    <row r="3508" ht="14.25" customHeight="1">
      <c r="A3508" s="1" t="s">
        <v>16560</v>
      </c>
      <c r="B3508" s="1">
        <v>6.9</v>
      </c>
    </row>
    <row r="3509" ht="14.25" customHeight="1">
      <c r="A3509" s="1" t="s">
        <v>16564</v>
      </c>
      <c r="B3509" s="1">
        <v>7.2</v>
      </c>
    </row>
    <row r="3510" ht="14.25" customHeight="1">
      <c r="A3510" s="1" t="s">
        <v>16571</v>
      </c>
      <c r="B3510" s="1">
        <v>7.2</v>
      </c>
    </row>
    <row r="3511" ht="14.25" customHeight="1">
      <c r="A3511" s="1" t="s">
        <v>2723</v>
      </c>
      <c r="B3511" s="1">
        <v>5.4</v>
      </c>
    </row>
    <row r="3512" ht="14.25" customHeight="1">
      <c r="A3512" s="1" t="s">
        <v>103</v>
      </c>
      <c r="B3512" s="1">
        <v>7.4</v>
      </c>
    </row>
    <row r="3513" ht="14.25" customHeight="1">
      <c r="A3513" s="1" t="s">
        <v>16581</v>
      </c>
      <c r="B3513" s="1">
        <v>7.1</v>
      </c>
    </row>
    <row r="3514" ht="14.25" customHeight="1">
      <c r="A3514" s="1" t="s">
        <v>16585</v>
      </c>
      <c r="B3514" s="1">
        <v>6.8</v>
      </c>
    </row>
    <row r="3515" ht="14.25" customHeight="1">
      <c r="A3515" s="1" t="s">
        <v>13529</v>
      </c>
      <c r="B3515" s="1">
        <v>7.4</v>
      </c>
    </row>
    <row r="3516" ht="14.25" customHeight="1">
      <c r="A3516" s="1" t="s">
        <v>8770</v>
      </c>
      <c r="B3516" s="1">
        <v>6.7</v>
      </c>
    </row>
    <row r="3517" ht="14.25" customHeight="1">
      <c r="A3517" s="1" t="s">
        <v>9221</v>
      </c>
      <c r="B3517" s="1">
        <v>7.2</v>
      </c>
    </row>
    <row r="3518" ht="14.25" customHeight="1">
      <c r="A3518" s="1" t="s">
        <v>12513</v>
      </c>
      <c r="B3518" s="1">
        <v>7.5</v>
      </c>
    </row>
    <row r="3519" ht="14.25" customHeight="1">
      <c r="A3519" s="1" t="s">
        <v>324</v>
      </c>
      <c r="B3519" s="1">
        <v>6.8</v>
      </c>
    </row>
    <row r="3520" ht="14.25" customHeight="1">
      <c r="A3520" s="1" t="s">
        <v>16614</v>
      </c>
      <c r="B3520" s="1">
        <v>7.9</v>
      </c>
    </row>
    <row r="3521" ht="14.25" customHeight="1">
      <c r="A3521" s="1" t="s">
        <v>16620</v>
      </c>
      <c r="B3521" s="1">
        <v>6.7</v>
      </c>
    </row>
    <row r="3522" ht="14.25" customHeight="1">
      <c r="A3522" s="1" t="s">
        <v>16625</v>
      </c>
      <c r="B3522" s="1">
        <v>5.8</v>
      </c>
    </row>
    <row r="3523" ht="14.25" customHeight="1">
      <c r="A3523" s="1" t="s">
        <v>15529</v>
      </c>
      <c r="B3523" s="1">
        <v>6.5</v>
      </c>
    </row>
    <row r="3524" ht="14.25" customHeight="1">
      <c r="A3524" s="1" t="s">
        <v>16634</v>
      </c>
      <c r="B3524" s="1">
        <v>7.2</v>
      </c>
    </row>
    <row r="3525" ht="14.25" customHeight="1">
      <c r="A3525" s="1" t="s">
        <v>11897</v>
      </c>
      <c r="B3525" s="1">
        <v>6.5</v>
      </c>
    </row>
    <row r="3526" ht="14.25" customHeight="1">
      <c r="A3526" s="1" t="s">
        <v>404</v>
      </c>
      <c r="B3526" s="1">
        <v>6.2</v>
      </c>
    </row>
    <row r="3527" ht="14.25" customHeight="1">
      <c r="A3527" s="1" t="s">
        <v>16647</v>
      </c>
      <c r="B3527" s="1">
        <v>8.6</v>
      </c>
    </row>
    <row r="3528" ht="14.25" customHeight="1">
      <c r="A3528" s="1" t="s">
        <v>16654</v>
      </c>
      <c r="B3528" s="1">
        <v>6.5</v>
      </c>
    </row>
    <row r="3529" ht="14.25" customHeight="1">
      <c r="A3529" s="1" t="s">
        <v>5864</v>
      </c>
      <c r="B3529" s="1">
        <v>6.3</v>
      </c>
    </row>
    <row r="3530" ht="14.25" customHeight="1">
      <c r="A3530" s="1" t="s">
        <v>16662</v>
      </c>
      <c r="B3530" s="1">
        <v>6.7</v>
      </c>
    </row>
    <row r="3531" ht="14.25" customHeight="1">
      <c r="A3531" s="1" t="s">
        <v>16668</v>
      </c>
      <c r="B3531" s="1">
        <v>6.7</v>
      </c>
    </row>
    <row r="3532" ht="14.25" customHeight="1">
      <c r="A3532" s="1" t="s">
        <v>11561</v>
      </c>
      <c r="B3532" s="1">
        <v>5.1</v>
      </c>
    </row>
    <row r="3533" ht="14.25" customHeight="1">
      <c r="A3533" s="1" t="s">
        <v>849</v>
      </c>
      <c r="B3533" s="1">
        <v>7.0</v>
      </c>
    </row>
    <row r="3534" ht="14.25" customHeight="1">
      <c r="A3534" s="1" t="s">
        <v>16675</v>
      </c>
      <c r="B3534" s="1">
        <v>7.7</v>
      </c>
    </row>
    <row r="3535" ht="14.25" customHeight="1">
      <c r="A3535" s="1" t="s">
        <v>16682</v>
      </c>
      <c r="B3535" s="1">
        <v>6.7</v>
      </c>
    </row>
    <row r="3536" ht="14.25" customHeight="1">
      <c r="A3536" s="1" t="s">
        <v>16688</v>
      </c>
      <c r="B3536" s="1">
        <v>6.6</v>
      </c>
    </row>
    <row r="3537" ht="14.25" customHeight="1">
      <c r="A3537" s="1" t="s">
        <v>1238</v>
      </c>
      <c r="B3537" s="1">
        <v>8.2</v>
      </c>
    </row>
    <row r="3538" ht="14.25" customHeight="1">
      <c r="A3538" s="1" t="s">
        <v>14130</v>
      </c>
      <c r="B3538" s="1">
        <v>8.1</v>
      </c>
    </row>
    <row r="3539" ht="14.25" customHeight="1">
      <c r="A3539" s="1" t="s">
        <v>264</v>
      </c>
      <c r="B3539" s="1">
        <v>7.2</v>
      </c>
    </row>
    <row r="3540" ht="14.25" customHeight="1">
      <c r="A3540" s="1" t="s">
        <v>16706</v>
      </c>
      <c r="B3540" s="1">
        <v>7.4</v>
      </c>
    </row>
    <row r="3541" ht="14.25" customHeight="1">
      <c r="A3541" s="1" t="s">
        <v>16714</v>
      </c>
      <c r="B3541" s="1">
        <v>6.5</v>
      </c>
    </row>
    <row r="3542" ht="14.25" customHeight="1">
      <c r="A3542" s="1" t="s">
        <v>4069</v>
      </c>
      <c r="B3542" s="1">
        <v>6.1</v>
      </c>
    </row>
    <row r="3543" ht="14.25" customHeight="1">
      <c r="A3543" s="1" t="s">
        <v>16718</v>
      </c>
      <c r="B3543" s="1">
        <v>6.2</v>
      </c>
    </row>
    <row r="3544" ht="14.25" customHeight="1">
      <c r="A3544" s="1" t="s">
        <v>6634</v>
      </c>
      <c r="B3544" s="1">
        <v>6.1</v>
      </c>
    </row>
    <row r="3545" ht="14.25" customHeight="1">
      <c r="A3545" s="1" t="s">
        <v>1456</v>
      </c>
      <c r="B3545" s="1">
        <v>7.2</v>
      </c>
    </row>
    <row r="3546" ht="14.25" customHeight="1">
      <c r="A3546" s="1" t="s">
        <v>324</v>
      </c>
      <c r="B3546" s="1">
        <v>7.7</v>
      </c>
    </row>
    <row r="3547" ht="14.25" customHeight="1">
      <c r="A3547" s="1" t="s">
        <v>4669</v>
      </c>
      <c r="B3547" s="1">
        <v>7.1</v>
      </c>
    </row>
    <row r="3548" ht="14.25" customHeight="1">
      <c r="A3548" s="1" t="s">
        <v>2564</v>
      </c>
      <c r="B3548" s="1">
        <v>5.5</v>
      </c>
    </row>
    <row r="3549" ht="14.25" customHeight="1">
      <c r="A3549" s="1" t="s">
        <v>9482</v>
      </c>
      <c r="B3549" s="1">
        <v>7.4</v>
      </c>
    </row>
    <row r="3550" ht="14.25" customHeight="1">
      <c r="A3550" s="1" t="s">
        <v>12168</v>
      </c>
      <c r="B3550" s="1">
        <v>7.7</v>
      </c>
    </row>
    <row r="3551" ht="14.25" customHeight="1">
      <c r="A3551" s="1" t="s">
        <v>5671</v>
      </c>
      <c r="B3551" s="1">
        <v>7.8</v>
      </c>
    </row>
    <row r="3552" ht="14.25" customHeight="1">
      <c r="A3552" s="1" t="s">
        <v>16746</v>
      </c>
      <c r="B3552" s="1">
        <v>6.6</v>
      </c>
    </row>
    <row r="3553" ht="14.25" customHeight="1">
      <c r="A3553" s="1" t="s">
        <v>16750</v>
      </c>
      <c r="B3553" s="1">
        <v>6.0</v>
      </c>
    </row>
    <row r="3554" ht="14.25" customHeight="1">
      <c r="A3554" s="1" t="s">
        <v>1681</v>
      </c>
      <c r="B3554" s="1">
        <v>8.4</v>
      </c>
    </row>
    <row r="3555" ht="14.25" customHeight="1">
      <c r="A3555" s="1" t="s">
        <v>8101</v>
      </c>
      <c r="B3555" s="1">
        <v>8.9</v>
      </c>
    </row>
    <row r="3556" ht="14.25" customHeight="1">
      <c r="A3556" s="1" t="s">
        <v>16762</v>
      </c>
      <c r="B3556" s="1">
        <v>7.9</v>
      </c>
    </row>
    <row r="3557" ht="14.25" customHeight="1">
      <c r="A3557" s="1" t="s">
        <v>16769</v>
      </c>
      <c r="B3557" s="1">
        <v>6.0</v>
      </c>
    </row>
    <row r="3558" ht="14.25" customHeight="1">
      <c r="A3558" s="1" t="s">
        <v>16775</v>
      </c>
      <c r="B3558" s="1">
        <v>6.1</v>
      </c>
    </row>
    <row r="3559" ht="14.25" customHeight="1">
      <c r="A3559" s="1" t="s">
        <v>3420</v>
      </c>
      <c r="B3559" s="1">
        <v>6.2</v>
      </c>
    </row>
    <row r="3560" ht="14.25" customHeight="1">
      <c r="A3560" s="1" t="s">
        <v>16787</v>
      </c>
      <c r="B3560" s="1">
        <v>6.8</v>
      </c>
    </row>
    <row r="3561" ht="14.25" customHeight="1">
      <c r="A3561" s="1" t="s">
        <v>16791</v>
      </c>
      <c r="B3561" s="1">
        <v>5.9</v>
      </c>
    </row>
    <row r="3562" ht="14.25" customHeight="1">
      <c r="A3562" s="1" t="s">
        <v>16797</v>
      </c>
      <c r="B3562" s="1">
        <v>6.1</v>
      </c>
    </row>
    <row r="3563" ht="14.25" customHeight="1">
      <c r="A3563" s="1" t="s">
        <v>16803</v>
      </c>
      <c r="B3563" s="1">
        <v>7.6</v>
      </c>
    </row>
    <row r="3564" ht="14.25" customHeight="1">
      <c r="A3564" s="1" t="s">
        <v>5847</v>
      </c>
      <c r="B3564" s="1">
        <v>8.1</v>
      </c>
    </row>
    <row r="3565" ht="14.25" customHeight="1">
      <c r="A3565" s="1" t="s">
        <v>5073</v>
      </c>
      <c r="B3565" s="1">
        <v>6.8</v>
      </c>
    </row>
    <row r="3566" ht="14.25" customHeight="1">
      <c r="A3566" s="1" t="s">
        <v>16816</v>
      </c>
      <c r="B3566" s="1">
        <v>5.7</v>
      </c>
    </row>
    <row r="3567" ht="14.25" customHeight="1">
      <c r="A3567" s="1" t="s">
        <v>2700</v>
      </c>
      <c r="B3567" s="1">
        <v>6.6</v>
      </c>
    </row>
    <row r="3568" ht="14.25" customHeight="1">
      <c r="A3568" s="1" t="s">
        <v>13722</v>
      </c>
      <c r="B3568" s="1">
        <v>7.3</v>
      </c>
    </row>
    <row r="3569" ht="14.25" customHeight="1">
      <c r="A3569" s="1" t="s">
        <v>16830</v>
      </c>
      <c r="B3569" s="1">
        <v>5.0</v>
      </c>
    </row>
    <row r="3570" ht="14.25" customHeight="1">
      <c r="A3570" s="1" t="s">
        <v>16834</v>
      </c>
      <c r="B3570" s="1">
        <v>7.0</v>
      </c>
    </row>
    <row r="3571" ht="14.25" customHeight="1">
      <c r="A3571" s="1" t="s">
        <v>16841</v>
      </c>
      <c r="B3571" s="1">
        <v>3.4</v>
      </c>
    </row>
    <row r="3572" ht="14.25" customHeight="1">
      <c r="A3572" s="1" t="s">
        <v>8393</v>
      </c>
      <c r="B3572" s="1">
        <v>5.9</v>
      </c>
    </row>
    <row r="3573" ht="14.25" customHeight="1">
      <c r="A3573" s="1" t="s">
        <v>16851</v>
      </c>
      <c r="B3573" s="1">
        <v>6.0</v>
      </c>
    </row>
    <row r="3574" ht="14.25" customHeight="1">
      <c r="A3574" s="1" t="s">
        <v>11698</v>
      </c>
      <c r="B3574" s="1">
        <v>7.4</v>
      </c>
    </row>
    <row r="3575" ht="14.25" customHeight="1">
      <c r="A3575" s="1" t="s">
        <v>16861</v>
      </c>
      <c r="B3575" s="1">
        <v>7.4</v>
      </c>
    </row>
    <row r="3576" ht="14.25" customHeight="1">
      <c r="A3576" s="1" t="s">
        <v>10087</v>
      </c>
      <c r="B3576" s="1">
        <v>4.2</v>
      </c>
    </row>
    <row r="3577" ht="14.25" customHeight="1">
      <c r="A3577" s="1" t="s">
        <v>16871</v>
      </c>
      <c r="B3577" s="1">
        <v>6.2</v>
      </c>
    </row>
    <row r="3578" ht="14.25" customHeight="1">
      <c r="A3578" s="1" t="s">
        <v>14171</v>
      </c>
      <c r="B3578" s="1">
        <v>5.4</v>
      </c>
    </row>
    <row r="3579" ht="14.25" customHeight="1">
      <c r="A3579" s="1" t="s">
        <v>16881</v>
      </c>
      <c r="B3579" s="1">
        <v>7.2</v>
      </c>
    </row>
    <row r="3580" ht="14.25" customHeight="1">
      <c r="A3580" s="1" t="s">
        <v>11897</v>
      </c>
      <c r="B3580" s="1">
        <v>6.7</v>
      </c>
    </row>
    <row r="3581" ht="14.25" customHeight="1">
      <c r="A3581" s="1" t="s">
        <v>7666</v>
      </c>
      <c r="B3581" s="1">
        <v>7.5</v>
      </c>
    </row>
    <row r="3582" ht="14.25" customHeight="1">
      <c r="A3582" s="1" t="s">
        <v>16889</v>
      </c>
      <c r="B3582" s="1">
        <v>7.2</v>
      </c>
    </row>
    <row r="3583" ht="14.25" customHeight="1">
      <c r="A3583" s="1" t="s">
        <v>16895</v>
      </c>
      <c r="B3583" s="1">
        <v>7.4</v>
      </c>
    </row>
    <row r="3584" ht="14.25" customHeight="1">
      <c r="A3584" s="1" t="s">
        <v>14917</v>
      </c>
      <c r="B3584" s="1">
        <v>5.6</v>
      </c>
    </row>
    <row r="3585" ht="14.25" customHeight="1">
      <c r="A3585" s="1" t="s">
        <v>14014</v>
      </c>
      <c r="B3585" s="1">
        <v>6.8</v>
      </c>
    </row>
    <row r="3586" ht="14.25" customHeight="1">
      <c r="A3586" s="1" t="s">
        <v>11849</v>
      </c>
      <c r="B3586" s="1">
        <v>7.2</v>
      </c>
    </row>
    <row r="3587" ht="14.25" customHeight="1">
      <c r="A3587" s="1" t="s">
        <v>16909</v>
      </c>
      <c r="B3587" s="1">
        <v>7.7</v>
      </c>
    </row>
    <row r="3588" ht="14.25" customHeight="1">
      <c r="A3588" s="1" t="s">
        <v>16915</v>
      </c>
      <c r="B3588" s="1">
        <v>7.0</v>
      </c>
    </row>
    <row r="3589" ht="14.25" customHeight="1">
      <c r="A3589" s="1" t="s">
        <v>461</v>
      </c>
      <c r="B3589" s="1">
        <v>6.4</v>
      </c>
    </row>
    <row r="3590" ht="14.25" customHeight="1">
      <c r="A3590" s="1" t="s">
        <v>16919</v>
      </c>
      <c r="B3590" s="1">
        <v>7.2</v>
      </c>
    </row>
    <row r="3591" ht="14.25" customHeight="1">
      <c r="A3591" s="1" t="s">
        <v>16925</v>
      </c>
      <c r="B3591" s="1">
        <v>7.2</v>
      </c>
    </row>
    <row r="3592" ht="14.25" customHeight="1">
      <c r="A3592" s="1" t="s">
        <v>9702</v>
      </c>
      <c r="B3592" s="1">
        <v>6.2</v>
      </c>
    </row>
    <row r="3593" ht="14.25" customHeight="1">
      <c r="A3593" s="1" t="s">
        <v>5119</v>
      </c>
      <c r="B3593" s="1">
        <v>6.9</v>
      </c>
    </row>
    <row r="3594" ht="14.25" customHeight="1">
      <c r="A3594" s="1" t="s">
        <v>16939</v>
      </c>
      <c r="B3594" s="1">
        <v>7.0</v>
      </c>
    </row>
    <row r="3595" ht="14.25" customHeight="1">
      <c r="A3595" s="1" t="s">
        <v>16943</v>
      </c>
      <c r="B3595" s="1">
        <v>6.7</v>
      </c>
    </row>
    <row r="3596" ht="14.25" customHeight="1">
      <c r="A3596" s="1" t="s">
        <v>16947</v>
      </c>
      <c r="B3596" s="1">
        <v>7.4</v>
      </c>
    </row>
    <row r="3597" ht="14.25" customHeight="1">
      <c r="A3597" s="1" t="s">
        <v>16951</v>
      </c>
      <c r="B3597" s="1">
        <v>6.1</v>
      </c>
    </row>
    <row r="3598" ht="14.25" customHeight="1">
      <c r="A3598" s="1" t="s">
        <v>163</v>
      </c>
      <c r="B3598" s="1">
        <v>6.7</v>
      </c>
    </row>
    <row r="3599" ht="14.25" customHeight="1">
      <c r="A3599" s="1" t="s">
        <v>16955</v>
      </c>
      <c r="B3599" s="1">
        <v>8.2</v>
      </c>
    </row>
    <row r="3600" ht="14.25" customHeight="1">
      <c r="A3600" s="1" t="s">
        <v>16963</v>
      </c>
      <c r="B3600" s="1">
        <v>7.7</v>
      </c>
    </row>
    <row r="3601" ht="14.25" customHeight="1">
      <c r="A3601" s="1" t="s">
        <v>16969</v>
      </c>
      <c r="B3601" s="1">
        <v>7.3</v>
      </c>
    </row>
    <row r="3602" ht="14.25" customHeight="1">
      <c r="A3602" s="1" t="s">
        <v>16977</v>
      </c>
      <c r="B3602" s="1">
        <v>7.6</v>
      </c>
    </row>
    <row r="3603" ht="14.25" customHeight="1">
      <c r="A3603" s="1" t="s">
        <v>16984</v>
      </c>
      <c r="B3603" s="1">
        <v>5.6</v>
      </c>
    </row>
    <row r="3604" ht="14.25" customHeight="1">
      <c r="A3604" s="1" t="s">
        <v>16990</v>
      </c>
      <c r="B3604" s="1">
        <v>6.4</v>
      </c>
    </row>
    <row r="3605" ht="14.25" customHeight="1">
      <c r="A3605" s="1" t="s">
        <v>16995</v>
      </c>
      <c r="B3605" s="1">
        <v>6.8</v>
      </c>
    </row>
    <row r="3606" ht="14.25" customHeight="1">
      <c r="A3606" s="1" t="s">
        <v>5722</v>
      </c>
      <c r="B3606" s="1">
        <v>6.1</v>
      </c>
    </row>
    <row r="3607" ht="14.25" customHeight="1">
      <c r="A3607" s="1" t="s">
        <v>7100</v>
      </c>
      <c r="B3607" s="1">
        <v>6.0</v>
      </c>
    </row>
    <row r="3608" ht="14.25" customHeight="1">
      <c r="A3608" s="1" t="s">
        <v>17005</v>
      </c>
      <c r="B3608" s="1">
        <v>6.1</v>
      </c>
    </row>
    <row r="3609" ht="14.25" customHeight="1">
      <c r="A3609" s="1" t="s">
        <v>17011</v>
      </c>
      <c r="B3609" s="1">
        <v>5.5</v>
      </c>
    </row>
    <row r="3610" ht="14.25" customHeight="1">
      <c r="A3610" s="1" t="s">
        <v>17017</v>
      </c>
      <c r="B3610" s="1">
        <v>6.9</v>
      </c>
    </row>
    <row r="3611" ht="14.25" customHeight="1">
      <c r="A3611" s="1" t="s">
        <v>9623</v>
      </c>
      <c r="B3611" s="1">
        <v>4.1</v>
      </c>
    </row>
    <row r="3612" ht="14.25" customHeight="1">
      <c r="A3612" s="1" t="s">
        <v>7067</v>
      </c>
      <c r="B3612" s="1">
        <v>5.4</v>
      </c>
    </row>
    <row r="3613" ht="14.25" customHeight="1">
      <c r="A3613" s="1" t="s">
        <v>5001</v>
      </c>
      <c r="B3613" s="1">
        <v>7.0</v>
      </c>
    </row>
    <row r="3614" ht="14.25" customHeight="1">
      <c r="A3614" s="1" t="s">
        <v>17032</v>
      </c>
      <c r="B3614" s="1">
        <v>8.2</v>
      </c>
    </row>
    <row r="3615" ht="14.25" customHeight="1">
      <c r="A3615" s="1" t="s">
        <v>17037</v>
      </c>
      <c r="B3615" s="1">
        <v>5.7</v>
      </c>
    </row>
    <row r="3616" ht="14.25" customHeight="1">
      <c r="A3616" s="1" t="s">
        <v>17042</v>
      </c>
      <c r="B3616" s="1">
        <v>7.9</v>
      </c>
    </row>
    <row r="3617" ht="14.25" customHeight="1">
      <c r="A3617" s="1" t="s">
        <v>3363</v>
      </c>
      <c r="B3617" s="1">
        <v>7.1</v>
      </c>
    </row>
    <row r="3618" ht="14.25" customHeight="1">
      <c r="A3618" s="1" t="s">
        <v>16746</v>
      </c>
      <c r="B3618" s="1">
        <v>6.4</v>
      </c>
    </row>
    <row r="3619" ht="14.25" customHeight="1">
      <c r="A3619" s="1" t="s">
        <v>6662</v>
      </c>
      <c r="B3619" s="1">
        <v>7.5</v>
      </c>
    </row>
    <row r="3620" ht="14.25" customHeight="1">
      <c r="A3620" s="1" t="s">
        <v>17064</v>
      </c>
      <c r="B3620" s="1">
        <v>6.4</v>
      </c>
    </row>
    <row r="3621" ht="14.25" customHeight="1">
      <c r="A3621" s="1" t="s">
        <v>11518</v>
      </c>
      <c r="B3621" s="1">
        <v>6.5</v>
      </c>
    </row>
    <row r="3622" ht="14.25" customHeight="1">
      <c r="A3622" s="1" t="s">
        <v>17069</v>
      </c>
      <c r="B3622" s="1">
        <v>7.2</v>
      </c>
    </row>
    <row r="3623" ht="14.25" customHeight="1">
      <c r="A3623" s="1" t="s">
        <v>17073</v>
      </c>
      <c r="B3623" s="1">
        <v>6.0</v>
      </c>
    </row>
    <row r="3624" ht="14.25" customHeight="1">
      <c r="A3624" s="1" t="s">
        <v>17077</v>
      </c>
      <c r="B3624" s="1">
        <v>5.6</v>
      </c>
    </row>
    <row r="3625" ht="14.25" customHeight="1">
      <c r="A3625" s="1" t="s">
        <v>17085</v>
      </c>
      <c r="B3625" s="1">
        <v>8.4</v>
      </c>
    </row>
    <row r="3626" ht="14.25" customHeight="1">
      <c r="A3626" s="1" t="s">
        <v>17093</v>
      </c>
      <c r="B3626" s="1">
        <v>7.5</v>
      </c>
    </row>
    <row r="3627" ht="14.25" customHeight="1">
      <c r="A3627" s="1" t="s">
        <v>16090</v>
      </c>
      <c r="B3627" s="1">
        <v>7.2</v>
      </c>
    </row>
    <row r="3628" ht="14.25" customHeight="1">
      <c r="A3628" s="1" t="s">
        <v>13232</v>
      </c>
      <c r="B3628" s="1">
        <v>7.2</v>
      </c>
    </row>
    <row r="3629" ht="14.25" customHeight="1">
      <c r="A3629" s="1" t="s">
        <v>4125</v>
      </c>
      <c r="B3629" s="1">
        <v>6.5</v>
      </c>
    </row>
    <row r="3630" ht="14.25" customHeight="1">
      <c r="A3630" s="1" t="s">
        <v>4882</v>
      </c>
      <c r="B3630" s="1">
        <v>6.4</v>
      </c>
    </row>
    <row r="3631" ht="14.25" customHeight="1">
      <c r="A3631" s="1" t="s">
        <v>1376</v>
      </c>
      <c r="B3631" s="1">
        <v>7.5</v>
      </c>
    </row>
    <row r="3632" ht="14.25" customHeight="1">
      <c r="A3632" s="1" t="s">
        <v>17122</v>
      </c>
      <c r="B3632" s="1">
        <v>6.9</v>
      </c>
    </row>
    <row r="3633" ht="14.25" customHeight="1">
      <c r="A3633" s="1" t="s">
        <v>225</v>
      </c>
      <c r="B3633" s="1">
        <v>7.0</v>
      </c>
    </row>
    <row r="3634" ht="14.25" customHeight="1">
      <c r="A3634" s="1" t="s">
        <v>17130</v>
      </c>
      <c r="B3634" s="1">
        <v>6.3</v>
      </c>
    </row>
    <row r="3635" ht="14.25" customHeight="1">
      <c r="A3635" s="1" t="s">
        <v>16990</v>
      </c>
      <c r="B3635" s="1">
        <v>5.5</v>
      </c>
    </row>
    <row r="3636" ht="14.25" customHeight="1">
      <c r="A3636" s="1" t="s">
        <v>3558</v>
      </c>
      <c r="B3636" s="1">
        <v>4.8</v>
      </c>
    </row>
    <row r="3637" ht="14.25" customHeight="1">
      <c r="A3637" s="1" t="s">
        <v>2301</v>
      </c>
      <c r="B3637" s="1">
        <v>6.6</v>
      </c>
    </row>
    <row r="3638" ht="14.25" customHeight="1">
      <c r="A3638" s="1" t="s">
        <v>17145</v>
      </c>
      <c r="B3638" s="1">
        <v>5.2</v>
      </c>
    </row>
    <row r="3639" ht="14.25" customHeight="1">
      <c r="A3639" s="1" t="s">
        <v>14074</v>
      </c>
      <c r="B3639" s="1">
        <v>8.3</v>
      </c>
    </row>
    <row r="3640" ht="14.25" customHeight="1">
      <c r="A3640" s="1" t="s">
        <v>15255</v>
      </c>
      <c r="B3640" s="1">
        <v>7.2</v>
      </c>
    </row>
    <row r="3641" ht="14.25" customHeight="1">
      <c r="A3641" s="1" t="s">
        <v>163</v>
      </c>
      <c r="B3641" s="1">
        <v>7.2</v>
      </c>
    </row>
    <row r="3642" ht="14.25" customHeight="1">
      <c r="A3642" s="1" t="s">
        <v>4844</v>
      </c>
      <c r="B3642" s="1">
        <v>5.3</v>
      </c>
    </row>
    <row r="3643" ht="14.25" customHeight="1">
      <c r="A3643" s="1" t="s">
        <v>17161</v>
      </c>
      <c r="B3643" s="1">
        <v>7.2</v>
      </c>
    </row>
    <row r="3644" ht="14.25" customHeight="1">
      <c r="A3644" s="1" t="s">
        <v>17166</v>
      </c>
      <c r="B3644" s="1">
        <v>7.8</v>
      </c>
    </row>
    <row r="3645" ht="14.25" customHeight="1">
      <c r="A3645" s="1" t="s">
        <v>17173</v>
      </c>
      <c r="B3645" s="1">
        <v>6.4</v>
      </c>
    </row>
    <row r="3646" ht="14.25" customHeight="1">
      <c r="A3646" s="1" t="s">
        <v>17180</v>
      </c>
      <c r="B3646" s="1">
        <v>8.1</v>
      </c>
    </row>
    <row r="3647" ht="14.25" customHeight="1">
      <c r="A3647" s="1" t="s">
        <v>17188</v>
      </c>
      <c r="B3647" s="1">
        <v>5.6</v>
      </c>
    </row>
    <row r="3648" ht="14.25" customHeight="1">
      <c r="A3648" s="1" t="s">
        <v>17194</v>
      </c>
      <c r="B3648" s="1">
        <v>6.6</v>
      </c>
    </row>
    <row r="3649" ht="14.25" customHeight="1">
      <c r="A3649" s="1" t="s">
        <v>4591</v>
      </c>
      <c r="B3649" s="1">
        <v>7.7</v>
      </c>
    </row>
    <row r="3650" ht="14.25" customHeight="1">
      <c r="A3650" s="1" t="s">
        <v>16311</v>
      </c>
      <c r="B3650" s="1">
        <v>6.5</v>
      </c>
    </row>
    <row r="3651" ht="14.25" customHeight="1">
      <c r="A3651" s="1" t="s">
        <v>17211</v>
      </c>
      <c r="B3651" s="1">
        <v>6.1</v>
      </c>
    </row>
    <row r="3652" ht="14.25" customHeight="1">
      <c r="A3652" s="1" t="s">
        <v>16301</v>
      </c>
      <c r="B3652" s="1">
        <v>5.7</v>
      </c>
    </row>
    <row r="3653" ht="14.25" customHeight="1">
      <c r="A3653" s="1" t="s">
        <v>17226</v>
      </c>
      <c r="B3653" s="1">
        <v>5.9</v>
      </c>
    </row>
    <row r="3654" ht="14.25" customHeight="1">
      <c r="A3654" s="1" t="s">
        <v>417</v>
      </c>
      <c r="B3654" s="1">
        <v>7.7</v>
      </c>
    </row>
    <row r="3655" ht="14.25" customHeight="1">
      <c r="A3655" s="1" t="s">
        <v>17236</v>
      </c>
      <c r="B3655" s="1">
        <v>7.1</v>
      </c>
    </row>
    <row r="3656" ht="14.25" customHeight="1">
      <c r="A3656" s="1" t="s">
        <v>17241</v>
      </c>
      <c r="B3656" s="1">
        <v>7.6</v>
      </c>
    </row>
    <row r="3657" ht="14.25" customHeight="1">
      <c r="A3657" s="1" t="s">
        <v>17249</v>
      </c>
      <c r="B3657" s="1">
        <v>7.4</v>
      </c>
    </row>
    <row r="3658" ht="14.25" customHeight="1">
      <c r="A3658" s="1" t="s">
        <v>17257</v>
      </c>
      <c r="B3658" s="1">
        <v>6.8</v>
      </c>
    </row>
    <row r="3659" ht="14.25" customHeight="1">
      <c r="A3659" s="1" t="s">
        <v>17263</v>
      </c>
      <c r="B3659" s="1">
        <v>6.5</v>
      </c>
    </row>
    <row r="3660" ht="14.25" customHeight="1">
      <c r="A3660" s="1" t="s">
        <v>12347</v>
      </c>
      <c r="B3660" s="1">
        <v>7.3</v>
      </c>
    </row>
    <row r="3661" ht="14.25" customHeight="1">
      <c r="A3661" s="1" t="s">
        <v>17273</v>
      </c>
      <c r="B3661" s="1">
        <v>7.3</v>
      </c>
    </row>
    <row r="3662" ht="14.25" customHeight="1">
      <c r="A3662" s="1" t="s">
        <v>15286</v>
      </c>
      <c r="B3662" s="1">
        <v>6.5</v>
      </c>
    </row>
    <row r="3663" ht="14.25" customHeight="1">
      <c r="A3663" s="1" t="s">
        <v>17280</v>
      </c>
      <c r="B3663" s="1">
        <v>6.0</v>
      </c>
    </row>
    <row r="3664" ht="14.25" customHeight="1">
      <c r="A3664" s="1" t="s">
        <v>17284</v>
      </c>
      <c r="B3664" s="1">
        <v>5.3</v>
      </c>
    </row>
    <row r="3665" ht="14.25" customHeight="1">
      <c r="A3665" s="1" t="s">
        <v>264</v>
      </c>
      <c r="B3665" s="1">
        <v>6.6</v>
      </c>
    </row>
    <row r="3666" ht="14.25" customHeight="1">
      <c r="A3666" s="1" t="s">
        <v>17293</v>
      </c>
      <c r="B3666" s="1">
        <v>8.7</v>
      </c>
    </row>
    <row r="3667" ht="14.25" customHeight="1">
      <c r="A3667" s="1" t="s">
        <v>394</v>
      </c>
      <c r="B3667" s="1">
        <v>6.2</v>
      </c>
    </row>
    <row r="3668" ht="14.25" customHeight="1">
      <c r="A3668" s="1" t="s">
        <v>17305</v>
      </c>
      <c r="B3668" s="1">
        <v>5.8</v>
      </c>
    </row>
    <row r="3669" ht="14.25" customHeight="1">
      <c r="A3669" s="1" t="s">
        <v>1130</v>
      </c>
      <c r="B3669" s="1">
        <v>6.7</v>
      </c>
    </row>
    <row r="3670" ht="14.25" customHeight="1">
      <c r="A3670" s="1" t="s">
        <v>17069</v>
      </c>
      <c r="B3670" s="1">
        <v>5.7</v>
      </c>
    </row>
    <row r="3671" ht="14.25" customHeight="1">
      <c r="A3671" s="1" t="s">
        <v>17316</v>
      </c>
      <c r="B3671" s="1">
        <v>6.1</v>
      </c>
    </row>
    <row r="3672" ht="14.25" customHeight="1">
      <c r="A3672" s="1" t="s">
        <v>17321</v>
      </c>
      <c r="B3672" s="1">
        <v>6.4</v>
      </c>
    </row>
    <row r="3673" ht="14.25" customHeight="1">
      <c r="A3673" s="1" t="s">
        <v>17327</v>
      </c>
      <c r="B3673" s="1">
        <v>4.6</v>
      </c>
    </row>
    <row r="3674" ht="14.25" customHeight="1">
      <c r="A3674" s="1" t="s">
        <v>12628</v>
      </c>
      <c r="B3674" s="1">
        <v>3.3</v>
      </c>
    </row>
    <row r="3675" ht="14.25" customHeight="1">
      <c r="A3675" s="1" t="s">
        <v>71</v>
      </c>
      <c r="B3675" s="1">
        <v>6.4</v>
      </c>
    </row>
    <row r="3676" ht="14.25" customHeight="1">
      <c r="A3676" s="1" t="s">
        <v>17332</v>
      </c>
      <c r="B3676" s="1">
        <v>5.9</v>
      </c>
    </row>
    <row r="3677" ht="14.25" customHeight="1">
      <c r="A3677" s="1" t="s">
        <v>1110</v>
      </c>
      <c r="B3677" s="1">
        <v>7.7</v>
      </c>
    </row>
    <row r="3678" ht="14.25" customHeight="1">
      <c r="A3678" s="1" t="s">
        <v>17342</v>
      </c>
      <c r="B3678" s="1">
        <v>7.1</v>
      </c>
    </row>
    <row r="3679" ht="14.25" customHeight="1">
      <c r="A3679" s="1" t="s">
        <v>17346</v>
      </c>
      <c r="B3679" s="1">
        <v>6.2</v>
      </c>
    </row>
    <row r="3680" ht="14.25" customHeight="1">
      <c r="A3680" s="1" t="s">
        <v>17353</v>
      </c>
      <c r="B3680" s="1">
        <v>7.7</v>
      </c>
    </row>
    <row r="3681" ht="14.25" customHeight="1">
      <c r="A3681" s="1" t="s">
        <v>17359</v>
      </c>
      <c r="B3681" s="1">
        <v>7.5</v>
      </c>
    </row>
    <row r="3682" ht="14.25" customHeight="1">
      <c r="A3682" s="1" t="s">
        <v>7391</v>
      </c>
      <c r="B3682" s="1">
        <v>6.9</v>
      </c>
    </row>
    <row r="3683" ht="14.25" customHeight="1">
      <c r="A3683" s="1" t="s">
        <v>15268</v>
      </c>
      <c r="B3683" s="1">
        <v>7.1</v>
      </c>
    </row>
    <row r="3684" ht="14.25" customHeight="1">
      <c r="A3684" s="1" t="s">
        <v>17374</v>
      </c>
      <c r="B3684" s="1">
        <v>6.3</v>
      </c>
    </row>
    <row r="3685" ht="14.25" customHeight="1">
      <c r="A3685" s="1" t="s">
        <v>2661</v>
      </c>
      <c r="B3685" s="1">
        <v>8.3</v>
      </c>
    </row>
    <row r="3686" ht="14.25" customHeight="1">
      <c r="A3686" s="1" t="s">
        <v>15096</v>
      </c>
      <c r="B3686" s="1">
        <v>7.1</v>
      </c>
    </row>
    <row r="3687" ht="14.25" customHeight="1">
      <c r="A3687" s="1" t="s">
        <v>17390</v>
      </c>
      <c r="B3687" s="1">
        <v>7.2</v>
      </c>
    </row>
    <row r="3688" ht="14.25" customHeight="1">
      <c r="A3688" s="1" t="s">
        <v>17397</v>
      </c>
      <c r="B3688" s="1">
        <v>6.9</v>
      </c>
    </row>
    <row r="3689" ht="14.25" customHeight="1">
      <c r="A3689" s="1" t="s">
        <v>7588</v>
      </c>
      <c r="B3689" s="1">
        <v>6.1</v>
      </c>
    </row>
    <row r="3690" ht="14.25" customHeight="1">
      <c r="A3690" s="1" t="s">
        <v>17408</v>
      </c>
      <c r="B3690" s="1">
        <v>6.3</v>
      </c>
    </row>
    <row r="3691" ht="14.25" customHeight="1">
      <c r="A3691" s="1" t="s">
        <v>17415</v>
      </c>
      <c r="B3691" s="1">
        <v>6.1</v>
      </c>
    </row>
    <row r="3692" ht="14.25" customHeight="1">
      <c r="A3692" s="1" t="s">
        <v>17422</v>
      </c>
      <c r="B3692" s="1">
        <v>7.8</v>
      </c>
    </row>
    <row r="3693" ht="14.25" customHeight="1">
      <c r="A3693" s="1" t="s">
        <v>17429</v>
      </c>
      <c r="B3693" s="1">
        <v>4.7</v>
      </c>
    </row>
    <row r="3694" ht="14.25" customHeight="1">
      <c r="A3694" s="1" t="s">
        <v>5073</v>
      </c>
      <c r="B3694" s="1">
        <v>7.9</v>
      </c>
    </row>
    <row r="3695" ht="14.25" customHeight="1">
      <c r="A3695" s="1" t="s">
        <v>8016</v>
      </c>
      <c r="B3695" s="1">
        <v>6.7</v>
      </c>
    </row>
    <row r="3696" ht="14.25" customHeight="1">
      <c r="A3696" s="1" t="s">
        <v>17439</v>
      </c>
      <c r="B3696" s="1">
        <v>6.6</v>
      </c>
    </row>
    <row r="3697" ht="14.25" customHeight="1">
      <c r="A3697" s="1" t="s">
        <v>14830</v>
      </c>
      <c r="B3697" s="1">
        <v>6.9</v>
      </c>
    </row>
    <row r="3698" ht="14.25" customHeight="1">
      <c r="A3698" s="1" t="s">
        <v>6106</v>
      </c>
      <c r="B3698" s="1">
        <v>7.1</v>
      </c>
    </row>
    <row r="3699" ht="14.25" customHeight="1">
      <c r="A3699" s="1" t="s">
        <v>17452</v>
      </c>
      <c r="B3699" s="1">
        <v>6.7</v>
      </c>
    </row>
    <row r="3700" ht="14.25" customHeight="1">
      <c r="A3700" s="1" t="s">
        <v>17452</v>
      </c>
      <c r="B3700" s="1">
        <v>7.1</v>
      </c>
    </row>
    <row r="3701" ht="14.25" customHeight="1">
      <c r="A3701" s="1" t="s">
        <v>17462</v>
      </c>
      <c r="B3701" s="1">
        <v>6.6</v>
      </c>
    </row>
    <row r="3702" ht="14.25" customHeight="1">
      <c r="A3702" s="1" t="s">
        <v>5519</v>
      </c>
      <c r="B3702" s="1">
        <v>7.4</v>
      </c>
    </row>
    <row r="3703" ht="14.25" customHeight="1">
      <c r="A3703" s="1" t="s">
        <v>17469</v>
      </c>
      <c r="B3703" s="1">
        <v>4.8</v>
      </c>
    </row>
    <row r="3704" ht="14.25" customHeight="1">
      <c r="A3704" s="1" t="s">
        <v>17474</v>
      </c>
      <c r="B3704" s="1">
        <v>6.4</v>
      </c>
    </row>
    <row r="3705" ht="14.25" customHeight="1">
      <c r="A3705" s="1" t="s">
        <v>6697</v>
      </c>
      <c r="B3705" s="1">
        <v>7.3</v>
      </c>
    </row>
    <row r="3706" ht="14.25" customHeight="1">
      <c r="A3706" s="1" t="s">
        <v>14014</v>
      </c>
      <c r="B3706" s="1">
        <v>6.9</v>
      </c>
    </row>
    <row r="3707" ht="14.25" customHeight="1">
      <c r="A3707" s="1" t="s">
        <v>394</v>
      </c>
      <c r="B3707" s="1">
        <v>7.2</v>
      </c>
    </row>
    <row r="3708" ht="14.25" customHeight="1">
      <c r="A3708" s="1" t="s">
        <v>17492</v>
      </c>
      <c r="B3708" s="1">
        <v>6.5</v>
      </c>
    </row>
    <row r="3709" ht="14.25" customHeight="1">
      <c r="A3709" s="1" t="s">
        <v>8315</v>
      </c>
      <c r="B3709" s="1">
        <v>6.6</v>
      </c>
    </row>
    <row r="3710" ht="14.25" customHeight="1">
      <c r="A3710" s="1" t="s">
        <v>17500</v>
      </c>
      <c r="B3710" s="1">
        <v>6.7</v>
      </c>
    </row>
    <row r="3711" ht="14.25" customHeight="1">
      <c r="A3711" s="1" t="s">
        <v>8004</v>
      </c>
      <c r="B3711" s="1">
        <v>7.3</v>
      </c>
    </row>
    <row r="3712" ht="14.25" customHeight="1">
      <c r="A3712" s="1" t="s">
        <v>17511</v>
      </c>
      <c r="B3712" s="1">
        <v>7.0</v>
      </c>
    </row>
    <row r="3713" ht="14.25" customHeight="1">
      <c r="A3713" s="1" t="s">
        <v>17263</v>
      </c>
      <c r="B3713" s="1">
        <v>5.5</v>
      </c>
    </row>
    <row r="3714" ht="14.25" customHeight="1">
      <c r="A3714" s="1" t="s">
        <v>17523</v>
      </c>
      <c r="B3714" s="1">
        <v>6.7</v>
      </c>
    </row>
    <row r="3715" ht="14.25" customHeight="1">
      <c r="A3715" s="1" t="s">
        <v>14399</v>
      </c>
      <c r="B3715" s="1">
        <v>3.9</v>
      </c>
    </row>
    <row r="3716" ht="14.25" customHeight="1">
      <c r="A3716" s="1" t="s">
        <v>17533</v>
      </c>
      <c r="B3716" s="1">
        <v>7.5</v>
      </c>
    </row>
    <row r="3717" ht="14.25" customHeight="1">
      <c r="A3717" s="1" t="s">
        <v>17540</v>
      </c>
      <c r="B3717" s="1">
        <v>7.0</v>
      </c>
    </row>
    <row r="3718" ht="14.25" customHeight="1">
      <c r="A3718" s="1" t="s">
        <v>17545</v>
      </c>
      <c r="B3718" s="1">
        <v>6.7</v>
      </c>
    </row>
    <row r="3719" ht="14.25" customHeight="1">
      <c r="A3719" s="1" t="s">
        <v>506</v>
      </c>
      <c r="B3719" s="1">
        <v>7.4</v>
      </c>
    </row>
    <row r="3720" ht="14.25" customHeight="1">
      <c r="A3720" s="1" t="s">
        <v>8101</v>
      </c>
      <c r="B3720" s="1">
        <v>8.0</v>
      </c>
    </row>
    <row r="3721" ht="14.25" customHeight="1">
      <c r="A3721" s="1" t="s">
        <v>1456</v>
      </c>
      <c r="B3721" s="1">
        <v>7.1</v>
      </c>
    </row>
    <row r="3722" ht="14.25" customHeight="1">
      <c r="A3722" s="1" t="s">
        <v>17563</v>
      </c>
      <c r="B3722" s="1">
        <v>7.7</v>
      </c>
    </row>
    <row r="3723" ht="14.25" customHeight="1">
      <c r="A3723" s="1" t="s">
        <v>17571</v>
      </c>
      <c r="B3723" s="1">
        <v>8.5</v>
      </c>
    </row>
    <row r="3724" ht="14.25" customHeight="1">
      <c r="A3724" s="1" t="s">
        <v>17578</v>
      </c>
      <c r="B3724" s="1">
        <v>7.7</v>
      </c>
    </row>
    <row r="3725" ht="14.25" customHeight="1">
      <c r="A3725" s="1" t="s">
        <v>4801</v>
      </c>
      <c r="B3725" s="1">
        <v>6.5</v>
      </c>
    </row>
    <row r="3726" ht="14.25" customHeight="1">
      <c r="A3726" s="1" t="s">
        <v>17589</v>
      </c>
      <c r="B3726" s="1">
        <v>7.0</v>
      </c>
    </row>
    <row r="3727" ht="14.25" customHeight="1">
      <c r="A3727" s="1" t="s">
        <v>17595</v>
      </c>
      <c r="B3727" s="1">
        <v>5.5</v>
      </c>
    </row>
    <row r="3728" ht="14.25" customHeight="1">
      <c r="A3728" s="1" t="s">
        <v>7719</v>
      </c>
      <c r="B3728" s="1">
        <v>6.3</v>
      </c>
    </row>
    <row r="3729" ht="14.25" customHeight="1">
      <c r="A3729" s="1" t="s">
        <v>14087</v>
      </c>
      <c r="B3729" s="1">
        <v>7.9</v>
      </c>
    </row>
    <row r="3730" ht="14.25" customHeight="1">
      <c r="A3730" s="1" t="s">
        <v>17608</v>
      </c>
      <c r="B3730" s="1">
        <v>7.4</v>
      </c>
    </row>
    <row r="3731" ht="14.25" customHeight="1">
      <c r="A3731" s="1" t="s">
        <v>6957</v>
      </c>
      <c r="B3731" s="1">
        <v>7.5</v>
      </c>
    </row>
    <row r="3732" ht="14.25" customHeight="1">
      <c r="A3732" s="1" t="s">
        <v>3607</v>
      </c>
      <c r="B3732" s="1">
        <v>7.5</v>
      </c>
    </row>
    <row r="3733" ht="14.25" customHeight="1">
      <c r="A3733" s="1" t="s">
        <v>16311</v>
      </c>
      <c r="B3733" s="1">
        <v>6.7</v>
      </c>
    </row>
    <row r="3734" ht="14.25" customHeight="1">
      <c r="A3734" s="1" t="s">
        <v>17624</v>
      </c>
      <c r="B3734" s="1">
        <v>4.2</v>
      </c>
    </row>
    <row r="3735" ht="14.25" customHeight="1">
      <c r="A3735" s="1" t="s">
        <v>17631</v>
      </c>
      <c r="B3735" s="1">
        <v>7.0</v>
      </c>
    </row>
    <row r="3736" ht="14.25" customHeight="1">
      <c r="A3736" s="1" t="s">
        <v>17635</v>
      </c>
      <c r="B3736" s="1">
        <v>7.0</v>
      </c>
    </row>
    <row r="3737" ht="14.25" customHeight="1">
      <c r="A3737" s="1" t="s">
        <v>17641</v>
      </c>
      <c r="B3737" s="1">
        <v>6.8</v>
      </c>
    </row>
    <row r="3738" ht="14.25" customHeight="1">
      <c r="A3738" s="1" t="s">
        <v>11568</v>
      </c>
      <c r="B3738" s="1">
        <v>6.6</v>
      </c>
    </row>
    <row r="3739" ht="14.25" customHeight="1">
      <c r="A3739" s="1" t="s">
        <v>1159</v>
      </c>
      <c r="B3739" s="1">
        <v>7.5</v>
      </c>
    </row>
    <row r="3740" ht="14.25" customHeight="1">
      <c r="A3740" s="1" t="s">
        <v>17652</v>
      </c>
      <c r="B3740" s="1">
        <v>5.3</v>
      </c>
    </row>
    <row r="3741" ht="14.25" customHeight="1">
      <c r="A3741" s="1" t="s">
        <v>13347</v>
      </c>
      <c r="B3741" s="1">
        <v>7.3</v>
      </c>
    </row>
    <row r="3742" ht="14.25" customHeight="1">
      <c r="A3742" s="1" t="s">
        <v>17665</v>
      </c>
      <c r="B3742" s="1">
        <v>5.6</v>
      </c>
    </row>
    <row r="3743" ht="14.25" customHeight="1">
      <c r="A3743" s="1" t="s">
        <v>17671</v>
      </c>
      <c r="B3743" s="1">
        <v>5.6</v>
      </c>
    </row>
    <row r="3744" ht="14.25" customHeight="1">
      <c r="A3744" s="1" t="s">
        <v>15729</v>
      </c>
      <c r="B3744" s="1">
        <v>6.6</v>
      </c>
    </row>
    <row r="3745" ht="14.25" customHeight="1">
      <c r="A3745" s="1" t="s">
        <v>16992</v>
      </c>
      <c r="B3745" s="1">
        <v>6.3</v>
      </c>
    </row>
    <row r="3746" ht="14.25" customHeight="1">
      <c r="A3746" s="1" t="s">
        <v>5119</v>
      </c>
      <c r="B3746" s="1">
        <v>7.5</v>
      </c>
    </row>
    <row r="3747" ht="14.25" customHeight="1">
      <c r="A3747" s="1" t="s">
        <v>17688</v>
      </c>
      <c r="B3747" s="1">
        <v>7.6</v>
      </c>
    </row>
    <row r="3748" ht="14.25" customHeight="1">
      <c r="A3748" s="1" t="s">
        <v>6697</v>
      </c>
      <c r="B3748" s="1">
        <v>7.8</v>
      </c>
    </row>
    <row r="3749" ht="14.25" customHeight="1">
      <c r="A3749" s="1" t="s">
        <v>9311</v>
      </c>
      <c r="B3749" s="1">
        <v>7.3</v>
      </c>
    </row>
    <row r="3750" ht="14.25" customHeight="1">
      <c r="A3750" s="1" t="s">
        <v>492</v>
      </c>
      <c r="B3750" s="1">
        <v>5.7</v>
      </c>
    </row>
    <row r="3751" ht="14.25" customHeight="1">
      <c r="A3751" s="1" t="s">
        <v>8489</v>
      </c>
      <c r="B3751" s="1">
        <v>7.1</v>
      </c>
    </row>
    <row r="3752" ht="14.25" customHeight="1">
      <c r="A3752" s="1" t="s">
        <v>12358</v>
      </c>
      <c r="B3752" s="1">
        <v>6.1</v>
      </c>
    </row>
    <row r="3753" ht="14.25" customHeight="1">
      <c r="A3753" s="1" t="s">
        <v>12388</v>
      </c>
      <c r="B3753" s="1">
        <v>6.9</v>
      </c>
    </row>
    <row r="3754" ht="14.25" customHeight="1">
      <c r="A3754" s="1" t="s">
        <v>17719</v>
      </c>
      <c r="B3754" s="1">
        <v>7.5</v>
      </c>
    </row>
    <row r="3755" ht="14.25" customHeight="1">
      <c r="A3755" s="1" t="s">
        <v>17726</v>
      </c>
      <c r="B3755" s="1">
        <v>7.0</v>
      </c>
    </row>
    <row r="3756" ht="14.25" customHeight="1">
      <c r="A3756" s="1" t="s">
        <v>4632</v>
      </c>
      <c r="B3756" s="1">
        <v>6.9</v>
      </c>
    </row>
    <row r="3757" ht="14.25" customHeight="1">
      <c r="A3757" s="1" t="s">
        <v>17188</v>
      </c>
      <c r="B3757" s="1">
        <v>6.6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8.71"/>
    <col customWidth="1" min="3" max="3" width="18.29"/>
    <col customWidth="1" min="4" max="4" width="28.57"/>
    <col customWidth="1" min="5" max="5" width="21.29"/>
    <col customWidth="1" min="6" max="6" width="17.86"/>
    <col customWidth="1" min="7" max="7" width="21.14"/>
    <col customWidth="1" min="8" max="8" width="16.43"/>
  </cols>
  <sheetData>
    <row r="1" ht="14.25" customHeight="1">
      <c r="A1" s="1" t="s">
        <v>2</v>
      </c>
      <c r="B1" s="1" t="s">
        <v>17786</v>
      </c>
      <c r="C1" s="1" t="s">
        <v>25</v>
      </c>
    </row>
    <row r="2" ht="14.25" customHeight="1">
      <c r="A2" s="1" t="s">
        <v>28</v>
      </c>
      <c r="B2" s="1" t="s">
        <v>35</v>
      </c>
      <c r="C2" s="1">
        <v>7.9</v>
      </c>
      <c r="D2" s="1" t="s">
        <v>17787</v>
      </c>
      <c r="E2" s="1" t="s">
        <v>17788</v>
      </c>
      <c r="F2" s="6" t="s">
        <v>17789</v>
      </c>
      <c r="G2" s="1" t="s">
        <v>17790</v>
      </c>
      <c r="H2" s="1" t="s">
        <v>17791</v>
      </c>
    </row>
    <row r="3" ht="14.25" customHeight="1">
      <c r="A3" s="1" t="s">
        <v>39</v>
      </c>
      <c r="B3" s="1" t="s">
        <v>35</v>
      </c>
      <c r="C3" s="1">
        <v>7.1</v>
      </c>
      <c r="D3" s="1" t="s">
        <v>35</v>
      </c>
      <c r="E3" s="7">
        <f>COUNTIF(B2:B3757,"English")</f>
        <v>3598</v>
      </c>
      <c r="F3" s="1">
        <f t="array" ref="F3">AVERAGEIF($B$2:$B$3757, "English", $C$2:$C$3757)</f>
        <v>6.427042802</v>
      </c>
      <c r="G3" s="1">
        <f t="array" ref="G3">MEDIAN(IF($B$2:$B$3757="English", $C$2:$C$3757))</f>
        <v>6.5</v>
      </c>
      <c r="H3" s="1">
        <f t="array" ref="H3">_xlfn.STDEV.P(IF($B$2:$B$3757="English", $C$2:$C$3757))</f>
        <v>1.050392173</v>
      </c>
    </row>
    <row r="4" ht="14.25" customHeight="1">
      <c r="A4" s="1" t="s">
        <v>47</v>
      </c>
      <c r="B4" s="1" t="s">
        <v>35</v>
      </c>
      <c r="C4" s="1">
        <v>6.8</v>
      </c>
      <c r="D4" s="1" t="s">
        <v>1864</v>
      </c>
      <c r="E4" s="1">
        <f>COUNTIF(B2:B757, "*Mandarin*")</f>
        <v>2</v>
      </c>
      <c r="F4" s="1">
        <f t="array" ref="F4">AVERAGEIF($B$2:$B$3757, "Mandarin", $C$2:$C$3757)</f>
        <v>7.08</v>
      </c>
      <c r="G4" s="1">
        <f t="array" ref="G4">MEDIAN(IF($B$2:$B$3757="Mandarin", $C$2:$C$3757))</f>
        <v>7.4</v>
      </c>
      <c r="H4" s="1">
        <f t="array" ref="H4">_xlfn.STDEV.P(IF($B$2:$B$3757="Mandarin", $C$2:$C$3757))</f>
        <v>0.7458328678</v>
      </c>
    </row>
    <row r="5" ht="14.25" customHeight="1">
      <c r="A5" s="1" t="s">
        <v>56</v>
      </c>
      <c r="B5" s="1" t="s">
        <v>35</v>
      </c>
      <c r="C5" s="1">
        <v>8.5</v>
      </c>
      <c r="D5" s="1" t="s">
        <v>7281</v>
      </c>
      <c r="E5" s="1">
        <f>COUNTIF(B2:B3757, "*Japanese*")</f>
        <v>10</v>
      </c>
      <c r="F5" s="1">
        <f>AVERAGEIF($B$2:$B$3757, "Japanese", $C$2:$C$3757)</f>
        <v>7.66</v>
      </c>
      <c r="G5" s="1">
        <f t="array" ref="G5">MEDIAN(IF($B$2:$B$3757="Japanese", $C$2:$C$3757))</f>
        <v>8</v>
      </c>
      <c r="H5" s="1">
        <f t="array" ref="H5">_xlfn.STDEV.P(IF($B$2:$B$3757="Japanese", $C$2:$C$3757))</f>
        <v>0.9393614853</v>
      </c>
    </row>
    <row r="6" ht="14.25" customHeight="1">
      <c r="A6" s="1" t="s">
        <v>64</v>
      </c>
      <c r="B6" s="1" t="s">
        <v>35</v>
      </c>
      <c r="C6" s="1">
        <v>6.6</v>
      </c>
      <c r="D6" s="1" t="s">
        <v>9061</v>
      </c>
      <c r="E6" s="1">
        <f>COUNTIF(B2:B3757, "*Italian*")</f>
        <v>7</v>
      </c>
      <c r="F6" s="1">
        <f>AVERAGEIF($B$2:$B$3757, "Italian", $C$2:$C$3757)</f>
        <v>7.185714286</v>
      </c>
      <c r="G6" s="1">
        <f t="array" ref="G6">MEDIAN(IF($B$2:$B$3757="Italian", $C$2:$C$3757))</f>
        <v>7</v>
      </c>
      <c r="H6" s="1">
        <f t="array" ref="H6">_xlfn.STDEV.P(IF($B$2:$B$3757="Italian", $C$2:$C$3757))</f>
        <v>1.069617517</v>
      </c>
    </row>
    <row r="7" ht="14.25" customHeight="1">
      <c r="A7" s="1" t="s">
        <v>72</v>
      </c>
      <c r="B7" s="1" t="s">
        <v>35</v>
      </c>
      <c r="C7" s="1">
        <v>6.2</v>
      </c>
      <c r="D7" s="1" t="s">
        <v>12540</v>
      </c>
      <c r="E7" s="1">
        <f>COUNTIF(B2:B3757, "*Korean*")</f>
        <v>5</v>
      </c>
      <c r="F7" s="1">
        <f>AVERAGEIF($B$2:$B$3757, "Korean", $C$2:$C$3757)</f>
        <v>7.7</v>
      </c>
      <c r="G7" s="1">
        <f t="array" ref="G7">MEDIAN(IF($B$2:$B$3757="Korean", $C$2:$C$3757))</f>
        <v>7.7</v>
      </c>
      <c r="H7" s="1">
        <f t="array" ref="H7">_xlfn.STDEV.P(IF($B$2:$B$3757="Korean", $C$2:$C$3757))</f>
        <v>0.5099019514</v>
      </c>
    </row>
    <row r="8" ht="14.25" customHeight="1">
      <c r="A8" s="1" t="s">
        <v>80</v>
      </c>
      <c r="B8" s="1" t="s">
        <v>35</v>
      </c>
      <c r="C8" s="1">
        <v>7.8</v>
      </c>
      <c r="D8" s="1" t="s">
        <v>13092</v>
      </c>
      <c r="E8" s="1">
        <f>COUNTIF(B2:B3757, "*Hindi*")</f>
        <v>5</v>
      </c>
      <c r="F8" s="1">
        <f>AVERAGEIF($B$2:$B$3757, "Hindi", $C$2:$C$3757)</f>
        <v>7.22</v>
      </c>
      <c r="G8" s="1">
        <f t="array" ref="G8">MEDIAN(IF($B$2:$B$3757="Hindi", $C$2:$C$3757))</f>
        <v>7.4</v>
      </c>
      <c r="H8" s="1">
        <f t="array" ref="H8">_xlfn.STDEV.P(IF($B$2:$B$3757="Hindi", $C$2:$C$3757))</f>
        <v>0.7166589147</v>
      </c>
    </row>
    <row r="9" ht="14.25" customHeight="1">
      <c r="A9" s="1" t="s">
        <v>89</v>
      </c>
      <c r="B9" s="1" t="s">
        <v>35</v>
      </c>
      <c r="C9" s="1">
        <v>7.5</v>
      </c>
      <c r="D9" s="1" t="s">
        <v>15988</v>
      </c>
      <c r="E9" s="1">
        <f>COUNTIF(B2:B3757, "*Zulu*")</f>
        <v>1</v>
      </c>
      <c r="F9" s="1">
        <f>AVERAGEIF($B$2:$B$3757, "Dari", $C$2:$C$3757)</f>
        <v>7.5</v>
      </c>
      <c r="G9" s="1">
        <f t="array" ref="G9">MEDIAN(IF($B$2:$B$3757="Zulu", $C$2:$C$3757))</f>
        <v>7.3</v>
      </c>
      <c r="H9" s="1">
        <f t="array" ref="H9">_xlfn.STDEV.P(IF($B$2:$B$3757="Zulu", $C$2:$C$3757))</f>
        <v>0</v>
      </c>
    </row>
    <row r="10" ht="14.25" customHeight="1">
      <c r="A10" s="1" t="s">
        <v>96</v>
      </c>
      <c r="B10" s="1" t="s">
        <v>35</v>
      </c>
      <c r="C10" s="1">
        <v>7.5</v>
      </c>
      <c r="D10" s="1" t="s">
        <v>10189</v>
      </c>
      <c r="E10" s="1">
        <f>COUNTIF(B2:B3757, "*Dari*")</f>
        <v>17</v>
      </c>
      <c r="F10" s="1">
        <f t="shared" ref="F10:F11" si="1">AVERAGEIF($B$2:$B$3757, "Dutch", $C$2:$C$3757)</f>
        <v>7.566666667</v>
      </c>
      <c r="G10" s="1">
        <f t="array" ref="G10">MEDIAN(IF($B$2:$B$3757="Dari", $C$2:$C$3757))</f>
        <v>7.5</v>
      </c>
      <c r="H10" s="1">
        <f t="array" ref="H10">_xlfn.STDEV.P(IF($B$2:$B$3757="Dari", $C$2:$C$3757))</f>
        <v>0.1</v>
      </c>
    </row>
    <row r="11" ht="14.25" customHeight="1">
      <c r="A11" s="1" t="s">
        <v>104</v>
      </c>
      <c r="B11" s="1" t="s">
        <v>35</v>
      </c>
      <c r="C11" s="1">
        <v>6.9</v>
      </c>
      <c r="D11" s="1" t="s">
        <v>9646</v>
      </c>
      <c r="E11" s="1">
        <f>COUNTIF(B2:B3757, "*Dutch*")</f>
        <v>3</v>
      </c>
      <c r="F11" s="1">
        <f t="shared" si="1"/>
        <v>7.566666667</v>
      </c>
      <c r="G11" s="1">
        <f t="array" ref="G11">MEDIAN(IF($B$2:$B$3757="Dutch", $C$2:$C$3757))</f>
        <v>7.8</v>
      </c>
      <c r="H11" s="1">
        <f t="array" ref="H11">_xlfn.STDEV.P(IF($B$2:$B$3757="Dutch", $C$2:$C$3757))</f>
        <v>0.3299831646</v>
      </c>
    </row>
    <row r="12" ht="14.25" customHeight="1">
      <c r="A12" s="1" t="s">
        <v>111</v>
      </c>
      <c r="B12" s="1" t="s">
        <v>35</v>
      </c>
      <c r="C12" s="1">
        <v>6.1</v>
      </c>
      <c r="D12" s="1" t="s">
        <v>14505</v>
      </c>
      <c r="E12" s="1">
        <f>COUNTIF(B2:B3757, "*Portuguese*")</f>
        <v>5</v>
      </c>
      <c r="F12" s="1">
        <f>AVERAGEIF($B$2:$B$3757, "Portuguese", $C$2:$C$3757)</f>
        <v>7.76</v>
      </c>
      <c r="G12" s="1">
        <f t="array" ref="G12">MEDIAN(IF($B$2:$B$3757="Portuguese", $C$2:$C$3757))</f>
        <v>8</v>
      </c>
      <c r="H12" s="1">
        <f t="array" ref="H12">_xlfn.STDEV.P(IF($B$2:$B$3757="Portuguese", $C$2:$C$3757))</f>
        <v>0.8754427451</v>
      </c>
    </row>
    <row r="13" ht="14.25" customHeight="1">
      <c r="A13" s="1" t="s">
        <v>118</v>
      </c>
      <c r="B13" s="1" t="s">
        <v>35</v>
      </c>
      <c r="C13" s="1">
        <v>6.7</v>
      </c>
      <c r="D13" s="1" t="s">
        <v>17792</v>
      </c>
      <c r="E13" s="1">
        <f>COUNTIF(B2:B3757, "*aboriginal*")</f>
        <v>2</v>
      </c>
      <c r="F13" s="1">
        <f>AVERAGEIF($B$2:$B$3757, "aboriginal", $C$2:$C$3757)</f>
        <v>6.95</v>
      </c>
      <c r="G13" s="1">
        <f t="array" ref="G13">MEDIAN(IF($B$2:$B$3757="aboriginal", $C$2:$C$3757))</f>
        <v>6.95</v>
      </c>
      <c r="H13" s="1">
        <f t="array" ref="H13">_xlfn.STDEV.P(IF($B$2:$B$3757="aboriginal", $C$2:$C$3757))</f>
        <v>0.55</v>
      </c>
    </row>
    <row r="14" ht="14.25" customHeight="1">
      <c r="A14" s="1" t="s">
        <v>124</v>
      </c>
      <c r="B14" s="1" t="s">
        <v>35</v>
      </c>
      <c r="C14" s="1">
        <v>7.3</v>
      </c>
      <c r="D14" s="1" t="s">
        <v>6078</v>
      </c>
      <c r="E14" s="1">
        <f>COUNTIF(B2:B3757, "*Maya*")</f>
        <v>1</v>
      </c>
      <c r="F14" s="1">
        <f>AVERAGEIF($B$2:$B$3757, "Maya", $C$2:$C$3757)</f>
        <v>7.8</v>
      </c>
      <c r="G14" s="1">
        <f t="array" ref="G14">MEDIAN(IF($B$2:$B$3757="Maya", $C$2:$C$3757))</f>
        <v>7.8</v>
      </c>
      <c r="H14" s="1">
        <f t="array" ref="H14">_xlfn.STDEV.P(IF($B$2:$B$3757="Maya", $C$2:$C$3757))</f>
        <v>0</v>
      </c>
    </row>
    <row r="15" ht="14.25" customHeight="1">
      <c r="A15" s="1" t="s">
        <v>127</v>
      </c>
      <c r="B15" s="1" t="s">
        <v>35</v>
      </c>
      <c r="C15" s="1">
        <v>6.5</v>
      </c>
      <c r="D15" s="1" t="s">
        <v>2752</v>
      </c>
      <c r="E15" s="1">
        <f>COUNTIF(B2:B3757, "*French*")</f>
        <v>34</v>
      </c>
      <c r="F15" s="1">
        <f>AVERAGEIF($B$2:$B$3757, "French", $C$2:$C$3757)</f>
        <v>7.355882353</v>
      </c>
      <c r="G15" s="1">
        <f t="array" ref="G15">MEDIAN(IF($B$2:$B$3757="French", $C$2:$C$3757))</f>
        <v>7.3</v>
      </c>
      <c r="H15" s="1">
        <f t="array" ref="H15">_xlfn.STDEV.P(IF($B$2:$B$3757="French", $C$2:$C$3757))</f>
        <v>0.5117393503</v>
      </c>
    </row>
    <row r="16" ht="14.25" customHeight="1">
      <c r="A16" s="1" t="s">
        <v>133</v>
      </c>
      <c r="B16" s="1" t="s">
        <v>35</v>
      </c>
      <c r="C16" s="1">
        <v>7.2</v>
      </c>
      <c r="D16" s="1" t="s">
        <v>6491</v>
      </c>
      <c r="E16" s="1">
        <f>COUNTIF(B2:B3757, "*Kazakh*")</f>
        <v>1</v>
      </c>
      <c r="F16" s="1">
        <f>AVERAGEIF($B$2:$B$3757, "kazakh", $C$2:$C$3757)</f>
        <v>6</v>
      </c>
      <c r="G16" s="1">
        <f t="array" ref="G16">MEDIAN(IF($B$2:$B$3757="Kazakh", $C$2:$C$3757))</f>
        <v>6</v>
      </c>
      <c r="H16" s="1">
        <f t="array" ref="H16">_xlfn.STDEV.P(IF($B$2:$B$3757="kazakh", $C$2:$C$3757))</f>
        <v>0</v>
      </c>
    </row>
    <row r="17" ht="14.25" customHeight="1">
      <c r="A17" s="1" t="s">
        <v>139</v>
      </c>
      <c r="B17" s="1" t="s">
        <v>35</v>
      </c>
      <c r="C17" s="1">
        <v>6.6</v>
      </c>
      <c r="D17" s="1" t="s">
        <v>6797</v>
      </c>
      <c r="E17" s="1">
        <f>COUNTIF(B2:B3757, "*Cantonese*")</f>
        <v>7</v>
      </c>
      <c r="F17" s="1">
        <f>AVERAGEIF($B$2:$B$3757, "Cantonese", $C$2:$C$3757)</f>
        <v>7.342857143</v>
      </c>
      <c r="G17" s="1">
        <f t="array" ref="G17">MEDIAN(IF($B$2:$B$3757="Cantonese", $C$2:$C$3757))</f>
        <v>7.3</v>
      </c>
      <c r="H17" s="1">
        <f t="array" ref="H17">_xlfn.STDEV.P(IF($B$2:$B$3757="Cantonese", $C$2:$C$3757))</f>
        <v>0.3245090483</v>
      </c>
    </row>
    <row r="18" ht="14.25" customHeight="1">
      <c r="A18" s="1" t="s">
        <v>146</v>
      </c>
      <c r="B18" s="1" t="s">
        <v>35</v>
      </c>
      <c r="C18" s="1">
        <v>8.1</v>
      </c>
      <c r="D18" s="1" t="s">
        <v>8683</v>
      </c>
      <c r="E18" s="1">
        <f>COUNTIF(B2:B3757, "*Aramaic*")</f>
        <v>1</v>
      </c>
      <c r="F18" s="1">
        <f>AVERAGEIF($B$2:$B$3757, "Aramaic", $C$2:$C$3757)</f>
        <v>7.1</v>
      </c>
      <c r="G18" s="1">
        <f t="array" ref="G18">MEDIAN(IF($B$2:$B$3757="Aramaic", $C$2:$C$3757))</f>
        <v>7.1</v>
      </c>
      <c r="H18" s="1">
        <f t="array" ref="H18">_xlfn.STDEV.P(IF($B$2:$B$3757="Aramaic", $C$2:$C$3757))</f>
        <v>0</v>
      </c>
    </row>
    <row r="19" ht="14.25" customHeight="1">
      <c r="A19" s="1" t="s">
        <v>150</v>
      </c>
      <c r="B19" s="1" t="s">
        <v>35</v>
      </c>
      <c r="C19" s="1">
        <v>6.7</v>
      </c>
      <c r="D19" s="1" t="s">
        <v>11946</v>
      </c>
      <c r="E19" s="1">
        <f>COUNTIF(B2:B3757, "*Thai*")</f>
        <v>3</v>
      </c>
      <c r="F19" s="1">
        <f>AVERAGEIF($B$2:$B$3757, "Thai", $C$2:$C$3757)</f>
        <v>6.633333333</v>
      </c>
      <c r="G19" s="1">
        <f t="array" ref="G19">MEDIAN(IF($B$2:$B$3757="Thai", $C$2:$C$3757))</f>
        <v>6.6</v>
      </c>
      <c r="H19" s="1">
        <f t="array" ref="H19">_xlfn.STDEV.P(IF($B$2:$B$3757="Thai", $C$2:$C$3757))</f>
        <v>0.3681787006</v>
      </c>
    </row>
    <row r="20" ht="14.25" customHeight="1">
      <c r="A20" s="1" t="s">
        <v>156</v>
      </c>
      <c r="B20" s="1" t="s">
        <v>35</v>
      </c>
      <c r="C20" s="1">
        <v>6.8</v>
      </c>
      <c r="D20" s="1" t="s">
        <v>12450</v>
      </c>
      <c r="E20" s="1">
        <f>COUNTIF(B2:B3757, "*Bosnian*")</f>
        <v>1</v>
      </c>
      <c r="F20" s="1">
        <f>AVERAGEIF($B$2:$B$3757, "Bosnian", $C$2:$C$3757)</f>
        <v>4.3</v>
      </c>
      <c r="G20" s="1">
        <f t="array" ref="G20">MEDIAN(IF($B$2:$B$3757="Bosnian", $C$2:$C$3757))</f>
        <v>4.3</v>
      </c>
      <c r="H20" s="1">
        <f t="array" ref="H20">_xlfn.STDEV.P(IF($B$2:$B$3757="Bosnian", $C$2:$C$3757))</f>
        <v>0</v>
      </c>
    </row>
    <row r="21" ht="14.25" customHeight="1">
      <c r="A21" s="1" t="s">
        <v>164</v>
      </c>
      <c r="B21" s="1" t="s">
        <v>35</v>
      </c>
      <c r="C21" s="1">
        <v>7.5</v>
      </c>
      <c r="D21" s="1" t="s">
        <v>12888</v>
      </c>
      <c r="E21" s="1">
        <f>COUNTIF(B2:B3757, "*Hungarian*")</f>
        <v>1</v>
      </c>
      <c r="F21" s="1">
        <f>AVERAGEIF($B$2:$B$3757, "Hungarian", $C$2:$C$3757)</f>
        <v>7.1</v>
      </c>
      <c r="G21" s="1">
        <f t="array" ref="G21">MEDIAN(IF($B$2:$B$3757="Hungarian", $C$2:$C$3757))</f>
        <v>7.1</v>
      </c>
      <c r="H21" s="1">
        <f t="array" ref="H21">_xlfn.STDEV.P(IF($B$2:$B$3757="Hungarian", $C$2:$C$3757))</f>
        <v>0</v>
      </c>
    </row>
    <row r="22" ht="14.25" customHeight="1">
      <c r="A22" s="1" t="s">
        <v>173</v>
      </c>
      <c r="B22" s="1" t="s">
        <v>35</v>
      </c>
      <c r="C22" s="1">
        <v>7.0</v>
      </c>
      <c r="D22" s="1" t="s">
        <v>17049</v>
      </c>
      <c r="E22" s="1">
        <f>COUNTIF(B2:B3757, "*Romanian*")</f>
        <v>1</v>
      </c>
      <c r="F22" s="1">
        <f>AVERAGEIF($B$2:$B$3757, "Romanian", $C$2:$C$3757)</f>
        <v>7.9</v>
      </c>
      <c r="G22" s="1">
        <f t="array" ref="G22">MEDIAN(IF($B$2:$B$3757="Romanian", $C$2:$C$3757))</f>
        <v>7.9</v>
      </c>
      <c r="H22" s="1">
        <f t="array" ref="H22">_xlfn.STDEV.P(IF($B$2:$B$3757="Romanian", $C$2:$C$3757))</f>
        <v>0</v>
      </c>
    </row>
    <row r="23" ht="14.25" customHeight="1">
      <c r="A23" s="1" t="s">
        <v>180</v>
      </c>
      <c r="B23" s="1" t="s">
        <v>35</v>
      </c>
      <c r="C23" s="1">
        <v>6.7</v>
      </c>
      <c r="D23" s="1" t="s">
        <v>16810</v>
      </c>
      <c r="E23" s="1">
        <f>COUNTIF(B2:B3757, "*Indonesian*")</f>
        <v>2</v>
      </c>
      <c r="F23" s="1">
        <f>AVERAGEIF($B$2:$B$3757, "Indonesian", $C$2:$C$3757)</f>
        <v>7.9</v>
      </c>
      <c r="G23" s="1">
        <f t="array" ref="G23">MEDIAN(IF($B$2:$B$3757="Indonesian", $C$2:$C$3757))</f>
        <v>7.9</v>
      </c>
      <c r="H23" s="1">
        <f t="array" ref="H23">_xlfn.STDEV.P(IF($B$2:$B$3757="Indonesian", $C$2:$C$3757))</f>
        <v>0.3</v>
      </c>
    </row>
    <row r="24" ht="14.25" customHeight="1">
      <c r="A24" s="1" t="s">
        <v>187</v>
      </c>
      <c r="B24" s="1" t="s">
        <v>35</v>
      </c>
      <c r="C24" s="1">
        <v>7.9</v>
      </c>
      <c r="D24" s="1" t="s">
        <v>16713</v>
      </c>
      <c r="E24" s="1">
        <f>COUNTIF(B2:B3757, "*Vietnamese*")</f>
        <v>1</v>
      </c>
      <c r="F24" s="1">
        <f>AVERAGEIF($B$2:$B$3757, "Vietnamese", $C$2:$C$3757)</f>
        <v>7.4</v>
      </c>
      <c r="G24" s="1">
        <f t="array" ref="G24">MEDIAN(IF($B$2:$B$3757="Vietnamese", $C$2:$C$3757))</f>
        <v>7.4</v>
      </c>
      <c r="H24" s="1">
        <f t="array" ref="H24">_xlfn.STDEV.P(IF($B$2:$B$3757="Vietnamese", $C$2:$C$3757))</f>
        <v>0</v>
      </c>
    </row>
    <row r="25" ht="14.25" customHeight="1">
      <c r="A25" s="1" t="s">
        <v>191</v>
      </c>
      <c r="B25" s="1" t="s">
        <v>35</v>
      </c>
      <c r="C25" s="1">
        <v>6.1</v>
      </c>
      <c r="D25" s="1" t="s">
        <v>15312</v>
      </c>
      <c r="E25" s="1">
        <f>COUNTIF(B2:B3757, "*Czech*")</f>
        <v>1</v>
      </c>
      <c r="F25" s="1">
        <f>AVERAGEIF($B$2:$B$3757, "Czech", $C$2:$C$3757)</f>
        <v>7.4</v>
      </c>
      <c r="G25" s="1">
        <f t="array" ref="G25">MEDIAN(IF($B$2:$B$3757="Czech", $C$2:$C$3757))</f>
        <v>7.4</v>
      </c>
      <c r="H25" s="1">
        <f t="array" ref="H25">_xlfn.STDEV.P(IF($B$2:$B$3757="Czech", $C$2:$C$3757))</f>
        <v>0</v>
      </c>
    </row>
    <row r="26" ht="14.25" customHeight="1">
      <c r="A26" s="1" t="s">
        <v>198</v>
      </c>
      <c r="B26" s="1" t="s">
        <v>35</v>
      </c>
      <c r="C26" s="1">
        <v>7.2</v>
      </c>
      <c r="D26" s="1" t="s">
        <v>14952</v>
      </c>
      <c r="E26" s="1">
        <f>COUNTIF(B2:B3757, "*Norwegian*")</f>
        <v>4</v>
      </c>
      <c r="F26" s="1">
        <f>AVERAGEIF($B$2:$B$3757, "Norwegian", $C$2:$C$3757)</f>
        <v>7.15</v>
      </c>
      <c r="G26" s="1">
        <f t="array" ref="G26">MEDIAN(IF($B$2:$B$3757="Norwegian", $C$2:$C$3757))</f>
        <v>7.3</v>
      </c>
      <c r="H26" s="1">
        <f t="array" ref="H26">_xlfn.STDEV.P(IF($B$2:$B$3757="Norwegian", $C$2:$C$3757))</f>
        <v>0.4974937186</v>
      </c>
    </row>
    <row r="27" ht="14.25" customHeight="1">
      <c r="A27" s="1" t="s">
        <v>205</v>
      </c>
      <c r="B27" s="1" t="s">
        <v>35</v>
      </c>
      <c r="C27" s="1">
        <v>7.7</v>
      </c>
      <c r="D27" s="1" t="s">
        <v>10899</v>
      </c>
      <c r="E27" s="1">
        <f>COUNTIF(B2:B3757, "*Mongolian*")</f>
        <v>1</v>
      </c>
      <c r="F27" s="1">
        <f>AVERAGEIF($B$2:$B$3757, "Mongolian", $C$2:$C$3757)</f>
        <v>7.3</v>
      </c>
      <c r="G27" s="1">
        <f t="array" ref="G27">MEDIAN(IF($B$2:$B$3757="Mongolian", $C$2:$C$3757))</f>
        <v>7.3</v>
      </c>
      <c r="H27" s="1">
        <f t="array" ref="H27">_xlfn.STDEV.P(IF($B$2:$B$3757="Mongolian", $C$2:$C$3757))</f>
        <v>0</v>
      </c>
    </row>
    <row r="28" ht="14.25" customHeight="1">
      <c r="A28" s="1" t="s">
        <v>213</v>
      </c>
      <c r="B28" s="1" t="s">
        <v>35</v>
      </c>
      <c r="C28" s="1">
        <v>8.2</v>
      </c>
      <c r="D28" s="1" t="s">
        <v>2648</v>
      </c>
      <c r="E28" s="1">
        <f>COUNTIF(B2:B3757, "*Spanish*")</f>
        <v>23</v>
      </c>
      <c r="F28" s="1">
        <f>AVERAGEIF($B$2:$B$3757, "Spanish", $C$2:$C$3757)</f>
        <v>7.082608696</v>
      </c>
      <c r="G28" s="1">
        <f t="array" ref="G28">MEDIAN(IF($B$2:$B$3757="Spanish", $C$2:$C$3757))</f>
        <v>7.2</v>
      </c>
      <c r="H28" s="1">
        <f t="array" ref="H28">_xlfn.STDEV.P(IF($B$2:$B$3757="Spanish", $C$2:$C$3757))</f>
        <v>0.8416609737</v>
      </c>
    </row>
    <row r="29" ht="14.25" customHeight="1">
      <c r="A29" s="1" t="s">
        <v>218</v>
      </c>
      <c r="B29" s="1" t="s">
        <v>35</v>
      </c>
      <c r="C29" s="1">
        <v>5.9</v>
      </c>
      <c r="D29" s="1" t="s">
        <v>15577</v>
      </c>
      <c r="E29" s="1">
        <f>COUNTIF(B2:B3757, "*None*")</f>
        <v>1</v>
      </c>
      <c r="F29" s="1">
        <f>AVERAGEIF($B$2:$B$3757, "None", $C$2:$C$3757)</f>
        <v>8.5</v>
      </c>
      <c r="G29" s="1">
        <f t="array" ref="G29">MEDIAN(IF($B$2:$B$3757="None", $C$2:$C$3757))</f>
        <v>8.5</v>
      </c>
      <c r="H29" s="1">
        <f t="array" ref="H29">_xlfn.STDEV.P(IF($B$2:$B$3757="None", $C$2:$C$3757))</f>
        <v>0</v>
      </c>
    </row>
    <row r="30" ht="14.25" customHeight="1">
      <c r="A30" s="1" t="s">
        <v>226</v>
      </c>
      <c r="B30" s="1" t="s">
        <v>35</v>
      </c>
      <c r="C30" s="1">
        <v>7.0</v>
      </c>
    </row>
    <row r="31" ht="14.25" customHeight="1">
      <c r="A31" s="1" t="s">
        <v>232</v>
      </c>
      <c r="B31" s="1" t="s">
        <v>35</v>
      </c>
      <c r="C31" s="1">
        <v>7.8</v>
      </c>
    </row>
    <row r="32" ht="14.25" customHeight="1">
      <c r="A32" s="1" t="s">
        <v>237</v>
      </c>
      <c r="B32" s="1" t="s">
        <v>35</v>
      </c>
      <c r="C32" s="1">
        <v>7.3</v>
      </c>
    </row>
    <row r="33" ht="14.25" customHeight="1">
      <c r="A33" s="1" t="s">
        <v>242</v>
      </c>
      <c r="B33" s="1" t="s">
        <v>35</v>
      </c>
      <c r="C33" s="1">
        <v>7.2</v>
      </c>
    </row>
    <row r="34" ht="14.25" customHeight="1">
      <c r="A34" s="1" t="s">
        <v>248</v>
      </c>
      <c r="B34" s="1" t="s">
        <v>35</v>
      </c>
      <c r="C34" s="1">
        <v>6.5</v>
      </c>
    </row>
    <row r="35" ht="14.25" customHeight="1">
      <c r="A35" s="1" t="s">
        <v>253</v>
      </c>
      <c r="B35" s="1" t="s">
        <v>35</v>
      </c>
      <c r="C35" s="1">
        <v>6.8</v>
      </c>
    </row>
    <row r="36" ht="14.25" customHeight="1">
      <c r="A36" s="1" t="s">
        <v>262</v>
      </c>
      <c r="B36" s="1" t="s">
        <v>35</v>
      </c>
      <c r="C36" s="1">
        <v>7.3</v>
      </c>
    </row>
    <row r="37" ht="14.25" customHeight="1">
      <c r="A37" s="1" t="s">
        <v>271</v>
      </c>
      <c r="B37" s="1" t="s">
        <v>35</v>
      </c>
      <c r="C37" s="1">
        <v>6.0</v>
      </c>
    </row>
    <row r="38" ht="14.25" customHeight="1">
      <c r="A38" s="1" t="s">
        <v>277</v>
      </c>
      <c r="B38" s="1" t="s">
        <v>35</v>
      </c>
      <c r="C38" s="1">
        <v>5.7</v>
      </c>
    </row>
    <row r="39" ht="14.25" customHeight="1">
      <c r="A39" s="1" t="s">
        <v>282</v>
      </c>
      <c r="B39" s="1" t="s">
        <v>35</v>
      </c>
      <c r="C39" s="1">
        <v>6.4</v>
      </c>
    </row>
    <row r="40" ht="14.25" customHeight="1">
      <c r="A40" s="1" t="s">
        <v>287</v>
      </c>
      <c r="B40" s="1" t="s">
        <v>35</v>
      </c>
      <c r="C40" s="1">
        <v>6.7</v>
      </c>
    </row>
    <row r="41" ht="14.25" customHeight="1">
      <c r="A41" s="1" t="s">
        <v>292</v>
      </c>
      <c r="B41" s="1" t="s">
        <v>35</v>
      </c>
      <c r="C41" s="1">
        <v>6.8</v>
      </c>
    </row>
    <row r="42" ht="14.25" customHeight="1">
      <c r="A42" s="1" t="s">
        <v>299</v>
      </c>
      <c r="B42" s="1" t="s">
        <v>35</v>
      </c>
      <c r="C42" s="1">
        <v>6.3</v>
      </c>
    </row>
    <row r="43" ht="14.25" customHeight="1">
      <c r="A43" s="1" t="s">
        <v>306</v>
      </c>
      <c r="B43" s="1" t="s">
        <v>35</v>
      </c>
      <c r="C43" s="1">
        <v>5.6</v>
      </c>
    </row>
    <row r="44" ht="14.25" customHeight="1">
      <c r="A44" s="1" t="s">
        <v>313</v>
      </c>
      <c r="B44" s="1" t="s">
        <v>35</v>
      </c>
      <c r="C44" s="1">
        <v>8.3</v>
      </c>
    </row>
    <row r="45" ht="14.25" customHeight="1">
      <c r="A45" s="1" t="s">
        <v>320</v>
      </c>
      <c r="B45" s="1" t="s">
        <v>35</v>
      </c>
      <c r="C45" s="1">
        <v>6.6</v>
      </c>
    </row>
    <row r="46" ht="14.25" customHeight="1">
      <c r="A46" s="1" t="s">
        <v>325</v>
      </c>
      <c r="B46" s="1" t="s">
        <v>35</v>
      </c>
      <c r="C46" s="1">
        <v>7.2</v>
      </c>
    </row>
    <row r="47" ht="14.25" customHeight="1">
      <c r="A47" s="1" t="s">
        <v>332</v>
      </c>
      <c r="B47" s="1" t="s">
        <v>35</v>
      </c>
      <c r="C47" s="1">
        <v>7.0</v>
      </c>
    </row>
    <row r="48" ht="14.25" customHeight="1">
      <c r="A48" s="1" t="s">
        <v>339</v>
      </c>
      <c r="B48" s="1" t="s">
        <v>35</v>
      </c>
      <c r="C48" s="1">
        <v>8.0</v>
      </c>
    </row>
    <row r="49" ht="14.25" customHeight="1">
      <c r="A49" s="1" t="s">
        <v>344</v>
      </c>
      <c r="B49" s="1" t="s">
        <v>35</v>
      </c>
      <c r="C49" s="1">
        <v>7.8</v>
      </c>
    </row>
    <row r="50" ht="14.25" customHeight="1">
      <c r="A50" s="1" t="s">
        <v>350</v>
      </c>
      <c r="B50" s="1" t="s">
        <v>35</v>
      </c>
      <c r="C50" s="1">
        <v>6.3</v>
      </c>
    </row>
    <row r="51" ht="14.25" customHeight="1">
      <c r="A51" s="1" t="s">
        <v>357</v>
      </c>
      <c r="B51" s="1" t="s">
        <v>35</v>
      </c>
      <c r="C51" s="1">
        <v>7.3</v>
      </c>
    </row>
    <row r="52" ht="14.25" customHeight="1">
      <c r="A52" s="1" t="s">
        <v>364</v>
      </c>
      <c r="B52" s="1" t="s">
        <v>35</v>
      </c>
      <c r="C52" s="1">
        <v>6.6</v>
      </c>
    </row>
    <row r="53" ht="14.25" customHeight="1">
      <c r="A53" s="1" t="s">
        <v>371</v>
      </c>
      <c r="B53" s="1" t="s">
        <v>35</v>
      </c>
      <c r="C53" s="1">
        <v>7.0</v>
      </c>
    </row>
    <row r="54" ht="14.25" customHeight="1">
      <c r="A54" s="1" t="s">
        <v>377</v>
      </c>
      <c r="B54" s="1" t="s">
        <v>35</v>
      </c>
      <c r="C54" s="1">
        <v>6.3</v>
      </c>
    </row>
    <row r="55" ht="14.25" customHeight="1">
      <c r="A55" s="1" t="s">
        <v>382</v>
      </c>
      <c r="B55" s="1" t="s">
        <v>35</v>
      </c>
      <c r="C55" s="1">
        <v>6.2</v>
      </c>
    </row>
    <row r="56" ht="14.25" customHeight="1">
      <c r="A56" s="1" t="s">
        <v>389</v>
      </c>
      <c r="B56" s="1" t="s">
        <v>35</v>
      </c>
      <c r="C56" s="1">
        <v>7.2</v>
      </c>
    </row>
    <row r="57" ht="14.25" customHeight="1">
      <c r="A57" s="1" t="s">
        <v>395</v>
      </c>
      <c r="B57" s="1" t="s">
        <v>35</v>
      </c>
      <c r="C57" s="1">
        <v>7.5</v>
      </c>
    </row>
    <row r="58" ht="14.25" customHeight="1">
      <c r="A58" s="1" t="s">
        <v>401</v>
      </c>
      <c r="B58" s="1" t="s">
        <v>35</v>
      </c>
      <c r="C58" s="1">
        <v>8.4</v>
      </c>
    </row>
    <row r="59" ht="14.25" customHeight="1">
      <c r="A59" s="1" t="s">
        <v>407</v>
      </c>
      <c r="B59" s="1" t="s">
        <v>35</v>
      </c>
      <c r="C59" s="1">
        <v>6.2</v>
      </c>
    </row>
    <row r="60" ht="14.25" customHeight="1">
      <c r="A60" s="1">
        <v>2012.0</v>
      </c>
      <c r="B60" s="1" t="s">
        <v>35</v>
      </c>
      <c r="C60" s="1">
        <v>5.8</v>
      </c>
    </row>
    <row r="61" ht="14.25" customHeight="1">
      <c r="A61" s="1" t="s">
        <v>421</v>
      </c>
      <c r="B61" s="1" t="s">
        <v>35</v>
      </c>
      <c r="C61" s="1">
        <v>6.8</v>
      </c>
    </row>
    <row r="62" ht="14.25" customHeight="1">
      <c r="A62" s="1" t="s">
        <v>429</v>
      </c>
      <c r="B62" s="1" t="s">
        <v>35</v>
      </c>
      <c r="C62" s="1">
        <v>5.4</v>
      </c>
    </row>
    <row r="63" ht="14.25" customHeight="1">
      <c r="A63" s="1" t="s">
        <v>434</v>
      </c>
      <c r="B63" s="1" t="s">
        <v>35</v>
      </c>
      <c r="C63" s="1">
        <v>6.6</v>
      </c>
    </row>
    <row r="64" ht="14.25" customHeight="1">
      <c r="A64" s="1" t="s">
        <v>438</v>
      </c>
      <c r="B64" s="1" t="s">
        <v>35</v>
      </c>
      <c r="C64" s="1">
        <v>6.9</v>
      </c>
    </row>
    <row r="65" ht="14.25" customHeight="1">
      <c r="A65" s="1" t="s">
        <v>443</v>
      </c>
      <c r="B65" s="1" t="s">
        <v>35</v>
      </c>
      <c r="C65" s="1">
        <v>7.3</v>
      </c>
    </row>
    <row r="66" ht="14.25" customHeight="1">
      <c r="A66" s="1" t="s">
        <v>448</v>
      </c>
      <c r="B66" s="1" t="s">
        <v>35</v>
      </c>
      <c r="C66" s="1">
        <v>9.0</v>
      </c>
    </row>
    <row r="67" ht="14.25" customHeight="1">
      <c r="A67" s="1" t="s">
        <v>455</v>
      </c>
      <c r="B67" s="1" t="s">
        <v>35</v>
      </c>
      <c r="C67" s="1">
        <v>8.3</v>
      </c>
    </row>
    <row r="68" ht="14.25" customHeight="1">
      <c r="A68" s="1" t="s">
        <v>462</v>
      </c>
      <c r="B68" s="1" t="s">
        <v>35</v>
      </c>
      <c r="C68" s="1">
        <v>6.5</v>
      </c>
    </row>
    <row r="69" ht="14.25" customHeight="1">
      <c r="A69" s="1" t="s">
        <v>469</v>
      </c>
      <c r="B69" s="1" t="s">
        <v>35</v>
      </c>
      <c r="C69" s="1">
        <v>7.9</v>
      </c>
    </row>
    <row r="70" ht="14.25" customHeight="1">
      <c r="A70" s="1" t="s">
        <v>473</v>
      </c>
      <c r="B70" s="1" t="s">
        <v>35</v>
      </c>
      <c r="C70" s="1">
        <v>7.5</v>
      </c>
    </row>
    <row r="71" ht="14.25" customHeight="1">
      <c r="A71" s="1" t="s">
        <v>478</v>
      </c>
      <c r="B71" s="1" t="s">
        <v>35</v>
      </c>
      <c r="C71" s="1">
        <v>4.8</v>
      </c>
    </row>
    <row r="72" ht="14.25" customHeight="1">
      <c r="A72" s="1" t="s">
        <v>485</v>
      </c>
      <c r="B72" s="1" t="s">
        <v>35</v>
      </c>
      <c r="C72" s="1">
        <v>5.2</v>
      </c>
    </row>
    <row r="73" ht="14.25" customHeight="1">
      <c r="A73" s="1" t="s">
        <v>493</v>
      </c>
      <c r="B73" s="1" t="s">
        <v>35</v>
      </c>
      <c r="C73" s="1">
        <v>6.9</v>
      </c>
    </row>
    <row r="74" ht="14.25" customHeight="1">
      <c r="A74" s="1" t="s">
        <v>500</v>
      </c>
      <c r="B74" s="1" t="s">
        <v>35</v>
      </c>
      <c r="C74" s="1">
        <v>5.4</v>
      </c>
    </row>
    <row r="75" ht="14.25" customHeight="1">
      <c r="A75" s="1" t="s">
        <v>507</v>
      </c>
      <c r="B75" s="1" t="s">
        <v>35</v>
      </c>
      <c r="C75" s="1">
        <v>7.9</v>
      </c>
    </row>
    <row r="76" ht="14.25" customHeight="1">
      <c r="A76" s="1" t="s">
        <v>514</v>
      </c>
      <c r="B76" s="1" t="s">
        <v>35</v>
      </c>
      <c r="C76" s="1">
        <v>6.1</v>
      </c>
    </row>
    <row r="77" ht="14.25" customHeight="1">
      <c r="A77" s="1" t="s">
        <v>521</v>
      </c>
      <c r="B77" s="1" t="s">
        <v>35</v>
      </c>
      <c r="C77" s="1">
        <v>5.8</v>
      </c>
    </row>
    <row r="78" ht="14.25" customHeight="1">
      <c r="A78" s="1" t="s">
        <v>526</v>
      </c>
      <c r="B78" s="1" t="s">
        <v>35</v>
      </c>
      <c r="C78" s="1">
        <v>8.3</v>
      </c>
    </row>
    <row r="79" ht="14.25" customHeight="1">
      <c r="A79" s="1" t="s">
        <v>532</v>
      </c>
      <c r="B79" s="1" t="s">
        <v>35</v>
      </c>
      <c r="C79" s="1">
        <v>7.8</v>
      </c>
    </row>
    <row r="80" ht="14.25" customHeight="1">
      <c r="A80" s="1" t="s">
        <v>538</v>
      </c>
      <c r="B80" s="1" t="s">
        <v>35</v>
      </c>
      <c r="C80" s="1">
        <v>7.0</v>
      </c>
    </row>
    <row r="81" ht="14.25" customHeight="1">
      <c r="A81" s="1" t="s">
        <v>542</v>
      </c>
      <c r="B81" s="1" t="s">
        <v>35</v>
      </c>
      <c r="C81" s="1">
        <v>6.1</v>
      </c>
    </row>
    <row r="82" ht="14.25" customHeight="1">
      <c r="A82" s="1" t="s">
        <v>548</v>
      </c>
      <c r="B82" s="1" t="s">
        <v>35</v>
      </c>
      <c r="C82" s="1">
        <v>7.0</v>
      </c>
    </row>
    <row r="83" ht="14.25" customHeight="1">
      <c r="A83" s="1" t="s">
        <v>556</v>
      </c>
      <c r="B83" s="1" t="s">
        <v>35</v>
      </c>
      <c r="C83" s="1">
        <v>7.6</v>
      </c>
    </row>
    <row r="84" ht="14.25" customHeight="1">
      <c r="A84" s="1" t="s">
        <v>562</v>
      </c>
      <c r="B84" s="1" t="s">
        <v>35</v>
      </c>
      <c r="C84" s="1">
        <v>6.3</v>
      </c>
    </row>
    <row r="85" ht="14.25" customHeight="1">
      <c r="A85" s="1" t="s">
        <v>568</v>
      </c>
      <c r="B85" s="1" t="s">
        <v>35</v>
      </c>
      <c r="C85" s="1">
        <v>7.8</v>
      </c>
    </row>
    <row r="86" ht="14.25" customHeight="1">
      <c r="A86" s="1" t="s">
        <v>573</v>
      </c>
      <c r="B86" s="1" t="s">
        <v>35</v>
      </c>
      <c r="C86" s="1">
        <v>6.4</v>
      </c>
    </row>
    <row r="87" ht="14.25" customHeight="1">
      <c r="A87" s="1" t="s">
        <v>580</v>
      </c>
      <c r="B87" s="1" t="s">
        <v>35</v>
      </c>
      <c r="C87" s="1">
        <v>6.5</v>
      </c>
    </row>
    <row r="88" ht="14.25" customHeight="1">
      <c r="A88" s="1" t="s">
        <v>587</v>
      </c>
      <c r="B88" s="1" t="s">
        <v>35</v>
      </c>
      <c r="C88" s="1">
        <v>7.9</v>
      </c>
    </row>
    <row r="89" ht="14.25" customHeight="1">
      <c r="A89" s="1" t="s">
        <v>595</v>
      </c>
      <c r="B89" s="1" t="s">
        <v>35</v>
      </c>
      <c r="C89" s="1">
        <v>7.8</v>
      </c>
    </row>
    <row r="90" ht="14.25" customHeight="1">
      <c r="A90" s="1" t="s">
        <v>602</v>
      </c>
      <c r="B90" s="1" t="s">
        <v>35</v>
      </c>
      <c r="C90" s="1">
        <v>6.6</v>
      </c>
    </row>
    <row r="91" ht="14.25" customHeight="1">
      <c r="A91" s="1" t="s">
        <v>608</v>
      </c>
      <c r="B91" s="1" t="s">
        <v>35</v>
      </c>
      <c r="C91" s="1">
        <v>5.5</v>
      </c>
    </row>
    <row r="92" ht="14.25" customHeight="1">
      <c r="A92" s="1" t="s">
        <v>615</v>
      </c>
      <c r="B92" s="1" t="s">
        <v>35</v>
      </c>
      <c r="C92" s="1">
        <v>8.2</v>
      </c>
    </row>
    <row r="93" ht="14.25" customHeight="1">
      <c r="A93" s="1" t="s">
        <v>622</v>
      </c>
      <c r="B93" s="1" t="s">
        <v>35</v>
      </c>
      <c r="C93" s="1">
        <v>6.4</v>
      </c>
    </row>
    <row r="94" ht="14.25" customHeight="1">
      <c r="A94" s="1" t="s">
        <v>630</v>
      </c>
      <c r="B94" s="1" t="s">
        <v>35</v>
      </c>
      <c r="C94" s="1">
        <v>8.1</v>
      </c>
    </row>
    <row r="95" ht="14.25" customHeight="1">
      <c r="A95" s="1" t="s">
        <v>635</v>
      </c>
      <c r="B95" s="1" t="s">
        <v>35</v>
      </c>
      <c r="C95" s="1">
        <v>8.6</v>
      </c>
    </row>
    <row r="96" ht="14.25" customHeight="1">
      <c r="A96" s="1" t="s">
        <v>641</v>
      </c>
      <c r="B96" s="1" t="s">
        <v>35</v>
      </c>
      <c r="C96" s="1">
        <v>8.8</v>
      </c>
    </row>
    <row r="97" ht="14.25" customHeight="1">
      <c r="A97" s="1" t="s">
        <v>644</v>
      </c>
      <c r="B97" s="1" t="s">
        <v>35</v>
      </c>
      <c r="C97" s="1">
        <v>6.7</v>
      </c>
    </row>
    <row r="98" ht="14.25" customHeight="1">
      <c r="A98" s="1" t="s">
        <v>649</v>
      </c>
      <c r="B98" s="1" t="s">
        <v>35</v>
      </c>
      <c r="C98" s="1">
        <v>7.8</v>
      </c>
    </row>
    <row r="99" ht="14.25" customHeight="1">
      <c r="A99" s="1" t="s">
        <v>656</v>
      </c>
      <c r="B99" s="1" t="s">
        <v>35</v>
      </c>
      <c r="C99" s="1">
        <v>7.8</v>
      </c>
    </row>
    <row r="100" ht="14.25" customHeight="1">
      <c r="A100" s="1" t="s">
        <v>660</v>
      </c>
      <c r="B100" s="1" t="s">
        <v>35</v>
      </c>
      <c r="C100" s="1">
        <v>6.6</v>
      </c>
    </row>
    <row r="101" ht="14.25" customHeight="1">
      <c r="A101" s="1" t="s">
        <v>667</v>
      </c>
      <c r="B101" s="1" t="s">
        <v>35</v>
      </c>
      <c r="C101" s="1">
        <v>6.1</v>
      </c>
    </row>
    <row r="102" ht="14.25" customHeight="1">
      <c r="A102" s="1" t="s">
        <v>674</v>
      </c>
      <c r="B102" s="1" t="s">
        <v>35</v>
      </c>
      <c r="C102" s="1">
        <v>5.6</v>
      </c>
    </row>
    <row r="103" ht="14.25" customHeight="1">
      <c r="A103" s="1" t="s">
        <v>681</v>
      </c>
      <c r="B103" s="1" t="s">
        <v>35</v>
      </c>
      <c r="C103" s="1">
        <v>6.4</v>
      </c>
    </row>
    <row r="104" ht="14.25" customHeight="1">
      <c r="A104" s="1" t="s">
        <v>685</v>
      </c>
      <c r="B104" s="1" t="s">
        <v>35</v>
      </c>
      <c r="C104" s="1">
        <v>6.1</v>
      </c>
    </row>
    <row r="105" ht="14.25" customHeight="1">
      <c r="A105" s="1" t="s">
        <v>692</v>
      </c>
      <c r="B105" s="1" t="s">
        <v>35</v>
      </c>
      <c r="C105" s="1">
        <v>7.3</v>
      </c>
    </row>
    <row r="106" ht="14.25" customHeight="1">
      <c r="A106" s="1" t="s">
        <v>699</v>
      </c>
      <c r="B106" s="1" t="s">
        <v>35</v>
      </c>
      <c r="C106" s="1">
        <v>6.6</v>
      </c>
    </row>
    <row r="107" ht="14.25" customHeight="1">
      <c r="A107" s="1" t="s">
        <v>705</v>
      </c>
      <c r="B107" s="1" t="s">
        <v>35</v>
      </c>
      <c r="C107" s="1">
        <v>6.3</v>
      </c>
    </row>
    <row r="108" ht="14.25" customHeight="1">
      <c r="A108" s="1" t="s">
        <v>711</v>
      </c>
      <c r="B108" s="1" t="s">
        <v>35</v>
      </c>
      <c r="C108" s="1">
        <v>6.1</v>
      </c>
    </row>
    <row r="109" ht="14.25" customHeight="1">
      <c r="A109" s="1" t="s">
        <v>718</v>
      </c>
      <c r="B109" s="1" t="s">
        <v>35</v>
      </c>
      <c r="C109" s="1">
        <v>7.1</v>
      </c>
    </row>
    <row r="110" ht="14.25" customHeight="1">
      <c r="A110" s="1" t="s">
        <v>724</v>
      </c>
      <c r="B110" s="1" t="s">
        <v>35</v>
      </c>
      <c r="C110" s="1">
        <v>5.5</v>
      </c>
    </row>
    <row r="111" ht="14.25" customHeight="1">
      <c r="A111" s="1" t="s">
        <v>731</v>
      </c>
      <c r="B111" s="1" t="s">
        <v>35</v>
      </c>
      <c r="C111" s="1">
        <v>7.5</v>
      </c>
    </row>
    <row r="112" ht="14.25" customHeight="1">
      <c r="A112" s="1" t="s">
        <v>736</v>
      </c>
      <c r="B112" s="1" t="s">
        <v>35</v>
      </c>
      <c r="C112" s="1">
        <v>7.6</v>
      </c>
    </row>
    <row r="113" ht="14.25" customHeight="1">
      <c r="A113" s="1" t="s">
        <v>739</v>
      </c>
      <c r="B113" s="1" t="s">
        <v>35</v>
      </c>
      <c r="C113" s="1">
        <v>6.4</v>
      </c>
    </row>
    <row r="114" ht="14.25" customHeight="1">
      <c r="A114" s="1" t="s">
        <v>744</v>
      </c>
      <c r="B114" s="1" t="s">
        <v>35</v>
      </c>
      <c r="C114" s="1">
        <v>7.2</v>
      </c>
    </row>
    <row r="115" ht="14.25" customHeight="1">
      <c r="A115" s="1" t="s">
        <v>750</v>
      </c>
      <c r="B115" s="1" t="s">
        <v>35</v>
      </c>
      <c r="C115" s="1">
        <v>6.7</v>
      </c>
    </row>
    <row r="116" ht="14.25" customHeight="1">
      <c r="A116" s="1" t="s">
        <v>755</v>
      </c>
      <c r="B116" s="1" t="s">
        <v>35</v>
      </c>
      <c r="C116" s="1">
        <v>8.0</v>
      </c>
    </row>
    <row r="117" ht="14.25" customHeight="1">
      <c r="A117" s="1" t="s">
        <v>761</v>
      </c>
      <c r="B117" s="1" t="s">
        <v>35</v>
      </c>
      <c r="C117" s="1">
        <v>8.3</v>
      </c>
    </row>
    <row r="118" ht="14.25" customHeight="1">
      <c r="A118" s="1" t="s">
        <v>765</v>
      </c>
      <c r="B118" s="1" t="s">
        <v>35</v>
      </c>
      <c r="C118" s="1">
        <v>6.7</v>
      </c>
    </row>
    <row r="119" ht="14.25" customHeight="1">
      <c r="A119" s="1" t="s">
        <v>773</v>
      </c>
      <c r="B119" s="1" t="s">
        <v>35</v>
      </c>
      <c r="C119" s="1">
        <v>5.9</v>
      </c>
    </row>
    <row r="120" ht="14.25" customHeight="1">
      <c r="A120" s="1" t="s">
        <v>780</v>
      </c>
      <c r="B120" s="1" t="s">
        <v>35</v>
      </c>
      <c r="C120" s="1">
        <v>6.7</v>
      </c>
    </row>
    <row r="121" ht="14.25" customHeight="1">
      <c r="A121" s="1" t="s">
        <v>784</v>
      </c>
      <c r="B121" s="1" t="s">
        <v>35</v>
      </c>
      <c r="C121" s="1">
        <v>6.7</v>
      </c>
    </row>
    <row r="122" ht="14.25" customHeight="1">
      <c r="A122" s="1" t="s">
        <v>791</v>
      </c>
      <c r="B122" s="1" t="s">
        <v>35</v>
      </c>
      <c r="C122" s="1">
        <v>7.6</v>
      </c>
    </row>
    <row r="123" ht="14.25" customHeight="1">
      <c r="A123" s="1" t="s">
        <v>798</v>
      </c>
      <c r="B123" s="1" t="s">
        <v>35</v>
      </c>
      <c r="C123" s="1">
        <v>7.2</v>
      </c>
    </row>
    <row r="124" ht="14.25" customHeight="1">
      <c r="A124" s="1" t="s">
        <v>804</v>
      </c>
      <c r="B124" s="1" t="s">
        <v>35</v>
      </c>
      <c r="C124" s="1">
        <v>7.1</v>
      </c>
    </row>
    <row r="125" ht="14.25" customHeight="1">
      <c r="A125" s="1" t="s">
        <v>809</v>
      </c>
      <c r="B125" s="1" t="s">
        <v>35</v>
      </c>
      <c r="C125" s="1">
        <v>8.1</v>
      </c>
    </row>
    <row r="126" ht="14.25" customHeight="1">
      <c r="A126" s="1" t="s">
        <v>814</v>
      </c>
      <c r="B126" s="1" t="s">
        <v>35</v>
      </c>
      <c r="C126" s="1">
        <v>6.7</v>
      </c>
    </row>
    <row r="127" ht="14.25" customHeight="1">
      <c r="A127" s="1" t="s">
        <v>821</v>
      </c>
      <c r="B127" s="1" t="s">
        <v>35</v>
      </c>
      <c r="C127" s="1">
        <v>7.0</v>
      </c>
    </row>
    <row r="128" ht="14.25" customHeight="1">
      <c r="A128" s="1" t="s">
        <v>825</v>
      </c>
      <c r="B128" s="1" t="s">
        <v>35</v>
      </c>
      <c r="C128" s="1">
        <v>6.9</v>
      </c>
    </row>
    <row r="129" ht="14.25" customHeight="1">
      <c r="A129" s="1" t="s">
        <v>832</v>
      </c>
      <c r="B129" s="1" t="s">
        <v>35</v>
      </c>
      <c r="C129" s="1">
        <v>5.1</v>
      </c>
    </row>
    <row r="130" ht="14.25" customHeight="1">
      <c r="A130" s="1" t="s">
        <v>840</v>
      </c>
      <c r="B130" s="1" t="s">
        <v>35</v>
      </c>
      <c r="C130" s="1">
        <v>5.8</v>
      </c>
    </row>
    <row r="131" ht="14.25" customHeight="1">
      <c r="A131" s="1" t="s">
        <v>845</v>
      </c>
      <c r="B131" s="1" t="s">
        <v>35</v>
      </c>
      <c r="C131" s="1">
        <v>6.2</v>
      </c>
    </row>
    <row r="132" ht="14.25" customHeight="1">
      <c r="A132" s="1" t="s">
        <v>850</v>
      </c>
      <c r="B132" s="1" t="s">
        <v>35</v>
      </c>
      <c r="C132" s="1">
        <v>7.4</v>
      </c>
    </row>
    <row r="133" ht="14.25" customHeight="1">
      <c r="A133" s="1" t="s">
        <v>857</v>
      </c>
      <c r="B133" s="1" t="s">
        <v>35</v>
      </c>
      <c r="C133" s="1">
        <v>5.8</v>
      </c>
    </row>
    <row r="134" ht="14.25" customHeight="1">
      <c r="A134" s="1" t="s">
        <v>434</v>
      </c>
      <c r="B134" s="1" t="s">
        <v>35</v>
      </c>
      <c r="C134" s="1">
        <v>6.6</v>
      </c>
    </row>
    <row r="135" ht="14.25" customHeight="1">
      <c r="A135" s="1" t="s">
        <v>864</v>
      </c>
      <c r="B135" s="1" t="s">
        <v>35</v>
      </c>
      <c r="C135" s="1">
        <v>6.2</v>
      </c>
    </row>
    <row r="136" ht="14.25" customHeight="1">
      <c r="A136" s="1" t="s">
        <v>871</v>
      </c>
      <c r="B136" s="1" t="s">
        <v>35</v>
      </c>
      <c r="C136" s="1">
        <v>7.3</v>
      </c>
    </row>
    <row r="137" ht="14.25" customHeight="1">
      <c r="A137" s="1" t="s">
        <v>876</v>
      </c>
      <c r="B137" s="1" t="s">
        <v>35</v>
      </c>
      <c r="C137" s="1">
        <v>4.2</v>
      </c>
    </row>
    <row r="138" ht="14.25" customHeight="1">
      <c r="A138" s="1" t="s">
        <v>882</v>
      </c>
      <c r="B138" s="1" t="s">
        <v>35</v>
      </c>
      <c r="C138" s="1">
        <v>6.9</v>
      </c>
    </row>
    <row r="139" ht="14.25" customHeight="1">
      <c r="A139" s="1" t="s">
        <v>885</v>
      </c>
      <c r="B139" s="1" t="s">
        <v>35</v>
      </c>
      <c r="C139" s="1">
        <v>6.4</v>
      </c>
    </row>
    <row r="140" ht="14.25" customHeight="1">
      <c r="A140" s="1" t="s">
        <v>892</v>
      </c>
      <c r="B140" s="1" t="s">
        <v>35</v>
      </c>
      <c r="C140" s="1">
        <v>5.4</v>
      </c>
    </row>
    <row r="141" ht="14.25" customHeight="1">
      <c r="A141" s="1" t="s">
        <v>899</v>
      </c>
      <c r="B141" s="1" t="s">
        <v>35</v>
      </c>
      <c r="C141" s="1">
        <v>6.7</v>
      </c>
    </row>
    <row r="142" ht="14.25" customHeight="1">
      <c r="A142" s="1" t="s">
        <v>904</v>
      </c>
      <c r="B142" s="1" t="s">
        <v>35</v>
      </c>
      <c r="C142" s="1">
        <v>5.8</v>
      </c>
    </row>
    <row r="143" ht="14.25" customHeight="1">
      <c r="A143" s="1" t="s">
        <v>910</v>
      </c>
      <c r="B143" s="1" t="s">
        <v>35</v>
      </c>
      <c r="C143" s="1">
        <v>6.9</v>
      </c>
    </row>
    <row r="144" ht="14.25" customHeight="1">
      <c r="A144" s="1" t="s">
        <v>916</v>
      </c>
      <c r="B144" s="1" t="s">
        <v>35</v>
      </c>
      <c r="C144" s="1">
        <v>7.2</v>
      </c>
    </row>
    <row r="145" ht="14.25" customHeight="1">
      <c r="A145" s="1" t="s">
        <v>921</v>
      </c>
      <c r="B145" s="1" t="s">
        <v>35</v>
      </c>
      <c r="C145" s="1">
        <v>6.9</v>
      </c>
    </row>
    <row r="146" ht="14.25" customHeight="1">
      <c r="A146" s="1" t="s">
        <v>926</v>
      </c>
      <c r="B146" s="1" t="s">
        <v>35</v>
      </c>
      <c r="C146" s="1">
        <v>6.1</v>
      </c>
    </row>
    <row r="147" ht="14.25" customHeight="1">
      <c r="A147" s="1" t="s">
        <v>933</v>
      </c>
      <c r="B147" s="1" t="s">
        <v>35</v>
      </c>
      <c r="C147" s="1">
        <v>5.5</v>
      </c>
    </row>
    <row r="148" ht="14.25" customHeight="1">
      <c r="A148" s="1" t="s">
        <v>940</v>
      </c>
      <c r="B148" s="1" t="s">
        <v>35</v>
      </c>
      <c r="C148" s="1">
        <v>6.6</v>
      </c>
    </row>
    <row r="149" ht="14.25" customHeight="1">
      <c r="A149" s="1" t="s">
        <v>945</v>
      </c>
      <c r="B149" s="1" t="s">
        <v>35</v>
      </c>
      <c r="C149" s="1">
        <v>6.1</v>
      </c>
    </row>
    <row r="150" ht="14.25" customHeight="1">
      <c r="A150" s="1" t="s">
        <v>950</v>
      </c>
      <c r="B150" s="1" t="s">
        <v>35</v>
      </c>
      <c r="C150" s="1">
        <v>6.3</v>
      </c>
    </row>
    <row r="151" ht="14.25" customHeight="1">
      <c r="A151" s="1" t="s">
        <v>956</v>
      </c>
      <c r="B151" s="1" t="s">
        <v>35</v>
      </c>
      <c r="C151" s="1">
        <v>7.2</v>
      </c>
    </row>
    <row r="152" ht="14.25" customHeight="1">
      <c r="A152" s="1" t="s">
        <v>960</v>
      </c>
      <c r="B152" s="1" t="s">
        <v>35</v>
      </c>
      <c r="C152" s="1">
        <v>7.4</v>
      </c>
    </row>
    <row r="153" ht="14.25" customHeight="1">
      <c r="A153" s="1" t="s">
        <v>965</v>
      </c>
      <c r="B153" s="1" t="s">
        <v>35</v>
      </c>
      <c r="C153" s="1">
        <v>7.3</v>
      </c>
    </row>
    <row r="154" ht="14.25" customHeight="1">
      <c r="A154" s="1" t="s">
        <v>971</v>
      </c>
      <c r="B154" s="1" t="s">
        <v>35</v>
      </c>
      <c r="C154" s="1">
        <v>6.1</v>
      </c>
    </row>
    <row r="155" ht="14.25" customHeight="1">
      <c r="A155" s="1" t="s">
        <v>979</v>
      </c>
      <c r="B155" s="1" t="s">
        <v>35</v>
      </c>
      <c r="C155" s="1">
        <v>7.7</v>
      </c>
    </row>
    <row r="156" ht="14.25" customHeight="1">
      <c r="A156" s="1" t="s">
        <v>985</v>
      </c>
      <c r="B156" s="1" t="s">
        <v>35</v>
      </c>
      <c r="C156" s="1">
        <v>6.1</v>
      </c>
    </row>
    <row r="157" ht="14.25" customHeight="1">
      <c r="A157" s="1" t="s">
        <v>991</v>
      </c>
      <c r="B157" s="1" t="s">
        <v>35</v>
      </c>
      <c r="C157" s="1">
        <v>8.0</v>
      </c>
    </row>
    <row r="158" ht="14.25" customHeight="1">
      <c r="A158" s="1" t="s">
        <v>995</v>
      </c>
      <c r="B158" s="1" t="s">
        <v>35</v>
      </c>
      <c r="C158" s="1">
        <v>7.3</v>
      </c>
    </row>
    <row r="159" ht="14.25" customHeight="1">
      <c r="A159" s="1" t="s">
        <v>998</v>
      </c>
      <c r="B159" s="1" t="s">
        <v>35</v>
      </c>
      <c r="C159" s="1">
        <v>7.9</v>
      </c>
    </row>
    <row r="160" ht="14.25" customHeight="1">
      <c r="A160" s="1" t="s">
        <v>1003</v>
      </c>
      <c r="B160" s="1" t="s">
        <v>35</v>
      </c>
      <c r="C160" s="1">
        <v>5.5</v>
      </c>
    </row>
    <row r="161" ht="14.25" customHeight="1">
      <c r="A161" s="1" t="s">
        <v>1008</v>
      </c>
      <c r="B161" s="1" t="s">
        <v>35</v>
      </c>
      <c r="C161" s="1">
        <v>5.0</v>
      </c>
    </row>
    <row r="162" ht="14.25" customHeight="1">
      <c r="A162" s="1" t="s">
        <v>1014</v>
      </c>
      <c r="B162" s="1" t="s">
        <v>35</v>
      </c>
      <c r="C162" s="1">
        <v>7.7</v>
      </c>
    </row>
    <row r="163" ht="14.25" customHeight="1">
      <c r="A163" s="1" t="s">
        <v>1022</v>
      </c>
      <c r="B163" s="1" t="s">
        <v>35</v>
      </c>
      <c r="C163" s="1">
        <v>6.6</v>
      </c>
    </row>
    <row r="164" ht="14.25" customHeight="1">
      <c r="A164" s="1" t="s">
        <v>1028</v>
      </c>
      <c r="B164" s="1" t="s">
        <v>35</v>
      </c>
      <c r="C164" s="1">
        <v>5.7</v>
      </c>
    </row>
    <row r="165" ht="14.25" customHeight="1">
      <c r="A165" s="1" t="s">
        <v>1035</v>
      </c>
      <c r="B165" s="1" t="s">
        <v>35</v>
      </c>
      <c r="C165" s="1">
        <v>5.8</v>
      </c>
    </row>
    <row r="166" ht="14.25" customHeight="1">
      <c r="A166" s="1" t="s">
        <v>1040</v>
      </c>
      <c r="B166" s="1" t="s">
        <v>35</v>
      </c>
      <c r="C166" s="1">
        <v>6.0</v>
      </c>
    </row>
    <row r="167" ht="14.25" customHeight="1">
      <c r="A167" s="1" t="s">
        <v>1045</v>
      </c>
      <c r="B167" s="1" t="s">
        <v>35</v>
      </c>
      <c r="C167" s="1">
        <v>6.4</v>
      </c>
    </row>
    <row r="168" ht="14.25" customHeight="1">
      <c r="A168" s="1" t="s">
        <v>1051</v>
      </c>
      <c r="B168" s="1" t="s">
        <v>35</v>
      </c>
      <c r="C168" s="1">
        <v>6.9</v>
      </c>
    </row>
    <row r="169" ht="14.25" customHeight="1">
      <c r="A169" s="1" t="s">
        <v>1054</v>
      </c>
      <c r="B169" s="1" t="s">
        <v>35</v>
      </c>
      <c r="C169" s="1">
        <v>6.4</v>
      </c>
    </row>
    <row r="170" ht="14.25" customHeight="1">
      <c r="A170" s="1" t="s">
        <v>1060</v>
      </c>
      <c r="B170" s="1" t="s">
        <v>35</v>
      </c>
      <c r="C170" s="1">
        <v>7.4</v>
      </c>
    </row>
    <row r="171" ht="14.25" customHeight="1">
      <c r="A171" s="1" t="s">
        <v>1068</v>
      </c>
      <c r="B171" s="1" t="s">
        <v>35</v>
      </c>
      <c r="C171" s="1">
        <v>5.5</v>
      </c>
    </row>
    <row r="172" ht="14.25" customHeight="1">
      <c r="A172" s="1" t="s">
        <v>1073</v>
      </c>
      <c r="B172" s="1" t="s">
        <v>35</v>
      </c>
      <c r="C172" s="1">
        <v>5.9</v>
      </c>
    </row>
    <row r="173" ht="14.25" customHeight="1">
      <c r="A173" s="1" t="s">
        <v>1078</v>
      </c>
      <c r="B173" s="1" t="s">
        <v>35</v>
      </c>
      <c r="C173" s="1">
        <v>6.8</v>
      </c>
    </row>
    <row r="174" ht="14.25" customHeight="1">
      <c r="A174" s="1" t="s">
        <v>1082</v>
      </c>
      <c r="B174" s="1" t="s">
        <v>35</v>
      </c>
      <c r="C174" s="1">
        <v>6.8</v>
      </c>
    </row>
    <row r="175" ht="14.25" customHeight="1">
      <c r="A175" s="1" t="s">
        <v>1089</v>
      </c>
      <c r="B175" s="1" t="s">
        <v>35</v>
      </c>
      <c r="C175" s="1">
        <v>8.1</v>
      </c>
    </row>
    <row r="176" ht="14.25" customHeight="1">
      <c r="A176" s="1" t="s">
        <v>1095</v>
      </c>
      <c r="B176" s="1" t="s">
        <v>35</v>
      </c>
      <c r="C176" s="1">
        <v>6.5</v>
      </c>
    </row>
    <row r="177" ht="14.25" customHeight="1">
      <c r="A177" s="1" t="s">
        <v>1100</v>
      </c>
      <c r="B177" s="1" t="s">
        <v>35</v>
      </c>
      <c r="C177" s="1">
        <v>7.2</v>
      </c>
    </row>
    <row r="178" ht="14.25" customHeight="1">
      <c r="A178" s="1" t="s">
        <v>1105</v>
      </c>
      <c r="B178" s="1" t="s">
        <v>35</v>
      </c>
      <c r="C178" s="1">
        <v>6.7</v>
      </c>
    </row>
    <row r="179" ht="14.25" customHeight="1">
      <c r="A179" s="1" t="s">
        <v>1111</v>
      </c>
      <c r="B179" s="1" t="s">
        <v>35</v>
      </c>
      <c r="C179" s="1">
        <v>8.1</v>
      </c>
    </row>
    <row r="180" ht="14.25" customHeight="1">
      <c r="A180" s="1" t="s">
        <v>1117</v>
      </c>
      <c r="B180" s="1" t="s">
        <v>35</v>
      </c>
      <c r="C180" s="1">
        <v>7.6</v>
      </c>
    </row>
    <row r="181" ht="14.25" customHeight="1">
      <c r="A181" s="1" t="s">
        <v>1121</v>
      </c>
      <c r="B181" s="1" t="s">
        <v>35</v>
      </c>
      <c r="C181" s="1">
        <v>7.4</v>
      </c>
    </row>
    <row r="182" ht="14.25" customHeight="1">
      <c r="A182" s="1" t="s">
        <v>1125</v>
      </c>
      <c r="B182" s="1" t="s">
        <v>35</v>
      </c>
      <c r="C182" s="1">
        <v>7.6</v>
      </c>
    </row>
    <row r="183" ht="14.25" customHeight="1">
      <c r="A183" s="1" t="s">
        <v>1068</v>
      </c>
      <c r="B183" s="1" t="s">
        <v>35</v>
      </c>
      <c r="C183" s="1">
        <v>5.5</v>
      </c>
    </row>
    <row r="184" ht="14.25" customHeight="1">
      <c r="A184" s="1" t="s">
        <v>1131</v>
      </c>
      <c r="B184" s="1" t="s">
        <v>35</v>
      </c>
      <c r="C184" s="1">
        <v>6.7</v>
      </c>
    </row>
    <row r="185" ht="14.25" customHeight="1">
      <c r="A185" s="1" t="s">
        <v>1138</v>
      </c>
      <c r="B185" s="1" t="s">
        <v>35</v>
      </c>
      <c r="C185" s="1">
        <v>6.5</v>
      </c>
    </row>
    <row r="186" ht="14.25" customHeight="1">
      <c r="A186" s="1" t="s">
        <v>1143</v>
      </c>
      <c r="B186" s="1" t="s">
        <v>35</v>
      </c>
      <c r="C186" s="1">
        <v>6.6</v>
      </c>
    </row>
    <row r="187" ht="14.25" customHeight="1">
      <c r="A187" s="1" t="s">
        <v>1148</v>
      </c>
      <c r="B187" s="1" t="s">
        <v>35</v>
      </c>
      <c r="C187" s="1">
        <v>6.7</v>
      </c>
    </row>
    <row r="188" ht="14.25" customHeight="1">
      <c r="A188" s="1" t="s">
        <v>1154</v>
      </c>
      <c r="B188" s="1" t="s">
        <v>35</v>
      </c>
      <c r="C188" s="1">
        <v>6.4</v>
      </c>
    </row>
    <row r="189" ht="14.25" customHeight="1">
      <c r="A189" s="1" t="s">
        <v>1160</v>
      </c>
      <c r="B189" s="1" t="s">
        <v>35</v>
      </c>
      <c r="C189" s="1">
        <v>5.8</v>
      </c>
    </row>
    <row r="190" ht="14.25" customHeight="1">
      <c r="A190" s="1" t="s">
        <v>1165</v>
      </c>
      <c r="B190" s="1" t="s">
        <v>35</v>
      </c>
      <c r="C190" s="1">
        <v>7.4</v>
      </c>
    </row>
    <row r="191" ht="14.25" customHeight="1">
      <c r="A191" s="1" t="s">
        <v>1173</v>
      </c>
      <c r="B191" s="1" t="s">
        <v>35</v>
      </c>
      <c r="C191" s="1">
        <v>7.8</v>
      </c>
    </row>
    <row r="192" ht="14.25" customHeight="1">
      <c r="A192" s="1" t="s">
        <v>362</v>
      </c>
      <c r="B192" s="1" t="s">
        <v>35</v>
      </c>
      <c r="C192" s="1">
        <v>6.6</v>
      </c>
    </row>
    <row r="193" ht="14.25" customHeight="1">
      <c r="A193" s="1" t="s">
        <v>1180</v>
      </c>
      <c r="B193" s="1" t="s">
        <v>35</v>
      </c>
      <c r="C193" s="1">
        <v>4.9</v>
      </c>
    </row>
    <row r="194" ht="14.25" customHeight="1">
      <c r="A194" s="1" t="s">
        <v>1184</v>
      </c>
      <c r="B194" s="1" t="s">
        <v>35</v>
      </c>
      <c r="C194" s="1">
        <v>6.5</v>
      </c>
    </row>
    <row r="195" ht="14.25" customHeight="1">
      <c r="A195" s="1" t="s">
        <v>1191</v>
      </c>
      <c r="B195" s="1" t="s">
        <v>35</v>
      </c>
      <c r="C195" s="1">
        <v>6.2</v>
      </c>
    </row>
    <row r="196" ht="14.25" customHeight="1">
      <c r="A196" s="1" t="s">
        <v>1195</v>
      </c>
      <c r="B196" s="1" t="s">
        <v>35</v>
      </c>
      <c r="C196" s="1">
        <v>7.3</v>
      </c>
    </row>
    <row r="197" ht="14.25" customHeight="1">
      <c r="A197" s="1" t="s">
        <v>1201</v>
      </c>
      <c r="B197" s="1" t="s">
        <v>35</v>
      </c>
      <c r="C197" s="1">
        <v>7.5</v>
      </c>
    </row>
    <row r="198" ht="14.25" customHeight="1">
      <c r="A198" s="1" t="s">
        <v>1206</v>
      </c>
      <c r="B198" s="1" t="s">
        <v>35</v>
      </c>
      <c r="C198" s="1">
        <v>5.6</v>
      </c>
    </row>
    <row r="199" ht="14.25" customHeight="1">
      <c r="A199" s="1" t="s">
        <v>1211</v>
      </c>
      <c r="B199" s="1" t="s">
        <v>35</v>
      </c>
      <c r="C199" s="1">
        <v>8.1</v>
      </c>
    </row>
    <row r="200" ht="14.25" customHeight="1">
      <c r="A200" s="1" t="s">
        <v>1214</v>
      </c>
      <c r="B200" s="1" t="s">
        <v>35</v>
      </c>
      <c r="C200" s="1">
        <v>6.7</v>
      </c>
    </row>
    <row r="201" ht="14.25" customHeight="1">
      <c r="A201" s="1" t="s">
        <v>1217</v>
      </c>
      <c r="B201" s="1" t="s">
        <v>35</v>
      </c>
      <c r="C201" s="1">
        <v>6.6</v>
      </c>
    </row>
    <row r="202" ht="14.25" customHeight="1">
      <c r="A202" s="1" t="s">
        <v>1223</v>
      </c>
      <c r="B202" s="1" t="s">
        <v>35</v>
      </c>
      <c r="C202" s="1">
        <v>6.4</v>
      </c>
    </row>
    <row r="203" ht="14.25" customHeight="1">
      <c r="A203" s="1" t="s">
        <v>1230</v>
      </c>
      <c r="B203" s="1" t="s">
        <v>35</v>
      </c>
      <c r="C203" s="1">
        <v>7.5</v>
      </c>
    </row>
    <row r="204" ht="14.25" customHeight="1">
      <c r="A204" s="1" t="s">
        <v>1235</v>
      </c>
      <c r="B204" s="1" t="s">
        <v>35</v>
      </c>
      <c r="C204" s="1">
        <v>7.3</v>
      </c>
    </row>
    <row r="205" ht="14.25" customHeight="1">
      <c r="A205" s="1" t="s">
        <v>1239</v>
      </c>
      <c r="B205" s="1" t="s">
        <v>35</v>
      </c>
      <c r="C205" s="1">
        <v>7.5</v>
      </c>
    </row>
    <row r="206" ht="14.25" customHeight="1">
      <c r="A206" s="1" t="s">
        <v>1244</v>
      </c>
      <c r="B206" s="1" t="s">
        <v>35</v>
      </c>
      <c r="C206" s="1">
        <v>5.8</v>
      </c>
    </row>
    <row r="207" ht="14.25" customHeight="1">
      <c r="A207" s="1" t="s">
        <v>1249</v>
      </c>
      <c r="B207" s="1" t="s">
        <v>35</v>
      </c>
      <c r="C207" s="1">
        <v>7.5</v>
      </c>
    </row>
    <row r="208" ht="14.25" customHeight="1">
      <c r="A208" s="1" t="s">
        <v>1256</v>
      </c>
      <c r="B208" s="1" t="s">
        <v>35</v>
      </c>
      <c r="C208" s="1">
        <v>6.6</v>
      </c>
    </row>
    <row r="209" ht="14.25" customHeight="1">
      <c r="A209" s="1" t="s">
        <v>1263</v>
      </c>
      <c r="B209" s="1" t="s">
        <v>35</v>
      </c>
      <c r="C209" s="1">
        <v>6.7</v>
      </c>
    </row>
    <row r="210" ht="14.25" customHeight="1">
      <c r="A210" s="1" t="s">
        <v>1269</v>
      </c>
      <c r="B210" s="1" t="s">
        <v>35</v>
      </c>
      <c r="C210" s="1">
        <v>3.7</v>
      </c>
    </row>
    <row r="211" ht="14.25" customHeight="1">
      <c r="A211" s="1" t="s">
        <v>1275</v>
      </c>
      <c r="B211" s="1" t="s">
        <v>35</v>
      </c>
      <c r="C211" s="1">
        <v>6.0</v>
      </c>
    </row>
    <row r="212" ht="14.25" customHeight="1">
      <c r="A212" s="1" t="s">
        <v>1281</v>
      </c>
      <c r="B212" s="1" t="s">
        <v>35</v>
      </c>
      <c r="C212" s="1">
        <v>6.4</v>
      </c>
    </row>
    <row r="213" ht="14.25" customHeight="1">
      <c r="A213" s="1" t="s">
        <v>1285</v>
      </c>
      <c r="B213" s="1" t="s">
        <v>35</v>
      </c>
      <c r="C213" s="1">
        <v>6.1</v>
      </c>
    </row>
    <row r="214" ht="14.25" customHeight="1">
      <c r="A214" s="1" t="s">
        <v>1289</v>
      </c>
      <c r="B214" s="1" t="s">
        <v>35</v>
      </c>
      <c r="C214" s="1">
        <v>6.4</v>
      </c>
    </row>
    <row r="215" ht="14.25" customHeight="1">
      <c r="A215" s="1" t="s">
        <v>1296</v>
      </c>
      <c r="B215" s="1" t="s">
        <v>35</v>
      </c>
      <c r="C215" s="1">
        <v>5.6</v>
      </c>
    </row>
    <row r="216" ht="14.25" customHeight="1">
      <c r="A216" s="1" t="s">
        <v>1300</v>
      </c>
      <c r="B216" s="1" t="s">
        <v>35</v>
      </c>
      <c r="C216" s="1">
        <v>8.0</v>
      </c>
    </row>
    <row r="217" ht="14.25" customHeight="1">
      <c r="A217" s="1" t="s">
        <v>1307</v>
      </c>
      <c r="B217" s="1" t="s">
        <v>35</v>
      </c>
      <c r="C217" s="1">
        <v>5.2</v>
      </c>
    </row>
    <row r="218" ht="14.25" customHeight="1">
      <c r="A218" s="1" t="s">
        <v>1313</v>
      </c>
      <c r="B218" s="1" t="s">
        <v>35</v>
      </c>
      <c r="C218" s="1">
        <v>7.1</v>
      </c>
    </row>
    <row r="219" ht="14.25" customHeight="1">
      <c r="A219" s="1" t="s">
        <v>1318</v>
      </c>
      <c r="B219" s="1" t="s">
        <v>35</v>
      </c>
      <c r="C219" s="1">
        <v>4.8</v>
      </c>
    </row>
    <row r="220" ht="14.25" customHeight="1">
      <c r="A220" s="1" t="s">
        <v>1324</v>
      </c>
      <c r="B220" s="1" t="s">
        <v>35</v>
      </c>
      <c r="C220" s="1">
        <v>7.0</v>
      </c>
    </row>
    <row r="221" ht="14.25" customHeight="1">
      <c r="A221" s="1" t="s">
        <v>1328</v>
      </c>
      <c r="B221" s="1" t="s">
        <v>35</v>
      </c>
      <c r="C221" s="1">
        <v>5.4</v>
      </c>
    </row>
    <row r="222" ht="14.25" customHeight="1">
      <c r="A222" s="1" t="s">
        <v>1334</v>
      </c>
      <c r="B222" s="1" t="s">
        <v>35</v>
      </c>
      <c r="C222" s="1">
        <v>6.6</v>
      </c>
    </row>
    <row r="223" ht="14.25" customHeight="1">
      <c r="A223" s="1" t="s">
        <v>1339</v>
      </c>
      <c r="B223" s="1" t="s">
        <v>35</v>
      </c>
      <c r="C223" s="1">
        <v>6.7</v>
      </c>
    </row>
    <row r="224" ht="14.25" customHeight="1">
      <c r="A224" s="1" t="s">
        <v>1344</v>
      </c>
      <c r="B224" s="1" t="s">
        <v>35</v>
      </c>
      <c r="C224" s="1">
        <v>6.2</v>
      </c>
    </row>
    <row r="225" ht="14.25" customHeight="1">
      <c r="A225" s="1" t="s">
        <v>1350</v>
      </c>
      <c r="B225" s="1" t="s">
        <v>35</v>
      </c>
      <c r="C225" s="1">
        <v>6.1</v>
      </c>
    </row>
    <row r="226" ht="14.25" customHeight="1">
      <c r="A226" s="1" t="s">
        <v>1358</v>
      </c>
      <c r="B226" s="1" t="s">
        <v>35</v>
      </c>
      <c r="C226" s="1">
        <v>5.3</v>
      </c>
    </row>
    <row r="227" ht="14.25" customHeight="1">
      <c r="A227" s="1" t="s">
        <v>1366</v>
      </c>
      <c r="B227" s="1" t="s">
        <v>35</v>
      </c>
      <c r="C227" s="1">
        <v>6.3</v>
      </c>
    </row>
    <row r="228" ht="14.25" customHeight="1">
      <c r="A228" s="1" t="s">
        <v>1371</v>
      </c>
      <c r="B228" s="1" t="s">
        <v>35</v>
      </c>
      <c r="C228" s="1">
        <v>7.0</v>
      </c>
    </row>
    <row r="229" ht="14.25" customHeight="1">
      <c r="A229" s="1" t="s">
        <v>1377</v>
      </c>
      <c r="B229" s="1" t="s">
        <v>35</v>
      </c>
      <c r="C229" s="1">
        <v>7.6</v>
      </c>
    </row>
    <row r="230" ht="14.25" customHeight="1">
      <c r="A230" s="1" t="s">
        <v>1381</v>
      </c>
      <c r="B230" s="1" t="s">
        <v>35</v>
      </c>
      <c r="C230" s="1">
        <v>6.7</v>
      </c>
    </row>
    <row r="231" ht="14.25" customHeight="1">
      <c r="A231" s="1" t="s">
        <v>1384</v>
      </c>
      <c r="B231" s="1" t="s">
        <v>35</v>
      </c>
      <c r="C231" s="1">
        <v>8.1</v>
      </c>
    </row>
    <row r="232" ht="14.25" customHeight="1">
      <c r="A232" s="1" t="s">
        <v>1388</v>
      </c>
      <c r="B232" s="1" t="s">
        <v>35</v>
      </c>
      <c r="C232" s="1">
        <v>6.7</v>
      </c>
    </row>
    <row r="233" ht="14.25" customHeight="1">
      <c r="A233" s="1" t="s">
        <v>1393</v>
      </c>
      <c r="B233" s="1" t="s">
        <v>35</v>
      </c>
      <c r="C233" s="1">
        <v>6.5</v>
      </c>
    </row>
    <row r="234" ht="14.25" customHeight="1">
      <c r="A234" s="1" t="s">
        <v>1398</v>
      </c>
      <c r="B234" s="1" t="s">
        <v>35</v>
      </c>
      <c r="C234" s="1">
        <v>7.3</v>
      </c>
    </row>
    <row r="235" ht="14.25" customHeight="1">
      <c r="A235" s="1" t="s">
        <v>1401</v>
      </c>
      <c r="B235" s="1" t="s">
        <v>35</v>
      </c>
      <c r="C235" s="1">
        <v>6.0</v>
      </c>
    </row>
    <row r="236" ht="14.25" customHeight="1">
      <c r="A236" s="1" t="s">
        <v>1408</v>
      </c>
      <c r="B236" s="1" t="s">
        <v>35</v>
      </c>
      <c r="C236" s="1">
        <v>6.1</v>
      </c>
    </row>
    <row r="237" ht="14.25" customHeight="1">
      <c r="A237" s="1" t="s">
        <v>1411</v>
      </c>
      <c r="B237" s="1" t="s">
        <v>35</v>
      </c>
      <c r="C237" s="1">
        <v>5.9</v>
      </c>
    </row>
    <row r="238" ht="14.25" customHeight="1">
      <c r="A238" s="1" t="s">
        <v>1417</v>
      </c>
      <c r="B238" s="1" t="s">
        <v>35</v>
      </c>
      <c r="C238" s="1">
        <v>7.8</v>
      </c>
    </row>
    <row r="239" ht="14.25" customHeight="1">
      <c r="A239" s="1" t="s">
        <v>1425</v>
      </c>
      <c r="B239" s="1" t="s">
        <v>35</v>
      </c>
      <c r="C239" s="1">
        <v>5.8</v>
      </c>
    </row>
    <row r="240" ht="14.25" customHeight="1">
      <c r="A240" s="1" t="s">
        <v>1431</v>
      </c>
      <c r="B240" s="1" t="s">
        <v>35</v>
      </c>
      <c r="C240" s="1">
        <v>4.3</v>
      </c>
    </row>
    <row r="241" ht="14.25" customHeight="1">
      <c r="A241" s="1" t="s">
        <v>1437</v>
      </c>
      <c r="B241" s="1" t="s">
        <v>35</v>
      </c>
      <c r="C241" s="1">
        <v>6.4</v>
      </c>
    </row>
    <row r="242" ht="14.25" customHeight="1">
      <c r="A242" s="1" t="s">
        <v>1442</v>
      </c>
      <c r="B242" s="1" t="s">
        <v>35</v>
      </c>
      <c r="C242" s="1">
        <v>6.1</v>
      </c>
    </row>
    <row r="243" ht="14.25" customHeight="1">
      <c r="A243" s="1" t="s">
        <v>1447</v>
      </c>
      <c r="B243" s="1" t="s">
        <v>35</v>
      </c>
      <c r="C243" s="1">
        <v>6.5</v>
      </c>
    </row>
    <row r="244" ht="14.25" customHeight="1">
      <c r="A244" s="1" t="s">
        <v>1452</v>
      </c>
      <c r="B244" s="1" t="s">
        <v>35</v>
      </c>
      <c r="C244" s="1">
        <v>7.1</v>
      </c>
    </row>
    <row r="245" ht="14.25" customHeight="1">
      <c r="A245" s="1" t="s">
        <v>1457</v>
      </c>
      <c r="B245" s="1" t="s">
        <v>35</v>
      </c>
      <c r="C245" s="1">
        <v>6.4</v>
      </c>
    </row>
    <row r="246" ht="14.25" customHeight="1">
      <c r="A246" s="1" t="s">
        <v>1463</v>
      </c>
      <c r="B246" s="1" t="s">
        <v>35</v>
      </c>
      <c r="C246" s="1">
        <v>6.5</v>
      </c>
    </row>
    <row r="247" ht="14.25" customHeight="1">
      <c r="A247" s="1" t="s">
        <v>1468</v>
      </c>
      <c r="B247" s="1" t="s">
        <v>35</v>
      </c>
      <c r="C247" s="1">
        <v>6.3</v>
      </c>
    </row>
    <row r="248" ht="14.25" customHeight="1">
      <c r="A248" s="1" t="s">
        <v>1473</v>
      </c>
      <c r="B248" s="1" t="s">
        <v>35</v>
      </c>
      <c r="C248" s="1">
        <v>7.5</v>
      </c>
    </row>
    <row r="249" ht="14.25" customHeight="1">
      <c r="A249" s="1" t="s">
        <v>1479</v>
      </c>
      <c r="B249" s="1" t="s">
        <v>35</v>
      </c>
      <c r="C249" s="1">
        <v>4.9</v>
      </c>
    </row>
    <row r="250" ht="14.25" customHeight="1">
      <c r="A250" s="1" t="s">
        <v>1486</v>
      </c>
      <c r="B250" s="1" t="s">
        <v>35</v>
      </c>
      <c r="C250" s="1">
        <v>5.8</v>
      </c>
    </row>
    <row r="251" ht="14.25" customHeight="1">
      <c r="A251" s="1" t="s">
        <v>1492</v>
      </c>
      <c r="B251" s="1" t="s">
        <v>35</v>
      </c>
      <c r="C251" s="1">
        <v>6.2</v>
      </c>
    </row>
    <row r="252" ht="14.25" customHeight="1">
      <c r="A252" s="1" t="s">
        <v>1498</v>
      </c>
      <c r="B252" s="1" t="s">
        <v>35</v>
      </c>
      <c r="C252" s="1">
        <v>5.5</v>
      </c>
    </row>
    <row r="253" ht="14.25" customHeight="1">
      <c r="A253" s="1" t="s">
        <v>1505</v>
      </c>
      <c r="B253" s="1" t="s">
        <v>35</v>
      </c>
      <c r="C253" s="1">
        <v>5.4</v>
      </c>
    </row>
    <row r="254" ht="14.25" customHeight="1">
      <c r="A254" s="1" t="s">
        <v>1511</v>
      </c>
      <c r="B254" s="1" t="s">
        <v>35</v>
      </c>
      <c r="C254" s="1">
        <v>5.8</v>
      </c>
    </row>
    <row r="255" ht="14.25" customHeight="1">
      <c r="A255" s="1" t="s">
        <v>1515</v>
      </c>
      <c r="B255" s="1" t="s">
        <v>35</v>
      </c>
      <c r="C255" s="1">
        <v>7.1</v>
      </c>
    </row>
    <row r="256" ht="14.25" customHeight="1">
      <c r="A256" s="1" t="s">
        <v>1521</v>
      </c>
      <c r="B256" s="1" t="s">
        <v>35</v>
      </c>
      <c r="C256" s="1">
        <v>5.4</v>
      </c>
    </row>
    <row r="257" ht="14.25" customHeight="1">
      <c r="A257" s="1" t="s">
        <v>1528</v>
      </c>
      <c r="B257" s="1" t="s">
        <v>35</v>
      </c>
      <c r="C257" s="1">
        <v>3.7</v>
      </c>
    </row>
    <row r="258" ht="14.25" customHeight="1">
      <c r="A258" s="1" t="s">
        <v>1534</v>
      </c>
      <c r="B258" s="1" t="s">
        <v>35</v>
      </c>
      <c r="C258" s="1">
        <v>6.7</v>
      </c>
    </row>
    <row r="259" ht="14.25" customHeight="1">
      <c r="A259" s="1" t="s">
        <v>1540</v>
      </c>
      <c r="B259" s="1" t="s">
        <v>35</v>
      </c>
      <c r="C259" s="1">
        <v>7.2</v>
      </c>
    </row>
    <row r="260" ht="14.25" customHeight="1">
      <c r="A260" s="1" t="s">
        <v>1545</v>
      </c>
      <c r="B260" s="1" t="s">
        <v>35</v>
      </c>
      <c r="C260" s="1">
        <v>8.8</v>
      </c>
    </row>
    <row r="261" ht="14.25" customHeight="1">
      <c r="A261" s="1" t="s">
        <v>1550</v>
      </c>
      <c r="B261" s="1" t="s">
        <v>35</v>
      </c>
      <c r="C261" s="1">
        <v>5.8</v>
      </c>
    </row>
    <row r="262" ht="14.25" customHeight="1">
      <c r="A262" s="1" t="s">
        <v>1556</v>
      </c>
      <c r="B262" s="1" t="s">
        <v>35</v>
      </c>
      <c r="C262" s="1">
        <v>6.8</v>
      </c>
    </row>
    <row r="263" ht="14.25" customHeight="1">
      <c r="A263" s="1" t="s">
        <v>1561</v>
      </c>
      <c r="B263" s="1" t="s">
        <v>35</v>
      </c>
      <c r="C263" s="1">
        <v>3.8</v>
      </c>
    </row>
    <row r="264" ht="14.25" customHeight="1">
      <c r="A264" s="1" t="s">
        <v>1566</v>
      </c>
      <c r="B264" s="1" t="s">
        <v>35</v>
      </c>
      <c r="C264" s="1">
        <v>7.1</v>
      </c>
    </row>
    <row r="265" ht="14.25" customHeight="1">
      <c r="A265" s="1" t="s">
        <v>1571</v>
      </c>
      <c r="B265" s="1" t="s">
        <v>35</v>
      </c>
      <c r="C265" s="1">
        <v>7.2</v>
      </c>
    </row>
    <row r="266" ht="14.25" customHeight="1">
      <c r="A266" s="1" t="s">
        <v>1575</v>
      </c>
      <c r="B266" s="1" t="s">
        <v>35</v>
      </c>
      <c r="C266" s="1">
        <v>5.9</v>
      </c>
    </row>
    <row r="267" ht="14.25" customHeight="1">
      <c r="A267" s="1" t="s">
        <v>1581</v>
      </c>
      <c r="B267" s="1" t="s">
        <v>35</v>
      </c>
      <c r="C267" s="1">
        <v>7.1</v>
      </c>
    </row>
    <row r="268" ht="14.25" customHeight="1">
      <c r="A268" s="1" t="s">
        <v>1587</v>
      </c>
      <c r="B268" s="1" t="s">
        <v>35</v>
      </c>
      <c r="C268" s="1">
        <v>8.1</v>
      </c>
    </row>
    <row r="269" ht="14.25" customHeight="1">
      <c r="A269" s="1" t="s">
        <v>1592</v>
      </c>
      <c r="B269" s="1" t="s">
        <v>35</v>
      </c>
      <c r="C269" s="1">
        <v>6.9</v>
      </c>
    </row>
    <row r="270" ht="14.25" customHeight="1">
      <c r="A270" s="1" t="s">
        <v>1597</v>
      </c>
      <c r="B270" s="1" t="s">
        <v>35</v>
      </c>
      <c r="C270" s="1">
        <v>4.4</v>
      </c>
    </row>
    <row r="271" ht="14.25" customHeight="1">
      <c r="A271" s="1" t="s">
        <v>1605</v>
      </c>
      <c r="B271" s="1" t="s">
        <v>35</v>
      </c>
      <c r="C271" s="1">
        <v>6.5</v>
      </c>
    </row>
    <row r="272" ht="14.25" customHeight="1">
      <c r="A272" s="1" t="s">
        <v>1609</v>
      </c>
      <c r="B272" s="1" t="s">
        <v>35</v>
      </c>
      <c r="C272" s="1">
        <v>8.5</v>
      </c>
    </row>
    <row r="273" ht="14.25" customHeight="1">
      <c r="A273" s="1" t="s">
        <v>1615</v>
      </c>
      <c r="B273" s="1" t="s">
        <v>35</v>
      </c>
      <c r="C273" s="1">
        <v>7.7</v>
      </c>
    </row>
    <row r="274" ht="14.25" customHeight="1">
      <c r="A274" s="1" t="s">
        <v>1620</v>
      </c>
      <c r="B274" s="1" t="s">
        <v>35</v>
      </c>
      <c r="C274" s="1">
        <v>7.4</v>
      </c>
    </row>
    <row r="275" ht="14.25" customHeight="1">
      <c r="A275" s="1" t="s">
        <v>1623</v>
      </c>
      <c r="B275" s="1" t="s">
        <v>35</v>
      </c>
      <c r="C275" s="1">
        <v>8.0</v>
      </c>
    </row>
    <row r="276" ht="14.25" customHeight="1">
      <c r="A276" s="1" t="s">
        <v>1628</v>
      </c>
      <c r="B276" s="1" t="s">
        <v>35</v>
      </c>
      <c r="C276" s="1">
        <v>5.7</v>
      </c>
    </row>
    <row r="277" ht="14.25" customHeight="1">
      <c r="A277" s="1" t="s">
        <v>1633</v>
      </c>
      <c r="B277" s="1" t="s">
        <v>35</v>
      </c>
      <c r="C277" s="1">
        <v>8.5</v>
      </c>
    </row>
    <row r="278" ht="14.25" customHeight="1">
      <c r="A278" s="1" t="s">
        <v>1638</v>
      </c>
      <c r="B278" s="1" t="s">
        <v>35</v>
      </c>
      <c r="C278" s="1">
        <v>7.0</v>
      </c>
    </row>
    <row r="279" ht="14.25" customHeight="1">
      <c r="A279" s="1" t="s">
        <v>1642</v>
      </c>
      <c r="B279" s="1" t="s">
        <v>35</v>
      </c>
      <c r="C279" s="1">
        <v>7.8</v>
      </c>
    </row>
    <row r="280" ht="14.25" customHeight="1">
      <c r="A280" s="1" t="s">
        <v>1649</v>
      </c>
      <c r="B280" s="1" t="s">
        <v>35</v>
      </c>
      <c r="C280" s="1">
        <v>7.2</v>
      </c>
    </row>
    <row r="281" ht="14.25" customHeight="1">
      <c r="A281" s="1" t="s">
        <v>1657</v>
      </c>
      <c r="B281" s="1" t="s">
        <v>35</v>
      </c>
      <c r="C281" s="1">
        <v>6.4</v>
      </c>
    </row>
    <row r="282" ht="14.25" customHeight="1">
      <c r="A282" s="1" t="s">
        <v>1662</v>
      </c>
      <c r="B282" s="1" t="s">
        <v>35</v>
      </c>
      <c r="C282" s="1">
        <v>5.5</v>
      </c>
    </row>
    <row r="283" ht="14.25" customHeight="1">
      <c r="A283" s="1" t="s">
        <v>1669</v>
      </c>
      <c r="B283" s="1" t="s">
        <v>35</v>
      </c>
      <c r="C283" s="1">
        <v>6.7</v>
      </c>
    </row>
    <row r="284" ht="14.25" customHeight="1">
      <c r="A284" s="1" t="s">
        <v>1675</v>
      </c>
      <c r="B284" s="1" t="s">
        <v>35</v>
      </c>
      <c r="C284" s="1">
        <v>6.1</v>
      </c>
    </row>
    <row r="285" ht="14.25" customHeight="1">
      <c r="A285" s="1" t="s">
        <v>1682</v>
      </c>
      <c r="B285" s="1" t="s">
        <v>35</v>
      </c>
      <c r="C285" s="1">
        <v>8.5</v>
      </c>
    </row>
    <row r="286" ht="14.25" customHeight="1">
      <c r="A286" s="1" t="s">
        <v>1687</v>
      </c>
      <c r="B286" s="1" t="s">
        <v>35</v>
      </c>
      <c r="C286" s="1">
        <v>6.9</v>
      </c>
    </row>
    <row r="287" ht="14.25" customHeight="1">
      <c r="A287" s="1" t="s">
        <v>1694</v>
      </c>
      <c r="B287" s="1" t="s">
        <v>35</v>
      </c>
      <c r="C287" s="1">
        <v>7.3</v>
      </c>
    </row>
    <row r="288" ht="14.25" customHeight="1">
      <c r="A288" s="1" t="s">
        <v>1701</v>
      </c>
      <c r="B288" s="1" t="s">
        <v>35</v>
      </c>
      <c r="C288" s="1">
        <v>6.7</v>
      </c>
    </row>
    <row r="289" ht="14.25" customHeight="1">
      <c r="A289" s="1" t="s">
        <v>1705</v>
      </c>
      <c r="B289" s="1" t="s">
        <v>35</v>
      </c>
      <c r="C289" s="1">
        <v>6.9</v>
      </c>
    </row>
    <row r="290" ht="14.25" customHeight="1">
      <c r="A290" s="1" t="s">
        <v>1712</v>
      </c>
      <c r="B290" s="1" t="s">
        <v>35</v>
      </c>
      <c r="C290" s="1">
        <v>5.1</v>
      </c>
    </row>
    <row r="291" ht="14.25" customHeight="1">
      <c r="A291" s="1" t="s">
        <v>1718</v>
      </c>
      <c r="B291" s="1" t="s">
        <v>35</v>
      </c>
      <c r="C291" s="1">
        <v>6.8</v>
      </c>
    </row>
    <row r="292" ht="14.25" customHeight="1">
      <c r="A292" s="1" t="s">
        <v>904</v>
      </c>
      <c r="B292" s="1" t="s">
        <v>35</v>
      </c>
      <c r="C292" s="1">
        <v>5.8</v>
      </c>
    </row>
    <row r="293" ht="14.25" customHeight="1">
      <c r="A293" s="1" t="s">
        <v>1725</v>
      </c>
      <c r="B293" s="1" t="s">
        <v>35</v>
      </c>
      <c r="C293" s="1">
        <v>6.7</v>
      </c>
    </row>
    <row r="294" ht="14.25" customHeight="1">
      <c r="A294" s="1" t="s">
        <v>1731</v>
      </c>
      <c r="B294" s="1" t="s">
        <v>35</v>
      </c>
      <c r="C294" s="1">
        <v>6.0</v>
      </c>
    </row>
    <row r="295" ht="14.25" customHeight="1">
      <c r="A295" s="1" t="s">
        <v>1737</v>
      </c>
      <c r="B295" s="1" t="s">
        <v>35</v>
      </c>
      <c r="C295" s="1">
        <v>5.7</v>
      </c>
    </row>
    <row r="296" ht="14.25" customHeight="1">
      <c r="A296" s="1" t="s">
        <v>1743</v>
      </c>
      <c r="B296" s="1" t="s">
        <v>35</v>
      </c>
      <c r="C296" s="1">
        <v>8.0</v>
      </c>
    </row>
    <row r="297" ht="14.25" customHeight="1">
      <c r="A297" s="1" t="s">
        <v>1748</v>
      </c>
      <c r="B297" s="1" t="s">
        <v>35</v>
      </c>
      <c r="C297" s="1">
        <v>8.2</v>
      </c>
    </row>
    <row r="298" ht="14.25" customHeight="1">
      <c r="A298" s="1" t="s">
        <v>1752</v>
      </c>
      <c r="B298" s="1" t="s">
        <v>35</v>
      </c>
      <c r="C298" s="1">
        <v>5.4</v>
      </c>
    </row>
    <row r="299" ht="14.25" customHeight="1">
      <c r="A299" s="1" t="s">
        <v>1757</v>
      </c>
      <c r="B299" s="1" t="s">
        <v>35</v>
      </c>
      <c r="C299" s="1">
        <v>7.2</v>
      </c>
    </row>
    <row r="300" ht="14.25" customHeight="1">
      <c r="A300" s="1" t="s">
        <v>1765</v>
      </c>
      <c r="B300" s="1" t="s">
        <v>35</v>
      </c>
      <c r="C300" s="1">
        <v>7.5</v>
      </c>
    </row>
    <row r="301" ht="14.25" customHeight="1">
      <c r="A301" s="1" t="s">
        <v>1770</v>
      </c>
      <c r="B301" s="1" t="s">
        <v>35</v>
      </c>
      <c r="C301" s="1">
        <v>7.0</v>
      </c>
    </row>
    <row r="302" ht="14.25" customHeight="1">
      <c r="A302" s="1" t="s">
        <v>1776</v>
      </c>
      <c r="B302" s="1" t="s">
        <v>35</v>
      </c>
      <c r="C302" s="1">
        <v>3.3</v>
      </c>
    </row>
    <row r="303" ht="14.25" customHeight="1">
      <c r="A303" s="1" t="s">
        <v>1782</v>
      </c>
      <c r="B303" s="1" t="s">
        <v>35</v>
      </c>
      <c r="C303" s="1">
        <v>6.0</v>
      </c>
    </row>
    <row r="304" ht="14.25" customHeight="1">
      <c r="A304" s="1" t="s">
        <v>1786</v>
      </c>
      <c r="B304" s="1" t="s">
        <v>35</v>
      </c>
      <c r="C304" s="1">
        <v>7.1</v>
      </c>
    </row>
    <row r="305" ht="14.25" customHeight="1">
      <c r="A305" s="1" t="s">
        <v>1791</v>
      </c>
      <c r="B305" s="1" t="s">
        <v>35</v>
      </c>
      <c r="C305" s="1">
        <v>5.4</v>
      </c>
    </row>
    <row r="306" ht="14.25" customHeight="1">
      <c r="A306" s="1" t="s">
        <v>1798</v>
      </c>
      <c r="B306" s="1" t="s">
        <v>35</v>
      </c>
      <c r="C306" s="1">
        <v>6.1</v>
      </c>
    </row>
    <row r="307" ht="14.25" customHeight="1">
      <c r="A307" s="1" t="s">
        <v>1802</v>
      </c>
      <c r="B307" s="1" t="s">
        <v>35</v>
      </c>
      <c r="C307" s="1">
        <v>5.3</v>
      </c>
    </row>
    <row r="308" ht="14.25" customHeight="1">
      <c r="A308" s="1" t="s">
        <v>1807</v>
      </c>
      <c r="B308" s="1" t="s">
        <v>35</v>
      </c>
      <c r="C308" s="1">
        <v>2.2</v>
      </c>
    </row>
    <row r="309" ht="14.25" customHeight="1">
      <c r="A309" s="1" t="s">
        <v>1813</v>
      </c>
      <c r="B309" s="1" t="s">
        <v>35</v>
      </c>
      <c r="C309" s="1">
        <v>7.0</v>
      </c>
    </row>
    <row r="310" ht="14.25" customHeight="1">
      <c r="A310" s="1" t="s">
        <v>1820</v>
      </c>
      <c r="B310" s="1" t="s">
        <v>35</v>
      </c>
      <c r="C310" s="1">
        <v>3.8</v>
      </c>
    </row>
    <row r="311" ht="14.25" customHeight="1">
      <c r="A311" s="1" t="s">
        <v>1826</v>
      </c>
      <c r="B311" s="1" t="s">
        <v>35</v>
      </c>
      <c r="C311" s="1">
        <v>6.9</v>
      </c>
    </row>
    <row r="312" ht="14.25" customHeight="1">
      <c r="A312" s="1" t="s">
        <v>1834</v>
      </c>
      <c r="B312" s="1" t="s">
        <v>35</v>
      </c>
      <c r="C312" s="1">
        <v>7.2</v>
      </c>
    </row>
    <row r="313" ht="14.25" customHeight="1">
      <c r="A313" s="1" t="s">
        <v>1841</v>
      </c>
      <c r="B313" s="1" t="s">
        <v>35</v>
      </c>
      <c r="C313" s="1">
        <v>7.3</v>
      </c>
    </row>
    <row r="314" ht="14.25" customHeight="1">
      <c r="A314" s="1" t="s">
        <v>1848</v>
      </c>
      <c r="B314" s="1" t="s">
        <v>35</v>
      </c>
      <c r="C314" s="1">
        <v>6.3</v>
      </c>
    </row>
    <row r="315" ht="14.25" customHeight="1">
      <c r="A315" s="1" t="s">
        <v>1853</v>
      </c>
      <c r="B315" s="1" t="s">
        <v>35</v>
      </c>
      <c r="C315" s="1">
        <v>7.5</v>
      </c>
    </row>
    <row r="316" ht="14.25" customHeight="1">
      <c r="A316" s="1" t="s">
        <v>1858</v>
      </c>
      <c r="B316" s="1" t="s">
        <v>1864</v>
      </c>
      <c r="C316" s="1">
        <v>7.6</v>
      </c>
    </row>
    <row r="317" ht="14.25" customHeight="1">
      <c r="A317" s="1" t="s">
        <v>1866</v>
      </c>
      <c r="B317" s="1" t="s">
        <v>35</v>
      </c>
      <c r="C317" s="1">
        <v>6.8</v>
      </c>
    </row>
    <row r="318" ht="14.25" customHeight="1">
      <c r="A318" s="1" t="s">
        <v>1873</v>
      </c>
      <c r="B318" s="1" t="s">
        <v>35</v>
      </c>
      <c r="C318" s="1">
        <v>5.2</v>
      </c>
    </row>
    <row r="319" ht="14.25" customHeight="1">
      <c r="A319" s="1" t="s">
        <v>1879</v>
      </c>
      <c r="B319" s="1" t="s">
        <v>35</v>
      </c>
      <c r="C319" s="1">
        <v>7.7</v>
      </c>
    </row>
    <row r="320" ht="14.25" customHeight="1">
      <c r="A320" s="1" t="s">
        <v>1884</v>
      </c>
      <c r="B320" s="1" t="s">
        <v>35</v>
      </c>
      <c r="C320" s="1">
        <v>6.2</v>
      </c>
    </row>
    <row r="321" ht="14.25" customHeight="1">
      <c r="A321" s="1" t="s">
        <v>1891</v>
      </c>
      <c r="B321" s="1" t="s">
        <v>35</v>
      </c>
      <c r="C321" s="1">
        <v>7.7</v>
      </c>
    </row>
    <row r="322" ht="14.25" customHeight="1">
      <c r="A322" s="1" t="s">
        <v>1896</v>
      </c>
      <c r="B322" s="1" t="s">
        <v>35</v>
      </c>
      <c r="C322" s="1">
        <v>4.3</v>
      </c>
    </row>
    <row r="323" ht="14.25" customHeight="1">
      <c r="A323" s="1" t="s">
        <v>1903</v>
      </c>
      <c r="B323" s="1" t="s">
        <v>35</v>
      </c>
      <c r="C323" s="1">
        <v>6.9</v>
      </c>
    </row>
    <row r="324" ht="14.25" customHeight="1">
      <c r="A324" s="1" t="s">
        <v>1910</v>
      </c>
      <c r="B324" s="1" t="s">
        <v>35</v>
      </c>
      <c r="C324" s="1">
        <v>6.6</v>
      </c>
    </row>
    <row r="325" ht="14.25" customHeight="1">
      <c r="A325" s="1" t="s">
        <v>1914</v>
      </c>
      <c r="B325" s="1" t="s">
        <v>35</v>
      </c>
      <c r="C325" s="1">
        <v>7.0</v>
      </c>
    </row>
    <row r="326" ht="14.25" customHeight="1">
      <c r="A326" s="1" t="s">
        <v>1919</v>
      </c>
      <c r="B326" s="1" t="s">
        <v>35</v>
      </c>
      <c r="C326" s="1">
        <v>6.7</v>
      </c>
    </row>
    <row r="327" ht="14.25" customHeight="1">
      <c r="A327" s="1" t="s">
        <v>1925</v>
      </c>
      <c r="B327" s="1" t="s">
        <v>35</v>
      </c>
      <c r="C327" s="1">
        <v>8.2</v>
      </c>
    </row>
    <row r="328" ht="14.25" customHeight="1">
      <c r="A328" s="1" t="s">
        <v>1929</v>
      </c>
      <c r="B328" s="1" t="s">
        <v>35</v>
      </c>
      <c r="C328" s="1">
        <v>8.9</v>
      </c>
    </row>
    <row r="329" ht="14.25" customHeight="1">
      <c r="A329" s="1" t="s">
        <v>1933</v>
      </c>
      <c r="B329" s="1" t="s">
        <v>35</v>
      </c>
      <c r="C329" s="1">
        <v>8.7</v>
      </c>
    </row>
    <row r="330" ht="14.25" customHeight="1">
      <c r="A330" s="1" t="s">
        <v>1937</v>
      </c>
      <c r="B330" s="1" t="s">
        <v>35</v>
      </c>
      <c r="C330" s="1">
        <v>5.5</v>
      </c>
    </row>
    <row r="331" ht="14.25" customHeight="1">
      <c r="A331" s="1" t="s">
        <v>1941</v>
      </c>
      <c r="B331" s="1" t="s">
        <v>35</v>
      </c>
      <c r="C331" s="1">
        <v>5.7</v>
      </c>
    </row>
    <row r="332" ht="14.25" customHeight="1">
      <c r="A332" s="1" t="s">
        <v>1946</v>
      </c>
      <c r="B332" s="1" t="s">
        <v>35</v>
      </c>
      <c r="C332" s="1">
        <v>6.3</v>
      </c>
    </row>
    <row r="333" ht="14.25" customHeight="1">
      <c r="A333" s="1" t="s">
        <v>1950</v>
      </c>
      <c r="B333" s="1" t="s">
        <v>35</v>
      </c>
      <c r="C333" s="1">
        <v>5.9</v>
      </c>
    </row>
    <row r="334" ht="14.25" customHeight="1">
      <c r="A334" s="1" t="s">
        <v>1957</v>
      </c>
      <c r="B334" s="1" t="s">
        <v>35</v>
      </c>
      <c r="C334" s="1">
        <v>7.6</v>
      </c>
    </row>
    <row r="335" ht="14.25" customHeight="1">
      <c r="A335" s="1" t="s">
        <v>1962</v>
      </c>
      <c r="B335" s="1" t="s">
        <v>35</v>
      </c>
      <c r="C335" s="1">
        <v>6.6</v>
      </c>
    </row>
    <row r="336" ht="14.25" customHeight="1">
      <c r="A336" s="1" t="s">
        <v>1968</v>
      </c>
      <c r="B336" s="1" t="s">
        <v>35</v>
      </c>
      <c r="C336" s="1">
        <v>5.3</v>
      </c>
    </row>
    <row r="337" ht="14.25" customHeight="1">
      <c r="A337" s="1" t="s">
        <v>1974</v>
      </c>
      <c r="B337" s="1" t="s">
        <v>35</v>
      </c>
      <c r="C337" s="1">
        <v>6.0</v>
      </c>
    </row>
    <row r="338" ht="14.25" customHeight="1">
      <c r="A338" s="1" t="s">
        <v>1978</v>
      </c>
      <c r="B338" s="1" t="s">
        <v>35</v>
      </c>
      <c r="C338" s="1">
        <v>8.0</v>
      </c>
    </row>
    <row r="339" ht="14.25" customHeight="1">
      <c r="A339" s="1" t="s">
        <v>1986</v>
      </c>
      <c r="B339" s="1" t="s">
        <v>35</v>
      </c>
      <c r="C339" s="1">
        <v>5.6</v>
      </c>
    </row>
    <row r="340" ht="14.25" customHeight="1">
      <c r="A340" s="1" t="s">
        <v>1991</v>
      </c>
      <c r="B340" s="1" t="s">
        <v>35</v>
      </c>
      <c r="C340" s="1">
        <v>5.9</v>
      </c>
    </row>
    <row r="341" ht="14.25" customHeight="1">
      <c r="A341" s="1" t="s">
        <v>1994</v>
      </c>
      <c r="B341" s="1" t="s">
        <v>35</v>
      </c>
      <c r="C341" s="1">
        <v>7.3</v>
      </c>
    </row>
    <row r="342" ht="14.25" customHeight="1">
      <c r="A342" s="1" t="s">
        <v>1999</v>
      </c>
      <c r="B342" s="1" t="s">
        <v>35</v>
      </c>
      <c r="C342" s="1">
        <v>7.9</v>
      </c>
    </row>
    <row r="343" ht="14.25" customHeight="1">
      <c r="A343" s="1" t="s">
        <v>2002</v>
      </c>
      <c r="B343" s="1" t="s">
        <v>35</v>
      </c>
      <c r="C343" s="1">
        <v>6.8</v>
      </c>
    </row>
    <row r="344" ht="14.25" customHeight="1">
      <c r="A344" s="1" t="s">
        <v>2006</v>
      </c>
      <c r="B344" s="1" t="s">
        <v>35</v>
      </c>
      <c r="C344" s="1">
        <v>6.6</v>
      </c>
    </row>
    <row r="345" ht="14.25" customHeight="1">
      <c r="A345" s="1" t="s">
        <v>2012</v>
      </c>
      <c r="B345" s="1" t="s">
        <v>35</v>
      </c>
      <c r="C345" s="1">
        <v>6.6</v>
      </c>
    </row>
    <row r="346" ht="14.25" customHeight="1">
      <c r="A346" s="1" t="s">
        <v>2019</v>
      </c>
      <c r="B346" s="1" t="s">
        <v>35</v>
      </c>
      <c r="C346" s="1">
        <v>7.0</v>
      </c>
    </row>
    <row r="347" ht="14.25" customHeight="1">
      <c r="A347" s="1" t="s">
        <v>2025</v>
      </c>
      <c r="B347" s="1" t="s">
        <v>35</v>
      </c>
      <c r="C347" s="1">
        <v>7.0</v>
      </c>
    </row>
    <row r="348" ht="14.25" customHeight="1">
      <c r="A348" s="1" t="s">
        <v>2032</v>
      </c>
      <c r="B348" s="1" t="s">
        <v>35</v>
      </c>
      <c r="C348" s="1">
        <v>7.3</v>
      </c>
    </row>
    <row r="349" ht="14.25" customHeight="1">
      <c r="A349" s="1" t="s">
        <v>2038</v>
      </c>
      <c r="B349" s="1" t="s">
        <v>35</v>
      </c>
      <c r="C349" s="1">
        <v>5.5</v>
      </c>
    </row>
    <row r="350" ht="14.25" customHeight="1">
      <c r="A350" s="1" t="s">
        <v>2044</v>
      </c>
      <c r="B350" s="1" t="s">
        <v>35</v>
      </c>
      <c r="C350" s="1">
        <v>8.5</v>
      </c>
    </row>
    <row r="351" ht="14.25" customHeight="1">
      <c r="A351" s="1" t="s">
        <v>2049</v>
      </c>
      <c r="B351" s="1" t="s">
        <v>35</v>
      </c>
      <c r="C351" s="1">
        <v>7.5</v>
      </c>
    </row>
    <row r="352" ht="14.25" customHeight="1">
      <c r="A352" s="1" t="s">
        <v>2055</v>
      </c>
      <c r="B352" s="1" t="s">
        <v>35</v>
      </c>
      <c r="C352" s="1">
        <v>7.0</v>
      </c>
    </row>
    <row r="353" ht="14.25" customHeight="1">
      <c r="A353" s="1" t="s">
        <v>2060</v>
      </c>
      <c r="B353" s="1" t="s">
        <v>35</v>
      </c>
      <c r="C353" s="1">
        <v>7.8</v>
      </c>
    </row>
    <row r="354" ht="14.25" customHeight="1">
      <c r="A354" s="1" t="s">
        <v>2066</v>
      </c>
      <c r="B354" s="1" t="s">
        <v>35</v>
      </c>
      <c r="C354" s="1">
        <v>7.6</v>
      </c>
    </row>
    <row r="355" ht="14.25" customHeight="1">
      <c r="A355" s="1" t="s">
        <v>2071</v>
      </c>
      <c r="B355" s="1" t="s">
        <v>35</v>
      </c>
      <c r="C355" s="1">
        <v>7.6</v>
      </c>
    </row>
    <row r="356" ht="14.25" customHeight="1">
      <c r="A356" s="1" t="s">
        <v>2075</v>
      </c>
      <c r="B356" s="1" t="s">
        <v>35</v>
      </c>
      <c r="C356" s="1">
        <v>6.8</v>
      </c>
    </row>
    <row r="357" ht="14.25" customHeight="1">
      <c r="A357" s="1" t="s">
        <v>2082</v>
      </c>
      <c r="B357" s="1" t="s">
        <v>35</v>
      </c>
      <c r="C357" s="1">
        <v>5.0</v>
      </c>
    </row>
    <row r="358" ht="14.25" customHeight="1">
      <c r="A358" s="1" t="s">
        <v>2089</v>
      </c>
      <c r="B358" s="1" t="s">
        <v>35</v>
      </c>
      <c r="C358" s="1">
        <v>7.1</v>
      </c>
    </row>
    <row r="359" ht="14.25" customHeight="1">
      <c r="A359" s="1" t="s">
        <v>2094</v>
      </c>
      <c r="B359" s="1" t="s">
        <v>35</v>
      </c>
      <c r="C359" s="1">
        <v>5.5</v>
      </c>
    </row>
    <row r="360" ht="14.25" customHeight="1">
      <c r="A360" s="1" t="s">
        <v>2100</v>
      </c>
      <c r="B360" s="1" t="s">
        <v>35</v>
      </c>
      <c r="C360" s="1">
        <v>5.6</v>
      </c>
    </row>
    <row r="361" ht="14.25" customHeight="1">
      <c r="A361" s="1" t="s">
        <v>2104</v>
      </c>
      <c r="B361" s="1" t="s">
        <v>35</v>
      </c>
      <c r="C361" s="1">
        <v>7.1</v>
      </c>
    </row>
    <row r="362" ht="14.25" customHeight="1">
      <c r="A362" s="1" t="s">
        <v>2109</v>
      </c>
      <c r="B362" s="1" t="s">
        <v>35</v>
      </c>
      <c r="C362" s="1">
        <v>4.9</v>
      </c>
    </row>
    <row r="363" ht="14.25" customHeight="1">
      <c r="A363" s="1" t="s">
        <v>2116</v>
      </c>
      <c r="B363" s="1" t="s">
        <v>35</v>
      </c>
      <c r="C363" s="1">
        <v>7.4</v>
      </c>
    </row>
    <row r="364" ht="14.25" customHeight="1">
      <c r="A364" s="1" t="s">
        <v>2122</v>
      </c>
      <c r="B364" s="1" t="s">
        <v>35</v>
      </c>
      <c r="C364" s="1">
        <v>5.7</v>
      </c>
    </row>
    <row r="365" ht="14.25" customHeight="1">
      <c r="A365" s="1" t="s">
        <v>2129</v>
      </c>
      <c r="B365" s="1" t="s">
        <v>2136</v>
      </c>
      <c r="C365" s="1">
        <v>6.4</v>
      </c>
    </row>
    <row r="366" ht="14.25" customHeight="1">
      <c r="A366" s="1" t="s">
        <v>2138</v>
      </c>
      <c r="B366" s="1" t="s">
        <v>35</v>
      </c>
      <c r="C366" s="1">
        <v>5.9</v>
      </c>
    </row>
    <row r="367" ht="14.25" customHeight="1">
      <c r="A367" s="1" t="s">
        <v>2142</v>
      </c>
      <c r="B367" s="1" t="s">
        <v>35</v>
      </c>
      <c r="C367" s="1">
        <v>5.5</v>
      </c>
    </row>
    <row r="368" ht="14.25" customHeight="1">
      <c r="A368" s="1" t="s">
        <v>2145</v>
      </c>
      <c r="B368" s="1" t="s">
        <v>35</v>
      </c>
      <c r="C368" s="1">
        <v>6.9</v>
      </c>
    </row>
    <row r="369" ht="14.25" customHeight="1">
      <c r="A369" s="1" t="s">
        <v>2150</v>
      </c>
      <c r="B369" s="1" t="s">
        <v>35</v>
      </c>
      <c r="C369" s="1">
        <v>6.2</v>
      </c>
    </row>
    <row r="370" ht="14.25" customHeight="1">
      <c r="A370" s="1" t="s">
        <v>2156</v>
      </c>
      <c r="B370" s="1" t="s">
        <v>35</v>
      </c>
      <c r="C370" s="1">
        <v>7.0</v>
      </c>
    </row>
    <row r="371" ht="14.25" customHeight="1">
      <c r="A371" s="1" t="s">
        <v>2162</v>
      </c>
      <c r="B371" s="1" t="s">
        <v>35</v>
      </c>
      <c r="C371" s="1">
        <v>5.6</v>
      </c>
    </row>
    <row r="372" ht="14.25" customHeight="1">
      <c r="A372" s="1" t="s">
        <v>2166</v>
      </c>
      <c r="B372" s="1" t="s">
        <v>35</v>
      </c>
      <c r="C372" s="1">
        <v>7.0</v>
      </c>
    </row>
    <row r="373" ht="14.25" customHeight="1">
      <c r="A373" s="1" t="s">
        <v>2171</v>
      </c>
      <c r="B373" s="1" t="s">
        <v>35</v>
      </c>
      <c r="C373" s="1">
        <v>6.8</v>
      </c>
    </row>
    <row r="374" ht="14.25" customHeight="1">
      <c r="A374" s="1" t="s">
        <v>2176</v>
      </c>
      <c r="B374" s="1" t="s">
        <v>35</v>
      </c>
      <c r="C374" s="1">
        <v>5.4</v>
      </c>
    </row>
    <row r="375" ht="14.25" customHeight="1">
      <c r="A375" s="1" t="s">
        <v>2182</v>
      </c>
      <c r="B375" s="1" t="s">
        <v>35</v>
      </c>
      <c r="C375" s="1">
        <v>6.1</v>
      </c>
    </row>
    <row r="376" ht="14.25" customHeight="1">
      <c r="A376" s="1" t="s">
        <v>2187</v>
      </c>
      <c r="B376" s="1" t="s">
        <v>35</v>
      </c>
      <c r="C376" s="1">
        <v>6.7</v>
      </c>
    </row>
    <row r="377" ht="14.25" customHeight="1">
      <c r="A377" s="1" t="s">
        <v>1431</v>
      </c>
      <c r="B377" s="1" t="s">
        <v>35</v>
      </c>
      <c r="C377" s="1">
        <v>4.3</v>
      </c>
    </row>
    <row r="378" ht="14.25" customHeight="1">
      <c r="A378" s="1" t="s">
        <v>2193</v>
      </c>
      <c r="B378" s="1" t="s">
        <v>35</v>
      </c>
      <c r="C378" s="1">
        <v>6.9</v>
      </c>
    </row>
    <row r="379" ht="14.25" customHeight="1">
      <c r="A379" s="1" t="s">
        <v>2198</v>
      </c>
      <c r="B379" s="1" t="s">
        <v>35</v>
      </c>
      <c r="C379" s="1">
        <v>8.0</v>
      </c>
    </row>
    <row r="380" ht="14.25" customHeight="1">
      <c r="A380" s="1" t="s">
        <v>2205</v>
      </c>
      <c r="B380" s="1" t="s">
        <v>35</v>
      </c>
      <c r="C380" s="1">
        <v>4.4</v>
      </c>
    </row>
    <row r="381" ht="14.25" customHeight="1">
      <c r="A381" s="1" t="s">
        <v>2212</v>
      </c>
      <c r="B381" s="1" t="s">
        <v>35</v>
      </c>
      <c r="C381" s="1">
        <v>7.3</v>
      </c>
    </row>
    <row r="382" ht="14.25" customHeight="1">
      <c r="A382" s="1" t="s">
        <v>2217</v>
      </c>
      <c r="B382" s="1" t="s">
        <v>35</v>
      </c>
      <c r="C382" s="1">
        <v>6.3</v>
      </c>
    </row>
    <row r="383" ht="14.25" customHeight="1">
      <c r="A383" s="1" t="s">
        <v>644</v>
      </c>
      <c r="B383" s="1" t="s">
        <v>35</v>
      </c>
      <c r="C383" s="1">
        <v>6.7</v>
      </c>
    </row>
    <row r="384" ht="14.25" customHeight="1">
      <c r="A384" s="1" t="s">
        <v>2222</v>
      </c>
      <c r="B384" s="1" t="s">
        <v>35</v>
      </c>
      <c r="C384" s="1">
        <v>7.7</v>
      </c>
    </row>
    <row r="385" ht="14.25" customHeight="1">
      <c r="A385" s="1" t="s">
        <v>2228</v>
      </c>
      <c r="B385" s="1" t="s">
        <v>35</v>
      </c>
      <c r="C385" s="1">
        <v>6.5</v>
      </c>
    </row>
    <row r="386" ht="14.25" customHeight="1">
      <c r="A386" s="1" t="s">
        <v>2233</v>
      </c>
      <c r="B386" s="1" t="s">
        <v>35</v>
      </c>
      <c r="C386" s="1">
        <v>7.8</v>
      </c>
    </row>
    <row r="387" ht="14.25" customHeight="1">
      <c r="A387" s="1" t="s">
        <v>2238</v>
      </c>
      <c r="B387" s="1" t="s">
        <v>35</v>
      </c>
      <c r="C387" s="1">
        <v>6.4</v>
      </c>
    </row>
    <row r="388" ht="14.25" customHeight="1">
      <c r="A388" s="1" t="s">
        <v>2242</v>
      </c>
      <c r="B388" s="1" t="s">
        <v>35</v>
      </c>
      <c r="C388" s="1">
        <v>7.8</v>
      </c>
    </row>
    <row r="389" ht="14.25" customHeight="1">
      <c r="A389" s="1" t="s">
        <v>2247</v>
      </c>
      <c r="B389" s="1" t="s">
        <v>35</v>
      </c>
      <c r="C389" s="1">
        <v>5.8</v>
      </c>
    </row>
    <row r="390" ht="14.25" customHeight="1">
      <c r="A390" s="1" t="s">
        <v>2251</v>
      </c>
      <c r="B390" s="1" t="s">
        <v>35</v>
      </c>
      <c r="C390" s="1">
        <v>7.1</v>
      </c>
    </row>
    <row r="391" ht="14.25" customHeight="1">
      <c r="A391" s="1" t="s">
        <v>2255</v>
      </c>
      <c r="B391" s="1" t="s">
        <v>35</v>
      </c>
      <c r="C391" s="1">
        <v>7.1</v>
      </c>
    </row>
    <row r="392" ht="14.25" customHeight="1">
      <c r="A392" s="1" t="s">
        <v>2263</v>
      </c>
      <c r="B392" s="1" t="s">
        <v>35</v>
      </c>
      <c r="C392" s="1">
        <v>6.8</v>
      </c>
    </row>
    <row r="393" ht="14.25" customHeight="1">
      <c r="A393" s="1" t="s">
        <v>2266</v>
      </c>
      <c r="B393" s="1" t="s">
        <v>35</v>
      </c>
      <c r="C393" s="1">
        <v>4.8</v>
      </c>
    </row>
    <row r="394" ht="14.25" customHeight="1">
      <c r="A394" s="1" t="s">
        <v>2271</v>
      </c>
      <c r="B394" s="1" t="s">
        <v>35</v>
      </c>
      <c r="C394" s="1">
        <v>6.2</v>
      </c>
    </row>
    <row r="395" ht="14.25" customHeight="1">
      <c r="A395" s="1" t="s">
        <v>2276</v>
      </c>
      <c r="B395" s="1" t="s">
        <v>35</v>
      </c>
      <c r="C395" s="1">
        <v>6.9</v>
      </c>
    </row>
    <row r="396" ht="14.25" customHeight="1">
      <c r="A396" s="1" t="s">
        <v>2280</v>
      </c>
      <c r="B396" s="1" t="s">
        <v>35</v>
      </c>
      <c r="C396" s="1">
        <v>7.3</v>
      </c>
    </row>
    <row r="397" ht="14.25" customHeight="1">
      <c r="A397" s="1" t="s">
        <v>2285</v>
      </c>
      <c r="B397" s="1" t="s">
        <v>35</v>
      </c>
      <c r="C397" s="1">
        <v>6.6</v>
      </c>
    </row>
    <row r="398" ht="14.25" customHeight="1">
      <c r="A398" s="1" t="s">
        <v>2291</v>
      </c>
      <c r="B398" s="1" t="s">
        <v>35</v>
      </c>
      <c r="C398" s="1">
        <v>6.9</v>
      </c>
    </row>
    <row r="399" ht="14.25" customHeight="1">
      <c r="A399" s="1" t="s">
        <v>2296</v>
      </c>
      <c r="B399" s="1" t="s">
        <v>35</v>
      </c>
      <c r="C399" s="1">
        <v>6.2</v>
      </c>
    </row>
    <row r="400" ht="14.25" customHeight="1">
      <c r="A400" s="1" t="s">
        <v>2302</v>
      </c>
      <c r="B400" s="1" t="s">
        <v>35</v>
      </c>
      <c r="C400" s="1">
        <v>6.7</v>
      </c>
    </row>
    <row r="401" ht="14.25" customHeight="1">
      <c r="A401" s="1" t="s">
        <v>2306</v>
      </c>
      <c r="B401" s="1" t="s">
        <v>35</v>
      </c>
      <c r="C401" s="1">
        <v>7.6</v>
      </c>
    </row>
    <row r="402" ht="14.25" customHeight="1">
      <c r="A402" s="1" t="s">
        <v>2312</v>
      </c>
      <c r="B402" s="1" t="s">
        <v>35</v>
      </c>
      <c r="C402" s="1">
        <v>6.7</v>
      </c>
    </row>
    <row r="403" ht="14.25" customHeight="1">
      <c r="A403" s="1" t="s">
        <v>2315</v>
      </c>
      <c r="B403" s="1" t="s">
        <v>35</v>
      </c>
      <c r="C403" s="1">
        <v>6.2</v>
      </c>
    </row>
    <row r="404" ht="14.25" customHeight="1">
      <c r="A404" s="1" t="s">
        <v>2321</v>
      </c>
      <c r="B404" s="1" t="s">
        <v>35</v>
      </c>
      <c r="C404" s="1">
        <v>7.3</v>
      </c>
    </row>
    <row r="405" ht="14.25" customHeight="1">
      <c r="A405" s="1" t="s">
        <v>2326</v>
      </c>
      <c r="B405" s="1" t="s">
        <v>35</v>
      </c>
      <c r="C405" s="1">
        <v>6.0</v>
      </c>
    </row>
    <row r="406" ht="14.25" customHeight="1">
      <c r="A406" s="1" t="s">
        <v>2333</v>
      </c>
      <c r="B406" s="1" t="s">
        <v>35</v>
      </c>
      <c r="C406" s="1">
        <v>7.1</v>
      </c>
    </row>
    <row r="407" ht="14.25" customHeight="1">
      <c r="A407" s="1" t="s">
        <v>2339</v>
      </c>
      <c r="B407" s="1" t="s">
        <v>35</v>
      </c>
      <c r="C407" s="1">
        <v>7.1</v>
      </c>
    </row>
    <row r="408" ht="14.25" customHeight="1">
      <c r="A408" s="1" t="s">
        <v>2343</v>
      </c>
      <c r="B408" s="1" t="s">
        <v>35</v>
      </c>
      <c r="C408" s="1">
        <v>5.5</v>
      </c>
    </row>
    <row r="409" ht="14.25" customHeight="1">
      <c r="A409" s="1" t="s">
        <v>2350</v>
      </c>
      <c r="B409" s="1" t="s">
        <v>35</v>
      </c>
      <c r="C409" s="1">
        <v>5.6</v>
      </c>
    </row>
    <row r="410" ht="14.25" customHeight="1">
      <c r="A410" s="1" t="s">
        <v>2355</v>
      </c>
      <c r="B410" s="1" t="s">
        <v>35</v>
      </c>
      <c r="C410" s="1">
        <v>7.5</v>
      </c>
    </row>
    <row r="411" ht="14.25" customHeight="1">
      <c r="A411" s="1" t="s">
        <v>2363</v>
      </c>
      <c r="B411" s="1" t="s">
        <v>35</v>
      </c>
      <c r="C411" s="1">
        <v>5.4</v>
      </c>
    </row>
    <row r="412" ht="14.25" customHeight="1">
      <c r="A412" s="1" t="s">
        <v>2369</v>
      </c>
      <c r="B412" s="1" t="s">
        <v>35</v>
      </c>
      <c r="C412" s="1">
        <v>4.3</v>
      </c>
    </row>
    <row r="413" ht="14.25" customHeight="1">
      <c r="A413" s="1" t="s">
        <v>2376</v>
      </c>
      <c r="B413" s="1" t="s">
        <v>35</v>
      </c>
      <c r="C413" s="1">
        <v>4.9</v>
      </c>
    </row>
    <row r="414" ht="14.25" customHeight="1">
      <c r="A414" s="1" t="s">
        <v>2384</v>
      </c>
      <c r="B414" s="1" t="s">
        <v>35</v>
      </c>
      <c r="C414" s="1">
        <v>7.1</v>
      </c>
    </row>
    <row r="415" ht="14.25" customHeight="1">
      <c r="A415" s="1" t="s">
        <v>2390</v>
      </c>
      <c r="B415" s="1" t="s">
        <v>35</v>
      </c>
      <c r="C415" s="1">
        <v>6.4</v>
      </c>
    </row>
    <row r="416" ht="14.25" customHeight="1">
      <c r="A416" s="1" t="s">
        <v>2396</v>
      </c>
      <c r="B416" s="1" t="s">
        <v>35</v>
      </c>
      <c r="C416" s="1">
        <v>4.3</v>
      </c>
    </row>
    <row r="417" ht="14.25" customHeight="1">
      <c r="A417" s="1" t="s">
        <v>2401</v>
      </c>
      <c r="B417" s="1" t="s">
        <v>35</v>
      </c>
      <c r="C417" s="1">
        <v>6.1</v>
      </c>
    </row>
    <row r="418" ht="14.25" customHeight="1">
      <c r="A418" s="1" t="s">
        <v>2405</v>
      </c>
      <c r="B418" s="1" t="s">
        <v>35</v>
      </c>
      <c r="C418" s="1">
        <v>7.0</v>
      </c>
    </row>
    <row r="419" ht="14.25" customHeight="1">
      <c r="A419" s="1" t="s">
        <v>2412</v>
      </c>
      <c r="B419" s="1" t="s">
        <v>35</v>
      </c>
      <c r="C419" s="1">
        <v>7.7</v>
      </c>
    </row>
    <row r="420" ht="14.25" customHeight="1">
      <c r="A420" s="1" t="s">
        <v>2417</v>
      </c>
      <c r="B420" s="1" t="s">
        <v>35</v>
      </c>
      <c r="C420" s="1">
        <v>5.9</v>
      </c>
    </row>
    <row r="421" ht="14.25" customHeight="1">
      <c r="A421" s="1" t="s">
        <v>2421</v>
      </c>
      <c r="B421" s="1" t="s">
        <v>35</v>
      </c>
      <c r="C421" s="1">
        <v>6.7</v>
      </c>
    </row>
    <row r="422" ht="14.25" customHeight="1">
      <c r="A422" s="1" t="s">
        <v>2425</v>
      </c>
      <c r="B422" s="1" t="s">
        <v>35</v>
      </c>
      <c r="C422" s="1">
        <v>6.5</v>
      </c>
    </row>
    <row r="423" ht="14.25" customHeight="1">
      <c r="A423" s="1" t="s">
        <v>2428</v>
      </c>
      <c r="B423" s="1" t="s">
        <v>35</v>
      </c>
      <c r="C423" s="1">
        <v>7.1</v>
      </c>
    </row>
    <row r="424" ht="14.25" customHeight="1">
      <c r="A424" s="1" t="s">
        <v>2432</v>
      </c>
      <c r="B424" s="1" t="s">
        <v>35</v>
      </c>
      <c r="C424" s="1">
        <v>7.3</v>
      </c>
    </row>
    <row r="425" ht="14.25" customHeight="1">
      <c r="A425" s="1" t="s">
        <v>2437</v>
      </c>
      <c r="B425" s="1" t="s">
        <v>35</v>
      </c>
      <c r="C425" s="1">
        <v>6.5</v>
      </c>
    </row>
    <row r="426" ht="14.25" customHeight="1">
      <c r="A426" s="1" t="s">
        <v>2442</v>
      </c>
      <c r="B426" s="1" t="s">
        <v>35</v>
      </c>
      <c r="C426" s="1">
        <v>7.0</v>
      </c>
    </row>
    <row r="427" ht="14.25" customHeight="1">
      <c r="A427" s="1" t="s">
        <v>2446</v>
      </c>
      <c r="B427" s="1" t="s">
        <v>35</v>
      </c>
      <c r="C427" s="1">
        <v>6.8</v>
      </c>
    </row>
    <row r="428" ht="14.25" customHeight="1">
      <c r="A428" s="1" t="s">
        <v>2449</v>
      </c>
      <c r="B428" s="1" t="s">
        <v>35</v>
      </c>
      <c r="C428" s="1">
        <v>7.2</v>
      </c>
    </row>
    <row r="429" ht="14.25" customHeight="1">
      <c r="A429" s="1" t="s">
        <v>2456</v>
      </c>
      <c r="B429" s="1" t="s">
        <v>35</v>
      </c>
      <c r="C429" s="1">
        <v>6.1</v>
      </c>
    </row>
    <row r="430" ht="14.25" customHeight="1">
      <c r="A430" s="1" t="s">
        <v>2460</v>
      </c>
      <c r="B430" s="1" t="s">
        <v>35</v>
      </c>
      <c r="C430" s="1">
        <v>6.7</v>
      </c>
    </row>
    <row r="431" ht="14.25" customHeight="1">
      <c r="A431" s="1" t="s">
        <v>2464</v>
      </c>
      <c r="B431" s="1" t="s">
        <v>35</v>
      </c>
      <c r="C431" s="1">
        <v>6.4</v>
      </c>
    </row>
    <row r="432" ht="14.25" customHeight="1">
      <c r="A432" s="1" t="s">
        <v>2470</v>
      </c>
      <c r="B432" s="1" t="s">
        <v>35</v>
      </c>
      <c r="C432" s="1">
        <v>4.4</v>
      </c>
    </row>
    <row r="433" ht="14.25" customHeight="1">
      <c r="A433" s="1" t="s">
        <v>2474</v>
      </c>
      <c r="B433" s="1" t="s">
        <v>35</v>
      </c>
      <c r="C433" s="1">
        <v>5.4</v>
      </c>
    </row>
    <row r="434" ht="14.25" customHeight="1">
      <c r="A434" s="1" t="s">
        <v>2477</v>
      </c>
      <c r="B434" s="1" t="s">
        <v>35</v>
      </c>
      <c r="C434" s="1">
        <v>6.5</v>
      </c>
    </row>
    <row r="435" ht="14.25" customHeight="1">
      <c r="A435" s="1" t="s">
        <v>2480</v>
      </c>
      <c r="B435" s="1" t="s">
        <v>35</v>
      </c>
      <c r="C435" s="1">
        <v>6.7</v>
      </c>
    </row>
    <row r="436" ht="14.25" customHeight="1">
      <c r="A436" s="1" t="s">
        <v>2484</v>
      </c>
      <c r="B436" s="1" t="s">
        <v>35</v>
      </c>
      <c r="C436" s="1">
        <v>8.1</v>
      </c>
    </row>
    <row r="437" ht="14.25" customHeight="1">
      <c r="A437" s="1" t="s">
        <v>2490</v>
      </c>
      <c r="B437" s="1" t="s">
        <v>35</v>
      </c>
      <c r="C437" s="1">
        <v>5.6</v>
      </c>
    </row>
    <row r="438" ht="14.25" customHeight="1">
      <c r="A438" s="1" t="s">
        <v>2494</v>
      </c>
      <c r="B438" s="1" t="s">
        <v>35</v>
      </c>
      <c r="C438" s="1">
        <v>6.3</v>
      </c>
    </row>
    <row r="439" ht="14.25" customHeight="1">
      <c r="A439" s="1" t="s">
        <v>2499</v>
      </c>
      <c r="B439" s="1" t="s">
        <v>35</v>
      </c>
      <c r="C439" s="1">
        <v>7.3</v>
      </c>
    </row>
    <row r="440" ht="14.25" customHeight="1">
      <c r="A440" s="1" t="s">
        <v>2503</v>
      </c>
      <c r="B440" s="1" t="s">
        <v>35</v>
      </c>
      <c r="C440" s="1">
        <v>6.1</v>
      </c>
    </row>
    <row r="441" ht="14.25" customHeight="1">
      <c r="A441" s="1" t="s">
        <v>2509</v>
      </c>
      <c r="B441" s="1" t="s">
        <v>35</v>
      </c>
      <c r="C441" s="1">
        <v>7.7</v>
      </c>
    </row>
    <row r="442" ht="14.25" customHeight="1">
      <c r="A442" s="1" t="s">
        <v>2514</v>
      </c>
      <c r="B442" s="1" t="s">
        <v>35</v>
      </c>
      <c r="C442" s="1">
        <v>6.4</v>
      </c>
    </row>
    <row r="443" ht="14.25" customHeight="1">
      <c r="A443" s="1" t="s">
        <v>2518</v>
      </c>
      <c r="B443" s="1" t="s">
        <v>35</v>
      </c>
      <c r="C443" s="1">
        <v>6.8</v>
      </c>
    </row>
    <row r="444" ht="14.25" customHeight="1">
      <c r="A444" s="1" t="s">
        <v>2524</v>
      </c>
      <c r="B444" s="1" t="s">
        <v>35</v>
      </c>
      <c r="C444" s="1">
        <v>6.6</v>
      </c>
    </row>
    <row r="445" ht="14.25" customHeight="1">
      <c r="A445" s="1" t="s">
        <v>2530</v>
      </c>
      <c r="B445" s="1" t="s">
        <v>35</v>
      </c>
      <c r="C445" s="1">
        <v>7.2</v>
      </c>
    </row>
    <row r="446" ht="14.25" customHeight="1">
      <c r="A446" s="1" t="s">
        <v>2535</v>
      </c>
      <c r="B446" s="1" t="s">
        <v>35</v>
      </c>
      <c r="C446" s="1">
        <v>6.9</v>
      </c>
    </row>
    <row r="447" ht="14.25" customHeight="1">
      <c r="A447" s="1" t="s">
        <v>2539</v>
      </c>
      <c r="B447" s="1" t="s">
        <v>35</v>
      </c>
      <c r="C447" s="1">
        <v>5.2</v>
      </c>
    </row>
    <row r="448" ht="14.25" customHeight="1">
      <c r="A448" s="1" t="s">
        <v>2545</v>
      </c>
      <c r="B448" s="1" t="s">
        <v>35</v>
      </c>
      <c r="C448" s="1">
        <v>4.9</v>
      </c>
    </row>
    <row r="449" ht="14.25" customHeight="1">
      <c r="A449" s="1" t="s">
        <v>2552</v>
      </c>
      <c r="B449" s="1" t="s">
        <v>35</v>
      </c>
      <c r="C449" s="1">
        <v>6.3</v>
      </c>
    </row>
    <row r="450" ht="14.25" customHeight="1">
      <c r="A450" s="1" t="s">
        <v>2557</v>
      </c>
      <c r="B450" s="1" t="s">
        <v>35</v>
      </c>
      <c r="C450" s="1">
        <v>5.6</v>
      </c>
    </row>
    <row r="451" ht="14.25" customHeight="1">
      <c r="A451" s="1" t="s">
        <v>2565</v>
      </c>
      <c r="B451" s="1" t="s">
        <v>35</v>
      </c>
      <c r="C451" s="1">
        <v>5.5</v>
      </c>
    </row>
    <row r="452" ht="14.25" customHeight="1">
      <c r="A452" s="1" t="s">
        <v>2570</v>
      </c>
      <c r="B452" s="1" t="s">
        <v>35</v>
      </c>
      <c r="C452" s="1">
        <v>6.7</v>
      </c>
    </row>
    <row r="453" ht="14.25" customHeight="1">
      <c r="A453" s="1" t="s">
        <v>2576</v>
      </c>
      <c r="B453" s="1" t="s">
        <v>35</v>
      </c>
      <c r="C453" s="1">
        <v>7.6</v>
      </c>
    </row>
    <row r="454" ht="14.25" customHeight="1">
      <c r="A454" s="1" t="s">
        <v>2581</v>
      </c>
      <c r="B454" s="1" t="s">
        <v>35</v>
      </c>
      <c r="C454" s="1">
        <v>5.7</v>
      </c>
    </row>
    <row r="455" ht="14.25" customHeight="1">
      <c r="A455" s="1" t="s">
        <v>2586</v>
      </c>
      <c r="B455" s="1" t="s">
        <v>35</v>
      </c>
      <c r="C455" s="1">
        <v>4.6</v>
      </c>
    </row>
    <row r="456" ht="14.25" customHeight="1">
      <c r="A456" s="1" t="s">
        <v>2592</v>
      </c>
      <c r="B456" s="1" t="s">
        <v>35</v>
      </c>
      <c r="C456" s="1">
        <v>7.0</v>
      </c>
    </row>
    <row r="457" ht="14.25" customHeight="1">
      <c r="A457" s="1" t="s">
        <v>2598</v>
      </c>
      <c r="B457" s="1" t="s">
        <v>35</v>
      </c>
      <c r="C457" s="1">
        <v>5.2</v>
      </c>
    </row>
    <row r="458" ht="14.25" customHeight="1">
      <c r="A458" s="1" t="s">
        <v>2605</v>
      </c>
      <c r="B458" s="1" t="s">
        <v>35</v>
      </c>
      <c r="C458" s="1">
        <v>5.1</v>
      </c>
    </row>
    <row r="459" ht="14.25" customHeight="1">
      <c r="A459" s="1" t="s">
        <v>2611</v>
      </c>
      <c r="B459" s="1" t="s">
        <v>35</v>
      </c>
      <c r="C459" s="1">
        <v>6.6</v>
      </c>
    </row>
    <row r="460" ht="14.25" customHeight="1">
      <c r="A460" s="1" t="s">
        <v>2616</v>
      </c>
      <c r="B460" s="1" t="s">
        <v>35</v>
      </c>
      <c r="C460" s="1">
        <v>6.7</v>
      </c>
    </row>
    <row r="461" ht="14.25" customHeight="1">
      <c r="A461" s="1" t="s">
        <v>2621</v>
      </c>
      <c r="B461" s="1" t="s">
        <v>35</v>
      </c>
      <c r="C461" s="1">
        <v>7.3</v>
      </c>
    </row>
    <row r="462" ht="14.25" customHeight="1">
      <c r="A462" s="1" t="s">
        <v>2628</v>
      </c>
      <c r="B462" s="1" t="s">
        <v>35</v>
      </c>
      <c r="C462" s="1">
        <v>5.9</v>
      </c>
    </row>
    <row r="463" ht="14.25" customHeight="1">
      <c r="A463" s="1" t="s">
        <v>2633</v>
      </c>
      <c r="B463" s="1" t="s">
        <v>35</v>
      </c>
      <c r="C463" s="1">
        <v>5.6</v>
      </c>
    </row>
    <row r="464" ht="14.25" customHeight="1">
      <c r="A464" s="1" t="s">
        <v>2639</v>
      </c>
      <c r="B464" s="1" t="s">
        <v>35</v>
      </c>
      <c r="C464" s="1">
        <v>6.5</v>
      </c>
    </row>
    <row r="465" ht="14.25" customHeight="1">
      <c r="A465" s="1" t="s">
        <v>2642</v>
      </c>
      <c r="B465" s="1" t="s">
        <v>2648</v>
      </c>
      <c r="C465" s="1">
        <v>5.9</v>
      </c>
    </row>
    <row r="466" ht="14.25" customHeight="1">
      <c r="A466" s="1" t="s">
        <v>2650</v>
      </c>
      <c r="B466" s="1" t="s">
        <v>35</v>
      </c>
      <c r="C466" s="1">
        <v>7.0</v>
      </c>
    </row>
    <row r="467" ht="14.25" customHeight="1">
      <c r="A467" s="1" t="s">
        <v>2656</v>
      </c>
      <c r="B467" s="1" t="s">
        <v>35</v>
      </c>
      <c r="C467" s="1">
        <v>5.3</v>
      </c>
    </row>
    <row r="468" ht="14.25" customHeight="1">
      <c r="A468" s="1" t="s">
        <v>2662</v>
      </c>
      <c r="B468" s="1" t="s">
        <v>35</v>
      </c>
      <c r="C468" s="1">
        <v>5.9</v>
      </c>
    </row>
    <row r="469" ht="14.25" customHeight="1">
      <c r="A469" s="1" t="s">
        <v>2666</v>
      </c>
      <c r="B469" s="1" t="s">
        <v>35</v>
      </c>
      <c r="C469" s="1">
        <v>6.3</v>
      </c>
    </row>
    <row r="470" ht="14.25" customHeight="1">
      <c r="A470" s="1" t="s">
        <v>2669</v>
      </c>
      <c r="B470" s="1" t="s">
        <v>35</v>
      </c>
      <c r="C470" s="1">
        <v>6.3</v>
      </c>
    </row>
    <row r="471" ht="14.25" customHeight="1">
      <c r="A471" s="1" t="s">
        <v>2675</v>
      </c>
      <c r="B471" s="1" t="s">
        <v>35</v>
      </c>
      <c r="C471" s="1">
        <v>7.3</v>
      </c>
    </row>
    <row r="472" ht="14.25" customHeight="1">
      <c r="A472" s="1" t="s">
        <v>2681</v>
      </c>
      <c r="B472" s="1" t="s">
        <v>35</v>
      </c>
      <c r="C472" s="1">
        <v>5.8</v>
      </c>
    </row>
    <row r="473" ht="14.25" customHeight="1">
      <c r="A473" s="1" t="s">
        <v>2687</v>
      </c>
      <c r="B473" s="1" t="s">
        <v>35</v>
      </c>
      <c r="C473" s="1">
        <v>5.2</v>
      </c>
    </row>
    <row r="474" ht="14.25" customHeight="1">
      <c r="A474" s="1" t="s">
        <v>2695</v>
      </c>
      <c r="B474" s="1" t="s">
        <v>35</v>
      </c>
      <c r="C474" s="1">
        <v>2.4</v>
      </c>
    </row>
    <row r="475" ht="14.25" customHeight="1">
      <c r="A475" s="1" t="s">
        <v>2701</v>
      </c>
      <c r="B475" s="1" t="s">
        <v>35</v>
      </c>
      <c r="C475" s="1">
        <v>5.7</v>
      </c>
    </row>
    <row r="476" ht="14.25" customHeight="1">
      <c r="A476" s="1" t="s">
        <v>2706</v>
      </c>
      <c r="B476" s="1" t="s">
        <v>35</v>
      </c>
      <c r="C476" s="1">
        <v>5.8</v>
      </c>
    </row>
    <row r="477" ht="14.25" customHeight="1">
      <c r="A477" s="1" t="s">
        <v>2713</v>
      </c>
      <c r="B477" s="1" t="s">
        <v>35</v>
      </c>
      <c r="C477" s="1">
        <v>5.6</v>
      </c>
    </row>
    <row r="478" ht="14.25" customHeight="1">
      <c r="A478" s="1" t="s">
        <v>2717</v>
      </c>
      <c r="B478" s="1" t="s">
        <v>35</v>
      </c>
      <c r="C478" s="1">
        <v>6.0</v>
      </c>
    </row>
    <row r="479" ht="14.25" customHeight="1">
      <c r="A479" s="1" t="s">
        <v>2722</v>
      </c>
      <c r="B479" s="1" t="s">
        <v>35</v>
      </c>
      <c r="C479" s="1">
        <v>5.8</v>
      </c>
    </row>
    <row r="480" ht="14.25" customHeight="1">
      <c r="A480" s="1" t="s">
        <v>2727</v>
      </c>
      <c r="B480" s="1" t="s">
        <v>35</v>
      </c>
      <c r="C480" s="1">
        <v>6.0</v>
      </c>
    </row>
    <row r="481" ht="14.25" customHeight="1">
      <c r="A481" s="1" t="s">
        <v>2733</v>
      </c>
      <c r="B481" s="1" t="s">
        <v>35</v>
      </c>
      <c r="C481" s="1">
        <v>5.7</v>
      </c>
    </row>
    <row r="482" ht="14.25" customHeight="1">
      <c r="A482" s="1" t="s">
        <v>2739</v>
      </c>
      <c r="B482" s="1" t="s">
        <v>35</v>
      </c>
      <c r="C482" s="1">
        <v>6.0</v>
      </c>
    </row>
    <row r="483" ht="14.25" customHeight="1">
      <c r="A483" s="1" t="s">
        <v>2746</v>
      </c>
      <c r="B483" s="1" t="s">
        <v>2752</v>
      </c>
      <c r="C483" s="1">
        <v>7.8</v>
      </c>
    </row>
    <row r="484" ht="14.25" customHeight="1">
      <c r="A484" s="1" t="s">
        <v>2753</v>
      </c>
      <c r="B484" s="1" t="s">
        <v>35</v>
      </c>
      <c r="C484" s="1">
        <v>4.2</v>
      </c>
    </row>
    <row r="485" ht="14.25" customHeight="1">
      <c r="A485" s="1" t="s">
        <v>2757</v>
      </c>
      <c r="B485" s="1" t="s">
        <v>35</v>
      </c>
      <c r="C485" s="1">
        <v>5.6</v>
      </c>
    </row>
    <row r="486" ht="14.25" customHeight="1">
      <c r="A486" s="1" t="s">
        <v>2764</v>
      </c>
      <c r="B486" s="1" t="s">
        <v>35</v>
      </c>
      <c r="C486" s="1">
        <v>8.2</v>
      </c>
    </row>
    <row r="487" ht="14.25" customHeight="1">
      <c r="A487" s="1" t="s">
        <v>2768</v>
      </c>
      <c r="B487" s="1" t="s">
        <v>35</v>
      </c>
      <c r="C487" s="1">
        <v>8.5</v>
      </c>
    </row>
    <row r="488" ht="14.25" customHeight="1">
      <c r="A488" s="1" t="s">
        <v>2773</v>
      </c>
      <c r="B488" s="1" t="s">
        <v>35</v>
      </c>
      <c r="C488" s="1">
        <v>5.8</v>
      </c>
    </row>
    <row r="489" ht="14.25" customHeight="1">
      <c r="A489" s="1" t="s">
        <v>2777</v>
      </c>
      <c r="B489" s="1" t="s">
        <v>35</v>
      </c>
      <c r="C489" s="1">
        <v>6.5</v>
      </c>
    </row>
    <row r="490" ht="14.25" customHeight="1">
      <c r="A490" s="1" t="s">
        <v>2782</v>
      </c>
      <c r="B490" s="1" t="s">
        <v>35</v>
      </c>
      <c r="C490" s="1">
        <v>7.2</v>
      </c>
    </row>
    <row r="491" ht="14.25" customHeight="1">
      <c r="A491" s="1" t="s">
        <v>2786</v>
      </c>
      <c r="B491" s="1" t="s">
        <v>35</v>
      </c>
      <c r="C491" s="1">
        <v>6.7</v>
      </c>
    </row>
    <row r="492" ht="14.25" customHeight="1">
      <c r="A492" s="1" t="s">
        <v>2789</v>
      </c>
      <c r="B492" s="1" t="s">
        <v>35</v>
      </c>
      <c r="C492" s="1">
        <v>3.4</v>
      </c>
    </row>
    <row r="493" ht="14.25" customHeight="1">
      <c r="A493" s="1" t="s">
        <v>2794</v>
      </c>
      <c r="B493" s="1" t="s">
        <v>35</v>
      </c>
      <c r="C493" s="1">
        <v>5.9</v>
      </c>
    </row>
    <row r="494" ht="14.25" customHeight="1">
      <c r="A494" s="1" t="s">
        <v>2798</v>
      </c>
      <c r="B494" s="1" t="s">
        <v>35</v>
      </c>
      <c r="C494" s="1">
        <v>7.8</v>
      </c>
    </row>
    <row r="495" ht="14.25" customHeight="1">
      <c r="A495" s="1" t="s">
        <v>2803</v>
      </c>
      <c r="B495" s="1" t="s">
        <v>35</v>
      </c>
      <c r="C495" s="1">
        <v>5.9</v>
      </c>
    </row>
    <row r="496" ht="14.25" customHeight="1">
      <c r="A496" s="1" t="s">
        <v>2810</v>
      </c>
      <c r="B496" s="1" t="s">
        <v>35</v>
      </c>
      <c r="C496" s="1">
        <v>4.1</v>
      </c>
    </row>
    <row r="497" ht="14.25" customHeight="1">
      <c r="A497" s="1" t="s">
        <v>2815</v>
      </c>
      <c r="B497" s="1" t="s">
        <v>35</v>
      </c>
      <c r="C497" s="1">
        <v>6.8</v>
      </c>
    </row>
    <row r="498" ht="14.25" customHeight="1">
      <c r="A498" s="1" t="s">
        <v>2823</v>
      </c>
      <c r="B498" s="1" t="s">
        <v>35</v>
      </c>
      <c r="C498" s="1">
        <v>5.8</v>
      </c>
    </row>
    <row r="499" ht="14.25" customHeight="1">
      <c r="A499" s="1" t="s">
        <v>2828</v>
      </c>
      <c r="B499" s="1" t="s">
        <v>35</v>
      </c>
      <c r="C499" s="1">
        <v>7.5</v>
      </c>
    </row>
    <row r="500" ht="14.25" customHeight="1">
      <c r="A500" s="1" t="s">
        <v>2832</v>
      </c>
      <c r="B500" s="1" t="s">
        <v>35</v>
      </c>
      <c r="C500" s="1">
        <v>6.9</v>
      </c>
    </row>
    <row r="501" ht="14.25" customHeight="1">
      <c r="A501" s="1" t="s">
        <v>2836</v>
      </c>
      <c r="B501" s="1" t="s">
        <v>35</v>
      </c>
      <c r="C501" s="1">
        <v>6.5</v>
      </c>
    </row>
    <row r="502" ht="14.25" customHeight="1">
      <c r="A502" s="1" t="s">
        <v>2842</v>
      </c>
      <c r="B502" s="1" t="s">
        <v>35</v>
      </c>
      <c r="C502" s="1">
        <v>6.9</v>
      </c>
    </row>
    <row r="503" ht="14.25" customHeight="1">
      <c r="A503" s="1" t="s">
        <v>2845</v>
      </c>
      <c r="B503" s="1" t="s">
        <v>35</v>
      </c>
      <c r="C503" s="1">
        <v>7.9</v>
      </c>
    </row>
    <row r="504" ht="14.25" customHeight="1">
      <c r="A504" s="1" t="s">
        <v>2850</v>
      </c>
      <c r="B504" s="1" t="s">
        <v>35</v>
      </c>
      <c r="C504" s="1">
        <v>7.4</v>
      </c>
    </row>
    <row r="505" ht="14.25" customHeight="1">
      <c r="A505" s="1" t="s">
        <v>2855</v>
      </c>
      <c r="B505" s="1" t="s">
        <v>35</v>
      </c>
      <c r="C505" s="1">
        <v>6.7</v>
      </c>
    </row>
    <row r="506" ht="14.25" customHeight="1">
      <c r="A506" s="1" t="s">
        <v>2859</v>
      </c>
      <c r="B506" s="1" t="s">
        <v>35</v>
      </c>
      <c r="C506" s="1">
        <v>7.4</v>
      </c>
    </row>
    <row r="507" ht="14.25" customHeight="1">
      <c r="A507" s="1" t="s">
        <v>2864</v>
      </c>
      <c r="B507" s="1" t="s">
        <v>35</v>
      </c>
      <c r="C507" s="1">
        <v>6.9</v>
      </c>
    </row>
    <row r="508" ht="14.25" customHeight="1">
      <c r="A508" s="1" t="s">
        <v>2869</v>
      </c>
      <c r="B508" s="1" t="s">
        <v>35</v>
      </c>
      <c r="C508" s="1">
        <v>6.8</v>
      </c>
    </row>
    <row r="509" ht="14.25" customHeight="1">
      <c r="A509" s="1" t="s">
        <v>2874</v>
      </c>
      <c r="B509" s="1" t="s">
        <v>35</v>
      </c>
      <c r="C509" s="1">
        <v>6.7</v>
      </c>
    </row>
    <row r="510" ht="14.25" customHeight="1">
      <c r="A510" s="1" t="s">
        <v>2881</v>
      </c>
      <c r="B510" s="1" t="s">
        <v>35</v>
      </c>
      <c r="C510" s="1">
        <v>5.1</v>
      </c>
    </row>
    <row r="511" ht="14.25" customHeight="1">
      <c r="A511" s="1" t="s">
        <v>2888</v>
      </c>
      <c r="B511" s="1" t="s">
        <v>35</v>
      </c>
      <c r="C511" s="1">
        <v>4.1</v>
      </c>
    </row>
    <row r="512" ht="14.25" customHeight="1">
      <c r="A512" s="1" t="s">
        <v>2892</v>
      </c>
      <c r="B512" s="1" t="s">
        <v>35</v>
      </c>
      <c r="C512" s="1">
        <v>7.3</v>
      </c>
    </row>
    <row r="513" ht="14.25" customHeight="1">
      <c r="A513" s="1" t="s">
        <v>2896</v>
      </c>
      <c r="B513" s="1" t="s">
        <v>35</v>
      </c>
      <c r="C513" s="1">
        <v>6.0</v>
      </c>
    </row>
    <row r="514" ht="14.25" customHeight="1">
      <c r="A514" s="1" t="s">
        <v>2899</v>
      </c>
      <c r="B514" s="1" t="s">
        <v>35</v>
      </c>
      <c r="C514" s="1">
        <v>7.3</v>
      </c>
    </row>
    <row r="515" ht="14.25" customHeight="1">
      <c r="A515" s="1" t="s">
        <v>2903</v>
      </c>
      <c r="B515" s="1" t="s">
        <v>35</v>
      </c>
      <c r="C515" s="1">
        <v>5.4</v>
      </c>
    </row>
    <row r="516" ht="14.25" customHeight="1">
      <c r="A516" s="1" t="s">
        <v>2909</v>
      </c>
      <c r="B516" s="1" t="s">
        <v>35</v>
      </c>
      <c r="C516" s="1">
        <v>5.9</v>
      </c>
    </row>
    <row r="517" ht="14.25" customHeight="1">
      <c r="A517" s="1" t="s">
        <v>2914</v>
      </c>
      <c r="B517" s="1" t="s">
        <v>35</v>
      </c>
      <c r="C517" s="1">
        <v>7.1</v>
      </c>
    </row>
    <row r="518" ht="14.25" customHeight="1">
      <c r="A518" s="1" t="s">
        <v>2919</v>
      </c>
      <c r="B518" s="1" t="s">
        <v>35</v>
      </c>
      <c r="C518" s="1">
        <v>6.0</v>
      </c>
    </row>
    <row r="519" ht="14.25" customHeight="1">
      <c r="A519" s="1" t="s">
        <v>2922</v>
      </c>
      <c r="B519" s="1" t="s">
        <v>35</v>
      </c>
      <c r="C519" s="1">
        <v>6.5</v>
      </c>
    </row>
    <row r="520" ht="14.25" customHeight="1">
      <c r="A520" s="1" t="s">
        <v>2929</v>
      </c>
      <c r="B520" s="1" t="s">
        <v>35</v>
      </c>
      <c r="C520" s="1">
        <v>5.7</v>
      </c>
    </row>
    <row r="521" ht="14.25" customHeight="1">
      <c r="A521" s="1" t="s">
        <v>2934</v>
      </c>
      <c r="B521" s="1" t="s">
        <v>35</v>
      </c>
      <c r="C521" s="1">
        <v>7.6</v>
      </c>
    </row>
    <row r="522" ht="14.25" customHeight="1">
      <c r="A522" s="1" t="s">
        <v>2939</v>
      </c>
      <c r="B522" s="1" t="s">
        <v>35</v>
      </c>
      <c r="C522" s="1">
        <v>6.6</v>
      </c>
    </row>
    <row r="523" ht="14.25" customHeight="1">
      <c r="A523" s="1" t="s">
        <v>2943</v>
      </c>
      <c r="B523" s="1" t="s">
        <v>35</v>
      </c>
      <c r="C523" s="1">
        <v>5.4</v>
      </c>
    </row>
    <row r="524" ht="14.25" customHeight="1">
      <c r="A524" s="1" t="s">
        <v>2948</v>
      </c>
      <c r="B524" s="1" t="s">
        <v>35</v>
      </c>
      <c r="C524" s="1">
        <v>7.3</v>
      </c>
    </row>
    <row r="525" ht="14.25" customHeight="1">
      <c r="A525" s="1" t="s">
        <v>2952</v>
      </c>
      <c r="B525" s="1" t="s">
        <v>35</v>
      </c>
      <c r="C525" s="1">
        <v>6.5</v>
      </c>
    </row>
    <row r="526" ht="14.25" customHeight="1">
      <c r="A526" s="1" t="s">
        <v>2958</v>
      </c>
      <c r="B526" s="1" t="s">
        <v>35</v>
      </c>
      <c r="C526" s="1">
        <v>6.6</v>
      </c>
    </row>
    <row r="527" ht="14.25" customHeight="1">
      <c r="A527" s="1" t="s">
        <v>2963</v>
      </c>
      <c r="B527" s="1" t="s">
        <v>35</v>
      </c>
      <c r="C527" s="1">
        <v>6.6</v>
      </c>
    </row>
    <row r="528" ht="14.25" customHeight="1">
      <c r="A528" s="1" t="s">
        <v>2970</v>
      </c>
      <c r="B528" s="1" t="s">
        <v>35</v>
      </c>
      <c r="C528" s="1">
        <v>5.9</v>
      </c>
    </row>
    <row r="529" ht="14.25" customHeight="1">
      <c r="A529" s="1" t="s">
        <v>2977</v>
      </c>
      <c r="B529" s="1" t="s">
        <v>35</v>
      </c>
      <c r="C529" s="1">
        <v>6.7</v>
      </c>
    </row>
    <row r="530" ht="14.25" customHeight="1">
      <c r="A530" s="1" t="s">
        <v>2983</v>
      </c>
      <c r="B530" s="1" t="s">
        <v>35</v>
      </c>
      <c r="C530" s="1">
        <v>6.1</v>
      </c>
    </row>
    <row r="531" ht="14.25" customHeight="1">
      <c r="A531" s="1" t="s">
        <v>2990</v>
      </c>
      <c r="B531" s="1" t="s">
        <v>35</v>
      </c>
      <c r="C531" s="1">
        <v>6.6</v>
      </c>
    </row>
    <row r="532" ht="14.25" customHeight="1">
      <c r="A532" s="1" t="s">
        <v>2995</v>
      </c>
      <c r="B532" s="1" t="s">
        <v>35</v>
      </c>
      <c r="C532" s="1">
        <v>6.6</v>
      </c>
    </row>
    <row r="533" ht="14.25" customHeight="1">
      <c r="A533" s="1" t="s">
        <v>3000</v>
      </c>
      <c r="B533" s="1" t="s">
        <v>35</v>
      </c>
      <c r="C533" s="1">
        <v>5.3</v>
      </c>
    </row>
    <row r="534" ht="14.25" customHeight="1">
      <c r="A534" s="1" t="s">
        <v>3004</v>
      </c>
      <c r="B534" s="1" t="s">
        <v>35</v>
      </c>
      <c r="C534" s="1">
        <v>6.0</v>
      </c>
    </row>
    <row r="535" ht="14.25" customHeight="1">
      <c r="A535" s="1" t="s">
        <v>3010</v>
      </c>
      <c r="B535" s="1" t="s">
        <v>35</v>
      </c>
      <c r="C535" s="1">
        <v>4.7</v>
      </c>
    </row>
    <row r="536" ht="14.25" customHeight="1">
      <c r="A536" s="1" t="s">
        <v>3016</v>
      </c>
      <c r="B536" s="1" t="s">
        <v>35</v>
      </c>
      <c r="C536" s="1">
        <v>6.1</v>
      </c>
    </row>
    <row r="537" ht="14.25" customHeight="1">
      <c r="A537" s="1" t="s">
        <v>3019</v>
      </c>
      <c r="B537" s="1" t="s">
        <v>35</v>
      </c>
      <c r="C537" s="1">
        <v>7.2</v>
      </c>
    </row>
    <row r="538" ht="14.25" customHeight="1">
      <c r="A538" s="1" t="s">
        <v>3023</v>
      </c>
      <c r="B538" s="1" t="s">
        <v>35</v>
      </c>
      <c r="C538" s="1">
        <v>6.4</v>
      </c>
    </row>
    <row r="539" ht="14.25" customHeight="1">
      <c r="A539" s="1" t="s">
        <v>3026</v>
      </c>
      <c r="B539" s="1" t="s">
        <v>35</v>
      </c>
      <c r="C539" s="1">
        <v>6.1</v>
      </c>
    </row>
    <row r="540" ht="14.25" customHeight="1">
      <c r="A540" s="1" t="s">
        <v>3030</v>
      </c>
      <c r="B540" s="1" t="s">
        <v>35</v>
      </c>
      <c r="C540" s="1">
        <v>5.9</v>
      </c>
    </row>
    <row r="541" ht="14.25" customHeight="1">
      <c r="A541" s="1" t="s">
        <v>3035</v>
      </c>
      <c r="B541" s="1" t="s">
        <v>35</v>
      </c>
      <c r="C541" s="1">
        <v>6.0</v>
      </c>
    </row>
    <row r="542" ht="14.25" customHeight="1">
      <c r="A542" s="1" t="s">
        <v>3042</v>
      </c>
      <c r="B542" s="1" t="s">
        <v>35</v>
      </c>
      <c r="C542" s="1">
        <v>6.3</v>
      </c>
    </row>
    <row r="543" ht="14.25" customHeight="1">
      <c r="A543" s="1" t="s">
        <v>3047</v>
      </c>
      <c r="B543" s="1" t="s">
        <v>35</v>
      </c>
      <c r="C543" s="1">
        <v>5.6</v>
      </c>
    </row>
    <row r="544" ht="14.25" customHeight="1">
      <c r="A544" s="1" t="s">
        <v>3053</v>
      </c>
      <c r="B544" s="1" t="s">
        <v>35</v>
      </c>
      <c r="C544" s="1">
        <v>6.4</v>
      </c>
    </row>
    <row r="545" ht="14.25" customHeight="1">
      <c r="A545" s="1" t="s">
        <v>3057</v>
      </c>
      <c r="B545" s="1" t="s">
        <v>35</v>
      </c>
      <c r="C545" s="1">
        <v>7.1</v>
      </c>
    </row>
    <row r="546" ht="14.25" customHeight="1">
      <c r="A546" s="1" t="s">
        <v>3062</v>
      </c>
      <c r="B546" s="1" t="s">
        <v>35</v>
      </c>
      <c r="C546" s="1">
        <v>6.6</v>
      </c>
    </row>
    <row r="547" ht="14.25" customHeight="1">
      <c r="A547" s="1" t="s">
        <v>3068</v>
      </c>
      <c r="B547" s="1" t="s">
        <v>35</v>
      </c>
      <c r="C547" s="1">
        <v>4.6</v>
      </c>
    </row>
    <row r="548" ht="14.25" customHeight="1">
      <c r="A548" s="1" t="s">
        <v>3074</v>
      </c>
      <c r="B548" s="1" t="s">
        <v>35</v>
      </c>
      <c r="C548" s="1">
        <v>8.4</v>
      </c>
    </row>
    <row r="549" ht="14.25" customHeight="1">
      <c r="A549" s="1" t="s">
        <v>3081</v>
      </c>
      <c r="B549" s="1" t="s">
        <v>35</v>
      </c>
      <c r="C549" s="1">
        <v>7.1</v>
      </c>
    </row>
    <row r="550" ht="14.25" customHeight="1">
      <c r="A550" s="1" t="s">
        <v>3087</v>
      </c>
      <c r="B550" s="1" t="s">
        <v>35</v>
      </c>
      <c r="C550" s="1">
        <v>7.4</v>
      </c>
    </row>
    <row r="551" ht="14.25" customHeight="1">
      <c r="A551" s="1" t="s">
        <v>3094</v>
      </c>
      <c r="B551" s="1" t="s">
        <v>35</v>
      </c>
      <c r="C551" s="1">
        <v>6.9</v>
      </c>
    </row>
    <row r="552" ht="14.25" customHeight="1">
      <c r="A552" s="1" t="s">
        <v>3100</v>
      </c>
      <c r="B552" s="1" t="s">
        <v>35</v>
      </c>
      <c r="C552" s="1">
        <v>4.5</v>
      </c>
    </row>
    <row r="553" ht="14.25" customHeight="1">
      <c r="A553" s="1" t="s">
        <v>3105</v>
      </c>
      <c r="B553" s="1" t="s">
        <v>35</v>
      </c>
      <c r="C553" s="1">
        <v>7.1</v>
      </c>
    </row>
    <row r="554" ht="14.25" customHeight="1">
      <c r="A554" s="1" t="s">
        <v>3112</v>
      </c>
      <c r="B554" s="1" t="s">
        <v>35</v>
      </c>
      <c r="C554" s="1">
        <v>6.5</v>
      </c>
    </row>
    <row r="555" ht="14.25" customHeight="1">
      <c r="A555" s="1" t="s">
        <v>3117</v>
      </c>
      <c r="B555" s="1" t="s">
        <v>35</v>
      </c>
      <c r="C555" s="1">
        <v>5.3</v>
      </c>
    </row>
    <row r="556" ht="14.25" customHeight="1">
      <c r="A556" s="1" t="s">
        <v>3121</v>
      </c>
      <c r="B556" s="1" t="s">
        <v>35</v>
      </c>
      <c r="C556" s="1">
        <v>6.7</v>
      </c>
    </row>
    <row r="557" ht="14.25" customHeight="1">
      <c r="A557" s="1" t="s">
        <v>3127</v>
      </c>
      <c r="B557" s="1" t="s">
        <v>35</v>
      </c>
      <c r="C557" s="1">
        <v>7.2</v>
      </c>
    </row>
    <row r="558" ht="14.25" customHeight="1">
      <c r="A558" s="1" t="s">
        <v>3133</v>
      </c>
      <c r="B558" s="1" t="s">
        <v>35</v>
      </c>
      <c r="C558" s="1">
        <v>7.2</v>
      </c>
    </row>
    <row r="559" ht="14.25" customHeight="1">
      <c r="A559" s="1" t="s">
        <v>3139</v>
      </c>
      <c r="B559" s="1" t="s">
        <v>35</v>
      </c>
      <c r="C559" s="1">
        <v>5.5</v>
      </c>
    </row>
    <row r="560" ht="14.25" customHeight="1">
      <c r="A560" s="1" t="s">
        <v>3143</v>
      </c>
      <c r="B560" s="1" t="s">
        <v>35</v>
      </c>
      <c r="C560" s="1">
        <v>5.8</v>
      </c>
    </row>
    <row r="561" ht="14.25" customHeight="1">
      <c r="A561" s="1" t="s">
        <v>3149</v>
      </c>
      <c r="B561" s="1" t="s">
        <v>35</v>
      </c>
      <c r="C561" s="1">
        <v>6.0</v>
      </c>
    </row>
    <row r="562" ht="14.25" customHeight="1">
      <c r="A562" s="1" t="s">
        <v>3154</v>
      </c>
      <c r="B562" s="1" t="s">
        <v>35</v>
      </c>
      <c r="C562" s="1">
        <v>6.6</v>
      </c>
    </row>
    <row r="563" ht="14.25" customHeight="1">
      <c r="A563" s="1" t="s">
        <v>3157</v>
      </c>
      <c r="B563" s="1" t="s">
        <v>35</v>
      </c>
      <c r="C563" s="1">
        <v>8.3</v>
      </c>
    </row>
    <row r="564" ht="14.25" customHeight="1">
      <c r="A564" s="1" t="s">
        <v>3161</v>
      </c>
      <c r="B564" s="1" t="s">
        <v>35</v>
      </c>
      <c r="C564" s="1">
        <v>6.7</v>
      </c>
    </row>
    <row r="565" ht="14.25" customHeight="1">
      <c r="A565" s="1" t="s">
        <v>1782</v>
      </c>
      <c r="B565" s="1" t="s">
        <v>35</v>
      </c>
      <c r="C565" s="1">
        <v>6.0</v>
      </c>
    </row>
    <row r="566" ht="14.25" customHeight="1">
      <c r="A566" s="1" t="s">
        <v>3164</v>
      </c>
      <c r="B566" s="1" t="s">
        <v>35</v>
      </c>
      <c r="C566" s="1">
        <v>7.1</v>
      </c>
    </row>
    <row r="567" ht="14.25" customHeight="1">
      <c r="A567" s="1" t="s">
        <v>3170</v>
      </c>
      <c r="B567" s="1" t="s">
        <v>35</v>
      </c>
      <c r="C567" s="1">
        <v>6.0</v>
      </c>
    </row>
    <row r="568" ht="14.25" customHeight="1">
      <c r="A568" s="1" t="s">
        <v>3176</v>
      </c>
      <c r="B568" s="1" t="s">
        <v>35</v>
      </c>
      <c r="C568" s="1">
        <v>6.9</v>
      </c>
    </row>
    <row r="569" ht="14.25" customHeight="1">
      <c r="A569" s="1" t="s">
        <v>3180</v>
      </c>
      <c r="B569" s="1" t="s">
        <v>35</v>
      </c>
      <c r="C569" s="1">
        <v>5.6</v>
      </c>
    </row>
    <row r="570" ht="14.25" customHeight="1">
      <c r="A570" s="1" t="s">
        <v>3186</v>
      </c>
      <c r="B570" s="1" t="s">
        <v>35</v>
      </c>
      <c r="C570" s="1">
        <v>5.6</v>
      </c>
    </row>
    <row r="571" ht="14.25" customHeight="1">
      <c r="A571" s="1" t="s">
        <v>3190</v>
      </c>
      <c r="B571" s="1" t="s">
        <v>35</v>
      </c>
      <c r="C571" s="1">
        <v>4.5</v>
      </c>
    </row>
    <row r="572" ht="14.25" customHeight="1">
      <c r="A572" s="1" t="s">
        <v>3196</v>
      </c>
      <c r="B572" s="1" t="s">
        <v>35</v>
      </c>
      <c r="C572" s="1">
        <v>7.1</v>
      </c>
    </row>
    <row r="573" ht="14.25" customHeight="1">
      <c r="A573" s="1" t="s">
        <v>3200</v>
      </c>
      <c r="B573" s="1" t="s">
        <v>35</v>
      </c>
      <c r="C573" s="1">
        <v>6.5</v>
      </c>
    </row>
    <row r="574" ht="14.25" customHeight="1">
      <c r="A574" s="1" t="s">
        <v>3205</v>
      </c>
      <c r="B574" s="1" t="s">
        <v>35</v>
      </c>
      <c r="C574" s="1">
        <v>6.4</v>
      </c>
    </row>
    <row r="575" ht="14.25" customHeight="1">
      <c r="A575" s="1" t="s">
        <v>3210</v>
      </c>
      <c r="B575" s="1" t="s">
        <v>35</v>
      </c>
      <c r="C575" s="1">
        <v>5.8</v>
      </c>
    </row>
    <row r="576" ht="14.25" customHeight="1">
      <c r="A576" s="1" t="s">
        <v>3213</v>
      </c>
      <c r="B576" s="1" t="s">
        <v>35</v>
      </c>
      <c r="C576" s="1">
        <v>8.0</v>
      </c>
    </row>
    <row r="577" ht="14.25" customHeight="1">
      <c r="A577" s="1" t="s">
        <v>3217</v>
      </c>
      <c r="B577" s="1" t="s">
        <v>35</v>
      </c>
      <c r="C577" s="1">
        <v>6.2</v>
      </c>
    </row>
    <row r="578" ht="14.25" customHeight="1">
      <c r="A578" s="1" t="s">
        <v>3224</v>
      </c>
      <c r="B578" s="1" t="s">
        <v>35</v>
      </c>
      <c r="C578" s="1">
        <v>7.2</v>
      </c>
    </row>
    <row r="579" ht="14.25" customHeight="1">
      <c r="A579" s="1" t="s">
        <v>3230</v>
      </c>
      <c r="B579" s="1" t="s">
        <v>35</v>
      </c>
      <c r="C579" s="1">
        <v>6.1</v>
      </c>
    </row>
    <row r="580" ht="14.25" customHeight="1">
      <c r="A580" s="1" t="s">
        <v>3233</v>
      </c>
      <c r="B580" s="1" t="s">
        <v>35</v>
      </c>
      <c r="C580" s="1">
        <v>7.6</v>
      </c>
    </row>
    <row r="581" ht="14.25" customHeight="1">
      <c r="A581" s="1" t="s">
        <v>3237</v>
      </c>
      <c r="B581" s="1" t="s">
        <v>35</v>
      </c>
      <c r="C581" s="1">
        <v>6.3</v>
      </c>
    </row>
    <row r="582" ht="14.25" customHeight="1">
      <c r="A582" s="1" t="s">
        <v>3243</v>
      </c>
      <c r="B582" s="1" t="s">
        <v>35</v>
      </c>
      <c r="C582" s="1">
        <v>6.3</v>
      </c>
    </row>
    <row r="583" ht="14.25" customHeight="1">
      <c r="A583" s="1" t="s">
        <v>3249</v>
      </c>
      <c r="B583" s="1" t="s">
        <v>35</v>
      </c>
      <c r="C583" s="1">
        <v>6.3</v>
      </c>
    </row>
    <row r="584" ht="14.25" customHeight="1">
      <c r="A584" s="1" t="s">
        <v>3253</v>
      </c>
      <c r="B584" s="1" t="s">
        <v>35</v>
      </c>
      <c r="C584" s="1">
        <v>7.7</v>
      </c>
    </row>
    <row r="585" ht="14.25" customHeight="1">
      <c r="A585" s="1" t="s">
        <v>3258</v>
      </c>
      <c r="B585" s="1" t="s">
        <v>35</v>
      </c>
      <c r="C585" s="1">
        <v>7.0</v>
      </c>
    </row>
    <row r="586" ht="14.25" customHeight="1">
      <c r="A586" s="1" t="s">
        <v>3263</v>
      </c>
      <c r="B586" s="1" t="s">
        <v>35</v>
      </c>
      <c r="C586" s="1">
        <v>5.3</v>
      </c>
    </row>
    <row r="587" ht="14.25" customHeight="1">
      <c r="A587" s="1" t="s">
        <v>3267</v>
      </c>
      <c r="B587" s="1" t="s">
        <v>35</v>
      </c>
      <c r="C587" s="1">
        <v>5.6</v>
      </c>
    </row>
    <row r="588" ht="14.25" customHeight="1">
      <c r="A588" s="1" t="s">
        <v>3273</v>
      </c>
      <c r="B588" s="1" t="s">
        <v>35</v>
      </c>
      <c r="C588" s="1">
        <v>5.2</v>
      </c>
    </row>
    <row r="589" ht="14.25" customHeight="1">
      <c r="A589" s="1" t="s">
        <v>3279</v>
      </c>
      <c r="B589" s="1" t="s">
        <v>35</v>
      </c>
      <c r="C589" s="1">
        <v>5.4</v>
      </c>
    </row>
    <row r="590" ht="14.25" customHeight="1">
      <c r="A590" s="1" t="s">
        <v>3285</v>
      </c>
      <c r="B590" s="1" t="s">
        <v>35</v>
      </c>
      <c r="C590" s="1">
        <v>6.4</v>
      </c>
    </row>
    <row r="591" ht="14.25" customHeight="1">
      <c r="A591" s="1" t="s">
        <v>3291</v>
      </c>
      <c r="B591" s="1" t="s">
        <v>35</v>
      </c>
      <c r="C591" s="1">
        <v>5.9</v>
      </c>
    </row>
    <row r="592" ht="14.25" customHeight="1">
      <c r="A592" s="1" t="s">
        <v>3299</v>
      </c>
      <c r="B592" s="1" t="s">
        <v>35</v>
      </c>
      <c r="C592" s="1">
        <v>6.3</v>
      </c>
    </row>
    <row r="593" ht="14.25" customHeight="1">
      <c r="A593" s="1" t="s">
        <v>3304</v>
      </c>
      <c r="B593" s="1" t="s">
        <v>35</v>
      </c>
      <c r="C593" s="1">
        <v>6.5</v>
      </c>
    </row>
    <row r="594" ht="14.25" customHeight="1">
      <c r="A594" s="1" t="s">
        <v>3307</v>
      </c>
      <c r="B594" s="1" t="s">
        <v>35</v>
      </c>
      <c r="C594" s="1">
        <v>3.0</v>
      </c>
    </row>
    <row r="595" ht="14.25" customHeight="1">
      <c r="A595" s="1" t="s">
        <v>3312</v>
      </c>
      <c r="B595" s="1" t="s">
        <v>35</v>
      </c>
      <c r="C595" s="1">
        <v>3.6</v>
      </c>
    </row>
    <row r="596" ht="14.25" customHeight="1">
      <c r="A596" s="1" t="s">
        <v>3318</v>
      </c>
      <c r="B596" s="1" t="s">
        <v>35</v>
      </c>
      <c r="C596" s="1">
        <v>5.8</v>
      </c>
    </row>
    <row r="597" ht="14.25" customHeight="1">
      <c r="A597" s="1" t="s">
        <v>3323</v>
      </c>
      <c r="B597" s="1" t="s">
        <v>35</v>
      </c>
      <c r="C597" s="1">
        <v>6.2</v>
      </c>
    </row>
    <row r="598" ht="14.25" customHeight="1">
      <c r="A598" s="1" t="s">
        <v>3328</v>
      </c>
      <c r="B598" s="1" t="s">
        <v>35</v>
      </c>
      <c r="C598" s="1">
        <v>5.4</v>
      </c>
    </row>
    <row r="599" ht="14.25" customHeight="1">
      <c r="A599" s="1" t="s">
        <v>3334</v>
      </c>
      <c r="B599" s="1" t="s">
        <v>35</v>
      </c>
      <c r="C599" s="1">
        <v>6.1</v>
      </c>
    </row>
    <row r="600" ht="14.25" customHeight="1">
      <c r="A600" s="1" t="s">
        <v>3339</v>
      </c>
      <c r="B600" s="1" t="s">
        <v>35</v>
      </c>
      <c r="C600" s="1">
        <v>4.2</v>
      </c>
    </row>
    <row r="601" ht="14.25" customHeight="1">
      <c r="A601" s="1" t="s">
        <v>3346</v>
      </c>
      <c r="B601" s="1" t="s">
        <v>35</v>
      </c>
      <c r="C601" s="1">
        <v>6.7</v>
      </c>
    </row>
    <row r="602" ht="14.25" customHeight="1">
      <c r="A602" s="1" t="s">
        <v>3352</v>
      </c>
      <c r="B602" s="1" t="s">
        <v>35</v>
      </c>
      <c r="C602" s="1">
        <v>4.2</v>
      </c>
    </row>
    <row r="603" ht="14.25" customHeight="1">
      <c r="A603" s="1" t="s">
        <v>3359</v>
      </c>
      <c r="B603" s="1" t="s">
        <v>35</v>
      </c>
      <c r="C603" s="1">
        <v>6.4</v>
      </c>
    </row>
    <row r="604" ht="14.25" customHeight="1">
      <c r="A604" s="1" t="s">
        <v>3364</v>
      </c>
      <c r="B604" s="1" t="s">
        <v>35</v>
      </c>
      <c r="C604" s="1">
        <v>4.9</v>
      </c>
    </row>
    <row r="605" ht="14.25" customHeight="1">
      <c r="A605" s="1" t="s">
        <v>3367</v>
      </c>
      <c r="B605" s="1" t="s">
        <v>35</v>
      </c>
      <c r="C605" s="1">
        <v>6.8</v>
      </c>
    </row>
    <row r="606" ht="14.25" customHeight="1">
      <c r="A606" s="1" t="s">
        <v>3371</v>
      </c>
      <c r="B606" s="1" t="s">
        <v>35</v>
      </c>
      <c r="C606" s="1">
        <v>7.7</v>
      </c>
    </row>
    <row r="607" ht="14.25" customHeight="1">
      <c r="A607" s="1" t="s">
        <v>3375</v>
      </c>
      <c r="B607" s="1" t="s">
        <v>35</v>
      </c>
      <c r="C607" s="1">
        <v>5.6</v>
      </c>
    </row>
    <row r="608" ht="14.25" customHeight="1">
      <c r="A608" s="1" t="s">
        <v>3382</v>
      </c>
      <c r="B608" s="1" t="s">
        <v>35</v>
      </c>
      <c r="C608" s="1">
        <v>6.4</v>
      </c>
    </row>
    <row r="609" ht="14.25" customHeight="1">
      <c r="A609" s="1" t="s">
        <v>3386</v>
      </c>
      <c r="B609" s="1" t="s">
        <v>35</v>
      </c>
      <c r="C609" s="1">
        <v>7.2</v>
      </c>
    </row>
    <row r="610" ht="14.25" customHeight="1">
      <c r="A610" s="1" t="s">
        <v>3395</v>
      </c>
      <c r="B610" s="1" t="s">
        <v>35</v>
      </c>
      <c r="C610" s="1">
        <v>6.0</v>
      </c>
    </row>
    <row r="611" ht="14.25" customHeight="1">
      <c r="A611" s="1" t="s">
        <v>3398</v>
      </c>
      <c r="B611" s="1" t="s">
        <v>35</v>
      </c>
      <c r="C611" s="1">
        <v>5.9</v>
      </c>
    </row>
    <row r="612" ht="14.25" customHeight="1">
      <c r="A612" s="1" t="s">
        <v>3403</v>
      </c>
      <c r="B612" s="1" t="s">
        <v>35</v>
      </c>
      <c r="C612" s="1">
        <v>7.9</v>
      </c>
    </row>
    <row r="613" ht="14.25" customHeight="1">
      <c r="A613" s="1" t="s">
        <v>3407</v>
      </c>
      <c r="B613" s="1" t="s">
        <v>35</v>
      </c>
      <c r="C613" s="1">
        <v>7.1</v>
      </c>
    </row>
    <row r="614" ht="14.25" customHeight="1">
      <c r="A614" s="1" t="s">
        <v>3412</v>
      </c>
      <c r="B614" s="1" t="s">
        <v>35</v>
      </c>
      <c r="C614" s="1">
        <v>5.9</v>
      </c>
    </row>
    <row r="615" ht="14.25" customHeight="1">
      <c r="A615" s="1" t="s">
        <v>3415</v>
      </c>
      <c r="B615" s="1" t="s">
        <v>35</v>
      </c>
      <c r="C615" s="1">
        <v>6.2</v>
      </c>
    </row>
    <row r="616" ht="14.25" customHeight="1">
      <c r="A616" s="1" t="s">
        <v>3421</v>
      </c>
      <c r="B616" s="1" t="s">
        <v>35</v>
      </c>
      <c r="C616" s="1">
        <v>7.0</v>
      </c>
    </row>
    <row r="617" ht="14.25" customHeight="1">
      <c r="A617" s="1" t="s">
        <v>3426</v>
      </c>
      <c r="B617" s="1" t="s">
        <v>35</v>
      </c>
      <c r="C617" s="1">
        <v>5.4</v>
      </c>
    </row>
    <row r="618" ht="14.25" customHeight="1">
      <c r="A618" s="1" t="s">
        <v>3431</v>
      </c>
      <c r="B618" s="1" t="s">
        <v>35</v>
      </c>
      <c r="C618" s="1">
        <v>8.6</v>
      </c>
    </row>
    <row r="619" ht="14.25" customHeight="1">
      <c r="A619" s="1" t="s">
        <v>3435</v>
      </c>
      <c r="B619" s="1" t="s">
        <v>35</v>
      </c>
      <c r="C619" s="1">
        <v>6.5</v>
      </c>
    </row>
    <row r="620" ht="14.25" customHeight="1">
      <c r="A620" s="1" t="s">
        <v>3438</v>
      </c>
      <c r="B620" s="1" t="s">
        <v>35</v>
      </c>
      <c r="C620" s="1">
        <v>6.4</v>
      </c>
    </row>
    <row r="621" ht="14.25" customHeight="1">
      <c r="A621" s="1" t="s">
        <v>3443</v>
      </c>
      <c r="B621" s="1" t="s">
        <v>35</v>
      </c>
      <c r="C621" s="1">
        <v>7.6</v>
      </c>
    </row>
    <row r="622" ht="14.25" customHeight="1">
      <c r="A622" s="1" t="s">
        <v>3447</v>
      </c>
      <c r="B622" s="1" t="s">
        <v>35</v>
      </c>
      <c r="C622" s="1">
        <v>5.5</v>
      </c>
    </row>
    <row r="623" ht="14.25" customHeight="1">
      <c r="A623" s="1" t="s">
        <v>3452</v>
      </c>
      <c r="B623" s="1" t="s">
        <v>35</v>
      </c>
      <c r="C623" s="1">
        <v>7.4</v>
      </c>
    </row>
    <row r="624" ht="14.25" customHeight="1">
      <c r="A624" s="1" t="s">
        <v>3455</v>
      </c>
      <c r="B624" s="1" t="s">
        <v>35</v>
      </c>
      <c r="C624" s="1">
        <v>8.7</v>
      </c>
    </row>
    <row r="625" ht="14.25" customHeight="1">
      <c r="A625" s="1" t="s">
        <v>3460</v>
      </c>
      <c r="B625" s="1" t="s">
        <v>35</v>
      </c>
      <c r="C625" s="1">
        <v>7.6</v>
      </c>
    </row>
    <row r="626" ht="14.25" customHeight="1">
      <c r="A626" s="1" t="s">
        <v>1249</v>
      </c>
      <c r="B626" s="1" t="s">
        <v>35</v>
      </c>
      <c r="C626" s="1">
        <v>7.5</v>
      </c>
    </row>
    <row r="627" ht="14.25" customHeight="1">
      <c r="A627" s="1" t="s">
        <v>3467</v>
      </c>
      <c r="B627" s="1" t="s">
        <v>35</v>
      </c>
      <c r="C627" s="1">
        <v>5.5</v>
      </c>
    </row>
    <row r="628" ht="14.25" customHeight="1">
      <c r="A628" s="1" t="s">
        <v>3474</v>
      </c>
      <c r="B628" s="1" t="s">
        <v>35</v>
      </c>
      <c r="C628" s="1">
        <v>7.6</v>
      </c>
    </row>
    <row r="629" ht="14.25" customHeight="1">
      <c r="A629" s="1" t="s">
        <v>3478</v>
      </c>
      <c r="B629" s="1" t="s">
        <v>35</v>
      </c>
      <c r="C629" s="1">
        <v>6.5</v>
      </c>
    </row>
    <row r="630" ht="14.25" customHeight="1">
      <c r="A630" s="1" t="s">
        <v>3482</v>
      </c>
      <c r="B630" s="1" t="s">
        <v>35</v>
      </c>
      <c r="C630" s="1">
        <v>6.9</v>
      </c>
    </row>
    <row r="631" ht="14.25" customHeight="1">
      <c r="A631" s="1" t="s">
        <v>3486</v>
      </c>
      <c r="B631" s="1" t="s">
        <v>35</v>
      </c>
      <c r="C631" s="1">
        <v>6.7</v>
      </c>
    </row>
    <row r="632" ht="14.25" customHeight="1">
      <c r="A632" s="1" t="s">
        <v>3492</v>
      </c>
      <c r="B632" s="1" t="s">
        <v>35</v>
      </c>
      <c r="C632" s="1">
        <v>6.6</v>
      </c>
    </row>
    <row r="633" ht="14.25" customHeight="1">
      <c r="A633" s="1" t="s">
        <v>3496</v>
      </c>
      <c r="B633" s="1" t="s">
        <v>35</v>
      </c>
      <c r="C633" s="1">
        <v>7.2</v>
      </c>
    </row>
    <row r="634" ht="14.25" customHeight="1">
      <c r="A634" s="1" t="s">
        <v>3504</v>
      </c>
      <c r="B634" s="1" t="s">
        <v>35</v>
      </c>
      <c r="C634" s="1">
        <v>6.4</v>
      </c>
    </row>
    <row r="635" ht="14.25" customHeight="1">
      <c r="A635" s="1" t="s">
        <v>3509</v>
      </c>
      <c r="B635" s="1" t="s">
        <v>35</v>
      </c>
      <c r="C635" s="1">
        <v>6.4</v>
      </c>
    </row>
    <row r="636" ht="14.25" customHeight="1">
      <c r="A636" s="1" t="s">
        <v>3514</v>
      </c>
      <c r="B636" s="1" t="s">
        <v>35</v>
      </c>
      <c r="C636" s="1">
        <v>6.0</v>
      </c>
    </row>
    <row r="637" ht="14.25" customHeight="1">
      <c r="A637" s="1" t="s">
        <v>3518</v>
      </c>
      <c r="B637" s="1" t="s">
        <v>35</v>
      </c>
      <c r="C637" s="1">
        <v>6.1</v>
      </c>
    </row>
    <row r="638" ht="14.25" customHeight="1">
      <c r="A638" s="1" t="s">
        <v>3523</v>
      </c>
      <c r="B638" s="1" t="s">
        <v>35</v>
      </c>
      <c r="C638" s="1">
        <v>6.0</v>
      </c>
    </row>
    <row r="639" ht="14.25" customHeight="1">
      <c r="A639" s="1" t="s">
        <v>3527</v>
      </c>
      <c r="B639" s="1" t="s">
        <v>35</v>
      </c>
      <c r="C639" s="1">
        <v>6.4</v>
      </c>
    </row>
    <row r="640" ht="14.25" customHeight="1">
      <c r="A640" s="1" t="s">
        <v>3532</v>
      </c>
      <c r="B640" s="1" t="s">
        <v>35</v>
      </c>
      <c r="C640" s="1">
        <v>6.4</v>
      </c>
    </row>
    <row r="641" ht="14.25" customHeight="1">
      <c r="A641" s="1" t="s">
        <v>3537</v>
      </c>
      <c r="B641" s="1" t="s">
        <v>35</v>
      </c>
      <c r="C641" s="1">
        <v>7.3</v>
      </c>
    </row>
    <row r="642" ht="14.25" customHeight="1">
      <c r="A642" s="1" t="s">
        <v>3542</v>
      </c>
      <c r="B642" s="1" t="s">
        <v>35</v>
      </c>
      <c r="C642" s="1">
        <v>5.2</v>
      </c>
    </row>
    <row r="643" ht="14.25" customHeight="1">
      <c r="A643" s="1" t="s">
        <v>3549</v>
      </c>
      <c r="B643" s="1" t="s">
        <v>35</v>
      </c>
      <c r="C643" s="1">
        <v>6.6</v>
      </c>
    </row>
    <row r="644" ht="14.25" customHeight="1">
      <c r="A644" s="1" t="s">
        <v>3553</v>
      </c>
      <c r="B644" s="1" t="s">
        <v>35</v>
      </c>
      <c r="C644" s="1">
        <v>6.3</v>
      </c>
    </row>
    <row r="645" ht="14.25" customHeight="1">
      <c r="A645" s="1" t="s">
        <v>3559</v>
      </c>
      <c r="B645" s="1" t="s">
        <v>35</v>
      </c>
      <c r="C645" s="1">
        <v>5.9</v>
      </c>
    </row>
    <row r="646" ht="14.25" customHeight="1">
      <c r="A646" s="1" t="s">
        <v>3564</v>
      </c>
      <c r="B646" s="1" t="s">
        <v>35</v>
      </c>
      <c r="C646" s="1">
        <v>6.7</v>
      </c>
    </row>
    <row r="647" ht="14.25" customHeight="1">
      <c r="A647" s="1" t="s">
        <v>3570</v>
      </c>
      <c r="B647" s="1" t="s">
        <v>35</v>
      </c>
      <c r="C647" s="1">
        <v>5.4</v>
      </c>
    </row>
    <row r="648" ht="14.25" customHeight="1">
      <c r="A648" s="1" t="s">
        <v>3573</v>
      </c>
      <c r="B648" s="1" t="s">
        <v>35</v>
      </c>
      <c r="C648" s="1">
        <v>6.4</v>
      </c>
    </row>
    <row r="649" ht="14.25" customHeight="1">
      <c r="A649" s="1" t="s">
        <v>3576</v>
      </c>
      <c r="B649" s="1" t="s">
        <v>35</v>
      </c>
      <c r="C649" s="1">
        <v>6.7</v>
      </c>
    </row>
    <row r="650" ht="14.25" customHeight="1">
      <c r="A650" s="1" t="s">
        <v>3583</v>
      </c>
      <c r="B650" s="1" t="s">
        <v>35</v>
      </c>
      <c r="C650" s="1">
        <v>6.2</v>
      </c>
    </row>
    <row r="651" ht="14.25" customHeight="1">
      <c r="A651" s="1" t="s">
        <v>3588</v>
      </c>
      <c r="B651" s="1" t="s">
        <v>35</v>
      </c>
      <c r="C651" s="1">
        <v>6.1</v>
      </c>
    </row>
    <row r="652" ht="14.25" customHeight="1">
      <c r="A652" s="1" t="s">
        <v>3592</v>
      </c>
      <c r="B652" s="1" t="s">
        <v>35</v>
      </c>
      <c r="C652" s="1">
        <v>8.8</v>
      </c>
    </row>
    <row r="653" ht="14.25" customHeight="1">
      <c r="A653" s="1" t="s">
        <v>3597</v>
      </c>
      <c r="B653" s="1" t="s">
        <v>35</v>
      </c>
      <c r="C653" s="1">
        <v>7.1</v>
      </c>
    </row>
    <row r="654" ht="14.25" customHeight="1">
      <c r="A654" s="1" t="s">
        <v>3603</v>
      </c>
      <c r="B654" s="1" t="s">
        <v>35</v>
      </c>
      <c r="C654" s="1">
        <v>5.7</v>
      </c>
    </row>
    <row r="655" ht="14.25" customHeight="1">
      <c r="A655" s="1" t="s">
        <v>3606</v>
      </c>
      <c r="B655" s="1" t="s">
        <v>35</v>
      </c>
      <c r="C655" s="1">
        <v>5.0</v>
      </c>
    </row>
    <row r="656" ht="14.25" customHeight="1">
      <c r="A656" s="1" t="s">
        <v>3611</v>
      </c>
      <c r="B656" s="1" t="s">
        <v>35</v>
      </c>
      <c r="C656" s="1">
        <v>5.1</v>
      </c>
    </row>
    <row r="657" ht="14.25" customHeight="1">
      <c r="A657" s="1" t="s">
        <v>3618</v>
      </c>
      <c r="B657" s="1" t="s">
        <v>35</v>
      </c>
      <c r="C657" s="1">
        <v>6.9</v>
      </c>
    </row>
    <row r="658" ht="14.25" customHeight="1">
      <c r="A658" s="1" t="s">
        <v>3624</v>
      </c>
      <c r="B658" s="1" t="s">
        <v>35</v>
      </c>
      <c r="C658" s="1">
        <v>4.8</v>
      </c>
    </row>
    <row r="659" ht="14.25" customHeight="1">
      <c r="A659" s="1" t="s">
        <v>3628</v>
      </c>
      <c r="B659" s="1" t="s">
        <v>35</v>
      </c>
      <c r="C659" s="1">
        <v>6.5</v>
      </c>
    </row>
    <row r="660" ht="14.25" customHeight="1">
      <c r="A660" s="1" t="s">
        <v>3631</v>
      </c>
      <c r="B660" s="1" t="s">
        <v>35</v>
      </c>
      <c r="C660" s="1">
        <v>5.1</v>
      </c>
    </row>
    <row r="661" ht="14.25" customHeight="1">
      <c r="A661" s="1" t="s">
        <v>3637</v>
      </c>
      <c r="B661" s="1" t="s">
        <v>35</v>
      </c>
      <c r="C661" s="1">
        <v>7.1</v>
      </c>
    </row>
    <row r="662" ht="14.25" customHeight="1">
      <c r="A662" s="1" t="s">
        <v>3643</v>
      </c>
      <c r="B662" s="1" t="s">
        <v>35</v>
      </c>
      <c r="C662" s="1">
        <v>7.5</v>
      </c>
    </row>
    <row r="663" ht="14.25" customHeight="1">
      <c r="A663" s="1" t="s">
        <v>3650</v>
      </c>
      <c r="B663" s="1" t="s">
        <v>35</v>
      </c>
      <c r="C663" s="1">
        <v>6.2</v>
      </c>
    </row>
    <row r="664" ht="14.25" customHeight="1">
      <c r="A664" s="1" t="s">
        <v>3655</v>
      </c>
      <c r="B664" s="1" t="s">
        <v>35</v>
      </c>
      <c r="C664" s="1">
        <v>6.3</v>
      </c>
    </row>
    <row r="665" ht="14.25" customHeight="1">
      <c r="A665" s="1" t="s">
        <v>3660</v>
      </c>
      <c r="B665" s="1" t="s">
        <v>35</v>
      </c>
      <c r="C665" s="1">
        <v>8.1</v>
      </c>
    </row>
    <row r="666" ht="14.25" customHeight="1">
      <c r="A666" s="1" t="s">
        <v>3664</v>
      </c>
      <c r="B666" s="1" t="s">
        <v>35</v>
      </c>
      <c r="C666" s="1">
        <v>6.6</v>
      </c>
    </row>
    <row r="667" ht="14.25" customHeight="1">
      <c r="A667" s="1" t="s">
        <v>3669</v>
      </c>
      <c r="B667" s="1" t="s">
        <v>35</v>
      </c>
      <c r="C667" s="1">
        <v>6.9</v>
      </c>
    </row>
    <row r="668" ht="14.25" customHeight="1">
      <c r="A668" s="1" t="s">
        <v>3674</v>
      </c>
      <c r="B668" s="1" t="s">
        <v>1864</v>
      </c>
      <c r="C668" s="1">
        <v>6.1</v>
      </c>
    </row>
    <row r="669" ht="14.25" customHeight="1">
      <c r="A669" s="1" t="s">
        <v>3681</v>
      </c>
      <c r="B669" s="1" t="s">
        <v>35</v>
      </c>
      <c r="C669" s="1">
        <v>4.3</v>
      </c>
    </row>
    <row r="670" ht="14.25" customHeight="1">
      <c r="A670" s="1" t="s">
        <v>3686</v>
      </c>
      <c r="B670" s="1" t="s">
        <v>35</v>
      </c>
      <c r="C670" s="1">
        <v>6.6</v>
      </c>
    </row>
    <row r="671" ht="14.25" customHeight="1">
      <c r="A671" s="1" t="s">
        <v>3692</v>
      </c>
      <c r="B671" s="1" t="s">
        <v>35</v>
      </c>
      <c r="C671" s="1">
        <v>6.8</v>
      </c>
    </row>
    <row r="672" ht="14.25" customHeight="1">
      <c r="A672" s="1" t="s">
        <v>3697</v>
      </c>
      <c r="B672" s="1" t="s">
        <v>35</v>
      </c>
      <c r="C672" s="1">
        <v>3.8</v>
      </c>
    </row>
    <row r="673" ht="14.25" customHeight="1">
      <c r="A673" s="1" t="s">
        <v>3703</v>
      </c>
      <c r="B673" s="1" t="s">
        <v>35</v>
      </c>
      <c r="C673" s="1">
        <v>5.9</v>
      </c>
    </row>
    <row r="674" ht="14.25" customHeight="1">
      <c r="A674" s="1" t="s">
        <v>3707</v>
      </c>
      <c r="B674" s="1" t="s">
        <v>35</v>
      </c>
      <c r="C674" s="1">
        <v>7.9</v>
      </c>
    </row>
    <row r="675" ht="14.25" customHeight="1">
      <c r="A675" s="1" t="s">
        <v>3713</v>
      </c>
      <c r="B675" s="1" t="s">
        <v>35</v>
      </c>
      <c r="C675" s="1">
        <v>6.3</v>
      </c>
    </row>
    <row r="676" ht="14.25" customHeight="1">
      <c r="A676" s="1" t="s">
        <v>3718</v>
      </c>
      <c r="B676" s="1" t="s">
        <v>35</v>
      </c>
      <c r="C676" s="1">
        <v>5.5</v>
      </c>
    </row>
    <row r="677" ht="14.25" customHeight="1">
      <c r="A677" s="1">
        <v>300.0</v>
      </c>
      <c r="B677" s="1" t="s">
        <v>35</v>
      </c>
      <c r="C677" s="1">
        <v>7.7</v>
      </c>
    </row>
    <row r="678" ht="14.25" customHeight="1">
      <c r="A678" s="1" t="s">
        <v>3726</v>
      </c>
      <c r="B678" s="1" t="s">
        <v>35</v>
      </c>
      <c r="C678" s="1">
        <v>6.3</v>
      </c>
    </row>
    <row r="679" ht="14.25" customHeight="1">
      <c r="A679" s="1" t="s">
        <v>3730</v>
      </c>
      <c r="B679" s="1" t="s">
        <v>35</v>
      </c>
      <c r="C679" s="1">
        <v>7.1</v>
      </c>
    </row>
    <row r="680" ht="14.25" customHeight="1">
      <c r="A680" s="1" t="s">
        <v>3737</v>
      </c>
      <c r="B680" s="1" t="s">
        <v>35</v>
      </c>
      <c r="C680" s="1">
        <v>8.5</v>
      </c>
    </row>
    <row r="681" ht="14.25" customHeight="1">
      <c r="A681" s="1" t="s">
        <v>3741</v>
      </c>
      <c r="B681" s="1" t="s">
        <v>35</v>
      </c>
      <c r="C681" s="1">
        <v>5.8</v>
      </c>
    </row>
    <row r="682" ht="14.25" customHeight="1">
      <c r="A682" s="1" t="s">
        <v>3744</v>
      </c>
      <c r="B682" s="1" t="s">
        <v>35</v>
      </c>
      <c r="C682" s="1">
        <v>8.1</v>
      </c>
    </row>
    <row r="683" ht="14.25" customHeight="1">
      <c r="A683" s="1" t="s">
        <v>3749</v>
      </c>
      <c r="B683" s="1" t="s">
        <v>35</v>
      </c>
      <c r="C683" s="1">
        <v>7.9</v>
      </c>
    </row>
    <row r="684" ht="14.25" customHeight="1">
      <c r="A684" s="1" t="s">
        <v>3754</v>
      </c>
      <c r="B684" s="1" t="s">
        <v>35</v>
      </c>
      <c r="C684" s="1">
        <v>7.2</v>
      </c>
    </row>
    <row r="685" ht="14.25" customHeight="1">
      <c r="A685" s="1" t="s">
        <v>3757</v>
      </c>
      <c r="B685" s="1" t="s">
        <v>35</v>
      </c>
      <c r="C685" s="1">
        <v>6.3</v>
      </c>
    </row>
    <row r="686" ht="14.25" customHeight="1">
      <c r="A686" s="1" t="s">
        <v>3762</v>
      </c>
      <c r="B686" s="1" t="s">
        <v>35</v>
      </c>
      <c r="C686" s="1">
        <v>8.1</v>
      </c>
    </row>
    <row r="687" ht="14.25" customHeight="1">
      <c r="A687" s="1" t="s">
        <v>3767</v>
      </c>
      <c r="B687" s="1" t="s">
        <v>35</v>
      </c>
      <c r="C687" s="1">
        <v>7.0</v>
      </c>
    </row>
    <row r="688" ht="14.25" customHeight="1">
      <c r="A688" s="1" t="s">
        <v>3773</v>
      </c>
      <c r="B688" s="1" t="s">
        <v>35</v>
      </c>
      <c r="C688" s="1">
        <v>5.5</v>
      </c>
    </row>
    <row r="689" ht="14.25" customHeight="1">
      <c r="A689" s="1" t="s">
        <v>3777</v>
      </c>
      <c r="B689" s="1" t="s">
        <v>35</v>
      </c>
      <c r="C689" s="1">
        <v>6.7</v>
      </c>
    </row>
    <row r="690" ht="14.25" customHeight="1">
      <c r="A690" s="1" t="s">
        <v>3782</v>
      </c>
      <c r="B690" s="1" t="s">
        <v>35</v>
      </c>
      <c r="C690" s="1">
        <v>5.2</v>
      </c>
    </row>
    <row r="691" ht="14.25" customHeight="1">
      <c r="A691" s="1" t="s">
        <v>3787</v>
      </c>
      <c r="B691" s="1" t="s">
        <v>35</v>
      </c>
      <c r="C691" s="1">
        <v>7.0</v>
      </c>
    </row>
    <row r="692" ht="14.25" customHeight="1">
      <c r="A692" s="1" t="s">
        <v>3792</v>
      </c>
      <c r="B692" s="1" t="s">
        <v>35</v>
      </c>
      <c r="C692" s="1">
        <v>6.1</v>
      </c>
    </row>
    <row r="693" ht="14.25" customHeight="1">
      <c r="A693" s="1" t="s">
        <v>3796</v>
      </c>
      <c r="B693" s="1" t="s">
        <v>35</v>
      </c>
      <c r="C693" s="1">
        <v>6.6</v>
      </c>
    </row>
    <row r="694" ht="14.25" customHeight="1">
      <c r="A694" s="1" t="s">
        <v>3802</v>
      </c>
      <c r="B694" s="1" t="s">
        <v>35</v>
      </c>
      <c r="C694" s="1">
        <v>5.5</v>
      </c>
    </row>
    <row r="695" ht="14.25" customHeight="1">
      <c r="A695" s="1" t="s">
        <v>3806</v>
      </c>
      <c r="B695" s="1" t="s">
        <v>35</v>
      </c>
      <c r="C695" s="1">
        <v>5.9</v>
      </c>
    </row>
    <row r="696" ht="14.25" customHeight="1">
      <c r="A696" s="1" t="s">
        <v>3809</v>
      </c>
      <c r="B696" s="1" t="s">
        <v>35</v>
      </c>
      <c r="C696" s="1">
        <v>5.4</v>
      </c>
    </row>
    <row r="697" ht="14.25" customHeight="1">
      <c r="A697" s="1" t="s">
        <v>3815</v>
      </c>
      <c r="B697" s="1" t="s">
        <v>35</v>
      </c>
      <c r="C697" s="1">
        <v>6.4</v>
      </c>
    </row>
    <row r="698" ht="14.25" customHeight="1">
      <c r="A698" s="1" t="s">
        <v>3821</v>
      </c>
      <c r="B698" s="1" t="s">
        <v>35</v>
      </c>
      <c r="C698" s="1">
        <v>5.7</v>
      </c>
    </row>
    <row r="699" ht="14.25" customHeight="1">
      <c r="A699" s="1" t="s">
        <v>3824</v>
      </c>
      <c r="B699" s="1" t="s">
        <v>35</v>
      </c>
      <c r="C699" s="1">
        <v>6.7</v>
      </c>
    </row>
    <row r="700" ht="14.25" customHeight="1">
      <c r="A700" s="1" t="s">
        <v>3827</v>
      </c>
      <c r="B700" s="1" t="s">
        <v>35</v>
      </c>
      <c r="C700" s="1">
        <v>7.1</v>
      </c>
    </row>
    <row r="701" ht="14.25" customHeight="1">
      <c r="A701" s="1" t="s">
        <v>3831</v>
      </c>
      <c r="B701" s="1" t="s">
        <v>35</v>
      </c>
      <c r="C701" s="1">
        <v>6.8</v>
      </c>
    </row>
    <row r="702" ht="14.25" customHeight="1">
      <c r="A702" s="1" t="s">
        <v>3835</v>
      </c>
      <c r="B702" s="1" t="s">
        <v>35</v>
      </c>
      <c r="C702" s="1">
        <v>6.5</v>
      </c>
    </row>
    <row r="703" ht="14.25" customHeight="1">
      <c r="A703" s="1" t="s">
        <v>3840</v>
      </c>
      <c r="B703" s="1" t="s">
        <v>35</v>
      </c>
      <c r="C703" s="1">
        <v>7.6</v>
      </c>
    </row>
    <row r="704" ht="14.25" customHeight="1">
      <c r="A704" s="1" t="s">
        <v>3843</v>
      </c>
      <c r="B704" s="1" t="s">
        <v>35</v>
      </c>
      <c r="C704" s="1">
        <v>5.5</v>
      </c>
    </row>
    <row r="705" ht="14.25" customHeight="1">
      <c r="A705" s="1" t="s">
        <v>3847</v>
      </c>
      <c r="B705" s="1" t="s">
        <v>35</v>
      </c>
      <c r="C705" s="1">
        <v>6.5</v>
      </c>
    </row>
    <row r="706" ht="14.25" customHeight="1">
      <c r="A706" s="1" t="s">
        <v>3852</v>
      </c>
      <c r="B706" s="1" t="s">
        <v>35</v>
      </c>
      <c r="C706" s="1">
        <v>7.0</v>
      </c>
    </row>
    <row r="707" ht="14.25" customHeight="1">
      <c r="A707" s="1" t="s">
        <v>3855</v>
      </c>
      <c r="B707" s="1" t="s">
        <v>35</v>
      </c>
      <c r="C707" s="1">
        <v>5.8</v>
      </c>
    </row>
    <row r="708" ht="14.25" customHeight="1">
      <c r="A708" s="1" t="s">
        <v>3860</v>
      </c>
      <c r="B708" s="1" t="s">
        <v>35</v>
      </c>
      <c r="C708" s="1">
        <v>7.3</v>
      </c>
    </row>
    <row r="709" ht="14.25" customHeight="1">
      <c r="A709" s="1" t="s">
        <v>3867</v>
      </c>
      <c r="B709" s="1" t="s">
        <v>35</v>
      </c>
      <c r="C709" s="1">
        <v>6.6</v>
      </c>
    </row>
    <row r="710" ht="14.25" customHeight="1">
      <c r="A710" s="1" t="s">
        <v>3874</v>
      </c>
      <c r="B710" s="1" t="s">
        <v>35</v>
      </c>
      <c r="C710" s="1">
        <v>4.4</v>
      </c>
    </row>
    <row r="711" ht="14.25" customHeight="1">
      <c r="A711" s="1" t="s">
        <v>3879</v>
      </c>
      <c r="B711" s="1" t="s">
        <v>35</v>
      </c>
      <c r="C711" s="1">
        <v>7.7</v>
      </c>
    </row>
    <row r="712" ht="14.25" customHeight="1">
      <c r="A712" s="1" t="s">
        <v>3885</v>
      </c>
      <c r="B712" s="1" t="s">
        <v>35</v>
      </c>
      <c r="C712" s="1">
        <v>5.0</v>
      </c>
    </row>
    <row r="713" ht="14.25" customHeight="1">
      <c r="A713" s="1" t="s">
        <v>3889</v>
      </c>
      <c r="B713" s="1" t="s">
        <v>35</v>
      </c>
      <c r="C713" s="1">
        <v>7.7</v>
      </c>
    </row>
    <row r="714" ht="14.25" customHeight="1">
      <c r="A714" s="1" t="s">
        <v>3893</v>
      </c>
      <c r="B714" s="1" t="s">
        <v>35</v>
      </c>
      <c r="C714" s="1">
        <v>4.4</v>
      </c>
    </row>
    <row r="715" ht="14.25" customHeight="1">
      <c r="A715" s="1" t="s">
        <v>3896</v>
      </c>
      <c r="B715" s="1" t="s">
        <v>35</v>
      </c>
      <c r="C715" s="1">
        <v>6.1</v>
      </c>
    </row>
    <row r="716" ht="14.25" customHeight="1">
      <c r="A716" s="1" t="s">
        <v>3901</v>
      </c>
      <c r="B716" s="1" t="s">
        <v>35</v>
      </c>
      <c r="C716" s="1">
        <v>5.4</v>
      </c>
    </row>
    <row r="717" ht="14.25" customHeight="1">
      <c r="A717" s="1" t="s">
        <v>3907</v>
      </c>
      <c r="B717" s="1" t="s">
        <v>35</v>
      </c>
      <c r="C717" s="1">
        <v>6.8</v>
      </c>
    </row>
    <row r="718" ht="14.25" customHeight="1">
      <c r="A718" s="1" t="s">
        <v>3913</v>
      </c>
      <c r="B718" s="1" t="s">
        <v>35</v>
      </c>
      <c r="C718" s="1">
        <v>6.5</v>
      </c>
    </row>
    <row r="719" ht="14.25" customHeight="1">
      <c r="A719" s="1" t="s">
        <v>3917</v>
      </c>
      <c r="B719" s="1" t="s">
        <v>35</v>
      </c>
      <c r="C719" s="1">
        <v>7.0</v>
      </c>
    </row>
    <row r="720" ht="14.25" customHeight="1">
      <c r="A720" s="1" t="s">
        <v>3921</v>
      </c>
      <c r="B720" s="1" t="s">
        <v>35</v>
      </c>
      <c r="C720" s="1">
        <v>6.3</v>
      </c>
    </row>
    <row r="721" ht="14.25" customHeight="1">
      <c r="A721" s="1" t="s">
        <v>3925</v>
      </c>
      <c r="B721" s="1" t="s">
        <v>35</v>
      </c>
      <c r="C721" s="1">
        <v>6.3</v>
      </c>
    </row>
    <row r="722" ht="14.25" customHeight="1">
      <c r="A722" s="1" t="s">
        <v>3929</v>
      </c>
      <c r="B722" s="1" t="s">
        <v>35</v>
      </c>
      <c r="C722" s="1">
        <v>6.1</v>
      </c>
    </row>
    <row r="723" ht="14.25" customHeight="1">
      <c r="A723" s="1" t="s">
        <v>3934</v>
      </c>
      <c r="B723" s="1" t="s">
        <v>35</v>
      </c>
      <c r="C723" s="1">
        <v>6.1</v>
      </c>
    </row>
    <row r="724" ht="14.25" customHeight="1">
      <c r="A724" s="1" t="s">
        <v>3938</v>
      </c>
      <c r="B724" s="1" t="s">
        <v>35</v>
      </c>
      <c r="C724" s="1">
        <v>5.3</v>
      </c>
    </row>
    <row r="725" ht="14.25" customHeight="1">
      <c r="A725" s="1" t="s">
        <v>3943</v>
      </c>
      <c r="B725" s="1" t="s">
        <v>35</v>
      </c>
      <c r="C725" s="1">
        <v>5.4</v>
      </c>
    </row>
    <row r="726" ht="14.25" customHeight="1">
      <c r="A726" s="1" t="s">
        <v>3949</v>
      </c>
      <c r="B726" s="1" t="s">
        <v>35</v>
      </c>
      <c r="C726" s="1">
        <v>6.2</v>
      </c>
    </row>
    <row r="727" ht="14.25" customHeight="1">
      <c r="A727" s="1" t="s">
        <v>3955</v>
      </c>
      <c r="B727" s="1" t="s">
        <v>35</v>
      </c>
      <c r="C727" s="1">
        <v>6.6</v>
      </c>
    </row>
    <row r="728" ht="14.25" customHeight="1">
      <c r="A728" s="1" t="s">
        <v>3960</v>
      </c>
      <c r="B728" s="1" t="s">
        <v>35</v>
      </c>
      <c r="C728" s="1">
        <v>5.9</v>
      </c>
    </row>
    <row r="729" ht="14.25" customHeight="1">
      <c r="A729" s="1" t="s">
        <v>3965</v>
      </c>
      <c r="B729" s="1" t="s">
        <v>35</v>
      </c>
      <c r="C729" s="1">
        <v>6.3</v>
      </c>
    </row>
    <row r="730" ht="14.25" customHeight="1">
      <c r="A730" s="1" t="s">
        <v>3970</v>
      </c>
      <c r="B730" s="1" t="s">
        <v>35</v>
      </c>
      <c r="C730" s="1">
        <v>7.2</v>
      </c>
    </row>
    <row r="731" ht="14.25" customHeight="1">
      <c r="A731" s="1" t="s">
        <v>3977</v>
      </c>
      <c r="B731" s="1" t="s">
        <v>35</v>
      </c>
      <c r="C731" s="1">
        <v>6.8</v>
      </c>
    </row>
    <row r="732" ht="14.25" customHeight="1">
      <c r="A732" s="1" t="s">
        <v>3983</v>
      </c>
      <c r="B732" s="1" t="s">
        <v>35</v>
      </c>
      <c r="C732" s="1">
        <v>6.1</v>
      </c>
    </row>
    <row r="733" ht="14.25" customHeight="1">
      <c r="A733" s="1" t="s">
        <v>3987</v>
      </c>
      <c r="B733" s="1" t="s">
        <v>35</v>
      </c>
      <c r="C733" s="1">
        <v>7.8</v>
      </c>
    </row>
    <row r="734" ht="14.25" customHeight="1">
      <c r="A734" s="1" t="s">
        <v>3992</v>
      </c>
      <c r="B734" s="1" t="s">
        <v>35</v>
      </c>
      <c r="C734" s="1">
        <v>5.0</v>
      </c>
    </row>
    <row r="735" ht="14.25" customHeight="1">
      <c r="A735" s="1" t="s">
        <v>3997</v>
      </c>
      <c r="B735" s="1" t="s">
        <v>35</v>
      </c>
      <c r="C735" s="1">
        <v>6.2</v>
      </c>
    </row>
    <row r="736" ht="14.25" customHeight="1">
      <c r="A736" s="1" t="s">
        <v>4001</v>
      </c>
      <c r="B736" s="1" t="s">
        <v>35</v>
      </c>
      <c r="C736" s="1">
        <v>6.7</v>
      </c>
    </row>
    <row r="737" ht="14.25" customHeight="1">
      <c r="A737" s="1" t="s">
        <v>4007</v>
      </c>
      <c r="B737" s="1" t="s">
        <v>35</v>
      </c>
      <c r="C737" s="1">
        <v>4.9</v>
      </c>
    </row>
    <row r="738" ht="14.25" customHeight="1">
      <c r="A738" s="1" t="s">
        <v>4012</v>
      </c>
      <c r="B738" s="1" t="s">
        <v>35</v>
      </c>
      <c r="C738" s="1">
        <v>7.4</v>
      </c>
    </row>
    <row r="739" ht="14.25" customHeight="1">
      <c r="A739" s="1" t="s">
        <v>4017</v>
      </c>
      <c r="B739" s="1" t="s">
        <v>35</v>
      </c>
      <c r="C739" s="1">
        <v>6.2</v>
      </c>
    </row>
    <row r="740" ht="14.25" customHeight="1">
      <c r="A740" s="1" t="s">
        <v>4023</v>
      </c>
      <c r="B740" s="1" t="s">
        <v>35</v>
      </c>
      <c r="C740" s="1">
        <v>4.9</v>
      </c>
    </row>
    <row r="741" ht="14.25" customHeight="1">
      <c r="A741" s="1" t="s">
        <v>4029</v>
      </c>
      <c r="B741" s="1" t="s">
        <v>35</v>
      </c>
      <c r="C741" s="1">
        <v>6.1</v>
      </c>
    </row>
    <row r="742" ht="14.25" customHeight="1">
      <c r="A742" s="1" t="s">
        <v>4036</v>
      </c>
      <c r="B742" s="1" t="s">
        <v>35</v>
      </c>
      <c r="C742" s="1">
        <v>6.1</v>
      </c>
    </row>
    <row r="743" ht="14.25" customHeight="1">
      <c r="A743" s="1" t="s">
        <v>4040</v>
      </c>
      <c r="B743" s="1" t="s">
        <v>35</v>
      </c>
      <c r="C743" s="1">
        <v>6.4</v>
      </c>
    </row>
    <row r="744" ht="14.25" customHeight="1">
      <c r="A744" s="1" t="s">
        <v>4044</v>
      </c>
      <c r="B744" s="1" t="s">
        <v>35</v>
      </c>
      <c r="C744" s="1">
        <v>6.3</v>
      </c>
    </row>
    <row r="745" ht="14.25" customHeight="1">
      <c r="A745" s="1" t="s">
        <v>4050</v>
      </c>
      <c r="B745" s="1" t="s">
        <v>35</v>
      </c>
      <c r="C745" s="1">
        <v>6.6</v>
      </c>
    </row>
    <row r="746" ht="14.25" customHeight="1">
      <c r="A746" s="1" t="s">
        <v>4054</v>
      </c>
      <c r="B746" s="1" t="s">
        <v>35</v>
      </c>
      <c r="C746" s="1">
        <v>5.7</v>
      </c>
    </row>
    <row r="747" ht="14.25" customHeight="1">
      <c r="A747" s="1" t="s">
        <v>4061</v>
      </c>
      <c r="B747" s="1" t="s">
        <v>35</v>
      </c>
      <c r="C747" s="1">
        <v>5.9</v>
      </c>
    </row>
    <row r="748" ht="14.25" customHeight="1">
      <c r="A748" s="1" t="s">
        <v>4066</v>
      </c>
      <c r="B748" s="1" t="s">
        <v>35</v>
      </c>
      <c r="C748" s="1">
        <v>6.0</v>
      </c>
    </row>
    <row r="749" ht="14.25" customHeight="1">
      <c r="A749" s="1" t="s">
        <v>4070</v>
      </c>
      <c r="B749" s="1" t="s">
        <v>35</v>
      </c>
      <c r="C749" s="1">
        <v>6.1</v>
      </c>
    </row>
    <row r="750" ht="14.25" customHeight="1">
      <c r="A750" s="1" t="s">
        <v>4074</v>
      </c>
      <c r="B750" s="1" t="s">
        <v>35</v>
      </c>
      <c r="C750" s="1">
        <v>6.7</v>
      </c>
    </row>
    <row r="751" ht="14.25" customHeight="1">
      <c r="A751" s="1" t="s">
        <v>4078</v>
      </c>
      <c r="B751" s="1" t="s">
        <v>35</v>
      </c>
      <c r="C751" s="1">
        <v>6.7</v>
      </c>
    </row>
    <row r="752" ht="14.25" customHeight="1">
      <c r="A752" s="1" t="s">
        <v>4082</v>
      </c>
      <c r="B752" s="1" t="s">
        <v>35</v>
      </c>
      <c r="C752" s="1">
        <v>7.9</v>
      </c>
    </row>
    <row r="753" ht="14.25" customHeight="1">
      <c r="A753" s="1" t="s">
        <v>4086</v>
      </c>
      <c r="B753" s="1" t="s">
        <v>35</v>
      </c>
      <c r="C753" s="1">
        <v>4.3</v>
      </c>
    </row>
    <row r="754" ht="14.25" customHeight="1">
      <c r="A754" s="1" t="s">
        <v>4092</v>
      </c>
      <c r="B754" s="1" t="s">
        <v>35</v>
      </c>
      <c r="C754" s="1">
        <v>5.7</v>
      </c>
    </row>
    <row r="755" ht="14.25" customHeight="1">
      <c r="A755" s="1" t="s">
        <v>4100</v>
      </c>
      <c r="B755" s="1" t="s">
        <v>35</v>
      </c>
      <c r="C755" s="1">
        <v>6.7</v>
      </c>
    </row>
    <row r="756" ht="14.25" customHeight="1">
      <c r="A756" s="1" t="s">
        <v>4106</v>
      </c>
      <c r="B756" s="1" t="s">
        <v>35</v>
      </c>
      <c r="C756" s="1">
        <v>6.7</v>
      </c>
    </row>
    <row r="757" ht="14.25" customHeight="1">
      <c r="A757" s="1" t="s">
        <v>146</v>
      </c>
      <c r="B757" s="1" t="s">
        <v>35</v>
      </c>
      <c r="C757" s="1">
        <v>8.1</v>
      </c>
    </row>
    <row r="758" ht="14.25" customHeight="1">
      <c r="A758" s="1" t="s">
        <v>4110</v>
      </c>
      <c r="B758" s="1" t="s">
        <v>35</v>
      </c>
      <c r="C758" s="1">
        <v>6.1</v>
      </c>
    </row>
    <row r="759" ht="14.25" customHeight="1">
      <c r="A759" s="1" t="s">
        <v>4115</v>
      </c>
      <c r="B759" s="1" t="s">
        <v>35</v>
      </c>
      <c r="C759" s="1">
        <v>5.6</v>
      </c>
    </row>
    <row r="760" ht="14.25" customHeight="1">
      <c r="A760" s="1" t="s">
        <v>4120</v>
      </c>
      <c r="B760" s="1" t="s">
        <v>35</v>
      </c>
      <c r="C760" s="1">
        <v>6.6</v>
      </c>
    </row>
    <row r="761" ht="14.25" customHeight="1">
      <c r="A761" s="1" t="s">
        <v>4126</v>
      </c>
      <c r="B761" s="1" t="s">
        <v>35</v>
      </c>
      <c r="C761" s="1">
        <v>6.9</v>
      </c>
    </row>
    <row r="762" ht="14.25" customHeight="1">
      <c r="A762" s="1" t="s">
        <v>4131</v>
      </c>
      <c r="B762" s="1" t="s">
        <v>35</v>
      </c>
      <c r="C762" s="1">
        <v>4.8</v>
      </c>
    </row>
    <row r="763" ht="14.25" customHeight="1">
      <c r="A763" s="1" t="s">
        <v>4138</v>
      </c>
      <c r="B763" s="1" t="s">
        <v>35</v>
      </c>
      <c r="C763" s="1">
        <v>6.2</v>
      </c>
    </row>
    <row r="764" ht="14.25" customHeight="1">
      <c r="A764" s="1" t="s">
        <v>4145</v>
      </c>
      <c r="B764" s="1" t="s">
        <v>35</v>
      </c>
      <c r="C764" s="1">
        <v>6.0</v>
      </c>
    </row>
    <row r="765" ht="14.25" customHeight="1">
      <c r="A765" s="1" t="s">
        <v>4150</v>
      </c>
      <c r="B765" s="1" t="s">
        <v>35</v>
      </c>
      <c r="C765" s="1">
        <v>4.9</v>
      </c>
    </row>
    <row r="766" ht="14.25" customHeight="1">
      <c r="A766" s="1" t="s">
        <v>4157</v>
      </c>
      <c r="B766" s="1" t="s">
        <v>35</v>
      </c>
      <c r="C766" s="1">
        <v>5.6</v>
      </c>
    </row>
    <row r="767" ht="14.25" customHeight="1">
      <c r="A767" s="1" t="s">
        <v>4163</v>
      </c>
      <c r="B767" s="1" t="s">
        <v>35</v>
      </c>
      <c r="C767" s="1">
        <v>6.1</v>
      </c>
    </row>
    <row r="768" ht="14.25" customHeight="1">
      <c r="A768" s="1" t="s">
        <v>4167</v>
      </c>
      <c r="B768" s="1" t="s">
        <v>35</v>
      </c>
      <c r="C768" s="1">
        <v>6.1</v>
      </c>
    </row>
    <row r="769" ht="14.25" customHeight="1">
      <c r="A769" s="1" t="s">
        <v>4171</v>
      </c>
      <c r="B769" s="1" t="s">
        <v>35</v>
      </c>
      <c r="C769" s="1">
        <v>4.8</v>
      </c>
    </row>
    <row r="770" ht="14.25" customHeight="1">
      <c r="A770" s="1" t="s">
        <v>4176</v>
      </c>
      <c r="B770" s="1" t="s">
        <v>35</v>
      </c>
      <c r="C770" s="1">
        <v>5.5</v>
      </c>
    </row>
    <row r="771" ht="14.25" customHeight="1">
      <c r="A771" s="1" t="s">
        <v>4183</v>
      </c>
      <c r="B771" s="1" t="s">
        <v>35</v>
      </c>
      <c r="C771" s="1">
        <v>3.8</v>
      </c>
    </row>
    <row r="772" ht="14.25" customHeight="1">
      <c r="A772" s="1" t="s">
        <v>4188</v>
      </c>
      <c r="B772" s="1" t="s">
        <v>35</v>
      </c>
      <c r="C772" s="1">
        <v>6.5</v>
      </c>
    </row>
    <row r="773" ht="14.25" customHeight="1">
      <c r="A773" s="1" t="s">
        <v>4192</v>
      </c>
      <c r="B773" s="1" t="s">
        <v>4197</v>
      </c>
      <c r="C773" s="1">
        <v>6.7</v>
      </c>
    </row>
    <row r="774" ht="14.25" customHeight="1">
      <c r="A774" s="1" t="s">
        <v>4199</v>
      </c>
      <c r="B774" s="1" t="s">
        <v>35</v>
      </c>
      <c r="C774" s="1">
        <v>8.1</v>
      </c>
    </row>
    <row r="775" ht="14.25" customHeight="1">
      <c r="A775" s="1" t="s">
        <v>4206</v>
      </c>
      <c r="B775" s="1" t="s">
        <v>35</v>
      </c>
      <c r="C775" s="1">
        <v>4.9</v>
      </c>
    </row>
    <row r="776" ht="14.25" customHeight="1">
      <c r="A776" s="1" t="s">
        <v>4211</v>
      </c>
      <c r="B776" s="1" t="s">
        <v>35</v>
      </c>
      <c r="C776" s="1">
        <v>7.3</v>
      </c>
    </row>
    <row r="777" ht="14.25" customHeight="1">
      <c r="A777" s="1" t="s">
        <v>4217</v>
      </c>
      <c r="B777" s="1" t="s">
        <v>35</v>
      </c>
      <c r="C777" s="1">
        <v>6.4</v>
      </c>
    </row>
    <row r="778" ht="14.25" customHeight="1">
      <c r="A778" s="1" t="s">
        <v>4224</v>
      </c>
      <c r="B778" s="1" t="s">
        <v>35</v>
      </c>
      <c r="C778" s="1">
        <v>6.7</v>
      </c>
    </row>
    <row r="779" ht="14.25" customHeight="1">
      <c r="A779" s="1" t="s">
        <v>4228</v>
      </c>
      <c r="B779" s="1" t="s">
        <v>35</v>
      </c>
      <c r="C779" s="1">
        <v>3.6</v>
      </c>
    </row>
    <row r="780" ht="14.25" customHeight="1">
      <c r="A780" s="1" t="s">
        <v>4234</v>
      </c>
      <c r="B780" s="1" t="s">
        <v>35</v>
      </c>
      <c r="C780" s="1">
        <v>5.7</v>
      </c>
    </row>
    <row r="781" ht="14.25" customHeight="1">
      <c r="A781" s="1" t="s">
        <v>4240</v>
      </c>
      <c r="B781" s="1" t="s">
        <v>35</v>
      </c>
      <c r="C781" s="1">
        <v>6.0</v>
      </c>
    </row>
    <row r="782" ht="14.25" customHeight="1">
      <c r="A782" s="1" t="s">
        <v>4247</v>
      </c>
      <c r="B782" s="1" t="s">
        <v>35</v>
      </c>
      <c r="C782" s="1">
        <v>4.7</v>
      </c>
    </row>
    <row r="783" ht="14.25" customHeight="1">
      <c r="A783" s="1" t="s">
        <v>4252</v>
      </c>
      <c r="B783" s="1" t="s">
        <v>35</v>
      </c>
      <c r="C783" s="1">
        <v>6.3</v>
      </c>
    </row>
    <row r="784" ht="14.25" customHeight="1">
      <c r="A784" s="1" t="s">
        <v>4257</v>
      </c>
      <c r="B784" s="1" t="s">
        <v>35</v>
      </c>
      <c r="C784" s="1">
        <v>5.9</v>
      </c>
    </row>
    <row r="785" ht="14.25" customHeight="1">
      <c r="A785" s="1" t="s">
        <v>4262</v>
      </c>
      <c r="B785" s="1" t="s">
        <v>35</v>
      </c>
      <c r="C785" s="1">
        <v>5.9</v>
      </c>
    </row>
    <row r="786" ht="14.25" customHeight="1">
      <c r="A786" s="1" t="s">
        <v>4267</v>
      </c>
      <c r="B786" s="1" t="s">
        <v>35</v>
      </c>
      <c r="C786" s="1">
        <v>7.5</v>
      </c>
    </row>
    <row r="787" ht="14.25" customHeight="1">
      <c r="A787" s="1" t="s">
        <v>4271</v>
      </c>
      <c r="B787" s="1" t="s">
        <v>35</v>
      </c>
      <c r="C787" s="1">
        <v>5.6</v>
      </c>
    </row>
    <row r="788" ht="14.25" customHeight="1">
      <c r="A788" s="1" t="s">
        <v>4275</v>
      </c>
      <c r="B788" s="1" t="s">
        <v>35</v>
      </c>
      <c r="C788" s="1">
        <v>6.4</v>
      </c>
    </row>
    <row r="789" ht="14.25" customHeight="1">
      <c r="A789" s="1" t="s">
        <v>4280</v>
      </c>
      <c r="B789" s="1" t="s">
        <v>35</v>
      </c>
      <c r="C789" s="1">
        <v>6.3</v>
      </c>
    </row>
    <row r="790" ht="14.25" customHeight="1">
      <c r="A790" s="1" t="s">
        <v>4286</v>
      </c>
      <c r="B790" s="1" t="s">
        <v>35</v>
      </c>
      <c r="C790" s="1">
        <v>4.3</v>
      </c>
    </row>
    <row r="791" ht="14.25" customHeight="1">
      <c r="A791" s="1" t="s">
        <v>4292</v>
      </c>
      <c r="B791" s="1" t="s">
        <v>35</v>
      </c>
      <c r="C791" s="1">
        <v>5.9</v>
      </c>
    </row>
    <row r="792" ht="14.25" customHeight="1">
      <c r="A792" s="1" t="s">
        <v>4298</v>
      </c>
      <c r="B792" s="1" t="s">
        <v>35</v>
      </c>
      <c r="C792" s="1">
        <v>5.5</v>
      </c>
    </row>
    <row r="793" ht="14.25" customHeight="1">
      <c r="A793" s="1" t="s">
        <v>4303</v>
      </c>
      <c r="B793" s="1" t="s">
        <v>35</v>
      </c>
      <c r="C793" s="1">
        <v>6.2</v>
      </c>
    </row>
    <row r="794" ht="14.25" customHeight="1">
      <c r="A794" s="1" t="s">
        <v>4309</v>
      </c>
      <c r="B794" s="1" t="s">
        <v>35</v>
      </c>
      <c r="C794" s="1">
        <v>8.8</v>
      </c>
    </row>
    <row r="795" ht="14.25" customHeight="1">
      <c r="A795" s="1" t="s">
        <v>4314</v>
      </c>
      <c r="B795" s="1" t="s">
        <v>35</v>
      </c>
      <c r="C795" s="1">
        <v>5.2</v>
      </c>
    </row>
    <row r="796" ht="14.25" customHeight="1">
      <c r="A796" s="1" t="s">
        <v>4319</v>
      </c>
      <c r="B796" s="1" t="s">
        <v>35</v>
      </c>
      <c r="C796" s="1">
        <v>7.0</v>
      </c>
    </row>
    <row r="797" ht="14.25" customHeight="1">
      <c r="A797" s="1" t="s">
        <v>4323</v>
      </c>
      <c r="B797" s="1" t="s">
        <v>35</v>
      </c>
      <c r="C797" s="1">
        <v>6.6</v>
      </c>
    </row>
    <row r="798" ht="14.25" customHeight="1">
      <c r="A798" s="1" t="s">
        <v>4328</v>
      </c>
      <c r="B798" s="1" t="s">
        <v>35</v>
      </c>
      <c r="C798" s="1">
        <v>7.3</v>
      </c>
    </row>
    <row r="799" ht="14.25" customHeight="1">
      <c r="A799" s="1" t="s">
        <v>4333</v>
      </c>
      <c r="B799" s="1" t="s">
        <v>35</v>
      </c>
      <c r="C799" s="1">
        <v>5.6</v>
      </c>
    </row>
    <row r="800" ht="14.25" customHeight="1">
      <c r="A800" s="1" t="s">
        <v>4336</v>
      </c>
      <c r="B800" s="1" t="s">
        <v>35</v>
      </c>
      <c r="C800" s="1">
        <v>6.6</v>
      </c>
    </row>
    <row r="801" ht="14.25" customHeight="1">
      <c r="A801" s="1" t="s">
        <v>4340</v>
      </c>
      <c r="B801" s="1" t="s">
        <v>35</v>
      </c>
      <c r="C801" s="1">
        <v>5.4</v>
      </c>
    </row>
    <row r="802" ht="14.25" customHeight="1">
      <c r="A802" s="1" t="s">
        <v>4346</v>
      </c>
      <c r="B802" s="1" t="s">
        <v>35</v>
      </c>
      <c r="C802" s="1">
        <v>6.3</v>
      </c>
    </row>
    <row r="803" ht="14.25" customHeight="1">
      <c r="A803" s="1" t="s">
        <v>4351</v>
      </c>
      <c r="B803" s="1" t="s">
        <v>35</v>
      </c>
      <c r="C803" s="1">
        <v>7.9</v>
      </c>
    </row>
    <row r="804" ht="14.25" customHeight="1">
      <c r="A804" s="1" t="s">
        <v>4356</v>
      </c>
      <c r="B804" s="1" t="s">
        <v>35</v>
      </c>
      <c r="C804" s="1">
        <v>6.3</v>
      </c>
    </row>
    <row r="805" ht="14.25" customHeight="1">
      <c r="A805" s="1" t="s">
        <v>4359</v>
      </c>
      <c r="B805" s="1" t="s">
        <v>35</v>
      </c>
      <c r="C805" s="1">
        <v>6.0</v>
      </c>
    </row>
    <row r="806" ht="14.25" customHeight="1">
      <c r="A806" s="1" t="s">
        <v>4363</v>
      </c>
      <c r="B806" s="1" t="s">
        <v>35</v>
      </c>
      <c r="C806" s="1">
        <v>7.2</v>
      </c>
    </row>
    <row r="807" ht="14.25" customHeight="1">
      <c r="A807" s="1" t="s">
        <v>4368</v>
      </c>
      <c r="B807" s="1" t="s">
        <v>35</v>
      </c>
      <c r="C807" s="1">
        <v>5.1</v>
      </c>
    </row>
    <row r="808" ht="14.25" customHeight="1">
      <c r="A808" s="1" t="s">
        <v>4372</v>
      </c>
      <c r="B808" s="1" t="s">
        <v>35</v>
      </c>
      <c r="C808" s="1">
        <v>7.3</v>
      </c>
    </row>
    <row r="809" ht="14.25" customHeight="1">
      <c r="A809" s="1" t="s">
        <v>4377</v>
      </c>
      <c r="B809" s="1" t="s">
        <v>35</v>
      </c>
      <c r="C809" s="1">
        <v>8.0</v>
      </c>
    </row>
    <row r="810" ht="14.25" customHeight="1">
      <c r="A810" s="1" t="s">
        <v>4382</v>
      </c>
      <c r="B810" s="1" t="s">
        <v>35</v>
      </c>
      <c r="C810" s="1">
        <v>6.2</v>
      </c>
    </row>
    <row r="811" ht="14.25" customHeight="1">
      <c r="A811" s="1" t="s">
        <v>4387</v>
      </c>
      <c r="B811" s="1" t="s">
        <v>35</v>
      </c>
      <c r="C811" s="1">
        <v>6.0</v>
      </c>
    </row>
    <row r="812" ht="14.25" customHeight="1">
      <c r="A812" s="1" t="s">
        <v>4391</v>
      </c>
      <c r="B812" s="1" t="s">
        <v>35</v>
      </c>
      <c r="C812" s="1">
        <v>6.7</v>
      </c>
    </row>
    <row r="813" ht="14.25" customHeight="1">
      <c r="A813" s="1" t="s">
        <v>4394</v>
      </c>
      <c r="B813" s="1" t="s">
        <v>35</v>
      </c>
      <c r="C813" s="1">
        <v>8.1</v>
      </c>
    </row>
    <row r="814" ht="14.25" customHeight="1">
      <c r="A814" s="1" t="s">
        <v>4399</v>
      </c>
      <c r="B814" s="1" t="s">
        <v>35</v>
      </c>
      <c r="C814" s="1">
        <v>6.4</v>
      </c>
    </row>
    <row r="815" ht="14.25" customHeight="1">
      <c r="A815" s="1" t="s">
        <v>4403</v>
      </c>
      <c r="B815" s="1" t="s">
        <v>35</v>
      </c>
      <c r="C815" s="1">
        <v>8.0</v>
      </c>
    </row>
    <row r="816" ht="14.25" customHeight="1">
      <c r="A816" s="1" t="s">
        <v>4407</v>
      </c>
      <c r="B816" s="1" t="s">
        <v>35</v>
      </c>
      <c r="C816" s="1">
        <v>6.3</v>
      </c>
    </row>
    <row r="817" ht="14.25" customHeight="1">
      <c r="A817" s="1" t="s">
        <v>4412</v>
      </c>
      <c r="B817" s="1" t="s">
        <v>35</v>
      </c>
      <c r="C817" s="1">
        <v>6.4</v>
      </c>
    </row>
    <row r="818" ht="14.25" customHeight="1">
      <c r="A818" s="1" t="s">
        <v>4416</v>
      </c>
      <c r="B818" s="1" t="s">
        <v>35</v>
      </c>
      <c r="C818" s="1">
        <v>6.6</v>
      </c>
    </row>
    <row r="819" ht="14.25" customHeight="1">
      <c r="A819" s="1" t="s">
        <v>4422</v>
      </c>
      <c r="B819" s="1" t="s">
        <v>35</v>
      </c>
      <c r="C819" s="1">
        <v>6.4</v>
      </c>
    </row>
    <row r="820" ht="14.25" customHeight="1">
      <c r="A820" s="1" t="s">
        <v>4426</v>
      </c>
      <c r="B820" s="1" t="s">
        <v>35</v>
      </c>
      <c r="C820" s="1">
        <v>6.0</v>
      </c>
    </row>
    <row r="821" ht="14.25" customHeight="1">
      <c r="A821" s="1" t="s">
        <v>4431</v>
      </c>
      <c r="B821" s="1" t="s">
        <v>35</v>
      </c>
      <c r="C821" s="1">
        <v>6.6</v>
      </c>
    </row>
    <row r="822" ht="14.25" customHeight="1">
      <c r="A822" s="1" t="s">
        <v>4436</v>
      </c>
      <c r="B822" s="1" t="s">
        <v>35</v>
      </c>
      <c r="C822" s="1">
        <v>5.9</v>
      </c>
    </row>
    <row r="823" ht="14.25" customHeight="1">
      <c r="A823" s="1" t="s">
        <v>4440</v>
      </c>
      <c r="B823" s="1" t="s">
        <v>35</v>
      </c>
      <c r="C823" s="1">
        <v>6.4</v>
      </c>
    </row>
    <row r="824" ht="14.25" customHeight="1">
      <c r="A824" s="1" t="s">
        <v>4447</v>
      </c>
      <c r="B824" s="1" t="s">
        <v>35</v>
      </c>
      <c r="C824" s="1">
        <v>6.3</v>
      </c>
    </row>
    <row r="825" ht="14.25" customHeight="1">
      <c r="A825" s="1" t="s">
        <v>4455</v>
      </c>
      <c r="B825" s="1" t="s">
        <v>35</v>
      </c>
      <c r="C825" s="1">
        <v>7.3</v>
      </c>
    </row>
    <row r="826" ht="14.25" customHeight="1">
      <c r="A826" s="1" t="s">
        <v>4459</v>
      </c>
      <c r="B826" s="1" t="s">
        <v>35</v>
      </c>
      <c r="C826" s="1">
        <v>6.8</v>
      </c>
    </row>
    <row r="827" ht="14.25" customHeight="1">
      <c r="A827" s="1" t="s">
        <v>4465</v>
      </c>
      <c r="B827" s="1" t="s">
        <v>35</v>
      </c>
      <c r="C827" s="1">
        <v>7.2</v>
      </c>
    </row>
    <row r="828" ht="14.25" customHeight="1">
      <c r="A828" s="1" t="s">
        <v>4471</v>
      </c>
      <c r="B828" s="1" t="s">
        <v>35</v>
      </c>
      <c r="C828" s="1">
        <v>5.7</v>
      </c>
    </row>
    <row r="829" ht="14.25" customHeight="1">
      <c r="A829" s="1" t="s">
        <v>4476</v>
      </c>
      <c r="B829" s="1" t="s">
        <v>35</v>
      </c>
      <c r="C829" s="1">
        <v>6.0</v>
      </c>
    </row>
    <row r="830" ht="14.25" customHeight="1">
      <c r="A830" s="1" t="s">
        <v>4481</v>
      </c>
      <c r="B830" s="1" t="s">
        <v>35</v>
      </c>
      <c r="C830" s="1">
        <v>6.5</v>
      </c>
    </row>
    <row r="831" ht="14.25" customHeight="1">
      <c r="A831" s="1" t="s">
        <v>4485</v>
      </c>
      <c r="B831" s="1" t="s">
        <v>35</v>
      </c>
      <c r="C831" s="1">
        <v>5.8</v>
      </c>
    </row>
    <row r="832" ht="14.25" customHeight="1">
      <c r="A832" s="1" t="s">
        <v>4491</v>
      </c>
      <c r="B832" s="1" t="s">
        <v>35</v>
      </c>
      <c r="C832" s="1">
        <v>5.8</v>
      </c>
    </row>
    <row r="833" ht="14.25" customHeight="1">
      <c r="A833" s="1" t="s">
        <v>4495</v>
      </c>
      <c r="B833" s="1" t="s">
        <v>35</v>
      </c>
      <c r="C833" s="1">
        <v>6.7</v>
      </c>
    </row>
    <row r="834" ht="14.25" customHeight="1">
      <c r="A834" s="1" t="s">
        <v>4499</v>
      </c>
      <c r="B834" s="1" t="s">
        <v>35</v>
      </c>
      <c r="C834" s="1">
        <v>7.8</v>
      </c>
    </row>
    <row r="835" ht="14.25" customHeight="1">
      <c r="A835" s="1" t="s">
        <v>4502</v>
      </c>
      <c r="B835" s="1" t="s">
        <v>35</v>
      </c>
      <c r="C835" s="1">
        <v>5.6</v>
      </c>
    </row>
    <row r="836" ht="14.25" customHeight="1">
      <c r="A836" s="1" t="s">
        <v>4505</v>
      </c>
      <c r="B836" s="1" t="s">
        <v>35</v>
      </c>
      <c r="C836" s="1">
        <v>5.8</v>
      </c>
    </row>
    <row r="837" ht="14.25" customHeight="1">
      <c r="A837" s="1" t="s">
        <v>4510</v>
      </c>
      <c r="B837" s="1" t="s">
        <v>35</v>
      </c>
      <c r="C837" s="1">
        <v>7.4</v>
      </c>
    </row>
    <row r="838" ht="14.25" customHeight="1">
      <c r="A838" s="1" t="s">
        <v>4516</v>
      </c>
      <c r="B838" s="1" t="s">
        <v>35</v>
      </c>
      <c r="C838" s="1">
        <v>6.9</v>
      </c>
    </row>
    <row r="839" ht="14.25" customHeight="1">
      <c r="A839" s="1" t="s">
        <v>4520</v>
      </c>
      <c r="B839" s="1" t="s">
        <v>35</v>
      </c>
      <c r="C839" s="1">
        <v>5.5</v>
      </c>
    </row>
    <row r="840" ht="14.25" customHeight="1">
      <c r="A840" s="1" t="s">
        <v>4525</v>
      </c>
      <c r="B840" s="1" t="s">
        <v>35</v>
      </c>
      <c r="C840" s="1">
        <v>6.3</v>
      </c>
    </row>
    <row r="841" ht="14.25" customHeight="1">
      <c r="A841" s="1" t="s">
        <v>4532</v>
      </c>
      <c r="B841" s="1" t="s">
        <v>35</v>
      </c>
      <c r="C841" s="1">
        <v>4.7</v>
      </c>
    </row>
    <row r="842" ht="14.25" customHeight="1">
      <c r="A842" s="1" t="s">
        <v>4537</v>
      </c>
      <c r="B842" s="1" t="s">
        <v>35</v>
      </c>
      <c r="C842" s="1">
        <v>5.6</v>
      </c>
    </row>
    <row r="843" ht="14.25" customHeight="1">
      <c r="A843" s="1" t="s">
        <v>4541</v>
      </c>
      <c r="B843" s="1" t="s">
        <v>35</v>
      </c>
      <c r="C843" s="1">
        <v>6.4</v>
      </c>
    </row>
    <row r="844" ht="14.25" customHeight="1">
      <c r="A844" s="1" t="s">
        <v>4547</v>
      </c>
      <c r="B844" s="1" t="s">
        <v>35</v>
      </c>
      <c r="C844" s="1">
        <v>4.2</v>
      </c>
    </row>
    <row r="845" ht="14.25" customHeight="1">
      <c r="A845" s="1" t="s">
        <v>4552</v>
      </c>
      <c r="B845" s="1" t="s">
        <v>35</v>
      </c>
      <c r="C845" s="1">
        <v>6.4</v>
      </c>
    </row>
    <row r="846" ht="14.25" customHeight="1">
      <c r="A846" s="1" t="s">
        <v>4558</v>
      </c>
      <c r="B846" s="1" t="s">
        <v>2752</v>
      </c>
      <c r="C846" s="1">
        <v>7.7</v>
      </c>
    </row>
    <row r="847" ht="14.25" customHeight="1">
      <c r="A847" s="1" t="s">
        <v>4565</v>
      </c>
      <c r="B847" s="1" t="s">
        <v>35</v>
      </c>
      <c r="C847" s="1">
        <v>6.7</v>
      </c>
    </row>
    <row r="848" ht="14.25" customHeight="1">
      <c r="A848" s="1" t="s">
        <v>4569</v>
      </c>
      <c r="B848" s="1" t="s">
        <v>35</v>
      </c>
      <c r="C848" s="1">
        <v>7.7</v>
      </c>
    </row>
    <row r="849" ht="14.25" customHeight="1">
      <c r="A849" s="1" t="s">
        <v>4573</v>
      </c>
      <c r="B849" s="1" t="s">
        <v>35</v>
      </c>
      <c r="C849" s="1">
        <v>5.7</v>
      </c>
    </row>
    <row r="850" ht="14.25" customHeight="1">
      <c r="A850" s="1" t="s">
        <v>4579</v>
      </c>
      <c r="B850" s="1" t="s">
        <v>35</v>
      </c>
      <c r="C850" s="1">
        <v>7.6</v>
      </c>
    </row>
    <row r="851" ht="14.25" customHeight="1">
      <c r="A851" s="1" t="s">
        <v>4582</v>
      </c>
      <c r="B851" s="1" t="s">
        <v>35</v>
      </c>
      <c r="C851" s="1">
        <v>6.4</v>
      </c>
    </row>
    <row r="852" ht="14.25" customHeight="1">
      <c r="A852" s="1" t="s">
        <v>4585</v>
      </c>
      <c r="B852" s="1" t="s">
        <v>35</v>
      </c>
      <c r="C852" s="1">
        <v>5.6</v>
      </c>
    </row>
    <row r="853" ht="14.25" customHeight="1">
      <c r="A853" s="1" t="s">
        <v>4592</v>
      </c>
      <c r="B853" s="1" t="s">
        <v>35</v>
      </c>
      <c r="C853" s="1">
        <v>6.8</v>
      </c>
    </row>
    <row r="854" ht="14.25" customHeight="1">
      <c r="A854" s="1" t="s">
        <v>4597</v>
      </c>
      <c r="B854" s="1" t="s">
        <v>35</v>
      </c>
      <c r="C854" s="1">
        <v>2.4</v>
      </c>
    </row>
    <row r="855" ht="14.25" customHeight="1">
      <c r="A855" s="1" t="s">
        <v>4603</v>
      </c>
      <c r="B855" s="1" t="s">
        <v>35</v>
      </c>
      <c r="C855" s="1">
        <v>6.2</v>
      </c>
    </row>
    <row r="856" ht="14.25" customHeight="1">
      <c r="A856" s="1" t="s">
        <v>4606</v>
      </c>
      <c r="B856" s="1" t="s">
        <v>35</v>
      </c>
      <c r="C856" s="1">
        <v>5.9</v>
      </c>
    </row>
    <row r="857" ht="14.25" customHeight="1">
      <c r="A857" s="1" t="s">
        <v>4609</v>
      </c>
      <c r="B857" s="1" t="s">
        <v>35</v>
      </c>
      <c r="C857" s="1">
        <v>7.1</v>
      </c>
    </row>
    <row r="858" ht="14.25" customHeight="1">
      <c r="A858" s="1" t="s">
        <v>4614</v>
      </c>
      <c r="B858" s="1" t="s">
        <v>35</v>
      </c>
      <c r="C858" s="1">
        <v>7.6</v>
      </c>
    </row>
    <row r="859" ht="14.25" customHeight="1">
      <c r="A859" s="1" t="s">
        <v>4618</v>
      </c>
      <c r="B859" s="1" t="s">
        <v>35</v>
      </c>
      <c r="C859" s="1">
        <v>5.5</v>
      </c>
    </row>
    <row r="860" ht="14.25" customHeight="1">
      <c r="A860" s="1" t="s">
        <v>4623</v>
      </c>
      <c r="B860" s="1" t="s">
        <v>35</v>
      </c>
      <c r="C860" s="1">
        <v>7.0</v>
      </c>
    </row>
    <row r="861" ht="14.25" customHeight="1">
      <c r="A861" s="1" t="s">
        <v>4626</v>
      </c>
      <c r="B861" s="1" t="s">
        <v>35</v>
      </c>
      <c r="C861" s="1">
        <v>7.1</v>
      </c>
    </row>
    <row r="862" ht="14.25" customHeight="1">
      <c r="A862" s="1" t="s">
        <v>4629</v>
      </c>
      <c r="B862" s="1" t="s">
        <v>35</v>
      </c>
      <c r="C862" s="1">
        <v>7.4</v>
      </c>
    </row>
    <row r="863" ht="14.25" customHeight="1">
      <c r="A863" s="1" t="s">
        <v>4633</v>
      </c>
      <c r="B863" s="1" t="s">
        <v>35</v>
      </c>
      <c r="C863" s="1">
        <v>7.6</v>
      </c>
    </row>
    <row r="864" ht="14.25" customHeight="1">
      <c r="A864" s="1" t="s">
        <v>4637</v>
      </c>
      <c r="B864" s="1" t="s">
        <v>35</v>
      </c>
      <c r="C864" s="1">
        <v>5.9</v>
      </c>
    </row>
    <row r="865" ht="14.25" customHeight="1">
      <c r="A865" s="1" t="s">
        <v>4644</v>
      </c>
      <c r="B865" s="1" t="s">
        <v>35</v>
      </c>
      <c r="C865" s="1">
        <v>5.9</v>
      </c>
    </row>
    <row r="866" ht="14.25" customHeight="1">
      <c r="A866" s="1" t="s">
        <v>4649</v>
      </c>
      <c r="B866" s="1" t="s">
        <v>35</v>
      </c>
      <c r="C866" s="1">
        <v>8.0</v>
      </c>
    </row>
    <row r="867" ht="14.25" customHeight="1">
      <c r="A867" s="1" t="s">
        <v>4652</v>
      </c>
      <c r="B867" s="1" t="s">
        <v>35</v>
      </c>
      <c r="C867" s="1">
        <v>7.4</v>
      </c>
    </row>
    <row r="868" ht="14.25" customHeight="1">
      <c r="A868" s="1" t="s">
        <v>4657</v>
      </c>
      <c r="B868" s="1" t="s">
        <v>35</v>
      </c>
      <c r="C868" s="1">
        <v>5.8</v>
      </c>
    </row>
    <row r="869" ht="14.25" customHeight="1">
      <c r="A869" s="1" t="s">
        <v>4662</v>
      </c>
      <c r="B869" s="1" t="s">
        <v>35</v>
      </c>
      <c r="C869" s="1">
        <v>6.3</v>
      </c>
    </row>
    <row r="870" ht="14.25" customHeight="1">
      <c r="A870" s="1" t="s">
        <v>4666</v>
      </c>
      <c r="B870" s="1" t="s">
        <v>35</v>
      </c>
      <c r="C870" s="1">
        <v>5.7</v>
      </c>
    </row>
    <row r="871" ht="14.25" customHeight="1">
      <c r="A871" s="1" t="s">
        <v>4670</v>
      </c>
      <c r="B871" s="1" t="s">
        <v>35</v>
      </c>
      <c r="C871" s="1">
        <v>5.1</v>
      </c>
    </row>
    <row r="872" ht="14.25" customHeight="1">
      <c r="A872" s="1" t="s">
        <v>4677</v>
      </c>
      <c r="B872" s="1" t="s">
        <v>35</v>
      </c>
      <c r="C872" s="1">
        <v>7.6</v>
      </c>
    </row>
    <row r="873" ht="14.25" customHeight="1">
      <c r="A873" s="1" t="s">
        <v>4682</v>
      </c>
      <c r="B873" s="1" t="s">
        <v>35</v>
      </c>
      <c r="C873" s="1">
        <v>6.4</v>
      </c>
    </row>
    <row r="874" ht="14.25" customHeight="1">
      <c r="A874" s="1" t="s">
        <v>4687</v>
      </c>
      <c r="B874" s="1" t="s">
        <v>35</v>
      </c>
      <c r="C874" s="1">
        <v>7.4</v>
      </c>
    </row>
    <row r="875" ht="14.25" customHeight="1">
      <c r="A875" s="1" t="s">
        <v>4693</v>
      </c>
      <c r="B875" s="1" t="s">
        <v>35</v>
      </c>
      <c r="C875" s="1">
        <v>8.2</v>
      </c>
    </row>
    <row r="876" ht="14.25" customHeight="1">
      <c r="A876" s="1" t="s">
        <v>4697</v>
      </c>
      <c r="B876" s="1" t="s">
        <v>35</v>
      </c>
      <c r="C876" s="1">
        <v>6.5</v>
      </c>
    </row>
    <row r="877" ht="14.25" customHeight="1">
      <c r="A877" s="1" t="s">
        <v>4704</v>
      </c>
      <c r="B877" s="1" t="s">
        <v>35</v>
      </c>
      <c r="C877" s="1">
        <v>5.5</v>
      </c>
    </row>
    <row r="878" ht="14.25" customHeight="1">
      <c r="A878" s="1" t="s">
        <v>4708</v>
      </c>
      <c r="B878" s="1" t="s">
        <v>35</v>
      </c>
      <c r="C878" s="1">
        <v>6.5</v>
      </c>
    </row>
    <row r="879" ht="14.25" customHeight="1">
      <c r="A879" s="1" t="s">
        <v>4714</v>
      </c>
      <c r="B879" s="1" t="s">
        <v>35</v>
      </c>
      <c r="C879" s="1">
        <v>5.6</v>
      </c>
    </row>
    <row r="880" ht="14.25" customHeight="1">
      <c r="A880" s="1" t="s">
        <v>4718</v>
      </c>
      <c r="B880" s="1" t="s">
        <v>35</v>
      </c>
      <c r="C880" s="1">
        <v>4.6</v>
      </c>
    </row>
    <row r="881" ht="14.25" customHeight="1">
      <c r="A881" s="1" t="s">
        <v>4721</v>
      </c>
      <c r="B881" s="1" t="s">
        <v>35</v>
      </c>
      <c r="C881" s="1">
        <v>7.9</v>
      </c>
    </row>
    <row r="882" ht="14.25" customHeight="1">
      <c r="A882" s="1" t="s">
        <v>4727</v>
      </c>
      <c r="B882" s="1" t="s">
        <v>35</v>
      </c>
      <c r="C882" s="1">
        <v>7.1</v>
      </c>
    </row>
    <row r="883" ht="14.25" customHeight="1">
      <c r="A883" s="1" t="s">
        <v>4732</v>
      </c>
      <c r="B883" s="1" t="s">
        <v>35</v>
      </c>
      <c r="C883" s="1">
        <v>6.9</v>
      </c>
    </row>
    <row r="884" ht="14.25" customHeight="1">
      <c r="A884" s="1" t="s">
        <v>4735</v>
      </c>
      <c r="B884" s="1" t="s">
        <v>35</v>
      </c>
      <c r="C884" s="1">
        <v>7.3</v>
      </c>
    </row>
    <row r="885" ht="14.25" customHeight="1">
      <c r="A885" s="1" t="s">
        <v>4739</v>
      </c>
      <c r="B885" s="1" t="s">
        <v>35</v>
      </c>
      <c r="C885" s="1">
        <v>7.0</v>
      </c>
    </row>
    <row r="886" ht="14.25" customHeight="1">
      <c r="A886" s="1" t="s">
        <v>4742</v>
      </c>
      <c r="B886" s="1" t="s">
        <v>35</v>
      </c>
      <c r="C886" s="1">
        <v>7.7</v>
      </c>
    </row>
    <row r="887" ht="14.25" customHeight="1">
      <c r="A887" s="1" t="s">
        <v>4747</v>
      </c>
      <c r="B887" s="1" t="s">
        <v>35</v>
      </c>
      <c r="C887" s="1">
        <v>6.7</v>
      </c>
    </row>
    <row r="888" ht="14.25" customHeight="1">
      <c r="A888" s="1" t="s">
        <v>4751</v>
      </c>
      <c r="B888" s="1" t="s">
        <v>35</v>
      </c>
      <c r="C888" s="1">
        <v>6.3</v>
      </c>
    </row>
    <row r="889" ht="14.25" customHeight="1">
      <c r="A889" s="1" t="s">
        <v>4754</v>
      </c>
      <c r="B889" s="1" t="s">
        <v>35</v>
      </c>
      <c r="C889" s="1">
        <v>5.8</v>
      </c>
    </row>
    <row r="890" ht="14.25" customHeight="1">
      <c r="A890" s="1" t="s">
        <v>4757</v>
      </c>
      <c r="B890" s="1" t="s">
        <v>35</v>
      </c>
      <c r="C890" s="1">
        <v>7.1</v>
      </c>
    </row>
    <row r="891" ht="14.25" customHeight="1">
      <c r="A891" s="1" t="s">
        <v>4763</v>
      </c>
      <c r="B891" s="1" t="s">
        <v>35</v>
      </c>
      <c r="C891" s="1">
        <v>7.3</v>
      </c>
    </row>
    <row r="892" ht="14.25" customHeight="1">
      <c r="A892" s="1" t="s">
        <v>4767</v>
      </c>
      <c r="B892" s="1" t="s">
        <v>35</v>
      </c>
      <c r="C892" s="1">
        <v>6.4</v>
      </c>
    </row>
    <row r="893" ht="14.25" customHeight="1">
      <c r="A893" s="1" t="s">
        <v>4771</v>
      </c>
      <c r="B893" s="1" t="s">
        <v>35</v>
      </c>
      <c r="C893" s="1">
        <v>7.1</v>
      </c>
    </row>
    <row r="894" ht="14.25" customHeight="1">
      <c r="A894" s="1" t="s">
        <v>4776</v>
      </c>
      <c r="B894" s="1" t="s">
        <v>35</v>
      </c>
      <c r="C894" s="1">
        <v>7.6</v>
      </c>
    </row>
    <row r="895" ht="14.25" customHeight="1">
      <c r="A895" s="1" t="s">
        <v>4780</v>
      </c>
      <c r="B895" s="1" t="s">
        <v>35</v>
      </c>
      <c r="C895" s="1">
        <v>6.8</v>
      </c>
    </row>
    <row r="896" ht="14.25" customHeight="1">
      <c r="A896" s="1" t="s">
        <v>4785</v>
      </c>
      <c r="B896" s="1" t="s">
        <v>35</v>
      </c>
      <c r="C896" s="1">
        <v>6.6</v>
      </c>
    </row>
    <row r="897" ht="14.25" customHeight="1">
      <c r="A897" s="1" t="s">
        <v>4789</v>
      </c>
      <c r="B897" s="1" t="s">
        <v>35</v>
      </c>
      <c r="C897" s="1">
        <v>6.7</v>
      </c>
    </row>
    <row r="898" ht="14.25" customHeight="1">
      <c r="A898" s="1" t="s">
        <v>4793</v>
      </c>
      <c r="B898" s="1" t="s">
        <v>35</v>
      </c>
      <c r="C898" s="1">
        <v>6.1</v>
      </c>
    </row>
    <row r="899" ht="14.25" customHeight="1">
      <c r="A899" s="1" t="s">
        <v>4797</v>
      </c>
      <c r="B899" s="1" t="s">
        <v>35</v>
      </c>
      <c r="C899" s="1">
        <v>6.0</v>
      </c>
    </row>
    <row r="900" ht="14.25" customHeight="1">
      <c r="A900" s="1" t="s">
        <v>4802</v>
      </c>
      <c r="B900" s="1" t="s">
        <v>35</v>
      </c>
      <c r="C900" s="1">
        <v>7.6</v>
      </c>
    </row>
    <row r="901" ht="14.25" customHeight="1">
      <c r="A901" s="1" t="s">
        <v>4807</v>
      </c>
      <c r="B901" s="1" t="s">
        <v>35</v>
      </c>
      <c r="C901" s="1">
        <v>7.1</v>
      </c>
    </row>
    <row r="902" ht="14.25" customHeight="1">
      <c r="A902" s="1" t="s">
        <v>4813</v>
      </c>
      <c r="B902" s="1" t="s">
        <v>35</v>
      </c>
      <c r="C902" s="1">
        <v>5.0</v>
      </c>
    </row>
    <row r="903" ht="14.25" customHeight="1">
      <c r="A903" s="1" t="s">
        <v>4817</v>
      </c>
      <c r="B903" s="1" t="s">
        <v>35</v>
      </c>
      <c r="C903" s="1">
        <v>6.2</v>
      </c>
    </row>
    <row r="904" ht="14.25" customHeight="1">
      <c r="A904" s="1" t="s">
        <v>4821</v>
      </c>
      <c r="B904" s="1" t="s">
        <v>35</v>
      </c>
      <c r="C904" s="1">
        <v>5.6</v>
      </c>
    </row>
    <row r="905" ht="14.25" customHeight="1">
      <c r="A905" s="1" t="s">
        <v>4824</v>
      </c>
      <c r="B905" s="1" t="s">
        <v>35</v>
      </c>
      <c r="C905" s="1">
        <v>7.4</v>
      </c>
    </row>
    <row r="906" ht="14.25" customHeight="1">
      <c r="A906" s="1" t="s">
        <v>4828</v>
      </c>
      <c r="B906" s="1" t="s">
        <v>35</v>
      </c>
      <c r="C906" s="1">
        <v>5.0</v>
      </c>
    </row>
    <row r="907" ht="14.25" customHeight="1">
      <c r="A907" s="1" t="s">
        <v>4834</v>
      </c>
      <c r="B907" s="1" t="s">
        <v>35</v>
      </c>
      <c r="C907" s="1">
        <v>5.2</v>
      </c>
    </row>
    <row r="908" ht="14.25" customHeight="1">
      <c r="A908" s="1" t="s">
        <v>4838</v>
      </c>
      <c r="B908" s="1" t="s">
        <v>35</v>
      </c>
      <c r="C908" s="1">
        <v>7.6</v>
      </c>
    </row>
    <row r="909" ht="14.25" customHeight="1">
      <c r="A909" s="1" t="s">
        <v>4841</v>
      </c>
      <c r="B909" s="1" t="s">
        <v>35</v>
      </c>
      <c r="C909" s="1">
        <v>6.6</v>
      </c>
    </row>
    <row r="910" ht="14.25" customHeight="1">
      <c r="A910" s="1" t="s">
        <v>4845</v>
      </c>
      <c r="B910" s="1" t="s">
        <v>35</v>
      </c>
      <c r="C910" s="1">
        <v>7.0</v>
      </c>
    </row>
    <row r="911" ht="14.25" customHeight="1">
      <c r="A911" s="1" t="s">
        <v>4850</v>
      </c>
      <c r="B911" s="1" t="s">
        <v>35</v>
      </c>
      <c r="C911" s="1">
        <v>5.7</v>
      </c>
    </row>
    <row r="912" ht="14.25" customHeight="1">
      <c r="A912" s="1" t="s">
        <v>4856</v>
      </c>
      <c r="B912" s="1" t="s">
        <v>35</v>
      </c>
      <c r="C912" s="1">
        <v>8.2</v>
      </c>
    </row>
    <row r="913" ht="14.25" customHeight="1">
      <c r="A913" s="1" t="s">
        <v>4860</v>
      </c>
      <c r="B913" s="1" t="s">
        <v>35</v>
      </c>
      <c r="C913" s="1">
        <v>6.2</v>
      </c>
    </row>
    <row r="914" ht="14.25" customHeight="1">
      <c r="A914" s="1" t="s">
        <v>4867</v>
      </c>
      <c r="B914" s="1" t="s">
        <v>35</v>
      </c>
      <c r="C914" s="1">
        <v>6.6</v>
      </c>
    </row>
    <row r="915" ht="14.25" customHeight="1">
      <c r="A915" s="1" t="s">
        <v>4871</v>
      </c>
      <c r="B915" s="1" t="s">
        <v>35</v>
      </c>
      <c r="C915" s="1">
        <v>4.7</v>
      </c>
    </row>
    <row r="916" ht="14.25" customHeight="1">
      <c r="A916" s="1" t="s">
        <v>4877</v>
      </c>
      <c r="B916" s="1" t="s">
        <v>35</v>
      </c>
      <c r="C916" s="1">
        <v>6.3</v>
      </c>
    </row>
    <row r="917" ht="14.25" customHeight="1">
      <c r="A917" s="1" t="s">
        <v>4883</v>
      </c>
      <c r="B917" s="1" t="s">
        <v>35</v>
      </c>
      <c r="C917" s="1">
        <v>6.1</v>
      </c>
    </row>
    <row r="918" ht="14.25" customHeight="1">
      <c r="A918" s="1" t="s">
        <v>4888</v>
      </c>
      <c r="B918" s="1" t="s">
        <v>35</v>
      </c>
      <c r="C918" s="1">
        <v>6.7</v>
      </c>
    </row>
    <row r="919" ht="14.25" customHeight="1">
      <c r="A919" s="1" t="s">
        <v>4894</v>
      </c>
      <c r="B919" s="1" t="s">
        <v>35</v>
      </c>
      <c r="C919" s="1">
        <v>6.1</v>
      </c>
    </row>
    <row r="920" ht="14.25" customHeight="1">
      <c r="A920" s="1" t="s">
        <v>4901</v>
      </c>
      <c r="B920" s="1" t="s">
        <v>35</v>
      </c>
      <c r="C920" s="1">
        <v>7.0</v>
      </c>
    </row>
    <row r="921" ht="14.25" customHeight="1">
      <c r="A921" s="1" t="s">
        <v>4906</v>
      </c>
      <c r="B921" s="1" t="s">
        <v>35</v>
      </c>
      <c r="C921" s="1">
        <v>7.4</v>
      </c>
    </row>
    <row r="922" ht="14.25" customHeight="1">
      <c r="A922" s="1" t="s">
        <v>4912</v>
      </c>
      <c r="B922" s="1" t="s">
        <v>35</v>
      </c>
      <c r="C922" s="1">
        <v>7.3</v>
      </c>
    </row>
    <row r="923" ht="14.25" customHeight="1">
      <c r="A923" s="1" t="s">
        <v>4917</v>
      </c>
      <c r="B923" s="1" t="s">
        <v>35</v>
      </c>
      <c r="C923" s="1">
        <v>5.8</v>
      </c>
    </row>
    <row r="924" ht="14.25" customHeight="1">
      <c r="A924" s="1" t="s">
        <v>4921</v>
      </c>
      <c r="B924" s="1" t="s">
        <v>35</v>
      </c>
      <c r="C924" s="1">
        <v>6.7</v>
      </c>
    </row>
    <row r="925" ht="14.25" customHeight="1">
      <c r="A925" s="1" t="s">
        <v>4924</v>
      </c>
      <c r="B925" s="1" t="s">
        <v>35</v>
      </c>
      <c r="C925" s="1">
        <v>5.8</v>
      </c>
    </row>
    <row r="926" ht="14.25" customHeight="1">
      <c r="A926" s="1" t="s">
        <v>4927</v>
      </c>
      <c r="B926" s="1" t="s">
        <v>35</v>
      </c>
      <c r="C926" s="1">
        <v>7.8</v>
      </c>
    </row>
    <row r="927" ht="14.25" customHeight="1">
      <c r="A927" s="1" t="s">
        <v>4932</v>
      </c>
      <c r="B927" s="1" t="s">
        <v>35</v>
      </c>
      <c r="C927" s="1">
        <v>6.6</v>
      </c>
    </row>
    <row r="928" ht="14.25" customHeight="1">
      <c r="A928" s="1" t="s">
        <v>4938</v>
      </c>
      <c r="B928" s="1" t="s">
        <v>35</v>
      </c>
      <c r="C928" s="1">
        <v>6.5</v>
      </c>
    </row>
    <row r="929" ht="14.25" customHeight="1">
      <c r="A929" s="1" t="s">
        <v>4943</v>
      </c>
      <c r="B929" s="1" t="s">
        <v>35</v>
      </c>
      <c r="C929" s="1">
        <v>6.7</v>
      </c>
    </row>
    <row r="930" ht="14.25" customHeight="1">
      <c r="A930" s="1" t="s">
        <v>4947</v>
      </c>
      <c r="B930" s="1" t="s">
        <v>35</v>
      </c>
      <c r="C930" s="1">
        <v>7.3</v>
      </c>
    </row>
    <row r="931" ht="14.25" customHeight="1">
      <c r="A931" s="1" t="s">
        <v>4952</v>
      </c>
      <c r="B931" s="1" t="s">
        <v>35</v>
      </c>
      <c r="C931" s="1">
        <v>5.8</v>
      </c>
    </row>
    <row r="932" ht="14.25" customHeight="1">
      <c r="A932" s="1" t="s">
        <v>4958</v>
      </c>
      <c r="B932" s="1" t="s">
        <v>35</v>
      </c>
      <c r="C932" s="1">
        <v>5.5</v>
      </c>
    </row>
    <row r="933" ht="14.25" customHeight="1">
      <c r="A933" s="1" t="s">
        <v>4963</v>
      </c>
      <c r="B933" s="1" t="s">
        <v>35</v>
      </c>
      <c r="C933" s="1">
        <v>6.3</v>
      </c>
    </row>
    <row r="934" ht="14.25" customHeight="1">
      <c r="A934" s="1" t="s">
        <v>4968</v>
      </c>
      <c r="B934" s="1" t="s">
        <v>35</v>
      </c>
      <c r="C934" s="1">
        <v>7.4</v>
      </c>
    </row>
    <row r="935" ht="14.25" customHeight="1">
      <c r="A935" s="1" t="s">
        <v>4971</v>
      </c>
      <c r="B935" s="1" t="s">
        <v>35</v>
      </c>
      <c r="C935" s="1">
        <v>5.9</v>
      </c>
    </row>
    <row r="936" ht="14.25" customHeight="1">
      <c r="A936" s="1" t="s">
        <v>4976</v>
      </c>
      <c r="B936" s="1" t="s">
        <v>35</v>
      </c>
      <c r="C936" s="1">
        <v>6.2</v>
      </c>
    </row>
    <row r="937" ht="14.25" customHeight="1">
      <c r="A937" s="1" t="s">
        <v>4981</v>
      </c>
      <c r="B937" s="1" t="s">
        <v>35</v>
      </c>
      <c r="C937" s="1">
        <v>5.9</v>
      </c>
    </row>
    <row r="938" ht="14.25" customHeight="1">
      <c r="A938" s="1" t="s">
        <v>4986</v>
      </c>
      <c r="B938" s="1" t="s">
        <v>35</v>
      </c>
      <c r="C938" s="1">
        <v>6.5</v>
      </c>
    </row>
    <row r="939" ht="14.25" customHeight="1">
      <c r="A939" s="1" t="s">
        <v>4992</v>
      </c>
      <c r="B939" s="1" t="s">
        <v>35</v>
      </c>
      <c r="C939" s="1">
        <v>4.4</v>
      </c>
    </row>
    <row r="940" ht="14.25" customHeight="1">
      <c r="A940" s="1" t="s">
        <v>4997</v>
      </c>
      <c r="B940" s="1" t="s">
        <v>35</v>
      </c>
      <c r="C940" s="1">
        <v>3.5</v>
      </c>
    </row>
    <row r="941" ht="14.25" customHeight="1">
      <c r="A941" s="1" t="s">
        <v>5002</v>
      </c>
      <c r="B941" s="1" t="s">
        <v>35</v>
      </c>
      <c r="C941" s="1">
        <v>6.6</v>
      </c>
    </row>
    <row r="942" ht="14.25" customHeight="1">
      <c r="A942" s="1" t="s">
        <v>5007</v>
      </c>
      <c r="B942" s="1" t="s">
        <v>35</v>
      </c>
      <c r="C942" s="1">
        <v>6.0</v>
      </c>
    </row>
    <row r="943" ht="14.25" customHeight="1">
      <c r="A943" s="1" t="s">
        <v>5010</v>
      </c>
      <c r="B943" s="1" t="s">
        <v>35</v>
      </c>
      <c r="C943" s="1">
        <v>6.4</v>
      </c>
    </row>
    <row r="944" ht="14.25" customHeight="1">
      <c r="A944" s="1" t="s">
        <v>5016</v>
      </c>
      <c r="B944" s="1" t="s">
        <v>35</v>
      </c>
      <c r="C944" s="1">
        <v>6.5</v>
      </c>
    </row>
    <row r="945" ht="14.25" customHeight="1">
      <c r="A945" s="1" t="s">
        <v>5021</v>
      </c>
      <c r="B945" s="1" t="s">
        <v>35</v>
      </c>
      <c r="C945" s="1">
        <v>4.3</v>
      </c>
    </row>
    <row r="946" ht="14.25" customHeight="1">
      <c r="A946" s="1" t="s">
        <v>5026</v>
      </c>
      <c r="B946" s="1" t="s">
        <v>35</v>
      </c>
      <c r="C946" s="1">
        <v>4.2</v>
      </c>
    </row>
    <row r="947" ht="14.25" customHeight="1">
      <c r="A947" s="1" t="s">
        <v>5029</v>
      </c>
      <c r="B947" s="1" t="s">
        <v>35</v>
      </c>
      <c r="C947" s="1">
        <v>6.5</v>
      </c>
    </row>
    <row r="948" ht="14.25" customHeight="1">
      <c r="A948" s="1" t="s">
        <v>5035</v>
      </c>
      <c r="B948" s="1" t="s">
        <v>35</v>
      </c>
      <c r="C948" s="1">
        <v>6.1</v>
      </c>
    </row>
    <row r="949" ht="14.25" customHeight="1">
      <c r="A949" s="1" t="s">
        <v>5039</v>
      </c>
      <c r="B949" s="1" t="s">
        <v>35</v>
      </c>
      <c r="C949" s="1">
        <v>6.3</v>
      </c>
    </row>
    <row r="950" ht="14.25" customHeight="1">
      <c r="A950" s="1" t="s">
        <v>5045</v>
      </c>
      <c r="B950" s="1" t="s">
        <v>35</v>
      </c>
      <c r="C950" s="1">
        <v>6.2</v>
      </c>
    </row>
    <row r="951" ht="14.25" customHeight="1">
      <c r="A951" s="1" t="s">
        <v>5050</v>
      </c>
      <c r="B951" s="1" t="s">
        <v>35</v>
      </c>
      <c r="C951" s="1">
        <v>5.9</v>
      </c>
    </row>
    <row r="952" ht="14.25" customHeight="1">
      <c r="A952" s="1" t="s">
        <v>5056</v>
      </c>
      <c r="B952" s="1" t="s">
        <v>35</v>
      </c>
      <c r="C952" s="1">
        <v>5.9</v>
      </c>
    </row>
    <row r="953" ht="14.25" customHeight="1">
      <c r="A953" s="1" t="s">
        <v>5061</v>
      </c>
      <c r="B953" s="1" t="s">
        <v>35</v>
      </c>
      <c r="C953" s="1">
        <v>6.5</v>
      </c>
    </row>
    <row r="954" ht="14.25" customHeight="1">
      <c r="A954" s="1" t="s">
        <v>5066</v>
      </c>
      <c r="B954" s="1" t="s">
        <v>35</v>
      </c>
      <c r="C954" s="1">
        <v>6.4</v>
      </c>
    </row>
    <row r="955" ht="14.25" customHeight="1">
      <c r="A955" s="1" t="s">
        <v>5070</v>
      </c>
      <c r="B955" s="1" t="s">
        <v>35</v>
      </c>
      <c r="C955" s="1">
        <v>6.5</v>
      </c>
    </row>
    <row r="956" ht="14.25" customHeight="1">
      <c r="A956" s="1" t="s">
        <v>5074</v>
      </c>
      <c r="B956" s="1" t="s">
        <v>35</v>
      </c>
      <c r="C956" s="1">
        <v>5.7</v>
      </c>
    </row>
    <row r="957" ht="14.25" customHeight="1">
      <c r="A957" s="1" t="s">
        <v>5079</v>
      </c>
      <c r="B957" s="1" t="s">
        <v>35</v>
      </c>
      <c r="C957" s="1">
        <v>8.0</v>
      </c>
    </row>
    <row r="958" ht="14.25" customHeight="1">
      <c r="A958" s="1" t="s">
        <v>5084</v>
      </c>
      <c r="B958" s="1" t="s">
        <v>35</v>
      </c>
      <c r="C958" s="1">
        <v>7.3</v>
      </c>
    </row>
    <row r="959" ht="14.25" customHeight="1">
      <c r="A959" s="1" t="s">
        <v>5088</v>
      </c>
      <c r="B959" s="1" t="s">
        <v>35</v>
      </c>
      <c r="C959" s="1">
        <v>6.7</v>
      </c>
    </row>
    <row r="960" ht="14.25" customHeight="1">
      <c r="A960" s="1" t="s">
        <v>5094</v>
      </c>
      <c r="B960" s="1" t="s">
        <v>35</v>
      </c>
      <c r="C960" s="1">
        <v>7.5</v>
      </c>
    </row>
    <row r="961" ht="14.25" customHeight="1">
      <c r="A961" s="1" t="s">
        <v>5097</v>
      </c>
      <c r="B961" s="1" t="s">
        <v>35</v>
      </c>
      <c r="C961" s="1">
        <v>5.4</v>
      </c>
    </row>
    <row r="962" ht="14.25" customHeight="1">
      <c r="A962" s="1" t="s">
        <v>5101</v>
      </c>
      <c r="B962" s="1" t="s">
        <v>35</v>
      </c>
      <c r="C962" s="1">
        <v>6.6</v>
      </c>
    </row>
    <row r="963" ht="14.25" customHeight="1">
      <c r="A963" s="1" t="s">
        <v>5105</v>
      </c>
      <c r="B963" s="1" t="s">
        <v>35</v>
      </c>
      <c r="C963" s="1">
        <v>7.7</v>
      </c>
    </row>
    <row r="964" ht="14.25" customHeight="1">
      <c r="A964" s="1" t="s">
        <v>5110</v>
      </c>
      <c r="B964" s="1" t="s">
        <v>35</v>
      </c>
      <c r="C964" s="1">
        <v>5.8</v>
      </c>
    </row>
    <row r="965" ht="14.25" customHeight="1">
      <c r="A965" s="1" t="s">
        <v>5113</v>
      </c>
      <c r="B965" s="1" t="s">
        <v>35</v>
      </c>
      <c r="C965" s="1">
        <v>6.4</v>
      </c>
    </row>
    <row r="966" ht="14.25" customHeight="1">
      <c r="A966" s="1" t="s">
        <v>5120</v>
      </c>
      <c r="B966" s="1" t="s">
        <v>35</v>
      </c>
      <c r="C966" s="1">
        <v>5.6</v>
      </c>
    </row>
    <row r="967" ht="14.25" customHeight="1">
      <c r="A967" s="1" t="s">
        <v>5125</v>
      </c>
      <c r="B967" s="1" t="s">
        <v>35</v>
      </c>
      <c r="C967" s="1">
        <v>6.0</v>
      </c>
    </row>
    <row r="968" ht="14.25" customHeight="1">
      <c r="A968" s="1" t="s">
        <v>5130</v>
      </c>
      <c r="B968" s="1" t="s">
        <v>35</v>
      </c>
      <c r="C968" s="1">
        <v>6.2</v>
      </c>
    </row>
    <row r="969" ht="14.25" customHeight="1">
      <c r="A969" s="1" t="s">
        <v>5135</v>
      </c>
      <c r="B969" s="1" t="s">
        <v>35</v>
      </c>
      <c r="C969" s="1">
        <v>5.9</v>
      </c>
    </row>
    <row r="970" ht="14.25" customHeight="1">
      <c r="A970" s="1" t="s">
        <v>5142</v>
      </c>
      <c r="B970" s="1" t="s">
        <v>35</v>
      </c>
      <c r="C970" s="1">
        <v>5.1</v>
      </c>
    </row>
    <row r="971" ht="14.25" customHeight="1">
      <c r="A971" s="1" t="s">
        <v>5145</v>
      </c>
      <c r="B971" s="1" t="s">
        <v>35</v>
      </c>
      <c r="C971" s="1">
        <v>6.8</v>
      </c>
    </row>
    <row r="972" ht="14.25" customHeight="1">
      <c r="A972" s="1" t="s">
        <v>5148</v>
      </c>
      <c r="B972" s="1" t="s">
        <v>35</v>
      </c>
      <c r="C972" s="1">
        <v>6.0</v>
      </c>
    </row>
    <row r="973" ht="14.25" customHeight="1">
      <c r="A973" s="1" t="s">
        <v>5154</v>
      </c>
      <c r="B973" s="1" t="s">
        <v>35</v>
      </c>
      <c r="C973" s="1">
        <v>5.1</v>
      </c>
    </row>
    <row r="974" ht="14.25" customHeight="1">
      <c r="A974" s="1" t="s">
        <v>5157</v>
      </c>
      <c r="B974" s="1" t="s">
        <v>35</v>
      </c>
      <c r="C974" s="1">
        <v>5.8</v>
      </c>
    </row>
    <row r="975" ht="14.25" customHeight="1">
      <c r="A975" s="1" t="s">
        <v>5161</v>
      </c>
      <c r="B975" s="1" t="s">
        <v>35</v>
      </c>
      <c r="C975" s="1">
        <v>6.2</v>
      </c>
    </row>
    <row r="976" ht="14.25" customHeight="1">
      <c r="A976" s="1" t="s">
        <v>5168</v>
      </c>
      <c r="B976" s="1" t="s">
        <v>35</v>
      </c>
      <c r="C976" s="1">
        <v>6.4</v>
      </c>
    </row>
    <row r="977" ht="14.25" customHeight="1">
      <c r="A977" s="1" t="s">
        <v>5171</v>
      </c>
      <c r="B977" s="1" t="s">
        <v>35</v>
      </c>
      <c r="C977" s="1">
        <v>4.8</v>
      </c>
    </row>
    <row r="978" ht="14.25" customHeight="1">
      <c r="A978" s="1" t="s">
        <v>5175</v>
      </c>
      <c r="B978" s="1" t="s">
        <v>35</v>
      </c>
      <c r="C978" s="1">
        <v>4.9</v>
      </c>
    </row>
    <row r="979" ht="14.25" customHeight="1">
      <c r="A979" s="1" t="s">
        <v>5180</v>
      </c>
      <c r="B979" s="1" t="s">
        <v>35</v>
      </c>
      <c r="C979" s="1">
        <v>5.6</v>
      </c>
    </row>
    <row r="980" ht="14.25" customHeight="1">
      <c r="A980" s="1" t="s">
        <v>5185</v>
      </c>
      <c r="B980" s="1" t="s">
        <v>35</v>
      </c>
      <c r="C980" s="1">
        <v>5.5</v>
      </c>
    </row>
    <row r="981" ht="14.25" customHeight="1">
      <c r="A981" s="1" t="s">
        <v>5188</v>
      </c>
      <c r="B981" s="1" t="s">
        <v>35</v>
      </c>
      <c r="C981" s="1">
        <v>3.7</v>
      </c>
    </row>
    <row r="982" ht="14.25" customHeight="1">
      <c r="A982" s="1" t="s">
        <v>5194</v>
      </c>
      <c r="B982" s="1" t="s">
        <v>35</v>
      </c>
      <c r="C982" s="1">
        <v>5.9</v>
      </c>
    </row>
    <row r="983" ht="14.25" customHeight="1">
      <c r="A983" s="1" t="s">
        <v>5197</v>
      </c>
      <c r="B983" s="1" t="s">
        <v>35</v>
      </c>
      <c r="C983" s="1">
        <v>6.3</v>
      </c>
    </row>
    <row r="984" ht="14.25" customHeight="1">
      <c r="A984" s="1" t="s">
        <v>5203</v>
      </c>
      <c r="B984" s="1" t="s">
        <v>35</v>
      </c>
      <c r="C984" s="1">
        <v>7.6</v>
      </c>
    </row>
    <row r="985" ht="14.25" customHeight="1">
      <c r="A985" s="1" t="s">
        <v>5208</v>
      </c>
      <c r="B985" s="1" t="s">
        <v>35</v>
      </c>
      <c r="C985" s="1">
        <v>8.3</v>
      </c>
    </row>
    <row r="986" ht="14.25" customHeight="1">
      <c r="A986" s="1" t="s">
        <v>5212</v>
      </c>
      <c r="B986" s="1" t="s">
        <v>35</v>
      </c>
      <c r="C986" s="1">
        <v>6.9</v>
      </c>
    </row>
    <row r="987" ht="14.25" customHeight="1">
      <c r="A987" s="1" t="s">
        <v>5216</v>
      </c>
      <c r="B987" s="1" t="s">
        <v>35</v>
      </c>
      <c r="C987" s="1">
        <v>6.7</v>
      </c>
    </row>
    <row r="988" ht="14.25" customHeight="1">
      <c r="A988" s="1" t="s">
        <v>5220</v>
      </c>
      <c r="B988" s="1" t="s">
        <v>35</v>
      </c>
      <c r="C988" s="1">
        <v>6.8</v>
      </c>
    </row>
    <row r="989" ht="14.25" customHeight="1">
      <c r="A989" s="1" t="s">
        <v>5225</v>
      </c>
      <c r="B989" s="1" t="s">
        <v>35</v>
      </c>
      <c r="C989" s="1">
        <v>7.1</v>
      </c>
    </row>
    <row r="990" ht="14.25" customHeight="1">
      <c r="A990" s="1" t="s">
        <v>5230</v>
      </c>
      <c r="B990" s="1" t="s">
        <v>35</v>
      </c>
      <c r="C990" s="1">
        <v>6.4</v>
      </c>
    </row>
    <row r="991" ht="14.25" customHeight="1">
      <c r="A991" s="1" t="s">
        <v>5236</v>
      </c>
      <c r="B991" s="1" t="s">
        <v>35</v>
      </c>
      <c r="C991" s="1">
        <v>6.4</v>
      </c>
    </row>
    <row r="992" ht="14.25" customHeight="1">
      <c r="A992" s="1" t="s">
        <v>5242</v>
      </c>
      <c r="B992" s="1" t="s">
        <v>35</v>
      </c>
      <c r="C992" s="1">
        <v>7.4</v>
      </c>
    </row>
    <row r="993" ht="14.25" customHeight="1">
      <c r="A993" s="1" t="s">
        <v>5246</v>
      </c>
      <c r="B993" s="1" t="s">
        <v>35</v>
      </c>
      <c r="C993" s="1">
        <v>6.4</v>
      </c>
    </row>
    <row r="994" ht="14.25" customHeight="1">
      <c r="A994" s="1" t="s">
        <v>5250</v>
      </c>
      <c r="B994" s="1" t="s">
        <v>35</v>
      </c>
      <c r="C994" s="1">
        <v>6.0</v>
      </c>
    </row>
    <row r="995" ht="14.25" customHeight="1">
      <c r="A995" s="1" t="s">
        <v>5255</v>
      </c>
      <c r="B995" s="1" t="s">
        <v>35</v>
      </c>
      <c r="C995" s="1">
        <v>6.5</v>
      </c>
    </row>
    <row r="996" ht="14.25" customHeight="1">
      <c r="A996" s="1" t="s">
        <v>5260</v>
      </c>
      <c r="B996" s="1" t="s">
        <v>35</v>
      </c>
      <c r="C996" s="1">
        <v>7.8</v>
      </c>
    </row>
    <row r="997" ht="14.25" customHeight="1">
      <c r="A997" s="1" t="s">
        <v>5266</v>
      </c>
      <c r="B997" s="1" t="s">
        <v>35</v>
      </c>
      <c r="C997" s="1">
        <v>6.0</v>
      </c>
    </row>
    <row r="998" ht="14.25" customHeight="1">
      <c r="A998" s="1" t="s">
        <v>5270</v>
      </c>
      <c r="B998" s="1" t="s">
        <v>35</v>
      </c>
      <c r="C998" s="1">
        <v>7.0</v>
      </c>
    </row>
    <row r="999" ht="14.25" customHeight="1">
      <c r="A999" s="1" t="s">
        <v>5274</v>
      </c>
      <c r="B999" s="1" t="s">
        <v>35</v>
      </c>
      <c r="C999" s="1">
        <v>6.0</v>
      </c>
    </row>
    <row r="1000" ht="14.25" customHeight="1">
      <c r="A1000" s="1" t="s">
        <v>5279</v>
      </c>
      <c r="B1000" s="1" t="s">
        <v>35</v>
      </c>
      <c r="C1000" s="1">
        <v>6.1</v>
      </c>
    </row>
    <row r="1001" ht="14.25" customHeight="1">
      <c r="A1001" s="1" t="s">
        <v>5284</v>
      </c>
      <c r="B1001" s="1" t="s">
        <v>35</v>
      </c>
      <c r="C1001" s="1">
        <v>6.8</v>
      </c>
    </row>
    <row r="1002" ht="14.25" customHeight="1">
      <c r="A1002" s="1" t="s">
        <v>5290</v>
      </c>
      <c r="B1002" s="1" t="s">
        <v>35</v>
      </c>
      <c r="C1002" s="1">
        <v>6.4</v>
      </c>
    </row>
    <row r="1003" ht="14.25" customHeight="1">
      <c r="A1003" s="1" t="s">
        <v>5296</v>
      </c>
      <c r="B1003" s="1" t="s">
        <v>35</v>
      </c>
      <c r="C1003" s="1">
        <v>4.5</v>
      </c>
    </row>
    <row r="1004" ht="14.25" customHeight="1">
      <c r="A1004" s="1" t="s">
        <v>5300</v>
      </c>
      <c r="B1004" s="1" t="s">
        <v>35</v>
      </c>
      <c r="C1004" s="1">
        <v>5.8</v>
      </c>
    </row>
    <row r="1005" ht="14.25" customHeight="1">
      <c r="A1005" s="1" t="s">
        <v>5306</v>
      </c>
      <c r="B1005" s="1" t="s">
        <v>35</v>
      </c>
      <c r="C1005" s="1">
        <v>6.3</v>
      </c>
    </row>
    <row r="1006" ht="14.25" customHeight="1">
      <c r="A1006" s="1" t="s">
        <v>5309</v>
      </c>
      <c r="B1006" s="1" t="s">
        <v>35</v>
      </c>
      <c r="C1006" s="1">
        <v>5.7</v>
      </c>
    </row>
    <row r="1007" ht="14.25" customHeight="1">
      <c r="A1007" s="1" t="s">
        <v>5312</v>
      </c>
      <c r="B1007" s="1" t="s">
        <v>35</v>
      </c>
      <c r="C1007" s="1">
        <v>7.2</v>
      </c>
    </row>
    <row r="1008" ht="14.25" customHeight="1">
      <c r="A1008" s="1" t="s">
        <v>5316</v>
      </c>
      <c r="B1008" s="1" t="s">
        <v>35</v>
      </c>
      <c r="C1008" s="1">
        <v>7.6</v>
      </c>
    </row>
    <row r="1009" ht="14.25" customHeight="1">
      <c r="A1009" s="1" t="s">
        <v>5320</v>
      </c>
      <c r="B1009" s="1" t="s">
        <v>35</v>
      </c>
      <c r="C1009" s="1">
        <v>4.7</v>
      </c>
    </row>
    <row r="1010" ht="14.25" customHeight="1">
      <c r="A1010" s="1" t="s">
        <v>5326</v>
      </c>
      <c r="B1010" s="1" t="s">
        <v>35</v>
      </c>
      <c r="C1010" s="1">
        <v>6.6</v>
      </c>
    </row>
    <row r="1011" ht="14.25" customHeight="1">
      <c r="A1011" s="1" t="s">
        <v>5330</v>
      </c>
      <c r="B1011" s="1" t="s">
        <v>35</v>
      </c>
      <c r="C1011" s="1">
        <v>6.8</v>
      </c>
    </row>
    <row r="1012" ht="14.25" customHeight="1">
      <c r="A1012" s="1" t="s">
        <v>5335</v>
      </c>
      <c r="B1012" s="1" t="s">
        <v>35</v>
      </c>
      <c r="C1012" s="1">
        <v>4.8</v>
      </c>
    </row>
    <row r="1013" ht="14.25" customHeight="1">
      <c r="A1013" s="1" t="s">
        <v>5338</v>
      </c>
      <c r="B1013" s="1" t="s">
        <v>35</v>
      </c>
      <c r="C1013" s="1">
        <v>6.3</v>
      </c>
    </row>
    <row r="1014" ht="14.25" customHeight="1">
      <c r="A1014" s="1" t="s">
        <v>5343</v>
      </c>
      <c r="B1014" s="1" t="s">
        <v>35</v>
      </c>
      <c r="C1014" s="1">
        <v>5.5</v>
      </c>
    </row>
    <row r="1015" ht="14.25" customHeight="1">
      <c r="A1015" s="1" t="s">
        <v>5349</v>
      </c>
      <c r="B1015" s="1" t="s">
        <v>35</v>
      </c>
      <c r="C1015" s="1">
        <v>6.2</v>
      </c>
    </row>
    <row r="1016" ht="14.25" customHeight="1">
      <c r="A1016" s="1" t="s">
        <v>5356</v>
      </c>
      <c r="B1016" s="1" t="s">
        <v>35</v>
      </c>
      <c r="C1016" s="1">
        <v>5.8</v>
      </c>
    </row>
    <row r="1017" ht="14.25" customHeight="1">
      <c r="A1017" s="1" t="s">
        <v>5361</v>
      </c>
      <c r="B1017" s="1" t="s">
        <v>35</v>
      </c>
      <c r="C1017" s="1">
        <v>5.7</v>
      </c>
    </row>
    <row r="1018" ht="14.25" customHeight="1">
      <c r="A1018" s="1" t="s">
        <v>5364</v>
      </c>
      <c r="B1018" s="1" t="s">
        <v>35</v>
      </c>
      <c r="C1018" s="1">
        <v>6.5</v>
      </c>
    </row>
    <row r="1019" ht="14.25" customHeight="1">
      <c r="A1019" s="1" t="s">
        <v>5367</v>
      </c>
      <c r="B1019" s="1" t="s">
        <v>35</v>
      </c>
      <c r="C1019" s="1">
        <v>6.7</v>
      </c>
    </row>
    <row r="1020" ht="14.25" customHeight="1">
      <c r="A1020" s="1" t="s">
        <v>5371</v>
      </c>
      <c r="B1020" s="1" t="s">
        <v>35</v>
      </c>
      <c r="C1020" s="1">
        <v>7.4</v>
      </c>
    </row>
    <row r="1021" ht="14.25" customHeight="1">
      <c r="A1021" s="1" t="s">
        <v>5375</v>
      </c>
      <c r="B1021" s="1" t="s">
        <v>35</v>
      </c>
      <c r="C1021" s="1">
        <v>6.9</v>
      </c>
    </row>
    <row r="1022" ht="14.25" customHeight="1">
      <c r="A1022" s="1" t="s">
        <v>5379</v>
      </c>
      <c r="B1022" s="1" t="s">
        <v>35</v>
      </c>
      <c r="C1022" s="1">
        <v>5.5</v>
      </c>
    </row>
    <row r="1023" ht="14.25" customHeight="1">
      <c r="A1023" s="1" t="s">
        <v>5384</v>
      </c>
      <c r="B1023" s="1" t="s">
        <v>35</v>
      </c>
      <c r="C1023" s="1">
        <v>8.1</v>
      </c>
    </row>
    <row r="1024" ht="14.25" customHeight="1">
      <c r="A1024" s="1" t="s">
        <v>5387</v>
      </c>
      <c r="B1024" s="1" t="s">
        <v>35</v>
      </c>
      <c r="C1024" s="1">
        <v>7.7</v>
      </c>
    </row>
    <row r="1025" ht="14.25" customHeight="1">
      <c r="A1025" s="1" t="s">
        <v>5391</v>
      </c>
      <c r="B1025" s="1" t="s">
        <v>35</v>
      </c>
      <c r="C1025" s="1">
        <v>7.3</v>
      </c>
    </row>
    <row r="1026" ht="14.25" customHeight="1">
      <c r="A1026" s="1" t="s">
        <v>5396</v>
      </c>
      <c r="B1026" s="1" t="s">
        <v>35</v>
      </c>
      <c r="C1026" s="1">
        <v>5.2</v>
      </c>
    </row>
    <row r="1027" ht="14.25" customHeight="1">
      <c r="A1027" s="1" t="s">
        <v>5399</v>
      </c>
      <c r="B1027" s="1" t="s">
        <v>35</v>
      </c>
      <c r="C1027" s="1">
        <v>7.1</v>
      </c>
    </row>
    <row r="1028" ht="14.25" customHeight="1">
      <c r="A1028" s="1" t="s">
        <v>5405</v>
      </c>
      <c r="B1028" s="1" t="s">
        <v>35</v>
      </c>
      <c r="C1028" s="1">
        <v>7.1</v>
      </c>
    </row>
    <row r="1029" ht="14.25" customHeight="1">
      <c r="A1029" s="1" t="s">
        <v>5411</v>
      </c>
      <c r="B1029" s="1" t="s">
        <v>35</v>
      </c>
      <c r="C1029" s="1">
        <v>7.2</v>
      </c>
    </row>
    <row r="1030" ht="14.25" customHeight="1">
      <c r="A1030" s="1" t="s">
        <v>5416</v>
      </c>
      <c r="B1030" s="1" t="s">
        <v>35</v>
      </c>
      <c r="C1030" s="1">
        <v>6.5</v>
      </c>
    </row>
    <row r="1031" ht="14.25" customHeight="1">
      <c r="A1031" s="1" t="s">
        <v>5422</v>
      </c>
      <c r="B1031" s="1" t="s">
        <v>35</v>
      </c>
      <c r="C1031" s="1">
        <v>4.6</v>
      </c>
    </row>
    <row r="1032" ht="14.25" customHeight="1">
      <c r="A1032" s="1" t="s">
        <v>5428</v>
      </c>
      <c r="B1032" s="1" t="s">
        <v>35</v>
      </c>
      <c r="C1032" s="1">
        <v>5.6</v>
      </c>
    </row>
    <row r="1033" ht="14.25" customHeight="1">
      <c r="A1033" s="1" t="s">
        <v>5435</v>
      </c>
      <c r="B1033" s="1" t="s">
        <v>35</v>
      </c>
      <c r="C1033" s="1">
        <v>7.7</v>
      </c>
    </row>
    <row r="1034" ht="14.25" customHeight="1">
      <c r="A1034" s="1" t="s">
        <v>5439</v>
      </c>
      <c r="B1034" s="1" t="s">
        <v>35</v>
      </c>
      <c r="C1034" s="1">
        <v>7.2</v>
      </c>
    </row>
    <row r="1035" ht="14.25" customHeight="1">
      <c r="A1035" s="1" t="s">
        <v>5443</v>
      </c>
      <c r="B1035" s="1" t="s">
        <v>35</v>
      </c>
      <c r="C1035" s="1">
        <v>6.8</v>
      </c>
    </row>
    <row r="1036" ht="14.25" customHeight="1">
      <c r="A1036" s="1" t="s">
        <v>5447</v>
      </c>
      <c r="B1036" s="1" t="s">
        <v>35</v>
      </c>
      <c r="C1036" s="1">
        <v>5.4</v>
      </c>
    </row>
    <row r="1037" ht="14.25" customHeight="1">
      <c r="A1037" s="1" t="s">
        <v>5454</v>
      </c>
      <c r="B1037" s="1" t="s">
        <v>35</v>
      </c>
      <c r="C1037" s="1">
        <v>6.3</v>
      </c>
    </row>
    <row r="1038" ht="14.25" customHeight="1">
      <c r="A1038" s="1" t="s">
        <v>5458</v>
      </c>
      <c r="B1038" s="1" t="s">
        <v>35</v>
      </c>
      <c r="C1038" s="1">
        <v>5.6</v>
      </c>
    </row>
    <row r="1039" ht="14.25" customHeight="1">
      <c r="A1039" s="1" t="s">
        <v>5463</v>
      </c>
      <c r="B1039" s="1" t="s">
        <v>35</v>
      </c>
      <c r="C1039" s="1">
        <v>6.8</v>
      </c>
    </row>
    <row r="1040" ht="14.25" customHeight="1">
      <c r="A1040" s="1" t="s">
        <v>5467</v>
      </c>
      <c r="B1040" s="1" t="s">
        <v>35</v>
      </c>
      <c r="C1040" s="1">
        <v>4.3</v>
      </c>
    </row>
    <row r="1041" ht="14.25" customHeight="1">
      <c r="A1041" s="1" t="s">
        <v>5472</v>
      </c>
      <c r="B1041" s="1" t="s">
        <v>35</v>
      </c>
      <c r="C1041" s="1">
        <v>6.3</v>
      </c>
    </row>
    <row r="1042" ht="14.25" customHeight="1">
      <c r="A1042" s="1" t="s">
        <v>5476</v>
      </c>
      <c r="B1042" s="1" t="s">
        <v>35</v>
      </c>
      <c r="C1042" s="1">
        <v>6.5</v>
      </c>
    </row>
    <row r="1043" ht="14.25" customHeight="1">
      <c r="A1043" s="1" t="s">
        <v>5480</v>
      </c>
      <c r="B1043" s="1" t="s">
        <v>35</v>
      </c>
      <c r="C1043" s="1">
        <v>6.4</v>
      </c>
    </row>
    <row r="1044" ht="14.25" customHeight="1">
      <c r="A1044" s="1" t="s">
        <v>5483</v>
      </c>
      <c r="B1044" s="1" t="s">
        <v>35</v>
      </c>
      <c r="C1044" s="1">
        <v>6.3</v>
      </c>
    </row>
    <row r="1045" ht="14.25" customHeight="1">
      <c r="A1045" s="1" t="s">
        <v>5487</v>
      </c>
      <c r="B1045" s="1" t="s">
        <v>35</v>
      </c>
      <c r="C1045" s="1">
        <v>5.9</v>
      </c>
    </row>
    <row r="1046" ht="14.25" customHeight="1">
      <c r="A1046" s="1" t="s">
        <v>5492</v>
      </c>
      <c r="B1046" s="1" t="s">
        <v>35</v>
      </c>
      <c r="C1046" s="1">
        <v>6.5</v>
      </c>
    </row>
    <row r="1047" ht="14.25" customHeight="1">
      <c r="A1047" s="1" t="s">
        <v>5499</v>
      </c>
      <c r="B1047" s="1" t="s">
        <v>35</v>
      </c>
      <c r="C1047" s="1">
        <v>6.5</v>
      </c>
    </row>
    <row r="1048" ht="14.25" customHeight="1">
      <c r="A1048" s="1" t="s">
        <v>5505</v>
      </c>
      <c r="B1048" s="1" t="s">
        <v>35</v>
      </c>
      <c r="C1048" s="1">
        <v>6.1</v>
      </c>
    </row>
    <row r="1049" ht="14.25" customHeight="1">
      <c r="A1049" s="1" t="s">
        <v>5511</v>
      </c>
      <c r="B1049" s="1" t="s">
        <v>35</v>
      </c>
      <c r="C1049" s="1">
        <v>5.9</v>
      </c>
    </row>
    <row r="1050" ht="14.25" customHeight="1">
      <c r="A1050" s="1" t="s">
        <v>5515</v>
      </c>
      <c r="B1050" s="1" t="s">
        <v>35</v>
      </c>
      <c r="C1050" s="1">
        <v>6.6</v>
      </c>
    </row>
    <row r="1051" ht="14.25" customHeight="1">
      <c r="A1051" s="1" t="s">
        <v>5520</v>
      </c>
      <c r="B1051" s="1" t="s">
        <v>35</v>
      </c>
      <c r="C1051" s="1">
        <v>7.4</v>
      </c>
    </row>
    <row r="1052" ht="14.25" customHeight="1">
      <c r="A1052" s="1" t="s">
        <v>5526</v>
      </c>
      <c r="B1052" s="1" t="s">
        <v>35</v>
      </c>
      <c r="C1052" s="1">
        <v>7.3</v>
      </c>
    </row>
    <row r="1053" ht="14.25" customHeight="1">
      <c r="A1053" s="1" t="s">
        <v>5530</v>
      </c>
      <c r="B1053" s="1" t="s">
        <v>35</v>
      </c>
      <c r="C1053" s="1">
        <v>6.6</v>
      </c>
    </row>
    <row r="1054" ht="14.25" customHeight="1">
      <c r="A1054" s="1" t="s">
        <v>5534</v>
      </c>
      <c r="B1054" s="1" t="s">
        <v>35</v>
      </c>
      <c r="C1054" s="1">
        <v>5.6</v>
      </c>
    </row>
    <row r="1055" ht="14.25" customHeight="1">
      <c r="A1055" s="1" t="s">
        <v>5539</v>
      </c>
      <c r="B1055" s="1" t="s">
        <v>35</v>
      </c>
      <c r="C1055" s="1">
        <v>5.3</v>
      </c>
    </row>
    <row r="1056" ht="14.25" customHeight="1">
      <c r="A1056" s="1" t="s">
        <v>5543</v>
      </c>
      <c r="B1056" s="1" t="s">
        <v>35</v>
      </c>
      <c r="C1056" s="1">
        <v>6.0</v>
      </c>
    </row>
    <row r="1057" ht="14.25" customHeight="1">
      <c r="A1057" s="1" t="s">
        <v>5549</v>
      </c>
      <c r="B1057" s="1" t="s">
        <v>35</v>
      </c>
      <c r="C1057" s="1">
        <v>5.4</v>
      </c>
    </row>
    <row r="1058" ht="14.25" customHeight="1">
      <c r="A1058" s="1" t="s">
        <v>5556</v>
      </c>
      <c r="B1058" s="1" t="s">
        <v>35</v>
      </c>
      <c r="C1058" s="1">
        <v>6.8</v>
      </c>
    </row>
    <row r="1059" ht="14.25" customHeight="1">
      <c r="A1059" s="1" t="s">
        <v>5563</v>
      </c>
      <c r="B1059" s="1" t="s">
        <v>35</v>
      </c>
      <c r="C1059" s="1">
        <v>6.4</v>
      </c>
    </row>
    <row r="1060" ht="14.25" customHeight="1">
      <c r="A1060" s="1" t="s">
        <v>2384</v>
      </c>
      <c r="B1060" s="1" t="s">
        <v>35</v>
      </c>
      <c r="C1060" s="1">
        <v>7.1</v>
      </c>
    </row>
    <row r="1061" ht="14.25" customHeight="1">
      <c r="A1061" s="1" t="s">
        <v>5568</v>
      </c>
      <c r="B1061" s="1" t="s">
        <v>35</v>
      </c>
      <c r="C1061" s="1">
        <v>4.9</v>
      </c>
    </row>
    <row r="1062" ht="14.25" customHeight="1">
      <c r="A1062" s="1" t="s">
        <v>5573</v>
      </c>
      <c r="B1062" s="1" t="s">
        <v>35</v>
      </c>
      <c r="C1062" s="1">
        <v>5.8</v>
      </c>
    </row>
    <row r="1063" ht="14.25" customHeight="1">
      <c r="A1063" s="1" t="s">
        <v>5577</v>
      </c>
      <c r="B1063" s="1" t="s">
        <v>35</v>
      </c>
      <c r="C1063" s="1">
        <v>7.1</v>
      </c>
    </row>
    <row r="1064" ht="14.25" customHeight="1">
      <c r="A1064" s="1" t="s">
        <v>5581</v>
      </c>
      <c r="B1064" s="1" t="s">
        <v>35</v>
      </c>
      <c r="C1064" s="1">
        <v>7.2</v>
      </c>
    </row>
    <row r="1065" ht="14.25" customHeight="1">
      <c r="A1065" s="1" t="s">
        <v>5584</v>
      </c>
      <c r="B1065" s="1" t="s">
        <v>35</v>
      </c>
      <c r="C1065" s="1">
        <v>6.0</v>
      </c>
    </row>
    <row r="1066" ht="14.25" customHeight="1">
      <c r="A1066" s="1" t="s">
        <v>5587</v>
      </c>
      <c r="B1066" s="1" t="s">
        <v>35</v>
      </c>
      <c r="C1066" s="1">
        <v>6.0</v>
      </c>
    </row>
    <row r="1067" ht="14.25" customHeight="1">
      <c r="A1067" s="1" t="s">
        <v>5593</v>
      </c>
      <c r="B1067" s="1" t="s">
        <v>1864</v>
      </c>
      <c r="C1067" s="1">
        <v>7.0</v>
      </c>
    </row>
    <row r="1068" ht="14.25" customHeight="1">
      <c r="A1068" s="1" t="s">
        <v>5599</v>
      </c>
      <c r="B1068" s="1" t="s">
        <v>35</v>
      </c>
      <c r="C1068" s="1">
        <v>5.4</v>
      </c>
    </row>
    <row r="1069" ht="14.25" customHeight="1">
      <c r="A1069" s="1" t="s">
        <v>5604</v>
      </c>
      <c r="B1069" s="1" t="s">
        <v>35</v>
      </c>
      <c r="C1069" s="1">
        <v>6.5</v>
      </c>
    </row>
    <row r="1070" ht="14.25" customHeight="1">
      <c r="A1070" s="1" t="s">
        <v>5609</v>
      </c>
      <c r="B1070" s="1" t="s">
        <v>35</v>
      </c>
      <c r="C1070" s="1">
        <v>6.4</v>
      </c>
    </row>
    <row r="1071" ht="14.25" customHeight="1">
      <c r="A1071" s="1" t="s">
        <v>5616</v>
      </c>
      <c r="B1071" s="1" t="s">
        <v>35</v>
      </c>
      <c r="C1071" s="1">
        <v>4.9</v>
      </c>
    </row>
    <row r="1072" ht="14.25" customHeight="1">
      <c r="A1072" s="1" t="s">
        <v>5621</v>
      </c>
      <c r="B1072" s="1" t="s">
        <v>35</v>
      </c>
      <c r="C1072" s="1">
        <v>6.3</v>
      </c>
    </row>
    <row r="1073" ht="14.25" customHeight="1">
      <c r="A1073" s="1" t="s">
        <v>5628</v>
      </c>
      <c r="B1073" s="1" t="s">
        <v>35</v>
      </c>
      <c r="C1073" s="1">
        <v>7.7</v>
      </c>
    </row>
    <row r="1074" ht="14.25" customHeight="1">
      <c r="A1074" s="1" t="s">
        <v>5633</v>
      </c>
      <c r="B1074" s="1" t="s">
        <v>35</v>
      </c>
      <c r="C1074" s="1">
        <v>7.8</v>
      </c>
    </row>
    <row r="1075" ht="14.25" customHeight="1">
      <c r="A1075" s="1" t="s">
        <v>5638</v>
      </c>
      <c r="B1075" s="1" t="s">
        <v>35</v>
      </c>
      <c r="C1075" s="1">
        <v>5.5</v>
      </c>
    </row>
    <row r="1076" ht="14.25" customHeight="1">
      <c r="A1076" s="1" t="s">
        <v>5641</v>
      </c>
      <c r="B1076" s="1" t="s">
        <v>35</v>
      </c>
      <c r="C1076" s="1">
        <v>7.5</v>
      </c>
    </row>
    <row r="1077" ht="14.25" customHeight="1">
      <c r="A1077" s="1" t="s">
        <v>5644</v>
      </c>
      <c r="B1077" s="1" t="s">
        <v>35</v>
      </c>
      <c r="C1077" s="1">
        <v>6.4</v>
      </c>
    </row>
    <row r="1078" ht="14.25" customHeight="1">
      <c r="A1078" s="1" t="s">
        <v>5650</v>
      </c>
      <c r="B1078" s="1" t="s">
        <v>35</v>
      </c>
      <c r="C1078" s="1">
        <v>5.6</v>
      </c>
    </row>
    <row r="1079" ht="14.25" customHeight="1">
      <c r="A1079" s="1" t="s">
        <v>5654</v>
      </c>
      <c r="B1079" s="1" t="s">
        <v>35</v>
      </c>
      <c r="C1079" s="1">
        <v>7.5</v>
      </c>
    </row>
    <row r="1080" ht="14.25" customHeight="1">
      <c r="A1080" s="1" t="s">
        <v>5663</v>
      </c>
      <c r="B1080" s="1" t="s">
        <v>35</v>
      </c>
      <c r="C1080" s="1">
        <v>6.8</v>
      </c>
    </row>
    <row r="1081" ht="14.25" customHeight="1">
      <c r="A1081" s="1" t="s">
        <v>5668</v>
      </c>
      <c r="B1081" s="1" t="s">
        <v>35</v>
      </c>
      <c r="C1081" s="1">
        <v>6.8</v>
      </c>
    </row>
    <row r="1082" ht="14.25" customHeight="1">
      <c r="A1082" s="1" t="s">
        <v>5672</v>
      </c>
      <c r="B1082" s="1" t="s">
        <v>35</v>
      </c>
      <c r="C1082" s="1">
        <v>6.0</v>
      </c>
    </row>
    <row r="1083" ht="14.25" customHeight="1">
      <c r="A1083" s="1" t="s">
        <v>5677</v>
      </c>
      <c r="B1083" s="1" t="s">
        <v>35</v>
      </c>
      <c r="C1083" s="1">
        <v>7.3</v>
      </c>
    </row>
    <row r="1084" ht="14.25" customHeight="1">
      <c r="A1084" s="1" t="s">
        <v>5682</v>
      </c>
      <c r="B1084" s="1" t="s">
        <v>35</v>
      </c>
      <c r="C1084" s="1">
        <v>6.0</v>
      </c>
    </row>
    <row r="1085" ht="14.25" customHeight="1">
      <c r="A1085" s="1" t="s">
        <v>5685</v>
      </c>
      <c r="B1085" s="1" t="s">
        <v>35</v>
      </c>
      <c r="C1085" s="1">
        <v>7.0</v>
      </c>
    </row>
    <row r="1086" ht="14.25" customHeight="1">
      <c r="A1086" s="1" t="s">
        <v>5689</v>
      </c>
      <c r="B1086" s="1" t="s">
        <v>35</v>
      </c>
      <c r="C1086" s="1">
        <v>5.1</v>
      </c>
    </row>
    <row r="1087" ht="14.25" customHeight="1">
      <c r="A1087" s="1" t="s">
        <v>5695</v>
      </c>
      <c r="B1087" s="1" t="s">
        <v>35</v>
      </c>
      <c r="C1087" s="1">
        <v>6.8</v>
      </c>
    </row>
    <row r="1088" ht="14.25" customHeight="1">
      <c r="A1088" s="1" t="s">
        <v>5700</v>
      </c>
      <c r="B1088" s="1" t="s">
        <v>35</v>
      </c>
      <c r="C1088" s="1">
        <v>6.5</v>
      </c>
    </row>
    <row r="1089" ht="14.25" customHeight="1">
      <c r="A1089" s="1" t="s">
        <v>5706</v>
      </c>
      <c r="B1089" s="1" t="s">
        <v>35</v>
      </c>
      <c r="C1089" s="1">
        <v>6.6</v>
      </c>
    </row>
    <row r="1090" ht="14.25" customHeight="1">
      <c r="A1090" s="1" t="s">
        <v>5709</v>
      </c>
      <c r="B1090" s="1" t="s">
        <v>35</v>
      </c>
      <c r="C1090" s="1">
        <v>7.2</v>
      </c>
    </row>
    <row r="1091" ht="14.25" customHeight="1">
      <c r="A1091" s="1" t="s">
        <v>5713</v>
      </c>
      <c r="B1091" s="1" t="s">
        <v>35</v>
      </c>
      <c r="C1091" s="1">
        <v>7.0</v>
      </c>
    </row>
    <row r="1092" ht="14.25" customHeight="1">
      <c r="A1092" s="1" t="s">
        <v>5718</v>
      </c>
      <c r="B1092" s="1" t="s">
        <v>35</v>
      </c>
      <c r="C1092" s="1">
        <v>7.0</v>
      </c>
    </row>
    <row r="1093" ht="14.25" customHeight="1">
      <c r="A1093" s="1" t="s">
        <v>5723</v>
      </c>
      <c r="B1093" s="1" t="s">
        <v>35</v>
      </c>
      <c r="C1093" s="1">
        <v>5.9</v>
      </c>
    </row>
    <row r="1094" ht="14.25" customHeight="1">
      <c r="A1094" s="1" t="s">
        <v>5728</v>
      </c>
      <c r="B1094" s="1" t="s">
        <v>35</v>
      </c>
      <c r="C1094" s="1">
        <v>5.4</v>
      </c>
    </row>
    <row r="1095" ht="14.25" customHeight="1">
      <c r="A1095" s="1" t="s">
        <v>5732</v>
      </c>
      <c r="B1095" s="1" t="s">
        <v>35</v>
      </c>
      <c r="C1095" s="1">
        <v>6.6</v>
      </c>
    </row>
    <row r="1096" ht="14.25" customHeight="1">
      <c r="A1096" s="1" t="s">
        <v>5737</v>
      </c>
      <c r="B1096" s="1" t="s">
        <v>35</v>
      </c>
      <c r="C1096" s="1">
        <v>7.0</v>
      </c>
    </row>
    <row r="1097" ht="14.25" customHeight="1">
      <c r="A1097" s="1" t="s">
        <v>5743</v>
      </c>
      <c r="B1097" s="1" t="s">
        <v>35</v>
      </c>
      <c r="C1097" s="1">
        <v>6.5</v>
      </c>
    </row>
    <row r="1098" ht="14.25" customHeight="1">
      <c r="A1098" s="1" t="s">
        <v>5748</v>
      </c>
      <c r="B1098" s="1" t="s">
        <v>35</v>
      </c>
      <c r="C1098" s="1">
        <v>6.3</v>
      </c>
    </row>
    <row r="1099" ht="14.25" customHeight="1">
      <c r="A1099" s="1" t="s">
        <v>5752</v>
      </c>
      <c r="B1099" s="1" t="s">
        <v>35</v>
      </c>
      <c r="C1099" s="1">
        <v>6.5</v>
      </c>
    </row>
    <row r="1100" ht="14.25" customHeight="1">
      <c r="A1100" s="1" t="s">
        <v>5757</v>
      </c>
      <c r="B1100" s="1" t="s">
        <v>35</v>
      </c>
      <c r="C1100" s="1">
        <v>6.5</v>
      </c>
    </row>
    <row r="1101" ht="14.25" customHeight="1">
      <c r="A1101" s="1" t="s">
        <v>5762</v>
      </c>
      <c r="B1101" s="1" t="s">
        <v>35</v>
      </c>
      <c r="C1101" s="1">
        <v>5.8</v>
      </c>
    </row>
    <row r="1102" ht="14.25" customHeight="1">
      <c r="A1102" s="1" t="s">
        <v>5768</v>
      </c>
      <c r="B1102" s="1" t="s">
        <v>35</v>
      </c>
      <c r="C1102" s="1">
        <v>6.6</v>
      </c>
    </row>
    <row r="1103" ht="14.25" customHeight="1">
      <c r="A1103" s="1" t="s">
        <v>5774</v>
      </c>
      <c r="B1103" s="1" t="s">
        <v>35</v>
      </c>
      <c r="C1103" s="1">
        <v>5.4</v>
      </c>
    </row>
    <row r="1104" ht="14.25" customHeight="1">
      <c r="A1104" s="1" t="s">
        <v>5778</v>
      </c>
      <c r="B1104" s="1" t="s">
        <v>35</v>
      </c>
      <c r="C1104" s="1">
        <v>6.1</v>
      </c>
    </row>
    <row r="1105" ht="14.25" customHeight="1">
      <c r="A1105" s="1" t="s">
        <v>5782</v>
      </c>
      <c r="B1105" s="1" t="s">
        <v>35</v>
      </c>
      <c r="C1105" s="1">
        <v>4.0</v>
      </c>
    </row>
    <row r="1106" ht="14.25" customHeight="1">
      <c r="A1106" s="1" t="s">
        <v>5786</v>
      </c>
      <c r="B1106" s="1" t="s">
        <v>35</v>
      </c>
      <c r="C1106" s="1">
        <v>7.6</v>
      </c>
    </row>
    <row r="1107" ht="14.25" customHeight="1">
      <c r="A1107" s="1" t="s">
        <v>5791</v>
      </c>
      <c r="B1107" s="1" t="s">
        <v>1864</v>
      </c>
      <c r="C1107" s="1">
        <v>7.9</v>
      </c>
    </row>
    <row r="1108" ht="14.25" customHeight="1">
      <c r="A1108" s="1" t="s">
        <v>5797</v>
      </c>
      <c r="B1108" s="1" t="s">
        <v>35</v>
      </c>
      <c r="C1108" s="1">
        <v>5.3</v>
      </c>
    </row>
    <row r="1109" ht="14.25" customHeight="1">
      <c r="A1109" s="1" t="s">
        <v>5802</v>
      </c>
      <c r="B1109" s="1" t="s">
        <v>35</v>
      </c>
      <c r="C1109" s="1">
        <v>6.6</v>
      </c>
    </row>
    <row r="1110" ht="14.25" customHeight="1">
      <c r="A1110" s="1" t="s">
        <v>5808</v>
      </c>
      <c r="B1110" s="1" t="s">
        <v>35</v>
      </c>
      <c r="C1110" s="1">
        <v>6.3</v>
      </c>
    </row>
    <row r="1111" ht="14.25" customHeight="1">
      <c r="A1111" s="1" t="s">
        <v>5814</v>
      </c>
      <c r="B1111" s="1" t="s">
        <v>2752</v>
      </c>
      <c r="C1111" s="1">
        <v>7.2</v>
      </c>
    </row>
    <row r="1112" ht="14.25" customHeight="1">
      <c r="A1112" s="1" t="s">
        <v>5818</v>
      </c>
      <c r="B1112" s="1" t="s">
        <v>35</v>
      </c>
      <c r="C1112" s="1">
        <v>7.0</v>
      </c>
    </row>
    <row r="1113" ht="14.25" customHeight="1">
      <c r="A1113" s="1" t="s">
        <v>5823</v>
      </c>
      <c r="B1113" s="1" t="s">
        <v>35</v>
      </c>
      <c r="C1113" s="1">
        <v>6.9</v>
      </c>
    </row>
    <row r="1114" ht="14.25" customHeight="1">
      <c r="A1114" s="1" t="s">
        <v>5828</v>
      </c>
      <c r="B1114" s="1" t="s">
        <v>35</v>
      </c>
      <c r="C1114" s="1">
        <v>5.2</v>
      </c>
    </row>
    <row r="1115" ht="14.25" customHeight="1">
      <c r="A1115" s="1" t="s">
        <v>5834</v>
      </c>
      <c r="B1115" s="1" t="s">
        <v>35</v>
      </c>
      <c r="C1115" s="1">
        <v>8.1</v>
      </c>
    </row>
    <row r="1116" ht="14.25" customHeight="1">
      <c r="A1116" s="1" t="s">
        <v>5838</v>
      </c>
      <c r="B1116" s="1" t="s">
        <v>35</v>
      </c>
      <c r="C1116" s="1">
        <v>6.6</v>
      </c>
    </row>
    <row r="1117" ht="14.25" customHeight="1">
      <c r="A1117" s="1" t="s">
        <v>5843</v>
      </c>
      <c r="B1117" s="1" t="s">
        <v>35</v>
      </c>
      <c r="C1117" s="1">
        <v>6.2</v>
      </c>
    </row>
    <row r="1118" ht="14.25" customHeight="1">
      <c r="A1118" s="1" t="s">
        <v>5848</v>
      </c>
      <c r="B1118" s="1" t="s">
        <v>35</v>
      </c>
      <c r="C1118" s="1">
        <v>7.2</v>
      </c>
    </row>
    <row r="1119" ht="14.25" customHeight="1">
      <c r="A1119" s="1" t="s">
        <v>5854</v>
      </c>
      <c r="B1119" s="1" t="s">
        <v>35</v>
      </c>
      <c r="C1119" s="1">
        <v>7.3</v>
      </c>
    </row>
    <row r="1120" ht="14.25" customHeight="1">
      <c r="A1120" s="1" t="s">
        <v>5858</v>
      </c>
      <c r="B1120" s="1" t="s">
        <v>35</v>
      </c>
      <c r="C1120" s="1">
        <v>6.7</v>
      </c>
    </row>
    <row r="1121" ht="14.25" customHeight="1">
      <c r="A1121" s="1" t="s">
        <v>5862</v>
      </c>
      <c r="B1121" s="1" t="s">
        <v>35</v>
      </c>
      <c r="C1121" s="1">
        <v>6.4</v>
      </c>
    </row>
    <row r="1122" ht="14.25" customHeight="1">
      <c r="A1122" s="1" t="s">
        <v>5867</v>
      </c>
      <c r="B1122" s="1" t="s">
        <v>35</v>
      </c>
      <c r="C1122" s="1">
        <v>7.8</v>
      </c>
    </row>
    <row r="1123" ht="14.25" customHeight="1">
      <c r="A1123" s="1" t="s">
        <v>5873</v>
      </c>
      <c r="B1123" s="1" t="s">
        <v>35</v>
      </c>
      <c r="C1123" s="1">
        <v>6.4</v>
      </c>
    </row>
    <row r="1124" ht="14.25" customHeight="1">
      <c r="A1124" s="1" t="s">
        <v>5877</v>
      </c>
      <c r="B1124" s="1" t="s">
        <v>35</v>
      </c>
      <c r="C1124" s="1">
        <v>4.1</v>
      </c>
    </row>
    <row r="1125" ht="14.25" customHeight="1">
      <c r="A1125" s="1" t="s">
        <v>5880</v>
      </c>
      <c r="B1125" s="1" t="s">
        <v>35</v>
      </c>
      <c r="C1125" s="1">
        <v>4.1</v>
      </c>
    </row>
    <row r="1126" ht="14.25" customHeight="1">
      <c r="A1126" s="1" t="s">
        <v>5883</v>
      </c>
      <c r="B1126" s="1" t="s">
        <v>35</v>
      </c>
      <c r="C1126" s="1">
        <v>7.4</v>
      </c>
    </row>
    <row r="1127" ht="14.25" customHeight="1">
      <c r="A1127" s="1" t="s">
        <v>5886</v>
      </c>
      <c r="B1127" s="1" t="s">
        <v>35</v>
      </c>
      <c r="C1127" s="1">
        <v>5.8</v>
      </c>
    </row>
    <row r="1128" ht="14.25" customHeight="1">
      <c r="A1128" s="1" t="s">
        <v>5889</v>
      </c>
      <c r="B1128" s="1" t="s">
        <v>35</v>
      </c>
      <c r="C1128" s="1">
        <v>7.6</v>
      </c>
    </row>
    <row r="1129" ht="14.25" customHeight="1">
      <c r="A1129" s="1" t="s">
        <v>5896</v>
      </c>
      <c r="B1129" s="1" t="s">
        <v>35</v>
      </c>
      <c r="C1129" s="1">
        <v>7.2</v>
      </c>
    </row>
    <row r="1130" ht="14.25" customHeight="1">
      <c r="A1130" s="1" t="s">
        <v>5902</v>
      </c>
      <c r="B1130" s="1" t="s">
        <v>35</v>
      </c>
      <c r="C1130" s="1">
        <v>7.8</v>
      </c>
    </row>
    <row r="1131" ht="14.25" customHeight="1">
      <c r="A1131" s="1" t="s">
        <v>5906</v>
      </c>
      <c r="B1131" s="1" t="s">
        <v>35</v>
      </c>
      <c r="C1131" s="1">
        <v>7.7</v>
      </c>
    </row>
    <row r="1132" ht="14.25" customHeight="1">
      <c r="A1132" s="1" t="s">
        <v>5912</v>
      </c>
      <c r="B1132" s="1" t="s">
        <v>35</v>
      </c>
      <c r="C1132" s="1">
        <v>6.4</v>
      </c>
    </row>
    <row r="1133" ht="14.25" customHeight="1">
      <c r="A1133" s="1" t="s">
        <v>5918</v>
      </c>
      <c r="B1133" s="1" t="s">
        <v>35</v>
      </c>
      <c r="C1133" s="1">
        <v>5.1</v>
      </c>
    </row>
    <row r="1134" ht="14.25" customHeight="1">
      <c r="A1134" s="1" t="s">
        <v>5923</v>
      </c>
      <c r="B1134" s="1" t="s">
        <v>35</v>
      </c>
      <c r="C1134" s="1">
        <v>5.5</v>
      </c>
    </row>
    <row r="1135" ht="14.25" customHeight="1">
      <c r="A1135" s="1" t="s">
        <v>5929</v>
      </c>
      <c r="B1135" s="1" t="s">
        <v>35</v>
      </c>
      <c r="C1135" s="1">
        <v>7.4</v>
      </c>
    </row>
    <row r="1136" ht="14.25" customHeight="1">
      <c r="A1136" s="1" t="s">
        <v>5934</v>
      </c>
      <c r="B1136" s="1" t="s">
        <v>35</v>
      </c>
      <c r="C1136" s="1">
        <v>6.0</v>
      </c>
    </row>
    <row r="1137" ht="14.25" customHeight="1">
      <c r="A1137" s="1" t="s">
        <v>5937</v>
      </c>
      <c r="B1137" s="1" t="s">
        <v>35</v>
      </c>
      <c r="C1137" s="1">
        <v>7.5</v>
      </c>
    </row>
    <row r="1138" ht="14.25" customHeight="1">
      <c r="A1138" s="1" t="s">
        <v>5941</v>
      </c>
      <c r="B1138" s="1" t="s">
        <v>35</v>
      </c>
      <c r="C1138" s="1">
        <v>7.0</v>
      </c>
    </row>
    <row r="1139" ht="14.25" customHeight="1">
      <c r="A1139" s="1">
        <v>42.0</v>
      </c>
      <c r="B1139" s="1" t="s">
        <v>35</v>
      </c>
      <c r="C1139" s="1">
        <v>7.5</v>
      </c>
    </row>
    <row r="1140" ht="14.25" customHeight="1">
      <c r="A1140" s="1" t="s">
        <v>5948</v>
      </c>
      <c r="B1140" s="1" t="s">
        <v>35</v>
      </c>
      <c r="C1140" s="1">
        <v>7.3</v>
      </c>
    </row>
    <row r="1141" ht="14.25" customHeight="1">
      <c r="A1141" s="1" t="s">
        <v>5951</v>
      </c>
      <c r="B1141" s="1" t="s">
        <v>35</v>
      </c>
      <c r="C1141" s="1">
        <v>5.7</v>
      </c>
    </row>
    <row r="1142" ht="14.25" customHeight="1">
      <c r="A1142" s="1" t="s">
        <v>5954</v>
      </c>
      <c r="B1142" s="1" t="s">
        <v>35</v>
      </c>
      <c r="C1142" s="1">
        <v>7.3</v>
      </c>
    </row>
    <row r="1143" ht="14.25" customHeight="1">
      <c r="A1143" s="1" t="s">
        <v>5958</v>
      </c>
      <c r="B1143" s="1" t="s">
        <v>35</v>
      </c>
      <c r="C1143" s="1">
        <v>7.2</v>
      </c>
    </row>
    <row r="1144" ht="14.25" customHeight="1">
      <c r="A1144" s="1" t="s">
        <v>5961</v>
      </c>
      <c r="B1144" s="1" t="s">
        <v>35</v>
      </c>
      <c r="C1144" s="1">
        <v>5.9</v>
      </c>
    </row>
    <row r="1145" ht="14.25" customHeight="1">
      <c r="A1145" s="1" t="s">
        <v>5965</v>
      </c>
      <c r="B1145" s="1" t="s">
        <v>35</v>
      </c>
      <c r="C1145" s="1">
        <v>7.8</v>
      </c>
    </row>
    <row r="1146" ht="14.25" customHeight="1">
      <c r="A1146" s="1" t="s">
        <v>5971</v>
      </c>
      <c r="B1146" s="1" t="s">
        <v>35</v>
      </c>
      <c r="C1146" s="1">
        <v>7.7</v>
      </c>
    </row>
    <row r="1147" ht="14.25" customHeight="1">
      <c r="A1147" s="1" t="s">
        <v>5975</v>
      </c>
      <c r="B1147" s="1" t="s">
        <v>35</v>
      </c>
      <c r="C1147" s="1">
        <v>8.1</v>
      </c>
    </row>
    <row r="1148" ht="14.25" customHeight="1">
      <c r="A1148" s="1" t="s">
        <v>5980</v>
      </c>
      <c r="B1148" s="1" t="s">
        <v>35</v>
      </c>
      <c r="C1148" s="1">
        <v>6.6</v>
      </c>
    </row>
    <row r="1149" ht="14.25" customHeight="1">
      <c r="A1149" s="1" t="s">
        <v>5983</v>
      </c>
      <c r="B1149" s="1" t="s">
        <v>35</v>
      </c>
      <c r="C1149" s="1">
        <v>7.1</v>
      </c>
    </row>
    <row r="1150" ht="14.25" customHeight="1">
      <c r="A1150" s="1" t="s">
        <v>5987</v>
      </c>
      <c r="B1150" s="1" t="s">
        <v>35</v>
      </c>
      <c r="C1150" s="1">
        <v>5.9</v>
      </c>
    </row>
    <row r="1151" ht="14.25" customHeight="1">
      <c r="A1151" s="1" t="s">
        <v>5991</v>
      </c>
      <c r="B1151" s="1" t="s">
        <v>35</v>
      </c>
      <c r="C1151" s="1">
        <v>8.0</v>
      </c>
    </row>
    <row r="1152" ht="14.25" customHeight="1">
      <c r="A1152" s="1" t="s">
        <v>5998</v>
      </c>
      <c r="B1152" s="1" t="s">
        <v>35</v>
      </c>
      <c r="C1152" s="1">
        <v>4.6</v>
      </c>
    </row>
    <row r="1153" ht="14.25" customHeight="1">
      <c r="A1153" s="1" t="s">
        <v>6003</v>
      </c>
      <c r="B1153" s="1" t="s">
        <v>35</v>
      </c>
      <c r="C1153" s="1">
        <v>6.1</v>
      </c>
    </row>
    <row r="1154" ht="14.25" customHeight="1">
      <c r="A1154" s="1" t="s">
        <v>3496</v>
      </c>
      <c r="B1154" s="1" t="s">
        <v>35</v>
      </c>
      <c r="C1154" s="1">
        <v>7.2</v>
      </c>
    </row>
    <row r="1155" ht="14.25" customHeight="1">
      <c r="A1155" s="1" t="s">
        <v>6007</v>
      </c>
      <c r="B1155" s="1" t="s">
        <v>35</v>
      </c>
      <c r="C1155" s="1">
        <v>6.4</v>
      </c>
    </row>
    <row r="1156" ht="14.25" customHeight="1">
      <c r="A1156" s="1" t="s">
        <v>6013</v>
      </c>
      <c r="B1156" s="1" t="s">
        <v>35</v>
      </c>
      <c r="C1156" s="1">
        <v>6.0</v>
      </c>
    </row>
    <row r="1157" ht="14.25" customHeight="1">
      <c r="A1157" s="1" t="s">
        <v>6018</v>
      </c>
      <c r="B1157" s="1" t="s">
        <v>35</v>
      </c>
      <c r="C1157" s="1">
        <v>5.2</v>
      </c>
    </row>
    <row r="1158" ht="14.25" customHeight="1">
      <c r="A1158" s="1" t="s">
        <v>6025</v>
      </c>
      <c r="B1158" s="1" t="s">
        <v>35</v>
      </c>
      <c r="C1158" s="1">
        <v>7.6</v>
      </c>
    </row>
    <row r="1159" ht="14.25" customHeight="1">
      <c r="A1159" s="1" t="s">
        <v>6029</v>
      </c>
      <c r="B1159" s="1" t="s">
        <v>35</v>
      </c>
      <c r="C1159" s="1">
        <v>6.4</v>
      </c>
    </row>
    <row r="1160" ht="14.25" customHeight="1">
      <c r="A1160" s="1" t="s">
        <v>6034</v>
      </c>
      <c r="B1160" s="1" t="s">
        <v>35</v>
      </c>
      <c r="C1160" s="1">
        <v>6.1</v>
      </c>
    </row>
    <row r="1161" ht="14.25" customHeight="1">
      <c r="A1161" s="1" t="s">
        <v>6038</v>
      </c>
      <c r="B1161" s="1" t="s">
        <v>35</v>
      </c>
      <c r="C1161" s="1">
        <v>6.1</v>
      </c>
    </row>
    <row r="1162" ht="14.25" customHeight="1">
      <c r="A1162" s="1" t="s">
        <v>6042</v>
      </c>
      <c r="B1162" s="1" t="s">
        <v>35</v>
      </c>
      <c r="C1162" s="1">
        <v>5.2</v>
      </c>
    </row>
    <row r="1163" ht="14.25" customHeight="1">
      <c r="A1163" s="1" t="s">
        <v>6046</v>
      </c>
      <c r="B1163" s="1" t="s">
        <v>35</v>
      </c>
      <c r="C1163" s="1">
        <v>7.7</v>
      </c>
    </row>
    <row r="1164" ht="14.25" customHeight="1">
      <c r="A1164" s="1" t="s">
        <v>6051</v>
      </c>
      <c r="B1164" s="1" t="s">
        <v>35</v>
      </c>
      <c r="C1164" s="1">
        <v>7.3</v>
      </c>
    </row>
    <row r="1165" ht="14.25" customHeight="1">
      <c r="A1165" s="1" t="s">
        <v>6055</v>
      </c>
      <c r="B1165" s="1" t="s">
        <v>35</v>
      </c>
      <c r="C1165" s="1">
        <v>6.9</v>
      </c>
    </row>
    <row r="1166" ht="14.25" customHeight="1">
      <c r="A1166" s="1" t="s">
        <v>6059</v>
      </c>
      <c r="B1166" s="1" t="s">
        <v>35</v>
      </c>
      <c r="C1166" s="1">
        <v>8.5</v>
      </c>
    </row>
    <row r="1167" ht="14.25" customHeight="1">
      <c r="A1167" s="1" t="s">
        <v>6062</v>
      </c>
      <c r="B1167" s="1" t="s">
        <v>35</v>
      </c>
      <c r="C1167" s="1">
        <v>6.3</v>
      </c>
    </row>
    <row r="1168" ht="14.25" customHeight="1">
      <c r="A1168" s="1" t="s">
        <v>6067</v>
      </c>
      <c r="B1168" s="1" t="s">
        <v>35</v>
      </c>
      <c r="C1168" s="1">
        <v>5.9</v>
      </c>
    </row>
    <row r="1169" ht="14.25" customHeight="1">
      <c r="A1169" s="1" t="s">
        <v>6072</v>
      </c>
      <c r="B1169" s="1" t="s">
        <v>6078</v>
      </c>
      <c r="C1169" s="1">
        <v>7.8</v>
      </c>
    </row>
    <row r="1170" ht="14.25" customHeight="1">
      <c r="A1170" s="1" t="s">
        <v>6079</v>
      </c>
      <c r="B1170" s="1" t="s">
        <v>35</v>
      </c>
      <c r="C1170" s="1">
        <v>6.7</v>
      </c>
    </row>
    <row r="1171" ht="14.25" customHeight="1">
      <c r="A1171" s="1" t="s">
        <v>6083</v>
      </c>
      <c r="B1171" s="1" t="s">
        <v>35</v>
      </c>
      <c r="C1171" s="1">
        <v>6.4</v>
      </c>
    </row>
    <row r="1172" ht="14.25" customHeight="1">
      <c r="A1172" s="1" t="s">
        <v>6087</v>
      </c>
      <c r="B1172" s="1" t="s">
        <v>35</v>
      </c>
      <c r="C1172" s="1">
        <v>5.9</v>
      </c>
    </row>
    <row r="1173" ht="14.25" customHeight="1">
      <c r="A1173" s="1" t="s">
        <v>6092</v>
      </c>
      <c r="B1173" s="1" t="s">
        <v>35</v>
      </c>
      <c r="C1173" s="1">
        <v>6.6</v>
      </c>
    </row>
    <row r="1174" ht="14.25" customHeight="1">
      <c r="A1174" s="1" t="s">
        <v>6096</v>
      </c>
      <c r="B1174" s="1" t="s">
        <v>35</v>
      </c>
      <c r="C1174" s="1">
        <v>6.8</v>
      </c>
    </row>
    <row r="1175" ht="14.25" customHeight="1">
      <c r="A1175" s="1" t="s">
        <v>6100</v>
      </c>
      <c r="B1175" s="1" t="s">
        <v>35</v>
      </c>
      <c r="C1175" s="1">
        <v>6.5</v>
      </c>
    </row>
    <row r="1176" ht="14.25" customHeight="1">
      <c r="A1176" s="1" t="s">
        <v>6107</v>
      </c>
      <c r="B1176" s="1" t="s">
        <v>35</v>
      </c>
      <c r="C1176" s="1">
        <v>6.6</v>
      </c>
    </row>
    <row r="1177" ht="14.25" customHeight="1">
      <c r="A1177" s="1" t="s">
        <v>6111</v>
      </c>
      <c r="B1177" s="1" t="s">
        <v>35</v>
      </c>
      <c r="C1177" s="1">
        <v>5.8</v>
      </c>
    </row>
    <row r="1178" ht="14.25" customHeight="1">
      <c r="A1178" s="1" t="s">
        <v>6116</v>
      </c>
      <c r="B1178" s="1" t="s">
        <v>35</v>
      </c>
      <c r="C1178" s="1">
        <v>6.9</v>
      </c>
    </row>
    <row r="1179" ht="14.25" customHeight="1">
      <c r="A1179" s="1" t="s">
        <v>6123</v>
      </c>
      <c r="B1179" s="1" t="s">
        <v>35</v>
      </c>
      <c r="C1179" s="1">
        <v>7.1</v>
      </c>
    </row>
    <row r="1180" ht="14.25" customHeight="1">
      <c r="A1180" s="1" t="s">
        <v>6126</v>
      </c>
      <c r="B1180" s="1" t="s">
        <v>35</v>
      </c>
      <c r="C1180" s="1">
        <v>5.8</v>
      </c>
    </row>
    <row r="1181" ht="14.25" customHeight="1">
      <c r="A1181" s="1" t="s">
        <v>6129</v>
      </c>
      <c r="B1181" s="1" t="s">
        <v>35</v>
      </c>
      <c r="C1181" s="1">
        <v>7.2</v>
      </c>
    </row>
    <row r="1182" ht="14.25" customHeight="1">
      <c r="A1182" s="1" t="s">
        <v>6133</v>
      </c>
      <c r="B1182" s="1" t="s">
        <v>35</v>
      </c>
      <c r="C1182" s="1">
        <v>6.0</v>
      </c>
    </row>
    <row r="1183" ht="14.25" customHeight="1">
      <c r="A1183" s="1" t="s">
        <v>6140</v>
      </c>
      <c r="B1183" s="1" t="s">
        <v>35</v>
      </c>
      <c r="C1183" s="1">
        <v>4.7</v>
      </c>
    </row>
    <row r="1184" ht="14.25" customHeight="1">
      <c r="A1184" s="1" t="s">
        <v>6146</v>
      </c>
      <c r="B1184" s="1" t="s">
        <v>35</v>
      </c>
      <c r="C1184" s="1">
        <v>5.2</v>
      </c>
    </row>
    <row r="1185" ht="14.25" customHeight="1">
      <c r="A1185" s="1" t="s">
        <v>6152</v>
      </c>
      <c r="B1185" s="1" t="s">
        <v>35</v>
      </c>
      <c r="C1185" s="1">
        <v>5.5</v>
      </c>
    </row>
    <row r="1186" ht="14.25" customHeight="1">
      <c r="A1186" s="1" t="s">
        <v>6156</v>
      </c>
      <c r="B1186" s="1" t="s">
        <v>35</v>
      </c>
      <c r="C1186" s="1">
        <v>7.0</v>
      </c>
    </row>
    <row r="1187" ht="14.25" customHeight="1">
      <c r="A1187" s="1" t="s">
        <v>6162</v>
      </c>
      <c r="B1187" s="1" t="s">
        <v>35</v>
      </c>
      <c r="C1187" s="1">
        <v>5.8</v>
      </c>
    </row>
    <row r="1188" ht="14.25" customHeight="1">
      <c r="A1188" s="1" t="s">
        <v>6167</v>
      </c>
      <c r="B1188" s="1" t="s">
        <v>35</v>
      </c>
      <c r="C1188" s="1">
        <v>6.2</v>
      </c>
    </row>
    <row r="1189" ht="14.25" customHeight="1">
      <c r="A1189" s="1" t="s">
        <v>6172</v>
      </c>
      <c r="B1189" s="1" t="s">
        <v>35</v>
      </c>
      <c r="C1189" s="1">
        <v>6.5</v>
      </c>
    </row>
    <row r="1190" ht="14.25" customHeight="1">
      <c r="A1190" s="1" t="s">
        <v>6176</v>
      </c>
      <c r="B1190" s="1" t="s">
        <v>35</v>
      </c>
      <c r="C1190" s="1">
        <v>7.2</v>
      </c>
    </row>
    <row r="1191" ht="14.25" customHeight="1">
      <c r="A1191" s="1" t="s">
        <v>6180</v>
      </c>
      <c r="B1191" s="1" t="s">
        <v>35</v>
      </c>
      <c r="C1191" s="1">
        <v>5.1</v>
      </c>
    </row>
    <row r="1192" ht="14.25" customHeight="1">
      <c r="A1192" s="1" t="s">
        <v>6185</v>
      </c>
      <c r="B1192" s="1" t="s">
        <v>35</v>
      </c>
      <c r="C1192" s="1">
        <v>4.7</v>
      </c>
    </row>
    <row r="1193" ht="14.25" customHeight="1">
      <c r="A1193" s="1" t="s">
        <v>6190</v>
      </c>
      <c r="B1193" s="1" t="s">
        <v>35</v>
      </c>
      <c r="C1193" s="1">
        <v>5.9</v>
      </c>
    </row>
    <row r="1194" ht="14.25" customHeight="1">
      <c r="A1194" s="1" t="s">
        <v>6196</v>
      </c>
      <c r="B1194" s="1" t="s">
        <v>35</v>
      </c>
      <c r="C1194" s="1">
        <v>5.8</v>
      </c>
    </row>
    <row r="1195" ht="14.25" customHeight="1">
      <c r="A1195" s="1" t="s">
        <v>6199</v>
      </c>
      <c r="B1195" s="1" t="s">
        <v>35</v>
      </c>
      <c r="C1195" s="1">
        <v>7.2</v>
      </c>
    </row>
    <row r="1196" ht="14.25" customHeight="1">
      <c r="A1196" s="1" t="s">
        <v>6203</v>
      </c>
      <c r="B1196" s="1" t="s">
        <v>35</v>
      </c>
      <c r="C1196" s="1">
        <v>6.2</v>
      </c>
    </row>
    <row r="1197" ht="14.25" customHeight="1">
      <c r="A1197" s="1" t="s">
        <v>6209</v>
      </c>
      <c r="B1197" s="1" t="s">
        <v>35</v>
      </c>
      <c r="C1197" s="1">
        <v>5.7</v>
      </c>
    </row>
    <row r="1198" ht="14.25" customHeight="1">
      <c r="A1198" s="1" t="s">
        <v>6213</v>
      </c>
      <c r="B1198" s="1" t="s">
        <v>35</v>
      </c>
      <c r="C1198" s="1">
        <v>6.1</v>
      </c>
    </row>
    <row r="1199" ht="14.25" customHeight="1">
      <c r="A1199" s="1" t="s">
        <v>6217</v>
      </c>
      <c r="B1199" s="1" t="s">
        <v>35</v>
      </c>
      <c r="C1199" s="1">
        <v>6.0</v>
      </c>
    </row>
    <row r="1200" ht="14.25" customHeight="1">
      <c r="A1200" s="1" t="s">
        <v>6222</v>
      </c>
      <c r="B1200" s="1" t="s">
        <v>35</v>
      </c>
      <c r="C1200" s="1">
        <v>6.9</v>
      </c>
    </row>
    <row r="1201" ht="14.25" customHeight="1">
      <c r="A1201" s="1" t="s">
        <v>6228</v>
      </c>
      <c r="B1201" s="1" t="s">
        <v>35</v>
      </c>
      <c r="C1201" s="1">
        <v>6.5</v>
      </c>
    </row>
    <row r="1202" ht="14.25" customHeight="1">
      <c r="A1202" s="1" t="s">
        <v>6234</v>
      </c>
      <c r="B1202" s="1" t="s">
        <v>35</v>
      </c>
      <c r="C1202" s="1">
        <v>5.0</v>
      </c>
    </row>
    <row r="1203" ht="14.25" customHeight="1">
      <c r="A1203" s="1" t="s">
        <v>6239</v>
      </c>
      <c r="B1203" s="1" t="s">
        <v>35</v>
      </c>
      <c r="C1203" s="1">
        <v>5.7</v>
      </c>
    </row>
    <row r="1204" ht="14.25" customHeight="1">
      <c r="A1204" s="1" t="s">
        <v>6243</v>
      </c>
      <c r="B1204" s="1" t="s">
        <v>35</v>
      </c>
      <c r="C1204" s="1">
        <v>7.0</v>
      </c>
    </row>
    <row r="1205" ht="14.25" customHeight="1">
      <c r="A1205" s="1" t="s">
        <v>6248</v>
      </c>
      <c r="B1205" s="1" t="s">
        <v>35</v>
      </c>
      <c r="C1205" s="1">
        <v>5.1</v>
      </c>
    </row>
    <row r="1206" ht="14.25" customHeight="1">
      <c r="A1206" s="1" t="s">
        <v>6254</v>
      </c>
      <c r="B1206" s="1" t="s">
        <v>35</v>
      </c>
      <c r="C1206" s="1">
        <v>5.3</v>
      </c>
    </row>
    <row r="1207" ht="14.25" customHeight="1">
      <c r="A1207" s="1" t="s">
        <v>6260</v>
      </c>
      <c r="B1207" s="1" t="s">
        <v>35</v>
      </c>
      <c r="C1207" s="1">
        <v>4.4</v>
      </c>
    </row>
    <row r="1208" ht="14.25" customHeight="1">
      <c r="A1208" s="1" t="s">
        <v>6264</v>
      </c>
      <c r="B1208" s="1" t="s">
        <v>35</v>
      </c>
      <c r="C1208" s="1">
        <v>4.7</v>
      </c>
    </row>
    <row r="1209" ht="14.25" customHeight="1">
      <c r="A1209" s="1" t="s">
        <v>6270</v>
      </c>
      <c r="B1209" s="1" t="s">
        <v>35</v>
      </c>
      <c r="C1209" s="1">
        <v>6.7</v>
      </c>
    </row>
    <row r="1210" ht="14.25" customHeight="1">
      <c r="A1210" s="1" t="s">
        <v>6274</v>
      </c>
      <c r="B1210" s="1" t="s">
        <v>35</v>
      </c>
      <c r="C1210" s="1">
        <v>6.7</v>
      </c>
    </row>
    <row r="1211" ht="14.25" customHeight="1">
      <c r="A1211" s="1" t="s">
        <v>6277</v>
      </c>
      <c r="B1211" s="1" t="s">
        <v>35</v>
      </c>
      <c r="C1211" s="1">
        <v>5.7</v>
      </c>
    </row>
    <row r="1212" ht="14.25" customHeight="1">
      <c r="A1212" s="1" t="s">
        <v>6283</v>
      </c>
      <c r="B1212" s="1" t="s">
        <v>35</v>
      </c>
      <c r="C1212" s="1">
        <v>7.4</v>
      </c>
    </row>
    <row r="1213" ht="14.25" customHeight="1">
      <c r="A1213" s="1" t="s">
        <v>6287</v>
      </c>
      <c r="B1213" s="1" t="s">
        <v>35</v>
      </c>
      <c r="C1213" s="1">
        <v>6.1</v>
      </c>
    </row>
    <row r="1214" ht="14.25" customHeight="1">
      <c r="A1214" s="1" t="s">
        <v>6292</v>
      </c>
      <c r="B1214" s="1" t="s">
        <v>35</v>
      </c>
      <c r="C1214" s="1">
        <v>6.4</v>
      </c>
    </row>
    <row r="1215" ht="14.25" customHeight="1">
      <c r="A1215" s="1" t="s">
        <v>6298</v>
      </c>
      <c r="B1215" s="1" t="s">
        <v>35</v>
      </c>
      <c r="C1215" s="1">
        <v>6.2</v>
      </c>
    </row>
    <row r="1216" ht="14.25" customHeight="1">
      <c r="A1216" s="1" t="s">
        <v>6303</v>
      </c>
      <c r="B1216" s="1" t="s">
        <v>35</v>
      </c>
      <c r="C1216" s="1">
        <v>6.2</v>
      </c>
    </row>
    <row r="1217" ht="14.25" customHeight="1">
      <c r="A1217" s="1" t="s">
        <v>6308</v>
      </c>
      <c r="B1217" s="1" t="s">
        <v>35</v>
      </c>
      <c r="C1217" s="1">
        <v>5.9</v>
      </c>
    </row>
    <row r="1218" ht="14.25" customHeight="1">
      <c r="A1218" s="1" t="s">
        <v>6314</v>
      </c>
      <c r="B1218" s="1" t="s">
        <v>35</v>
      </c>
      <c r="C1218" s="1">
        <v>4.0</v>
      </c>
    </row>
    <row r="1219" ht="14.25" customHeight="1">
      <c r="A1219" s="1" t="s">
        <v>6318</v>
      </c>
      <c r="B1219" s="1" t="s">
        <v>35</v>
      </c>
      <c r="C1219" s="1">
        <v>6.2</v>
      </c>
    </row>
    <row r="1220" ht="14.25" customHeight="1">
      <c r="A1220" s="1" t="s">
        <v>6321</v>
      </c>
      <c r="B1220" s="1" t="s">
        <v>35</v>
      </c>
      <c r="C1220" s="1">
        <v>4.6</v>
      </c>
    </row>
    <row r="1221" ht="14.25" customHeight="1">
      <c r="A1221" s="1" t="s">
        <v>6328</v>
      </c>
      <c r="B1221" s="1" t="s">
        <v>35</v>
      </c>
      <c r="C1221" s="1">
        <v>6.4</v>
      </c>
    </row>
    <row r="1222" ht="14.25" customHeight="1">
      <c r="A1222" s="1" t="s">
        <v>6331</v>
      </c>
      <c r="B1222" s="1" t="s">
        <v>35</v>
      </c>
      <c r="C1222" s="1">
        <v>5.9</v>
      </c>
    </row>
    <row r="1223" ht="14.25" customHeight="1">
      <c r="A1223" s="1" t="s">
        <v>6335</v>
      </c>
      <c r="B1223" s="1" t="s">
        <v>35</v>
      </c>
      <c r="C1223" s="1">
        <v>5.1</v>
      </c>
    </row>
    <row r="1224" ht="14.25" customHeight="1">
      <c r="A1224" s="1" t="s">
        <v>6340</v>
      </c>
      <c r="B1224" s="1" t="s">
        <v>35</v>
      </c>
      <c r="C1224" s="1">
        <v>7.6</v>
      </c>
    </row>
    <row r="1225" ht="14.25" customHeight="1">
      <c r="A1225" s="1" t="s">
        <v>6346</v>
      </c>
      <c r="B1225" s="1" t="s">
        <v>35</v>
      </c>
      <c r="C1225" s="1">
        <v>4.2</v>
      </c>
    </row>
    <row r="1226" ht="14.25" customHeight="1">
      <c r="A1226" s="1" t="s">
        <v>6352</v>
      </c>
      <c r="B1226" s="1" t="s">
        <v>35</v>
      </c>
      <c r="C1226" s="1">
        <v>7.8</v>
      </c>
    </row>
    <row r="1227" ht="14.25" customHeight="1">
      <c r="A1227" s="1" t="s">
        <v>6356</v>
      </c>
      <c r="B1227" s="1" t="s">
        <v>35</v>
      </c>
      <c r="C1227" s="1">
        <v>5.8</v>
      </c>
    </row>
    <row r="1228" ht="14.25" customHeight="1">
      <c r="A1228" s="1" t="s">
        <v>6360</v>
      </c>
      <c r="B1228" s="1" t="s">
        <v>35</v>
      </c>
      <c r="C1228" s="1">
        <v>5.9</v>
      </c>
    </row>
    <row r="1229" ht="14.25" customHeight="1">
      <c r="A1229" s="1" t="s">
        <v>6366</v>
      </c>
      <c r="B1229" s="1" t="s">
        <v>2752</v>
      </c>
      <c r="C1229" s="1">
        <v>8.4</v>
      </c>
    </row>
    <row r="1230" ht="14.25" customHeight="1">
      <c r="A1230" s="1" t="s">
        <v>6372</v>
      </c>
      <c r="B1230" s="1" t="s">
        <v>35</v>
      </c>
      <c r="C1230" s="1">
        <v>4.8</v>
      </c>
    </row>
    <row r="1231" ht="14.25" customHeight="1">
      <c r="A1231" s="1" t="s">
        <v>6380</v>
      </c>
      <c r="B1231" s="1" t="s">
        <v>35</v>
      </c>
      <c r="C1231" s="1">
        <v>6.2</v>
      </c>
    </row>
    <row r="1232" ht="14.25" customHeight="1">
      <c r="A1232" s="1" t="s">
        <v>6383</v>
      </c>
      <c r="B1232" s="1" t="s">
        <v>35</v>
      </c>
      <c r="C1232" s="1">
        <v>6.5</v>
      </c>
    </row>
    <row r="1233" ht="14.25" customHeight="1">
      <c r="A1233" s="1" t="s">
        <v>6389</v>
      </c>
      <c r="B1233" s="1" t="s">
        <v>35</v>
      </c>
      <c r="C1233" s="1">
        <v>6.3</v>
      </c>
    </row>
    <row r="1234" ht="14.25" customHeight="1">
      <c r="A1234" s="1" t="s">
        <v>6394</v>
      </c>
      <c r="B1234" s="1" t="s">
        <v>35</v>
      </c>
      <c r="C1234" s="1">
        <v>3.3</v>
      </c>
    </row>
    <row r="1235" ht="14.25" customHeight="1">
      <c r="A1235" s="1" t="s">
        <v>6399</v>
      </c>
      <c r="B1235" s="1" t="s">
        <v>35</v>
      </c>
      <c r="C1235" s="1">
        <v>5.9</v>
      </c>
    </row>
    <row r="1236" ht="14.25" customHeight="1">
      <c r="A1236" s="1" t="s">
        <v>5672</v>
      </c>
      <c r="B1236" s="1" t="s">
        <v>35</v>
      </c>
      <c r="C1236" s="1">
        <v>6.0</v>
      </c>
    </row>
    <row r="1237" ht="14.25" customHeight="1">
      <c r="A1237" s="1" t="s">
        <v>6402</v>
      </c>
      <c r="B1237" s="1" t="s">
        <v>35</v>
      </c>
      <c r="C1237" s="1">
        <v>5.8</v>
      </c>
    </row>
    <row r="1238" ht="14.25" customHeight="1">
      <c r="A1238" s="1" t="s">
        <v>6406</v>
      </c>
      <c r="B1238" s="1" t="s">
        <v>35</v>
      </c>
      <c r="C1238" s="1">
        <v>4.7</v>
      </c>
    </row>
    <row r="1239" ht="14.25" customHeight="1">
      <c r="A1239" s="1" t="s">
        <v>6411</v>
      </c>
      <c r="B1239" s="1" t="s">
        <v>35</v>
      </c>
      <c r="C1239" s="1">
        <v>4.1</v>
      </c>
    </row>
    <row r="1240" ht="14.25" customHeight="1">
      <c r="A1240" s="1" t="s">
        <v>6415</v>
      </c>
      <c r="B1240" s="1" t="s">
        <v>35</v>
      </c>
      <c r="C1240" s="1">
        <v>6.8</v>
      </c>
    </row>
    <row r="1241" ht="14.25" customHeight="1">
      <c r="A1241" s="1" t="s">
        <v>6420</v>
      </c>
      <c r="B1241" s="1" t="s">
        <v>35</v>
      </c>
      <c r="C1241" s="1">
        <v>6.2</v>
      </c>
    </row>
    <row r="1242" ht="14.25" customHeight="1">
      <c r="A1242" s="1" t="s">
        <v>6424</v>
      </c>
      <c r="B1242" s="1" t="s">
        <v>35</v>
      </c>
      <c r="C1242" s="1">
        <v>4.5</v>
      </c>
    </row>
    <row r="1243" ht="14.25" customHeight="1">
      <c r="A1243" s="1" t="s">
        <v>6429</v>
      </c>
      <c r="B1243" s="1" t="s">
        <v>35</v>
      </c>
      <c r="C1243" s="1">
        <v>5.8</v>
      </c>
    </row>
    <row r="1244" ht="14.25" customHeight="1">
      <c r="A1244" s="1" t="s">
        <v>6435</v>
      </c>
      <c r="B1244" s="1" t="s">
        <v>35</v>
      </c>
      <c r="C1244" s="1">
        <v>7.3</v>
      </c>
    </row>
    <row r="1245" ht="14.25" customHeight="1">
      <c r="A1245" s="1" t="s">
        <v>6439</v>
      </c>
      <c r="B1245" s="1" t="s">
        <v>35</v>
      </c>
      <c r="C1245" s="1">
        <v>5.9</v>
      </c>
    </row>
    <row r="1246" ht="14.25" customHeight="1">
      <c r="A1246" s="1" t="s">
        <v>6446</v>
      </c>
      <c r="B1246" s="1" t="s">
        <v>35</v>
      </c>
      <c r="C1246" s="1">
        <v>4.4</v>
      </c>
    </row>
    <row r="1247" ht="14.25" customHeight="1">
      <c r="A1247" s="1" t="s">
        <v>6451</v>
      </c>
      <c r="B1247" s="1" t="s">
        <v>35</v>
      </c>
      <c r="C1247" s="1">
        <v>5.8</v>
      </c>
    </row>
    <row r="1248" ht="14.25" customHeight="1">
      <c r="A1248" s="1" t="s">
        <v>6456</v>
      </c>
      <c r="B1248" s="1" t="s">
        <v>35</v>
      </c>
      <c r="C1248" s="1">
        <v>5.1</v>
      </c>
    </row>
    <row r="1249" ht="14.25" customHeight="1">
      <c r="A1249" s="1" t="s">
        <v>6461</v>
      </c>
      <c r="B1249" s="1" t="s">
        <v>35</v>
      </c>
      <c r="C1249" s="1">
        <v>6.9</v>
      </c>
    </row>
    <row r="1250" ht="14.25" customHeight="1">
      <c r="A1250" s="1" t="s">
        <v>6466</v>
      </c>
      <c r="B1250" s="1" t="s">
        <v>35</v>
      </c>
      <c r="C1250" s="1">
        <v>6.2</v>
      </c>
    </row>
    <row r="1251" ht="14.25" customHeight="1">
      <c r="A1251" s="1" t="s">
        <v>6470</v>
      </c>
      <c r="B1251" s="1" t="s">
        <v>35</v>
      </c>
      <c r="C1251" s="1">
        <v>6.9</v>
      </c>
    </row>
    <row r="1252" ht="14.25" customHeight="1">
      <c r="A1252" s="1" t="s">
        <v>6477</v>
      </c>
      <c r="B1252" s="1" t="s">
        <v>35</v>
      </c>
      <c r="C1252" s="1">
        <v>7.3</v>
      </c>
    </row>
    <row r="1253" ht="14.25" customHeight="1">
      <c r="A1253" s="1" t="s">
        <v>6482</v>
      </c>
      <c r="B1253" s="1" t="s">
        <v>1864</v>
      </c>
      <c r="C1253" s="1">
        <v>7.1</v>
      </c>
    </row>
    <row r="1254" ht="14.25" customHeight="1">
      <c r="A1254" s="1" t="s">
        <v>6487</v>
      </c>
      <c r="B1254" s="1" t="s">
        <v>6491</v>
      </c>
      <c r="C1254" s="1">
        <v>6.0</v>
      </c>
    </row>
    <row r="1255" ht="14.25" customHeight="1">
      <c r="A1255" s="1" t="s">
        <v>6493</v>
      </c>
      <c r="B1255" s="1" t="s">
        <v>35</v>
      </c>
      <c r="C1255" s="1">
        <v>7.0</v>
      </c>
    </row>
    <row r="1256" ht="14.25" customHeight="1">
      <c r="A1256" s="1" t="s">
        <v>6498</v>
      </c>
      <c r="B1256" s="1" t="s">
        <v>35</v>
      </c>
      <c r="C1256" s="1">
        <v>7.6</v>
      </c>
    </row>
    <row r="1257" ht="14.25" customHeight="1">
      <c r="A1257" s="1" t="s">
        <v>6502</v>
      </c>
      <c r="B1257" s="1" t="s">
        <v>35</v>
      </c>
      <c r="C1257" s="1">
        <v>7.1</v>
      </c>
    </row>
    <row r="1258" ht="14.25" customHeight="1">
      <c r="A1258" s="1" t="s">
        <v>644</v>
      </c>
      <c r="B1258" s="1" t="s">
        <v>35</v>
      </c>
      <c r="C1258" s="1">
        <v>6.7</v>
      </c>
    </row>
    <row r="1259" ht="14.25" customHeight="1">
      <c r="A1259" s="1" t="s">
        <v>6509</v>
      </c>
      <c r="B1259" s="1" t="s">
        <v>35</v>
      </c>
      <c r="C1259" s="1">
        <v>7.0</v>
      </c>
    </row>
    <row r="1260" ht="14.25" customHeight="1">
      <c r="A1260" s="1" t="s">
        <v>6514</v>
      </c>
      <c r="B1260" s="1" t="s">
        <v>35</v>
      </c>
      <c r="C1260" s="1">
        <v>8.0</v>
      </c>
    </row>
    <row r="1261" ht="14.25" customHeight="1">
      <c r="A1261" s="1" t="s">
        <v>6519</v>
      </c>
      <c r="B1261" s="1" t="s">
        <v>35</v>
      </c>
      <c r="C1261" s="1">
        <v>5.3</v>
      </c>
    </row>
    <row r="1262" ht="14.25" customHeight="1">
      <c r="A1262" s="1" t="s">
        <v>6523</v>
      </c>
      <c r="B1262" s="1" t="s">
        <v>35</v>
      </c>
      <c r="C1262" s="1">
        <v>4.9</v>
      </c>
    </row>
    <row r="1263" ht="14.25" customHeight="1">
      <c r="A1263" s="1" t="s">
        <v>6527</v>
      </c>
      <c r="B1263" s="1" t="s">
        <v>35</v>
      </c>
      <c r="C1263" s="1">
        <v>6.4</v>
      </c>
    </row>
    <row r="1264" ht="14.25" customHeight="1">
      <c r="A1264" s="1" t="s">
        <v>6531</v>
      </c>
      <c r="B1264" s="1" t="s">
        <v>1864</v>
      </c>
      <c r="C1264" s="1">
        <v>7.4</v>
      </c>
    </row>
    <row r="1265" ht="14.25" customHeight="1">
      <c r="A1265" s="1" t="s">
        <v>6535</v>
      </c>
      <c r="B1265" s="1" t="s">
        <v>35</v>
      </c>
      <c r="C1265" s="1">
        <v>6.1</v>
      </c>
    </row>
    <row r="1266" ht="14.25" customHeight="1">
      <c r="A1266" s="1" t="s">
        <v>6539</v>
      </c>
      <c r="B1266" s="1" t="s">
        <v>35</v>
      </c>
      <c r="C1266" s="1">
        <v>6.5</v>
      </c>
    </row>
    <row r="1267" ht="14.25" customHeight="1">
      <c r="A1267" s="1" t="s">
        <v>6544</v>
      </c>
      <c r="B1267" s="1" t="s">
        <v>35</v>
      </c>
      <c r="C1267" s="1">
        <v>5.7</v>
      </c>
    </row>
    <row r="1268" ht="14.25" customHeight="1">
      <c r="A1268" s="1" t="s">
        <v>6549</v>
      </c>
      <c r="B1268" s="1" t="s">
        <v>35</v>
      </c>
      <c r="C1268" s="1">
        <v>5.1</v>
      </c>
    </row>
    <row r="1269" ht="14.25" customHeight="1">
      <c r="A1269" s="1" t="s">
        <v>6554</v>
      </c>
      <c r="B1269" s="1" t="s">
        <v>35</v>
      </c>
      <c r="C1269" s="1">
        <v>6.6</v>
      </c>
    </row>
    <row r="1270" ht="14.25" customHeight="1">
      <c r="A1270" s="1" t="s">
        <v>6558</v>
      </c>
      <c r="B1270" s="1" t="s">
        <v>1864</v>
      </c>
      <c r="C1270" s="1">
        <v>6.5</v>
      </c>
    </row>
    <row r="1271" ht="14.25" customHeight="1">
      <c r="A1271" s="1" t="s">
        <v>6564</v>
      </c>
      <c r="B1271" s="1" t="s">
        <v>35</v>
      </c>
      <c r="C1271" s="1">
        <v>6.9</v>
      </c>
    </row>
    <row r="1272" ht="14.25" customHeight="1">
      <c r="A1272" s="1" t="s">
        <v>6568</v>
      </c>
      <c r="B1272" s="1" t="s">
        <v>35</v>
      </c>
      <c r="C1272" s="1">
        <v>7.6</v>
      </c>
    </row>
    <row r="1273" ht="14.25" customHeight="1">
      <c r="A1273" s="1" t="s">
        <v>6571</v>
      </c>
      <c r="B1273" s="1" t="s">
        <v>35</v>
      </c>
      <c r="C1273" s="1">
        <v>5.6</v>
      </c>
    </row>
    <row r="1274" ht="14.25" customHeight="1">
      <c r="A1274" s="1" t="s">
        <v>6576</v>
      </c>
      <c r="B1274" s="1" t="s">
        <v>35</v>
      </c>
      <c r="C1274" s="1">
        <v>6.2</v>
      </c>
    </row>
    <row r="1275" ht="14.25" customHeight="1">
      <c r="A1275" s="1" t="s">
        <v>6579</v>
      </c>
      <c r="B1275" s="1" t="s">
        <v>35</v>
      </c>
      <c r="C1275" s="1">
        <v>4.4</v>
      </c>
    </row>
    <row r="1276" ht="14.25" customHeight="1">
      <c r="A1276" s="1" t="s">
        <v>6586</v>
      </c>
      <c r="B1276" s="1" t="s">
        <v>35</v>
      </c>
      <c r="C1276" s="1">
        <v>5.6</v>
      </c>
    </row>
    <row r="1277" ht="14.25" customHeight="1">
      <c r="A1277" s="1" t="s">
        <v>6591</v>
      </c>
      <c r="B1277" s="1" t="s">
        <v>35</v>
      </c>
      <c r="C1277" s="1">
        <v>5.5</v>
      </c>
    </row>
    <row r="1278" ht="14.25" customHeight="1">
      <c r="A1278" s="1" t="s">
        <v>6594</v>
      </c>
      <c r="B1278" s="1" t="s">
        <v>35</v>
      </c>
      <c r="C1278" s="1">
        <v>6.7</v>
      </c>
    </row>
    <row r="1279" ht="14.25" customHeight="1">
      <c r="A1279" s="1" t="s">
        <v>6597</v>
      </c>
      <c r="B1279" s="1" t="s">
        <v>35</v>
      </c>
      <c r="C1279" s="1">
        <v>6.1</v>
      </c>
    </row>
    <row r="1280" ht="14.25" customHeight="1">
      <c r="A1280" s="1" t="s">
        <v>6601</v>
      </c>
      <c r="B1280" s="1" t="s">
        <v>35</v>
      </c>
      <c r="C1280" s="1">
        <v>6.2</v>
      </c>
    </row>
    <row r="1281" ht="14.25" customHeight="1">
      <c r="A1281" s="1" t="s">
        <v>6608</v>
      </c>
      <c r="B1281" s="1" t="s">
        <v>35</v>
      </c>
      <c r="C1281" s="1">
        <v>7.3</v>
      </c>
    </row>
    <row r="1282" ht="14.25" customHeight="1">
      <c r="A1282" s="1" t="s">
        <v>6612</v>
      </c>
      <c r="B1282" s="1" t="s">
        <v>35</v>
      </c>
      <c r="C1282" s="1">
        <v>6.6</v>
      </c>
    </row>
    <row r="1283" ht="14.25" customHeight="1">
      <c r="A1283" s="1" t="s">
        <v>6617</v>
      </c>
      <c r="B1283" s="1" t="s">
        <v>35</v>
      </c>
      <c r="C1283" s="1">
        <v>8.2</v>
      </c>
    </row>
    <row r="1284" ht="14.25" customHeight="1">
      <c r="A1284" s="1" t="s">
        <v>6623</v>
      </c>
      <c r="B1284" s="1" t="s">
        <v>35</v>
      </c>
      <c r="C1284" s="1">
        <v>6.4</v>
      </c>
    </row>
    <row r="1285" ht="14.25" customHeight="1">
      <c r="A1285" s="1" t="s">
        <v>6628</v>
      </c>
      <c r="B1285" s="1" t="s">
        <v>35</v>
      </c>
      <c r="C1285" s="1">
        <v>6.4</v>
      </c>
    </row>
    <row r="1286" ht="14.25" customHeight="1">
      <c r="A1286" s="1" t="s">
        <v>6635</v>
      </c>
      <c r="B1286" s="1" t="s">
        <v>35</v>
      </c>
      <c r="C1286" s="1">
        <v>5.2</v>
      </c>
    </row>
    <row r="1287" ht="14.25" customHeight="1">
      <c r="A1287" s="1" t="s">
        <v>6641</v>
      </c>
      <c r="B1287" s="1" t="s">
        <v>35</v>
      </c>
      <c r="C1287" s="1">
        <v>6.5</v>
      </c>
    </row>
    <row r="1288" ht="14.25" customHeight="1">
      <c r="A1288" s="1" t="s">
        <v>6647</v>
      </c>
      <c r="B1288" s="1" t="s">
        <v>35</v>
      </c>
      <c r="C1288" s="1">
        <v>7.1</v>
      </c>
    </row>
    <row r="1289" ht="14.25" customHeight="1">
      <c r="A1289" s="1" t="s">
        <v>6653</v>
      </c>
      <c r="B1289" s="1" t="s">
        <v>35</v>
      </c>
      <c r="C1289" s="1">
        <v>7.3</v>
      </c>
    </row>
    <row r="1290" ht="14.25" customHeight="1">
      <c r="A1290" s="1" t="s">
        <v>6657</v>
      </c>
      <c r="B1290" s="1" t="s">
        <v>35</v>
      </c>
      <c r="C1290" s="1">
        <v>5.2</v>
      </c>
    </row>
    <row r="1291" ht="14.25" customHeight="1">
      <c r="A1291" s="1" t="s">
        <v>6663</v>
      </c>
      <c r="B1291" s="1" t="s">
        <v>35</v>
      </c>
      <c r="C1291" s="1">
        <v>7.7</v>
      </c>
    </row>
    <row r="1292" ht="14.25" customHeight="1">
      <c r="A1292" s="1" t="s">
        <v>6668</v>
      </c>
      <c r="B1292" s="1" t="s">
        <v>35</v>
      </c>
      <c r="C1292" s="1">
        <v>7.6</v>
      </c>
    </row>
    <row r="1293" ht="14.25" customHeight="1">
      <c r="A1293" s="1" t="s">
        <v>6673</v>
      </c>
      <c r="B1293" s="1" t="s">
        <v>35</v>
      </c>
      <c r="C1293" s="1">
        <v>5.7</v>
      </c>
    </row>
    <row r="1294" ht="14.25" customHeight="1">
      <c r="A1294" s="1" t="s">
        <v>6677</v>
      </c>
      <c r="B1294" s="1" t="s">
        <v>35</v>
      </c>
      <c r="C1294" s="1">
        <v>7.0</v>
      </c>
    </row>
    <row r="1295" ht="14.25" customHeight="1">
      <c r="A1295" s="1" t="s">
        <v>6681</v>
      </c>
      <c r="B1295" s="1" t="s">
        <v>35</v>
      </c>
      <c r="C1295" s="1">
        <v>6.0</v>
      </c>
    </row>
    <row r="1296" ht="14.25" customHeight="1">
      <c r="A1296" s="1" t="s">
        <v>6686</v>
      </c>
      <c r="B1296" s="1" t="s">
        <v>35</v>
      </c>
      <c r="C1296" s="1">
        <v>8.1</v>
      </c>
    </row>
    <row r="1297" ht="14.25" customHeight="1">
      <c r="A1297" s="1" t="s">
        <v>6691</v>
      </c>
      <c r="B1297" s="1" t="s">
        <v>35</v>
      </c>
      <c r="C1297" s="1">
        <v>8.0</v>
      </c>
    </row>
    <row r="1298" ht="14.25" customHeight="1">
      <c r="A1298" s="1" t="s">
        <v>6698</v>
      </c>
      <c r="B1298" s="1" t="s">
        <v>35</v>
      </c>
      <c r="C1298" s="1">
        <v>5.6</v>
      </c>
    </row>
    <row r="1299" ht="14.25" customHeight="1">
      <c r="A1299" s="1" t="s">
        <v>6702</v>
      </c>
      <c r="B1299" s="1" t="s">
        <v>35</v>
      </c>
      <c r="C1299" s="1">
        <v>6.1</v>
      </c>
    </row>
    <row r="1300" ht="14.25" customHeight="1">
      <c r="A1300" s="1" t="s">
        <v>6706</v>
      </c>
      <c r="B1300" s="1" t="s">
        <v>35</v>
      </c>
      <c r="C1300" s="1">
        <v>6.9</v>
      </c>
    </row>
    <row r="1301" ht="14.25" customHeight="1">
      <c r="A1301" s="1" t="s">
        <v>6711</v>
      </c>
      <c r="B1301" s="1" t="s">
        <v>35</v>
      </c>
      <c r="C1301" s="1">
        <v>5.2</v>
      </c>
    </row>
    <row r="1302" ht="14.25" customHeight="1">
      <c r="A1302" s="1" t="s">
        <v>6714</v>
      </c>
      <c r="B1302" s="1" t="s">
        <v>35</v>
      </c>
      <c r="C1302" s="1">
        <v>7.0</v>
      </c>
    </row>
    <row r="1303" ht="14.25" customHeight="1">
      <c r="A1303" s="1" t="s">
        <v>6718</v>
      </c>
      <c r="B1303" s="1" t="s">
        <v>35</v>
      </c>
      <c r="C1303" s="1">
        <v>6.3</v>
      </c>
    </row>
    <row r="1304" ht="14.25" customHeight="1">
      <c r="A1304" s="1" t="s">
        <v>6722</v>
      </c>
      <c r="B1304" s="1" t="s">
        <v>35</v>
      </c>
      <c r="C1304" s="1">
        <v>7.0</v>
      </c>
    </row>
    <row r="1305" ht="14.25" customHeight="1">
      <c r="A1305" s="1" t="s">
        <v>6727</v>
      </c>
      <c r="B1305" s="1" t="s">
        <v>35</v>
      </c>
      <c r="C1305" s="1">
        <v>6.9</v>
      </c>
    </row>
    <row r="1306" ht="14.25" customHeight="1">
      <c r="A1306" s="1" t="s">
        <v>6731</v>
      </c>
      <c r="B1306" s="1" t="s">
        <v>35</v>
      </c>
      <c r="C1306" s="1">
        <v>6.2</v>
      </c>
    </row>
    <row r="1307" ht="14.25" customHeight="1">
      <c r="A1307" s="1" t="s">
        <v>6738</v>
      </c>
      <c r="B1307" s="1" t="s">
        <v>35</v>
      </c>
      <c r="C1307" s="1">
        <v>6.4</v>
      </c>
    </row>
    <row r="1308" ht="14.25" customHeight="1">
      <c r="A1308" s="1" t="s">
        <v>6743</v>
      </c>
      <c r="B1308" s="1" t="s">
        <v>35</v>
      </c>
      <c r="C1308" s="1">
        <v>6.4</v>
      </c>
    </row>
    <row r="1309" ht="14.25" customHeight="1">
      <c r="A1309" s="1" t="s">
        <v>6747</v>
      </c>
      <c r="B1309" s="1" t="s">
        <v>35</v>
      </c>
      <c r="C1309" s="1">
        <v>5.7</v>
      </c>
    </row>
    <row r="1310" ht="14.25" customHeight="1">
      <c r="A1310" s="1" t="s">
        <v>6751</v>
      </c>
      <c r="B1310" s="1" t="s">
        <v>35</v>
      </c>
      <c r="C1310" s="1">
        <v>6.1</v>
      </c>
    </row>
    <row r="1311" ht="14.25" customHeight="1">
      <c r="A1311" s="1" t="s">
        <v>6754</v>
      </c>
      <c r="B1311" s="1" t="s">
        <v>35</v>
      </c>
      <c r="C1311" s="1">
        <v>5.4</v>
      </c>
    </row>
    <row r="1312" ht="14.25" customHeight="1">
      <c r="A1312" s="1" t="s">
        <v>6757</v>
      </c>
      <c r="B1312" s="1" t="s">
        <v>35</v>
      </c>
      <c r="C1312" s="1">
        <v>6.7</v>
      </c>
    </row>
    <row r="1313" ht="14.25" customHeight="1">
      <c r="A1313" s="1" t="s">
        <v>6761</v>
      </c>
      <c r="B1313" s="1" t="s">
        <v>35</v>
      </c>
      <c r="C1313" s="1">
        <v>6.8</v>
      </c>
    </row>
    <row r="1314" ht="14.25" customHeight="1">
      <c r="A1314" s="1" t="s">
        <v>6765</v>
      </c>
      <c r="B1314" s="1" t="s">
        <v>35</v>
      </c>
      <c r="C1314" s="1">
        <v>6.0</v>
      </c>
    </row>
    <row r="1315" ht="14.25" customHeight="1">
      <c r="A1315" s="1" t="s">
        <v>6769</v>
      </c>
      <c r="B1315" s="1" t="s">
        <v>35</v>
      </c>
      <c r="C1315" s="1">
        <v>7.8</v>
      </c>
    </row>
    <row r="1316" ht="14.25" customHeight="1">
      <c r="A1316" s="1" t="s">
        <v>6774</v>
      </c>
      <c r="B1316" s="1" t="s">
        <v>35</v>
      </c>
      <c r="C1316" s="1">
        <v>5.3</v>
      </c>
    </row>
    <row r="1317" ht="14.25" customHeight="1">
      <c r="A1317" s="1" t="s">
        <v>6778</v>
      </c>
      <c r="B1317" s="1" t="s">
        <v>35</v>
      </c>
      <c r="C1317" s="1">
        <v>4.5</v>
      </c>
    </row>
    <row r="1318" ht="14.25" customHeight="1">
      <c r="A1318" s="1" t="s">
        <v>6784</v>
      </c>
      <c r="B1318" s="1" t="s">
        <v>35</v>
      </c>
      <c r="C1318" s="1">
        <v>5.4</v>
      </c>
    </row>
    <row r="1319" ht="14.25" customHeight="1">
      <c r="A1319" s="1" t="s">
        <v>6787</v>
      </c>
      <c r="B1319" s="1" t="s">
        <v>35</v>
      </c>
      <c r="C1319" s="1">
        <v>7.8</v>
      </c>
    </row>
    <row r="1320" ht="14.25" customHeight="1">
      <c r="A1320" s="1" t="s">
        <v>6791</v>
      </c>
      <c r="B1320" s="1" t="s">
        <v>6797</v>
      </c>
      <c r="C1320" s="1">
        <v>7.2</v>
      </c>
    </row>
    <row r="1321" ht="14.25" customHeight="1">
      <c r="A1321" s="1" t="s">
        <v>6798</v>
      </c>
      <c r="B1321" s="1" t="s">
        <v>35</v>
      </c>
      <c r="C1321" s="1">
        <v>6.6</v>
      </c>
    </row>
    <row r="1322" ht="14.25" customHeight="1">
      <c r="A1322" s="1" t="s">
        <v>6801</v>
      </c>
      <c r="B1322" s="1" t="s">
        <v>35</v>
      </c>
      <c r="C1322" s="1">
        <v>7.6</v>
      </c>
    </row>
    <row r="1323" ht="14.25" customHeight="1">
      <c r="A1323" s="1" t="s">
        <v>6805</v>
      </c>
      <c r="B1323" s="1" t="s">
        <v>35</v>
      </c>
      <c r="C1323" s="1">
        <v>5.9</v>
      </c>
    </row>
    <row r="1324" ht="14.25" customHeight="1">
      <c r="A1324" s="1" t="s">
        <v>6810</v>
      </c>
      <c r="B1324" s="1" t="s">
        <v>35</v>
      </c>
      <c r="C1324" s="1">
        <v>6.7</v>
      </c>
    </row>
    <row r="1325" ht="14.25" customHeight="1">
      <c r="A1325" s="1" t="s">
        <v>6813</v>
      </c>
      <c r="B1325" s="1" t="s">
        <v>35</v>
      </c>
      <c r="C1325" s="1">
        <v>7.7</v>
      </c>
    </row>
    <row r="1326" ht="14.25" customHeight="1">
      <c r="A1326" s="1" t="s">
        <v>6818</v>
      </c>
      <c r="B1326" s="1" t="s">
        <v>35</v>
      </c>
      <c r="C1326" s="1">
        <v>5.4</v>
      </c>
    </row>
    <row r="1327" ht="14.25" customHeight="1">
      <c r="A1327" s="1" t="s">
        <v>6821</v>
      </c>
      <c r="B1327" s="1" t="s">
        <v>35</v>
      </c>
      <c r="C1327" s="1">
        <v>6.9</v>
      </c>
    </row>
    <row r="1328" ht="14.25" customHeight="1">
      <c r="A1328" s="1" t="s">
        <v>6825</v>
      </c>
      <c r="B1328" s="1" t="s">
        <v>35</v>
      </c>
      <c r="C1328" s="1">
        <v>7.7</v>
      </c>
    </row>
    <row r="1329" ht="14.25" customHeight="1">
      <c r="A1329" s="1" t="s">
        <v>6829</v>
      </c>
      <c r="B1329" s="1" t="s">
        <v>35</v>
      </c>
      <c r="C1329" s="1">
        <v>6.8</v>
      </c>
    </row>
    <row r="1330" ht="14.25" customHeight="1">
      <c r="A1330" s="1" t="s">
        <v>6834</v>
      </c>
      <c r="B1330" s="1" t="s">
        <v>35</v>
      </c>
      <c r="C1330" s="1">
        <v>6.4</v>
      </c>
    </row>
    <row r="1331" ht="14.25" customHeight="1">
      <c r="A1331" s="1" t="s">
        <v>6839</v>
      </c>
      <c r="B1331" s="1" t="s">
        <v>35</v>
      </c>
      <c r="C1331" s="1">
        <v>5.7</v>
      </c>
    </row>
    <row r="1332" ht="14.25" customHeight="1">
      <c r="A1332" s="1" t="s">
        <v>6842</v>
      </c>
      <c r="B1332" s="1" t="s">
        <v>35</v>
      </c>
      <c r="C1332" s="1">
        <v>7.3</v>
      </c>
    </row>
    <row r="1333" ht="14.25" customHeight="1">
      <c r="A1333" s="1">
        <v>21.0</v>
      </c>
      <c r="B1333" s="1" t="s">
        <v>35</v>
      </c>
      <c r="C1333" s="1">
        <v>6.8</v>
      </c>
    </row>
    <row r="1334" ht="14.25" customHeight="1">
      <c r="A1334" s="1" t="s">
        <v>6848</v>
      </c>
      <c r="B1334" s="1" t="s">
        <v>35</v>
      </c>
      <c r="C1334" s="1">
        <v>6.3</v>
      </c>
    </row>
    <row r="1335" ht="14.25" customHeight="1">
      <c r="A1335" s="1" t="s">
        <v>6854</v>
      </c>
      <c r="B1335" s="1" t="s">
        <v>35</v>
      </c>
      <c r="C1335" s="1">
        <v>5.9</v>
      </c>
    </row>
    <row r="1336" ht="14.25" customHeight="1">
      <c r="A1336" s="1" t="s">
        <v>6859</v>
      </c>
      <c r="B1336" s="1" t="s">
        <v>35</v>
      </c>
      <c r="C1336" s="1">
        <v>7.4</v>
      </c>
    </row>
    <row r="1337" ht="14.25" customHeight="1">
      <c r="A1337" s="1" t="s">
        <v>6863</v>
      </c>
      <c r="B1337" s="1" t="s">
        <v>35</v>
      </c>
      <c r="C1337" s="1">
        <v>8.3</v>
      </c>
    </row>
    <row r="1338" ht="14.25" customHeight="1">
      <c r="A1338" s="1" t="s">
        <v>6867</v>
      </c>
      <c r="B1338" s="1" t="s">
        <v>35</v>
      </c>
      <c r="C1338" s="1">
        <v>6.2</v>
      </c>
    </row>
    <row r="1339" ht="14.25" customHeight="1">
      <c r="A1339" s="1" t="s">
        <v>6871</v>
      </c>
      <c r="B1339" s="1" t="s">
        <v>35</v>
      </c>
      <c r="C1339" s="1">
        <v>6.3</v>
      </c>
    </row>
    <row r="1340" ht="14.25" customHeight="1">
      <c r="A1340" s="1" t="s">
        <v>6875</v>
      </c>
      <c r="B1340" s="1" t="s">
        <v>35</v>
      </c>
      <c r="C1340" s="1">
        <v>5.8</v>
      </c>
    </row>
    <row r="1341" ht="14.25" customHeight="1">
      <c r="A1341" s="1" t="s">
        <v>6881</v>
      </c>
      <c r="B1341" s="1" t="s">
        <v>35</v>
      </c>
      <c r="C1341" s="1">
        <v>7.5</v>
      </c>
    </row>
    <row r="1342" ht="14.25" customHeight="1">
      <c r="A1342" s="1" t="s">
        <v>6887</v>
      </c>
      <c r="B1342" s="1" t="s">
        <v>35</v>
      </c>
      <c r="C1342" s="1">
        <v>6.3</v>
      </c>
    </row>
    <row r="1343" ht="14.25" customHeight="1">
      <c r="A1343" s="1" t="s">
        <v>6890</v>
      </c>
      <c r="B1343" s="1" t="s">
        <v>35</v>
      </c>
      <c r="C1343" s="1">
        <v>6.4</v>
      </c>
    </row>
    <row r="1344" ht="14.25" customHeight="1">
      <c r="A1344" s="1" t="s">
        <v>6895</v>
      </c>
      <c r="B1344" s="1" t="s">
        <v>35</v>
      </c>
      <c r="C1344" s="1">
        <v>7.2</v>
      </c>
    </row>
    <row r="1345" ht="14.25" customHeight="1">
      <c r="A1345" s="1" t="s">
        <v>6901</v>
      </c>
      <c r="B1345" s="1" t="s">
        <v>35</v>
      </c>
      <c r="C1345" s="1">
        <v>6.3</v>
      </c>
    </row>
    <row r="1346" ht="14.25" customHeight="1">
      <c r="A1346" s="1" t="s">
        <v>6905</v>
      </c>
      <c r="B1346" s="1" t="s">
        <v>35</v>
      </c>
      <c r="C1346" s="1">
        <v>6.9</v>
      </c>
    </row>
    <row r="1347" ht="14.25" customHeight="1">
      <c r="A1347" s="1" t="s">
        <v>6908</v>
      </c>
      <c r="B1347" s="1" t="s">
        <v>35</v>
      </c>
      <c r="C1347" s="1">
        <v>6.6</v>
      </c>
    </row>
    <row r="1348" ht="14.25" customHeight="1">
      <c r="A1348" s="1" t="s">
        <v>6912</v>
      </c>
      <c r="B1348" s="1" t="s">
        <v>35</v>
      </c>
      <c r="C1348" s="1">
        <v>6.0</v>
      </c>
    </row>
    <row r="1349" ht="14.25" customHeight="1">
      <c r="A1349" s="1" t="s">
        <v>6916</v>
      </c>
      <c r="B1349" s="1" t="s">
        <v>35</v>
      </c>
      <c r="C1349" s="1">
        <v>7.5</v>
      </c>
    </row>
    <row r="1350" ht="14.25" customHeight="1">
      <c r="A1350" s="1" t="s">
        <v>6920</v>
      </c>
      <c r="B1350" s="1" t="s">
        <v>35</v>
      </c>
      <c r="C1350" s="1">
        <v>7.7</v>
      </c>
    </row>
    <row r="1351" ht="14.25" customHeight="1">
      <c r="A1351" s="1" t="s">
        <v>6924</v>
      </c>
      <c r="B1351" s="1" t="s">
        <v>35</v>
      </c>
      <c r="C1351" s="1">
        <v>6.2</v>
      </c>
    </row>
    <row r="1352" ht="14.25" customHeight="1">
      <c r="A1352" s="1" t="s">
        <v>6929</v>
      </c>
      <c r="B1352" s="1" t="s">
        <v>35</v>
      </c>
      <c r="C1352" s="1">
        <v>5.4</v>
      </c>
    </row>
    <row r="1353" ht="14.25" customHeight="1">
      <c r="A1353" s="1" t="s">
        <v>6933</v>
      </c>
      <c r="B1353" s="1" t="s">
        <v>35</v>
      </c>
      <c r="C1353" s="1">
        <v>6.6</v>
      </c>
    </row>
    <row r="1354" ht="14.25" customHeight="1">
      <c r="A1354" s="1" t="s">
        <v>6938</v>
      </c>
      <c r="B1354" s="1" t="s">
        <v>35</v>
      </c>
      <c r="C1354" s="1">
        <v>5.3</v>
      </c>
    </row>
    <row r="1355" ht="14.25" customHeight="1">
      <c r="A1355" s="1" t="s">
        <v>6942</v>
      </c>
      <c r="B1355" s="1" t="s">
        <v>35</v>
      </c>
      <c r="C1355" s="1">
        <v>5.6</v>
      </c>
    </row>
    <row r="1356" ht="14.25" customHeight="1">
      <c r="A1356" s="1" t="s">
        <v>6946</v>
      </c>
      <c r="B1356" s="1" t="s">
        <v>35</v>
      </c>
      <c r="C1356" s="1">
        <v>5.9</v>
      </c>
    </row>
    <row r="1357" ht="14.25" customHeight="1">
      <c r="A1357" s="1" t="s">
        <v>6950</v>
      </c>
      <c r="B1357" s="1" t="s">
        <v>35</v>
      </c>
      <c r="C1357" s="1">
        <v>7.8</v>
      </c>
    </row>
    <row r="1358" ht="14.25" customHeight="1">
      <c r="A1358" s="1" t="s">
        <v>6953</v>
      </c>
      <c r="B1358" s="1" t="s">
        <v>35</v>
      </c>
      <c r="C1358" s="1">
        <v>6.7</v>
      </c>
    </row>
    <row r="1359" ht="14.25" customHeight="1">
      <c r="A1359" s="1" t="s">
        <v>6958</v>
      </c>
      <c r="B1359" s="1" t="s">
        <v>35</v>
      </c>
      <c r="C1359" s="1">
        <v>7.4</v>
      </c>
    </row>
    <row r="1360" ht="14.25" customHeight="1">
      <c r="A1360" s="1" t="s">
        <v>6964</v>
      </c>
      <c r="B1360" s="1" t="s">
        <v>35</v>
      </c>
      <c r="C1360" s="1">
        <v>6.2</v>
      </c>
    </row>
    <row r="1361" ht="14.25" customHeight="1">
      <c r="A1361" s="1" t="s">
        <v>6967</v>
      </c>
      <c r="B1361" s="1" t="s">
        <v>35</v>
      </c>
      <c r="C1361" s="1">
        <v>5.4</v>
      </c>
    </row>
    <row r="1362" ht="14.25" customHeight="1">
      <c r="A1362" s="1" t="s">
        <v>6972</v>
      </c>
      <c r="B1362" s="1" t="s">
        <v>35</v>
      </c>
      <c r="C1362" s="1">
        <v>6.7</v>
      </c>
    </row>
    <row r="1363" ht="14.25" customHeight="1">
      <c r="A1363" s="1" t="s">
        <v>6976</v>
      </c>
      <c r="B1363" s="1" t="s">
        <v>35</v>
      </c>
      <c r="C1363" s="1">
        <v>5.3</v>
      </c>
    </row>
    <row r="1364" ht="14.25" customHeight="1">
      <c r="A1364" s="1" t="s">
        <v>6983</v>
      </c>
      <c r="B1364" s="1" t="s">
        <v>35</v>
      </c>
      <c r="C1364" s="1">
        <v>5.9</v>
      </c>
    </row>
    <row r="1365" ht="14.25" customHeight="1">
      <c r="A1365" s="1" t="s">
        <v>6990</v>
      </c>
      <c r="B1365" s="1" t="s">
        <v>35</v>
      </c>
      <c r="C1365" s="1">
        <v>4.8</v>
      </c>
    </row>
    <row r="1366" ht="14.25" customHeight="1">
      <c r="A1366" s="1" t="s">
        <v>6994</v>
      </c>
      <c r="B1366" s="1" t="s">
        <v>35</v>
      </c>
      <c r="C1366" s="1">
        <v>3.8</v>
      </c>
    </row>
    <row r="1367" ht="14.25" customHeight="1">
      <c r="A1367" s="1" t="s">
        <v>6998</v>
      </c>
      <c r="B1367" s="1" t="s">
        <v>35</v>
      </c>
      <c r="C1367" s="1">
        <v>8.5</v>
      </c>
    </row>
    <row r="1368" ht="14.25" customHeight="1">
      <c r="A1368" s="1" t="s">
        <v>5443</v>
      </c>
      <c r="B1368" s="1" t="s">
        <v>35</v>
      </c>
      <c r="C1368" s="1">
        <v>6.8</v>
      </c>
    </row>
    <row r="1369" ht="14.25" customHeight="1">
      <c r="A1369" s="1" t="s">
        <v>7004</v>
      </c>
      <c r="B1369" s="1" t="s">
        <v>35</v>
      </c>
      <c r="C1369" s="1">
        <v>6.8</v>
      </c>
    </row>
    <row r="1370" ht="14.25" customHeight="1">
      <c r="A1370" s="1" t="s">
        <v>7010</v>
      </c>
      <c r="B1370" s="1" t="s">
        <v>35</v>
      </c>
      <c r="C1370" s="1">
        <v>5.3</v>
      </c>
    </row>
    <row r="1371" ht="14.25" customHeight="1">
      <c r="A1371" s="1" t="s">
        <v>7015</v>
      </c>
      <c r="B1371" s="1" t="s">
        <v>35</v>
      </c>
      <c r="C1371" s="1">
        <v>7.3</v>
      </c>
    </row>
    <row r="1372" ht="14.25" customHeight="1">
      <c r="A1372" s="1" t="s">
        <v>7019</v>
      </c>
      <c r="B1372" s="1" t="s">
        <v>35</v>
      </c>
      <c r="C1372" s="1">
        <v>6.6</v>
      </c>
    </row>
    <row r="1373" ht="14.25" customHeight="1">
      <c r="A1373" s="1" t="s">
        <v>7024</v>
      </c>
      <c r="B1373" s="1" t="s">
        <v>35</v>
      </c>
      <c r="C1373" s="1">
        <v>6.2</v>
      </c>
    </row>
    <row r="1374" ht="14.25" customHeight="1">
      <c r="A1374" s="1" t="s">
        <v>7028</v>
      </c>
      <c r="B1374" s="1" t="s">
        <v>35</v>
      </c>
      <c r="C1374" s="1">
        <v>5.2</v>
      </c>
    </row>
    <row r="1375" ht="14.25" customHeight="1">
      <c r="A1375" s="1" t="s">
        <v>7032</v>
      </c>
      <c r="B1375" s="1" t="s">
        <v>35</v>
      </c>
      <c r="C1375" s="1">
        <v>6.2</v>
      </c>
    </row>
    <row r="1376" ht="14.25" customHeight="1">
      <c r="A1376" s="1" t="s">
        <v>7036</v>
      </c>
      <c r="B1376" s="1" t="s">
        <v>35</v>
      </c>
      <c r="C1376" s="1">
        <v>6.2</v>
      </c>
    </row>
    <row r="1377" ht="14.25" customHeight="1">
      <c r="A1377" s="1" t="s">
        <v>7042</v>
      </c>
      <c r="B1377" s="1" t="s">
        <v>35</v>
      </c>
      <c r="C1377" s="1">
        <v>6.6</v>
      </c>
    </row>
    <row r="1378" ht="14.25" customHeight="1">
      <c r="A1378" s="1" t="s">
        <v>7048</v>
      </c>
      <c r="B1378" s="1" t="s">
        <v>35</v>
      </c>
      <c r="C1378" s="1">
        <v>6.2</v>
      </c>
    </row>
    <row r="1379" ht="14.25" customHeight="1">
      <c r="A1379" s="1" t="s">
        <v>7051</v>
      </c>
      <c r="B1379" s="1" t="s">
        <v>35</v>
      </c>
      <c r="C1379" s="1">
        <v>5.1</v>
      </c>
    </row>
    <row r="1380" ht="14.25" customHeight="1">
      <c r="A1380" s="1" t="s">
        <v>7056</v>
      </c>
      <c r="B1380" s="1" t="s">
        <v>35</v>
      </c>
      <c r="C1380" s="1">
        <v>6.6</v>
      </c>
    </row>
    <row r="1381" ht="14.25" customHeight="1">
      <c r="A1381" s="1" t="s">
        <v>7061</v>
      </c>
      <c r="B1381" s="1" t="s">
        <v>35</v>
      </c>
      <c r="C1381" s="1">
        <v>6.1</v>
      </c>
    </row>
    <row r="1382" ht="14.25" customHeight="1">
      <c r="A1382" s="1" t="s">
        <v>7066</v>
      </c>
      <c r="B1382" s="1" t="s">
        <v>35</v>
      </c>
      <c r="C1382" s="1">
        <v>6.6</v>
      </c>
    </row>
    <row r="1383" ht="14.25" customHeight="1">
      <c r="A1383" s="1" t="s">
        <v>7071</v>
      </c>
      <c r="B1383" s="1" t="s">
        <v>35</v>
      </c>
      <c r="C1383" s="1">
        <v>5.9</v>
      </c>
    </row>
    <row r="1384" ht="14.25" customHeight="1">
      <c r="A1384" s="1" t="s">
        <v>7076</v>
      </c>
      <c r="B1384" s="1" t="s">
        <v>35</v>
      </c>
      <c r="C1384" s="1">
        <v>6.3</v>
      </c>
    </row>
    <row r="1385" ht="14.25" customHeight="1">
      <c r="A1385" s="1" t="s">
        <v>7081</v>
      </c>
      <c r="B1385" s="1" t="s">
        <v>35</v>
      </c>
      <c r="C1385" s="1">
        <v>7.1</v>
      </c>
    </row>
    <row r="1386" ht="14.25" customHeight="1">
      <c r="A1386" s="1" t="s">
        <v>7084</v>
      </c>
      <c r="B1386" s="1" t="s">
        <v>35</v>
      </c>
      <c r="C1386" s="1">
        <v>5.0</v>
      </c>
    </row>
    <row r="1387" ht="14.25" customHeight="1">
      <c r="A1387" s="1" t="s">
        <v>7091</v>
      </c>
      <c r="B1387" s="1" t="s">
        <v>35</v>
      </c>
      <c r="C1387" s="1">
        <v>5.6</v>
      </c>
    </row>
    <row r="1388" ht="14.25" customHeight="1">
      <c r="A1388" s="1" t="s">
        <v>7096</v>
      </c>
      <c r="B1388" s="1" t="s">
        <v>35</v>
      </c>
      <c r="C1388" s="1">
        <v>7.4</v>
      </c>
    </row>
    <row r="1389" ht="14.25" customHeight="1">
      <c r="A1389" s="1" t="s">
        <v>7101</v>
      </c>
      <c r="B1389" s="1" t="s">
        <v>35</v>
      </c>
      <c r="C1389" s="1">
        <v>4.5</v>
      </c>
    </row>
    <row r="1390" ht="14.25" customHeight="1">
      <c r="A1390" s="1" t="s">
        <v>7108</v>
      </c>
      <c r="B1390" s="1" t="s">
        <v>35</v>
      </c>
      <c r="C1390" s="1">
        <v>6.2</v>
      </c>
    </row>
    <row r="1391" ht="14.25" customHeight="1">
      <c r="A1391" s="1" t="s">
        <v>7113</v>
      </c>
      <c r="B1391" s="1" t="s">
        <v>35</v>
      </c>
      <c r="C1391" s="1">
        <v>5.0</v>
      </c>
    </row>
    <row r="1392" ht="14.25" customHeight="1">
      <c r="A1392" s="1" t="s">
        <v>7119</v>
      </c>
      <c r="B1392" s="1" t="s">
        <v>35</v>
      </c>
      <c r="C1392" s="1">
        <v>6.5</v>
      </c>
    </row>
    <row r="1393" ht="14.25" customHeight="1">
      <c r="A1393" s="1" t="s">
        <v>7122</v>
      </c>
      <c r="B1393" s="1" t="s">
        <v>35</v>
      </c>
      <c r="C1393" s="1">
        <v>5.1</v>
      </c>
    </row>
    <row r="1394" ht="14.25" customHeight="1">
      <c r="A1394" s="1" t="s">
        <v>7128</v>
      </c>
      <c r="B1394" s="1" t="s">
        <v>35</v>
      </c>
      <c r="C1394" s="1">
        <v>6.5</v>
      </c>
    </row>
    <row r="1395" ht="14.25" customHeight="1">
      <c r="A1395" s="1" t="s">
        <v>7133</v>
      </c>
      <c r="B1395" s="1" t="s">
        <v>35</v>
      </c>
      <c r="C1395" s="1">
        <v>6.2</v>
      </c>
    </row>
    <row r="1396" ht="14.25" customHeight="1">
      <c r="A1396" s="1" t="s">
        <v>7137</v>
      </c>
      <c r="B1396" s="1" t="s">
        <v>35</v>
      </c>
      <c r="C1396" s="1">
        <v>6.3</v>
      </c>
    </row>
    <row r="1397" ht="14.25" customHeight="1">
      <c r="A1397" s="1" t="s">
        <v>7141</v>
      </c>
      <c r="B1397" s="1" t="s">
        <v>35</v>
      </c>
      <c r="C1397" s="1">
        <v>3.8</v>
      </c>
    </row>
    <row r="1398" ht="14.25" customHeight="1">
      <c r="A1398" s="1" t="s">
        <v>7146</v>
      </c>
      <c r="B1398" s="1" t="s">
        <v>35</v>
      </c>
      <c r="C1398" s="1">
        <v>6.2</v>
      </c>
    </row>
    <row r="1399" ht="14.25" customHeight="1">
      <c r="A1399" s="1" t="s">
        <v>7150</v>
      </c>
      <c r="B1399" s="1" t="s">
        <v>35</v>
      </c>
      <c r="C1399" s="1">
        <v>5.7</v>
      </c>
    </row>
    <row r="1400" ht="14.25" customHeight="1">
      <c r="A1400" s="1" t="s">
        <v>7156</v>
      </c>
      <c r="B1400" s="1" t="s">
        <v>35</v>
      </c>
      <c r="C1400" s="1">
        <v>6.7</v>
      </c>
    </row>
    <row r="1401" ht="14.25" customHeight="1">
      <c r="A1401" s="1" t="s">
        <v>7161</v>
      </c>
      <c r="B1401" s="1" t="s">
        <v>35</v>
      </c>
      <c r="C1401" s="1">
        <v>6.8</v>
      </c>
    </row>
    <row r="1402" ht="14.25" customHeight="1">
      <c r="A1402" s="1" t="s">
        <v>7165</v>
      </c>
      <c r="B1402" s="1" t="s">
        <v>35</v>
      </c>
      <c r="C1402" s="1">
        <v>6.0</v>
      </c>
    </row>
    <row r="1403" ht="14.25" customHeight="1">
      <c r="A1403" s="1" t="s">
        <v>7170</v>
      </c>
      <c r="B1403" s="1" t="s">
        <v>35</v>
      </c>
      <c r="C1403" s="1">
        <v>7.3</v>
      </c>
    </row>
    <row r="1404" ht="14.25" customHeight="1">
      <c r="A1404" s="1" t="s">
        <v>7174</v>
      </c>
      <c r="B1404" s="1" t="s">
        <v>35</v>
      </c>
      <c r="C1404" s="1">
        <v>5.5</v>
      </c>
    </row>
    <row r="1405" ht="14.25" customHeight="1">
      <c r="A1405" s="1" t="s">
        <v>7179</v>
      </c>
      <c r="B1405" s="1" t="s">
        <v>35</v>
      </c>
      <c r="C1405" s="1">
        <v>6.7</v>
      </c>
    </row>
    <row r="1406" ht="14.25" customHeight="1">
      <c r="A1406" s="1" t="s">
        <v>7183</v>
      </c>
      <c r="B1406" s="1" t="s">
        <v>35</v>
      </c>
      <c r="C1406" s="1">
        <v>4.8</v>
      </c>
    </row>
    <row r="1407" ht="14.25" customHeight="1">
      <c r="A1407" s="1" t="s">
        <v>7190</v>
      </c>
      <c r="B1407" s="1" t="s">
        <v>35</v>
      </c>
      <c r="C1407" s="1">
        <v>5.7</v>
      </c>
    </row>
    <row r="1408" ht="14.25" customHeight="1">
      <c r="A1408" s="1" t="s">
        <v>7194</v>
      </c>
      <c r="B1408" s="1" t="s">
        <v>35</v>
      </c>
      <c r="C1408" s="1">
        <v>5.1</v>
      </c>
    </row>
    <row r="1409" ht="14.25" customHeight="1">
      <c r="A1409" s="1" t="s">
        <v>7199</v>
      </c>
      <c r="B1409" s="1" t="s">
        <v>35</v>
      </c>
      <c r="C1409" s="1">
        <v>6.0</v>
      </c>
    </row>
    <row r="1410" ht="14.25" customHeight="1">
      <c r="A1410" s="1" t="s">
        <v>7203</v>
      </c>
      <c r="B1410" s="1" t="s">
        <v>35</v>
      </c>
      <c r="C1410" s="1">
        <v>4.2</v>
      </c>
    </row>
    <row r="1411" ht="14.25" customHeight="1">
      <c r="A1411" s="1" t="s">
        <v>7207</v>
      </c>
      <c r="B1411" s="1" t="s">
        <v>35</v>
      </c>
      <c r="C1411" s="1">
        <v>7.4</v>
      </c>
    </row>
    <row r="1412" ht="14.25" customHeight="1">
      <c r="A1412" s="1" t="s">
        <v>7214</v>
      </c>
      <c r="B1412" s="1" t="s">
        <v>35</v>
      </c>
      <c r="C1412" s="1">
        <v>4.6</v>
      </c>
    </row>
    <row r="1413" ht="14.25" customHeight="1">
      <c r="A1413" s="1" t="s">
        <v>7220</v>
      </c>
      <c r="B1413" s="1" t="s">
        <v>35</v>
      </c>
      <c r="C1413" s="1">
        <v>6.9</v>
      </c>
    </row>
    <row r="1414" ht="14.25" customHeight="1">
      <c r="A1414" s="1" t="s">
        <v>7223</v>
      </c>
      <c r="B1414" s="1" t="s">
        <v>35</v>
      </c>
      <c r="C1414" s="1">
        <v>6.9</v>
      </c>
    </row>
    <row r="1415" ht="14.25" customHeight="1">
      <c r="A1415" s="1" t="s">
        <v>7226</v>
      </c>
      <c r="B1415" s="1" t="s">
        <v>35</v>
      </c>
      <c r="C1415" s="1">
        <v>8.0</v>
      </c>
    </row>
    <row r="1416" ht="14.25" customHeight="1">
      <c r="A1416" s="1" t="s">
        <v>7230</v>
      </c>
      <c r="B1416" s="1" t="s">
        <v>35</v>
      </c>
      <c r="C1416" s="1">
        <v>6.4</v>
      </c>
    </row>
    <row r="1417" ht="14.25" customHeight="1">
      <c r="A1417" s="1" t="s">
        <v>7234</v>
      </c>
      <c r="B1417" s="1" t="s">
        <v>35</v>
      </c>
      <c r="C1417" s="1">
        <v>6.3</v>
      </c>
    </row>
    <row r="1418" ht="14.25" customHeight="1">
      <c r="A1418" s="1" t="s">
        <v>7238</v>
      </c>
      <c r="B1418" s="1" t="s">
        <v>35</v>
      </c>
      <c r="C1418" s="1">
        <v>6.8</v>
      </c>
    </row>
    <row r="1419" ht="14.25" customHeight="1">
      <c r="A1419" s="1" t="s">
        <v>7245</v>
      </c>
      <c r="B1419" s="1" t="s">
        <v>35</v>
      </c>
      <c r="C1419" s="1">
        <v>6.8</v>
      </c>
    </row>
    <row r="1420" ht="14.25" customHeight="1">
      <c r="A1420" s="1" t="s">
        <v>7251</v>
      </c>
      <c r="B1420" s="1" t="s">
        <v>35</v>
      </c>
      <c r="C1420" s="1">
        <v>5.4</v>
      </c>
    </row>
    <row r="1421" ht="14.25" customHeight="1">
      <c r="A1421" s="1" t="s">
        <v>7256</v>
      </c>
      <c r="B1421" s="1" t="s">
        <v>35</v>
      </c>
      <c r="C1421" s="1">
        <v>7.2</v>
      </c>
    </row>
    <row r="1422" ht="14.25" customHeight="1">
      <c r="A1422" s="1" t="s">
        <v>7259</v>
      </c>
      <c r="B1422" s="1" t="s">
        <v>35</v>
      </c>
      <c r="C1422" s="1">
        <v>7.3</v>
      </c>
    </row>
    <row r="1423" ht="14.25" customHeight="1">
      <c r="A1423" s="1" t="s">
        <v>7264</v>
      </c>
      <c r="B1423" s="1" t="s">
        <v>35</v>
      </c>
      <c r="C1423" s="1">
        <v>5.2</v>
      </c>
    </row>
    <row r="1424" ht="14.25" customHeight="1">
      <c r="A1424" s="1" t="s">
        <v>7270</v>
      </c>
      <c r="B1424" s="1" t="s">
        <v>35</v>
      </c>
      <c r="C1424" s="1">
        <v>5.5</v>
      </c>
    </row>
    <row r="1425" ht="14.25" customHeight="1">
      <c r="A1425" s="1" t="s">
        <v>7275</v>
      </c>
      <c r="B1425" s="1" t="s">
        <v>7281</v>
      </c>
      <c r="C1425" s="1">
        <v>7.7</v>
      </c>
    </row>
    <row r="1426" ht="14.25" customHeight="1">
      <c r="A1426" s="1" t="s">
        <v>7283</v>
      </c>
      <c r="B1426" s="1" t="s">
        <v>35</v>
      </c>
      <c r="C1426" s="1">
        <v>7.1</v>
      </c>
    </row>
    <row r="1427" ht="14.25" customHeight="1">
      <c r="A1427" s="1" t="s">
        <v>7290</v>
      </c>
      <c r="B1427" s="1" t="s">
        <v>35</v>
      </c>
      <c r="C1427" s="1">
        <v>5.3</v>
      </c>
    </row>
    <row r="1428" ht="14.25" customHeight="1">
      <c r="A1428" s="1" t="s">
        <v>7294</v>
      </c>
      <c r="B1428" s="1" t="s">
        <v>35</v>
      </c>
      <c r="C1428" s="1">
        <v>5.6</v>
      </c>
    </row>
    <row r="1429" ht="14.25" customHeight="1">
      <c r="A1429" s="1" t="s">
        <v>7299</v>
      </c>
      <c r="B1429" s="1" t="s">
        <v>35</v>
      </c>
      <c r="C1429" s="1">
        <v>5.7</v>
      </c>
    </row>
    <row r="1430" ht="14.25" customHeight="1">
      <c r="A1430" s="1" t="s">
        <v>7302</v>
      </c>
      <c r="B1430" s="1" t="s">
        <v>35</v>
      </c>
      <c r="C1430" s="1">
        <v>7.1</v>
      </c>
    </row>
    <row r="1431" ht="14.25" customHeight="1">
      <c r="A1431" s="1" t="s">
        <v>7308</v>
      </c>
      <c r="B1431" s="1" t="s">
        <v>35</v>
      </c>
      <c r="C1431" s="1">
        <v>7.6</v>
      </c>
    </row>
    <row r="1432" ht="14.25" customHeight="1">
      <c r="A1432" s="1" t="s">
        <v>7311</v>
      </c>
      <c r="B1432" s="1" t="s">
        <v>35</v>
      </c>
      <c r="C1432" s="1">
        <v>5.5</v>
      </c>
    </row>
    <row r="1433" ht="14.25" customHeight="1">
      <c r="A1433" s="1" t="s">
        <v>7314</v>
      </c>
      <c r="B1433" s="1" t="s">
        <v>35</v>
      </c>
      <c r="C1433" s="1">
        <v>5.1</v>
      </c>
    </row>
    <row r="1434" ht="14.25" customHeight="1">
      <c r="A1434" s="1" t="s">
        <v>7319</v>
      </c>
      <c r="B1434" s="1" t="s">
        <v>35</v>
      </c>
      <c r="C1434" s="1">
        <v>4.9</v>
      </c>
    </row>
    <row r="1435" ht="14.25" customHeight="1">
      <c r="A1435" s="1" t="s">
        <v>7325</v>
      </c>
      <c r="B1435" s="1" t="s">
        <v>35</v>
      </c>
      <c r="C1435" s="1">
        <v>6.5</v>
      </c>
    </row>
    <row r="1436" ht="14.25" customHeight="1">
      <c r="A1436" s="1" t="s">
        <v>7331</v>
      </c>
      <c r="B1436" s="1" t="s">
        <v>35</v>
      </c>
      <c r="C1436" s="1">
        <v>5.6</v>
      </c>
    </row>
    <row r="1437" ht="14.25" customHeight="1">
      <c r="A1437" s="1" t="s">
        <v>7337</v>
      </c>
      <c r="B1437" s="1" t="s">
        <v>35</v>
      </c>
      <c r="C1437" s="1">
        <v>5.3</v>
      </c>
    </row>
    <row r="1438" ht="14.25" customHeight="1">
      <c r="A1438" s="1" t="s">
        <v>7343</v>
      </c>
      <c r="B1438" s="1" t="s">
        <v>35</v>
      </c>
      <c r="C1438" s="1">
        <v>6.5</v>
      </c>
    </row>
    <row r="1439" ht="14.25" customHeight="1">
      <c r="A1439" s="1" t="s">
        <v>7349</v>
      </c>
      <c r="B1439" s="1" t="s">
        <v>35</v>
      </c>
      <c r="C1439" s="1">
        <v>6.8</v>
      </c>
    </row>
    <row r="1440" ht="14.25" customHeight="1">
      <c r="A1440" s="1" t="s">
        <v>7353</v>
      </c>
      <c r="B1440" s="1" t="s">
        <v>35</v>
      </c>
      <c r="C1440" s="1">
        <v>6.5</v>
      </c>
    </row>
    <row r="1441" ht="14.25" customHeight="1">
      <c r="A1441" s="1" t="s">
        <v>7357</v>
      </c>
      <c r="B1441" s="1" t="s">
        <v>35</v>
      </c>
      <c r="C1441" s="1">
        <v>6.0</v>
      </c>
    </row>
    <row r="1442" ht="14.25" customHeight="1">
      <c r="A1442" s="1" t="s">
        <v>7361</v>
      </c>
      <c r="B1442" s="1" t="s">
        <v>35</v>
      </c>
      <c r="C1442" s="1">
        <v>8.4</v>
      </c>
    </row>
    <row r="1443" ht="14.25" customHeight="1">
      <c r="A1443" s="1" t="s">
        <v>7366</v>
      </c>
      <c r="B1443" s="1" t="s">
        <v>35</v>
      </c>
      <c r="C1443" s="1">
        <v>6.0</v>
      </c>
    </row>
    <row r="1444" ht="14.25" customHeight="1">
      <c r="A1444" s="1" t="s">
        <v>7370</v>
      </c>
      <c r="B1444" s="1" t="s">
        <v>35</v>
      </c>
      <c r="C1444" s="1">
        <v>7.6</v>
      </c>
    </row>
    <row r="1445" ht="14.25" customHeight="1">
      <c r="A1445" s="1" t="s">
        <v>7375</v>
      </c>
      <c r="B1445" s="1" t="s">
        <v>35</v>
      </c>
      <c r="C1445" s="1">
        <v>6.9</v>
      </c>
    </row>
    <row r="1446" ht="14.25" customHeight="1">
      <c r="A1446" s="1" t="s">
        <v>7378</v>
      </c>
      <c r="B1446" s="1" t="s">
        <v>35</v>
      </c>
      <c r="C1446" s="1">
        <v>6.4</v>
      </c>
    </row>
    <row r="1447" ht="14.25" customHeight="1">
      <c r="A1447" s="1" t="s">
        <v>7383</v>
      </c>
      <c r="B1447" s="1" t="s">
        <v>35</v>
      </c>
      <c r="C1447" s="1">
        <v>5.1</v>
      </c>
    </row>
    <row r="1448" ht="14.25" customHeight="1">
      <c r="A1448" s="1" t="s">
        <v>7387</v>
      </c>
      <c r="B1448" s="1" t="s">
        <v>35</v>
      </c>
      <c r="C1448" s="1">
        <v>7.0</v>
      </c>
    </row>
    <row r="1449" ht="14.25" customHeight="1">
      <c r="A1449" s="1" t="s">
        <v>7392</v>
      </c>
      <c r="B1449" s="1" t="s">
        <v>35</v>
      </c>
      <c r="C1449" s="1">
        <v>5.7</v>
      </c>
    </row>
    <row r="1450" ht="14.25" customHeight="1">
      <c r="A1450" s="1" t="s">
        <v>7397</v>
      </c>
      <c r="B1450" s="1" t="s">
        <v>35</v>
      </c>
      <c r="C1450" s="1">
        <v>6.8</v>
      </c>
    </row>
    <row r="1451" ht="14.25" customHeight="1">
      <c r="A1451" s="1" t="s">
        <v>7402</v>
      </c>
      <c r="B1451" s="1" t="s">
        <v>35</v>
      </c>
      <c r="C1451" s="1">
        <v>6.7</v>
      </c>
    </row>
    <row r="1452" ht="14.25" customHeight="1">
      <c r="A1452" s="1" t="s">
        <v>7406</v>
      </c>
      <c r="B1452" s="1" t="s">
        <v>35</v>
      </c>
      <c r="C1452" s="1">
        <v>6.2</v>
      </c>
    </row>
    <row r="1453" ht="14.25" customHeight="1">
      <c r="A1453" s="1" t="s">
        <v>7409</v>
      </c>
      <c r="B1453" s="1" t="s">
        <v>35</v>
      </c>
      <c r="C1453" s="1">
        <v>7.2</v>
      </c>
    </row>
    <row r="1454" ht="14.25" customHeight="1">
      <c r="A1454" s="1" t="s">
        <v>7413</v>
      </c>
      <c r="B1454" s="1" t="s">
        <v>35</v>
      </c>
      <c r="C1454" s="1">
        <v>6.2</v>
      </c>
    </row>
    <row r="1455" ht="14.25" customHeight="1">
      <c r="A1455" s="1" t="s">
        <v>7417</v>
      </c>
      <c r="B1455" s="1" t="s">
        <v>35</v>
      </c>
      <c r="C1455" s="1">
        <v>5.6</v>
      </c>
    </row>
    <row r="1456" ht="14.25" customHeight="1">
      <c r="A1456" s="1" t="s">
        <v>7420</v>
      </c>
      <c r="B1456" s="1" t="s">
        <v>35</v>
      </c>
      <c r="C1456" s="1">
        <v>4.4</v>
      </c>
    </row>
    <row r="1457" ht="14.25" customHeight="1">
      <c r="A1457" s="1" t="s">
        <v>7424</v>
      </c>
      <c r="B1457" s="1" t="s">
        <v>35</v>
      </c>
      <c r="C1457" s="1">
        <v>7.5</v>
      </c>
    </row>
    <row r="1458" ht="14.25" customHeight="1">
      <c r="A1458" s="1" t="s">
        <v>7429</v>
      </c>
      <c r="B1458" s="1" t="s">
        <v>35</v>
      </c>
      <c r="C1458" s="1">
        <v>7.1</v>
      </c>
    </row>
    <row r="1459" ht="14.25" customHeight="1">
      <c r="A1459" s="1" t="s">
        <v>7435</v>
      </c>
      <c r="B1459" s="1" t="s">
        <v>35</v>
      </c>
      <c r="C1459" s="1">
        <v>6.4</v>
      </c>
    </row>
    <row r="1460" ht="14.25" customHeight="1">
      <c r="A1460" s="1" t="s">
        <v>7439</v>
      </c>
      <c r="B1460" s="1" t="s">
        <v>35</v>
      </c>
      <c r="C1460" s="1">
        <v>7.1</v>
      </c>
    </row>
    <row r="1461" ht="14.25" customHeight="1">
      <c r="A1461" s="1" t="s">
        <v>7445</v>
      </c>
      <c r="B1461" s="1" t="s">
        <v>35</v>
      </c>
      <c r="C1461" s="1">
        <v>6.9</v>
      </c>
    </row>
    <row r="1462" ht="14.25" customHeight="1">
      <c r="A1462" s="1" t="s">
        <v>7451</v>
      </c>
      <c r="B1462" s="1" t="s">
        <v>35</v>
      </c>
      <c r="C1462" s="1">
        <v>7.5</v>
      </c>
    </row>
    <row r="1463" ht="14.25" customHeight="1">
      <c r="A1463" s="1" t="s">
        <v>7455</v>
      </c>
      <c r="B1463" s="1" t="s">
        <v>35</v>
      </c>
      <c r="C1463" s="1">
        <v>6.3</v>
      </c>
    </row>
    <row r="1464" ht="14.25" customHeight="1">
      <c r="A1464" s="1" t="s">
        <v>7458</v>
      </c>
      <c r="B1464" s="1" t="s">
        <v>35</v>
      </c>
      <c r="C1464" s="1">
        <v>6.4</v>
      </c>
    </row>
    <row r="1465" ht="14.25" customHeight="1">
      <c r="A1465" s="1" t="s">
        <v>7464</v>
      </c>
      <c r="B1465" s="1" t="s">
        <v>35</v>
      </c>
      <c r="C1465" s="1">
        <v>5.9</v>
      </c>
    </row>
    <row r="1466" ht="14.25" customHeight="1">
      <c r="A1466" s="1" t="s">
        <v>7470</v>
      </c>
      <c r="B1466" s="1" t="s">
        <v>35</v>
      </c>
      <c r="C1466" s="1">
        <v>6.8</v>
      </c>
    </row>
    <row r="1467" ht="14.25" customHeight="1">
      <c r="A1467" s="1" t="s">
        <v>7476</v>
      </c>
      <c r="B1467" s="1" t="s">
        <v>35</v>
      </c>
      <c r="C1467" s="1">
        <v>6.3</v>
      </c>
    </row>
    <row r="1468" ht="14.25" customHeight="1">
      <c r="A1468" s="1" t="s">
        <v>7480</v>
      </c>
      <c r="B1468" s="1" t="s">
        <v>35</v>
      </c>
      <c r="C1468" s="1">
        <v>3.6</v>
      </c>
    </row>
    <row r="1469" ht="14.25" customHeight="1">
      <c r="A1469" s="1" t="s">
        <v>7485</v>
      </c>
      <c r="B1469" s="1" t="s">
        <v>35</v>
      </c>
      <c r="C1469" s="1">
        <v>5.3</v>
      </c>
    </row>
    <row r="1470" ht="14.25" customHeight="1">
      <c r="A1470" s="1" t="s">
        <v>7491</v>
      </c>
      <c r="B1470" s="1" t="s">
        <v>35</v>
      </c>
      <c r="C1470" s="1">
        <v>5.9</v>
      </c>
    </row>
    <row r="1471" ht="14.25" customHeight="1">
      <c r="A1471" s="1" t="s">
        <v>7494</v>
      </c>
      <c r="B1471" s="1" t="s">
        <v>35</v>
      </c>
      <c r="C1471" s="1">
        <v>6.9</v>
      </c>
    </row>
    <row r="1472" ht="14.25" customHeight="1">
      <c r="A1472" s="1" t="s">
        <v>7500</v>
      </c>
      <c r="B1472" s="1" t="s">
        <v>35</v>
      </c>
      <c r="C1472" s="1">
        <v>6.9</v>
      </c>
    </row>
    <row r="1473" ht="14.25" customHeight="1">
      <c r="A1473" s="1" t="s">
        <v>7503</v>
      </c>
      <c r="B1473" s="1" t="s">
        <v>35</v>
      </c>
      <c r="C1473" s="1">
        <v>6.1</v>
      </c>
    </row>
    <row r="1474" ht="14.25" customHeight="1">
      <c r="A1474" s="1" t="s">
        <v>7506</v>
      </c>
      <c r="B1474" s="1" t="s">
        <v>35</v>
      </c>
      <c r="C1474" s="1">
        <v>8.5</v>
      </c>
    </row>
    <row r="1475" ht="14.25" customHeight="1">
      <c r="A1475" s="1" t="s">
        <v>7510</v>
      </c>
      <c r="B1475" s="1" t="s">
        <v>35</v>
      </c>
      <c r="C1475" s="1">
        <v>6.3</v>
      </c>
    </row>
    <row r="1476" ht="14.25" customHeight="1">
      <c r="A1476" s="1" t="s">
        <v>7513</v>
      </c>
      <c r="B1476" s="1" t="s">
        <v>35</v>
      </c>
      <c r="C1476" s="1">
        <v>7.3</v>
      </c>
    </row>
    <row r="1477" ht="14.25" customHeight="1">
      <c r="A1477" s="1" t="s">
        <v>7519</v>
      </c>
      <c r="B1477" s="1" t="s">
        <v>35</v>
      </c>
      <c r="C1477" s="1">
        <v>6.3</v>
      </c>
    </row>
    <row r="1478" ht="14.25" customHeight="1">
      <c r="A1478" s="1" t="s">
        <v>7524</v>
      </c>
      <c r="B1478" s="1" t="s">
        <v>35</v>
      </c>
      <c r="C1478" s="1">
        <v>7.2</v>
      </c>
    </row>
    <row r="1479" ht="14.25" customHeight="1">
      <c r="A1479" s="1" t="s">
        <v>7527</v>
      </c>
      <c r="B1479" s="1" t="s">
        <v>35</v>
      </c>
      <c r="C1479" s="1">
        <v>7.3</v>
      </c>
    </row>
    <row r="1480" ht="14.25" customHeight="1">
      <c r="A1480" s="1" t="s">
        <v>7531</v>
      </c>
      <c r="B1480" s="1" t="s">
        <v>35</v>
      </c>
      <c r="C1480" s="1">
        <v>6.3</v>
      </c>
    </row>
    <row r="1481" ht="14.25" customHeight="1">
      <c r="A1481" s="1" t="s">
        <v>7535</v>
      </c>
      <c r="B1481" s="1" t="s">
        <v>35</v>
      </c>
      <c r="C1481" s="1">
        <v>8.1</v>
      </c>
    </row>
    <row r="1482" ht="14.25" customHeight="1">
      <c r="A1482" s="1" t="s">
        <v>7539</v>
      </c>
      <c r="B1482" s="1" t="s">
        <v>35</v>
      </c>
      <c r="C1482" s="1">
        <v>6.9</v>
      </c>
    </row>
    <row r="1483" ht="14.25" customHeight="1">
      <c r="A1483" s="1" t="s">
        <v>7544</v>
      </c>
      <c r="B1483" s="1" t="s">
        <v>35</v>
      </c>
      <c r="C1483" s="1">
        <v>6.3</v>
      </c>
    </row>
    <row r="1484" ht="14.25" customHeight="1">
      <c r="A1484" s="1" t="s">
        <v>7550</v>
      </c>
      <c r="B1484" s="1" t="s">
        <v>35</v>
      </c>
      <c r="C1484" s="1">
        <v>7.3</v>
      </c>
    </row>
    <row r="1485" ht="14.25" customHeight="1">
      <c r="A1485" s="1" t="s">
        <v>933</v>
      </c>
      <c r="B1485" s="1" t="s">
        <v>35</v>
      </c>
      <c r="C1485" s="1">
        <v>5.5</v>
      </c>
    </row>
    <row r="1486" ht="14.25" customHeight="1">
      <c r="A1486" s="1" t="s">
        <v>7555</v>
      </c>
      <c r="B1486" s="1" t="s">
        <v>35</v>
      </c>
      <c r="C1486" s="1">
        <v>6.1</v>
      </c>
    </row>
    <row r="1487" ht="14.25" customHeight="1">
      <c r="A1487" s="1" t="s">
        <v>7559</v>
      </c>
      <c r="B1487" s="1" t="s">
        <v>35</v>
      </c>
      <c r="C1487" s="1">
        <v>6.9</v>
      </c>
    </row>
    <row r="1488" ht="14.25" customHeight="1">
      <c r="A1488" s="1" t="s">
        <v>7562</v>
      </c>
      <c r="B1488" s="1" t="s">
        <v>35</v>
      </c>
      <c r="C1488" s="1">
        <v>7.2</v>
      </c>
    </row>
    <row r="1489" ht="14.25" customHeight="1">
      <c r="A1489" s="1" t="s">
        <v>7568</v>
      </c>
      <c r="B1489" s="1" t="s">
        <v>35</v>
      </c>
      <c r="C1489" s="1">
        <v>6.4</v>
      </c>
    </row>
    <row r="1490" ht="14.25" customHeight="1">
      <c r="A1490" s="1" t="s">
        <v>7573</v>
      </c>
      <c r="B1490" s="1" t="s">
        <v>35</v>
      </c>
      <c r="C1490" s="1">
        <v>6.4</v>
      </c>
    </row>
    <row r="1491" ht="14.25" customHeight="1">
      <c r="A1491" s="1" t="s">
        <v>7576</v>
      </c>
      <c r="B1491" s="1" t="s">
        <v>35</v>
      </c>
      <c r="C1491" s="1">
        <v>8.3</v>
      </c>
    </row>
    <row r="1492" ht="14.25" customHeight="1">
      <c r="A1492" s="1" t="s">
        <v>7579</v>
      </c>
      <c r="B1492" s="1" t="s">
        <v>35</v>
      </c>
      <c r="C1492" s="1">
        <v>7.2</v>
      </c>
    </row>
    <row r="1493" ht="14.25" customHeight="1">
      <c r="A1493" s="1" t="s">
        <v>7583</v>
      </c>
      <c r="B1493" s="1" t="s">
        <v>35</v>
      </c>
      <c r="C1493" s="1">
        <v>6.8</v>
      </c>
    </row>
    <row r="1494" ht="14.25" customHeight="1">
      <c r="A1494" s="1" t="s">
        <v>7589</v>
      </c>
      <c r="B1494" s="1" t="s">
        <v>35</v>
      </c>
      <c r="C1494" s="1">
        <v>6.5</v>
      </c>
    </row>
    <row r="1495" ht="14.25" customHeight="1">
      <c r="A1495" s="1" t="s">
        <v>7592</v>
      </c>
      <c r="B1495" s="1" t="s">
        <v>35</v>
      </c>
      <c r="C1495" s="1">
        <v>7.8</v>
      </c>
    </row>
    <row r="1496" ht="14.25" customHeight="1">
      <c r="A1496" s="1" t="s">
        <v>7595</v>
      </c>
      <c r="B1496" s="1" t="s">
        <v>35</v>
      </c>
      <c r="C1496" s="1">
        <v>7.6</v>
      </c>
    </row>
    <row r="1497" ht="14.25" customHeight="1">
      <c r="A1497" s="1" t="s">
        <v>7598</v>
      </c>
      <c r="B1497" s="1" t="s">
        <v>35</v>
      </c>
      <c r="C1497" s="1">
        <v>7.2</v>
      </c>
    </row>
    <row r="1498" ht="14.25" customHeight="1">
      <c r="A1498" s="1" t="s">
        <v>7601</v>
      </c>
      <c r="B1498" s="1" t="s">
        <v>35</v>
      </c>
      <c r="C1498" s="1">
        <v>6.7</v>
      </c>
    </row>
    <row r="1499" ht="14.25" customHeight="1">
      <c r="A1499" s="1" t="s">
        <v>7604</v>
      </c>
      <c r="B1499" s="1" t="s">
        <v>35</v>
      </c>
      <c r="C1499" s="1">
        <v>6.8</v>
      </c>
    </row>
    <row r="1500" ht="14.25" customHeight="1">
      <c r="A1500" s="1" t="s">
        <v>7608</v>
      </c>
      <c r="B1500" s="1" t="s">
        <v>35</v>
      </c>
      <c r="C1500" s="1">
        <v>6.3</v>
      </c>
    </row>
    <row r="1501" ht="14.25" customHeight="1">
      <c r="A1501" s="1" t="s">
        <v>7611</v>
      </c>
      <c r="B1501" s="1" t="s">
        <v>35</v>
      </c>
      <c r="C1501" s="1">
        <v>6.2</v>
      </c>
    </row>
    <row r="1502" ht="14.25" customHeight="1">
      <c r="A1502" s="1" t="s">
        <v>7615</v>
      </c>
      <c r="B1502" s="1" t="s">
        <v>35</v>
      </c>
      <c r="C1502" s="1">
        <v>6.2</v>
      </c>
    </row>
    <row r="1503" ht="14.25" customHeight="1">
      <c r="A1503" s="1" t="s">
        <v>7618</v>
      </c>
      <c r="B1503" s="1" t="s">
        <v>35</v>
      </c>
      <c r="C1503" s="1">
        <v>8.6</v>
      </c>
    </row>
    <row r="1504" ht="14.25" customHeight="1">
      <c r="A1504" s="1" t="s">
        <v>7621</v>
      </c>
      <c r="B1504" s="1" t="s">
        <v>35</v>
      </c>
      <c r="C1504" s="1">
        <v>8.0</v>
      </c>
    </row>
    <row r="1505" ht="14.25" customHeight="1">
      <c r="A1505" s="1" t="s">
        <v>7626</v>
      </c>
      <c r="B1505" s="1" t="s">
        <v>35</v>
      </c>
      <c r="C1505" s="1">
        <v>7.0</v>
      </c>
    </row>
    <row r="1506" ht="14.25" customHeight="1">
      <c r="A1506" s="1" t="s">
        <v>7630</v>
      </c>
      <c r="B1506" s="1" t="s">
        <v>35</v>
      </c>
      <c r="C1506" s="1">
        <v>8.0</v>
      </c>
    </row>
    <row r="1507" ht="14.25" customHeight="1">
      <c r="A1507" s="1" t="s">
        <v>7635</v>
      </c>
      <c r="B1507" s="1" t="s">
        <v>35</v>
      </c>
      <c r="C1507" s="1">
        <v>8.1</v>
      </c>
    </row>
    <row r="1508" ht="14.25" customHeight="1">
      <c r="A1508" s="1" t="s">
        <v>7639</v>
      </c>
      <c r="B1508" s="1" t="s">
        <v>35</v>
      </c>
      <c r="C1508" s="1">
        <v>6.7</v>
      </c>
    </row>
    <row r="1509" ht="14.25" customHeight="1">
      <c r="A1509" s="1" t="s">
        <v>7642</v>
      </c>
      <c r="B1509" s="1" t="s">
        <v>35</v>
      </c>
      <c r="C1509" s="1">
        <v>7.9</v>
      </c>
    </row>
    <row r="1510" ht="14.25" customHeight="1">
      <c r="A1510" s="1" t="s">
        <v>7645</v>
      </c>
      <c r="B1510" s="1" t="s">
        <v>35</v>
      </c>
      <c r="C1510" s="1">
        <v>6.1</v>
      </c>
    </row>
    <row r="1511" ht="14.25" customHeight="1">
      <c r="A1511" s="1" t="s">
        <v>7650</v>
      </c>
      <c r="B1511" s="1" t="s">
        <v>35</v>
      </c>
      <c r="C1511" s="1">
        <v>4.2</v>
      </c>
    </row>
    <row r="1512" ht="14.25" customHeight="1">
      <c r="A1512" s="1" t="s">
        <v>7655</v>
      </c>
      <c r="B1512" s="1" t="s">
        <v>35</v>
      </c>
      <c r="C1512" s="1">
        <v>6.1</v>
      </c>
    </row>
    <row r="1513" ht="14.25" customHeight="1">
      <c r="A1513" s="1" t="s">
        <v>7659</v>
      </c>
      <c r="B1513" s="1" t="s">
        <v>35</v>
      </c>
      <c r="C1513" s="1">
        <v>6.6</v>
      </c>
    </row>
    <row r="1514" ht="14.25" customHeight="1">
      <c r="A1514" s="1" t="s">
        <v>7663</v>
      </c>
      <c r="B1514" s="1" t="s">
        <v>35</v>
      </c>
      <c r="C1514" s="1">
        <v>7.5</v>
      </c>
    </row>
    <row r="1515" ht="14.25" customHeight="1">
      <c r="A1515" s="1" t="s">
        <v>7667</v>
      </c>
      <c r="B1515" s="1" t="s">
        <v>35</v>
      </c>
      <c r="C1515" s="1">
        <v>7.4</v>
      </c>
    </row>
    <row r="1516" ht="14.25" customHeight="1">
      <c r="A1516" s="1" t="s">
        <v>7672</v>
      </c>
      <c r="B1516" s="1" t="s">
        <v>35</v>
      </c>
      <c r="C1516" s="1">
        <v>7.2</v>
      </c>
    </row>
    <row r="1517" ht="14.25" customHeight="1">
      <c r="A1517" s="1" t="s">
        <v>7678</v>
      </c>
      <c r="B1517" s="1" t="s">
        <v>35</v>
      </c>
      <c r="C1517" s="1">
        <v>6.9</v>
      </c>
    </row>
    <row r="1518" ht="14.25" customHeight="1">
      <c r="A1518" s="1" t="s">
        <v>7686</v>
      </c>
      <c r="B1518" s="1" t="s">
        <v>35</v>
      </c>
      <c r="C1518" s="1">
        <v>7.4</v>
      </c>
    </row>
    <row r="1519" ht="14.25" customHeight="1">
      <c r="A1519" s="1" t="s">
        <v>7690</v>
      </c>
      <c r="B1519" s="1" t="s">
        <v>35</v>
      </c>
      <c r="C1519" s="1">
        <v>5.4</v>
      </c>
    </row>
    <row r="1520" ht="14.25" customHeight="1">
      <c r="A1520" s="1" t="s">
        <v>7694</v>
      </c>
      <c r="B1520" s="1" t="s">
        <v>35</v>
      </c>
      <c r="C1520" s="1">
        <v>6.8</v>
      </c>
    </row>
    <row r="1521" ht="14.25" customHeight="1">
      <c r="A1521" s="1" t="s">
        <v>7698</v>
      </c>
      <c r="B1521" s="1" t="s">
        <v>35</v>
      </c>
      <c r="C1521" s="1">
        <v>6.3</v>
      </c>
    </row>
    <row r="1522" ht="14.25" customHeight="1">
      <c r="A1522" s="1" t="s">
        <v>7702</v>
      </c>
      <c r="B1522" s="1" t="s">
        <v>35</v>
      </c>
      <c r="C1522" s="1">
        <v>7.2</v>
      </c>
    </row>
    <row r="1523" ht="14.25" customHeight="1">
      <c r="A1523" s="1" t="s">
        <v>7706</v>
      </c>
      <c r="B1523" s="1" t="s">
        <v>35</v>
      </c>
      <c r="C1523" s="1">
        <v>6.9</v>
      </c>
    </row>
    <row r="1524" ht="14.25" customHeight="1">
      <c r="A1524" s="1" t="s">
        <v>7712</v>
      </c>
      <c r="B1524" s="1" t="s">
        <v>35</v>
      </c>
      <c r="C1524" s="1">
        <v>6.0</v>
      </c>
    </row>
    <row r="1525" ht="14.25" customHeight="1">
      <c r="A1525" s="1" t="s">
        <v>7716</v>
      </c>
      <c r="B1525" s="1" t="s">
        <v>35</v>
      </c>
      <c r="C1525" s="1">
        <v>5.9</v>
      </c>
    </row>
    <row r="1526" ht="14.25" customHeight="1">
      <c r="A1526" s="1" t="s">
        <v>7720</v>
      </c>
      <c r="B1526" s="1" t="s">
        <v>35</v>
      </c>
      <c r="C1526" s="1">
        <v>5.4</v>
      </c>
    </row>
    <row r="1527" ht="14.25" customHeight="1">
      <c r="A1527" s="1" t="s">
        <v>7723</v>
      </c>
      <c r="B1527" s="1" t="s">
        <v>35</v>
      </c>
      <c r="C1527" s="1">
        <v>5.9</v>
      </c>
    </row>
    <row r="1528" ht="14.25" customHeight="1">
      <c r="A1528" s="1" t="s">
        <v>7729</v>
      </c>
      <c r="B1528" s="1" t="s">
        <v>35</v>
      </c>
      <c r="C1528" s="1">
        <v>6.1</v>
      </c>
    </row>
    <row r="1529" ht="14.25" customHeight="1">
      <c r="A1529" s="1" t="s">
        <v>7733</v>
      </c>
      <c r="B1529" s="1" t="s">
        <v>35</v>
      </c>
      <c r="C1529" s="1">
        <v>7.7</v>
      </c>
    </row>
    <row r="1530" ht="14.25" customHeight="1">
      <c r="A1530" s="1" t="s">
        <v>7739</v>
      </c>
      <c r="B1530" s="1" t="s">
        <v>35</v>
      </c>
      <c r="C1530" s="1">
        <v>5.8</v>
      </c>
    </row>
    <row r="1531" ht="14.25" customHeight="1">
      <c r="A1531" s="1" t="s">
        <v>7743</v>
      </c>
      <c r="B1531" s="1" t="s">
        <v>35</v>
      </c>
      <c r="C1531" s="1">
        <v>7.6</v>
      </c>
    </row>
    <row r="1532" ht="14.25" customHeight="1">
      <c r="A1532" s="1" t="s">
        <v>7746</v>
      </c>
      <c r="B1532" s="1" t="s">
        <v>35</v>
      </c>
      <c r="C1532" s="1">
        <v>6.1</v>
      </c>
    </row>
    <row r="1533" ht="14.25" customHeight="1">
      <c r="A1533" s="1" t="s">
        <v>7752</v>
      </c>
      <c r="B1533" s="1" t="s">
        <v>35</v>
      </c>
      <c r="C1533" s="1">
        <v>5.4</v>
      </c>
    </row>
    <row r="1534" ht="14.25" customHeight="1">
      <c r="A1534" s="1" t="s">
        <v>7755</v>
      </c>
      <c r="B1534" s="1" t="s">
        <v>35</v>
      </c>
      <c r="C1534" s="1">
        <v>5.1</v>
      </c>
    </row>
    <row r="1535" ht="14.25" customHeight="1">
      <c r="A1535" s="1" t="s">
        <v>7761</v>
      </c>
      <c r="B1535" s="1" t="s">
        <v>35</v>
      </c>
      <c r="C1535" s="1">
        <v>6.4</v>
      </c>
    </row>
    <row r="1536" ht="14.25" customHeight="1">
      <c r="A1536" s="1" t="s">
        <v>7765</v>
      </c>
      <c r="B1536" s="1" t="s">
        <v>35</v>
      </c>
      <c r="C1536" s="1">
        <v>6.3</v>
      </c>
    </row>
    <row r="1537" ht="14.25" customHeight="1">
      <c r="A1537" s="1" t="s">
        <v>7771</v>
      </c>
      <c r="B1537" s="1" t="s">
        <v>35</v>
      </c>
      <c r="C1537" s="1">
        <v>7.5</v>
      </c>
    </row>
    <row r="1538" ht="14.25" customHeight="1">
      <c r="A1538" s="1" t="s">
        <v>7778</v>
      </c>
      <c r="B1538" s="1" t="s">
        <v>35</v>
      </c>
      <c r="C1538" s="1">
        <v>7.1</v>
      </c>
    </row>
    <row r="1539" ht="14.25" customHeight="1">
      <c r="A1539" s="1" t="s">
        <v>7782</v>
      </c>
      <c r="B1539" s="1" t="s">
        <v>35</v>
      </c>
      <c r="C1539" s="1">
        <v>7.8</v>
      </c>
    </row>
    <row r="1540" ht="14.25" customHeight="1">
      <c r="A1540" s="1" t="s">
        <v>7787</v>
      </c>
      <c r="B1540" s="1" t="s">
        <v>35</v>
      </c>
      <c r="C1540" s="1">
        <v>6.5</v>
      </c>
    </row>
    <row r="1541" ht="14.25" customHeight="1">
      <c r="A1541" s="1" t="s">
        <v>7792</v>
      </c>
      <c r="B1541" s="1" t="s">
        <v>35</v>
      </c>
      <c r="C1541" s="1">
        <v>6.6</v>
      </c>
    </row>
    <row r="1542" ht="14.25" customHeight="1">
      <c r="A1542" s="1" t="s">
        <v>7797</v>
      </c>
      <c r="B1542" s="1" t="s">
        <v>35</v>
      </c>
      <c r="C1542" s="1">
        <v>7.4</v>
      </c>
    </row>
    <row r="1543" ht="14.25" customHeight="1">
      <c r="A1543" s="1" t="s">
        <v>7801</v>
      </c>
      <c r="B1543" s="1" t="s">
        <v>35</v>
      </c>
      <c r="C1543" s="1">
        <v>7.6</v>
      </c>
    </row>
    <row r="1544" ht="14.25" customHeight="1">
      <c r="A1544" s="1" t="s">
        <v>7806</v>
      </c>
      <c r="B1544" s="1" t="s">
        <v>35</v>
      </c>
      <c r="C1544" s="1">
        <v>7.5</v>
      </c>
    </row>
    <row r="1545" ht="14.25" customHeight="1">
      <c r="A1545" s="1" t="s">
        <v>7810</v>
      </c>
      <c r="B1545" s="1" t="s">
        <v>35</v>
      </c>
      <c r="C1545" s="1">
        <v>6.6</v>
      </c>
    </row>
    <row r="1546" ht="14.25" customHeight="1">
      <c r="A1546" s="1" t="s">
        <v>7814</v>
      </c>
      <c r="B1546" s="1" t="s">
        <v>35</v>
      </c>
      <c r="C1546" s="1">
        <v>7.2</v>
      </c>
    </row>
    <row r="1547" ht="14.25" customHeight="1">
      <c r="A1547" s="1" t="s">
        <v>7818</v>
      </c>
      <c r="B1547" s="1" t="s">
        <v>35</v>
      </c>
      <c r="C1547" s="1">
        <v>7.6</v>
      </c>
    </row>
    <row r="1548" ht="14.25" customHeight="1">
      <c r="A1548" s="1" t="s">
        <v>7822</v>
      </c>
      <c r="B1548" s="1" t="s">
        <v>35</v>
      </c>
      <c r="C1548" s="1">
        <v>6.2</v>
      </c>
    </row>
    <row r="1549" ht="14.25" customHeight="1">
      <c r="A1549" s="1" t="s">
        <v>7826</v>
      </c>
      <c r="B1549" s="1" t="s">
        <v>35</v>
      </c>
      <c r="C1549" s="1">
        <v>5.6</v>
      </c>
    </row>
    <row r="1550" ht="14.25" customHeight="1">
      <c r="A1550" s="1" t="s">
        <v>7830</v>
      </c>
      <c r="B1550" s="1" t="s">
        <v>35</v>
      </c>
      <c r="C1550" s="1">
        <v>7.6</v>
      </c>
    </row>
    <row r="1551" ht="14.25" customHeight="1">
      <c r="A1551" s="1" t="s">
        <v>7835</v>
      </c>
      <c r="B1551" s="1" t="s">
        <v>35</v>
      </c>
      <c r="C1551" s="1">
        <v>6.6</v>
      </c>
    </row>
    <row r="1552" ht="14.25" customHeight="1">
      <c r="A1552" s="1" t="s">
        <v>7841</v>
      </c>
      <c r="B1552" s="1" t="s">
        <v>35</v>
      </c>
      <c r="C1552" s="1">
        <v>7.0</v>
      </c>
    </row>
    <row r="1553" ht="14.25" customHeight="1">
      <c r="A1553" s="1" t="s">
        <v>7845</v>
      </c>
      <c r="B1553" s="1" t="s">
        <v>35</v>
      </c>
      <c r="C1553" s="1">
        <v>2.7</v>
      </c>
    </row>
    <row r="1554" ht="14.25" customHeight="1">
      <c r="A1554" s="1" t="s">
        <v>7849</v>
      </c>
      <c r="B1554" s="1" t="s">
        <v>35</v>
      </c>
      <c r="C1554" s="1">
        <v>7.6</v>
      </c>
    </row>
    <row r="1555" ht="14.25" customHeight="1">
      <c r="A1555" s="1" t="s">
        <v>7853</v>
      </c>
      <c r="B1555" s="1" t="s">
        <v>35</v>
      </c>
      <c r="C1555" s="1">
        <v>6.6</v>
      </c>
    </row>
    <row r="1556" ht="14.25" customHeight="1">
      <c r="A1556" s="1" t="s">
        <v>7858</v>
      </c>
      <c r="B1556" s="1" t="s">
        <v>35</v>
      </c>
      <c r="C1556" s="1">
        <v>6.9</v>
      </c>
    </row>
    <row r="1557" ht="14.25" customHeight="1">
      <c r="A1557" s="1" t="s">
        <v>7863</v>
      </c>
      <c r="B1557" s="1" t="s">
        <v>35</v>
      </c>
      <c r="C1557" s="1">
        <v>6.8</v>
      </c>
    </row>
    <row r="1558" ht="14.25" customHeight="1">
      <c r="A1558" s="1" t="s">
        <v>7870</v>
      </c>
      <c r="B1558" s="1" t="s">
        <v>35</v>
      </c>
      <c r="C1558" s="1">
        <v>3.7</v>
      </c>
    </row>
    <row r="1559" ht="14.25" customHeight="1">
      <c r="A1559" s="1" t="s">
        <v>7873</v>
      </c>
      <c r="B1559" s="1" t="s">
        <v>35</v>
      </c>
      <c r="C1559" s="1">
        <v>6.1</v>
      </c>
    </row>
    <row r="1560" ht="14.25" customHeight="1">
      <c r="A1560" s="1" t="s">
        <v>7877</v>
      </c>
      <c r="B1560" s="1" t="s">
        <v>35</v>
      </c>
      <c r="C1560" s="1">
        <v>5.9</v>
      </c>
    </row>
    <row r="1561" ht="14.25" customHeight="1">
      <c r="A1561" s="1" t="s">
        <v>7881</v>
      </c>
      <c r="B1561" s="1" t="s">
        <v>35</v>
      </c>
      <c r="C1561" s="1">
        <v>6.7</v>
      </c>
    </row>
    <row r="1562" ht="14.25" customHeight="1">
      <c r="A1562" s="1" t="s">
        <v>7887</v>
      </c>
      <c r="B1562" s="1" t="s">
        <v>35</v>
      </c>
      <c r="C1562" s="1">
        <v>6.9</v>
      </c>
    </row>
    <row r="1563" ht="14.25" customHeight="1">
      <c r="A1563" s="1" t="s">
        <v>7892</v>
      </c>
      <c r="B1563" s="1" t="s">
        <v>35</v>
      </c>
      <c r="C1563" s="1">
        <v>5.5</v>
      </c>
    </row>
    <row r="1564" ht="14.25" customHeight="1">
      <c r="A1564" s="1">
        <v>9.0</v>
      </c>
      <c r="B1564" s="1" t="s">
        <v>35</v>
      </c>
      <c r="C1564" s="1">
        <v>7.1</v>
      </c>
    </row>
    <row r="1565" ht="14.25" customHeight="1">
      <c r="A1565" s="1" t="s">
        <v>7901</v>
      </c>
      <c r="B1565" s="1" t="s">
        <v>35</v>
      </c>
      <c r="C1565" s="1">
        <v>7.1</v>
      </c>
    </row>
    <row r="1566" ht="14.25" customHeight="1">
      <c r="A1566" s="1" t="s">
        <v>7906</v>
      </c>
      <c r="B1566" s="1" t="s">
        <v>35</v>
      </c>
      <c r="C1566" s="1">
        <v>7.3</v>
      </c>
    </row>
    <row r="1567" ht="14.25" customHeight="1">
      <c r="A1567" s="1" t="s">
        <v>7912</v>
      </c>
      <c r="B1567" s="1" t="s">
        <v>35</v>
      </c>
      <c r="C1567" s="1">
        <v>3.4</v>
      </c>
    </row>
    <row r="1568" ht="14.25" customHeight="1">
      <c r="A1568" s="1" t="s">
        <v>7917</v>
      </c>
      <c r="B1568" s="1" t="s">
        <v>35</v>
      </c>
      <c r="C1568" s="1">
        <v>6.8</v>
      </c>
    </row>
    <row r="1569" ht="14.25" customHeight="1">
      <c r="A1569" s="1" t="s">
        <v>7922</v>
      </c>
      <c r="B1569" s="1" t="s">
        <v>35</v>
      </c>
      <c r="C1569" s="1">
        <v>6.9</v>
      </c>
    </row>
    <row r="1570" ht="14.25" customHeight="1">
      <c r="A1570" s="1" t="s">
        <v>7928</v>
      </c>
      <c r="B1570" s="1" t="s">
        <v>35</v>
      </c>
      <c r="C1570" s="1">
        <v>7.0</v>
      </c>
    </row>
    <row r="1571" ht="14.25" customHeight="1">
      <c r="A1571" s="1" t="s">
        <v>7932</v>
      </c>
      <c r="B1571" s="1" t="s">
        <v>35</v>
      </c>
      <c r="C1571" s="1">
        <v>5.5</v>
      </c>
    </row>
    <row r="1572" ht="14.25" customHeight="1">
      <c r="A1572" s="1" t="s">
        <v>7935</v>
      </c>
      <c r="B1572" s="1" t="s">
        <v>35</v>
      </c>
      <c r="C1572" s="1">
        <v>5.1</v>
      </c>
    </row>
    <row r="1573" ht="14.25" customHeight="1">
      <c r="A1573" s="1" t="s">
        <v>7938</v>
      </c>
      <c r="B1573" s="1" t="s">
        <v>35</v>
      </c>
      <c r="C1573" s="1">
        <v>6.2</v>
      </c>
    </row>
    <row r="1574" ht="14.25" customHeight="1">
      <c r="A1574" s="1" t="s">
        <v>7942</v>
      </c>
      <c r="B1574" s="1" t="s">
        <v>35</v>
      </c>
      <c r="C1574" s="1">
        <v>5.9</v>
      </c>
    </row>
    <row r="1575" ht="14.25" customHeight="1">
      <c r="A1575" s="1" t="s">
        <v>7947</v>
      </c>
      <c r="B1575" s="1" t="s">
        <v>35</v>
      </c>
      <c r="C1575" s="1">
        <v>5.2</v>
      </c>
    </row>
    <row r="1576" ht="14.25" customHeight="1">
      <c r="A1576" s="1" t="s">
        <v>7951</v>
      </c>
      <c r="B1576" s="1" t="s">
        <v>35</v>
      </c>
      <c r="C1576" s="1">
        <v>6.2</v>
      </c>
    </row>
    <row r="1577" ht="14.25" customHeight="1">
      <c r="A1577" s="1" t="s">
        <v>7956</v>
      </c>
      <c r="B1577" s="1" t="s">
        <v>35</v>
      </c>
      <c r="C1577" s="1">
        <v>5.5</v>
      </c>
    </row>
    <row r="1578" ht="14.25" customHeight="1">
      <c r="A1578" s="1" t="s">
        <v>7960</v>
      </c>
      <c r="B1578" s="1" t="s">
        <v>35</v>
      </c>
      <c r="C1578" s="1">
        <v>7.4</v>
      </c>
    </row>
    <row r="1579" ht="14.25" customHeight="1">
      <c r="A1579" s="1" t="s">
        <v>7966</v>
      </c>
      <c r="B1579" s="1" t="s">
        <v>35</v>
      </c>
      <c r="C1579" s="1">
        <v>4.4</v>
      </c>
    </row>
    <row r="1580" ht="14.25" customHeight="1">
      <c r="A1580" s="1" t="s">
        <v>7971</v>
      </c>
      <c r="B1580" s="1" t="s">
        <v>35</v>
      </c>
      <c r="C1580" s="1">
        <v>6.3</v>
      </c>
    </row>
    <row r="1581" ht="14.25" customHeight="1">
      <c r="A1581" s="1" t="s">
        <v>7976</v>
      </c>
      <c r="B1581" s="1" t="s">
        <v>35</v>
      </c>
      <c r="C1581" s="1">
        <v>6.1</v>
      </c>
    </row>
    <row r="1582" ht="14.25" customHeight="1">
      <c r="A1582" s="1" t="s">
        <v>7980</v>
      </c>
      <c r="B1582" s="1" t="s">
        <v>35</v>
      </c>
      <c r="C1582" s="1">
        <v>5.3</v>
      </c>
    </row>
    <row r="1583" ht="14.25" customHeight="1">
      <c r="A1583" s="1" t="s">
        <v>7986</v>
      </c>
      <c r="B1583" s="1" t="s">
        <v>35</v>
      </c>
      <c r="C1583" s="1">
        <v>5.4</v>
      </c>
    </row>
    <row r="1584" ht="14.25" customHeight="1">
      <c r="A1584" s="1" t="s">
        <v>7991</v>
      </c>
      <c r="B1584" s="1" t="s">
        <v>35</v>
      </c>
      <c r="C1584" s="1">
        <v>6.7</v>
      </c>
    </row>
    <row r="1585" ht="14.25" customHeight="1">
      <c r="A1585" s="1" t="s">
        <v>7994</v>
      </c>
      <c r="B1585" s="1" t="s">
        <v>35</v>
      </c>
      <c r="C1585" s="1">
        <v>5.9</v>
      </c>
    </row>
    <row r="1586" ht="14.25" customHeight="1">
      <c r="A1586" s="1" t="s">
        <v>7998</v>
      </c>
      <c r="B1586" s="1" t="s">
        <v>35</v>
      </c>
      <c r="C1586" s="1">
        <v>7.3</v>
      </c>
    </row>
    <row r="1587" ht="14.25" customHeight="1">
      <c r="A1587" s="1" t="s">
        <v>8001</v>
      </c>
      <c r="B1587" s="1" t="s">
        <v>35</v>
      </c>
      <c r="C1587" s="1">
        <v>5.5</v>
      </c>
    </row>
    <row r="1588" ht="14.25" customHeight="1">
      <c r="A1588" s="1" t="s">
        <v>8005</v>
      </c>
      <c r="B1588" s="1" t="s">
        <v>35</v>
      </c>
      <c r="C1588" s="1">
        <v>5.8</v>
      </c>
    </row>
    <row r="1589" ht="14.25" customHeight="1">
      <c r="A1589" s="1" t="s">
        <v>8012</v>
      </c>
      <c r="B1589" s="1" t="s">
        <v>35</v>
      </c>
      <c r="C1589" s="1">
        <v>4.6</v>
      </c>
    </row>
    <row r="1590" ht="14.25" customHeight="1">
      <c r="A1590" s="1" t="s">
        <v>8017</v>
      </c>
      <c r="B1590" s="1" t="s">
        <v>35</v>
      </c>
      <c r="C1590" s="1">
        <v>6.7</v>
      </c>
    </row>
    <row r="1591" ht="14.25" customHeight="1">
      <c r="A1591" s="1" t="s">
        <v>8021</v>
      </c>
      <c r="B1591" s="1" t="s">
        <v>35</v>
      </c>
      <c r="C1591" s="1">
        <v>5.1</v>
      </c>
    </row>
    <row r="1592" ht="14.25" customHeight="1">
      <c r="A1592" s="1" t="s">
        <v>8026</v>
      </c>
      <c r="B1592" s="1" t="s">
        <v>35</v>
      </c>
      <c r="C1592" s="1">
        <v>5.6</v>
      </c>
    </row>
    <row r="1593" ht="14.25" customHeight="1">
      <c r="A1593" s="1" t="s">
        <v>8031</v>
      </c>
      <c r="B1593" s="1" t="s">
        <v>35</v>
      </c>
      <c r="C1593" s="1">
        <v>7.0</v>
      </c>
    </row>
    <row r="1594" ht="14.25" customHeight="1">
      <c r="A1594" s="1" t="s">
        <v>8038</v>
      </c>
      <c r="B1594" s="1" t="s">
        <v>35</v>
      </c>
      <c r="C1594" s="1">
        <v>6.4</v>
      </c>
    </row>
    <row r="1595" ht="14.25" customHeight="1">
      <c r="A1595" s="1" t="s">
        <v>8044</v>
      </c>
      <c r="B1595" s="1" t="s">
        <v>35</v>
      </c>
      <c r="C1595" s="1">
        <v>6.7</v>
      </c>
    </row>
    <row r="1596" ht="14.25" customHeight="1">
      <c r="A1596" s="1" t="s">
        <v>8049</v>
      </c>
      <c r="B1596" s="1" t="s">
        <v>35</v>
      </c>
      <c r="C1596" s="1">
        <v>4.1</v>
      </c>
    </row>
    <row r="1597" ht="14.25" customHeight="1">
      <c r="A1597" s="1" t="s">
        <v>8052</v>
      </c>
      <c r="B1597" s="1" t="s">
        <v>35</v>
      </c>
      <c r="C1597" s="1">
        <v>5.5</v>
      </c>
    </row>
    <row r="1598" ht="14.25" customHeight="1">
      <c r="A1598" s="1" t="s">
        <v>8055</v>
      </c>
      <c r="B1598" s="1" t="s">
        <v>35</v>
      </c>
      <c r="C1598" s="1">
        <v>2.7</v>
      </c>
    </row>
    <row r="1599" ht="14.25" customHeight="1">
      <c r="A1599" s="1" t="s">
        <v>8060</v>
      </c>
      <c r="B1599" s="1" t="s">
        <v>35</v>
      </c>
      <c r="C1599" s="1">
        <v>6.4</v>
      </c>
    </row>
    <row r="1600" ht="14.25" customHeight="1">
      <c r="A1600" s="1" t="s">
        <v>8067</v>
      </c>
      <c r="B1600" s="1" t="s">
        <v>35</v>
      </c>
      <c r="C1600" s="1">
        <v>4.8</v>
      </c>
    </row>
    <row r="1601" ht="14.25" customHeight="1">
      <c r="A1601" s="1" t="s">
        <v>8072</v>
      </c>
      <c r="B1601" s="1" t="s">
        <v>35</v>
      </c>
      <c r="C1601" s="1">
        <v>6.1</v>
      </c>
    </row>
    <row r="1602" ht="14.25" customHeight="1">
      <c r="A1602" s="1" t="s">
        <v>8078</v>
      </c>
      <c r="B1602" s="1" t="s">
        <v>35</v>
      </c>
      <c r="C1602" s="1">
        <v>4.8</v>
      </c>
    </row>
    <row r="1603" ht="14.25" customHeight="1">
      <c r="A1603" s="1" t="s">
        <v>8082</v>
      </c>
      <c r="B1603" s="1" t="s">
        <v>35</v>
      </c>
      <c r="C1603" s="1">
        <v>7.0</v>
      </c>
    </row>
    <row r="1604" ht="14.25" customHeight="1">
      <c r="A1604" s="1" t="s">
        <v>8086</v>
      </c>
      <c r="B1604" s="1" t="s">
        <v>35</v>
      </c>
      <c r="C1604" s="1">
        <v>6.8</v>
      </c>
    </row>
    <row r="1605" ht="14.25" customHeight="1">
      <c r="A1605" s="1" t="s">
        <v>8090</v>
      </c>
      <c r="B1605" s="1" t="s">
        <v>35</v>
      </c>
      <c r="C1605" s="1">
        <v>5.6</v>
      </c>
    </row>
    <row r="1606" ht="14.25" customHeight="1">
      <c r="A1606" s="1" t="s">
        <v>8093</v>
      </c>
      <c r="B1606" s="1" t="s">
        <v>35</v>
      </c>
      <c r="C1606" s="1">
        <v>6.1</v>
      </c>
    </row>
    <row r="1607" ht="14.25" customHeight="1">
      <c r="A1607" s="1" t="s">
        <v>8098</v>
      </c>
      <c r="B1607" s="1" t="s">
        <v>35</v>
      </c>
      <c r="C1607" s="1">
        <v>7.9</v>
      </c>
    </row>
    <row r="1608" ht="14.25" customHeight="1">
      <c r="A1608" s="1" t="s">
        <v>8102</v>
      </c>
      <c r="B1608" s="1" t="s">
        <v>35</v>
      </c>
      <c r="C1608" s="1">
        <v>8.4</v>
      </c>
    </row>
    <row r="1609" ht="14.25" customHeight="1">
      <c r="A1609" s="1" t="s">
        <v>8107</v>
      </c>
      <c r="B1609" s="1" t="s">
        <v>35</v>
      </c>
      <c r="C1609" s="1">
        <v>6.5</v>
      </c>
    </row>
    <row r="1610" ht="14.25" customHeight="1">
      <c r="A1610" s="1" t="s">
        <v>8112</v>
      </c>
      <c r="B1610" s="1" t="s">
        <v>35</v>
      </c>
      <c r="C1610" s="1">
        <v>7.1</v>
      </c>
    </row>
    <row r="1611" ht="14.25" customHeight="1">
      <c r="A1611" s="1" t="s">
        <v>8115</v>
      </c>
      <c r="B1611" s="1" t="s">
        <v>35</v>
      </c>
      <c r="C1611" s="1">
        <v>6.6</v>
      </c>
    </row>
    <row r="1612" ht="14.25" customHeight="1">
      <c r="A1612" s="1" t="s">
        <v>8120</v>
      </c>
      <c r="B1612" s="1" t="s">
        <v>35</v>
      </c>
      <c r="C1612" s="1">
        <v>7.0</v>
      </c>
    </row>
    <row r="1613" ht="14.25" customHeight="1">
      <c r="A1613" s="1" t="s">
        <v>8126</v>
      </c>
      <c r="B1613" s="1" t="s">
        <v>1864</v>
      </c>
      <c r="C1613" s="1">
        <v>5.6</v>
      </c>
    </row>
    <row r="1614" ht="14.25" customHeight="1">
      <c r="A1614" s="1" t="s">
        <v>8132</v>
      </c>
      <c r="B1614" s="1" t="s">
        <v>35</v>
      </c>
      <c r="C1614" s="1">
        <v>4.8</v>
      </c>
    </row>
    <row r="1615" ht="14.25" customHeight="1">
      <c r="A1615" s="1" t="s">
        <v>8138</v>
      </c>
      <c r="B1615" s="1" t="s">
        <v>35</v>
      </c>
      <c r="C1615" s="1">
        <v>7.5</v>
      </c>
    </row>
    <row r="1616" ht="14.25" customHeight="1">
      <c r="A1616" s="1">
        <v>1911.0</v>
      </c>
      <c r="B1616" s="1" t="s">
        <v>1864</v>
      </c>
      <c r="C1616" s="1">
        <v>6.0</v>
      </c>
    </row>
    <row r="1617" ht="14.25" customHeight="1">
      <c r="A1617" s="1" t="s">
        <v>8146</v>
      </c>
      <c r="B1617" s="1" t="s">
        <v>35</v>
      </c>
      <c r="C1617" s="1">
        <v>6.8</v>
      </c>
    </row>
    <row r="1618" ht="14.25" customHeight="1">
      <c r="A1618" s="1" t="s">
        <v>8152</v>
      </c>
      <c r="B1618" s="1" t="s">
        <v>35</v>
      </c>
      <c r="C1618" s="1">
        <v>6.5</v>
      </c>
    </row>
    <row r="1619" ht="14.25" customHeight="1">
      <c r="A1619" s="1" t="s">
        <v>8157</v>
      </c>
      <c r="B1619" s="1" t="s">
        <v>35</v>
      </c>
      <c r="C1619" s="1">
        <v>7.9</v>
      </c>
    </row>
    <row r="1620" ht="14.25" customHeight="1">
      <c r="A1620" s="1" t="s">
        <v>8164</v>
      </c>
      <c r="B1620" s="1" t="s">
        <v>35</v>
      </c>
      <c r="C1620" s="1">
        <v>6.4</v>
      </c>
    </row>
    <row r="1621" ht="14.25" customHeight="1">
      <c r="A1621" s="1" t="s">
        <v>8167</v>
      </c>
      <c r="B1621" s="1" t="s">
        <v>35</v>
      </c>
      <c r="C1621" s="1">
        <v>5.8</v>
      </c>
    </row>
    <row r="1622" ht="14.25" customHeight="1">
      <c r="A1622" s="1" t="s">
        <v>8172</v>
      </c>
      <c r="B1622" s="1" t="s">
        <v>35</v>
      </c>
      <c r="C1622" s="1">
        <v>7.7</v>
      </c>
    </row>
    <row r="1623" ht="14.25" customHeight="1">
      <c r="A1623" s="1" t="s">
        <v>8175</v>
      </c>
      <c r="B1623" s="1" t="s">
        <v>35</v>
      </c>
      <c r="C1623" s="1">
        <v>5.3</v>
      </c>
    </row>
    <row r="1624" ht="14.25" customHeight="1">
      <c r="A1624" s="1" t="s">
        <v>8179</v>
      </c>
      <c r="B1624" s="1" t="s">
        <v>35</v>
      </c>
      <c r="C1624" s="1">
        <v>5.3</v>
      </c>
    </row>
    <row r="1625" ht="14.25" customHeight="1">
      <c r="A1625" s="1" t="s">
        <v>8183</v>
      </c>
      <c r="B1625" s="1" t="s">
        <v>35</v>
      </c>
      <c r="C1625" s="1">
        <v>7.5</v>
      </c>
    </row>
    <row r="1626" ht="14.25" customHeight="1">
      <c r="A1626" s="1" t="s">
        <v>8186</v>
      </c>
      <c r="B1626" s="1" t="s">
        <v>35</v>
      </c>
      <c r="C1626" s="1">
        <v>6.9</v>
      </c>
    </row>
    <row r="1627" ht="14.25" customHeight="1">
      <c r="A1627" s="1" t="s">
        <v>8190</v>
      </c>
      <c r="B1627" s="1" t="s">
        <v>35</v>
      </c>
      <c r="C1627" s="1">
        <v>4.9</v>
      </c>
    </row>
    <row r="1628" ht="14.25" customHeight="1">
      <c r="A1628" s="1" t="s">
        <v>8196</v>
      </c>
      <c r="B1628" s="1" t="s">
        <v>35</v>
      </c>
      <c r="C1628" s="1">
        <v>7.1</v>
      </c>
    </row>
    <row r="1629" ht="14.25" customHeight="1">
      <c r="A1629" s="1" t="s">
        <v>8201</v>
      </c>
      <c r="B1629" s="1" t="s">
        <v>35</v>
      </c>
      <c r="C1629" s="1">
        <v>8.0</v>
      </c>
    </row>
    <row r="1630" ht="14.25" customHeight="1">
      <c r="A1630" s="1" t="s">
        <v>8205</v>
      </c>
      <c r="B1630" s="1" t="s">
        <v>35</v>
      </c>
      <c r="C1630" s="1">
        <v>7.9</v>
      </c>
    </row>
    <row r="1631" ht="14.25" customHeight="1">
      <c r="A1631" s="1" t="s">
        <v>8211</v>
      </c>
      <c r="B1631" s="1" t="s">
        <v>35</v>
      </c>
      <c r="C1631" s="1">
        <v>7.6</v>
      </c>
    </row>
    <row r="1632" ht="14.25" customHeight="1">
      <c r="A1632" s="1" t="s">
        <v>8216</v>
      </c>
      <c r="B1632" s="1" t="s">
        <v>35</v>
      </c>
      <c r="C1632" s="1">
        <v>5.9</v>
      </c>
    </row>
    <row r="1633" ht="14.25" customHeight="1">
      <c r="A1633" s="1" t="s">
        <v>8220</v>
      </c>
      <c r="B1633" s="1" t="s">
        <v>35</v>
      </c>
      <c r="C1633" s="1">
        <v>6.3</v>
      </c>
    </row>
    <row r="1634" ht="14.25" customHeight="1">
      <c r="A1634" s="1" t="s">
        <v>8223</v>
      </c>
      <c r="B1634" s="1" t="s">
        <v>35</v>
      </c>
      <c r="C1634" s="1">
        <v>6.4</v>
      </c>
    </row>
    <row r="1635" ht="14.25" customHeight="1">
      <c r="A1635" s="1" t="s">
        <v>8227</v>
      </c>
      <c r="B1635" s="1" t="s">
        <v>35</v>
      </c>
      <c r="C1635" s="1">
        <v>8.2</v>
      </c>
    </row>
    <row r="1636" ht="14.25" customHeight="1">
      <c r="A1636" s="1" t="s">
        <v>8232</v>
      </c>
      <c r="B1636" s="1" t="s">
        <v>35</v>
      </c>
      <c r="C1636" s="1">
        <v>6.9</v>
      </c>
    </row>
    <row r="1637" ht="14.25" customHeight="1">
      <c r="A1637" s="1" t="s">
        <v>8235</v>
      </c>
      <c r="B1637" s="1" t="s">
        <v>35</v>
      </c>
      <c r="C1637" s="1">
        <v>7.8</v>
      </c>
    </row>
    <row r="1638" ht="14.25" customHeight="1">
      <c r="A1638" s="1" t="s">
        <v>8239</v>
      </c>
      <c r="B1638" s="1" t="s">
        <v>35</v>
      </c>
      <c r="C1638" s="1">
        <v>6.7</v>
      </c>
    </row>
    <row r="1639" ht="14.25" customHeight="1">
      <c r="A1639" s="1" t="s">
        <v>8244</v>
      </c>
      <c r="B1639" s="1" t="s">
        <v>35</v>
      </c>
      <c r="C1639" s="1">
        <v>7.5</v>
      </c>
    </row>
    <row r="1640" ht="14.25" customHeight="1">
      <c r="A1640" s="1" t="s">
        <v>8249</v>
      </c>
      <c r="B1640" s="1" t="s">
        <v>35</v>
      </c>
      <c r="C1640" s="1">
        <v>7.4</v>
      </c>
    </row>
    <row r="1641" ht="14.25" customHeight="1">
      <c r="A1641" s="1" t="s">
        <v>8252</v>
      </c>
      <c r="B1641" s="1" t="s">
        <v>35</v>
      </c>
      <c r="C1641" s="1">
        <v>5.2</v>
      </c>
    </row>
    <row r="1642" ht="14.25" customHeight="1">
      <c r="A1642" s="1" t="s">
        <v>8256</v>
      </c>
      <c r="B1642" s="1" t="s">
        <v>35</v>
      </c>
      <c r="C1642" s="1">
        <v>7.6</v>
      </c>
    </row>
    <row r="1643" ht="14.25" customHeight="1">
      <c r="A1643" s="1" t="s">
        <v>8259</v>
      </c>
      <c r="B1643" s="1" t="s">
        <v>35</v>
      </c>
      <c r="C1643" s="1">
        <v>7.3</v>
      </c>
    </row>
    <row r="1644" ht="14.25" customHeight="1">
      <c r="A1644" s="1" t="s">
        <v>8263</v>
      </c>
      <c r="B1644" s="1" t="s">
        <v>35</v>
      </c>
      <c r="C1644" s="1">
        <v>6.6</v>
      </c>
    </row>
    <row r="1645" ht="14.25" customHeight="1">
      <c r="A1645" s="1" t="s">
        <v>8266</v>
      </c>
      <c r="B1645" s="1" t="s">
        <v>35</v>
      </c>
      <c r="C1645" s="1">
        <v>6.8</v>
      </c>
    </row>
    <row r="1646" ht="14.25" customHeight="1">
      <c r="A1646" s="1" t="s">
        <v>8270</v>
      </c>
      <c r="B1646" s="1" t="s">
        <v>35</v>
      </c>
      <c r="C1646" s="1">
        <v>6.9</v>
      </c>
    </row>
    <row r="1647" ht="14.25" customHeight="1">
      <c r="A1647" s="1" t="s">
        <v>8276</v>
      </c>
      <c r="B1647" s="1" t="s">
        <v>35</v>
      </c>
      <c r="C1647" s="1">
        <v>5.8</v>
      </c>
    </row>
    <row r="1648" ht="14.25" customHeight="1">
      <c r="A1648" s="1" t="s">
        <v>8281</v>
      </c>
      <c r="B1648" s="1" t="s">
        <v>35</v>
      </c>
      <c r="C1648" s="1">
        <v>6.6</v>
      </c>
    </row>
    <row r="1649" ht="14.25" customHeight="1">
      <c r="A1649" s="1" t="s">
        <v>8284</v>
      </c>
      <c r="B1649" s="1" t="s">
        <v>35</v>
      </c>
      <c r="C1649" s="1">
        <v>6.7</v>
      </c>
    </row>
    <row r="1650" ht="14.25" customHeight="1">
      <c r="A1650" s="1" t="s">
        <v>8291</v>
      </c>
      <c r="B1650" s="1" t="s">
        <v>35</v>
      </c>
      <c r="C1650" s="1">
        <v>6.7</v>
      </c>
    </row>
    <row r="1651" ht="14.25" customHeight="1">
      <c r="A1651" s="1" t="s">
        <v>8296</v>
      </c>
      <c r="B1651" s="1" t="s">
        <v>35</v>
      </c>
      <c r="C1651" s="1">
        <v>6.3</v>
      </c>
    </row>
    <row r="1652" ht="14.25" customHeight="1">
      <c r="A1652" s="1" t="s">
        <v>8300</v>
      </c>
      <c r="B1652" s="1" t="s">
        <v>35</v>
      </c>
      <c r="C1652" s="1">
        <v>7.7</v>
      </c>
    </row>
    <row r="1653" ht="14.25" customHeight="1">
      <c r="A1653" s="1" t="s">
        <v>8305</v>
      </c>
      <c r="B1653" s="1" t="s">
        <v>35</v>
      </c>
      <c r="C1653" s="1">
        <v>6.1</v>
      </c>
    </row>
    <row r="1654" ht="14.25" customHeight="1">
      <c r="A1654" s="1" t="s">
        <v>8310</v>
      </c>
      <c r="B1654" s="1" t="s">
        <v>35</v>
      </c>
      <c r="C1654" s="1">
        <v>4.9</v>
      </c>
    </row>
    <row r="1655" ht="14.25" customHeight="1">
      <c r="A1655" s="1" t="s">
        <v>8316</v>
      </c>
      <c r="B1655" s="1" t="s">
        <v>35</v>
      </c>
      <c r="C1655" s="1">
        <v>6.2</v>
      </c>
    </row>
    <row r="1656" ht="14.25" customHeight="1">
      <c r="A1656" s="1" t="s">
        <v>8319</v>
      </c>
      <c r="B1656" s="1" t="s">
        <v>35</v>
      </c>
      <c r="C1656" s="1">
        <v>7.8</v>
      </c>
    </row>
    <row r="1657" ht="14.25" customHeight="1">
      <c r="A1657" s="1" t="s">
        <v>8324</v>
      </c>
      <c r="B1657" s="1" t="s">
        <v>35</v>
      </c>
      <c r="C1657" s="1">
        <v>8.2</v>
      </c>
    </row>
    <row r="1658" ht="14.25" customHeight="1">
      <c r="A1658" s="1" t="s">
        <v>8328</v>
      </c>
      <c r="B1658" s="1" t="s">
        <v>35</v>
      </c>
      <c r="C1658" s="1">
        <v>6.9</v>
      </c>
    </row>
    <row r="1659" ht="14.25" customHeight="1">
      <c r="A1659" s="1" t="s">
        <v>8332</v>
      </c>
      <c r="B1659" s="1" t="s">
        <v>35</v>
      </c>
      <c r="C1659" s="1">
        <v>6.2</v>
      </c>
    </row>
    <row r="1660" ht="14.25" customHeight="1">
      <c r="A1660" s="1" t="s">
        <v>8338</v>
      </c>
      <c r="B1660" s="1" t="s">
        <v>35</v>
      </c>
      <c r="C1660" s="1">
        <v>6.9</v>
      </c>
    </row>
    <row r="1661" ht="14.25" customHeight="1">
      <c r="A1661" s="1" t="s">
        <v>8344</v>
      </c>
      <c r="B1661" s="1" t="s">
        <v>35</v>
      </c>
      <c r="C1661" s="1">
        <v>4.8</v>
      </c>
    </row>
    <row r="1662" ht="14.25" customHeight="1">
      <c r="A1662" s="1" t="s">
        <v>8349</v>
      </c>
      <c r="B1662" s="1" t="s">
        <v>35</v>
      </c>
      <c r="C1662" s="1">
        <v>5.3</v>
      </c>
    </row>
    <row r="1663" ht="14.25" customHeight="1">
      <c r="A1663" s="1" t="s">
        <v>8353</v>
      </c>
      <c r="B1663" s="1" t="s">
        <v>35</v>
      </c>
      <c r="C1663" s="1">
        <v>6.7</v>
      </c>
    </row>
    <row r="1664" ht="14.25" customHeight="1">
      <c r="A1664" s="1" t="s">
        <v>8358</v>
      </c>
      <c r="B1664" s="1" t="s">
        <v>35</v>
      </c>
      <c r="C1664" s="1">
        <v>5.4</v>
      </c>
    </row>
    <row r="1665" ht="14.25" customHeight="1">
      <c r="A1665" s="1" t="s">
        <v>8364</v>
      </c>
      <c r="B1665" s="1" t="s">
        <v>35</v>
      </c>
      <c r="C1665" s="1">
        <v>5.4</v>
      </c>
    </row>
    <row r="1666" ht="14.25" customHeight="1">
      <c r="A1666" s="1" t="s">
        <v>8369</v>
      </c>
      <c r="B1666" s="1" t="s">
        <v>35</v>
      </c>
      <c r="C1666" s="1">
        <v>4.9</v>
      </c>
    </row>
    <row r="1667" ht="14.25" customHeight="1">
      <c r="A1667" s="1" t="s">
        <v>8372</v>
      </c>
      <c r="B1667" s="1" t="s">
        <v>35</v>
      </c>
      <c r="C1667" s="1">
        <v>6.1</v>
      </c>
    </row>
    <row r="1668" ht="14.25" customHeight="1">
      <c r="A1668" s="1" t="s">
        <v>8376</v>
      </c>
      <c r="B1668" s="1" t="s">
        <v>35</v>
      </c>
      <c r="C1668" s="1">
        <v>5.8</v>
      </c>
    </row>
    <row r="1669" ht="14.25" customHeight="1">
      <c r="A1669" s="1" t="s">
        <v>8381</v>
      </c>
      <c r="B1669" s="1" t="s">
        <v>35</v>
      </c>
      <c r="C1669" s="1">
        <v>7.0</v>
      </c>
    </row>
    <row r="1670" ht="14.25" customHeight="1">
      <c r="A1670" s="1" t="s">
        <v>8388</v>
      </c>
      <c r="B1670" s="1" t="s">
        <v>35</v>
      </c>
      <c r="C1670" s="1">
        <v>6.5</v>
      </c>
    </row>
    <row r="1671" ht="14.25" customHeight="1">
      <c r="A1671" s="1" t="s">
        <v>8394</v>
      </c>
      <c r="B1671" s="1" t="s">
        <v>35</v>
      </c>
      <c r="C1671" s="1">
        <v>6.6</v>
      </c>
    </row>
    <row r="1672" ht="14.25" customHeight="1">
      <c r="A1672" s="1" t="s">
        <v>8399</v>
      </c>
      <c r="B1672" s="1" t="s">
        <v>35</v>
      </c>
      <c r="C1672" s="1">
        <v>5.7</v>
      </c>
    </row>
    <row r="1673" ht="14.25" customHeight="1">
      <c r="A1673" s="1" t="s">
        <v>8402</v>
      </c>
      <c r="B1673" s="1" t="s">
        <v>35</v>
      </c>
      <c r="C1673" s="1">
        <v>6.6</v>
      </c>
    </row>
    <row r="1674" ht="14.25" customHeight="1">
      <c r="A1674" s="1" t="s">
        <v>8408</v>
      </c>
      <c r="B1674" s="1" t="s">
        <v>35</v>
      </c>
      <c r="C1674" s="1">
        <v>7.0</v>
      </c>
    </row>
    <row r="1675" ht="14.25" customHeight="1">
      <c r="A1675" s="1" t="s">
        <v>8412</v>
      </c>
      <c r="B1675" s="1" t="s">
        <v>35</v>
      </c>
      <c r="C1675" s="1">
        <v>7.4</v>
      </c>
    </row>
    <row r="1676" ht="14.25" customHeight="1">
      <c r="A1676" s="1" t="s">
        <v>8418</v>
      </c>
      <c r="B1676" s="1" t="s">
        <v>35</v>
      </c>
      <c r="C1676" s="1">
        <v>5.3</v>
      </c>
    </row>
    <row r="1677" ht="14.25" customHeight="1">
      <c r="A1677" s="1" t="s">
        <v>8422</v>
      </c>
      <c r="B1677" s="1" t="s">
        <v>35</v>
      </c>
      <c r="C1677" s="1">
        <v>7.4</v>
      </c>
    </row>
    <row r="1678" ht="14.25" customHeight="1">
      <c r="A1678" s="1" t="s">
        <v>8427</v>
      </c>
      <c r="B1678" s="1" t="s">
        <v>35</v>
      </c>
      <c r="C1678" s="1">
        <v>7.4</v>
      </c>
    </row>
    <row r="1679" ht="14.25" customHeight="1">
      <c r="A1679" s="1" t="s">
        <v>8433</v>
      </c>
      <c r="B1679" s="1" t="s">
        <v>35</v>
      </c>
      <c r="C1679" s="1">
        <v>6.8</v>
      </c>
    </row>
    <row r="1680" ht="14.25" customHeight="1">
      <c r="A1680" s="1" t="s">
        <v>8437</v>
      </c>
      <c r="B1680" s="1" t="s">
        <v>35</v>
      </c>
      <c r="C1680" s="1">
        <v>7.2</v>
      </c>
    </row>
    <row r="1681" ht="14.25" customHeight="1">
      <c r="A1681" s="1" t="s">
        <v>8441</v>
      </c>
      <c r="B1681" s="1" t="s">
        <v>35</v>
      </c>
      <c r="C1681" s="1">
        <v>6.0</v>
      </c>
    </row>
    <row r="1682" ht="14.25" customHeight="1">
      <c r="A1682" s="1" t="s">
        <v>532</v>
      </c>
      <c r="B1682" s="1" t="s">
        <v>35</v>
      </c>
      <c r="C1682" s="1">
        <v>7.8</v>
      </c>
    </row>
    <row r="1683" ht="14.25" customHeight="1">
      <c r="A1683" s="1" t="s">
        <v>8445</v>
      </c>
      <c r="B1683" s="1" t="s">
        <v>35</v>
      </c>
      <c r="C1683" s="1">
        <v>6.6</v>
      </c>
    </row>
    <row r="1684" ht="14.25" customHeight="1">
      <c r="A1684" s="1" t="s">
        <v>8449</v>
      </c>
      <c r="B1684" s="1" t="s">
        <v>35</v>
      </c>
      <c r="C1684" s="1">
        <v>7.9</v>
      </c>
    </row>
    <row r="1685" ht="14.25" customHeight="1">
      <c r="A1685" s="1" t="s">
        <v>8456</v>
      </c>
      <c r="B1685" s="1" t="s">
        <v>35</v>
      </c>
      <c r="C1685" s="1">
        <v>5.7</v>
      </c>
    </row>
    <row r="1686" ht="14.25" customHeight="1">
      <c r="A1686" s="1" t="s">
        <v>8461</v>
      </c>
      <c r="B1686" s="1" t="s">
        <v>35</v>
      </c>
      <c r="C1686" s="1">
        <v>7.1</v>
      </c>
    </row>
    <row r="1687" ht="14.25" customHeight="1">
      <c r="A1687" s="1" t="s">
        <v>8467</v>
      </c>
      <c r="B1687" s="1" t="s">
        <v>35</v>
      </c>
      <c r="C1687" s="1">
        <v>5.6</v>
      </c>
    </row>
    <row r="1688" ht="14.25" customHeight="1">
      <c r="A1688" s="1" t="s">
        <v>8471</v>
      </c>
      <c r="B1688" s="1" t="s">
        <v>35</v>
      </c>
      <c r="C1688" s="1">
        <v>7.8</v>
      </c>
    </row>
    <row r="1689" ht="14.25" customHeight="1">
      <c r="A1689" s="1" t="s">
        <v>8475</v>
      </c>
      <c r="B1689" s="1" t="s">
        <v>35</v>
      </c>
      <c r="C1689" s="1">
        <v>7.9</v>
      </c>
    </row>
    <row r="1690" ht="14.25" customHeight="1">
      <c r="A1690" s="1" t="s">
        <v>8478</v>
      </c>
      <c r="B1690" s="1" t="s">
        <v>35</v>
      </c>
      <c r="C1690" s="1">
        <v>6.9</v>
      </c>
    </row>
    <row r="1691" ht="14.25" customHeight="1">
      <c r="A1691" s="1" t="s">
        <v>8481</v>
      </c>
      <c r="B1691" s="1" t="s">
        <v>35</v>
      </c>
      <c r="C1691" s="1">
        <v>7.7</v>
      </c>
    </row>
    <row r="1692" ht="14.25" customHeight="1">
      <c r="A1692" s="1" t="s">
        <v>8486</v>
      </c>
      <c r="B1692" s="1" t="s">
        <v>35</v>
      </c>
      <c r="C1692" s="1">
        <v>6.9</v>
      </c>
    </row>
    <row r="1693" ht="14.25" customHeight="1">
      <c r="A1693" s="1" t="s">
        <v>8490</v>
      </c>
      <c r="B1693" s="1" t="s">
        <v>35</v>
      </c>
      <c r="C1693" s="1">
        <v>6.0</v>
      </c>
    </row>
    <row r="1694" ht="14.25" customHeight="1">
      <c r="A1694" s="1" t="s">
        <v>8495</v>
      </c>
      <c r="B1694" s="1" t="s">
        <v>35</v>
      </c>
      <c r="C1694" s="1">
        <v>6.2</v>
      </c>
    </row>
    <row r="1695" ht="14.25" customHeight="1">
      <c r="A1695" s="1" t="s">
        <v>8500</v>
      </c>
      <c r="B1695" s="1" t="s">
        <v>35</v>
      </c>
      <c r="C1695" s="1">
        <v>5.9</v>
      </c>
    </row>
    <row r="1696" ht="14.25" customHeight="1">
      <c r="A1696" s="1" t="s">
        <v>8505</v>
      </c>
      <c r="B1696" s="1" t="s">
        <v>35</v>
      </c>
      <c r="C1696" s="1">
        <v>6.8</v>
      </c>
    </row>
    <row r="1697" ht="14.25" customHeight="1">
      <c r="A1697" s="1" t="s">
        <v>8508</v>
      </c>
      <c r="B1697" s="1" t="s">
        <v>35</v>
      </c>
      <c r="C1697" s="1">
        <v>3.6</v>
      </c>
    </row>
    <row r="1698" ht="14.25" customHeight="1">
      <c r="A1698" s="1" t="s">
        <v>8512</v>
      </c>
      <c r="B1698" s="1" t="s">
        <v>35</v>
      </c>
      <c r="C1698" s="1">
        <v>6.7</v>
      </c>
    </row>
    <row r="1699" ht="14.25" customHeight="1">
      <c r="A1699" s="1" t="s">
        <v>8515</v>
      </c>
      <c r="B1699" s="1" t="s">
        <v>35</v>
      </c>
      <c r="C1699" s="1">
        <v>6.3</v>
      </c>
    </row>
    <row r="1700" ht="14.25" customHeight="1">
      <c r="A1700" s="1" t="s">
        <v>8520</v>
      </c>
      <c r="B1700" s="1" t="s">
        <v>35</v>
      </c>
      <c r="C1700" s="1">
        <v>6.4</v>
      </c>
    </row>
    <row r="1701" ht="14.25" customHeight="1">
      <c r="A1701" s="1" t="s">
        <v>8524</v>
      </c>
      <c r="B1701" s="1" t="s">
        <v>35</v>
      </c>
      <c r="C1701" s="1">
        <v>6.4</v>
      </c>
    </row>
    <row r="1702" ht="14.25" customHeight="1">
      <c r="A1702" s="1" t="s">
        <v>8528</v>
      </c>
      <c r="B1702" s="1" t="s">
        <v>35</v>
      </c>
      <c r="C1702" s="1">
        <v>5.7</v>
      </c>
    </row>
    <row r="1703" ht="14.25" customHeight="1">
      <c r="A1703" s="1" t="s">
        <v>8531</v>
      </c>
      <c r="B1703" s="1" t="s">
        <v>35</v>
      </c>
      <c r="C1703" s="1">
        <v>6.2</v>
      </c>
    </row>
    <row r="1704" ht="14.25" customHeight="1">
      <c r="A1704" s="1" t="s">
        <v>8535</v>
      </c>
      <c r="B1704" s="1" t="s">
        <v>35</v>
      </c>
      <c r="C1704" s="1">
        <v>5.2</v>
      </c>
    </row>
    <row r="1705" ht="14.25" customHeight="1">
      <c r="A1705" s="1" t="s">
        <v>8539</v>
      </c>
      <c r="B1705" s="1" t="s">
        <v>35</v>
      </c>
      <c r="C1705" s="1">
        <v>6.1</v>
      </c>
    </row>
    <row r="1706" ht="14.25" customHeight="1">
      <c r="A1706" s="1" t="s">
        <v>8544</v>
      </c>
      <c r="B1706" s="1" t="s">
        <v>35</v>
      </c>
      <c r="C1706" s="1">
        <v>7.1</v>
      </c>
    </row>
    <row r="1707" ht="14.25" customHeight="1">
      <c r="A1707" s="1" t="s">
        <v>8548</v>
      </c>
      <c r="B1707" s="1" t="s">
        <v>35</v>
      </c>
      <c r="C1707" s="1">
        <v>7.2</v>
      </c>
    </row>
    <row r="1708" ht="14.25" customHeight="1">
      <c r="A1708" s="1" t="s">
        <v>8554</v>
      </c>
      <c r="B1708" s="1" t="s">
        <v>35</v>
      </c>
      <c r="C1708" s="1">
        <v>6.5</v>
      </c>
    </row>
    <row r="1709" ht="14.25" customHeight="1">
      <c r="A1709" s="1" t="s">
        <v>8559</v>
      </c>
      <c r="B1709" s="1" t="s">
        <v>35</v>
      </c>
      <c r="C1709" s="1">
        <v>6.0</v>
      </c>
    </row>
    <row r="1710" ht="14.25" customHeight="1">
      <c r="A1710" s="1" t="s">
        <v>8562</v>
      </c>
      <c r="B1710" s="1" t="s">
        <v>35</v>
      </c>
      <c r="C1710" s="1">
        <v>7.0</v>
      </c>
    </row>
    <row r="1711" ht="14.25" customHeight="1">
      <c r="A1711" s="1" t="s">
        <v>8565</v>
      </c>
      <c r="B1711" s="1" t="s">
        <v>35</v>
      </c>
      <c r="C1711" s="1">
        <v>7.0</v>
      </c>
    </row>
    <row r="1712" ht="14.25" customHeight="1">
      <c r="A1712" s="1" t="s">
        <v>8569</v>
      </c>
      <c r="B1712" s="1" t="s">
        <v>35</v>
      </c>
      <c r="C1712" s="1">
        <v>7.5</v>
      </c>
    </row>
    <row r="1713" ht="14.25" customHeight="1">
      <c r="A1713" s="1" t="s">
        <v>8572</v>
      </c>
      <c r="B1713" s="1" t="s">
        <v>35</v>
      </c>
      <c r="C1713" s="1">
        <v>6.6</v>
      </c>
    </row>
    <row r="1714" ht="14.25" customHeight="1">
      <c r="A1714" s="1" t="s">
        <v>8575</v>
      </c>
      <c r="B1714" s="1" t="s">
        <v>35</v>
      </c>
      <c r="C1714" s="1">
        <v>7.4</v>
      </c>
    </row>
    <row r="1715" ht="14.25" customHeight="1">
      <c r="A1715" s="1" t="s">
        <v>8581</v>
      </c>
      <c r="B1715" s="1" t="s">
        <v>35</v>
      </c>
      <c r="C1715" s="1">
        <v>6.5</v>
      </c>
    </row>
    <row r="1716" ht="14.25" customHeight="1">
      <c r="A1716" s="1" t="s">
        <v>8587</v>
      </c>
      <c r="B1716" s="1" t="s">
        <v>35</v>
      </c>
      <c r="C1716" s="1">
        <v>6.2</v>
      </c>
    </row>
    <row r="1717" ht="14.25" customHeight="1">
      <c r="A1717" s="1" t="s">
        <v>8592</v>
      </c>
      <c r="B1717" s="1" t="s">
        <v>35</v>
      </c>
      <c r="C1717" s="1">
        <v>7.8</v>
      </c>
    </row>
    <row r="1718" ht="14.25" customHeight="1">
      <c r="A1718" s="1" t="s">
        <v>8596</v>
      </c>
      <c r="B1718" s="1" t="s">
        <v>35</v>
      </c>
      <c r="C1718" s="1">
        <v>5.2</v>
      </c>
    </row>
    <row r="1719" ht="14.25" customHeight="1">
      <c r="A1719" s="1" t="s">
        <v>8600</v>
      </c>
      <c r="B1719" s="1" t="s">
        <v>35</v>
      </c>
      <c r="C1719" s="1">
        <v>6.5</v>
      </c>
    </row>
    <row r="1720" ht="14.25" customHeight="1">
      <c r="A1720" s="1" t="s">
        <v>8604</v>
      </c>
      <c r="B1720" s="1" t="s">
        <v>35</v>
      </c>
      <c r="C1720" s="1">
        <v>6.5</v>
      </c>
    </row>
    <row r="1721" ht="14.25" customHeight="1">
      <c r="A1721" s="1" t="s">
        <v>8607</v>
      </c>
      <c r="B1721" s="1" t="s">
        <v>35</v>
      </c>
      <c r="C1721" s="1">
        <v>5.2</v>
      </c>
    </row>
    <row r="1722" ht="14.25" customHeight="1">
      <c r="A1722" s="1" t="s">
        <v>8613</v>
      </c>
      <c r="B1722" s="1" t="s">
        <v>35</v>
      </c>
      <c r="C1722" s="1">
        <v>7.2</v>
      </c>
    </row>
    <row r="1723" ht="14.25" customHeight="1">
      <c r="A1723" s="1" t="s">
        <v>8619</v>
      </c>
      <c r="B1723" s="1" t="s">
        <v>35</v>
      </c>
      <c r="C1723" s="1">
        <v>7.1</v>
      </c>
    </row>
    <row r="1724" ht="14.25" customHeight="1">
      <c r="A1724" s="1" t="s">
        <v>8623</v>
      </c>
      <c r="B1724" s="1" t="s">
        <v>35</v>
      </c>
      <c r="C1724" s="1">
        <v>4.5</v>
      </c>
    </row>
    <row r="1725" ht="14.25" customHeight="1">
      <c r="A1725" s="1" t="s">
        <v>8628</v>
      </c>
      <c r="B1725" s="1" t="s">
        <v>35</v>
      </c>
      <c r="C1725" s="1">
        <v>5.7</v>
      </c>
    </row>
    <row r="1726" ht="14.25" customHeight="1">
      <c r="A1726" s="1" t="s">
        <v>8633</v>
      </c>
      <c r="B1726" s="1" t="s">
        <v>35</v>
      </c>
      <c r="C1726" s="1">
        <v>6.0</v>
      </c>
    </row>
    <row r="1727" ht="14.25" customHeight="1">
      <c r="A1727" s="1" t="s">
        <v>8638</v>
      </c>
      <c r="B1727" s="1" t="s">
        <v>35</v>
      </c>
      <c r="C1727" s="1">
        <v>6.4</v>
      </c>
    </row>
    <row r="1728" ht="14.25" customHeight="1">
      <c r="A1728" s="1" t="s">
        <v>8643</v>
      </c>
      <c r="B1728" s="1" t="s">
        <v>35</v>
      </c>
      <c r="C1728" s="1">
        <v>5.2</v>
      </c>
    </row>
    <row r="1729" ht="14.25" customHeight="1">
      <c r="A1729" s="1" t="s">
        <v>8647</v>
      </c>
      <c r="B1729" s="1" t="s">
        <v>35</v>
      </c>
      <c r="C1729" s="1">
        <v>4.3</v>
      </c>
    </row>
    <row r="1730" ht="14.25" customHeight="1">
      <c r="A1730" s="1" t="s">
        <v>8653</v>
      </c>
      <c r="B1730" s="1" t="s">
        <v>35</v>
      </c>
      <c r="C1730" s="1">
        <v>6.1</v>
      </c>
    </row>
    <row r="1731" ht="14.25" customHeight="1">
      <c r="A1731" s="1" t="s">
        <v>8656</v>
      </c>
      <c r="B1731" s="1" t="s">
        <v>35</v>
      </c>
      <c r="C1731" s="1">
        <v>6.8</v>
      </c>
    </row>
    <row r="1732" ht="14.25" customHeight="1">
      <c r="A1732" s="1" t="s">
        <v>8661</v>
      </c>
      <c r="B1732" s="1" t="s">
        <v>35</v>
      </c>
      <c r="C1732" s="1">
        <v>5.2</v>
      </c>
    </row>
    <row r="1733" ht="14.25" customHeight="1">
      <c r="A1733" s="1" t="s">
        <v>8668</v>
      </c>
      <c r="B1733" s="1" t="s">
        <v>35</v>
      </c>
      <c r="C1733" s="1">
        <v>6.5</v>
      </c>
    </row>
    <row r="1734" ht="14.25" customHeight="1">
      <c r="A1734" s="1" t="s">
        <v>8673</v>
      </c>
      <c r="B1734" s="1" t="s">
        <v>35</v>
      </c>
      <c r="C1734" s="1">
        <v>7.5</v>
      </c>
    </row>
    <row r="1735" ht="14.25" customHeight="1">
      <c r="A1735" s="1" t="s">
        <v>8677</v>
      </c>
      <c r="B1735" s="1" t="s">
        <v>8683</v>
      </c>
      <c r="C1735" s="1">
        <v>7.1</v>
      </c>
    </row>
    <row r="1736" ht="14.25" customHeight="1">
      <c r="A1736" s="1" t="s">
        <v>8684</v>
      </c>
      <c r="B1736" s="1" t="s">
        <v>35</v>
      </c>
      <c r="C1736" s="1">
        <v>6.9</v>
      </c>
    </row>
    <row r="1737" ht="14.25" customHeight="1">
      <c r="A1737" s="1" t="s">
        <v>8689</v>
      </c>
      <c r="B1737" s="1" t="s">
        <v>35</v>
      </c>
      <c r="C1737" s="1">
        <v>8.0</v>
      </c>
    </row>
    <row r="1738" ht="14.25" customHeight="1">
      <c r="A1738" s="1" t="s">
        <v>8692</v>
      </c>
      <c r="B1738" s="1" t="s">
        <v>35</v>
      </c>
      <c r="C1738" s="1">
        <v>8.2</v>
      </c>
    </row>
    <row r="1739" ht="14.25" customHeight="1">
      <c r="A1739" s="1" t="s">
        <v>8697</v>
      </c>
      <c r="B1739" s="1" t="s">
        <v>35</v>
      </c>
      <c r="C1739" s="1">
        <v>6.4</v>
      </c>
    </row>
    <row r="1740" ht="14.25" customHeight="1">
      <c r="A1740" s="1" t="s">
        <v>8700</v>
      </c>
      <c r="B1740" s="1" t="s">
        <v>35</v>
      </c>
      <c r="C1740" s="1">
        <v>7.9</v>
      </c>
    </row>
    <row r="1741" ht="14.25" customHeight="1">
      <c r="A1741" s="1" t="s">
        <v>8704</v>
      </c>
      <c r="B1741" s="1" t="s">
        <v>35</v>
      </c>
      <c r="C1741" s="1">
        <v>6.7</v>
      </c>
    </row>
    <row r="1742" ht="14.25" customHeight="1">
      <c r="A1742" s="1" t="s">
        <v>8708</v>
      </c>
      <c r="B1742" s="1" t="s">
        <v>35</v>
      </c>
      <c r="C1742" s="1">
        <v>6.1</v>
      </c>
    </row>
    <row r="1743" ht="14.25" customHeight="1">
      <c r="A1743" s="1" t="s">
        <v>8713</v>
      </c>
      <c r="B1743" s="1" t="s">
        <v>35</v>
      </c>
      <c r="C1743" s="1">
        <v>8.9</v>
      </c>
    </row>
    <row r="1744" ht="14.25" customHeight="1">
      <c r="A1744" s="1" t="s">
        <v>8718</v>
      </c>
      <c r="B1744" s="1" t="s">
        <v>35</v>
      </c>
      <c r="C1744" s="1">
        <v>8.1</v>
      </c>
    </row>
    <row r="1745" ht="14.25" customHeight="1">
      <c r="A1745" s="1" t="s">
        <v>8721</v>
      </c>
      <c r="B1745" s="1" t="s">
        <v>35</v>
      </c>
      <c r="C1745" s="1">
        <v>6.2</v>
      </c>
    </row>
    <row r="1746" ht="14.25" customHeight="1">
      <c r="A1746" s="1" t="s">
        <v>8725</v>
      </c>
      <c r="B1746" s="1" t="s">
        <v>35</v>
      </c>
      <c r="C1746" s="1">
        <v>4.9</v>
      </c>
    </row>
    <row r="1747" ht="14.25" customHeight="1">
      <c r="A1747" s="1" t="s">
        <v>8729</v>
      </c>
      <c r="B1747" s="1" t="s">
        <v>35</v>
      </c>
      <c r="C1747" s="1">
        <v>5.8</v>
      </c>
    </row>
    <row r="1748" ht="14.25" customHeight="1">
      <c r="A1748" s="1" t="s">
        <v>8734</v>
      </c>
      <c r="B1748" s="1" t="s">
        <v>35</v>
      </c>
      <c r="C1748" s="1">
        <v>6.0</v>
      </c>
    </row>
    <row r="1749" ht="14.25" customHeight="1">
      <c r="A1749" s="1" t="s">
        <v>8737</v>
      </c>
      <c r="B1749" s="1" t="s">
        <v>35</v>
      </c>
      <c r="C1749" s="1">
        <v>7.0</v>
      </c>
    </row>
    <row r="1750" ht="14.25" customHeight="1">
      <c r="A1750" s="1" t="s">
        <v>8743</v>
      </c>
      <c r="B1750" s="1" t="s">
        <v>35</v>
      </c>
      <c r="C1750" s="1">
        <v>6.0</v>
      </c>
    </row>
    <row r="1751" ht="14.25" customHeight="1">
      <c r="A1751" s="1" t="s">
        <v>8749</v>
      </c>
      <c r="B1751" s="1" t="s">
        <v>35</v>
      </c>
      <c r="C1751" s="1">
        <v>7.9</v>
      </c>
    </row>
    <row r="1752" ht="14.25" customHeight="1">
      <c r="A1752" s="1" t="s">
        <v>8753</v>
      </c>
      <c r="B1752" s="1" t="s">
        <v>35</v>
      </c>
      <c r="C1752" s="1">
        <v>8.1</v>
      </c>
    </row>
    <row r="1753" ht="14.25" customHeight="1">
      <c r="A1753" s="1" t="s">
        <v>8757</v>
      </c>
      <c r="B1753" s="1" t="s">
        <v>35</v>
      </c>
      <c r="C1753" s="1">
        <v>6.2</v>
      </c>
    </row>
    <row r="1754" ht="14.25" customHeight="1">
      <c r="A1754" s="1" t="s">
        <v>8762</v>
      </c>
      <c r="B1754" s="1" t="s">
        <v>35</v>
      </c>
      <c r="C1754" s="1">
        <v>6.7</v>
      </c>
    </row>
    <row r="1755" ht="14.25" customHeight="1">
      <c r="A1755" s="1" t="s">
        <v>8765</v>
      </c>
      <c r="B1755" s="1" t="s">
        <v>35</v>
      </c>
      <c r="C1755" s="1">
        <v>7.3</v>
      </c>
    </row>
    <row r="1756" ht="14.25" customHeight="1">
      <c r="A1756" s="1" t="s">
        <v>8771</v>
      </c>
      <c r="B1756" s="1" t="s">
        <v>35</v>
      </c>
      <c r="C1756" s="1">
        <v>4.6</v>
      </c>
    </row>
    <row r="1757" ht="14.25" customHeight="1">
      <c r="A1757" s="1" t="s">
        <v>8775</v>
      </c>
      <c r="B1757" s="1" t="s">
        <v>35</v>
      </c>
      <c r="C1757" s="1">
        <v>6.1</v>
      </c>
    </row>
    <row r="1758" ht="14.25" customHeight="1">
      <c r="A1758" s="1" t="s">
        <v>8779</v>
      </c>
      <c r="B1758" s="1" t="s">
        <v>35</v>
      </c>
      <c r="C1758" s="1">
        <v>6.2</v>
      </c>
    </row>
    <row r="1759" ht="14.25" customHeight="1">
      <c r="A1759" s="1" t="s">
        <v>8783</v>
      </c>
      <c r="B1759" s="1" t="s">
        <v>35</v>
      </c>
      <c r="C1759" s="1">
        <v>7.8</v>
      </c>
    </row>
    <row r="1760" ht="14.25" customHeight="1">
      <c r="A1760" s="1" t="s">
        <v>8788</v>
      </c>
      <c r="B1760" s="1" t="s">
        <v>35</v>
      </c>
      <c r="C1760" s="1">
        <v>6.1</v>
      </c>
    </row>
    <row r="1761" ht="14.25" customHeight="1">
      <c r="A1761" s="1" t="s">
        <v>8791</v>
      </c>
      <c r="B1761" s="1" t="s">
        <v>35</v>
      </c>
      <c r="C1761" s="1">
        <v>5.8</v>
      </c>
    </row>
    <row r="1762" ht="14.25" customHeight="1">
      <c r="A1762" s="1" t="s">
        <v>8796</v>
      </c>
      <c r="B1762" s="1" t="s">
        <v>35</v>
      </c>
      <c r="C1762" s="1">
        <v>6.5</v>
      </c>
    </row>
    <row r="1763" ht="14.25" customHeight="1">
      <c r="A1763" s="1" t="s">
        <v>8802</v>
      </c>
      <c r="B1763" s="1" t="s">
        <v>35</v>
      </c>
      <c r="C1763" s="1">
        <v>7.2</v>
      </c>
    </row>
    <row r="1764" ht="14.25" customHeight="1">
      <c r="A1764" s="1" t="s">
        <v>8805</v>
      </c>
      <c r="B1764" s="1" t="s">
        <v>35</v>
      </c>
      <c r="C1764" s="1">
        <v>7.8</v>
      </c>
    </row>
    <row r="1765" ht="14.25" customHeight="1">
      <c r="A1765" s="1" t="s">
        <v>8810</v>
      </c>
      <c r="B1765" s="1" t="s">
        <v>35</v>
      </c>
      <c r="C1765" s="1">
        <v>4.7</v>
      </c>
    </row>
    <row r="1766" ht="14.25" customHeight="1">
      <c r="A1766" s="1" t="s">
        <v>8815</v>
      </c>
      <c r="B1766" s="1" t="s">
        <v>35</v>
      </c>
      <c r="C1766" s="1">
        <v>6.8</v>
      </c>
    </row>
    <row r="1767" ht="14.25" customHeight="1">
      <c r="A1767" s="1" t="s">
        <v>8819</v>
      </c>
      <c r="B1767" s="1" t="s">
        <v>35</v>
      </c>
      <c r="C1767" s="1">
        <v>5.9</v>
      </c>
    </row>
    <row r="1768" ht="14.25" customHeight="1">
      <c r="A1768" s="1" t="s">
        <v>8822</v>
      </c>
      <c r="B1768" s="1" t="s">
        <v>35</v>
      </c>
      <c r="C1768" s="1">
        <v>7.2</v>
      </c>
    </row>
    <row r="1769" ht="14.25" customHeight="1">
      <c r="A1769" s="1" t="s">
        <v>8826</v>
      </c>
      <c r="B1769" s="1" t="s">
        <v>35</v>
      </c>
      <c r="C1769" s="1">
        <v>8.7</v>
      </c>
    </row>
    <row r="1770" ht="14.25" customHeight="1">
      <c r="A1770" s="1" t="s">
        <v>8829</v>
      </c>
      <c r="B1770" s="1" t="s">
        <v>35</v>
      </c>
      <c r="C1770" s="1">
        <v>5.0</v>
      </c>
    </row>
    <row r="1771" ht="14.25" customHeight="1">
      <c r="A1771" s="1" t="s">
        <v>8834</v>
      </c>
      <c r="B1771" s="1" t="s">
        <v>35</v>
      </c>
      <c r="C1771" s="1">
        <v>6.6</v>
      </c>
    </row>
    <row r="1772" ht="14.25" customHeight="1">
      <c r="A1772" s="1" t="s">
        <v>8837</v>
      </c>
      <c r="B1772" s="1" t="s">
        <v>35</v>
      </c>
      <c r="C1772" s="1">
        <v>8.3</v>
      </c>
    </row>
    <row r="1773" ht="14.25" customHeight="1">
      <c r="A1773" s="1" t="s">
        <v>8840</v>
      </c>
      <c r="B1773" s="1" t="s">
        <v>35</v>
      </c>
      <c r="C1773" s="1">
        <v>6.7</v>
      </c>
    </row>
    <row r="1774" ht="14.25" customHeight="1">
      <c r="A1774" s="1" t="s">
        <v>8845</v>
      </c>
      <c r="B1774" s="1" t="s">
        <v>35</v>
      </c>
      <c r="C1774" s="1">
        <v>7.8</v>
      </c>
    </row>
    <row r="1775" ht="14.25" customHeight="1">
      <c r="A1775" s="1" t="s">
        <v>8848</v>
      </c>
      <c r="B1775" s="1" t="s">
        <v>35</v>
      </c>
      <c r="C1775" s="1">
        <v>6.5</v>
      </c>
    </row>
    <row r="1776" ht="14.25" customHeight="1">
      <c r="A1776" s="1" t="s">
        <v>8852</v>
      </c>
      <c r="B1776" s="1" t="s">
        <v>35</v>
      </c>
      <c r="C1776" s="1">
        <v>6.1</v>
      </c>
    </row>
    <row r="1777" ht="14.25" customHeight="1">
      <c r="A1777" s="1" t="s">
        <v>8855</v>
      </c>
      <c r="B1777" s="1" t="s">
        <v>35</v>
      </c>
      <c r="C1777" s="1">
        <v>8.1</v>
      </c>
    </row>
    <row r="1778" ht="14.25" customHeight="1">
      <c r="A1778" s="1" t="s">
        <v>8861</v>
      </c>
      <c r="B1778" s="1" t="s">
        <v>35</v>
      </c>
      <c r="C1778" s="1">
        <v>5.2</v>
      </c>
    </row>
    <row r="1779" ht="14.25" customHeight="1">
      <c r="A1779" s="1" t="s">
        <v>8866</v>
      </c>
      <c r="B1779" s="1" t="s">
        <v>35</v>
      </c>
      <c r="C1779" s="1">
        <v>5.6</v>
      </c>
    </row>
    <row r="1780" ht="14.25" customHeight="1">
      <c r="A1780" s="1" t="s">
        <v>8870</v>
      </c>
      <c r="B1780" s="1" t="s">
        <v>35</v>
      </c>
      <c r="C1780" s="1">
        <v>5.8</v>
      </c>
    </row>
    <row r="1781" ht="14.25" customHeight="1">
      <c r="A1781" s="1" t="s">
        <v>8874</v>
      </c>
      <c r="B1781" s="1" t="s">
        <v>35</v>
      </c>
      <c r="C1781" s="1">
        <v>6.6</v>
      </c>
    </row>
    <row r="1782" ht="14.25" customHeight="1">
      <c r="A1782" s="1" t="s">
        <v>8878</v>
      </c>
      <c r="B1782" s="1" t="s">
        <v>35</v>
      </c>
      <c r="C1782" s="1">
        <v>6.6</v>
      </c>
    </row>
    <row r="1783" ht="14.25" customHeight="1">
      <c r="A1783" s="1" t="s">
        <v>8882</v>
      </c>
      <c r="B1783" s="1" t="s">
        <v>35</v>
      </c>
      <c r="C1783" s="1">
        <v>5.5</v>
      </c>
    </row>
    <row r="1784" ht="14.25" customHeight="1">
      <c r="A1784" s="1" t="s">
        <v>8886</v>
      </c>
      <c r="B1784" s="1" t="s">
        <v>35</v>
      </c>
      <c r="C1784" s="1">
        <v>7.0</v>
      </c>
    </row>
    <row r="1785" ht="14.25" customHeight="1">
      <c r="A1785" s="1" t="s">
        <v>8890</v>
      </c>
      <c r="B1785" s="1" t="s">
        <v>35</v>
      </c>
      <c r="C1785" s="1">
        <v>6.5</v>
      </c>
    </row>
    <row r="1786" ht="14.25" customHeight="1">
      <c r="A1786" s="1" t="s">
        <v>8894</v>
      </c>
      <c r="B1786" s="1" t="s">
        <v>35</v>
      </c>
      <c r="C1786" s="1">
        <v>5.8</v>
      </c>
    </row>
    <row r="1787" ht="14.25" customHeight="1">
      <c r="A1787" s="1" t="s">
        <v>8899</v>
      </c>
      <c r="B1787" s="1" t="s">
        <v>35</v>
      </c>
      <c r="C1787" s="1">
        <v>5.6</v>
      </c>
    </row>
    <row r="1788" ht="14.25" customHeight="1">
      <c r="A1788" s="1" t="s">
        <v>8905</v>
      </c>
      <c r="B1788" s="1" t="s">
        <v>35</v>
      </c>
      <c r="C1788" s="1">
        <v>5.6</v>
      </c>
    </row>
    <row r="1789" ht="14.25" customHeight="1">
      <c r="A1789" s="1" t="s">
        <v>8908</v>
      </c>
      <c r="B1789" s="1" t="s">
        <v>35</v>
      </c>
      <c r="C1789" s="1">
        <v>5.8</v>
      </c>
    </row>
    <row r="1790" ht="14.25" customHeight="1">
      <c r="A1790" s="1" t="s">
        <v>8912</v>
      </c>
      <c r="B1790" s="1" t="s">
        <v>35</v>
      </c>
      <c r="C1790" s="1">
        <v>7.6</v>
      </c>
    </row>
    <row r="1791" ht="14.25" customHeight="1">
      <c r="A1791" s="1" t="s">
        <v>8915</v>
      </c>
      <c r="B1791" s="1" t="s">
        <v>35</v>
      </c>
      <c r="C1791" s="1">
        <v>6.4</v>
      </c>
    </row>
    <row r="1792" ht="14.25" customHeight="1">
      <c r="A1792" s="1" t="s">
        <v>8921</v>
      </c>
      <c r="B1792" s="1" t="s">
        <v>35</v>
      </c>
      <c r="C1792" s="1">
        <v>6.3</v>
      </c>
    </row>
    <row r="1793" ht="14.25" customHeight="1">
      <c r="A1793" s="1" t="s">
        <v>8928</v>
      </c>
      <c r="B1793" s="1" t="s">
        <v>35</v>
      </c>
      <c r="C1793" s="1">
        <v>4.6</v>
      </c>
    </row>
    <row r="1794" ht="14.25" customHeight="1">
      <c r="A1794" s="1" t="s">
        <v>8935</v>
      </c>
      <c r="B1794" s="1" t="s">
        <v>35</v>
      </c>
      <c r="C1794" s="1">
        <v>6.5</v>
      </c>
    </row>
    <row r="1795" ht="14.25" customHeight="1">
      <c r="A1795" s="1" t="s">
        <v>8939</v>
      </c>
      <c r="B1795" s="1" t="s">
        <v>35</v>
      </c>
      <c r="C1795" s="1">
        <v>7.5</v>
      </c>
    </row>
    <row r="1796" ht="14.25" customHeight="1">
      <c r="A1796" s="1" t="s">
        <v>8943</v>
      </c>
      <c r="B1796" s="1" t="s">
        <v>35</v>
      </c>
      <c r="C1796" s="1">
        <v>7.5</v>
      </c>
    </row>
    <row r="1797" ht="14.25" customHeight="1">
      <c r="A1797" s="1" t="s">
        <v>8948</v>
      </c>
      <c r="B1797" s="1" t="s">
        <v>35</v>
      </c>
      <c r="C1797" s="1">
        <v>5.3</v>
      </c>
    </row>
    <row r="1798" ht="14.25" customHeight="1">
      <c r="A1798" s="1" t="s">
        <v>8956</v>
      </c>
      <c r="B1798" s="1" t="s">
        <v>35</v>
      </c>
      <c r="C1798" s="1">
        <v>7.5</v>
      </c>
    </row>
    <row r="1799" ht="14.25" customHeight="1">
      <c r="A1799" s="1" t="s">
        <v>8963</v>
      </c>
      <c r="B1799" s="1" t="s">
        <v>35</v>
      </c>
      <c r="C1799" s="1">
        <v>3.3</v>
      </c>
    </row>
    <row r="1800" ht="14.25" customHeight="1">
      <c r="A1800" s="1" t="s">
        <v>8970</v>
      </c>
      <c r="B1800" s="1" t="s">
        <v>35</v>
      </c>
      <c r="C1800" s="1">
        <v>3.5</v>
      </c>
    </row>
    <row r="1801" ht="14.25" customHeight="1">
      <c r="A1801" s="1" t="s">
        <v>8975</v>
      </c>
      <c r="B1801" s="1" t="s">
        <v>35</v>
      </c>
      <c r="C1801" s="1">
        <v>9.3</v>
      </c>
    </row>
    <row r="1802" ht="14.25" customHeight="1">
      <c r="A1802" s="1" t="s">
        <v>8978</v>
      </c>
      <c r="B1802" s="1" t="s">
        <v>35</v>
      </c>
      <c r="C1802" s="1">
        <v>4.8</v>
      </c>
    </row>
    <row r="1803" ht="14.25" customHeight="1">
      <c r="A1803" s="1" t="s">
        <v>8984</v>
      </c>
      <c r="B1803" s="1" t="s">
        <v>35</v>
      </c>
      <c r="C1803" s="1">
        <v>6.9</v>
      </c>
    </row>
    <row r="1804" ht="14.25" customHeight="1">
      <c r="A1804" s="1" t="s">
        <v>8987</v>
      </c>
      <c r="B1804" s="1" t="s">
        <v>35</v>
      </c>
      <c r="C1804" s="1">
        <v>6.0</v>
      </c>
    </row>
    <row r="1805" ht="14.25" customHeight="1">
      <c r="A1805" s="1" t="s">
        <v>8993</v>
      </c>
      <c r="B1805" s="1" t="s">
        <v>35</v>
      </c>
      <c r="C1805" s="1">
        <v>7.3</v>
      </c>
    </row>
    <row r="1806" ht="14.25" customHeight="1">
      <c r="A1806" s="1" t="s">
        <v>8997</v>
      </c>
      <c r="B1806" s="1" t="s">
        <v>35</v>
      </c>
      <c r="C1806" s="1">
        <v>6.6</v>
      </c>
    </row>
    <row r="1807" ht="14.25" customHeight="1">
      <c r="A1807" s="1" t="s">
        <v>9002</v>
      </c>
      <c r="B1807" s="1" t="s">
        <v>35</v>
      </c>
      <c r="C1807" s="1">
        <v>7.5</v>
      </c>
    </row>
    <row r="1808" ht="14.25" customHeight="1">
      <c r="A1808" s="1" t="s">
        <v>9007</v>
      </c>
      <c r="B1808" s="1" t="s">
        <v>35</v>
      </c>
      <c r="C1808" s="1">
        <v>6.9</v>
      </c>
    </row>
    <row r="1809" ht="14.25" customHeight="1">
      <c r="A1809" s="1" t="s">
        <v>9011</v>
      </c>
      <c r="B1809" s="1" t="s">
        <v>35</v>
      </c>
      <c r="C1809" s="1">
        <v>6.8</v>
      </c>
    </row>
    <row r="1810" ht="14.25" customHeight="1">
      <c r="A1810" s="1" t="s">
        <v>9015</v>
      </c>
      <c r="B1810" s="1" t="s">
        <v>35</v>
      </c>
      <c r="C1810" s="1">
        <v>6.4</v>
      </c>
    </row>
    <row r="1811" ht="14.25" customHeight="1">
      <c r="A1811" s="1" t="s">
        <v>9020</v>
      </c>
      <c r="B1811" s="1" t="s">
        <v>35</v>
      </c>
      <c r="C1811" s="1">
        <v>5.6</v>
      </c>
    </row>
    <row r="1812" ht="14.25" customHeight="1">
      <c r="A1812" s="1" t="s">
        <v>9025</v>
      </c>
      <c r="B1812" s="1" t="s">
        <v>35</v>
      </c>
      <c r="C1812" s="1">
        <v>6.3</v>
      </c>
    </row>
    <row r="1813" ht="14.25" customHeight="1">
      <c r="A1813" s="1" t="s">
        <v>9028</v>
      </c>
      <c r="B1813" s="1" t="s">
        <v>35</v>
      </c>
      <c r="C1813" s="1">
        <v>7.3</v>
      </c>
    </row>
    <row r="1814" ht="14.25" customHeight="1">
      <c r="A1814" s="1" t="s">
        <v>9034</v>
      </c>
      <c r="B1814" s="1" t="s">
        <v>35</v>
      </c>
      <c r="C1814" s="1">
        <v>6.6</v>
      </c>
    </row>
    <row r="1815" ht="14.25" customHeight="1">
      <c r="A1815" s="1" t="s">
        <v>9040</v>
      </c>
      <c r="B1815" s="1" t="s">
        <v>35</v>
      </c>
      <c r="C1815" s="1">
        <v>4.6</v>
      </c>
    </row>
    <row r="1816" ht="14.25" customHeight="1">
      <c r="A1816" s="1" t="s">
        <v>9046</v>
      </c>
      <c r="B1816" s="1" t="s">
        <v>35</v>
      </c>
      <c r="C1816" s="1">
        <v>5.1</v>
      </c>
    </row>
    <row r="1817" ht="14.25" customHeight="1">
      <c r="A1817" s="1" t="s">
        <v>9052</v>
      </c>
      <c r="B1817" s="1" t="s">
        <v>35</v>
      </c>
      <c r="C1817" s="1">
        <v>5.6</v>
      </c>
    </row>
    <row r="1818" ht="14.25" customHeight="1">
      <c r="A1818" s="1" t="s">
        <v>9056</v>
      </c>
      <c r="B1818" s="1" t="s">
        <v>9061</v>
      </c>
      <c r="C1818" s="1">
        <v>5.3</v>
      </c>
    </row>
    <row r="1819" ht="14.25" customHeight="1">
      <c r="A1819" s="1" t="s">
        <v>9063</v>
      </c>
      <c r="B1819" s="1" t="s">
        <v>35</v>
      </c>
      <c r="C1819" s="1">
        <v>5.6</v>
      </c>
    </row>
    <row r="1820" ht="14.25" customHeight="1">
      <c r="A1820" s="1" t="s">
        <v>9068</v>
      </c>
      <c r="B1820" s="1" t="s">
        <v>35</v>
      </c>
      <c r="C1820" s="1">
        <v>5.9</v>
      </c>
    </row>
    <row r="1821" ht="14.25" customHeight="1">
      <c r="A1821" s="1" t="s">
        <v>9074</v>
      </c>
      <c r="B1821" s="1" t="s">
        <v>35</v>
      </c>
      <c r="C1821" s="1">
        <v>4.7</v>
      </c>
    </row>
    <row r="1822" ht="14.25" customHeight="1">
      <c r="A1822" s="1" t="s">
        <v>9077</v>
      </c>
      <c r="B1822" s="1" t="s">
        <v>35</v>
      </c>
      <c r="C1822" s="1">
        <v>4.8</v>
      </c>
    </row>
    <row r="1823" ht="14.25" customHeight="1">
      <c r="A1823" s="1" t="s">
        <v>9082</v>
      </c>
      <c r="B1823" s="1" t="s">
        <v>35</v>
      </c>
      <c r="C1823" s="1">
        <v>6.8</v>
      </c>
    </row>
    <row r="1824" ht="14.25" customHeight="1">
      <c r="A1824" s="1" t="s">
        <v>9089</v>
      </c>
      <c r="B1824" s="1" t="s">
        <v>35</v>
      </c>
      <c r="C1824" s="1">
        <v>5.4</v>
      </c>
    </row>
    <row r="1825" ht="14.25" customHeight="1">
      <c r="A1825" s="1" t="s">
        <v>9095</v>
      </c>
      <c r="B1825" s="1" t="s">
        <v>35</v>
      </c>
      <c r="C1825" s="1">
        <v>5.1</v>
      </c>
    </row>
    <row r="1826" ht="14.25" customHeight="1">
      <c r="A1826" s="1" t="s">
        <v>9098</v>
      </c>
      <c r="B1826" s="1" t="s">
        <v>35</v>
      </c>
      <c r="C1826" s="1">
        <v>7.0</v>
      </c>
    </row>
    <row r="1827" ht="14.25" customHeight="1">
      <c r="A1827" s="1" t="s">
        <v>9103</v>
      </c>
      <c r="B1827" s="1" t="s">
        <v>35</v>
      </c>
      <c r="C1827" s="1">
        <v>4.0</v>
      </c>
    </row>
    <row r="1828" ht="14.25" customHeight="1">
      <c r="A1828" s="1" t="s">
        <v>9106</v>
      </c>
      <c r="B1828" s="1" t="s">
        <v>35</v>
      </c>
      <c r="C1828" s="1">
        <v>7.3</v>
      </c>
    </row>
    <row r="1829" ht="14.25" customHeight="1">
      <c r="A1829" s="1" t="s">
        <v>9111</v>
      </c>
      <c r="B1829" s="1" t="s">
        <v>35</v>
      </c>
      <c r="C1829" s="1">
        <v>6.8</v>
      </c>
    </row>
    <row r="1830" ht="14.25" customHeight="1">
      <c r="A1830" s="1" t="s">
        <v>9115</v>
      </c>
      <c r="B1830" s="1" t="s">
        <v>35</v>
      </c>
      <c r="C1830" s="1">
        <v>7.0</v>
      </c>
    </row>
    <row r="1831" ht="14.25" customHeight="1">
      <c r="A1831" s="1" t="s">
        <v>9119</v>
      </c>
      <c r="B1831" s="1" t="s">
        <v>35</v>
      </c>
      <c r="C1831" s="1">
        <v>7.1</v>
      </c>
    </row>
    <row r="1832" ht="14.25" customHeight="1">
      <c r="A1832" s="1" t="s">
        <v>9123</v>
      </c>
      <c r="B1832" s="1" t="s">
        <v>35</v>
      </c>
      <c r="C1832" s="1">
        <v>6.9</v>
      </c>
    </row>
    <row r="1833" ht="14.25" customHeight="1">
      <c r="A1833" s="1" t="s">
        <v>9128</v>
      </c>
      <c r="B1833" s="1" t="s">
        <v>35</v>
      </c>
      <c r="C1833" s="1">
        <v>7.3</v>
      </c>
    </row>
    <row r="1834" ht="14.25" customHeight="1">
      <c r="A1834" s="1" t="s">
        <v>9133</v>
      </c>
      <c r="B1834" s="1" t="s">
        <v>35</v>
      </c>
      <c r="C1834" s="1">
        <v>8.2</v>
      </c>
    </row>
    <row r="1835" ht="14.25" customHeight="1">
      <c r="A1835" s="1" t="s">
        <v>9136</v>
      </c>
      <c r="B1835" s="1" t="s">
        <v>35</v>
      </c>
      <c r="C1835" s="1">
        <v>7.1</v>
      </c>
    </row>
    <row r="1836" ht="14.25" customHeight="1">
      <c r="A1836" s="1" t="s">
        <v>9140</v>
      </c>
      <c r="B1836" s="1" t="s">
        <v>35</v>
      </c>
      <c r="C1836" s="1">
        <v>7.7</v>
      </c>
    </row>
    <row r="1837" ht="14.25" customHeight="1">
      <c r="A1837" s="1" t="s">
        <v>9145</v>
      </c>
      <c r="B1837" s="1" t="s">
        <v>35</v>
      </c>
      <c r="C1837" s="1">
        <v>6.5</v>
      </c>
    </row>
    <row r="1838" ht="14.25" customHeight="1">
      <c r="A1838" s="1" t="s">
        <v>9148</v>
      </c>
      <c r="B1838" s="1" t="s">
        <v>35</v>
      </c>
      <c r="C1838" s="1">
        <v>4.9</v>
      </c>
    </row>
    <row r="1839" ht="14.25" customHeight="1">
      <c r="A1839" s="1" t="s">
        <v>9153</v>
      </c>
      <c r="B1839" s="1" t="s">
        <v>35</v>
      </c>
      <c r="C1839" s="1">
        <v>6.4</v>
      </c>
    </row>
    <row r="1840" ht="14.25" customHeight="1">
      <c r="A1840" s="1" t="s">
        <v>9160</v>
      </c>
      <c r="B1840" s="1" t="s">
        <v>35</v>
      </c>
      <c r="C1840" s="1">
        <v>5.9</v>
      </c>
    </row>
    <row r="1841" ht="14.25" customHeight="1">
      <c r="A1841" s="1" t="s">
        <v>9166</v>
      </c>
      <c r="B1841" s="1" t="s">
        <v>35</v>
      </c>
      <c r="C1841" s="1">
        <v>6.2</v>
      </c>
    </row>
    <row r="1842" ht="14.25" customHeight="1">
      <c r="A1842" s="1" t="s">
        <v>9170</v>
      </c>
      <c r="B1842" s="1" t="s">
        <v>35</v>
      </c>
      <c r="C1842" s="1">
        <v>5.8</v>
      </c>
    </row>
    <row r="1843" ht="14.25" customHeight="1">
      <c r="A1843" s="1" t="s">
        <v>9174</v>
      </c>
      <c r="B1843" s="1" t="s">
        <v>35</v>
      </c>
      <c r="C1843" s="1">
        <v>6.7</v>
      </c>
    </row>
    <row r="1844" ht="14.25" customHeight="1">
      <c r="A1844" s="1" t="s">
        <v>9179</v>
      </c>
      <c r="B1844" s="1" t="s">
        <v>35</v>
      </c>
      <c r="C1844" s="1">
        <v>5.9</v>
      </c>
    </row>
    <row r="1845" ht="14.25" customHeight="1">
      <c r="A1845" s="1" t="s">
        <v>9186</v>
      </c>
      <c r="B1845" s="1" t="s">
        <v>35</v>
      </c>
      <c r="C1845" s="1">
        <v>7.3</v>
      </c>
    </row>
    <row r="1846" ht="14.25" customHeight="1">
      <c r="A1846" s="1" t="s">
        <v>9190</v>
      </c>
      <c r="B1846" s="1" t="s">
        <v>35</v>
      </c>
      <c r="C1846" s="1">
        <v>4.1</v>
      </c>
    </row>
    <row r="1847" ht="14.25" customHeight="1">
      <c r="A1847" s="1" t="s">
        <v>9194</v>
      </c>
      <c r="B1847" s="1" t="s">
        <v>35</v>
      </c>
      <c r="C1847" s="1">
        <v>4.9</v>
      </c>
    </row>
    <row r="1848" ht="14.25" customHeight="1">
      <c r="A1848" s="1" t="s">
        <v>9198</v>
      </c>
      <c r="B1848" s="1" t="s">
        <v>35</v>
      </c>
      <c r="C1848" s="1">
        <v>7.9</v>
      </c>
    </row>
    <row r="1849" ht="14.25" customHeight="1">
      <c r="A1849" s="1" t="s">
        <v>7331</v>
      </c>
      <c r="B1849" s="1" t="s">
        <v>35</v>
      </c>
      <c r="C1849" s="1">
        <v>5.6</v>
      </c>
    </row>
    <row r="1850" ht="14.25" customHeight="1">
      <c r="A1850" s="1" t="s">
        <v>9203</v>
      </c>
      <c r="B1850" s="1" t="s">
        <v>35</v>
      </c>
      <c r="C1850" s="1">
        <v>5.2</v>
      </c>
    </row>
    <row r="1851" ht="14.25" customHeight="1">
      <c r="A1851" s="1" t="s">
        <v>9207</v>
      </c>
      <c r="B1851" s="1" t="s">
        <v>35</v>
      </c>
      <c r="C1851" s="1">
        <v>4.1</v>
      </c>
    </row>
    <row r="1852" ht="14.25" customHeight="1">
      <c r="A1852" s="1" t="s">
        <v>9210</v>
      </c>
      <c r="B1852" s="1" t="s">
        <v>35</v>
      </c>
      <c r="C1852" s="1">
        <v>6.6</v>
      </c>
    </row>
    <row r="1853" ht="14.25" customHeight="1">
      <c r="A1853" s="1" t="s">
        <v>9216</v>
      </c>
      <c r="B1853" s="1" t="s">
        <v>35</v>
      </c>
      <c r="C1853" s="1">
        <v>2.9</v>
      </c>
    </row>
    <row r="1854" ht="14.25" customHeight="1">
      <c r="A1854" s="1" t="s">
        <v>9222</v>
      </c>
      <c r="B1854" s="1" t="s">
        <v>35</v>
      </c>
      <c r="C1854" s="1">
        <v>6.5</v>
      </c>
    </row>
    <row r="1855" ht="14.25" customHeight="1">
      <c r="A1855" s="1" t="s">
        <v>9226</v>
      </c>
      <c r="B1855" s="1" t="s">
        <v>35</v>
      </c>
      <c r="C1855" s="1">
        <v>7.2</v>
      </c>
    </row>
    <row r="1856" ht="14.25" customHeight="1">
      <c r="A1856" s="1" t="s">
        <v>9229</v>
      </c>
      <c r="B1856" s="1" t="s">
        <v>35</v>
      </c>
      <c r="C1856" s="1">
        <v>6.8</v>
      </c>
    </row>
    <row r="1857" ht="14.25" customHeight="1">
      <c r="A1857" s="1" t="s">
        <v>9235</v>
      </c>
      <c r="B1857" s="1" t="s">
        <v>35</v>
      </c>
      <c r="C1857" s="1">
        <v>7.8</v>
      </c>
    </row>
    <row r="1858" ht="14.25" customHeight="1">
      <c r="A1858" s="1" t="s">
        <v>9242</v>
      </c>
      <c r="B1858" s="1" t="s">
        <v>35</v>
      </c>
      <c r="C1858" s="1">
        <v>6.7</v>
      </c>
    </row>
    <row r="1859" ht="14.25" customHeight="1">
      <c r="A1859" s="1" t="s">
        <v>9246</v>
      </c>
      <c r="B1859" s="1" t="s">
        <v>2752</v>
      </c>
      <c r="C1859" s="1">
        <v>7.1</v>
      </c>
    </row>
    <row r="1860" ht="14.25" customHeight="1">
      <c r="A1860" s="1" t="s">
        <v>9253</v>
      </c>
      <c r="B1860" s="1" t="s">
        <v>35</v>
      </c>
      <c r="C1860" s="1">
        <v>5.7</v>
      </c>
    </row>
    <row r="1861" ht="14.25" customHeight="1">
      <c r="A1861" s="1" t="s">
        <v>9258</v>
      </c>
      <c r="B1861" s="1" t="s">
        <v>35</v>
      </c>
      <c r="C1861" s="1">
        <v>5.3</v>
      </c>
    </row>
    <row r="1862" ht="14.25" customHeight="1">
      <c r="A1862" s="1" t="s">
        <v>9261</v>
      </c>
      <c r="B1862" s="1" t="s">
        <v>35</v>
      </c>
      <c r="C1862" s="1">
        <v>7.7</v>
      </c>
    </row>
    <row r="1863" ht="14.25" customHeight="1">
      <c r="A1863" s="1" t="s">
        <v>9264</v>
      </c>
      <c r="B1863" s="1" t="s">
        <v>35</v>
      </c>
      <c r="C1863" s="1">
        <v>6.1</v>
      </c>
    </row>
    <row r="1864" ht="14.25" customHeight="1">
      <c r="A1864" s="1" t="s">
        <v>9267</v>
      </c>
      <c r="B1864" s="1" t="s">
        <v>35</v>
      </c>
      <c r="C1864" s="1">
        <v>7.3</v>
      </c>
    </row>
    <row r="1865" ht="14.25" customHeight="1">
      <c r="A1865" s="1" t="s">
        <v>9270</v>
      </c>
      <c r="B1865" s="1" t="s">
        <v>35</v>
      </c>
      <c r="C1865" s="1">
        <v>7.2</v>
      </c>
    </row>
    <row r="1866" ht="14.25" customHeight="1">
      <c r="A1866" s="1" t="s">
        <v>1802</v>
      </c>
      <c r="B1866" s="1" t="s">
        <v>35</v>
      </c>
      <c r="C1866" s="1">
        <v>5.3</v>
      </c>
    </row>
    <row r="1867" ht="14.25" customHeight="1">
      <c r="A1867" s="1" t="s">
        <v>9273</v>
      </c>
      <c r="B1867" s="1" t="s">
        <v>35</v>
      </c>
      <c r="C1867" s="1">
        <v>6.1</v>
      </c>
    </row>
    <row r="1868" ht="14.25" customHeight="1">
      <c r="A1868" s="1" t="s">
        <v>9277</v>
      </c>
      <c r="B1868" s="1" t="s">
        <v>35</v>
      </c>
      <c r="C1868" s="1">
        <v>5.8</v>
      </c>
    </row>
    <row r="1869" ht="14.25" customHeight="1">
      <c r="A1869" s="1" t="s">
        <v>9281</v>
      </c>
      <c r="B1869" s="1" t="s">
        <v>35</v>
      </c>
      <c r="C1869" s="1">
        <v>5.7</v>
      </c>
    </row>
    <row r="1870" ht="14.25" customHeight="1">
      <c r="A1870" s="1" t="s">
        <v>9284</v>
      </c>
      <c r="B1870" s="1" t="s">
        <v>35</v>
      </c>
      <c r="C1870" s="1">
        <v>6.7</v>
      </c>
    </row>
    <row r="1871" ht="14.25" customHeight="1">
      <c r="A1871" s="1" t="s">
        <v>9288</v>
      </c>
      <c r="B1871" s="1" t="s">
        <v>35</v>
      </c>
      <c r="C1871" s="1">
        <v>6.5</v>
      </c>
    </row>
    <row r="1872" ht="14.25" customHeight="1">
      <c r="A1872" s="1" t="s">
        <v>9292</v>
      </c>
      <c r="B1872" s="1" t="s">
        <v>35</v>
      </c>
      <c r="C1872" s="1">
        <v>7.2</v>
      </c>
    </row>
    <row r="1873" ht="14.25" customHeight="1">
      <c r="A1873" s="1" t="s">
        <v>9296</v>
      </c>
      <c r="B1873" s="1" t="s">
        <v>35</v>
      </c>
      <c r="C1873" s="1">
        <v>7.6</v>
      </c>
    </row>
    <row r="1874" ht="14.25" customHeight="1">
      <c r="A1874" s="1" t="s">
        <v>9300</v>
      </c>
      <c r="B1874" s="1" t="s">
        <v>35</v>
      </c>
      <c r="C1874" s="1">
        <v>4.6</v>
      </c>
    </row>
    <row r="1875" ht="14.25" customHeight="1">
      <c r="A1875" s="1" t="s">
        <v>9303</v>
      </c>
      <c r="B1875" s="1" t="s">
        <v>35</v>
      </c>
      <c r="C1875" s="1">
        <v>6.9</v>
      </c>
    </row>
    <row r="1876" ht="14.25" customHeight="1">
      <c r="A1876" s="1" t="s">
        <v>9306</v>
      </c>
      <c r="B1876" s="1" t="s">
        <v>35</v>
      </c>
      <c r="C1876" s="1">
        <v>6.6</v>
      </c>
    </row>
    <row r="1877" ht="14.25" customHeight="1">
      <c r="A1877" s="1" t="s">
        <v>9312</v>
      </c>
      <c r="B1877" s="1" t="s">
        <v>35</v>
      </c>
      <c r="C1877" s="1">
        <v>6.3</v>
      </c>
    </row>
    <row r="1878" ht="14.25" customHeight="1">
      <c r="A1878" s="1" t="s">
        <v>9316</v>
      </c>
      <c r="B1878" s="1" t="s">
        <v>35</v>
      </c>
      <c r="C1878" s="1">
        <v>6.2</v>
      </c>
    </row>
    <row r="1879" ht="14.25" customHeight="1">
      <c r="A1879" s="1" t="s">
        <v>9321</v>
      </c>
      <c r="B1879" s="1" t="s">
        <v>35</v>
      </c>
      <c r="C1879" s="1">
        <v>5.3</v>
      </c>
    </row>
    <row r="1880" ht="14.25" customHeight="1">
      <c r="A1880" s="1" t="s">
        <v>9324</v>
      </c>
      <c r="B1880" s="1" t="s">
        <v>35</v>
      </c>
      <c r="C1880" s="1">
        <v>7.3</v>
      </c>
    </row>
    <row r="1881" ht="14.25" customHeight="1">
      <c r="A1881" s="1" t="s">
        <v>9327</v>
      </c>
      <c r="B1881" s="1" t="s">
        <v>35</v>
      </c>
      <c r="C1881" s="1">
        <v>5.6</v>
      </c>
    </row>
    <row r="1882" ht="14.25" customHeight="1">
      <c r="A1882" s="1" t="s">
        <v>9330</v>
      </c>
      <c r="B1882" s="1" t="s">
        <v>35</v>
      </c>
      <c r="C1882" s="1">
        <v>6.2</v>
      </c>
    </row>
    <row r="1883" ht="14.25" customHeight="1">
      <c r="A1883" s="1" t="s">
        <v>9336</v>
      </c>
      <c r="B1883" s="1" t="s">
        <v>35</v>
      </c>
      <c r="C1883" s="1">
        <v>5.2</v>
      </c>
    </row>
    <row r="1884" ht="14.25" customHeight="1">
      <c r="A1884" s="1" t="s">
        <v>9343</v>
      </c>
      <c r="B1884" s="1" t="s">
        <v>35</v>
      </c>
      <c r="C1884" s="1">
        <v>5.3</v>
      </c>
    </row>
    <row r="1885" ht="14.25" customHeight="1">
      <c r="A1885" s="1" t="s">
        <v>9347</v>
      </c>
      <c r="B1885" s="1" t="s">
        <v>35</v>
      </c>
      <c r="C1885" s="1">
        <v>5.4</v>
      </c>
    </row>
    <row r="1886" ht="14.25" customHeight="1">
      <c r="A1886" s="1" t="s">
        <v>9352</v>
      </c>
      <c r="B1886" s="1" t="s">
        <v>35</v>
      </c>
      <c r="C1886" s="1">
        <v>4.9</v>
      </c>
    </row>
    <row r="1887" ht="14.25" customHeight="1">
      <c r="A1887" s="1" t="s">
        <v>9355</v>
      </c>
      <c r="B1887" s="1" t="s">
        <v>35</v>
      </c>
      <c r="C1887" s="1">
        <v>5.5</v>
      </c>
    </row>
    <row r="1888" ht="14.25" customHeight="1">
      <c r="A1888" s="1" t="s">
        <v>9359</v>
      </c>
      <c r="B1888" s="1" t="s">
        <v>35</v>
      </c>
      <c r="C1888" s="1">
        <v>6.7</v>
      </c>
    </row>
    <row r="1889" ht="14.25" customHeight="1">
      <c r="A1889" s="1" t="s">
        <v>9363</v>
      </c>
      <c r="B1889" s="1" t="s">
        <v>35</v>
      </c>
      <c r="C1889" s="1">
        <v>7.2</v>
      </c>
    </row>
    <row r="1890" ht="14.25" customHeight="1">
      <c r="A1890" s="1" t="s">
        <v>9371</v>
      </c>
      <c r="B1890" s="1" t="s">
        <v>35</v>
      </c>
      <c r="C1890" s="1">
        <v>5.1</v>
      </c>
    </row>
    <row r="1891" ht="14.25" customHeight="1">
      <c r="A1891" s="1" t="s">
        <v>9374</v>
      </c>
      <c r="B1891" s="1" t="s">
        <v>35</v>
      </c>
      <c r="C1891" s="1">
        <v>6.5</v>
      </c>
    </row>
    <row r="1892" ht="14.25" customHeight="1">
      <c r="A1892" s="1" t="s">
        <v>9377</v>
      </c>
      <c r="B1892" s="1" t="s">
        <v>7281</v>
      </c>
      <c r="C1892" s="1">
        <v>8.2</v>
      </c>
    </row>
    <row r="1893" ht="14.25" customHeight="1">
      <c r="A1893" s="1" t="s">
        <v>9380</v>
      </c>
      <c r="B1893" s="1" t="s">
        <v>35</v>
      </c>
      <c r="C1893" s="1">
        <v>7.7</v>
      </c>
    </row>
    <row r="1894" ht="14.25" customHeight="1">
      <c r="A1894" s="1" t="s">
        <v>198</v>
      </c>
      <c r="B1894" s="1" t="s">
        <v>35</v>
      </c>
      <c r="C1894" s="1">
        <v>7.2</v>
      </c>
    </row>
    <row r="1895" ht="14.25" customHeight="1">
      <c r="A1895" s="1" t="s">
        <v>9385</v>
      </c>
      <c r="B1895" s="1" t="s">
        <v>35</v>
      </c>
      <c r="C1895" s="1">
        <v>6.1</v>
      </c>
    </row>
    <row r="1896" ht="14.25" customHeight="1">
      <c r="A1896" s="1" t="s">
        <v>9388</v>
      </c>
      <c r="B1896" s="1" t="s">
        <v>35</v>
      </c>
      <c r="C1896" s="1">
        <v>8.8</v>
      </c>
    </row>
    <row r="1897" ht="14.25" customHeight="1">
      <c r="A1897" s="1" t="s">
        <v>9392</v>
      </c>
      <c r="B1897" s="1" t="s">
        <v>35</v>
      </c>
      <c r="C1897" s="1">
        <v>6.8</v>
      </c>
    </row>
    <row r="1898" ht="14.25" customHeight="1">
      <c r="A1898" s="1" t="s">
        <v>9396</v>
      </c>
      <c r="B1898" s="1" t="s">
        <v>35</v>
      </c>
      <c r="C1898" s="1">
        <v>6.8</v>
      </c>
    </row>
    <row r="1899" ht="14.25" customHeight="1">
      <c r="A1899" s="1" t="s">
        <v>9400</v>
      </c>
      <c r="B1899" s="1" t="s">
        <v>35</v>
      </c>
      <c r="C1899" s="1">
        <v>6.7</v>
      </c>
    </row>
    <row r="1900" ht="14.25" customHeight="1">
      <c r="A1900" s="1" t="s">
        <v>9405</v>
      </c>
      <c r="B1900" s="1" t="s">
        <v>35</v>
      </c>
      <c r="C1900" s="1">
        <v>7.1</v>
      </c>
    </row>
    <row r="1901" ht="14.25" customHeight="1">
      <c r="A1901" s="1" t="s">
        <v>9408</v>
      </c>
      <c r="B1901" s="1" t="s">
        <v>35</v>
      </c>
      <c r="C1901" s="1">
        <v>7.1</v>
      </c>
    </row>
    <row r="1902" ht="14.25" customHeight="1">
      <c r="A1902" s="1" t="s">
        <v>9412</v>
      </c>
      <c r="B1902" s="1" t="s">
        <v>35</v>
      </c>
      <c r="C1902" s="1">
        <v>6.1</v>
      </c>
    </row>
    <row r="1903" ht="14.25" customHeight="1">
      <c r="A1903" s="1" t="s">
        <v>9416</v>
      </c>
      <c r="B1903" s="1" t="s">
        <v>35</v>
      </c>
      <c r="C1903" s="1">
        <v>8.0</v>
      </c>
    </row>
    <row r="1904" ht="14.25" customHeight="1">
      <c r="A1904" s="1" t="s">
        <v>9002</v>
      </c>
      <c r="B1904" s="1" t="s">
        <v>35</v>
      </c>
      <c r="C1904" s="1">
        <v>7.5</v>
      </c>
    </row>
    <row r="1905" ht="14.25" customHeight="1">
      <c r="A1905" s="1" t="s">
        <v>9421</v>
      </c>
      <c r="B1905" s="1" t="s">
        <v>35</v>
      </c>
      <c r="C1905" s="1">
        <v>6.6</v>
      </c>
    </row>
    <row r="1906" ht="14.25" customHeight="1">
      <c r="A1906" s="1" t="s">
        <v>9427</v>
      </c>
      <c r="B1906" s="1" t="s">
        <v>35</v>
      </c>
      <c r="C1906" s="1">
        <v>5.4</v>
      </c>
    </row>
    <row r="1907" ht="14.25" customHeight="1">
      <c r="A1907" s="1" t="s">
        <v>9432</v>
      </c>
      <c r="B1907" s="1" t="s">
        <v>35</v>
      </c>
      <c r="C1907" s="1">
        <v>6.1</v>
      </c>
    </row>
    <row r="1908" ht="14.25" customHeight="1">
      <c r="A1908" s="1" t="s">
        <v>8072</v>
      </c>
      <c r="B1908" s="1" t="s">
        <v>35</v>
      </c>
      <c r="C1908" s="1">
        <v>6.1</v>
      </c>
    </row>
    <row r="1909" ht="14.25" customHeight="1">
      <c r="A1909" s="1" t="s">
        <v>9437</v>
      </c>
      <c r="B1909" s="1" t="s">
        <v>35</v>
      </c>
      <c r="C1909" s="1">
        <v>5.6</v>
      </c>
    </row>
    <row r="1910" ht="14.25" customHeight="1">
      <c r="A1910" s="1" t="s">
        <v>9442</v>
      </c>
      <c r="B1910" s="1" t="s">
        <v>35</v>
      </c>
      <c r="C1910" s="1">
        <v>5.8</v>
      </c>
    </row>
    <row r="1911" ht="14.25" customHeight="1">
      <c r="A1911" s="1" t="s">
        <v>9446</v>
      </c>
      <c r="B1911" s="1" t="s">
        <v>35</v>
      </c>
      <c r="C1911" s="1">
        <v>2.8</v>
      </c>
    </row>
    <row r="1912" ht="14.25" customHeight="1">
      <c r="A1912" s="1" t="s">
        <v>9452</v>
      </c>
      <c r="B1912" s="1" t="s">
        <v>35</v>
      </c>
      <c r="C1912" s="1">
        <v>6.7</v>
      </c>
    </row>
    <row r="1913" ht="14.25" customHeight="1">
      <c r="A1913" s="1" t="s">
        <v>9456</v>
      </c>
      <c r="B1913" s="1" t="s">
        <v>35</v>
      </c>
      <c r="C1913" s="1">
        <v>5.1</v>
      </c>
    </row>
    <row r="1914" ht="14.25" customHeight="1">
      <c r="A1914" s="1" t="s">
        <v>9461</v>
      </c>
      <c r="B1914" s="1" t="s">
        <v>35</v>
      </c>
      <c r="C1914" s="1">
        <v>7.2</v>
      </c>
    </row>
    <row r="1915" ht="14.25" customHeight="1">
      <c r="A1915" s="1" t="s">
        <v>9466</v>
      </c>
      <c r="B1915" s="1" t="s">
        <v>35</v>
      </c>
      <c r="C1915" s="1">
        <v>6.0</v>
      </c>
    </row>
    <row r="1916" ht="14.25" customHeight="1">
      <c r="A1916" s="1" t="s">
        <v>9471</v>
      </c>
      <c r="B1916" s="1" t="s">
        <v>2752</v>
      </c>
      <c r="C1916" s="1">
        <v>6.7</v>
      </c>
    </row>
    <row r="1917" ht="14.25" customHeight="1">
      <c r="A1917" s="1" t="s">
        <v>9476</v>
      </c>
      <c r="B1917" s="1" t="s">
        <v>35</v>
      </c>
      <c r="C1917" s="1">
        <v>6.2</v>
      </c>
    </row>
    <row r="1918" ht="14.25" customHeight="1">
      <c r="A1918" s="1" t="s">
        <v>9483</v>
      </c>
      <c r="B1918" s="1" t="s">
        <v>35</v>
      </c>
      <c r="C1918" s="1">
        <v>6.2</v>
      </c>
    </row>
    <row r="1919" ht="14.25" customHeight="1">
      <c r="A1919" s="1">
        <v>1408.0</v>
      </c>
      <c r="B1919" s="1" t="s">
        <v>35</v>
      </c>
      <c r="C1919" s="1">
        <v>6.8</v>
      </c>
    </row>
    <row r="1920" ht="14.25" customHeight="1">
      <c r="A1920" s="1" t="s">
        <v>9495</v>
      </c>
      <c r="B1920" s="1" t="s">
        <v>35</v>
      </c>
      <c r="C1920" s="1">
        <v>7.1</v>
      </c>
    </row>
    <row r="1921" ht="14.25" customHeight="1">
      <c r="A1921" s="1" t="s">
        <v>9502</v>
      </c>
      <c r="B1921" s="1" t="s">
        <v>35</v>
      </c>
      <c r="C1921" s="1">
        <v>7.1</v>
      </c>
    </row>
    <row r="1922" ht="14.25" customHeight="1">
      <c r="A1922" s="1" t="s">
        <v>9506</v>
      </c>
      <c r="B1922" s="1" t="s">
        <v>35</v>
      </c>
      <c r="C1922" s="1">
        <v>7.0</v>
      </c>
    </row>
    <row r="1923" ht="14.25" customHeight="1">
      <c r="A1923" s="1" t="s">
        <v>9511</v>
      </c>
      <c r="B1923" s="1" t="s">
        <v>35</v>
      </c>
      <c r="C1923" s="1">
        <v>7.1</v>
      </c>
    </row>
    <row r="1924" ht="14.25" customHeight="1">
      <c r="A1924" s="1" t="s">
        <v>9514</v>
      </c>
      <c r="B1924" s="1" t="s">
        <v>35</v>
      </c>
      <c r="C1924" s="1">
        <v>6.4</v>
      </c>
    </row>
    <row r="1925" ht="14.25" customHeight="1">
      <c r="A1925" s="1" t="s">
        <v>9517</v>
      </c>
      <c r="B1925" s="1" t="s">
        <v>35</v>
      </c>
      <c r="C1925" s="1">
        <v>7.0</v>
      </c>
    </row>
    <row r="1926" ht="14.25" customHeight="1">
      <c r="A1926" s="1" t="s">
        <v>9521</v>
      </c>
      <c r="B1926" s="1" t="s">
        <v>35</v>
      </c>
      <c r="C1926" s="1">
        <v>6.2</v>
      </c>
    </row>
    <row r="1927" ht="14.25" customHeight="1">
      <c r="A1927" s="1" t="s">
        <v>9524</v>
      </c>
      <c r="B1927" s="1" t="s">
        <v>35</v>
      </c>
      <c r="C1927" s="1">
        <v>7.5</v>
      </c>
    </row>
    <row r="1928" ht="14.25" customHeight="1">
      <c r="A1928" s="1" t="s">
        <v>9528</v>
      </c>
      <c r="B1928" s="1" t="s">
        <v>35</v>
      </c>
      <c r="C1928" s="1">
        <v>4.8</v>
      </c>
    </row>
    <row r="1929" ht="14.25" customHeight="1">
      <c r="A1929" s="1" t="s">
        <v>9533</v>
      </c>
      <c r="B1929" s="1" t="s">
        <v>35</v>
      </c>
      <c r="C1929" s="1">
        <v>7.3</v>
      </c>
    </row>
    <row r="1930" ht="14.25" customHeight="1">
      <c r="A1930" s="1" t="s">
        <v>9539</v>
      </c>
      <c r="B1930" s="1" t="s">
        <v>35</v>
      </c>
      <c r="C1930" s="1">
        <v>5.8</v>
      </c>
    </row>
    <row r="1931" ht="14.25" customHeight="1">
      <c r="A1931" s="1" t="s">
        <v>9544</v>
      </c>
      <c r="B1931" s="1" t="s">
        <v>35</v>
      </c>
      <c r="C1931" s="1">
        <v>7.6</v>
      </c>
    </row>
    <row r="1932" ht="14.25" customHeight="1">
      <c r="A1932" s="1" t="s">
        <v>9548</v>
      </c>
      <c r="B1932" s="1" t="s">
        <v>35</v>
      </c>
      <c r="C1932" s="1">
        <v>5.6</v>
      </c>
    </row>
    <row r="1933" ht="14.25" customHeight="1">
      <c r="A1933" s="1" t="s">
        <v>9553</v>
      </c>
      <c r="B1933" s="1" t="s">
        <v>35</v>
      </c>
      <c r="C1933" s="1">
        <v>7.0</v>
      </c>
    </row>
    <row r="1934" ht="14.25" customHeight="1">
      <c r="A1934" s="1" t="s">
        <v>9557</v>
      </c>
      <c r="B1934" s="1" t="s">
        <v>35</v>
      </c>
      <c r="C1934" s="1">
        <v>6.6</v>
      </c>
    </row>
    <row r="1935" ht="14.25" customHeight="1">
      <c r="A1935" s="1" t="s">
        <v>9560</v>
      </c>
      <c r="B1935" s="1" t="s">
        <v>35</v>
      </c>
      <c r="C1935" s="1">
        <v>6.5</v>
      </c>
    </row>
    <row r="1936" ht="14.25" customHeight="1">
      <c r="A1936" s="1" t="s">
        <v>9563</v>
      </c>
      <c r="B1936" s="1" t="s">
        <v>35</v>
      </c>
      <c r="C1936" s="1">
        <v>7.4</v>
      </c>
    </row>
    <row r="1937" ht="14.25" customHeight="1">
      <c r="A1937" s="1" t="s">
        <v>9568</v>
      </c>
      <c r="B1937" s="1" t="s">
        <v>35</v>
      </c>
      <c r="C1937" s="1">
        <v>4.6</v>
      </c>
    </row>
    <row r="1938" ht="14.25" customHeight="1">
      <c r="A1938" s="1" t="s">
        <v>9572</v>
      </c>
      <c r="B1938" s="1" t="s">
        <v>35</v>
      </c>
      <c r="C1938" s="1">
        <v>6.4</v>
      </c>
    </row>
    <row r="1939" ht="14.25" customHeight="1">
      <c r="A1939" s="1" t="s">
        <v>5672</v>
      </c>
      <c r="B1939" s="1" t="s">
        <v>35</v>
      </c>
      <c r="C1939" s="1">
        <v>6.0</v>
      </c>
    </row>
    <row r="1940" ht="14.25" customHeight="1">
      <c r="A1940" s="1" t="s">
        <v>9578</v>
      </c>
      <c r="B1940" s="1" t="s">
        <v>35</v>
      </c>
      <c r="C1940" s="1">
        <v>5.9</v>
      </c>
    </row>
    <row r="1941" ht="14.25" customHeight="1">
      <c r="A1941" s="1" t="s">
        <v>9583</v>
      </c>
      <c r="B1941" s="1" t="s">
        <v>35</v>
      </c>
      <c r="C1941" s="1">
        <v>6.4</v>
      </c>
    </row>
    <row r="1942" ht="14.25" customHeight="1">
      <c r="A1942" s="1" t="s">
        <v>9587</v>
      </c>
      <c r="B1942" s="1" t="s">
        <v>35</v>
      </c>
      <c r="C1942" s="1">
        <v>6.6</v>
      </c>
    </row>
    <row r="1943" ht="14.25" customHeight="1">
      <c r="A1943" s="1" t="s">
        <v>9590</v>
      </c>
      <c r="B1943" s="1" t="s">
        <v>35</v>
      </c>
      <c r="C1943" s="1">
        <v>6.9</v>
      </c>
    </row>
    <row r="1944" ht="14.25" customHeight="1">
      <c r="A1944" s="1" t="s">
        <v>1592</v>
      </c>
      <c r="B1944" s="1" t="s">
        <v>35</v>
      </c>
      <c r="C1944" s="1">
        <v>6.9</v>
      </c>
    </row>
    <row r="1945" ht="14.25" customHeight="1">
      <c r="A1945" s="1" t="s">
        <v>9595</v>
      </c>
      <c r="B1945" s="1" t="s">
        <v>35</v>
      </c>
      <c r="C1945" s="1">
        <v>5.8</v>
      </c>
    </row>
    <row r="1946" ht="14.25" customHeight="1">
      <c r="A1946" s="1" t="s">
        <v>9599</v>
      </c>
      <c r="B1946" s="1" t="s">
        <v>35</v>
      </c>
      <c r="C1946" s="1">
        <v>6.4</v>
      </c>
    </row>
    <row r="1947" ht="14.25" customHeight="1">
      <c r="A1947" s="1" t="s">
        <v>9604</v>
      </c>
      <c r="B1947" s="1" t="s">
        <v>35</v>
      </c>
      <c r="C1947" s="1">
        <v>5.3</v>
      </c>
    </row>
    <row r="1948" ht="14.25" customHeight="1">
      <c r="A1948" s="1" t="s">
        <v>9609</v>
      </c>
      <c r="B1948" s="1" t="s">
        <v>35</v>
      </c>
      <c r="C1948" s="1">
        <v>6.5</v>
      </c>
    </row>
    <row r="1949" ht="14.25" customHeight="1">
      <c r="A1949" s="1" t="s">
        <v>9613</v>
      </c>
      <c r="B1949" s="1" t="s">
        <v>35</v>
      </c>
      <c r="C1949" s="1">
        <v>5.7</v>
      </c>
    </row>
    <row r="1950" ht="14.25" customHeight="1">
      <c r="A1950" s="1" t="s">
        <v>9616</v>
      </c>
      <c r="B1950" s="1" t="s">
        <v>35</v>
      </c>
      <c r="C1950" s="1">
        <v>6.7</v>
      </c>
    </row>
    <row r="1951" ht="14.25" customHeight="1">
      <c r="A1951" s="1" t="s">
        <v>9620</v>
      </c>
      <c r="B1951" s="1" t="s">
        <v>35</v>
      </c>
      <c r="C1951" s="1">
        <v>3.9</v>
      </c>
    </row>
    <row r="1952" ht="14.25" customHeight="1">
      <c r="A1952" s="1" t="s">
        <v>9624</v>
      </c>
      <c r="B1952" s="1" t="s">
        <v>35</v>
      </c>
      <c r="C1952" s="1">
        <v>4.1</v>
      </c>
    </row>
    <row r="1953" ht="14.25" customHeight="1">
      <c r="A1953" s="1" t="s">
        <v>9628</v>
      </c>
      <c r="B1953" s="1" t="s">
        <v>35</v>
      </c>
      <c r="C1953" s="1">
        <v>6.2</v>
      </c>
    </row>
    <row r="1954" ht="14.25" customHeight="1">
      <c r="A1954" s="1" t="s">
        <v>9635</v>
      </c>
      <c r="B1954" s="1" t="s">
        <v>35</v>
      </c>
      <c r="C1954" s="1">
        <v>3.8</v>
      </c>
    </row>
    <row r="1955" ht="14.25" customHeight="1">
      <c r="A1955" s="1" t="s">
        <v>9638</v>
      </c>
      <c r="B1955" s="1" t="s">
        <v>35</v>
      </c>
      <c r="C1955" s="1">
        <v>5.1</v>
      </c>
    </row>
    <row r="1956" ht="14.25" customHeight="1">
      <c r="A1956" s="1" t="s">
        <v>9642</v>
      </c>
      <c r="B1956" s="1" t="s">
        <v>9646</v>
      </c>
      <c r="C1956" s="1">
        <v>7.8</v>
      </c>
    </row>
    <row r="1957" ht="14.25" customHeight="1">
      <c r="A1957" s="1" t="s">
        <v>9649</v>
      </c>
      <c r="B1957" s="1" t="s">
        <v>2752</v>
      </c>
      <c r="C1957" s="1">
        <v>7.8</v>
      </c>
    </row>
    <row r="1958" ht="14.25" customHeight="1">
      <c r="A1958" s="1" t="s">
        <v>9654</v>
      </c>
      <c r="B1958" s="1" t="s">
        <v>35</v>
      </c>
      <c r="C1958" s="1">
        <v>6.1</v>
      </c>
    </row>
    <row r="1959" ht="14.25" customHeight="1">
      <c r="A1959" s="1" t="s">
        <v>9657</v>
      </c>
      <c r="B1959" s="1" t="s">
        <v>35</v>
      </c>
      <c r="C1959" s="1">
        <v>5.8</v>
      </c>
    </row>
    <row r="1960" ht="14.25" customHeight="1">
      <c r="A1960" s="1" t="s">
        <v>9662</v>
      </c>
      <c r="B1960" s="1" t="s">
        <v>35</v>
      </c>
      <c r="C1960" s="1">
        <v>6.3</v>
      </c>
    </row>
    <row r="1961" ht="14.25" customHeight="1">
      <c r="A1961" s="1" t="s">
        <v>9668</v>
      </c>
      <c r="B1961" s="1" t="s">
        <v>35</v>
      </c>
      <c r="C1961" s="1">
        <v>5.4</v>
      </c>
    </row>
    <row r="1962" ht="14.25" customHeight="1">
      <c r="A1962" s="1" t="s">
        <v>9672</v>
      </c>
      <c r="B1962" s="1" t="s">
        <v>2752</v>
      </c>
      <c r="C1962" s="1">
        <v>7.3</v>
      </c>
    </row>
    <row r="1963" ht="14.25" customHeight="1">
      <c r="A1963" s="1" t="s">
        <v>9679</v>
      </c>
      <c r="B1963" s="1" t="s">
        <v>35</v>
      </c>
      <c r="C1963" s="1">
        <v>6.8</v>
      </c>
    </row>
    <row r="1964" ht="14.25" customHeight="1">
      <c r="A1964" s="1" t="s">
        <v>9683</v>
      </c>
      <c r="B1964" s="1" t="s">
        <v>35</v>
      </c>
      <c r="C1964" s="1">
        <v>7.3</v>
      </c>
    </row>
    <row r="1965" ht="14.25" customHeight="1">
      <c r="A1965" s="1" t="s">
        <v>9686</v>
      </c>
      <c r="B1965" s="1" t="s">
        <v>35</v>
      </c>
      <c r="C1965" s="1">
        <v>6.5</v>
      </c>
    </row>
    <row r="1966" ht="14.25" customHeight="1">
      <c r="A1966" s="1" t="s">
        <v>9689</v>
      </c>
      <c r="B1966" s="1" t="s">
        <v>35</v>
      </c>
      <c r="C1966" s="1">
        <v>7.2</v>
      </c>
    </row>
    <row r="1967" ht="14.25" customHeight="1">
      <c r="A1967" s="1" t="s">
        <v>9692</v>
      </c>
      <c r="B1967" s="1" t="s">
        <v>35</v>
      </c>
      <c r="C1967" s="1">
        <v>6.3</v>
      </c>
    </row>
    <row r="1968" ht="14.25" customHeight="1">
      <c r="A1968" s="1" t="s">
        <v>9697</v>
      </c>
      <c r="B1968" s="1" t="s">
        <v>35</v>
      </c>
      <c r="C1968" s="1">
        <v>5.9</v>
      </c>
    </row>
    <row r="1969" ht="14.25" customHeight="1">
      <c r="A1969" s="1" t="s">
        <v>9703</v>
      </c>
      <c r="B1969" s="1" t="s">
        <v>35</v>
      </c>
      <c r="C1969" s="1">
        <v>7.8</v>
      </c>
    </row>
    <row r="1970" ht="14.25" customHeight="1">
      <c r="A1970" s="1" t="s">
        <v>9707</v>
      </c>
      <c r="B1970" s="1" t="s">
        <v>35</v>
      </c>
      <c r="C1970" s="1">
        <v>7.4</v>
      </c>
    </row>
    <row r="1971" ht="14.25" customHeight="1">
      <c r="A1971" s="1" t="s">
        <v>9711</v>
      </c>
      <c r="B1971" s="1" t="s">
        <v>35</v>
      </c>
      <c r="C1971" s="1">
        <v>4.8</v>
      </c>
    </row>
    <row r="1972" ht="14.25" customHeight="1">
      <c r="A1972" s="1" t="s">
        <v>9715</v>
      </c>
      <c r="B1972" s="1" t="s">
        <v>35</v>
      </c>
      <c r="C1972" s="1">
        <v>6.3</v>
      </c>
    </row>
    <row r="1973" ht="14.25" customHeight="1">
      <c r="A1973" s="1" t="s">
        <v>9719</v>
      </c>
      <c r="B1973" s="1" t="s">
        <v>35</v>
      </c>
      <c r="C1973" s="1">
        <v>7.8</v>
      </c>
    </row>
    <row r="1974" ht="14.25" customHeight="1">
      <c r="A1974" s="1" t="s">
        <v>9722</v>
      </c>
      <c r="B1974" s="1" t="s">
        <v>35</v>
      </c>
      <c r="C1974" s="1">
        <v>7.5</v>
      </c>
    </row>
    <row r="1975" ht="14.25" customHeight="1">
      <c r="A1975" s="1" t="s">
        <v>9725</v>
      </c>
      <c r="B1975" s="1" t="s">
        <v>35</v>
      </c>
      <c r="C1975" s="1">
        <v>6.8</v>
      </c>
    </row>
    <row r="1976" ht="14.25" customHeight="1">
      <c r="A1976" s="1" t="s">
        <v>9730</v>
      </c>
      <c r="B1976" s="1" t="s">
        <v>35</v>
      </c>
      <c r="C1976" s="1">
        <v>6.6</v>
      </c>
    </row>
    <row r="1977" ht="14.25" customHeight="1">
      <c r="A1977" s="1" t="s">
        <v>9735</v>
      </c>
      <c r="B1977" s="1" t="s">
        <v>35</v>
      </c>
      <c r="C1977" s="1">
        <v>4.6</v>
      </c>
    </row>
    <row r="1978" ht="14.25" customHeight="1">
      <c r="A1978" s="1" t="s">
        <v>9740</v>
      </c>
      <c r="B1978" s="1" t="s">
        <v>35</v>
      </c>
      <c r="C1978" s="1">
        <v>7.1</v>
      </c>
    </row>
    <row r="1979" ht="14.25" customHeight="1">
      <c r="A1979" s="1" t="s">
        <v>9744</v>
      </c>
      <c r="B1979" s="1" t="s">
        <v>35</v>
      </c>
      <c r="C1979" s="1">
        <v>6.1</v>
      </c>
    </row>
    <row r="1980" ht="14.25" customHeight="1">
      <c r="A1980" s="1" t="s">
        <v>9747</v>
      </c>
      <c r="B1980" s="1" t="s">
        <v>35</v>
      </c>
      <c r="C1980" s="1">
        <v>6.7</v>
      </c>
    </row>
    <row r="1981" ht="14.25" customHeight="1">
      <c r="A1981" s="1" t="s">
        <v>9751</v>
      </c>
      <c r="B1981" s="1" t="s">
        <v>35</v>
      </c>
      <c r="C1981" s="1">
        <v>7.1</v>
      </c>
    </row>
    <row r="1982" ht="14.25" customHeight="1">
      <c r="A1982" s="1" t="s">
        <v>9755</v>
      </c>
      <c r="B1982" s="1" t="s">
        <v>35</v>
      </c>
      <c r="C1982" s="1">
        <v>5.8</v>
      </c>
    </row>
    <row r="1983" ht="14.25" customHeight="1">
      <c r="A1983" s="1" t="s">
        <v>9761</v>
      </c>
      <c r="B1983" s="1" t="s">
        <v>35</v>
      </c>
      <c r="C1983" s="1">
        <v>6.7</v>
      </c>
    </row>
    <row r="1984" ht="14.25" customHeight="1">
      <c r="A1984" s="1" t="s">
        <v>9765</v>
      </c>
      <c r="B1984" s="1" t="s">
        <v>35</v>
      </c>
      <c r="C1984" s="1">
        <v>5.8</v>
      </c>
    </row>
    <row r="1985" ht="14.25" customHeight="1">
      <c r="A1985" s="1" t="s">
        <v>9769</v>
      </c>
      <c r="B1985" s="1" t="s">
        <v>35</v>
      </c>
      <c r="C1985" s="1">
        <v>6.8</v>
      </c>
    </row>
    <row r="1986" ht="14.25" customHeight="1">
      <c r="A1986" s="1" t="s">
        <v>9772</v>
      </c>
      <c r="B1986" s="1" t="s">
        <v>35</v>
      </c>
      <c r="C1986" s="1">
        <v>8.5</v>
      </c>
    </row>
    <row r="1987" ht="14.25" customHeight="1">
      <c r="A1987" s="1" t="s">
        <v>9775</v>
      </c>
      <c r="B1987" s="1" t="s">
        <v>35</v>
      </c>
      <c r="C1987" s="1">
        <v>6.6</v>
      </c>
    </row>
    <row r="1988" ht="14.25" customHeight="1">
      <c r="A1988" s="1" t="s">
        <v>9778</v>
      </c>
      <c r="B1988" s="1" t="s">
        <v>35</v>
      </c>
      <c r="C1988" s="1">
        <v>7.7</v>
      </c>
    </row>
    <row r="1989" ht="14.25" customHeight="1">
      <c r="A1989" s="1" t="s">
        <v>9783</v>
      </c>
      <c r="B1989" s="1" t="s">
        <v>35</v>
      </c>
      <c r="C1989" s="1">
        <v>4.7</v>
      </c>
    </row>
    <row r="1990" ht="14.25" customHeight="1">
      <c r="A1990" s="1" t="s">
        <v>9787</v>
      </c>
      <c r="B1990" s="1" t="s">
        <v>35</v>
      </c>
      <c r="C1990" s="1">
        <v>6.4</v>
      </c>
    </row>
    <row r="1991" ht="14.25" customHeight="1">
      <c r="A1991" s="1" t="s">
        <v>9790</v>
      </c>
      <c r="B1991" s="1" t="s">
        <v>35</v>
      </c>
      <c r="C1991" s="1">
        <v>5.5</v>
      </c>
    </row>
    <row r="1992" ht="14.25" customHeight="1">
      <c r="A1992" s="1" t="s">
        <v>9795</v>
      </c>
      <c r="B1992" s="1" t="s">
        <v>35</v>
      </c>
      <c r="C1992" s="1">
        <v>8.6</v>
      </c>
    </row>
    <row r="1993" ht="14.25" customHeight="1">
      <c r="A1993" s="1" t="s">
        <v>9799</v>
      </c>
      <c r="B1993" s="1" t="s">
        <v>35</v>
      </c>
      <c r="C1993" s="1">
        <v>7.0</v>
      </c>
    </row>
    <row r="1994" ht="14.25" customHeight="1">
      <c r="A1994" s="1" t="s">
        <v>9803</v>
      </c>
      <c r="B1994" s="1" t="s">
        <v>35</v>
      </c>
      <c r="C1994" s="1">
        <v>7.1</v>
      </c>
    </row>
    <row r="1995" ht="14.25" customHeight="1">
      <c r="A1995" s="1" t="s">
        <v>9811</v>
      </c>
      <c r="B1995" s="1" t="s">
        <v>35</v>
      </c>
      <c r="C1995" s="1">
        <v>5.7</v>
      </c>
    </row>
    <row r="1996" ht="14.25" customHeight="1">
      <c r="A1996" s="1" t="s">
        <v>9817</v>
      </c>
      <c r="B1996" s="1" t="s">
        <v>35</v>
      </c>
      <c r="C1996" s="1">
        <v>3.7</v>
      </c>
    </row>
    <row r="1997" ht="14.25" customHeight="1">
      <c r="A1997" s="1" t="s">
        <v>9822</v>
      </c>
      <c r="B1997" s="1" t="s">
        <v>35</v>
      </c>
      <c r="C1997" s="1">
        <v>7.5</v>
      </c>
    </row>
    <row r="1998" ht="14.25" customHeight="1">
      <c r="A1998" s="1" t="s">
        <v>9826</v>
      </c>
      <c r="B1998" s="1" t="s">
        <v>35</v>
      </c>
      <c r="C1998" s="1">
        <v>4.6</v>
      </c>
    </row>
    <row r="1999" ht="14.25" customHeight="1">
      <c r="A1999" s="1" t="s">
        <v>9829</v>
      </c>
      <c r="B1999" s="1" t="s">
        <v>35</v>
      </c>
      <c r="C1999" s="1">
        <v>4.9</v>
      </c>
    </row>
    <row r="2000" ht="14.25" customHeight="1">
      <c r="A2000" s="1" t="s">
        <v>6461</v>
      </c>
      <c r="B2000" s="1" t="s">
        <v>35</v>
      </c>
      <c r="C2000" s="1">
        <v>6.9</v>
      </c>
    </row>
    <row r="2001" ht="14.25" customHeight="1">
      <c r="A2001" s="1" t="s">
        <v>9833</v>
      </c>
      <c r="B2001" s="1" t="s">
        <v>35</v>
      </c>
      <c r="C2001" s="1">
        <v>7.1</v>
      </c>
    </row>
    <row r="2002" ht="14.25" customHeight="1">
      <c r="A2002" s="1" t="s">
        <v>9837</v>
      </c>
      <c r="B2002" s="1" t="s">
        <v>35</v>
      </c>
      <c r="C2002" s="1">
        <v>5.8</v>
      </c>
    </row>
    <row r="2003" ht="14.25" customHeight="1">
      <c r="A2003" s="1" t="s">
        <v>8031</v>
      </c>
      <c r="B2003" s="1" t="s">
        <v>35</v>
      </c>
      <c r="C2003" s="1">
        <v>7.0</v>
      </c>
    </row>
    <row r="2004" ht="14.25" customHeight="1">
      <c r="A2004" s="1" t="s">
        <v>9840</v>
      </c>
      <c r="B2004" s="1" t="s">
        <v>35</v>
      </c>
      <c r="C2004" s="1">
        <v>5.4</v>
      </c>
    </row>
    <row r="2005" ht="14.25" customHeight="1">
      <c r="A2005" s="1" t="s">
        <v>9843</v>
      </c>
      <c r="B2005" s="1" t="s">
        <v>35</v>
      </c>
      <c r="C2005" s="1">
        <v>7.3</v>
      </c>
    </row>
    <row r="2006" ht="14.25" customHeight="1">
      <c r="A2006" s="1" t="s">
        <v>9848</v>
      </c>
      <c r="B2006" s="1" t="s">
        <v>35</v>
      </c>
      <c r="C2006" s="1">
        <v>7.1</v>
      </c>
    </row>
    <row r="2007" ht="14.25" customHeight="1">
      <c r="A2007" s="1" t="s">
        <v>9854</v>
      </c>
      <c r="B2007" s="1" t="s">
        <v>35</v>
      </c>
      <c r="C2007" s="1">
        <v>5.8</v>
      </c>
    </row>
    <row r="2008" ht="14.25" customHeight="1">
      <c r="A2008" s="1" t="s">
        <v>9861</v>
      </c>
      <c r="B2008" s="1" t="s">
        <v>35</v>
      </c>
      <c r="C2008" s="1">
        <v>8.1</v>
      </c>
    </row>
    <row r="2009" ht="14.25" customHeight="1">
      <c r="A2009" s="1" t="s">
        <v>9865</v>
      </c>
      <c r="B2009" s="1" t="s">
        <v>35</v>
      </c>
      <c r="C2009" s="1">
        <v>5.7</v>
      </c>
    </row>
    <row r="2010" ht="14.25" customHeight="1">
      <c r="A2010" s="1" t="s">
        <v>9869</v>
      </c>
      <c r="B2010" s="1" t="s">
        <v>35</v>
      </c>
      <c r="C2010" s="1">
        <v>4.4</v>
      </c>
    </row>
    <row r="2011" ht="14.25" customHeight="1">
      <c r="A2011" s="1" t="s">
        <v>9872</v>
      </c>
      <c r="B2011" s="1" t="s">
        <v>35</v>
      </c>
      <c r="C2011" s="1">
        <v>7.9</v>
      </c>
    </row>
    <row r="2012" ht="14.25" customHeight="1">
      <c r="A2012" s="1" t="s">
        <v>9877</v>
      </c>
      <c r="B2012" s="1" t="s">
        <v>35</v>
      </c>
      <c r="C2012" s="1">
        <v>7.6</v>
      </c>
    </row>
    <row r="2013" ht="14.25" customHeight="1">
      <c r="A2013" s="1" t="s">
        <v>9881</v>
      </c>
      <c r="B2013" s="1" t="s">
        <v>35</v>
      </c>
      <c r="C2013" s="1">
        <v>4.8</v>
      </c>
    </row>
    <row r="2014" ht="14.25" customHeight="1">
      <c r="A2014" s="1" t="s">
        <v>9886</v>
      </c>
      <c r="B2014" s="1" t="s">
        <v>35</v>
      </c>
      <c r="C2014" s="1">
        <v>2.7</v>
      </c>
    </row>
    <row r="2015" ht="14.25" customHeight="1">
      <c r="A2015" s="1" t="s">
        <v>9890</v>
      </c>
      <c r="B2015" s="1" t="s">
        <v>35</v>
      </c>
      <c r="C2015" s="1">
        <v>5.8</v>
      </c>
    </row>
    <row r="2016" ht="14.25" customHeight="1">
      <c r="A2016" s="1" t="s">
        <v>9894</v>
      </c>
      <c r="B2016" s="1" t="s">
        <v>35</v>
      </c>
      <c r="C2016" s="1">
        <v>7.5</v>
      </c>
    </row>
    <row r="2017" ht="14.25" customHeight="1">
      <c r="A2017" s="1" t="s">
        <v>9898</v>
      </c>
      <c r="B2017" s="1" t="s">
        <v>35</v>
      </c>
      <c r="C2017" s="1">
        <v>5.4</v>
      </c>
    </row>
    <row r="2018" ht="14.25" customHeight="1">
      <c r="A2018" s="1" t="s">
        <v>9904</v>
      </c>
      <c r="B2018" s="1" t="s">
        <v>35</v>
      </c>
      <c r="C2018" s="1">
        <v>4.1</v>
      </c>
    </row>
    <row r="2019" ht="14.25" customHeight="1">
      <c r="A2019" s="1" t="s">
        <v>9911</v>
      </c>
      <c r="B2019" s="1" t="s">
        <v>35</v>
      </c>
      <c r="C2019" s="1">
        <v>5.9</v>
      </c>
    </row>
    <row r="2020" ht="14.25" customHeight="1">
      <c r="A2020" s="1" t="s">
        <v>9916</v>
      </c>
      <c r="B2020" s="1" t="s">
        <v>35</v>
      </c>
      <c r="C2020" s="1">
        <v>6.3</v>
      </c>
    </row>
    <row r="2021" ht="14.25" customHeight="1">
      <c r="A2021" s="1" t="s">
        <v>9922</v>
      </c>
      <c r="B2021" s="1" t="s">
        <v>35</v>
      </c>
      <c r="C2021" s="1">
        <v>6.8</v>
      </c>
    </row>
    <row r="2022" ht="14.25" customHeight="1">
      <c r="A2022" s="1" t="s">
        <v>9926</v>
      </c>
      <c r="B2022" s="1" t="s">
        <v>35</v>
      </c>
      <c r="C2022" s="1">
        <v>2.3</v>
      </c>
    </row>
    <row r="2023" ht="14.25" customHeight="1">
      <c r="A2023" s="1" t="s">
        <v>2193</v>
      </c>
      <c r="B2023" s="1" t="s">
        <v>35</v>
      </c>
      <c r="C2023" s="1">
        <v>6.9</v>
      </c>
    </row>
    <row r="2024" ht="14.25" customHeight="1">
      <c r="A2024" s="1" t="s">
        <v>9929</v>
      </c>
      <c r="B2024" s="1" t="s">
        <v>35</v>
      </c>
      <c r="C2024" s="1">
        <v>8.1</v>
      </c>
    </row>
    <row r="2025" ht="14.25" customHeight="1">
      <c r="A2025" s="1" t="s">
        <v>9935</v>
      </c>
      <c r="B2025" s="1" t="s">
        <v>35</v>
      </c>
      <c r="C2025" s="1">
        <v>6.1</v>
      </c>
    </row>
    <row r="2026" ht="14.25" customHeight="1">
      <c r="A2026" s="1" t="s">
        <v>9939</v>
      </c>
      <c r="B2026" s="1" t="s">
        <v>35</v>
      </c>
      <c r="C2026" s="1">
        <v>5.0</v>
      </c>
    </row>
    <row r="2027" ht="14.25" customHeight="1">
      <c r="A2027" s="1" t="s">
        <v>9943</v>
      </c>
      <c r="B2027" s="1" t="s">
        <v>35</v>
      </c>
      <c r="C2027" s="1">
        <v>5.5</v>
      </c>
    </row>
    <row r="2028" ht="14.25" customHeight="1">
      <c r="A2028" s="1" t="s">
        <v>9947</v>
      </c>
      <c r="B2028" s="1" t="s">
        <v>35</v>
      </c>
      <c r="C2028" s="1">
        <v>6.2</v>
      </c>
    </row>
    <row r="2029" ht="14.25" customHeight="1">
      <c r="A2029" s="1" t="s">
        <v>9952</v>
      </c>
      <c r="B2029" s="1" t="s">
        <v>35</v>
      </c>
      <c r="C2029" s="1">
        <v>6.2</v>
      </c>
    </row>
    <row r="2030" ht="14.25" customHeight="1">
      <c r="A2030" s="1" t="s">
        <v>9956</v>
      </c>
      <c r="B2030" s="1" t="s">
        <v>35</v>
      </c>
      <c r="C2030" s="1">
        <v>6.3</v>
      </c>
    </row>
    <row r="2031" ht="14.25" customHeight="1">
      <c r="A2031" s="1" t="s">
        <v>9963</v>
      </c>
      <c r="B2031" s="1" t="s">
        <v>35</v>
      </c>
      <c r="C2031" s="1">
        <v>6.7</v>
      </c>
    </row>
    <row r="2032" ht="14.25" customHeight="1">
      <c r="A2032" s="1" t="s">
        <v>9966</v>
      </c>
      <c r="B2032" s="1" t="s">
        <v>35</v>
      </c>
      <c r="C2032" s="1">
        <v>3.5</v>
      </c>
    </row>
    <row r="2033" ht="14.25" customHeight="1">
      <c r="A2033" s="1" t="s">
        <v>9971</v>
      </c>
      <c r="B2033" s="1" t="s">
        <v>35</v>
      </c>
      <c r="C2033" s="1">
        <v>7.5</v>
      </c>
    </row>
    <row r="2034" ht="14.25" customHeight="1">
      <c r="A2034" s="1" t="s">
        <v>9976</v>
      </c>
      <c r="B2034" s="1" t="s">
        <v>35</v>
      </c>
      <c r="C2034" s="1">
        <v>6.6</v>
      </c>
    </row>
    <row r="2035" ht="14.25" customHeight="1">
      <c r="A2035" s="1" t="s">
        <v>9980</v>
      </c>
      <c r="B2035" s="1" t="s">
        <v>35</v>
      </c>
      <c r="C2035" s="1">
        <v>7.5</v>
      </c>
    </row>
    <row r="2036" ht="14.25" customHeight="1">
      <c r="A2036" s="1" t="s">
        <v>9983</v>
      </c>
      <c r="B2036" s="1" t="s">
        <v>35</v>
      </c>
      <c r="C2036" s="1">
        <v>7.2</v>
      </c>
    </row>
    <row r="2037" ht="14.25" customHeight="1">
      <c r="A2037" s="1" t="s">
        <v>9987</v>
      </c>
      <c r="B2037" s="1" t="s">
        <v>35</v>
      </c>
      <c r="C2037" s="1">
        <v>4.8</v>
      </c>
    </row>
    <row r="2038" ht="14.25" customHeight="1">
      <c r="A2038" s="1" t="s">
        <v>9993</v>
      </c>
      <c r="B2038" s="1" t="s">
        <v>35</v>
      </c>
      <c r="C2038" s="1">
        <v>6.6</v>
      </c>
    </row>
    <row r="2039" ht="14.25" customHeight="1">
      <c r="A2039" s="1" t="s">
        <v>9997</v>
      </c>
      <c r="B2039" s="1" t="s">
        <v>35</v>
      </c>
      <c r="C2039" s="1">
        <v>3.5</v>
      </c>
    </row>
    <row r="2040" ht="14.25" customHeight="1">
      <c r="A2040" s="1" t="s">
        <v>10001</v>
      </c>
      <c r="B2040" s="1" t="s">
        <v>35</v>
      </c>
      <c r="C2040" s="1">
        <v>7.6</v>
      </c>
    </row>
    <row r="2041" ht="14.25" customHeight="1">
      <c r="A2041" s="1" t="s">
        <v>10005</v>
      </c>
      <c r="B2041" s="1" t="s">
        <v>35</v>
      </c>
      <c r="C2041" s="1">
        <v>6.3</v>
      </c>
    </row>
    <row r="2042" ht="14.25" customHeight="1">
      <c r="A2042" s="1" t="s">
        <v>10013</v>
      </c>
      <c r="B2042" s="1" t="s">
        <v>35</v>
      </c>
      <c r="C2042" s="1">
        <v>5.5</v>
      </c>
    </row>
    <row r="2043" ht="14.25" customHeight="1">
      <c r="A2043" s="1" t="s">
        <v>10019</v>
      </c>
      <c r="B2043" s="1" t="s">
        <v>35</v>
      </c>
      <c r="C2043" s="1">
        <v>6.3</v>
      </c>
    </row>
    <row r="2044" ht="14.25" customHeight="1">
      <c r="A2044" s="1" t="s">
        <v>10023</v>
      </c>
      <c r="B2044" s="1" t="s">
        <v>35</v>
      </c>
      <c r="C2044" s="1">
        <v>6.5</v>
      </c>
    </row>
    <row r="2045" ht="14.25" customHeight="1">
      <c r="A2045" s="1" t="s">
        <v>10027</v>
      </c>
      <c r="B2045" s="1" t="s">
        <v>35</v>
      </c>
      <c r="C2045" s="1">
        <v>6.9</v>
      </c>
    </row>
    <row r="2046" ht="14.25" customHeight="1">
      <c r="A2046" s="1" t="s">
        <v>10032</v>
      </c>
      <c r="B2046" s="1" t="s">
        <v>35</v>
      </c>
      <c r="C2046" s="1">
        <v>7.6</v>
      </c>
    </row>
    <row r="2047" ht="14.25" customHeight="1">
      <c r="A2047" s="1" t="s">
        <v>10036</v>
      </c>
      <c r="B2047" s="1" t="s">
        <v>35</v>
      </c>
      <c r="C2047" s="1">
        <v>3.9</v>
      </c>
    </row>
    <row r="2048" ht="14.25" customHeight="1">
      <c r="A2048" s="1" t="s">
        <v>10041</v>
      </c>
      <c r="B2048" s="1" t="s">
        <v>35</v>
      </c>
      <c r="C2048" s="1">
        <v>6.1</v>
      </c>
    </row>
    <row r="2049" ht="14.25" customHeight="1">
      <c r="A2049" s="1" t="s">
        <v>10044</v>
      </c>
      <c r="B2049" s="1" t="s">
        <v>35</v>
      </c>
      <c r="C2049" s="1">
        <v>7.3</v>
      </c>
    </row>
    <row r="2050" ht="14.25" customHeight="1">
      <c r="A2050" s="1" t="s">
        <v>10047</v>
      </c>
      <c r="B2050" s="1" t="s">
        <v>35</v>
      </c>
      <c r="C2050" s="1">
        <v>8.3</v>
      </c>
    </row>
    <row r="2051" ht="14.25" customHeight="1">
      <c r="A2051" s="1" t="s">
        <v>10050</v>
      </c>
      <c r="B2051" s="1" t="s">
        <v>35</v>
      </c>
      <c r="C2051" s="1">
        <v>5.8</v>
      </c>
    </row>
    <row r="2052" ht="14.25" customHeight="1">
      <c r="A2052" s="1" t="s">
        <v>10055</v>
      </c>
      <c r="B2052" s="1" t="s">
        <v>35</v>
      </c>
      <c r="C2052" s="1">
        <v>6.8</v>
      </c>
    </row>
    <row r="2053" ht="14.25" customHeight="1">
      <c r="A2053" s="1" t="s">
        <v>10058</v>
      </c>
      <c r="B2053" s="1" t="s">
        <v>35</v>
      </c>
      <c r="C2053" s="1">
        <v>7.0</v>
      </c>
    </row>
    <row r="2054" ht="14.25" customHeight="1">
      <c r="A2054" s="1" t="s">
        <v>10064</v>
      </c>
      <c r="B2054" s="1" t="s">
        <v>35</v>
      </c>
      <c r="C2054" s="1">
        <v>5.9</v>
      </c>
    </row>
    <row r="2055" ht="14.25" customHeight="1">
      <c r="A2055" s="1" t="s">
        <v>10070</v>
      </c>
      <c r="B2055" s="1" t="s">
        <v>35</v>
      </c>
      <c r="C2055" s="1">
        <v>6.5</v>
      </c>
    </row>
    <row r="2056" ht="14.25" customHeight="1">
      <c r="A2056" s="1" t="s">
        <v>10077</v>
      </c>
      <c r="B2056" s="1" t="s">
        <v>35</v>
      </c>
      <c r="C2056" s="1">
        <v>6.4</v>
      </c>
    </row>
    <row r="2057" ht="14.25" customHeight="1">
      <c r="A2057" s="1" t="s">
        <v>10082</v>
      </c>
      <c r="B2057" s="1" t="s">
        <v>35</v>
      </c>
      <c r="C2057" s="1">
        <v>5.8</v>
      </c>
    </row>
    <row r="2058" ht="14.25" customHeight="1">
      <c r="A2058" s="1" t="s">
        <v>10088</v>
      </c>
      <c r="B2058" s="1" t="s">
        <v>35</v>
      </c>
      <c r="C2058" s="1">
        <v>5.1</v>
      </c>
    </row>
    <row r="2059" ht="14.25" customHeight="1">
      <c r="A2059" s="1" t="s">
        <v>10091</v>
      </c>
      <c r="B2059" s="1" t="s">
        <v>35</v>
      </c>
      <c r="C2059" s="1">
        <v>6.8</v>
      </c>
    </row>
    <row r="2060" ht="14.25" customHeight="1">
      <c r="A2060" s="1" t="s">
        <v>10096</v>
      </c>
      <c r="B2060" s="1" t="s">
        <v>35</v>
      </c>
      <c r="C2060" s="1">
        <v>5.3</v>
      </c>
    </row>
    <row r="2061" ht="14.25" customHeight="1">
      <c r="A2061" s="1" t="s">
        <v>10099</v>
      </c>
      <c r="B2061" s="1" t="s">
        <v>35</v>
      </c>
      <c r="C2061" s="1">
        <v>5.3</v>
      </c>
    </row>
    <row r="2062" ht="14.25" customHeight="1">
      <c r="A2062" s="1" t="s">
        <v>10103</v>
      </c>
      <c r="B2062" s="1" t="s">
        <v>35</v>
      </c>
      <c r="C2062" s="1">
        <v>4.9</v>
      </c>
    </row>
    <row r="2063" ht="14.25" customHeight="1">
      <c r="A2063" s="1" t="s">
        <v>10107</v>
      </c>
      <c r="B2063" s="1" t="s">
        <v>35</v>
      </c>
      <c r="C2063" s="1">
        <v>6.8</v>
      </c>
    </row>
    <row r="2064" ht="14.25" customHeight="1">
      <c r="A2064" s="1" t="s">
        <v>10110</v>
      </c>
      <c r="B2064" s="1" t="s">
        <v>35</v>
      </c>
      <c r="C2064" s="1">
        <v>6.1</v>
      </c>
    </row>
    <row r="2065" ht="14.25" customHeight="1">
      <c r="A2065" s="1" t="s">
        <v>10116</v>
      </c>
      <c r="B2065" s="1" t="s">
        <v>35</v>
      </c>
      <c r="C2065" s="1">
        <v>8.5</v>
      </c>
    </row>
    <row r="2066" ht="14.25" customHeight="1">
      <c r="A2066" s="1" t="s">
        <v>10122</v>
      </c>
      <c r="B2066" s="1" t="s">
        <v>35</v>
      </c>
      <c r="C2066" s="1">
        <v>5.9</v>
      </c>
    </row>
    <row r="2067" ht="14.25" customHeight="1">
      <c r="A2067" s="1" t="s">
        <v>10127</v>
      </c>
      <c r="B2067" s="1" t="s">
        <v>35</v>
      </c>
      <c r="C2067" s="1">
        <v>6.3</v>
      </c>
    </row>
    <row r="2068" ht="14.25" customHeight="1">
      <c r="A2068" s="1" t="s">
        <v>10130</v>
      </c>
      <c r="B2068" s="1" t="s">
        <v>35</v>
      </c>
      <c r="C2068" s="1">
        <v>5.9</v>
      </c>
    </row>
    <row r="2069" ht="14.25" customHeight="1">
      <c r="A2069" s="1" t="s">
        <v>10134</v>
      </c>
      <c r="B2069" s="1" t="s">
        <v>35</v>
      </c>
      <c r="C2069" s="1">
        <v>5.4</v>
      </c>
    </row>
    <row r="2070" ht="14.25" customHeight="1">
      <c r="A2070" s="1" t="s">
        <v>10138</v>
      </c>
      <c r="B2070" s="1" t="s">
        <v>35</v>
      </c>
      <c r="C2070" s="1">
        <v>6.9</v>
      </c>
    </row>
    <row r="2071" ht="14.25" customHeight="1">
      <c r="A2071" s="1" t="s">
        <v>10143</v>
      </c>
      <c r="B2071" s="1" t="s">
        <v>35</v>
      </c>
      <c r="C2071" s="1">
        <v>7.5</v>
      </c>
    </row>
    <row r="2072" ht="14.25" customHeight="1">
      <c r="A2072" s="1" t="s">
        <v>10146</v>
      </c>
      <c r="B2072" s="1" t="s">
        <v>35</v>
      </c>
      <c r="C2072" s="1">
        <v>8.2</v>
      </c>
    </row>
    <row r="2073" ht="14.25" customHeight="1">
      <c r="A2073" s="1" t="s">
        <v>10150</v>
      </c>
      <c r="B2073" s="1" t="s">
        <v>35</v>
      </c>
      <c r="C2073" s="1">
        <v>5.9</v>
      </c>
    </row>
    <row r="2074" ht="14.25" customHeight="1">
      <c r="A2074" s="1" t="s">
        <v>10154</v>
      </c>
      <c r="B2074" s="1" t="s">
        <v>35</v>
      </c>
      <c r="C2074" s="1">
        <v>5.0</v>
      </c>
    </row>
    <row r="2075" ht="14.25" customHeight="1">
      <c r="A2075" s="1" t="s">
        <v>10158</v>
      </c>
      <c r="B2075" s="1" t="s">
        <v>35</v>
      </c>
      <c r="C2075" s="1">
        <v>7.3</v>
      </c>
    </row>
    <row r="2076" ht="14.25" customHeight="1">
      <c r="A2076" s="1" t="s">
        <v>10163</v>
      </c>
      <c r="B2076" s="1" t="s">
        <v>35</v>
      </c>
      <c r="C2076" s="1">
        <v>6.4</v>
      </c>
    </row>
    <row r="2077" ht="14.25" customHeight="1">
      <c r="A2077" s="1" t="s">
        <v>10167</v>
      </c>
      <c r="B2077" s="1" t="s">
        <v>35</v>
      </c>
      <c r="C2077" s="1">
        <v>6.6</v>
      </c>
    </row>
    <row r="2078" ht="14.25" customHeight="1">
      <c r="A2078" s="1" t="s">
        <v>10172</v>
      </c>
      <c r="B2078" s="1" t="s">
        <v>6797</v>
      </c>
      <c r="C2078" s="1">
        <v>7.8</v>
      </c>
    </row>
    <row r="2079" ht="14.25" customHeight="1">
      <c r="A2079" s="1" t="s">
        <v>10180</v>
      </c>
      <c r="B2079" s="1" t="s">
        <v>35</v>
      </c>
      <c r="C2079" s="1">
        <v>4.0</v>
      </c>
    </row>
    <row r="2080" ht="14.25" customHeight="1">
      <c r="A2080" s="1" t="s">
        <v>10184</v>
      </c>
      <c r="B2080" s="1" t="s">
        <v>10189</v>
      </c>
      <c r="C2080" s="1">
        <v>7.6</v>
      </c>
    </row>
    <row r="2081" ht="14.25" customHeight="1">
      <c r="A2081" s="1" t="s">
        <v>10190</v>
      </c>
      <c r="B2081" s="1" t="s">
        <v>35</v>
      </c>
      <c r="C2081" s="1">
        <v>7.7</v>
      </c>
    </row>
    <row r="2082" ht="14.25" customHeight="1">
      <c r="A2082" s="1" t="s">
        <v>10194</v>
      </c>
      <c r="B2082" s="1" t="s">
        <v>35</v>
      </c>
      <c r="C2082" s="1">
        <v>5.8</v>
      </c>
    </row>
    <row r="2083" ht="14.25" customHeight="1">
      <c r="A2083" s="1" t="s">
        <v>6711</v>
      </c>
      <c r="B2083" s="1" t="s">
        <v>35</v>
      </c>
      <c r="C2083" s="1">
        <v>5.2</v>
      </c>
    </row>
    <row r="2084" ht="14.25" customHeight="1">
      <c r="A2084" s="1" t="s">
        <v>10200</v>
      </c>
      <c r="B2084" s="1" t="s">
        <v>35</v>
      </c>
      <c r="C2084" s="1">
        <v>5.6</v>
      </c>
    </row>
    <row r="2085" ht="14.25" customHeight="1">
      <c r="A2085" s="1" t="s">
        <v>10205</v>
      </c>
      <c r="B2085" s="1" t="s">
        <v>35</v>
      </c>
      <c r="C2085" s="1">
        <v>5.3</v>
      </c>
    </row>
    <row r="2086" ht="14.25" customHeight="1">
      <c r="A2086" s="1" t="s">
        <v>10211</v>
      </c>
      <c r="B2086" s="1" t="s">
        <v>35</v>
      </c>
      <c r="C2086" s="1">
        <v>6.6</v>
      </c>
    </row>
    <row r="2087" ht="14.25" customHeight="1">
      <c r="A2087" s="1" t="s">
        <v>10215</v>
      </c>
      <c r="B2087" s="1" t="s">
        <v>35</v>
      </c>
      <c r="C2087" s="1">
        <v>1.9</v>
      </c>
    </row>
    <row r="2088" ht="14.25" customHeight="1">
      <c r="A2088" s="1" t="s">
        <v>10218</v>
      </c>
      <c r="B2088" s="1" t="s">
        <v>35</v>
      </c>
      <c r="C2088" s="1">
        <v>5.7</v>
      </c>
    </row>
    <row r="2089" ht="14.25" customHeight="1">
      <c r="A2089" s="1" t="s">
        <v>10222</v>
      </c>
      <c r="B2089" s="1" t="s">
        <v>35</v>
      </c>
      <c r="C2089" s="1">
        <v>6.6</v>
      </c>
    </row>
    <row r="2090" ht="14.25" customHeight="1">
      <c r="A2090" s="1" t="s">
        <v>10227</v>
      </c>
      <c r="B2090" s="1" t="s">
        <v>35</v>
      </c>
      <c r="C2090" s="1">
        <v>6.0</v>
      </c>
    </row>
    <row r="2091" ht="14.25" customHeight="1">
      <c r="A2091" s="1" t="s">
        <v>10232</v>
      </c>
      <c r="B2091" s="1" t="s">
        <v>35</v>
      </c>
      <c r="C2091" s="1">
        <v>6.1</v>
      </c>
    </row>
    <row r="2092" ht="14.25" customHeight="1">
      <c r="A2092" s="1" t="s">
        <v>10236</v>
      </c>
      <c r="B2092" s="1" t="s">
        <v>35</v>
      </c>
      <c r="C2092" s="1">
        <v>4.8</v>
      </c>
    </row>
    <row r="2093" ht="14.25" customHeight="1">
      <c r="A2093" s="1" t="s">
        <v>10240</v>
      </c>
      <c r="B2093" s="1" t="s">
        <v>35</v>
      </c>
      <c r="C2093" s="1">
        <v>6.2</v>
      </c>
    </row>
    <row r="2094" ht="14.25" customHeight="1">
      <c r="A2094" s="1" t="s">
        <v>10243</v>
      </c>
      <c r="B2094" s="1" t="s">
        <v>35</v>
      </c>
      <c r="C2094" s="1">
        <v>7.5</v>
      </c>
    </row>
    <row r="2095" ht="14.25" customHeight="1">
      <c r="A2095" s="1" t="s">
        <v>10247</v>
      </c>
      <c r="B2095" s="1" t="s">
        <v>35</v>
      </c>
      <c r="C2095" s="1">
        <v>6.3</v>
      </c>
    </row>
    <row r="2096" ht="14.25" customHeight="1">
      <c r="A2096" s="1" t="s">
        <v>10253</v>
      </c>
      <c r="B2096" s="1" t="s">
        <v>35</v>
      </c>
      <c r="C2096" s="1">
        <v>7.1</v>
      </c>
    </row>
    <row r="2097" ht="14.25" customHeight="1">
      <c r="A2097" s="1" t="s">
        <v>10257</v>
      </c>
      <c r="B2097" s="1" t="s">
        <v>35</v>
      </c>
      <c r="C2097" s="1">
        <v>6.6</v>
      </c>
    </row>
    <row r="2098" ht="14.25" customHeight="1">
      <c r="A2098" s="1" t="s">
        <v>10260</v>
      </c>
      <c r="B2098" s="1" t="s">
        <v>35</v>
      </c>
      <c r="C2098" s="1">
        <v>6.1</v>
      </c>
    </row>
    <row r="2099" ht="14.25" customHeight="1">
      <c r="A2099" s="1" t="s">
        <v>10264</v>
      </c>
      <c r="B2099" s="1" t="s">
        <v>35</v>
      </c>
      <c r="C2099" s="1">
        <v>6.7</v>
      </c>
    </row>
    <row r="2100" ht="14.25" customHeight="1">
      <c r="A2100" s="1" t="s">
        <v>10269</v>
      </c>
      <c r="B2100" s="1" t="s">
        <v>35</v>
      </c>
      <c r="C2100" s="1">
        <v>5.6</v>
      </c>
    </row>
    <row r="2101" ht="14.25" customHeight="1">
      <c r="A2101" s="1" t="s">
        <v>10274</v>
      </c>
      <c r="B2101" s="1" t="s">
        <v>35</v>
      </c>
      <c r="C2101" s="1">
        <v>7.2</v>
      </c>
    </row>
    <row r="2102" ht="14.25" customHeight="1">
      <c r="A2102" s="1" t="s">
        <v>10279</v>
      </c>
      <c r="B2102" s="1" t="s">
        <v>35</v>
      </c>
      <c r="C2102" s="1">
        <v>4.3</v>
      </c>
    </row>
    <row r="2103" ht="14.25" customHeight="1">
      <c r="A2103" s="1" t="s">
        <v>10284</v>
      </c>
      <c r="B2103" s="1" t="s">
        <v>35</v>
      </c>
      <c r="C2103" s="1">
        <v>6.4</v>
      </c>
    </row>
    <row r="2104" ht="14.25" customHeight="1">
      <c r="A2104" s="1" t="s">
        <v>10288</v>
      </c>
      <c r="B2104" s="1" t="s">
        <v>35</v>
      </c>
      <c r="C2104" s="1">
        <v>7.1</v>
      </c>
    </row>
    <row r="2105" ht="14.25" customHeight="1">
      <c r="A2105" s="1" t="s">
        <v>10294</v>
      </c>
      <c r="B2105" s="1" t="s">
        <v>35</v>
      </c>
      <c r="C2105" s="1">
        <v>6.3</v>
      </c>
    </row>
    <row r="2106" ht="14.25" customHeight="1">
      <c r="A2106" s="1" t="s">
        <v>10297</v>
      </c>
      <c r="B2106" s="1" t="s">
        <v>35</v>
      </c>
      <c r="C2106" s="1">
        <v>7.4</v>
      </c>
    </row>
    <row r="2107" ht="14.25" customHeight="1">
      <c r="A2107" s="1" t="s">
        <v>10302</v>
      </c>
      <c r="B2107" s="1" t="s">
        <v>35</v>
      </c>
      <c r="C2107" s="1">
        <v>6.1</v>
      </c>
    </row>
    <row r="2108" ht="14.25" customHeight="1">
      <c r="A2108" s="1" t="s">
        <v>10306</v>
      </c>
      <c r="B2108" s="1" t="s">
        <v>35</v>
      </c>
      <c r="C2108" s="1">
        <v>6.6</v>
      </c>
    </row>
    <row r="2109" ht="14.25" customHeight="1">
      <c r="A2109" s="1" t="s">
        <v>10310</v>
      </c>
      <c r="B2109" s="1" t="s">
        <v>35</v>
      </c>
      <c r="C2109" s="1">
        <v>6.0</v>
      </c>
    </row>
    <row r="2110" ht="14.25" customHeight="1">
      <c r="A2110" s="1" t="s">
        <v>10314</v>
      </c>
      <c r="B2110" s="1" t="s">
        <v>35</v>
      </c>
      <c r="C2110" s="1">
        <v>6.8</v>
      </c>
    </row>
    <row r="2111" ht="14.25" customHeight="1">
      <c r="A2111" s="1" t="s">
        <v>9707</v>
      </c>
      <c r="B2111" s="1" t="s">
        <v>35</v>
      </c>
      <c r="C2111" s="1">
        <v>7.4</v>
      </c>
    </row>
    <row r="2112" ht="14.25" customHeight="1">
      <c r="A2112" s="1" t="s">
        <v>10319</v>
      </c>
      <c r="B2112" s="1" t="s">
        <v>35</v>
      </c>
      <c r="C2112" s="1">
        <v>6.8</v>
      </c>
    </row>
    <row r="2113" ht="14.25" customHeight="1">
      <c r="A2113" s="1" t="s">
        <v>10323</v>
      </c>
      <c r="B2113" s="1" t="s">
        <v>35</v>
      </c>
      <c r="C2113" s="1">
        <v>7.2</v>
      </c>
    </row>
    <row r="2114" ht="14.25" customHeight="1">
      <c r="A2114" s="1" t="s">
        <v>10328</v>
      </c>
      <c r="B2114" s="1" t="s">
        <v>35</v>
      </c>
      <c r="C2114" s="1">
        <v>1.9</v>
      </c>
    </row>
    <row r="2115" ht="14.25" customHeight="1">
      <c r="A2115" s="1" t="s">
        <v>10334</v>
      </c>
      <c r="B2115" s="1" t="s">
        <v>35</v>
      </c>
      <c r="C2115" s="1">
        <v>5.5</v>
      </c>
    </row>
    <row r="2116" ht="14.25" customHeight="1">
      <c r="A2116" s="1" t="s">
        <v>10339</v>
      </c>
      <c r="B2116" s="1" t="s">
        <v>35</v>
      </c>
      <c r="C2116" s="1">
        <v>4.5</v>
      </c>
    </row>
    <row r="2117" ht="14.25" customHeight="1">
      <c r="A2117" s="1" t="s">
        <v>10342</v>
      </c>
      <c r="B2117" s="1" t="s">
        <v>35</v>
      </c>
      <c r="C2117" s="1">
        <v>6.3</v>
      </c>
    </row>
    <row r="2118" ht="14.25" customHeight="1">
      <c r="A2118" s="1" t="s">
        <v>10346</v>
      </c>
      <c r="B2118" s="1" t="s">
        <v>35</v>
      </c>
      <c r="C2118" s="1">
        <v>6.7</v>
      </c>
    </row>
    <row r="2119" ht="14.25" customHeight="1">
      <c r="A2119" s="1" t="s">
        <v>10354</v>
      </c>
      <c r="B2119" s="1" t="s">
        <v>35</v>
      </c>
      <c r="C2119" s="1">
        <v>2.8</v>
      </c>
    </row>
    <row r="2120" ht="14.25" customHeight="1">
      <c r="A2120" s="1" t="s">
        <v>10358</v>
      </c>
      <c r="B2120" s="1" t="s">
        <v>35</v>
      </c>
      <c r="C2120" s="1">
        <v>5.0</v>
      </c>
    </row>
    <row r="2121" ht="14.25" customHeight="1">
      <c r="A2121" s="1" t="s">
        <v>10363</v>
      </c>
      <c r="B2121" s="1" t="s">
        <v>35</v>
      </c>
      <c r="C2121" s="1">
        <v>4.3</v>
      </c>
    </row>
    <row r="2122" ht="14.25" customHeight="1">
      <c r="A2122" s="1" t="s">
        <v>10369</v>
      </c>
      <c r="B2122" s="1" t="s">
        <v>35</v>
      </c>
      <c r="C2122" s="1">
        <v>5.6</v>
      </c>
    </row>
    <row r="2123" ht="14.25" customHeight="1">
      <c r="A2123" s="1" t="s">
        <v>10375</v>
      </c>
      <c r="B2123" s="1" t="s">
        <v>35</v>
      </c>
      <c r="C2123" s="1">
        <v>6.2</v>
      </c>
    </row>
    <row r="2124" ht="14.25" customHeight="1">
      <c r="A2124" s="1" t="s">
        <v>10379</v>
      </c>
      <c r="B2124" s="1" t="s">
        <v>35</v>
      </c>
      <c r="C2124" s="1">
        <v>5.3</v>
      </c>
    </row>
    <row r="2125" ht="14.25" customHeight="1">
      <c r="A2125" s="1" t="s">
        <v>10384</v>
      </c>
      <c r="B2125" s="1" t="s">
        <v>35</v>
      </c>
      <c r="C2125" s="1">
        <v>7.4</v>
      </c>
    </row>
    <row r="2126" ht="14.25" customHeight="1">
      <c r="A2126" s="1" t="s">
        <v>10389</v>
      </c>
      <c r="B2126" s="1" t="s">
        <v>35</v>
      </c>
      <c r="C2126" s="1">
        <v>6.5</v>
      </c>
    </row>
    <row r="2127" ht="14.25" customHeight="1">
      <c r="A2127" s="1" t="s">
        <v>10392</v>
      </c>
      <c r="B2127" s="1" t="s">
        <v>35</v>
      </c>
      <c r="C2127" s="1">
        <v>7.1</v>
      </c>
    </row>
    <row r="2128" ht="14.25" customHeight="1">
      <c r="A2128" s="1" t="s">
        <v>10396</v>
      </c>
      <c r="B2128" s="1" t="s">
        <v>35</v>
      </c>
      <c r="C2128" s="1">
        <v>7.2</v>
      </c>
    </row>
    <row r="2129" ht="14.25" customHeight="1">
      <c r="A2129" s="1" t="s">
        <v>10399</v>
      </c>
      <c r="B2129" s="1" t="s">
        <v>35</v>
      </c>
      <c r="C2129" s="1">
        <v>2.3</v>
      </c>
    </row>
    <row r="2130" ht="14.25" customHeight="1">
      <c r="A2130" s="1" t="s">
        <v>10405</v>
      </c>
      <c r="B2130" s="1" t="s">
        <v>35</v>
      </c>
      <c r="C2130" s="1">
        <v>6.4</v>
      </c>
    </row>
    <row r="2131" ht="14.25" customHeight="1">
      <c r="A2131" s="1" t="s">
        <v>10411</v>
      </c>
      <c r="B2131" s="1" t="s">
        <v>35</v>
      </c>
      <c r="C2131" s="1">
        <v>6.1</v>
      </c>
    </row>
    <row r="2132" ht="14.25" customHeight="1">
      <c r="A2132" s="1" t="s">
        <v>10415</v>
      </c>
      <c r="B2132" s="1" t="s">
        <v>35</v>
      </c>
      <c r="C2132" s="1">
        <v>7.0</v>
      </c>
    </row>
    <row r="2133" ht="14.25" customHeight="1">
      <c r="A2133" s="1" t="s">
        <v>10419</v>
      </c>
      <c r="B2133" s="1" t="s">
        <v>35</v>
      </c>
      <c r="C2133" s="1">
        <v>7.0</v>
      </c>
    </row>
    <row r="2134" ht="14.25" customHeight="1">
      <c r="A2134" s="1" t="s">
        <v>10426</v>
      </c>
      <c r="B2134" s="1" t="s">
        <v>35</v>
      </c>
      <c r="C2134" s="1">
        <v>7.0</v>
      </c>
    </row>
    <row r="2135" ht="14.25" customHeight="1">
      <c r="A2135" s="1" t="s">
        <v>10431</v>
      </c>
      <c r="B2135" s="1" t="s">
        <v>35</v>
      </c>
      <c r="C2135" s="1">
        <v>4.9</v>
      </c>
    </row>
    <row r="2136" ht="14.25" customHeight="1">
      <c r="A2136" s="1" t="s">
        <v>10434</v>
      </c>
      <c r="B2136" s="1" t="s">
        <v>35</v>
      </c>
      <c r="C2136" s="1">
        <v>6.9</v>
      </c>
    </row>
    <row r="2137" ht="14.25" customHeight="1">
      <c r="A2137" s="1" t="s">
        <v>10440</v>
      </c>
      <c r="B2137" s="1" t="s">
        <v>35</v>
      </c>
      <c r="C2137" s="1">
        <v>7.5</v>
      </c>
    </row>
    <row r="2138" ht="14.25" customHeight="1">
      <c r="A2138" s="1" t="s">
        <v>10443</v>
      </c>
      <c r="B2138" s="1" t="s">
        <v>7281</v>
      </c>
      <c r="C2138" s="1">
        <v>8.4</v>
      </c>
    </row>
    <row r="2139" ht="14.25" customHeight="1">
      <c r="A2139" s="1" t="s">
        <v>10448</v>
      </c>
      <c r="B2139" s="1" t="s">
        <v>2752</v>
      </c>
      <c r="C2139" s="1">
        <v>6.9</v>
      </c>
    </row>
    <row r="2140" ht="14.25" customHeight="1">
      <c r="A2140" s="1" t="s">
        <v>10453</v>
      </c>
      <c r="B2140" s="1" t="s">
        <v>35</v>
      </c>
      <c r="C2140" s="1">
        <v>4.5</v>
      </c>
    </row>
    <row r="2141" ht="14.25" customHeight="1">
      <c r="A2141" s="1" t="s">
        <v>10459</v>
      </c>
      <c r="B2141" s="1" t="s">
        <v>35</v>
      </c>
      <c r="C2141" s="1">
        <v>7.4</v>
      </c>
    </row>
    <row r="2142" ht="14.25" customHeight="1">
      <c r="A2142" s="1" t="s">
        <v>10464</v>
      </c>
      <c r="B2142" s="1" t="s">
        <v>35</v>
      </c>
      <c r="C2142" s="1">
        <v>7.0</v>
      </c>
    </row>
    <row r="2143" ht="14.25" customHeight="1">
      <c r="A2143" s="1" t="s">
        <v>10469</v>
      </c>
      <c r="B2143" s="1" t="s">
        <v>35</v>
      </c>
      <c r="C2143" s="1">
        <v>2.8</v>
      </c>
    </row>
    <row r="2144" ht="14.25" customHeight="1">
      <c r="A2144" s="1" t="s">
        <v>10473</v>
      </c>
      <c r="B2144" s="1" t="s">
        <v>35</v>
      </c>
      <c r="C2144" s="1">
        <v>7.5</v>
      </c>
    </row>
    <row r="2145" ht="14.25" customHeight="1">
      <c r="A2145" s="1" t="s">
        <v>10476</v>
      </c>
      <c r="B2145" s="1" t="s">
        <v>35</v>
      </c>
      <c r="C2145" s="1">
        <v>7.1</v>
      </c>
    </row>
    <row r="2146" ht="14.25" customHeight="1">
      <c r="A2146" s="1" t="s">
        <v>10481</v>
      </c>
      <c r="B2146" s="1" t="s">
        <v>35</v>
      </c>
      <c r="C2146" s="1">
        <v>6.4</v>
      </c>
    </row>
    <row r="2147" ht="14.25" customHeight="1">
      <c r="A2147" s="1" t="s">
        <v>10484</v>
      </c>
      <c r="B2147" s="1" t="s">
        <v>35</v>
      </c>
      <c r="C2147" s="1">
        <v>5.3</v>
      </c>
    </row>
    <row r="2148" ht="14.25" customHeight="1">
      <c r="A2148" s="1" t="s">
        <v>10489</v>
      </c>
      <c r="B2148" s="1" t="s">
        <v>7281</v>
      </c>
      <c r="C2148" s="1">
        <v>6.9</v>
      </c>
    </row>
    <row r="2149" ht="14.25" customHeight="1">
      <c r="A2149" s="1" t="s">
        <v>10495</v>
      </c>
      <c r="B2149" s="1" t="s">
        <v>35</v>
      </c>
      <c r="C2149" s="1">
        <v>6.2</v>
      </c>
    </row>
    <row r="2150" ht="14.25" customHeight="1">
      <c r="A2150" s="1" t="s">
        <v>10499</v>
      </c>
      <c r="B2150" s="1" t="s">
        <v>35</v>
      </c>
      <c r="C2150" s="1">
        <v>6.4</v>
      </c>
    </row>
    <row r="2151" ht="14.25" customHeight="1">
      <c r="A2151" s="1" t="s">
        <v>10503</v>
      </c>
      <c r="B2151" s="1" t="s">
        <v>35</v>
      </c>
      <c r="C2151" s="1">
        <v>5.1</v>
      </c>
    </row>
    <row r="2152" ht="14.25" customHeight="1">
      <c r="A2152" s="1" t="s">
        <v>10509</v>
      </c>
      <c r="B2152" s="1" t="s">
        <v>35</v>
      </c>
      <c r="C2152" s="1">
        <v>5.5</v>
      </c>
    </row>
    <row r="2153" ht="14.25" customHeight="1">
      <c r="A2153" s="1" t="s">
        <v>10514</v>
      </c>
      <c r="B2153" s="1" t="s">
        <v>35</v>
      </c>
      <c r="C2153" s="1">
        <v>5.4</v>
      </c>
    </row>
    <row r="2154" ht="14.25" customHeight="1">
      <c r="A2154" s="1" t="s">
        <v>10518</v>
      </c>
      <c r="B2154" s="1" t="s">
        <v>1864</v>
      </c>
      <c r="C2154" s="1">
        <v>7.5</v>
      </c>
    </row>
    <row r="2155" ht="14.25" customHeight="1">
      <c r="A2155" s="1" t="s">
        <v>10522</v>
      </c>
      <c r="B2155" s="1" t="s">
        <v>10526</v>
      </c>
      <c r="C2155" s="1">
        <v>7.4</v>
      </c>
    </row>
    <row r="2156" ht="14.25" customHeight="1">
      <c r="A2156" s="1" t="s">
        <v>10527</v>
      </c>
      <c r="B2156" s="1" t="s">
        <v>35</v>
      </c>
      <c r="C2156" s="1">
        <v>8.0</v>
      </c>
    </row>
    <row r="2157" ht="14.25" customHeight="1">
      <c r="A2157" s="1" t="s">
        <v>10531</v>
      </c>
      <c r="B2157" s="1" t="s">
        <v>35</v>
      </c>
      <c r="C2157" s="1">
        <v>5.7</v>
      </c>
    </row>
    <row r="2158" ht="14.25" customHeight="1">
      <c r="A2158" s="1" t="s">
        <v>10534</v>
      </c>
      <c r="B2158" s="1" t="s">
        <v>35</v>
      </c>
      <c r="C2158" s="1">
        <v>6.8</v>
      </c>
    </row>
    <row r="2159" ht="14.25" customHeight="1">
      <c r="A2159" s="1" t="s">
        <v>10538</v>
      </c>
      <c r="B2159" s="1" t="s">
        <v>35</v>
      </c>
      <c r="C2159" s="1">
        <v>5.9</v>
      </c>
    </row>
    <row r="2160" ht="14.25" customHeight="1">
      <c r="A2160" s="1" t="s">
        <v>10542</v>
      </c>
      <c r="B2160" s="1" t="s">
        <v>35</v>
      </c>
      <c r="C2160" s="1">
        <v>7.2</v>
      </c>
    </row>
    <row r="2161" ht="14.25" customHeight="1">
      <c r="A2161" s="1" t="s">
        <v>10546</v>
      </c>
      <c r="B2161" s="1" t="s">
        <v>35</v>
      </c>
      <c r="C2161" s="1">
        <v>5.5</v>
      </c>
    </row>
    <row r="2162" ht="14.25" customHeight="1">
      <c r="A2162" s="1" t="s">
        <v>10549</v>
      </c>
      <c r="B2162" s="1" t="s">
        <v>35</v>
      </c>
      <c r="C2162" s="1">
        <v>8.5</v>
      </c>
    </row>
    <row r="2163" ht="14.25" customHeight="1">
      <c r="A2163" s="1" t="s">
        <v>10553</v>
      </c>
      <c r="B2163" s="1" t="s">
        <v>35</v>
      </c>
      <c r="C2163" s="1">
        <v>5.6</v>
      </c>
    </row>
    <row r="2164" ht="14.25" customHeight="1">
      <c r="A2164" s="1" t="s">
        <v>10556</v>
      </c>
      <c r="B2164" s="1" t="s">
        <v>35</v>
      </c>
      <c r="C2164" s="1">
        <v>4.1</v>
      </c>
    </row>
    <row r="2165" ht="14.25" customHeight="1">
      <c r="A2165" s="1" t="s">
        <v>10562</v>
      </c>
      <c r="B2165" s="1" t="s">
        <v>35</v>
      </c>
      <c r="C2165" s="1">
        <v>6.1</v>
      </c>
    </row>
    <row r="2166" ht="14.25" customHeight="1">
      <c r="A2166" s="1" t="s">
        <v>10567</v>
      </c>
      <c r="B2166" s="1" t="s">
        <v>35</v>
      </c>
      <c r="C2166" s="1">
        <v>5.4</v>
      </c>
    </row>
    <row r="2167" ht="14.25" customHeight="1">
      <c r="A2167" s="1" t="s">
        <v>10572</v>
      </c>
      <c r="B2167" s="1" t="s">
        <v>35</v>
      </c>
      <c r="C2167" s="1">
        <v>7.1</v>
      </c>
    </row>
    <row r="2168" ht="14.25" customHeight="1">
      <c r="A2168" s="1" t="s">
        <v>10578</v>
      </c>
      <c r="B2168" s="1" t="s">
        <v>35</v>
      </c>
      <c r="C2168" s="1">
        <v>3.6</v>
      </c>
    </row>
    <row r="2169" ht="14.25" customHeight="1">
      <c r="A2169" s="1" t="s">
        <v>10581</v>
      </c>
      <c r="B2169" s="1" t="s">
        <v>35</v>
      </c>
      <c r="C2169" s="1">
        <v>6.5</v>
      </c>
    </row>
    <row r="2170" ht="14.25" customHeight="1">
      <c r="A2170" s="1" t="s">
        <v>10584</v>
      </c>
      <c r="B2170" s="1" t="s">
        <v>7281</v>
      </c>
      <c r="C2170" s="1">
        <v>8.6</v>
      </c>
    </row>
    <row r="2171" ht="14.25" customHeight="1">
      <c r="A2171" s="1" t="s">
        <v>10590</v>
      </c>
      <c r="B2171" s="1" t="s">
        <v>35</v>
      </c>
      <c r="C2171" s="1">
        <v>7.0</v>
      </c>
    </row>
    <row r="2172" ht="14.25" customHeight="1">
      <c r="A2172" s="1" t="s">
        <v>10594</v>
      </c>
      <c r="B2172" s="1" t="s">
        <v>35</v>
      </c>
      <c r="C2172" s="1">
        <v>7.6</v>
      </c>
    </row>
    <row r="2173" ht="14.25" customHeight="1">
      <c r="A2173" s="1" t="s">
        <v>10599</v>
      </c>
      <c r="B2173" s="1" t="s">
        <v>35</v>
      </c>
      <c r="C2173" s="1">
        <v>6.5</v>
      </c>
    </row>
    <row r="2174" ht="14.25" customHeight="1">
      <c r="A2174" s="1" t="s">
        <v>10605</v>
      </c>
      <c r="B2174" s="1" t="s">
        <v>35</v>
      </c>
      <c r="C2174" s="1">
        <v>6.4</v>
      </c>
    </row>
    <row r="2175" ht="14.25" customHeight="1">
      <c r="A2175" s="1" t="s">
        <v>10611</v>
      </c>
      <c r="B2175" s="1" t="s">
        <v>35</v>
      </c>
      <c r="C2175" s="1">
        <v>6.3</v>
      </c>
    </row>
    <row r="2176" ht="14.25" customHeight="1">
      <c r="A2176" s="1" t="s">
        <v>10615</v>
      </c>
      <c r="B2176" s="1" t="s">
        <v>35</v>
      </c>
      <c r="C2176" s="1">
        <v>5.7</v>
      </c>
    </row>
    <row r="2177" ht="14.25" customHeight="1">
      <c r="A2177" s="1" t="s">
        <v>10623</v>
      </c>
      <c r="B2177" s="1" t="s">
        <v>35</v>
      </c>
      <c r="C2177" s="1">
        <v>6.3</v>
      </c>
    </row>
    <row r="2178" ht="14.25" customHeight="1">
      <c r="A2178" s="1" t="s">
        <v>10628</v>
      </c>
      <c r="B2178" s="1" t="s">
        <v>35</v>
      </c>
      <c r="C2178" s="1">
        <v>6.0</v>
      </c>
    </row>
    <row r="2179" ht="14.25" customHeight="1">
      <c r="A2179" s="1" t="s">
        <v>10631</v>
      </c>
      <c r="B2179" s="1" t="s">
        <v>35</v>
      </c>
      <c r="C2179" s="1">
        <v>7.7</v>
      </c>
    </row>
    <row r="2180" ht="14.25" customHeight="1">
      <c r="A2180" s="1" t="s">
        <v>10635</v>
      </c>
      <c r="B2180" s="1" t="s">
        <v>35</v>
      </c>
      <c r="C2180" s="1">
        <v>6.2</v>
      </c>
    </row>
    <row r="2181" ht="14.25" customHeight="1">
      <c r="A2181" s="1" t="s">
        <v>10639</v>
      </c>
      <c r="B2181" s="1" t="s">
        <v>35</v>
      </c>
      <c r="C2181" s="1">
        <v>7.7</v>
      </c>
    </row>
    <row r="2182" ht="14.25" customHeight="1">
      <c r="A2182" s="1" t="s">
        <v>10643</v>
      </c>
      <c r="B2182" s="1" t="s">
        <v>35</v>
      </c>
      <c r="C2182" s="1">
        <v>6.4</v>
      </c>
    </row>
    <row r="2183" ht="14.25" customHeight="1">
      <c r="A2183" s="1" t="s">
        <v>10646</v>
      </c>
      <c r="B2183" s="1" t="s">
        <v>35</v>
      </c>
      <c r="C2183" s="1">
        <v>6.4</v>
      </c>
    </row>
    <row r="2184" ht="14.25" customHeight="1">
      <c r="A2184" s="1" t="s">
        <v>10650</v>
      </c>
      <c r="B2184" s="1" t="s">
        <v>35</v>
      </c>
      <c r="C2184" s="1">
        <v>6.9</v>
      </c>
    </row>
    <row r="2185" ht="14.25" customHeight="1">
      <c r="A2185" s="1" t="s">
        <v>10654</v>
      </c>
      <c r="B2185" s="1" t="s">
        <v>35</v>
      </c>
      <c r="C2185" s="1">
        <v>7.3</v>
      </c>
    </row>
    <row r="2186" ht="14.25" customHeight="1">
      <c r="A2186" s="1" t="s">
        <v>10657</v>
      </c>
      <c r="B2186" s="1" t="s">
        <v>35</v>
      </c>
      <c r="C2186" s="1">
        <v>7.3</v>
      </c>
    </row>
    <row r="2187" ht="14.25" customHeight="1">
      <c r="A2187" s="1" t="s">
        <v>10663</v>
      </c>
      <c r="B2187" s="1" t="s">
        <v>35</v>
      </c>
      <c r="C2187" s="1">
        <v>6.2</v>
      </c>
    </row>
    <row r="2188" ht="14.25" customHeight="1">
      <c r="A2188" s="1" t="s">
        <v>10668</v>
      </c>
      <c r="B2188" s="1" t="s">
        <v>35</v>
      </c>
      <c r="C2188" s="1">
        <v>6.6</v>
      </c>
    </row>
    <row r="2189" ht="14.25" customHeight="1">
      <c r="A2189" s="1" t="s">
        <v>10671</v>
      </c>
      <c r="B2189" s="1" t="s">
        <v>35</v>
      </c>
      <c r="C2189" s="1">
        <v>6.7</v>
      </c>
    </row>
    <row r="2190" ht="14.25" customHeight="1">
      <c r="A2190" s="1" t="s">
        <v>10675</v>
      </c>
      <c r="B2190" s="1" t="s">
        <v>35</v>
      </c>
      <c r="C2190" s="1">
        <v>5.7</v>
      </c>
    </row>
    <row r="2191" ht="14.25" customHeight="1">
      <c r="A2191" s="1" t="s">
        <v>10680</v>
      </c>
      <c r="B2191" s="1" t="s">
        <v>35</v>
      </c>
      <c r="C2191" s="1">
        <v>3.1</v>
      </c>
    </row>
    <row r="2192" ht="14.25" customHeight="1">
      <c r="A2192" s="1" t="s">
        <v>10684</v>
      </c>
      <c r="B2192" s="1" t="s">
        <v>35</v>
      </c>
      <c r="C2192" s="1">
        <v>6.3</v>
      </c>
    </row>
    <row r="2193" ht="14.25" customHeight="1">
      <c r="A2193" s="1" t="s">
        <v>10688</v>
      </c>
      <c r="B2193" s="1" t="s">
        <v>35</v>
      </c>
      <c r="C2193" s="1">
        <v>5.7</v>
      </c>
    </row>
    <row r="2194" ht="14.25" customHeight="1">
      <c r="A2194" s="1" t="s">
        <v>10693</v>
      </c>
      <c r="B2194" s="1" t="s">
        <v>35</v>
      </c>
      <c r="C2194" s="1">
        <v>7.1</v>
      </c>
    </row>
    <row r="2195" ht="14.25" customHeight="1">
      <c r="A2195" s="1" t="s">
        <v>10696</v>
      </c>
      <c r="B2195" s="1" t="s">
        <v>35</v>
      </c>
      <c r="C2195" s="1">
        <v>7.0</v>
      </c>
    </row>
    <row r="2196" ht="14.25" customHeight="1">
      <c r="A2196" s="1" t="s">
        <v>10699</v>
      </c>
      <c r="B2196" s="1" t="s">
        <v>35</v>
      </c>
      <c r="C2196" s="1">
        <v>6.1</v>
      </c>
    </row>
    <row r="2197" ht="14.25" customHeight="1">
      <c r="A2197" s="1" t="s">
        <v>10704</v>
      </c>
      <c r="B2197" s="1" t="s">
        <v>35</v>
      </c>
      <c r="C2197" s="1">
        <v>6.6</v>
      </c>
    </row>
    <row r="2198" ht="14.25" customHeight="1">
      <c r="A2198" s="1" t="s">
        <v>10708</v>
      </c>
      <c r="B2198" s="1" t="s">
        <v>35</v>
      </c>
      <c r="C2198" s="1">
        <v>7.8</v>
      </c>
    </row>
    <row r="2199" ht="14.25" customHeight="1">
      <c r="A2199" s="1" t="s">
        <v>10712</v>
      </c>
      <c r="B2199" s="1" t="s">
        <v>35</v>
      </c>
      <c r="C2199" s="1">
        <v>8.3</v>
      </c>
    </row>
    <row r="2200" ht="14.25" customHeight="1">
      <c r="A2200" s="1" t="s">
        <v>10717</v>
      </c>
      <c r="B2200" s="1" t="s">
        <v>35</v>
      </c>
      <c r="C2200" s="1">
        <v>3.9</v>
      </c>
    </row>
    <row r="2201" ht="14.25" customHeight="1">
      <c r="A2201" s="1" t="s">
        <v>10721</v>
      </c>
      <c r="B2201" s="1" t="s">
        <v>35</v>
      </c>
      <c r="C2201" s="1">
        <v>7.0</v>
      </c>
    </row>
    <row r="2202" ht="14.25" customHeight="1">
      <c r="A2202" s="1" t="s">
        <v>10725</v>
      </c>
      <c r="B2202" s="1" t="s">
        <v>35</v>
      </c>
      <c r="C2202" s="1">
        <v>6.7</v>
      </c>
    </row>
    <row r="2203" ht="14.25" customHeight="1">
      <c r="A2203" s="1" t="s">
        <v>10730</v>
      </c>
      <c r="B2203" s="1" t="s">
        <v>35</v>
      </c>
      <c r="C2203" s="1">
        <v>7.3</v>
      </c>
    </row>
    <row r="2204" ht="14.25" customHeight="1">
      <c r="A2204" s="1" t="s">
        <v>10733</v>
      </c>
      <c r="B2204" s="1" t="s">
        <v>35</v>
      </c>
      <c r="C2204" s="1">
        <v>6.3</v>
      </c>
    </row>
    <row r="2205" ht="14.25" customHeight="1">
      <c r="A2205" s="1" t="s">
        <v>10736</v>
      </c>
      <c r="B2205" s="1" t="s">
        <v>35</v>
      </c>
      <c r="C2205" s="1">
        <v>7.8</v>
      </c>
    </row>
    <row r="2206" ht="14.25" customHeight="1">
      <c r="A2206" s="1" t="s">
        <v>10739</v>
      </c>
      <c r="B2206" s="1" t="s">
        <v>35</v>
      </c>
      <c r="C2206" s="1">
        <v>7.3</v>
      </c>
    </row>
    <row r="2207" ht="14.25" customHeight="1">
      <c r="A2207" s="1" t="s">
        <v>10743</v>
      </c>
      <c r="B2207" s="1" t="s">
        <v>35</v>
      </c>
      <c r="C2207" s="1">
        <v>7.6</v>
      </c>
    </row>
    <row r="2208" ht="14.25" customHeight="1">
      <c r="A2208" s="1" t="s">
        <v>10750</v>
      </c>
      <c r="B2208" s="1" t="s">
        <v>35</v>
      </c>
      <c r="C2208" s="1">
        <v>5.3</v>
      </c>
    </row>
    <row r="2209" ht="14.25" customHeight="1">
      <c r="A2209" s="1" t="s">
        <v>8098</v>
      </c>
      <c r="B2209" s="1" t="s">
        <v>35</v>
      </c>
      <c r="C2209" s="1">
        <v>7.9</v>
      </c>
    </row>
    <row r="2210" ht="14.25" customHeight="1">
      <c r="A2210" s="1" t="s">
        <v>10755</v>
      </c>
      <c r="B2210" s="1" t="s">
        <v>35</v>
      </c>
      <c r="C2210" s="1">
        <v>5.3</v>
      </c>
    </row>
    <row r="2211" ht="14.25" customHeight="1">
      <c r="A2211" s="1" t="s">
        <v>10761</v>
      </c>
      <c r="B2211" s="1" t="s">
        <v>35</v>
      </c>
      <c r="C2211" s="1">
        <v>6.8</v>
      </c>
    </row>
    <row r="2212" ht="14.25" customHeight="1">
      <c r="A2212" s="1" t="s">
        <v>10765</v>
      </c>
      <c r="B2212" s="1" t="s">
        <v>35</v>
      </c>
      <c r="C2212" s="1">
        <v>7.1</v>
      </c>
    </row>
    <row r="2213" ht="14.25" customHeight="1">
      <c r="A2213" s="1" t="s">
        <v>10771</v>
      </c>
      <c r="B2213" s="1" t="s">
        <v>35</v>
      </c>
      <c r="C2213" s="1">
        <v>5.8</v>
      </c>
    </row>
    <row r="2214" ht="14.25" customHeight="1">
      <c r="A2214" s="1" t="s">
        <v>10775</v>
      </c>
      <c r="B2214" s="1" t="s">
        <v>35</v>
      </c>
      <c r="C2214" s="1">
        <v>5.8</v>
      </c>
    </row>
    <row r="2215" ht="14.25" customHeight="1">
      <c r="A2215" s="1" t="s">
        <v>10780</v>
      </c>
      <c r="B2215" s="1" t="s">
        <v>35</v>
      </c>
      <c r="C2215" s="1">
        <v>8.3</v>
      </c>
    </row>
    <row r="2216" ht="14.25" customHeight="1">
      <c r="A2216" s="1" t="s">
        <v>10785</v>
      </c>
      <c r="B2216" s="1" t="s">
        <v>35</v>
      </c>
      <c r="C2216" s="1">
        <v>5.6</v>
      </c>
    </row>
    <row r="2217" ht="14.25" customHeight="1">
      <c r="A2217" s="1" t="s">
        <v>10789</v>
      </c>
      <c r="B2217" s="1" t="s">
        <v>35</v>
      </c>
      <c r="C2217" s="1">
        <v>6.8</v>
      </c>
    </row>
    <row r="2218" ht="14.25" customHeight="1">
      <c r="A2218" s="1" t="s">
        <v>10797</v>
      </c>
      <c r="B2218" s="1" t="s">
        <v>35</v>
      </c>
      <c r="C2218" s="1">
        <v>5.0</v>
      </c>
    </row>
    <row r="2219" ht="14.25" customHeight="1">
      <c r="A2219" s="1" t="s">
        <v>10800</v>
      </c>
      <c r="B2219" s="1" t="s">
        <v>35</v>
      </c>
      <c r="C2219" s="1">
        <v>7.6</v>
      </c>
    </row>
    <row r="2220" ht="14.25" customHeight="1">
      <c r="A2220" s="1" t="s">
        <v>10803</v>
      </c>
      <c r="B2220" s="1" t="s">
        <v>35</v>
      </c>
      <c r="C2220" s="1">
        <v>6.7</v>
      </c>
    </row>
    <row r="2221" ht="14.25" customHeight="1">
      <c r="A2221" s="1" t="s">
        <v>10807</v>
      </c>
      <c r="B2221" s="1" t="s">
        <v>35</v>
      </c>
      <c r="C2221" s="1">
        <v>6.7</v>
      </c>
    </row>
    <row r="2222" ht="14.25" customHeight="1">
      <c r="A2222" s="1" t="s">
        <v>10813</v>
      </c>
      <c r="B2222" s="1" t="s">
        <v>35</v>
      </c>
      <c r="C2222" s="1">
        <v>5.7</v>
      </c>
    </row>
    <row r="2223" ht="14.25" customHeight="1">
      <c r="A2223" s="1" t="s">
        <v>10818</v>
      </c>
      <c r="B2223" s="1" t="s">
        <v>35</v>
      </c>
      <c r="C2223" s="1">
        <v>5.2</v>
      </c>
    </row>
    <row r="2224" ht="14.25" customHeight="1">
      <c r="A2224" s="1" t="s">
        <v>10823</v>
      </c>
      <c r="B2224" s="1" t="s">
        <v>35</v>
      </c>
      <c r="C2224" s="1">
        <v>7.5</v>
      </c>
    </row>
    <row r="2225" ht="14.25" customHeight="1">
      <c r="A2225" s="1" t="s">
        <v>10826</v>
      </c>
      <c r="B2225" s="1" t="s">
        <v>35</v>
      </c>
      <c r="C2225" s="1">
        <v>7.2</v>
      </c>
    </row>
    <row r="2226" ht="14.25" customHeight="1">
      <c r="A2226" s="1" t="s">
        <v>10829</v>
      </c>
      <c r="B2226" s="1" t="s">
        <v>35</v>
      </c>
      <c r="C2226" s="1">
        <v>5.3</v>
      </c>
    </row>
    <row r="2227" ht="14.25" customHeight="1">
      <c r="A2227" s="1" t="s">
        <v>10833</v>
      </c>
      <c r="B2227" s="1" t="s">
        <v>35</v>
      </c>
      <c r="C2227" s="1">
        <v>6.5</v>
      </c>
    </row>
    <row r="2228" ht="14.25" customHeight="1">
      <c r="A2228" s="1" t="s">
        <v>10837</v>
      </c>
      <c r="B2228" s="1" t="s">
        <v>35</v>
      </c>
      <c r="C2228" s="1">
        <v>5.0</v>
      </c>
    </row>
    <row r="2229" ht="14.25" customHeight="1">
      <c r="A2229" s="1" t="s">
        <v>10843</v>
      </c>
      <c r="B2229" s="1" t="s">
        <v>35</v>
      </c>
      <c r="C2229" s="1">
        <v>6.1</v>
      </c>
    </row>
    <row r="2230" ht="14.25" customHeight="1">
      <c r="A2230" s="1" t="s">
        <v>10847</v>
      </c>
      <c r="B2230" s="1" t="s">
        <v>35</v>
      </c>
      <c r="C2230" s="1">
        <v>4.4</v>
      </c>
    </row>
    <row r="2231" ht="14.25" customHeight="1">
      <c r="A2231" s="1" t="s">
        <v>10853</v>
      </c>
      <c r="B2231" s="1" t="s">
        <v>35</v>
      </c>
      <c r="C2231" s="1">
        <v>7.5</v>
      </c>
    </row>
    <row r="2232" ht="14.25" customHeight="1">
      <c r="A2232" s="1" t="s">
        <v>10856</v>
      </c>
      <c r="B2232" s="1" t="s">
        <v>35</v>
      </c>
      <c r="C2232" s="1">
        <v>5.7</v>
      </c>
    </row>
    <row r="2233" ht="14.25" customHeight="1">
      <c r="A2233" s="1" t="s">
        <v>10861</v>
      </c>
      <c r="B2233" s="1" t="s">
        <v>35</v>
      </c>
      <c r="C2233" s="1">
        <v>5.5</v>
      </c>
    </row>
    <row r="2234" ht="14.25" customHeight="1">
      <c r="A2234" s="1" t="s">
        <v>10867</v>
      </c>
      <c r="B2234" s="1" t="s">
        <v>35</v>
      </c>
      <c r="C2234" s="1">
        <v>7.1</v>
      </c>
    </row>
    <row r="2235" ht="14.25" customHeight="1">
      <c r="A2235" s="1">
        <v>9.0</v>
      </c>
      <c r="B2235" s="1" t="s">
        <v>35</v>
      </c>
      <c r="C2235" s="1">
        <v>5.9</v>
      </c>
    </row>
    <row r="2236" ht="14.25" customHeight="1">
      <c r="A2236" s="1" t="s">
        <v>10878</v>
      </c>
      <c r="B2236" s="1" t="s">
        <v>35</v>
      </c>
      <c r="C2236" s="1">
        <v>6.7</v>
      </c>
    </row>
    <row r="2237" ht="14.25" customHeight="1">
      <c r="A2237" s="1" t="s">
        <v>10883</v>
      </c>
      <c r="B2237" s="1" t="s">
        <v>35</v>
      </c>
      <c r="C2237" s="1">
        <v>7.0</v>
      </c>
    </row>
    <row r="2238" ht="14.25" customHeight="1">
      <c r="A2238" s="1" t="s">
        <v>10888</v>
      </c>
      <c r="B2238" s="1" t="s">
        <v>35</v>
      </c>
      <c r="C2238" s="1">
        <v>7.9</v>
      </c>
    </row>
    <row r="2239" ht="14.25" customHeight="1">
      <c r="A2239" s="1" t="s">
        <v>10891</v>
      </c>
      <c r="B2239" s="1" t="s">
        <v>35</v>
      </c>
      <c r="C2239" s="1">
        <v>6.9</v>
      </c>
    </row>
    <row r="2240" ht="14.25" customHeight="1">
      <c r="A2240" s="1" t="s">
        <v>10894</v>
      </c>
      <c r="B2240" s="1" t="s">
        <v>10899</v>
      </c>
      <c r="C2240" s="1">
        <v>7.3</v>
      </c>
    </row>
    <row r="2241" ht="14.25" customHeight="1">
      <c r="A2241" s="1" t="s">
        <v>10900</v>
      </c>
      <c r="B2241" s="1" t="s">
        <v>35</v>
      </c>
      <c r="C2241" s="1">
        <v>7.3</v>
      </c>
    </row>
    <row r="2242" ht="14.25" customHeight="1">
      <c r="A2242" s="1" t="s">
        <v>10904</v>
      </c>
      <c r="B2242" s="1" t="s">
        <v>35</v>
      </c>
      <c r="C2242" s="1">
        <v>3.5</v>
      </c>
    </row>
    <row r="2243" ht="14.25" customHeight="1">
      <c r="A2243" s="1" t="s">
        <v>10909</v>
      </c>
      <c r="B2243" s="1" t="s">
        <v>35</v>
      </c>
      <c r="C2243" s="1">
        <v>7.8</v>
      </c>
    </row>
    <row r="2244" ht="14.25" customHeight="1">
      <c r="A2244" s="1" t="s">
        <v>10914</v>
      </c>
      <c r="B2244" s="1" t="s">
        <v>35</v>
      </c>
      <c r="C2244" s="1">
        <v>6.7</v>
      </c>
    </row>
    <row r="2245" ht="14.25" customHeight="1">
      <c r="A2245" s="1" t="s">
        <v>10919</v>
      </c>
      <c r="B2245" s="1" t="s">
        <v>35</v>
      </c>
      <c r="C2245" s="1">
        <v>6.4</v>
      </c>
    </row>
    <row r="2246" ht="14.25" customHeight="1">
      <c r="A2246" s="1" t="s">
        <v>10923</v>
      </c>
      <c r="B2246" s="1" t="s">
        <v>35</v>
      </c>
      <c r="C2246" s="1">
        <v>7.1</v>
      </c>
    </row>
    <row r="2247" ht="14.25" customHeight="1">
      <c r="A2247" s="1" t="s">
        <v>10929</v>
      </c>
      <c r="B2247" s="1" t="s">
        <v>10526</v>
      </c>
      <c r="C2247" s="1">
        <v>7.8</v>
      </c>
    </row>
    <row r="2248" ht="14.25" customHeight="1">
      <c r="A2248" s="1" t="s">
        <v>10936</v>
      </c>
      <c r="B2248" s="1" t="s">
        <v>35</v>
      </c>
      <c r="C2248" s="1">
        <v>5.9</v>
      </c>
    </row>
    <row r="2249" ht="14.25" customHeight="1">
      <c r="A2249" s="1" t="s">
        <v>10940</v>
      </c>
      <c r="B2249" s="1" t="s">
        <v>35</v>
      </c>
      <c r="C2249" s="1">
        <v>7.2</v>
      </c>
    </row>
    <row r="2250" ht="14.25" customHeight="1">
      <c r="A2250" s="1" t="s">
        <v>10944</v>
      </c>
      <c r="B2250" s="1" t="s">
        <v>35</v>
      </c>
      <c r="C2250" s="1">
        <v>6.2</v>
      </c>
    </row>
    <row r="2251" ht="14.25" customHeight="1">
      <c r="A2251" s="1" t="s">
        <v>10950</v>
      </c>
      <c r="B2251" s="1" t="s">
        <v>35</v>
      </c>
      <c r="C2251" s="1">
        <v>6.7</v>
      </c>
    </row>
    <row r="2252" ht="14.25" customHeight="1">
      <c r="A2252" s="1" t="s">
        <v>10955</v>
      </c>
      <c r="B2252" s="1" t="s">
        <v>35</v>
      </c>
      <c r="C2252" s="1">
        <v>7.6</v>
      </c>
    </row>
    <row r="2253" ht="14.25" customHeight="1">
      <c r="A2253" s="1" t="s">
        <v>10958</v>
      </c>
      <c r="B2253" s="1" t="s">
        <v>35</v>
      </c>
      <c r="C2253" s="1">
        <v>6.2</v>
      </c>
    </row>
    <row r="2254" ht="14.25" customHeight="1">
      <c r="A2254" s="1" t="s">
        <v>10965</v>
      </c>
      <c r="B2254" s="1" t="s">
        <v>35</v>
      </c>
      <c r="C2254" s="1">
        <v>6.5</v>
      </c>
    </row>
    <row r="2255" ht="14.25" customHeight="1">
      <c r="A2255" s="1" t="s">
        <v>10970</v>
      </c>
      <c r="B2255" s="1" t="s">
        <v>35</v>
      </c>
      <c r="C2255" s="1">
        <v>8.1</v>
      </c>
    </row>
    <row r="2256" ht="14.25" customHeight="1">
      <c r="A2256" s="1" t="s">
        <v>10975</v>
      </c>
      <c r="B2256" s="1" t="s">
        <v>35</v>
      </c>
      <c r="C2256" s="1">
        <v>6.3</v>
      </c>
    </row>
    <row r="2257" ht="14.25" customHeight="1">
      <c r="A2257" s="1" t="s">
        <v>10980</v>
      </c>
      <c r="B2257" s="1" t="s">
        <v>35</v>
      </c>
      <c r="C2257" s="1">
        <v>4.4</v>
      </c>
    </row>
    <row r="2258" ht="14.25" customHeight="1">
      <c r="A2258" s="1" t="s">
        <v>10986</v>
      </c>
      <c r="B2258" s="1" t="s">
        <v>35</v>
      </c>
      <c r="C2258" s="1">
        <v>6.0</v>
      </c>
    </row>
    <row r="2259" ht="14.25" customHeight="1">
      <c r="A2259" s="1" t="s">
        <v>10992</v>
      </c>
      <c r="B2259" s="1" t="s">
        <v>35</v>
      </c>
      <c r="C2259" s="1">
        <v>7.6</v>
      </c>
    </row>
    <row r="2260" ht="14.25" customHeight="1">
      <c r="A2260" s="1" t="s">
        <v>10997</v>
      </c>
      <c r="B2260" s="1" t="s">
        <v>35</v>
      </c>
      <c r="C2260" s="1">
        <v>8.4</v>
      </c>
    </row>
    <row r="2261" ht="14.25" customHeight="1">
      <c r="A2261" s="1" t="s">
        <v>11002</v>
      </c>
      <c r="B2261" s="1" t="s">
        <v>35</v>
      </c>
      <c r="C2261" s="1">
        <v>7.9</v>
      </c>
    </row>
    <row r="2262" ht="14.25" customHeight="1">
      <c r="A2262" s="1" t="s">
        <v>11010</v>
      </c>
      <c r="B2262" s="1" t="s">
        <v>35</v>
      </c>
      <c r="C2262" s="1">
        <v>5.6</v>
      </c>
    </row>
    <row r="2263" ht="14.25" customHeight="1">
      <c r="A2263" s="1" t="s">
        <v>11013</v>
      </c>
      <c r="B2263" s="1" t="s">
        <v>35</v>
      </c>
      <c r="C2263" s="1">
        <v>6.5</v>
      </c>
    </row>
    <row r="2264" ht="14.25" customHeight="1">
      <c r="A2264" s="1" t="s">
        <v>11016</v>
      </c>
      <c r="B2264" s="1" t="s">
        <v>35</v>
      </c>
      <c r="C2264" s="1">
        <v>7.5</v>
      </c>
    </row>
    <row r="2265" ht="14.25" customHeight="1">
      <c r="A2265" s="1" t="s">
        <v>11020</v>
      </c>
      <c r="B2265" s="1" t="s">
        <v>35</v>
      </c>
      <c r="C2265" s="1">
        <v>6.3</v>
      </c>
    </row>
    <row r="2266" ht="14.25" customHeight="1">
      <c r="A2266" s="1" t="s">
        <v>11025</v>
      </c>
      <c r="B2266" s="1" t="s">
        <v>35</v>
      </c>
      <c r="C2266" s="1">
        <v>7.9</v>
      </c>
    </row>
    <row r="2267" ht="14.25" customHeight="1">
      <c r="A2267" s="1" t="s">
        <v>5791</v>
      </c>
      <c r="B2267" s="1" t="s">
        <v>1864</v>
      </c>
      <c r="C2267" s="1">
        <v>7.9</v>
      </c>
    </row>
    <row r="2268" ht="14.25" customHeight="1">
      <c r="A2268" s="1" t="s">
        <v>11030</v>
      </c>
      <c r="B2268" s="1" t="s">
        <v>35</v>
      </c>
      <c r="C2268" s="1">
        <v>5.1</v>
      </c>
    </row>
    <row r="2269" ht="14.25" customHeight="1">
      <c r="A2269" s="1" t="s">
        <v>11034</v>
      </c>
      <c r="B2269" s="1" t="s">
        <v>35</v>
      </c>
      <c r="C2269" s="1">
        <v>6.7</v>
      </c>
    </row>
    <row r="2270" ht="14.25" customHeight="1">
      <c r="A2270" s="1" t="s">
        <v>11037</v>
      </c>
      <c r="B2270" s="1" t="s">
        <v>35</v>
      </c>
      <c r="C2270" s="1">
        <v>6.7</v>
      </c>
    </row>
    <row r="2271" ht="14.25" customHeight="1">
      <c r="A2271" s="1" t="s">
        <v>11041</v>
      </c>
      <c r="B2271" s="1" t="s">
        <v>35</v>
      </c>
      <c r="C2271" s="1">
        <v>5.6</v>
      </c>
    </row>
    <row r="2272" ht="14.25" customHeight="1">
      <c r="A2272" s="1" t="s">
        <v>11045</v>
      </c>
      <c r="B2272" s="1" t="s">
        <v>35</v>
      </c>
      <c r="C2272" s="1">
        <v>5.6</v>
      </c>
    </row>
    <row r="2273" ht="14.25" customHeight="1">
      <c r="A2273" s="1" t="s">
        <v>292</v>
      </c>
      <c r="B2273" s="1" t="s">
        <v>35</v>
      </c>
      <c r="C2273" s="1">
        <v>6.8</v>
      </c>
    </row>
    <row r="2274" ht="14.25" customHeight="1">
      <c r="A2274" s="1" t="s">
        <v>11049</v>
      </c>
      <c r="B2274" s="1" t="s">
        <v>35</v>
      </c>
      <c r="C2274" s="1">
        <v>6.2</v>
      </c>
    </row>
    <row r="2275" ht="14.25" customHeight="1">
      <c r="A2275" s="1" t="s">
        <v>11055</v>
      </c>
      <c r="B2275" s="1" t="s">
        <v>35</v>
      </c>
      <c r="C2275" s="1">
        <v>5.6</v>
      </c>
    </row>
    <row r="2276" ht="14.25" customHeight="1">
      <c r="A2276" s="1" t="s">
        <v>11059</v>
      </c>
      <c r="B2276" s="1" t="s">
        <v>35</v>
      </c>
      <c r="C2276" s="1">
        <v>6.4</v>
      </c>
    </row>
    <row r="2277" ht="14.25" customHeight="1">
      <c r="A2277" s="1" t="s">
        <v>11063</v>
      </c>
      <c r="B2277" s="1" t="s">
        <v>35</v>
      </c>
      <c r="C2277" s="1">
        <v>5.6</v>
      </c>
    </row>
    <row r="2278" ht="14.25" customHeight="1">
      <c r="A2278" s="1" t="s">
        <v>11066</v>
      </c>
      <c r="B2278" s="1" t="s">
        <v>35</v>
      </c>
      <c r="C2278" s="1">
        <v>7.4</v>
      </c>
    </row>
    <row r="2279" ht="14.25" customHeight="1">
      <c r="A2279" s="1" t="s">
        <v>11073</v>
      </c>
      <c r="B2279" s="1" t="s">
        <v>35</v>
      </c>
      <c r="C2279" s="1">
        <v>7.2</v>
      </c>
    </row>
    <row r="2280" ht="14.25" customHeight="1">
      <c r="A2280" s="1" t="s">
        <v>11077</v>
      </c>
      <c r="B2280" s="1" t="s">
        <v>35</v>
      </c>
      <c r="C2280" s="1">
        <v>4.9</v>
      </c>
    </row>
    <row r="2281" ht="14.25" customHeight="1">
      <c r="A2281" s="1" t="s">
        <v>11080</v>
      </c>
      <c r="B2281" s="1" t="s">
        <v>35</v>
      </c>
      <c r="C2281" s="1">
        <v>7.5</v>
      </c>
    </row>
    <row r="2282" ht="14.25" customHeight="1">
      <c r="A2282" s="1" t="s">
        <v>11084</v>
      </c>
      <c r="B2282" s="1" t="s">
        <v>35</v>
      </c>
      <c r="C2282" s="1">
        <v>4.8</v>
      </c>
    </row>
    <row r="2283" ht="14.25" customHeight="1">
      <c r="A2283" s="1" t="s">
        <v>11088</v>
      </c>
      <c r="B2283" s="1" t="s">
        <v>35</v>
      </c>
      <c r="C2283" s="1">
        <v>3.1</v>
      </c>
    </row>
    <row r="2284" ht="14.25" customHeight="1">
      <c r="A2284" s="1" t="s">
        <v>11093</v>
      </c>
      <c r="B2284" s="1" t="s">
        <v>35</v>
      </c>
      <c r="C2284" s="1">
        <v>5.8</v>
      </c>
    </row>
    <row r="2285" ht="14.25" customHeight="1">
      <c r="A2285" s="1" t="s">
        <v>11099</v>
      </c>
      <c r="B2285" s="1" t="s">
        <v>35</v>
      </c>
      <c r="C2285" s="1">
        <v>6.7</v>
      </c>
    </row>
    <row r="2286" ht="14.25" customHeight="1">
      <c r="A2286" s="1" t="s">
        <v>11103</v>
      </c>
      <c r="B2286" s="1" t="s">
        <v>35</v>
      </c>
      <c r="C2286" s="1">
        <v>6.5</v>
      </c>
    </row>
    <row r="2287" ht="14.25" customHeight="1">
      <c r="A2287" s="1" t="s">
        <v>11109</v>
      </c>
      <c r="B2287" s="1" t="s">
        <v>35</v>
      </c>
      <c r="C2287" s="1">
        <v>5.9</v>
      </c>
    </row>
    <row r="2288" ht="14.25" customHeight="1">
      <c r="A2288" s="1" t="s">
        <v>11114</v>
      </c>
      <c r="B2288" s="1" t="s">
        <v>35</v>
      </c>
      <c r="C2288" s="1">
        <v>5.5</v>
      </c>
    </row>
    <row r="2289" ht="14.25" customHeight="1">
      <c r="A2289" s="1" t="s">
        <v>11118</v>
      </c>
      <c r="B2289" s="1" t="s">
        <v>35</v>
      </c>
      <c r="C2289" s="1">
        <v>3.6</v>
      </c>
    </row>
    <row r="2290" ht="14.25" customHeight="1">
      <c r="A2290" s="1" t="s">
        <v>11122</v>
      </c>
      <c r="B2290" s="1" t="s">
        <v>35</v>
      </c>
      <c r="C2290" s="1">
        <v>7.4</v>
      </c>
    </row>
    <row r="2291" ht="14.25" customHeight="1">
      <c r="A2291" s="1" t="s">
        <v>11126</v>
      </c>
      <c r="B2291" s="1" t="s">
        <v>35</v>
      </c>
      <c r="C2291" s="1">
        <v>3.0</v>
      </c>
    </row>
    <row r="2292" ht="14.25" customHeight="1">
      <c r="A2292" s="1" t="s">
        <v>11131</v>
      </c>
      <c r="B2292" s="1" t="s">
        <v>35</v>
      </c>
      <c r="C2292" s="1">
        <v>7.6</v>
      </c>
    </row>
    <row r="2293" ht="14.25" customHeight="1">
      <c r="A2293" s="1" t="s">
        <v>11136</v>
      </c>
      <c r="B2293" s="1" t="s">
        <v>35</v>
      </c>
      <c r="C2293" s="1">
        <v>6.4</v>
      </c>
    </row>
    <row r="2294" ht="14.25" customHeight="1">
      <c r="A2294" s="1" t="s">
        <v>11140</v>
      </c>
      <c r="B2294" s="1" t="s">
        <v>35</v>
      </c>
      <c r="C2294" s="1">
        <v>6.9</v>
      </c>
    </row>
    <row r="2295" ht="14.25" customHeight="1">
      <c r="A2295" s="1" t="s">
        <v>11147</v>
      </c>
      <c r="B2295" s="1" t="s">
        <v>35</v>
      </c>
      <c r="C2295" s="1">
        <v>5.5</v>
      </c>
    </row>
    <row r="2296" ht="14.25" customHeight="1">
      <c r="A2296" s="1" t="s">
        <v>11153</v>
      </c>
      <c r="B2296" s="1" t="s">
        <v>35</v>
      </c>
      <c r="C2296" s="1">
        <v>4.1</v>
      </c>
    </row>
    <row r="2297" ht="14.25" customHeight="1">
      <c r="A2297" s="1" t="s">
        <v>11160</v>
      </c>
      <c r="B2297" s="1" t="s">
        <v>35</v>
      </c>
      <c r="C2297" s="1">
        <v>6.8</v>
      </c>
    </row>
    <row r="2298" ht="14.25" customHeight="1">
      <c r="A2298" s="1" t="s">
        <v>11164</v>
      </c>
      <c r="B2298" s="1" t="s">
        <v>35</v>
      </c>
      <c r="C2298" s="1">
        <v>6.5</v>
      </c>
    </row>
    <row r="2299" ht="14.25" customHeight="1">
      <c r="A2299" s="1" t="s">
        <v>11131</v>
      </c>
      <c r="B2299" s="1" t="s">
        <v>35</v>
      </c>
      <c r="C2299" s="1">
        <v>7.6</v>
      </c>
    </row>
    <row r="2300" ht="14.25" customHeight="1">
      <c r="A2300" s="1" t="s">
        <v>11168</v>
      </c>
      <c r="B2300" s="1" t="s">
        <v>35</v>
      </c>
      <c r="C2300" s="1">
        <v>7.4</v>
      </c>
    </row>
    <row r="2301" ht="14.25" customHeight="1">
      <c r="A2301" s="1" t="s">
        <v>11172</v>
      </c>
      <c r="B2301" s="1" t="s">
        <v>35</v>
      </c>
      <c r="C2301" s="1">
        <v>7.7</v>
      </c>
    </row>
    <row r="2302" ht="14.25" customHeight="1">
      <c r="A2302" s="1" t="s">
        <v>11176</v>
      </c>
      <c r="B2302" s="1" t="s">
        <v>35</v>
      </c>
      <c r="C2302" s="1">
        <v>7.1</v>
      </c>
    </row>
    <row r="2303" ht="14.25" customHeight="1">
      <c r="A2303" s="1" t="s">
        <v>11181</v>
      </c>
      <c r="B2303" s="1" t="s">
        <v>35</v>
      </c>
      <c r="C2303" s="1">
        <v>6.3</v>
      </c>
    </row>
    <row r="2304" ht="14.25" customHeight="1">
      <c r="A2304" s="1" t="s">
        <v>11187</v>
      </c>
      <c r="B2304" s="1" t="s">
        <v>35</v>
      </c>
      <c r="C2304" s="1">
        <v>7.6</v>
      </c>
    </row>
    <row r="2305" ht="14.25" customHeight="1">
      <c r="A2305" s="1" t="s">
        <v>11190</v>
      </c>
      <c r="B2305" s="1" t="s">
        <v>35</v>
      </c>
      <c r="C2305" s="1">
        <v>8.0</v>
      </c>
    </row>
    <row r="2306" ht="14.25" customHeight="1">
      <c r="A2306" s="1" t="s">
        <v>11194</v>
      </c>
      <c r="B2306" s="1" t="s">
        <v>35</v>
      </c>
      <c r="C2306" s="1">
        <v>7.3</v>
      </c>
    </row>
    <row r="2307" ht="14.25" customHeight="1">
      <c r="A2307" s="1" t="s">
        <v>11197</v>
      </c>
      <c r="B2307" s="1" t="s">
        <v>35</v>
      </c>
      <c r="C2307" s="1">
        <v>7.6</v>
      </c>
    </row>
    <row r="2308" ht="14.25" customHeight="1">
      <c r="A2308" s="1" t="s">
        <v>11203</v>
      </c>
      <c r="B2308" s="1" t="s">
        <v>35</v>
      </c>
      <c r="C2308" s="1">
        <v>7.8</v>
      </c>
    </row>
    <row r="2309" ht="14.25" customHeight="1">
      <c r="A2309" s="1" t="s">
        <v>11208</v>
      </c>
      <c r="B2309" s="1" t="s">
        <v>35</v>
      </c>
      <c r="C2309" s="1">
        <v>6.5</v>
      </c>
    </row>
    <row r="2310" ht="14.25" customHeight="1">
      <c r="A2310" s="1" t="s">
        <v>11211</v>
      </c>
      <c r="B2310" s="1" t="s">
        <v>35</v>
      </c>
      <c r="C2310" s="1">
        <v>6.4</v>
      </c>
    </row>
    <row r="2311" ht="14.25" customHeight="1">
      <c r="A2311" s="1" t="s">
        <v>11217</v>
      </c>
      <c r="B2311" s="1" t="s">
        <v>35</v>
      </c>
      <c r="C2311" s="1">
        <v>8.0</v>
      </c>
    </row>
    <row r="2312" ht="14.25" customHeight="1">
      <c r="A2312" s="1" t="s">
        <v>11220</v>
      </c>
      <c r="B2312" s="1" t="s">
        <v>35</v>
      </c>
      <c r="C2312" s="1">
        <v>4.8</v>
      </c>
    </row>
    <row r="2313" ht="14.25" customHeight="1">
      <c r="A2313" s="1" t="s">
        <v>11224</v>
      </c>
      <c r="B2313" s="1" t="s">
        <v>35</v>
      </c>
      <c r="C2313" s="1">
        <v>7.8</v>
      </c>
    </row>
    <row r="2314" ht="14.25" customHeight="1">
      <c r="A2314" s="1" t="s">
        <v>11227</v>
      </c>
      <c r="B2314" s="1" t="s">
        <v>35</v>
      </c>
      <c r="C2314" s="1">
        <v>5.9</v>
      </c>
    </row>
    <row r="2315" ht="14.25" customHeight="1">
      <c r="A2315" s="1" t="s">
        <v>11231</v>
      </c>
      <c r="B2315" s="1" t="s">
        <v>35</v>
      </c>
      <c r="C2315" s="1">
        <v>5.4</v>
      </c>
    </row>
    <row r="2316" ht="14.25" customHeight="1">
      <c r="A2316" s="1" t="s">
        <v>11237</v>
      </c>
      <c r="B2316" s="1" t="s">
        <v>35</v>
      </c>
      <c r="C2316" s="1">
        <v>3.3</v>
      </c>
    </row>
    <row r="2317" ht="14.25" customHeight="1">
      <c r="A2317" s="1" t="s">
        <v>11240</v>
      </c>
      <c r="B2317" s="1" t="s">
        <v>2648</v>
      </c>
      <c r="C2317" s="1">
        <v>8.2</v>
      </c>
    </row>
    <row r="2318" ht="14.25" customHeight="1">
      <c r="A2318" s="1" t="s">
        <v>11247</v>
      </c>
      <c r="B2318" s="1" t="s">
        <v>35</v>
      </c>
      <c r="C2318" s="1">
        <v>5.4</v>
      </c>
    </row>
    <row r="2319" ht="14.25" customHeight="1">
      <c r="A2319" s="1" t="s">
        <v>11251</v>
      </c>
      <c r="B2319" s="1" t="s">
        <v>35</v>
      </c>
      <c r="C2319" s="1">
        <v>6.4</v>
      </c>
    </row>
    <row r="2320" ht="14.25" customHeight="1">
      <c r="A2320" s="1" t="s">
        <v>11256</v>
      </c>
      <c r="B2320" s="1" t="s">
        <v>35</v>
      </c>
      <c r="C2320" s="1">
        <v>4.8</v>
      </c>
    </row>
    <row r="2321" ht="14.25" customHeight="1">
      <c r="A2321" s="1" t="s">
        <v>11259</v>
      </c>
      <c r="B2321" s="1" t="s">
        <v>35</v>
      </c>
      <c r="C2321" s="1">
        <v>5.9</v>
      </c>
    </row>
    <row r="2322" ht="14.25" customHeight="1">
      <c r="A2322" s="1" t="s">
        <v>11263</v>
      </c>
      <c r="B2322" s="1" t="s">
        <v>35</v>
      </c>
      <c r="C2322" s="1">
        <v>5.5</v>
      </c>
    </row>
    <row r="2323" ht="14.25" customHeight="1">
      <c r="A2323" s="1" t="s">
        <v>11269</v>
      </c>
      <c r="B2323" s="1" t="s">
        <v>35</v>
      </c>
      <c r="C2323" s="1">
        <v>7.9</v>
      </c>
    </row>
    <row r="2324" ht="14.25" customHeight="1">
      <c r="A2324" s="1" t="s">
        <v>11276</v>
      </c>
      <c r="B2324" s="1" t="s">
        <v>35</v>
      </c>
      <c r="C2324" s="1">
        <v>4.9</v>
      </c>
    </row>
    <row r="2325" ht="14.25" customHeight="1">
      <c r="A2325" s="1" t="s">
        <v>11279</v>
      </c>
      <c r="B2325" s="1" t="s">
        <v>35</v>
      </c>
      <c r="C2325" s="1">
        <v>7.2</v>
      </c>
    </row>
    <row r="2326" ht="14.25" customHeight="1">
      <c r="A2326" s="1" t="s">
        <v>11283</v>
      </c>
      <c r="B2326" s="1" t="s">
        <v>35</v>
      </c>
      <c r="C2326" s="1">
        <v>5.3</v>
      </c>
    </row>
    <row r="2327" ht="14.25" customHeight="1">
      <c r="A2327" s="1" t="s">
        <v>11288</v>
      </c>
      <c r="B2327" s="1" t="s">
        <v>35</v>
      </c>
      <c r="C2327" s="1">
        <v>7.2</v>
      </c>
    </row>
    <row r="2328" ht="14.25" customHeight="1">
      <c r="A2328" s="1" t="s">
        <v>11292</v>
      </c>
      <c r="B2328" s="1" t="s">
        <v>35</v>
      </c>
      <c r="C2328" s="1">
        <v>5.1</v>
      </c>
    </row>
    <row r="2329" ht="14.25" customHeight="1">
      <c r="A2329" s="1" t="s">
        <v>11296</v>
      </c>
      <c r="B2329" s="1" t="s">
        <v>35</v>
      </c>
      <c r="C2329" s="1">
        <v>5.6</v>
      </c>
    </row>
    <row r="2330" ht="14.25" customHeight="1">
      <c r="A2330" s="1" t="s">
        <v>11301</v>
      </c>
      <c r="B2330" s="1" t="s">
        <v>35</v>
      </c>
      <c r="C2330" s="1">
        <v>7.6</v>
      </c>
    </row>
    <row r="2331" ht="14.25" customHeight="1">
      <c r="A2331" s="1" t="s">
        <v>10680</v>
      </c>
      <c r="B2331" s="1" t="s">
        <v>35</v>
      </c>
      <c r="C2331" s="1">
        <v>3.1</v>
      </c>
    </row>
    <row r="2332" ht="14.25" customHeight="1">
      <c r="A2332" s="1" t="s">
        <v>11306</v>
      </c>
      <c r="B2332" s="1" t="s">
        <v>35</v>
      </c>
      <c r="C2332" s="1">
        <v>7.2</v>
      </c>
    </row>
    <row r="2333" ht="14.25" customHeight="1">
      <c r="A2333" s="1" t="s">
        <v>11311</v>
      </c>
      <c r="B2333" s="1" t="s">
        <v>35</v>
      </c>
      <c r="C2333" s="1">
        <v>5.7</v>
      </c>
    </row>
    <row r="2334" ht="14.25" customHeight="1">
      <c r="A2334" s="1" t="s">
        <v>11316</v>
      </c>
      <c r="B2334" s="1" t="s">
        <v>35</v>
      </c>
      <c r="C2334" s="1">
        <v>5.2</v>
      </c>
    </row>
    <row r="2335" ht="14.25" customHeight="1">
      <c r="A2335" s="1" t="s">
        <v>11319</v>
      </c>
      <c r="B2335" s="1" t="s">
        <v>35</v>
      </c>
      <c r="C2335" s="1">
        <v>7.7</v>
      </c>
    </row>
    <row r="2336" ht="14.25" customHeight="1">
      <c r="A2336" s="1" t="s">
        <v>11323</v>
      </c>
      <c r="B2336" s="1" t="s">
        <v>35</v>
      </c>
      <c r="C2336" s="1">
        <v>7.0</v>
      </c>
    </row>
    <row r="2337" ht="14.25" customHeight="1">
      <c r="A2337" s="1" t="s">
        <v>11328</v>
      </c>
      <c r="B2337" s="1" t="s">
        <v>35</v>
      </c>
      <c r="C2337" s="1">
        <v>6.0</v>
      </c>
    </row>
    <row r="2338" ht="14.25" customHeight="1">
      <c r="A2338" s="1" t="s">
        <v>11331</v>
      </c>
      <c r="B2338" s="1" t="s">
        <v>35</v>
      </c>
      <c r="C2338" s="1">
        <v>6.6</v>
      </c>
    </row>
    <row r="2339" ht="14.25" customHeight="1">
      <c r="A2339" s="1" t="s">
        <v>11335</v>
      </c>
      <c r="B2339" s="1" t="s">
        <v>35</v>
      </c>
      <c r="C2339" s="1">
        <v>6.8</v>
      </c>
    </row>
    <row r="2340" ht="14.25" customHeight="1">
      <c r="A2340" s="1" t="s">
        <v>11339</v>
      </c>
      <c r="B2340" s="1" t="s">
        <v>35</v>
      </c>
      <c r="C2340" s="1">
        <v>7.2</v>
      </c>
    </row>
    <row r="2341" ht="14.25" customHeight="1">
      <c r="A2341" s="1" t="s">
        <v>11344</v>
      </c>
      <c r="B2341" s="1" t="s">
        <v>35</v>
      </c>
      <c r="C2341" s="1">
        <v>7.2</v>
      </c>
    </row>
    <row r="2342" ht="14.25" customHeight="1">
      <c r="A2342" s="1" t="s">
        <v>11349</v>
      </c>
      <c r="B2342" s="1" t="s">
        <v>35</v>
      </c>
      <c r="C2342" s="1">
        <v>2.8</v>
      </c>
    </row>
    <row r="2343" ht="14.25" customHeight="1">
      <c r="A2343" s="1" t="s">
        <v>11353</v>
      </c>
      <c r="B2343" s="1" t="s">
        <v>35</v>
      </c>
      <c r="C2343" s="1">
        <v>6.6</v>
      </c>
    </row>
    <row r="2344" ht="14.25" customHeight="1">
      <c r="A2344" s="1" t="s">
        <v>11358</v>
      </c>
      <c r="B2344" s="1" t="s">
        <v>35</v>
      </c>
      <c r="C2344" s="1">
        <v>6.7</v>
      </c>
    </row>
    <row r="2345" ht="14.25" customHeight="1">
      <c r="A2345" s="1" t="s">
        <v>11362</v>
      </c>
      <c r="B2345" s="1" t="s">
        <v>35</v>
      </c>
      <c r="C2345" s="1">
        <v>7.0</v>
      </c>
    </row>
    <row r="2346" ht="14.25" customHeight="1">
      <c r="A2346" s="1" t="s">
        <v>11367</v>
      </c>
      <c r="B2346" s="1" t="s">
        <v>35</v>
      </c>
      <c r="C2346" s="1">
        <v>4.4</v>
      </c>
    </row>
    <row r="2347" ht="14.25" customHeight="1">
      <c r="A2347" s="1" t="s">
        <v>11371</v>
      </c>
      <c r="B2347" s="1" t="s">
        <v>35</v>
      </c>
      <c r="C2347" s="1">
        <v>6.2</v>
      </c>
    </row>
    <row r="2348" ht="14.25" customHeight="1">
      <c r="A2348" s="1" t="s">
        <v>11376</v>
      </c>
      <c r="B2348" s="1" t="s">
        <v>35</v>
      </c>
      <c r="C2348" s="1">
        <v>7.3</v>
      </c>
    </row>
    <row r="2349" ht="14.25" customHeight="1">
      <c r="A2349" s="1" t="s">
        <v>11381</v>
      </c>
      <c r="B2349" s="1" t="s">
        <v>35</v>
      </c>
      <c r="C2349" s="1">
        <v>5.1</v>
      </c>
    </row>
    <row r="2350" ht="14.25" customHeight="1">
      <c r="A2350" s="1" t="s">
        <v>11387</v>
      </c>
      <c r="B2350" s="1" t="s">
        <v>35</v>
      </c>
      <c r="C2350" s="1">
        <v>6.6</v>
      </c>
    </row>
    <row r="2351" ht="14.25" customHeight="1">
      <c r="A2351" s="1" t="s">
        <v>11391</v>
      </c>
      <c r="B2351" s="1" t="s">
        <v>35</v>
      </c>
      <c r="C2351" s="1">
        <v>4.5</v>
      </c>
    </row>
    <row r="2352" ht="14.25" customHeight="1">
      <c r="A2352" s="1" t="s">
        <v>11395</v>
      </c>
      <c r="B2352" s="1" t="s">
        <v>35</v>
      </c>
      <c r="C2352" s="1">
        <v>5.9</v>
      </c>
    </row>
    <row r="2353" ht="14.25" customHeight="1">
      <c r="A2353" s="1" t="s">
        <v>11399</v>
      </c>
      <c r="B2353" s="1" t="s">
        <v>2752</v>
      </c>
      <c r="C2353" s="1">
        <v>6.6</v>
      </c>
    </row>
    <row r="2354" ht="14.25" customHeight="1">
      <c r="A2354" s="1" t="s">
        <v>11405</v>
      </c>
      <c r="B2354" s="1" t="s">
        <v>35</v>
      </c>
      <c r="C2354" s="1">
        <v>6.5</v>
      </c>
    </row>
    <row r="2355" ht="14.25" customHeight="1">
      <c r="A2355" s="1" t="s">
        <v>11410</v>
      </c>
      <c r="B2355" s="1" t="s">
        <v>35</v>
      </c>
      <c r="C2355" s="1">
        <v>7.3</v>
      </c>
    </row>
    <row r="2356" ht="14.25" customHeight="1">
      <c r="A2356" s="1" t="s">
        <v>11413</v>
      </c>
      <c r="B2356" s="1" t="s">
        <v>35</v>
      </c>
      <c r="C2356" s="1">
        <v>7.5</v>
      </c>
    </row>
    <row r="2357" ht="14.25" customHeight="1">
      <c r="A2357" s="1" t="s">
        <v>11416</v>
      </c>
      <c r="B2357" s="1" t="s">
        <v>35</v>
      </c>
      <c r="C2357" s="1">
        <v>5.9</v>
      </c>
    </row>
    <row r="2358" ht="14.25" customHeight="1">
      <c r="A2358" s="1" t="s">
        <v>11419</v>
      </c>
      <c r="B2358" s="1" t="s">
        <v>35</v>
      </c>
      <c r="C2358" s="1">
        <v>7.4</v>
      </c>
    </row>
    <row r="2359" ht="14.25" customHeight="1">
      <c r="A2359" s="1" t="s">
        <v>11422</v>
      </c>
      <c r="B2359" s="1" t="s">
        <v>35</v>
      </c>
      <c r="C2359" s="1">
        <v>6.9</v>
      </c>
    </row>
    <row r="2360" ht="14.25" customHeight="1">
      <c r="A2360" s="1" t="s">
        <v>11426</v>
      </c>
      <c r="B2360" s="1" t="s">
        <v>1864</v>
      </c>
      <c r="C2360" s="1">
        <v>7.9</v>
      </c>
    </row>
    <row r="2361" ht="14.25" customHeight="1">
      <c r="A2361" s="1" t="s">
        <v>11433</v>
      </c>
      <c r="B2361" s="1" t="s">
        <v>35</v>
      </c>
      <c r="C2361" s="1">
        <v>8.4</v>
      </c>
    </row>
    <row r="2362" ht="14.25" customHeight="1">
      <c r="A2362" s="1" t="s">
        <v>11437</v>
      </c>
      <c r="B2362" s="1" t="s">
        <v>35</v>
      </c>
      <c r="C2362" s="1">
        <v>8.0</v>
      </c>
    </row>
    <row r="2363" ht="14.25" customHeight="1">
      <c r="A2363" s="1" t="s">
        <v>11440</v>
      </c>
      <c r="B2363" s="1" t="s">
        <v>35</v>
      </c>
      <c r="C2363" s="1">
        <v>6.0</v>
      </c>
    </row>
    <row r="2364" ht="14.25" customHeight="1">
      <c r="A2364" s="1" t="s">
        <v>11445</v>
      </c>
      <c r="B2364" s="1" t="s">
        <v>35</v>
      </c>
      <c r="C2364" s="1">
        <v>6.8</v>
      </c>
    </row>
    <row r="2365" ht="14.25" customHeight="1">
      <c r="A2365" s="1" t="s">
        <v>11448</v>
      </c>
      <c r="B2365" s="1" t="s">
        <v>35</v>
      </c>
      <c r="C2365" s="1">
        <v>7.8</v>
      </c>
    </row>
    <row r="2366" ht="14.25" customHeight="1">
      <c r="A2366" s="1" t="s">
        <v>11453</v>
      </c>
      <c r="B2366" s="1" t="s">
        <v>35</v>
      </c>
      <c r="C2366" s="1">
        <v>8.1</v>
      </c>
    </row>
    <row r="2367" ht="14.25" customHeight="1">
      <c r="A2367" s="1" t="s">
        <v>11457</v>
      </c>
      <c r="B2367" s="1" t="s">
        <v>35</v>
      </c>
      <c r="C2367" s="1">
        <v>6.1</v>
      </c>
    </row>
    <row r="2368" ht="14.25" customHeight="1">
      <c r="A2368" s="1" t="s">
        <v>11460</v>
      </c>
      <c r="B2368" s="1" t="s">
        <v>35</v>
      </c>
      <c r="C2368" s="1">
        <v>6.2</v>
      </c>
    </row>
    <row r="2369" ht="14.25" customHeight="1">
      <c r="A2369" s="1" t="s">
        <v>11464</v>
      </c>
      <c r="B2369" s="1" t="s">
        <v>35</v>
      </c>
      <c r="C2369" s="1">
        <v>6.2</v>
      </c>
    </row>
    <row r="2370" ht="14.25" customHeight="1">
      <c r="A2370" s="1" t="s">
        <v>11025</v>
      </c>
      <c r="B2370" s="1" t="s">
        <v>35</v>
      </c>
      <c r="C2370" s="1">
        <v>7.9</v>
      </c>
    </row>
    <row r="2371" ht="14.25" customHeight="1">
      <c r="A2371" s="1" t="s">
        <v>11469</v>
      </c>
      <c r="B2371" s="1" t="s">
        <v>35</v>
      </c>
      <c r="C2371" s="1">
        <v>7.4</v>
      </c>
    </row>
    <row r="2372" ht="14.25" customHeight="1">
      <c r="A2372" s="1" t="s">
        <v>11472</v>
      </c>
      <c r="B2372" s="1" t="s">
        <v>35</v>
      </c>
      <c r="C2372" s="1">
        <v>6.6</v>
      </c>
    </row>
    <row r="2373" ht="14.25" customHeight="1">
      <c r="A2373" s="1" t="s">
        <v>11478</v>
      </c>
      <c r="B2373" s="1" t="s">
        <v>35</v>
      </c>
      <c r="C2373" s="1">
        <v>7.3</v>
      </c>
    </row>
    <row r="2374" ht="14.25" customHeight="1">
      <c r="A2374" s="1" t="s">
        <v>11482</v>
      </c>
      <c r="B2374" s="1" t="s">
        <v>35</v>
      </c>
      <c r="C2374" s="1">
        <v>7.5</v>
      </c>
    </row>
    <row r="2375" ht="14.25" customHeight="1">
      <c r="A2375" s="1" t="s">
        <v>11486</v>
      </c>
      <c r="B2375" s="1" t="s">
        <v>35</v>
      </c>
      <c r="C2375" s="1">
        <v>5.6</v>
      </c>
    </row>
    <row r="2376" ht="14.25" customHeight="1">
      <c r="A2376" s="1" t="s">
        <v>11491</v>
      </c>
      <c r="B2376" s="1" t="s">
        <v>35</v>
      </c>
      <c r="C2376" s="1">
        <v>7.3</v>
      </c>
    </row>
    <row r="2377" ht="14.25" customHeight="1">
      <c r="A2377" s="1" t="s">
        <v>11496</v>
      </c>
      <c r="B2377" s="1" t="s">
        <v>35</v>
      </c>
      <c r="C2377" s="1">
        <v>6.4</v>
      </c>
    </row>
    <row r="2378" ht="14.25" customHeight="1">
      <c r="A2378" s="1" t="s">
        <v>11500</v>
      </c>
      <c r="B2378" s="1" t="s">
        <v>35</v>
      </c>
      <c r="C2378" s="1">
        <v>5.0</v>
      </c>
    </row>
    <row r="2379" ht="14.25" customHeight="1">
      <c r="A2379" s="1" t="s">
        <v>11504</v>
      </c>
      <c r="B2379" s="1" t="s">
        <v>35</v>
      </c>
      <c r="C2379" s="1">
        <v>5.4</v>
      </c>
    </row>
    <row r="2380" ht="14.25" customHeight="1">
      <c r="A2380" s="1" t="s">
        <v>11508</v>
      </c>
      <c r="B2380" s="1" t="s">
        <v>35</v>
      </c>
      <c r="C2380" s="1">
        <v>7.1</v>
      </c>
    </row>
    <row r="2381" ht="14.25" customHeight="1">
      <c r="A2381" s="1" t="s">
        <v>11512</v>
      </c>
      <c r="B2381" s="1" t="s">
        <v>35</v>
      </c>
      <c r="C2381" s="1">
        <v>5.3</v>
      </c>
    </row>
    <row r="2382" ht="14.25" customHeight="1">
      <c r="A2382" s="1" t="s">
        <v>11519</v>
      </c>
      <c r="B2382" s="1" t="s">
        <v>35</v>
      </c>
      <c r="C2382" s="1">
        <v>6.5</v>
      </c>
    </row>
    <row r="2383" ht="14.25" customHeight="1">
      <c r="A2383" s="1" t="s">
        <v>11523</v>
      </c>
      <c r="B2383" s="1" t="s">
        <v>35</v>
      </c>
      <c r="C2383" s="1">
        <v>6.2</v>
      </c>
    </row>
    <row r="2384" ht="14.25" customHeight="1">
      <c r="A2384" s="1" t="s">
        <v>11527</v>
      </c>
      <c r="B2384" s="1" t="s">
        <v>35</v>
      </c>
      <c r="C2384" s="1">
        <v>6.4</v>
      </c>
    </row>
    <row r="2385" ht="14.25" customHeight="1">
      <c r="A2385" s="1" t="s">
        <v>11530</v>
      </c>
      <c r="B2385" s="1" t="s">
        <v>35</v>
      </c>
      <c r="C2385" s="1">
        <v>6.9</v>
      </c>
    </row>
    <row r="2386" ht="14.25" customHeight="1">
      <c r="A2386" s="1" t="s">
        <v>11534</v>
      </c>
      <c r="B2386" s="1" t="s">
        <v>35</v>
      </c>
      <c r="C2386" s="1">
        <v>5.7</v>
      </c>
    </row>
    <row r="2387" ht="14.25" customHeight="1">
      <c r="A2387" s="1" t="s">
        <v>11538</v>
      </c>
      <c r="B2387" s="1" t="s">
        <v>35</v>
      </c>
      <c r="C2387" s="1">
        <v>7.7</v>
      </c>
    </row>
    <row r="2388" ht="14.25" customHeight="1">
      <c r="A2388" s="1" t="s">
        <v>6754</v>
      </c>
      <c r="B2388" s="1" t="s">
        <v>35</v>
      </c>
      <c r="C2388" s="1">
        <v>5.4</v>
      </c>
    </row>
    <row r="2389" ht="14.25" customHeight="1">
      <c r="A2389" s="1" t="s">
        <v>11541</v>
      </c>
      <c r="B2389" s="1" t="s">
        <v>35</v>
      </c>
      <c r="C2389" s="1">
        <v>5.6</v>
      </c>
    </row>
    <row r="2390" ht="14.25" customHeight="1">
      <c r="A2390" s="1" t="s">
        <v>11546</v>
      </c>
      <c r="B2390" s="1" t="s">
        <v>35</v>
      </c>
      <c r="C2390" s="1">
        <v>7.7</v>
      </c>
    </row>
    <row r="2391" ht="14.25" customHeight="1">
      <c r="A2391" s="1" t="s">
        <v>11549</v>
      </c>
      <c r="B2391" s="1" t="s">
        <v>35</v>
      </c>
      <c r="C2391" s="1">
        <v>5.1</v>
      </c>
    </row>
    <row r="2392" ht="14.25" customHeight="1">
      <c r="A2392" s="1" t="s">
        <v>11553</v>
      </c>
      <c r="B2392" s="1" t="s">
        <v>35</v>
      </c>
      <c r="C2392" s="1">
        <v>6.8</v>
      </c>
    </row>
    <row r="2393" ht="14.25" customHeight="1">
      <c r="A2393" s="1" t="s">
        <v>11556</v>
      </c>
      <c r="B2393" s="1" t="s">
        <v>35</v>
      </c>
      <c r="C2393" s="1">
        <v>8.4</v>
      </c>
    </row>
    <row r="2394" ht="14.25" customHeight="1">
      <c r="A2394" s="1" t="s">
        <v>11562</v>
      </c>
      <c r="B2394" s="1" t="s">
        <v>35</v>
      </c>
      <c r="C2394" s="1">
        <v>4.9</v>
      </c>
    </row>
    <row r="2395" ht="14.25" customHeight="1">
      <c r="A2395" s="1" t="s">
        <v>11565</v>
      </c>
      <c r="B2395" s="1" t="s">
        <v>35</v>
      </c>
      <c r="C2395" s="1">
        <v>7.1</v>
      </c>
    </row>
    <row r="2396" ht="14.25" customHeight="1">
      <c r="A2396" s="1" t="s">
        <v>11569</v>
      </c>
      <c r="B2396" s="1" t="s">
        <v>35</v>
      </c>
      <c r="C2396" s="1">
        <v>6.6</v>
      </c>
    </row>
    <row r="2397" ht="14.25" customHeight="1">
      <c r="A2397" s="1" t="s">
        <v>11573</v>
      </c>
      <c r="B2397" s="1" t="s">
        <v>35</v>
      </c>
      <c r="C2397" s="1">
        <v>6.1</v>
      </c>
    </row>
    <row r="2398" ht="14.25" customHeight="1">
      <c r="A2398" s="1" t="s">
        <v>11577</v>
      </c>
      <c r="B2398" s="1" t="s">
        <v>35</v>
      </c>
      <c r="C2398" s="1">
        <v>4.1</v>
      </c>
    </row>
    <row r="2399" ht="14.25" customHeight="1">
      <c r="A2399" s="1" t="s">
        <v>1244</v>
      </c>
      <c r="B2399" s="1" t="s">
        <v>35</v>
      </c>
      <c r="C2399" s="1">
        <v>5.8</v>
      </c>
    </row>
    <row r="2400" ht="14.25" customHeight="1">
      <c r="A2400" s="1" t="s">
        <v>11581</v>
      </c>
      <c r="B2400" s="1" t="s">
        <v>35</v>
      </c>
      <c r="C2400" s="1">
        <v>8.1</v>
      </c>
    </row>
    <row r="2401" ht="14.25" customHeight="1">
      <c r="A2401" s="1" t="s">
        <v>11585</v>
      </c>
      <c r="B2401" s="1" t="s">
        <v>35</v>
      </c>
      <c r="C2401" s="1">
        <v>7.6</v>
      </c>
    </row>
    <row r="2402" ht="14.25" customHeight="1">
      <c r="A2402" s="1" t="s">
        <v>11589</v>
      </c>
      <c r="B2402" s="1" t="s">
        <v>35</v>
      </c>
      <c r="C2402" s="1">
        <v>7.8</v>
      </c>
    </row>
    <row r="2403" ht="14.25" customHeight="1">
      <c r="A2403" s="1" t="s">
        <v>11594</v>
      </c>
      <c r="B2403" s="1" t="s">
        <v>35</v>
      </c>
      <c r="C2403" s="1">
        <v>4.6</v>
      </c>
    </row>
    <row r="2404" ht="14.25" customHeight="1">
      <c r="A2404" s="1" t="s">
        <v>11598</v>
      </c>
      <c r="B2404" s="1" t="s">
        <v>35</v>
      </c>
      <c r="C2404" s="1">
        <v>6.0</v>
      </c>
    </row>
    <row r="2405" ht="14.25" customHeight="1">
      <c r="A2405" s="1" t="s">
        <v>11603</v>
      </c>
      <c r="B2405" s="1" t="s">
        <v>35</v>
      </c>
      <c r="C2405" s="1">
        <v>7.0</v>
      </c>
    </row>
    <row r="2406" ht="14.25" customHeight="1">
      <c r="A2406" s="1" t="s">
        <v>11606</v>
      </c>
      <c r="B2406" s="1" t="s">
        <v>35</v>
      </c>
      <c r="C2406" s="1">
        <v>6.7</v>
      </c>
    </row>
    <row r="2407" ht="14.25" customHeight="1">
      <c r="A2407" s="1" t="s">
        <v>11611</v>
      </c>
      <c r="B2407" s="1" t="s">
        <v>35</v>
      </c>
      <c r="C2407" s="1">
        <v>6.4</v>
      </c>
    </row>
    <row r="2408" ht="14.25" customHeight="1">
      <c r="A2408" s="1" t="s">
        <v>11616</v>
      </c>
      <c r="B2408" s="1" t="s">
        <v>35</v>
      </c>
      <c r="C2408" s="1">
        <v>7.2</v>
      </c>
    </row>
    <row r="2409" ht="14.25" customHeight="1">
      <c r="A2409" s="1" t="s">
        <v>11619</v>
      </c>
      <c r="B2409" s="1" t="s">
        <v>35</v>
      </c>
      <c r="C2409" s="1">
        <v>7.4</v>
      </c>
    </row>
    <row r="2410" ht="14.25" customHeight="1">
      <c r="A2410" s="1" t="s">
        <v>11624</v>
      </c>
      <c r="B2410" s="1" t="s">
        <v>35</v>
      </c>
      <c r="C2410" s="1">
        <v>4.8</v>
      </c>
    </row>
    <row r="2411" ht="14.25" customHeight="1">
      <c r="A2411" s="1" t="s">
        <v>11628</v>
      </c>
      <c r="B2411" s="1" t="s">
        <v>35</v>
      </c>
      <c r="C2411" s="1">
        <v>4.0</v>
      </c>
    </row>
    <row r="2412" ht="14.25" customHeight="1">
      <c r="A2412" s="1" t="s">
        <v>11635</v>
      </c>
      <c r="B2412" s="1" t="s">
        <v>35</v>
      </c>
      <c r="C2412" s="1">
        <v>6.2</v>
      </c>
    </row>
    <row r="2413" ht="14.25" customHeight="1">
      <c r="A2413" s="1" t="s">
        <v>11640</v>
      </c>
      <c r="B2413" s="1" t="s">
        <v>35</v>
      </c>
      <c r="C2413" s="1">
        <v>7.7</v>
      </c>
    </row>
    <row r="2414" ht="14.25" customHeight="1">
      <c r="A2414" s="1" t="s">
        <v>11644</v>
      </c>
      <c r="B2414" s="1" t="s">
        <v>35</v>
      </c>
      <c r="C2414" s="1">
        <v>6.7</v>
      </c>
    </row>
    <row r="2415" ht="14.25" customHeight="1">
      <c r="A2415" s="1" t="s">
        <v>11650</v>
      </c>
      <c r="B2415" s="1" t="s">
        <v>35</v>
      </c>
      <c r="C2415" s="1">
        <v>7.9</v>
      </c>
    </row>
    <row r="2416" ht="14.25" customHeight="1">
      <c r="A2416" s="1" t="s">
        <v>11654</v>
      </c>
      <c r="B2416" s="1" t="s">
        <v>35</v>
      </c>
      <c r="C2416" s="1">
        <v>7.9</v>
      </c>
    </row>
    <row r="2417" ht="14.25" customHeight="1">
      <c r="A2417" s="1" t="s">
        <v>11659</v>
      </c>
      <c r="B2417" s="1" t="s">
        <v>35</v>
      </c>
      <c r="C2417" s="1">
        <v>5.5</v>
      </c>
    </row>
    <row r="2418" ht="14.25" customHeight="1">
      <c r="A2418" s="1" t="s">
        <v>11664</v>
      </c>
      <c r="B2418" s="1" t="s">
        <v>35</v>
      </c>
      <c r="C2418" s="1">
        <v>6.2</v>
      </c>
    </row>
    <row r="2419" ht="14.25" customHeight="1">
      <c r="A2419" s="1" t="s">
        <v>11669</v>
      </c>
      <c r="B2419" s="1" t="s">
        <v>35</v>
      </c>
      <c r="C2419" s="1">
        <v>5.1</v>
      </c>
    </row>
    <row r="2420" ht="14.25" customHeight="1">
      <c r="A2420" s="1" t="s">
        <v>11673</v>
      </c>
      <c r="B2420" s="1" t="s">
        <v>35</v>
      </c>
      <c r="C2420" s="1">
        <v>4.1</v>
      </c>
    </row>
    <row r="2421" ht="14.25" customHeight="1">
      <c r="A2421" s="1" t="s">
        <v>11677</v>
      </c>
      <c r="B2421" s="1" t="s">
        <v>35</v>
      </c>
      <c r="C2421" s="1">
        <v>6.7</v>
      </c>
    </row>
    <row r="2422" ht="14.25" customHeight="1">
      <c r="A2422" s="1" t="s">
        <v>11681</v>
      </c>
      <c r="B2422" s="1" t="s">
        <v>35</v>
      </c>
      <c r="C2422" s="1">
        <v>4.7</v>
      </c>
    </row>
    <row r="2423" ht="14.25" customHeight="1">
      <c r="A2423" s="1" t="s">
        <v>11686</v>
      </c>
      <c r="B2423" s="1" t="s">
        <v>35</v>
      </c>
      <c r="C2423" s="1">
        <v>6.4</v>
      </c>
    </row>
    <row r="2424" ht="14.25" customHeight="1">
      <c r="A2424" s="1" t="s">
        <v>11689</v>
      </c>
      <c r="B2424" s="1" t="s">
        <v>35</v>
      </c>
      <c r="C2424" s="1">
        <v>6.3</v>
      </c>
    </row>
    <row r="2425" ht="14.25" customHeight="1">
      <c r="A2425" s="1" t="s">
        <v>11695</v>
      </c>
      <c r="B2425" s="1" t="s">
        <v>35</v>
      </c>
      <c r="C2425" s="1">
        <v>5.5</v>
      </c>
    </row>
    <row r="2426" ht="14.25" customHeight="1">
      <c r="A2426" s="1" t="s">
        <v>11699</v>
      </c>
      <c r="B2426" s="1" t="s">
        <v>35</v>
      </c>
      <c r="C2426" s="1">
        <v>7.3</v>
      </c>
    </row>
    <row r="2427" ht="14.25" customHeight="1">
      <c r="A2427" s="1" t="s">
        <v>11703</v>
      </c>
      <c r="B2427" s="1" t="s">
        <v>35</v>
      </c>
      <c r="C2427" s="1">
        <v>6.3</v>
      </c>
    </row>
    <row r="2428" ht="14.25" customHeight="1">
      <c r="A2428" s="1" t="s">
        <v>11708</v>
      </c>
      <c r="B2428" s="1" t="s">
        <v>35</v>
      </c>
      <c r="C2428" s="1">
        <v>4.9</v>
      </c>
    </row>
    <row r="2429" ht="14.25" customHeight="1">
      <c r="A2429" s="1" t="s">
        <v>11713</v>
      </c>
      <c r="B2429" s="1" t="s">
        <v>35</v>
      </c>
      <c r="C2429" s="1">
        <v>7.6</v>
      </c>
    </row>
    <row r="2430" ht="14.25" customHeight="1">
      <c r="A2430" s="1" t="s">
        <v>11717</v>
      </c>
      <c r="B2430" s="1" t="s">
        <v>35</v>
      </c>
      <c r="C2430" s="1">
        <v>6.0</v>
      </c>
    </row>
    <row r="2431" ht="14.25" customHeight="1">
      <c r="A2431" s="1" t="s">
        <v>11721</v>
      </c>
      <c r="B2431" s="1" t="s">
        <v>35</v>
      </c>
      <c r="C2431" s="1">
        <v>6.2</v>
      </c>
    </row>
    <row r="2432" ht="14.25" customHeight="1">
      <c r="A2432" s="1" t="s">
        <v>11724</v>
      </c>
      <c r="B2432" s="1" t="s">
        <v>35</v>
      </c>
      <c r="C2432" s="1">
        <v>6.8</v>
      </c>
    </row>
    <row r="2433" ht="14.25" customHeight="1">
      <c r="A2433" s="1" t="s">
        <v>11730</v>
      </c>
      <c r="B2433" s="1" t="s">
        <v>35</v>
      </c>
      <c r="C2433" s="1">
        <v>4.5</v>
      </c>
    </row>
    <row r="2434" ht="14.25" customHeight="1">
      <c r="A2434" s="1" t="s">
        <v>11734</v>
      </c>
      <c r="B2434" s="1" t="s">
        <v>35</v>
      </c>
      <c r="C2434" s="1">
        <v>5.7</v>
      </c>
    </row>
    <row r="2435" ht="14.25" customHeight="1">
      <c r="A2435" s="1" t="s">
        <v>11741</v>
      </c>
      <c r="B2435" s="1" t="s">
        <v>35</v>
      </c>
      <c r="C2435" s="1">
        <v>4.6</v>
      </c>
    </row>
    <row r="2436" ht="14.25" customHeight="1">
      <c r="A2436" s="1" t="s">
        <v>11747</v>
      </c>
      <c r="B2436" s="1" t="s">
        <v>35</v>
      </c>
      <c r="C2436" s="1">
        <v>6.2</v>
      </c>
    </row>
    <row r="2437" ht="14.25" customHeight="1">
      <c r="A2437" s="1" t="s">
        <v>11752</v>
      </c>
      <c r="B2437" s="1" t="s">
        <v>35</v>
      </c>
      <c r="C2437" s="1">
        <v>7.0</v>
      </c>
    </row>
    <row r="2438" ht="14.25" customHeight="1">
      <c r="A2438" s="1" t="s">
        <v>11756</v>
      </c>
      <c r="B2438" s="1" t="s">
        <v>35</v>
      </c>
      <c r="C2438" s="1">
        <v>6.9</v>
      </c>
    </row>
    <row r="2439" ht="14.25" customHeight="1">
      <c r="A2439" s="1" t="s">
        <v>11761</v>
      </c>
      <c r="B2439" s="1" t="s">
        <v>35</v>
      </c>
      <c r="C2439" s="1">
        <v>6.7</v>
      </c>
    </row>
    <row r="2440" ht="14.25" customHeight="1">
      <c r="A2440" s="1" t="s">
        <v>11764</v>
      </c>
      <c r="B2440" s="1" t="s">
        <v>35</v>
      </c>
      <c r="C2440" s="1">
        <v>5.6</v>
      </c>
    </row>
    <row r="2441" ht="14.25" customHeight="1">
      <c r="A2441" s="1" t="s">
        <v>11767</v>
      </c>
      <c r="B2441" s="1" t="s">
        <v>35</v>
      </c>
      <c r="C2441" s="1">
        <v>6.6</v>
      </c>
    </row>
    <row r="2442" ht="14.25" customHeight="1">
      <c r="A2442" s="1" t="s">
        <v>11772</v>
      </c>
      <c r="B2442" s="1" t="s">
        <v>35</v>
      </c>
      <c r="C2442" s="1">
        <v>6.4</v>
      </c>
    </row>
    <row r="2443" ht="14.25" customHeight="1">
      <c r="A2443" s="1" t="s">
        <v>11777</v>
      </c>
      <c r="B2443" s="1" t="s">
        <v>35</v>
      </c>
      <c r="C2443" s="1">
        <v>2.8</v>
      </c>
    </row>
    <row r="2444" ht="14.25" customHeight="1">
      <c r="A2444" s="1" t="s">
        <v>11782</v>
      </c>
      <c r="B2444" s="1" t="s">
        <v>35</v>
      </c>
      <c r="C2444" s="1">
        <v>5.4</v>
      </c>
    </row>
    <row r="2445" ht="14.25" customHeight="1">
      <c r="A2445" s="1" t="s">
        <v>11786</v>
      </c>
      <c r="B2445" s="1" t="s">
        <v>35</v>
      </c>
      <c r="C2445" s="1">
        <v>5.0</v>
      </c>
    </row>
    <row r="2446" ht="14.25" customHeight="1">
      <c r="A2446" s="1" t="s">
        <v>11791</v>
      </c>
      <c r="B2446" s="1" t="s">
        <v>35</v>
      </c>
      <c r="C2446" s="1">
        <v>5.1</v>
      </c>
    </row>
    <row r="2447" ht="14.25" customHeight="1">
      <c r="A2447" s="1" t="s">
        <v>11794</v>
      </c>
      <c r="B2447" s="1" t="s">
        <v>35</v>
      </c>
      <c r="C2447" s="1">
        <v>8.0</v>
      </c>
    </row>
    <row r="2448" ht="14.25" customHeight="1">
      <c r="A2448" s="1" t="s">
        <v>11797</v>
      </c>
      <c r="B2448" s="1" t="s">
        <v>35</v>
      </c>
      <c r="C2448" s="1">
        <v>5.9</v>
      </c>
    </row>
    <row r="2449" ht="14.25" customHeight="1">
      <c r="A2449" s="1" t="s">
        <v>11801</v>
      </c>
      <c r="B2449" s="1" t="s">
        <v>35</v>
      </c>
      <c r="C2449" s="1">
        <v>8.2</v>
      </c>
    </row>
    <row r="2450" ht="14.25" customHeight="1">
      <c r="A2450" s="1" t="s">
        <v>11805</v>
      </c>
      <c r="B2450" s="1" t="s">
        <v>35</v>
      </c>
      <c r="C2450" s="1">
        <v>7.0</v>
      </c>
    </row>
    <row r="2451" ht="14.25" customHeight="1">
      <c r="A2451" s="1" t="s">
        <v>11809</v>
      </c>
      <c r="B2451" s="1" t="s">
        <v>35</v>
      </c>
      <c r="C2451" s="1">
        <v>6.6</v>
      </c>
    </row>
    <row r="2452" ht="14.25" customHeight="1">
      <c r="A2452" s="1" t="s">
        <v>11815</v>
      </c>
      <c r="B2452" s="1" t="s">
        <v>35</v>
      </c>
      <c r="C2452" s="1">
        <v>6.7</v>
      </c>
    </row>
    <row r="2453" ht="14.25" customHeight="1">
      <c r="A2453" s="1" t="s">
        <v>11821</v>
      </c>
      <c r="B2453" s="1" t="s">
        <v>35</v>
      </c>
      <c r="C2453" s="1">
        <v>5.5</v>
      </c>
    </row>
    <row r="2454" ht="14.25" customHeight="1">
      <c r="A2454" s="1" t="s">
        <v>11827</v>
      </c>
      <c r="B2454" s="1" t="s">
        <v>35</v>
      </c>
      <c r="C2454" s="1">
        <v>4.9</v>
      </c>
    </row>
    <row r="2455" ht="14.25" customHeight="1">
      <c r="A2455" s="1" t="s">
        <v>11830</v>
      </c>
      <c r="B2455" s="1" t="s">
        <v>35</v>
      </c>
      <c r="C2455" s="1">
        <v>6.9</v>
      </c>
    </row>
    <row r="2456" ht="14.25" customHeight="1">
      <c r="A2456" s="1" t="s">
        <v>11834</v>
      </c>
      <c r="B2456" s="1" t="s">
        <v>35</v>
      </c>
      <c r="C2456" s="1">
        <v>5.6</v>
      </c>
    </row>
    <row r="2457" ht="14.25" customHeight="1">
      <c r="A2457" s="1" t="s">
        <v>11838</v>
      </c>
      <c r="B2457" s="1" t="s">
        <v>35</v>
      </c>
      <c r="C2457" s="1">
        <v>8.0</v>
      </c>
    </row>
    <row r="2458" ht="14.25" customHeight="1">
      <c r="A2458" s="1" t="s">
        <v>11845</v>
      </c>
      <c r="B2458" s="1" t="s">
        <v>35</v>
      </c>
      <c r="C2458" s="1">
        <v>5.3</v>
      </c>
    </row>
    <row r="2459" ht="14.25" customHeight="1">
      <c r="A2459" s="1" t="s">
        <v>11850</v>
      </c>
      <c r="B2459" s="1" t="s">
        <v>35</v>
      </c>
      <c r="C2459" s="1">
        <v>6.2</v>
      </c>
    </row>
    <row r="2460" ht="14.25" customHeight="1">
      <c r="A2460" s="1" t="s">
        <v>11854</v>
      </c>
      <c r="B2460" s="1" t="s">
        <v>35</v>
      </c>
      <c r="C2460" s="1">
        <v>5.3</v>
      </c>
    </row>
    <row r="2461" ht="14.25" customHeight="1">
      <c r="A2461" s="1" t="s">
        <v>11857</v>
      </c>
      <c r="B2461" s="1" t="s">
        <v>35</v>
      </c>
      <c r="C2461" s="1">
        <v>6.6</v>
      </c>
    </row>
    <row r="2462" ht="14.25" customHeight="1">
      <c r="A2462" s="1" t="s">
        <v>11860</v>
      </c>
      <c r="B2462" s="1" t="s">
        <v>35</v>
      </c>
      <c r="C2462" s="1">
        <v>7.2</v>
      </c>
    </row>
    <row r="2463" ht="14.25" customHeight="1">
      <c r="A2463" s="1" t="s">
        <v>11865</v>
      </c>
      <c r="B2463" s="1" t="s">
        <v>35</v>
      </c>
      <c r="C2463" s="1">
        <v>4.6</v>
      </c>
    </row>
    <row r="2464" ht="14.25" customHeight="1">
      <c r="A2464" s="1" t="s">
        <v>11869</v>
      </c>
      <c r="B2464" s="1" t="s">
        <v>35</v>
      </c>
      <c r="C2464" s="1">
        <v>7.5</v>
      </c>
    </row>
    <row r="2465" ht="14.25" customHeight="1">
      <c r="A2465" s="1" t="s">
        <v>11876</v>
      </c>
      <c r="B2465" s="1" t="s">
        <v>35</v>
      </c>
      <c r="C2465" s="1">
        <v>6.5</v>
      </c>
    </row>
    <row r="2466" ht="14.25" customHeight="1">
      <c r="A2466" s="1" t="s">
        <v>11879</v>
      </c>
      <c r="B2466" s="1" t="s">
        <v>35</v>
      </c>
      <c r="C2466" s="1">
        <v>7.6</v>
      </c>
    </row>
    <row r="2467" ht="14.25" customHeight="1">
      <c r="A2467" s="1" t="s">
        <v>11884</v>
      </c>
      <c r="B2467" s="1" t="s">
        <v>35</v>
      </c>
      <c r="C2467" s="1">
        <v>6.2</v>
      </c>
    </row>
    <row r="2468" ht="14.25" customHeight="1">
      <c r="A2468" s="1" t="s">
        <v>11887</v>
      </c>
      <c r="B2468" s="1" t="s">
        <v>35</v>
      </c>
      <c r="C2468" s="1">
        <v>8.0</v>
      </c>
    </row>
    <row r="2469" ht="14.25" customHeight="1">
      <c r="A2469" s="1" t="s">
        <v>11890</v>
      </c>
      <c r="B2469" s="1" t="s">
        <v>35</v>
      </c>
      <c r="C2469" s="1">
        <v>6.3</v>
      </c>
    </row>
    <row r="2470" ht="14.25" customHeight="1">
      <c r="A2470" s="1" t="s">
        <v>11894</v>
      </c>
      <c r="B2470" s="1" t="s">
        <v>35</v>
      </c>
      <c r="C2470" s="1">
        <v>7.2</v>
      </c>
    </row>
    <row r="2471" ht="14.25" customHeight="1">
      <c r="A2471" s="1" t="s">
        <v>11898</v>
      </c>
      <c r="B2471" s="1" t="s">
        <v>35</v>
      </c>
      <c r="C2471" s="1">
        <v>6.7</v>
      </c>
    </row>
    <row r="2472" ht="14.25" customHeight="1">
      <c r="A2472" s="1" t="s">
        <v>11904</v>
      </c>
      <c r="B2472" s="1" t="s">
        <v>35</v>
      </c>
      <c r="C2472" s="1">
        <v>5.3</v>
      </c>
    </row>
    <row r="2473" ht="14.25" customHeight="1">
      <c r="A2473" s="1" t="s">
        <v>11909</v>
      </c>
      <c r="B2473" s="1" t="s">
        <v>35</v>
      </c>
      <c r="C2473" s="1">
        <v>6.3</v>
      </c>
    </row>
    <row r="2474" ht="14.25" customHeight="1">
      <c r="A2474" s="1" t="s">
        <v>11912</v>
      </c>
      <c r="B2474" s="1" t="s">
        <v>35</v>
      </c>
      <c r="C2474" s="1">
        <v>6.5</v>
      </c>
    </row>
    <row r="2475" ht="14.25" customHeight="1">
      <c r="A2475" s="1" t="s">
        <v>11916</v>
      </c>
      <c r="B2475" s="1" t="s">
        <v>10526</v>
      </c>
      <c r="C2475" s="1">
        <v>8.3</v>
      </c>
    </row>
    <row r="2476" ht="14.25" customHeight="1">
      <c r="A2476" s="1" t="s">
        <v>11922</v>
      </c>
      <c r="B2476" s="1" t="s">
        <v>2752</v>
      </c>
      <c r="C2476" s="1">
        <v>7.2</v>
      </c>
    </row>
    <row r="2477" ht="14.25" customHeight="1">
      <c r="A2477" s="1" t="s">
        <v>11926</v>
      </c>
      <c r="B2477" s="1" t="s">
        <v>35</v>
      </c>
      <c r="C2477" s="1">
        <v>6.8</v>
      </c>
    </row>
    <row r="2478" ht="14.25" customHeight="1">
      <c r="A2478" s="1" t="s">
        <v>11930</v>
      </c>
      <c r="B2478" s="1" t="s">
        <v>1864</v>
      </c>
      <c r="C2478" s="1">
        <v>6.4</v>
      </c>
    </row>
    <row r="2479" ht="14.25" customHeight="1">
      <c r="A2479" s="1" t="s">
        <v>11935</v>
      </c>
      <c r="B2479" s="1" t="s">
        <v>35</v>
      </c>
      <c r="C2479" s="1">
        <v>6.9</v>
      </c>
    </row>
    <row r="2480" ht="14.25" customHeight="1">
      <c r="A2480" s="1" t="s">
        <v>11940</v>
      </c>
      <c r="B2480" s="1" t="s">
        <v>11946</v>
      </c>
      <c r="C2480" s="1">
        <v>6.2</v>
      </c>
    </row>
    <row r="2481" ht="14.25" customHeight="1">
      <c r="A2481" s="1" t="s">
        <v>11949</v>
      </c>
      <c r="B2481" s="1" t="s">
        <v>35</v>
      </c>
      <c r="C2481" s="1">
        <v>6.1</v>
      </c>
    </row>
    <row r="2482" ht="14.25" customHeight="1">
      <c r="A2482" s="1" t="s">
        <v>11954</v>
      </c>
      <c r="B2482" s="1" t="s">
        <v>35</v>
      </c>
      <c r="C2482" s="1">
        <v>5.1</v>
      </c>
    </row>
    <row r="2483" ht="14.25" customHeight="1">
      <c r="A2483" s="1" t="s">
        <v>11958</v>
      </c>
      <c r="B2483" s="1" t="s">
        <v>35</v>
      </c>
      <c r="C2483" s="1">
        <v>4.5</v>
      </c>
    </row>
    <row r="2484" ht="14.25" customHeight="1">
      <c r="A2484" s="1" t="s">
        <v>11964</v>
      </c>
      <c r="B2484" s="1" t="s">
        <v>35</v>
      </c>
      <c r="C2484" s="1">
        <v>5.9</v>
      </c>
    </row>
    <row r="2485" ht="14.25" customHeight="1">
      <c r="A2485" s="1" t="s">
        <v>11969</v>
      </c>
      <c r="B2485" s="1" t="s">
        <v>35</v>
      </c>
      <c r="C2485" s="1">
        <v>8.1</v>
      </c>
    </row>
    <row r="2486" ht="14.25" customHeight="1">
      <c r="A2486" s="1" t="s">
        <v>11973</v>
      </c>
      <c r="B2486" s="1" t="s">
        <v>35</v>
      </c>
      <c r="C2486" s="1">
        <v>5.7</v>
      </c>
    </row>
    <row r="2487" ht="14.25" customHeight="1">
      <c r="A2487" s="1" t="s">
        <v>11976</v>
      </c>
      <c r="B2487" s="1" t="s">
        <v>35</v>
      </c>
      <c r="C2487" s="1">
        <v>6.8</v>
      </c>
    </row>
    <row r="2488" ht="14.25" customHeight="1">
      <c r="A2488" s="1" t="s">
        <v>11980</v>
      </c>
      <c r="B2488" s="1" t="s">
        <v>2752</v>
      </c>
      <c r="C2488" s="1">
        <v>7.5</v>
      </c>
    </row>
    <row r="2489" ht="14.25" customHeight="1">
      <c r="A2489" s="1" t="s">
        <v>11984</v>
      </c>
      <c r="B2489" s="1" t="s">
        <v>35</v>
      </c>
      <c r="C2489" s="1">
        <v>8.3</v>
      </c>
    </row>
    <row r="2490" ht="14.25" customHeight="1">
      <c r="A2490" s="1" t="s">
        <v>11988</v>
      </c>
      <c r="B2490" s="1" t="s">
        <v>35</v>
      </c>
      <c r="C2490" s="1">
        <v>7.4</v>
      </c>
    </row>
    <row r="2491" ht="14.25" customHeight="1">
      <c r="A2491" s="1" t="s">
        <v>11993</v>
      </c>
      <c r="B2491" s="1" t="s">
        <v>35</v>
      </c>
      <c r="C2491" s="1">
        <v>8.0</v>
      </c>
    </row>
    <row r="2492" ht="14.25" customHeight="1">
      <c r="A2492" s="1" t="s">
        <v>11999</v>
      </c>
      <c r="B2492" s="1" t="s">
        <v>35</v>
      </c>
      <c r="C2492" s="1">
        <v>6.9</v>
      </c>
    </row>
    <row r="2493" ht="14.25" customHeight="1">
      <c r="A2493" s="1" t="s">
        <v>12003</v>
      </c>
      <c r="B2493" s="1" t="s">
        <v>35</v>
      </c>
      <c r="C2493" s="1">
        <v>6.9</v>
      </c>
    </row>
    <row r="2494" ht="14.25" customHeight="1">
      <c r="A2494" s="1" t="s">
        <v>12007</v>
      </c>
      <c r="B2494" s="1" t="s">
        <v>35</v>
      </c>
      <c r="C2494" s="1">
        <v>5.5</v>
      </c>
    </row>
    <row r="2495" ht="14.25" customHeight="1">
      <c r="A2495" s="1" t="s">
        <v>12011</v>
      </c>
      <c r="B2495" s="1" t="s">
        <v>35</v>
      </c>
      <c r="C2495" s="1">
        <v>7.2</v>
      </c>
    </row>
    <row r="2496" ht="14.25" customHeight="1">
      <c r="A2496" s="1" t="s">
        <v>12014</v>
      </c>
      <c r="B2496" s="1" t="s">
        <v>35</v>
      </c>
      <c r="C2496" s="1">
        <v>6.9</v>
      </c>
    </row>
    <row r="2497" ht="14.25" customHeight="1">
      <c r="A2497" s="1" t="s">
        <v>12018</v>
      </c>
      <c r="B2497" s="1" t="s">
        <v>35</v>
      </c>
      <c r="C2497" s="1">
        <v>5.5</v>
      </c>
    </row>
    <row r="2498" ht="14.25" customHeight="1">
      <c r="A2498" s="1" t="s">
        <v>9160</v>
      </c>
      <c r="B2498" s="1" t="s">
        <v>35</v>
      </c>
      <c r="C2498" s="1">
        <v>5.9</v>
      </c>
    </row>
    <row r="2499" ht="14.25" customHeight="1">
      <c r="A2499" s="1" t="s">
        <v>12022</v>
      </c>
      <c r="B2499" s="1" t="s">
        <v>35</v>
      </c>
      <c r="C2499" s="1">
        <v>5.2</v>
      </c>
    </row>
    <row r="2500" ht="14.25" customHeight="1">
      <c r="A2500" s="1" t="s">
        <v>12025</v>
      </c>
      <c r="B2500" s="1" t="s">
        <v>35</v>
      </c>
      <c r="C2500" s="1">
        <v>7.1</v>
      </c>
    </row>
    <row r="2501" ht="14.25" customHeight="1">
      <c r="A2501" s="1" t="s">
        <v>12031</v>
      </c>
      <c r="B2501" s="1" t="s">
        <v>35</v>
      </c>
      <c r="C2501" s="1">
        <v>5.5</v>
      </c>
    </row>
    <row r="2502" ht="14.25" customHeight="1">
      <c r="A2502" s="1" t="s">
        <v>9261</v>
      </c>
      <c r="B2502" s="1" t="s">
        <v>35</v>
      </c>
      <c r="C2502" s="1">
        <v>7.7</v>
      </c>
    </row>
    <row r="2503" ht="14.25" customHeight="1">
      <c r="A2503" s="1" t="s">
        <v>12035</v>
      </c>
      <c r="B2503" s="1" t="s">
        <v>35</v>
      </c>
      <c r="C2503" s="1">
        <v>6.7</v>
      </c>
    </row>
    <row r="2504" ht="14.25" customHeight="1">
      <c r="A2504" s="1" t="s">
        <v>12039</v>
      </c>
      <c r="B2504" s="1" t="s">
        <v>35</v>
      </c>
      <c r="C2504" s="1">
        <v>5.0</v>
      </c>
    </row>
    <row r="2505" ht="14.25" customHeight="1">
      <c r="A2505" s="1" t="s">
        <v>12042</v>
      </c>
      <c r="B2505" s="1" t="s">
        <v>35</v>
      </c>
      <c r="C2505" s="1">
        <v>6.4</v>
      </c>
    </row>
    <row r="2506" ht="14.25" customHeight="1">
      <c r="A2506" s="1" t="s">
        <v>12046</v>
      </c>
      <c r="B2506" s="1" t="s">
        <v>35</v>
      </c>
      <c r="C2506" s="1">
        <v>6.6</v>
      </c>
    </row>
    <row r="2507" ht="14.25" customHeight="1">
      <c r="A2507" s="1" t="s">
        <v>12050</v>
      </c>
      <c r="B2507" s="1" t="s">
        <v>35</v>
      </c>
      <c r="C2507" s="1">
        <v>5.9</v>
      </c>
    </row>
    <row r="2508" ht="14.25" customHeight="1">
      <c r="A2508" s="1" t="s">
        <v>12054</v>
      </c>
      <c r="B2508" s="1" t="s">
        <v>35</v>
      </c>
      <c r="C2508" s="1">
        <v>5.7</v>
      </c>
    </row>
    <row r="2509" ht="14.25" customHeight="1">
      <c r="A2509" s="1" t="s">
        <v>12059</v>
      </c>
      <c r="B2509" s="1" t="s">
        <v>35</v>
      </c>
      <c r="C2509" s="1">
        <v>4.5</v>
      </c>
    </row>
    <row r="2510" ht="14.25" customHeight="1">
      <c r="A2510" s="1" t="s">
        <v>12063</v>
      </c>
      <c r="B2510" s="1" t="s">
        <v>35</v>
      </c>
      <c r="C2510" s="1">
        <v>5.0</v>
      </c>
    </row>
    <row r="2511" ht="14.25" customHeight="1">
      <c r="A2511" s="1" t="s">
        <v>12066</v>
      </c>
      <c r="B2511" s="1" t="s">
        <v>35</v>
      </c>
      <c r="C2511" s="1">
        <v>4.6</v>
      </c>
    </row>
    <row r="2512" ht="14.25" customHeight="1">
      <c r="A2512" s="1" t="s">
        <v>12069</v>
      </c>
      <c r="B2512" s="1" t="s">
        <v>35</v>
      </c>
      <c r="C2512" s="1">
        <v>6.5</v>
      </c>
    </row>
    <row r="2513" ht="14.25" customHeight="1">
      <c r="A2513" s="1" t="s">
        <v>12074</v>
      </c>
      <c r="B2513" s="1" t="s">
        <v>35</v>
      </c>
      <c r="C2513" s="1">
        <v>4.9</v>
      </c>
    </row>
    <row r="2514" ht="14.25" customHeight="1">
      <c r="A2514" s="1" t="s">
        <v>12079</v>
      </c>
      <c r="B2514" s="1" t="s">
        <v>35</v>
      </c>
      <c r="C2514" s="1">
        <v>6.0</v>
      </c>
    </row>
    <row r="2515" ht="14.25" customHeight="1">
      <c r="A2515" s="1" t="s">
        <v>12084</v>
      </c>
      <c r="B2515" s="1" t="s">
        <v>35</v>
      </c>
      <c r="C2515" s="1">
        <v>6.9</v>
      </c>
    </row>
    <row r="2516" ht="14.25" customHeight="1">
      <c r="A2516" s="1" t="s">
        <v>12090</v>
      </c>
      <c r="B2516" s="1" t="s">
        <v>35</v>
      </c>
      <c r="C2516" s="1">
        <v>5.7</v>
      </c>
    </row>
    <row r="2517" ht="14.25" customHeight="1">
      <c r="A2517" s="1" t="s">
        <v>12094</v>
      </c>
      <c r="B2517" s="1" t="s">
        <v>35</v>
      </c>
      <c r="C2517" s="1">
        <v>6.9</v>
      </c>
    </row>
    <row r="2518" ht="14.25" customHeight="1">
      <c r="A2518" s="1" t="s">
        <v>12098</v>
      </c>
      <c r="B2518" s="1" t="s">
        <v>35</v>
      </c>
      <c r="C2518" s="1">
        <v>4.4</v>
      </c>
    </row>
    <row r="2519" ht="14.25" customHeight="1">
      <c r="A2519" s="1" t="s">
        <v>11504</v>
      </c>
      <c r="B2519" s="1" t="s">
        <v>35</v>
      </c>
      <c r="C2519" s="1">
        <v>5.4</v>
      </c>
    </row>
    <row r="2520" ht="14.25" customHeight="1">
      <c r="A2520" s="1" t="s">
        <v>12104</v>
      </c>
      <c r="B2520" s="1" t="s">
        <v>35</v>
      </c>
      <c r="C2520" s="1">
        <v>7.0</v>
      </c>
    </row>
    <row r="2521" ht="14.25" customHeight="1">
      <c r="A2521" s="1" t="s">
        <v>12107</v>
      </c>
      <c r="B2521" s="1" t="s">
        <v>35</v>
      </c>
      <c r="C2521" s="1">
        <v>5.4</v>
      </c>
    </row>
    <row r="2522" ht="14.25" customHeight="1">
      <c r="A2522" s="1" t="s">
        <v>12113</v>
      </c>
      <c r="B2522" s="1" t="s">
        <v>35</v>
      </c>
      <c r="C2522" s="1">
        <v>5.4</v>
      </c>
    </row>
    <row r="2523" ht="14.25" customHeight="1">
      <c r="A2523" s="1" t="s">
        <v>12118</v>
      </c>
      <c r="B2523" s="1" t="s">
        <v>35</v>
      </c>
      <c r="C2523" s="1">
        <v>7.6</v>
      </c>
    </row>
    <row r="2524" ht="14.25" customHeight="1">
      <c r="A2524" s="1" t="s">
        <v>12123</v>
      </c>
      <c r="B2524" s="1" t="s">
        <v>35</v>
      </c>
      <c r="C2524" s="1">
        <v>5.9</v>
      </c>
    </row>
    <row r="2525" ht="14.25" customHeight="1">
      <c r="A2525" s="1" t="s">
        <v>12128</v>
      </c>
      <c r="B2525" s="1" t="s">
        <v>35</v>
      </c>
      <c r="C2525" s="1">
        <v>6.6</v>
      </c>
    </row>
    <row r="2526" ht="14.25" customHeight="1">
      <c r="A2526" s="1" t="s">
        <v>12132</v>
      </c>
      <c r="B2526" s="1" t="s">
        <v>35</v>
      </c>
      <c r="C2526" s="1">
        <v>6.7</v>
      </c>
    </row>
    <row r="2527" ht="14.25" customHeight="1">
      <c r="A2527" s="1" t="s">
        <v>12137</v>
      </c>
      <c r="B2527" s="1" t="s">
        <v>35</v>
      </c>
      <c r="C2527" s="1">
        <v>3.9</v>
      </c>
    </row>
    <row r="2528" ht="14.25" customHeight="1">
      <c r="A2528" s="1" t="s">
        <v>12143</v>
      </c>
      <c r="B2528" s="1" t="s">
        <v>35</v>
      </c>
      <c r="C2528" s="1">
        <v>5.7</v>
      </c>
    </row>
    <row r="2529" ht="14.25" customHeight="1">
      <c r="A2529" s="1" t="s">
        <v>12149</v>
      </c>
      <c r="B2529" s="1" t="s">
        <v>35</v>
      </c>
      <c r="C2529" s="1">
        <v>6.5</v>
      </c>
    </row>
    <row r="2530" ht="14.25" customHeight="1">
      <c r="A2530" s="1" t="s">
        <v>12154</v>
      </c>
      <c r="B2530" s="1" t="s">
        <v>35</v>
      </c>
      <c r="C2530" s="1">
        <v>6.8</v>
      </c>
    </row>
    <row r="2531" ht="14.25" customHeight="1">
      <c r="A2531" s="1" t="s">
        <v>12159</v>
      </c>
      <c r="B2531" s="1" t="s">
        <v>35</v>
      </c>
      <c r="C2531" s="1">
        <v>7.3</v>
      </c>
    </row>
    <row r="2532" ht="14.25" customHeight="1">
      <c r="A2532" s="1" t="s">
        <v>12165</v>
      </c>
      <c r="B2532" s="1" t="s">
        <v>35</v>
      </c>
      <c r="C2532" s="1">
        <v>7.0</v>
      </c>
    </row>
    <row r="2533" ht="14.25" customHeight="1">
      <c r="A2533" s="1" t="s">
        <v>12169</v>
      </c>
      <c r="B2533" s="1" t="s">
        <v>35</v>
      </c>
      <c r="C2533" s="1">
        <v>6.5</v>
      </c>
    </row>
    <row r="2534" ht="14.25" customHeight="1">
      <c r="A2534" s="1" t="s">
        <v>12173</v>
      </c>
      <c r="B2534" s="1" t="s">
        <v>35</v>
      </c>
      <c r="C2534" s="1">
        <v>7.7</v>
      </c>
    </row>
    <row r="2535" ht="14.25" customHeight="1">
      <c r="A2535" s="1" t="s">
        <v>12176</v>
      </c>
      <c r="B2535" s="1" t="s">
        <v>35</v>
      </c>
      <c r="C2535" s="1">
        <v>7.7</v>
      </c>
    </row>
    <row r="2536" ht="14.25" customHeight="1">
      <c r="A2536" s="1" t="s">
        <v>1411</v>
      </c>
      <c r="B2536" s="1" t="s">
        <v>35</v>
      </c>
      <c r="C2536" s="1">
        <v>5.9</v>
      </c>
    </row>
    <row r="2537" ht="14.25" customHeight="1">
      <c r="A2537" s="1" t="s">
        <v>12179</v>
      </c>
      <c r="B2537" s="1" t="s">
        <v>35</v>
      </c>
      <c r="C2537" s="1">
        <v>6.8</v>
      </c>
    </row>
    <row r="2538" ht="14.25" customHeight="1">
      <c r="A2538" s="1" t="s">
        <v>12183</v>
      </c>
      <c r="B2538" s="1" t="s">
        <v>35</v>
      </c>
      <c r="C2538" s="1">
        <v>7.4</v>
      </c>
    </row>
    <row r="2539" ht="14.25" customHeight="1">
      <c r="A2539" s="1" t="s">
        <v>12186</v>
      </c>
      <c r="B2539" s="1" t="s">
        <v>35</v>
      </c>
      <c r="C2539" s="1">
        <v>5.1</v>
      </c>
    </row>
    <row r="2540" ht="14.25" customHeight="1">
      <c r="A2540" s="1" t="s">
        <v>12189</v>
      </c>
      <c r="B2540" s="1" t="s">
        <v>35</v>
      </c>
      <c r="C2540" s="1">
        <v>7.4</v>
      </c>
    </row>
    <row r="2541" ht="14.25" customHeight="1">
      <c r="A2541" s="1" t="s">
        <v>12194</v>
      </c>
      <c r="B2541" s="1" t="s">
        <v>35</v>
      </c>
      <c r="C2541" s="1">
        <v>7.2</v>
      </c>
    </row>
    <row r="2542" ht="14.25" customHeight="1">
      <c r="A2542" s="1" t="s">
        <v>12197</v>
      </c>
      <c r="B2542" s="1" t="s">
        <v>10526</v>
      </c>
      <c r="C2542" s="1">
        <v>8.3</v>
      </c>
    </row>
    <row r="2543" ht="14.25" customHeight="1">
      <c r="A2543" s="1" t="s">
        <v>12201</v>
      </c>
      <c r="B2543" s="1" t="s">
        <v>2648</v>
      </c>
      <c r="C2543" s="1">
        <v>8.1</v>
      </c>
    </row>
    <row r="2544" ht="14.25" customHeight="1">
      <c r="A2544" s="1" t="s">
        <v>12207</v>
      </c>
      <c r="B2544" s="1" t="s">
        <v>35</v>
      </c>
      <c r="C2544" s="1">
        <v>7.3</v>
      </c>
    </row>
    <row r="2545" ht="14.25" customHeight="1">
      <c r="A2545" s="1" t="s">
        <v>12211</v>
      </c>
      <c r="B2545" s="1" t="s">
        <v>35</v>
      </c>
      <c r="C2545" s="1">
        <v>3.6</v>
      </c>
    </row>
    <row r="2546" ht="14.25" customHeight="1">
      <c r="A2546" s="1" t="s">
        <v>12215</v>
      </c>
      <c r="B2546" s="1" t="s">
        <v>35</v>
      </c>
      <c r="C2546" s="1">
        <v>1.6</v>
      </c>
    </row>
    <row r="2547" ht="14.25" customHeight="1">
      <c r="A2547" s="1" t="s">
        <v>12220</v>
      </c>
      <c r="B2547" s="1" t="s">
        <v>35</v>
      </c>
      <c r="C2547" s="1">
        <v>8.0</v>
      </c>
    </row>
    <row r="2548" ht="14.25" customHeight="1">
      <c r="A2548" s="1" t="s">
        <v>1344</v>
      </c>
      <c r="B2548" s="1" t="s">
        <v>35</v>
      </c>
      <c r="C2548" s="1">
        <v>6.2</v>
      </c>
    </row>
    <row r="2549" ht="14.25" customHeight="1">
      <c r="A2549" s="1" t="s">
        <v>12223</v>
      </c>
      <c r="B2549" s="1" t="s">
        <v>35</v>
      </c>
      <c r="C2549" s="1">
        <v>9.0</v>
      </c>
    </row>
    <row r="2550" ht="14.25" customHeight="1">
      <c r="A2550" s="1" t="s">
        <v>12226</v>
      </c>
      <c r="B2550" s="1" t="s">
        <v>35</v>
      </c>
      <c r="C2550" s="1">
        <v>6.1</v>
      </c>
    </row>
    <row r="2551" ht="14.25" customHeight="1">
      <c r="A2551" s="1" t="s">
        <v>12230</v>
      </c>
      <c r="B2551" s="1" t="s">
        <v>35</v>
      </c>
      <c r="C2551" s="1">
        <v>5.7</v>
      </c>
    </row>
    <row r="2552" ht="14.25" customHeight="1">
      <c r="A2552" s="1" t="s">
        <v>12236</v>
      </c>
      <c r="B2552" s="1" t="s">
        <v>35</v>
      </c>
      <c r="C2552" s="1">
        <v>6.8</v>
      </c>
    </row>
    <row r="2553" ht="14.25" customHeight="1">
      <c r="A2553" s="1" t="s">
        <v>12241</v>
      </c>
      <c r="B2553" s="1" t="s">
        <v>35</v>
      </c>
      <c r="C2553" s="1">
        <v>5.5</v>
      </c>
    </row>
    <row r="2554" ht="14.25" customHeight="1">
      <c r="A2554" s="1" t="s">
        <v>12245</v>
      </c>
      <c r="B2554" s="1" t="s">
        <v>35</v>
      </c>
      <c r="C2554" s="1">
        <v>6.8</v>
      </c>
    </row>
    <row r="2555" ht="14.25" customHeight="1">
      <c r="A2555" s="1" t="s">
        <v>12251</v>
      </c>
      <c r="B2555" s="1" t="s">
        <v>35</v>
      </c>
      <c r="C2555" s="1">
        <v>7.3</v>
      </c>
    </row>
    <row r="2556" ht="14.25" customHeight="1">
      <c r="A2556" s="1" t="s">
        <v>12254</v>
      </c>
      <c r="B2556" s="1" t="s">
        <v>35</v>
      </c>
      <c r="C2556" s="1">
        <v>6.1</v>
      </c>
    </row>
    <row r="2557" ht="14.25" customHeight="1">
      <c r="A2557" s="1" t="s">
        <v>12257</v>
      </c>
      <c r="B2557" s="1" t="s">
        <v>35</v>
      </c>
      <c r="C2557" s="1">
        <v>7.2</v>
      </c>
    </row>
    <row r="2558" ht="14.25" customHeight="1">
      <c r="A2558" s="1" t="s">
        <v>12262</v>
      </c>
      <c r="B2558" s="1" t="s">
        <v>35</v>
      </c>
      <c r="C2558" s="1">
        <v>5.9</v>
      </c>
    </row>
    <row r="2559" ht="14.25" customHeight="1">
      <c r="A2559" s="1" t="s">
        <v>12267</v>
      </c>
      <c r="B2559" s="1" t="s">
        <v>35</v>
      </c>
      <c r="C2559" s="1">
        <v>6.1</v>
      </c>
    </row>
    <row r="2560" ht="14.25" customHeight="1">
      <c r="A2560" s="1" t="s">
        <v>12270</v>
      </c>
      <c r="B2560" s="1" t="s">
        <v>35</v>
      </c>
      <c r="C2560" s="1">
        <v>6.8</v>
      </c>
    </row>
    <row r="2561" ht="14.25" customHeight="1">
      <c r="A2561" s="1" t="s">
        <v>12275</v>
      </c>
      <c r="B2561" s="1" t="s">
        <v>35</v>
      </c>
      <c r="C2561" s="1">
        <v>7.7</v>
      </c>
    </row>
    <row r="2562" ht="14.25" customHeight="1">
      <c r="A2562" s="1" t="s">
        <v>12278</v>
      </c>
      <c r="B2562" s="1" t="s">
        <v>35</v>
      </c>
      <c r="C2562" s="1">
        <v>4.9</v>
      </c>
    </row>
    <row r="2563" ht="14.25" customHeight="1">
      <c r="A2563" s="1" t="s">
        <v>12282</v>
      </c>
      <c r="B2563" s="1" t="s">
        <v>35</v>
      </c>
      <c r="C2563" s="1">
        <v>6.1</v>
      </c>
    </row>
    <row r="2564" ht="14.25" customHeight="1">
      <c r="A2564" s="1" t="s">
        <v>12285</v>
      </c>
      <c r="B2564" s="1" t="s">
        <v>35</v>
      </c>
      <c r="C2564" s="1">
        <v>2.5</v>
      </c>
    </row>
    <row r="2565" ht="14.25" customHeight="1">
      <c r="A2565" s="1" t="s">
        <v>12290</v>
      </c>
      <c r="B2565" s="1" t="s">
        <v>35</v>
      </c>
      <c r="C2565" s="1">
        <v>6.1</v>
      </c>
    </row>
    <row r="2566" ht="14.25" customHeight="1">
      <c r="A2566" s="1" t="s">
        <v>12295</v>
      </c>
      <c r="B2566" s="1" t="s">
        <v>35</v>
      </c>
      <c r="C2566" s="1">
        <v>5.9</v>
      </c>
    </row>
    <row r="2567" ht="14.25" customHeight="1">
      <c r="A2567" s="1" t="s">
        <v>12300</v>
      </c>
      <c r="B2567" s="1" t="s">
        <v>35</v>
      </c>
      <c r="C2567" s="1">
        <v>5.7</v>
      </c>
    </row>
    <row r="2568" ht="14.25" customHeight="1">
      <c r="A2568" s="1" t="s">
        <v>12306</v>
      </c>
      <c r="B2568" s="1" t="s">
        <v>35</v>
      </c>
      <c r="C2568" s="1">
        <v>5.6</v>
      </c>
    </row>
    <row r="2569" ht="14.25" customHeight="1">
      <c r="A2569" s="1" t="s">
        <v>12311</v>
      </c>
      <c r="B2569" s="1" t="s">
        <v>35</v>
      </c>
      <c r="C2569" s="1">
        <v>7.2</v>
      </c>
    </row>
    <row r="2570" ht="14.25" customHeight="1">
      <c r="A2570" s="1" t="s">
        <v>12315</v>
      </c>
      <c r="B2570" s="1" t="s">
        <v>35</v>
      </c>
      <c r="C2570" s="1">
        <v>7.7</v>
      </c>
    </row>
    <row r="2571" ht="14.25" customHeight="1">
      <c r="A2571" s="1" t="s">
        <v>12321</v>
      </c>
      <c r="B2571" s="1" t="s">
        <v>35</v>
      </c>
      <c r="C2571" s="1">
        <v>7.8</v>
      </c>
    </row>
    <row r="2572" ht="14.25" customHeight="1">
      <c r="A2572" s="1" t="s">
        <v>12326</v>
      </c>
      <c r="B2572" s="1" t="s">
        <v>35</v>
      </c>
      <c r="C2572" s="1">
        <v>6.1</v>
      </c>
    </row>
    <row r="2573" ht="14.25" customHeight="1">
      <c r="A2573" s="1" t="s">
        <v>12330</v>
      </c>
      <c r="B2573" s="1" t="s">
        <v>35</v>
      </c>
      <c r="C2573" s="1">
        <v>5.8</v>
      </c>
    </row>
    <row r="2574" ht="14.25" customHeight="1">
      <c r="A2574" s="1" t="s">
        <v>12337</v>
      </c>
      <c r="B2574" s="1" t="s">
        <v>35</v>
      </c>
      <c r="C2574" s="1">
        <v>6.5</v>
      </c>
    </row>
    <row r="2575" ht="14.25" customHeight="1">
      <c r="A2575" s="1" t="s">
        <v>12341</v>
      </c>
      <c r="B2575" s="1" t="s">
        <v>7281</v>
      </c>
      <c r="C2575" s="1">
        <v>7.9</v>
      </c>
    </row>
    <row r="2576" ht="14.25" customHeight="1">
      <c r="A2576" s="1" t="s">
        <v>12348</v>
      </c>
      <c r="B2576" s="1" t="s">
        <v>35</v>
      </c>
      <c r="C2576" s="1">
        <v>6.3</v>
      </c>
    </row>
    <row r="2577" ht="14.25" customHeight="1">
      <c r="A2577" s="1" t="s">
        <v>12352</v>
      </c>
      <c r="B2577" s="1" t="s">
        <v>35</v>
      </c>
      <c r="C2577" s="1">
        <v>8.3</v>
      </c>
    </row>
    <row r="2578" ht="14.25" customHeight="1">
      <c r="A2578" s="1" t="s">
        <v>12355</v>
      </c>
      <c r="B2578" s="1" t="s">
        <v>35</v>
      </c>
      <c r="C2578" s="1">
        <v>6.4</v>
      </c>
    </row>
    <row r="2579" ht="14.25" customHeight="1">
      <c r="A2579" s="1" t="s">
        <v>12359</v>
      </c>
      <c r="B2579" s="1" t="s">
        <v>35</v>
      </c>
      <c r="C2579" s="1">
        <v>6.7</v>
      </c>
    </row>
    <row r="2580" ht="14.25" customHeight="1">
      <c r="A2580" s="1" t="s">
        <v>12362</v>
      </c>
      <c r="B2580" s="1" t="s">
        <v>35</v>
      </c>
      <c r="C2580" s="1">
        <v>6.1</v>
      </c>
    </row>
    <row r="2581" ht="14.25" customHeight="1">
      <c r="A2581" s="1" t="s">
        <v>12366</v>
      </c>
      <c r="B2581" s="1" t="s">
        <v>35</v>
      </c>
      <c r="C2581" s="1">
        <v>6.0</v>
      </c>
    </row>
    <row r="2582" ht="14.25" customHeight="1">
      <c r="A2582" s="1">
        <v>54.0</v>
      </c>
      <c r="B2582" s="1" t="s">
        <v>35</v>
      </c>
      <c r="C2582" s="1">
        <v>5.8</v>
      </c>
    </row>
    <row r="2583" ht="14.25" customHeight="1">
      <c r="A2583" s="1" t="s">
        <v>12373</v>
      </c>
      <c r="B2583" s="1" t="s">
        <v>35</v>
      </c>
      <c r="C2583" s="1">
        <v>5.6</v>
      </c>
    </row>
    <row r="2584" ht="14.25" customHeight="1">
      <c r="A2584" s="1" t="s">
        <v>12378</v>
      </c>
      <c r="B2584" s="1" t="s">
        <v>35</v>
      </c>
      <c r="C2584" s="1">
        <v>6.1</v>
      </c>
    </row>
    <row r="2585" ht="14.25" customHeight="1">
      <c r="A2585" s="1" t="s">
        <v>12382</v>
      </c>
      <c r="B2585" s="1" t="s">
        <v>35</v>
      </c>
      <c r="C2585" s="1">
        <v>5.9</v>
      </c>
    </row>
    <row r="2586" ht="14.25" customHeight="1">
      <c r="A2586" s="1" t="s">
        <v>12389</v>
      </c>
      <c r="B2586" s="1" t="s">
        <v>2752</v>
      </c>
      <c r="C2586" s="1">
        <v>7.3</v>
      </c>
    </row>
    <row r="2587" ht="14.25" customHeight="1">
      <c r="A2587" s="1" t="s">
        <v>12393</v>
      </c>
      <c r="B2587" s="1" t="s">
        <v>35</v>
      </c>
      <c r="C2587" s="1">
        <v>6.8</v>
      </c>
    </row>
    <row r="2588" ht="14.25" customHeight="1">
      <c r="A2588" s="1" t="s">
        <v>12397</v>
      </c>
      <c r="B2588" s="1" t="s">
        <v>35</v>
      </c>
      <c r="C2588" s="1">
        <v>5.7</v>
      </c>
    </row>
    <row r="2589" ht="14.25" customHeight="1">
      <c r="A2589" s="1" t="s">
        <v>12402</v>
      </c>
      <c r="B2589" s="1" t="s">
        <v>2752</v>
      </c>
      <c r="C2589" s="1">
        <v>7.3</v>
      </c>
    </row>
    <row r="2590" ht="14.25" customHeight="1">
      <c r="A2590" s="1" t="s">
        <v>12407</v>
      </c>
      <c r="B2590" s="1" t="s">
        <v>35</v>
      </c>
      <c r="C2590" s="1">
        <v>6.3</v>
      </c>
    </row>
    <row r="2591" ht="14.25" customHeight="1">
      <c r="A2591" s="1" t="s">
        <v>12413</v>
      </c>
      <c r="B2591" s="1" t="s">
        <v>35</v>
      </c>
      <c r="C2591" s="1">
        <v>5.9</v>
      </c>
    </row>
    <row r="2592" ht="14.25" customHeight="1">
      <c r="A2592" s="1" t="s">
        <v>8619</v>
      </c>
      <c r="B2592" s="1" t="s">
        <v>35</v>
      </c>
      <c r="C2592" s="1">
        <v>7.1</v>
      </c>
    </row>
    <row r="2593" ht="14.25" customHeight="1">
      <c r="A2593" s="1" t="s">
        <v>12416</v>
      </c>
      <c r="B2593" s="1" t="s">
        <v>35</v>
      </c>
      <c r="C2593" s="1">
        <v>7.1</v>
      </c>
    </row>
    <row r="2594" ht="14.25" customHeight="1">
      <c r="A2594" s="1" t="s">
        <v>12420</v>
      </c>
      <c r="B2594" s="1" t="s">
        <v>35</v>
      </c>
      <c r="C2594" s="1">
        <v>8.0</v>
      </c>
    </row>
    <row r="2595" ht="14.25" customHeight="1">
      <c r="A2595" s="1" t="s">
        <v>12425</v>
      </c>
      <c r="B2595" s="1" t="s">
        <v>35</v>
      </c>
      <c r="C2595" s="1">
        <v>5.1</v>
      </c>
    </row>
    <row r="2596" ht="14.25" customHeight="1">
      <c r="A2596" s="1" t="s">
        <v>12430</v>
      </c>
      <c r="B2596" s="1" t="s">
        <v>35</v>
      </c>
      <c r="C2596" s="1">
        <v>7.1</v>
      </c>
    </row>
    <row r="2597" ht="14.25" customHeight="1">
      <c r="A2597" s="1" t="s">
        <v>12433</v>
      </c>
      <c r="B2597" s="1" t="s">
        <v>35</v>
      </c>
      <c r="C2597" s="1">
        <v>6.5</v>
      </c>
    </row>
    <row r="2598" ht="14.25" customHeight="1">
      <c r="A2598" s="1" t="s">
        <v>12436</v>
      </c>
      <c r="B2598" s="1" t="s">
        <v>35</v>
      </c>
      <c r="C2598" s="1">
        <v>4.5</v>
      </c>
    </row>
    <row r="2599" ht="14.25" customHeight="1">
      <c r="A2599" s="1" t="s">
        <v>12439</v>
      </c>
      <c r="B2599" s="1" t="s">
        <v>35</v>
      </c>
      <c r="C2599" s="1">
        <v>6.6</v>
      </c>
    </row>
    <row r="2600" ht="14.25" customHeight="1">
      <c r="A2600" s="1" t="s">
        <v>12444</v>
      </c>
      <c r="B2600" s="1" t="s">
        <v>12450</v>
      </c>
      <c r="C2600" s="1">
        <v>4.3</v>
      </c>
    </row>
    <row r="2601" ht="14.25" customHeight="1">
      <c r="A2601" s="1" t="s">
        <v>12451</v>
      </c>
      <c r="B2601" s="1" t="s">
        <v>35</v>
      </c>
      <c r="C2601" s="1">
        <v>6.7</v>
      </c>
    </row>
    <row r="2602" ht="14.25" customHeight="1">
      <c r="A2602" s="1" t="s">
        <v>12456</v>
      </c>
      <c r="B2602" s="1" t="s">
        <v>35</v>
      </c>
      <c r="C2602" s="1">
        <v>5.4</v>
      </c>
    </row>
    <row r="2603" ht="14.25" customHeight="1">
      <c r="A2603" s="1" t="s">
        <v>12462</v>
      </c>
      <c r="B2603" s="1" t="s">
        <v>35</v>
      </c>
      <c r="C2603" s="1">
        <v>6.6</v>
      </c>
    </row>
    <row r="2604" ht="14.25" customHeight="1">
      <c r="A2604" s="1" t="s">
        <v>12469</v>
      </c>
      <c r="B2604" s="1" t="s">
        <v>35</v>
      </c>
      <c r="C2604" s="1">
        <v>7.3</v>
      </c>
    </row>
    <row r="2605" ht="14.25" customHeight="1">
      <c r="A2605" s="1" t="s">
        <v>12472</v>
      </c>
      <c r="B2605" s="1" t="s">
        <v>35</v>
      </c>
      <c r="C2605" s="1">
        <v>6.9</v>
      </c>
    </row>
    <row r="2606" ht="14.25" customHeight="1">
      <c r="A2606" s="1" t="s">
        <v>12477</v>
      </c>
      <c r="B2606" s="1" t="s">
        <v>35</v>
      </c>
      <c r="C2606" s="1">
        <v>8.0</v>
      </c>
    </row>
    <row r="2607" ht="14.25" customHeight="1">
      <c r="A2607" s="1" t="s">
        <v>12480</v>
      </c>
      <c r="B2607" s="1" t="s">
        <v>35</v>
      </c>
      <c r="C2607" s="1">
        <v>7.8</v>
      </c>
    </row>
    <row r="2608" ht="14.25" customHeight="1">
      <c r="A2608" s="1" t="s">
        <v>12484</v>
      </c>
      <c r="B2608" s="1" t="s">
        <v>35</v>
      </c>
      <c r="C2608" s="1">
        <v>6.1</v>
      </c>
    </row>
    <row r="2609" ht="14.25" customHeight="1">
      <c r="A2609" s="1" t="s">
        <v>12488</v>
      </c>
      <c r="B2609" s="1" t="s">
        <v>35</v>
      </c>
      <c r="C2609" s="1">
        <v>5.1</v>
      </c>
    </row>
    <row r="2610" ht="14.25" customHeight="1">
      <c r="A2610" s="1" t="s">
        <v>12493</v>
      </c>
      <c r="B2610" s="1" t="s">
        <v>35</v>
      </c>
      <c r="C2610" s="1">
        <v>7.4</v>
      </c>
    </row>
    <row r="2611" ht="14.25" customHeight="1">
      <c r="A2611" s="1" t="s">
        <v>12497</v>
      </c>
      <c r="B2611" s="1" t="s">
        <v>35</v>
      </c>
      <c r="C2611" s="1">
        <v>7.8</v>
      </c>
    </row>
    <row r="2612" ht="14.25" customHeight="1">
      <c r="A2612" s="1" t="s">
        <v>12503</v>
      </c>
      <c r="B2612" s="1" t="s">
        <v>35</v>
      </c>
      <c r="C2612" s="1">
        <v>8.0</v>
      </c>
    </row>
    <row r="2613" ht="14.25" customHeight="1">
      <c r="A2613" s="1" t="s">
        <v>12508</v>
      </c>
      <c r="B2613" s="1" t="s">
        <v>35</v>
      </c>
      <c r="C2613" s="1">
        <v>6.7</v>
      </c>
    </row>
    <row r="2614" ht="14.25" customHeight="1">
      <c r="A2614" s="1" t="s">
        <v>12512</v>
      </c>
      <c r="B2614" s="1" t="s">
        <v>35</v>
      </c>
      <c r="C2614" s="1">
        <v>6.6</v>
      </c>
    </row>
    <row r="2615" ht="14.25" customHeight="1">
      <c r="A2615" s="1" t="s">
        <v>12517</v>
      </c>
      <c r="B2615" s="1" t="s">
        <v>35</v>
      </c>
      <c r="C2615" s="1">
        <v>6.4</v>
      </c>
    </row>
    <row r="2616" ht="14.25" customHeight="1">
      <c r="A2616" s="1" t="s">
        <v>12521</v>
      </c>
      <c r="B2616" s="1" t="s">
        <v>35</v>
      </c>
      <c r="C2616" s="1">
        <v>6.7</v>
      </c>
    </row>
    <row r="2617" ht="14.25" customHeight="1">
      <c r="A2617" s="1" t="s">
        <v>12525</v>
      </c>
      <c r="B2617" s="1" t="s">
        <v>35</v>
      </c>
      <c r="C2617" s="1">
        <v>6.2</v>
      </c>
    </row>
    <row r="2618" ht="14.25" customHeight="1">
      <c r="A2618" s="1" t="s">
        <v>12529</v>
      </c>
      <c r="B2618" s="1" t="s">
        <v>35</v>
      </c>
      <c r="C2618" s="1">
        <v>7.3</v>
      </c>
    </row>
    <row r="2619" ht="14.25" customHeight="1">
      <c r="A2619" s="1" t="s">
        <v>12535</v>
      </c>
      <c r="B2619" s="1" t="s">
        <v>12540</v>
      </c>
      <c r="C2619" s="1">
        <v>8.1</v>
      </c>
    </row>
    <row r="2620" ht="14.25" customHeight="1">
      <c r="A2620" s="1" t="s">
        <v>12542</v>
      </c>
      <c r="B2620" s="1" t="s">
        <v>35</v>
      </c>
      <c r="C2620" s="1">
        <v>7.0</v>
      </c>
    </row>
    <row r="2621" ht="14.25" customHeight="1">
      <c r="A2621" s="1" t="s">
        <v>12546</v>
      </c>
      <c r="B2621" s="1" t="s">
        <v>35</v>
      </c>
      <c r="C2621" s="1">
        <v>8.0</v>
      </c>
    </row>
    <row r="2622" ht="14.25" customHeight="1">
      <c r="A2622" s="1" t="s">
        <v>12551</v>
      </c>
      <c r="B2622" s="1" t="s">
        <v>35</v>
      </c>
      <c r="C2622" s="1">
        <v>8.0</v>
      </c>
    </row>
    <row r="2623" ht="14.25" customHeight="1">
      <c r="A2623" s="1" t="s">
        <v>12555</v>
      </c>
      <c r="B2623" s="1" t="s">
        <v>35</v>
      </c>
      <c r="C2623" s="1">
        <v>7.0</v>
      </c>
    </row>
    <row r="2624" ht="14.25" customHeight="1">
      <c r="A2624" s="1" t="s">
        <v>12559</v>
      </c>
      <c r="B2624" s="1" t="s">
        <v>2752</v>
      </c>
      <c r="C2624" s="1">
        <v>7.9</v>
      </c>
    </row>
    <row r="2625" ht="14.25" customHeight="1">
      <c r="A2625" s="1" t="s">
        <v>12564</v>
      </c>
      <c r="B2625" s="1" t="s">
        <v>35</v>
      </c>
      <c r="C2625" s="1">
        <v>5.9</v>
      </c>
    </row>
    <row r="2626" ht="14.25" customHeight="1">
      <c r="A2626" s="1" t="s">
        <v>12569</v>
      </c>
      <c r="B2626" s="1" t="s">
        <v>35</v>
      </c>
      <c r="C2626" s="1">
        <v>6.6</v>
      </c>
    </row>
    <row r="2627" ht="14.25" customHeight="1">
      <c r="A2627" s="1" t="s">
        <v>12572</v>
      </c>
      <c r="B2627" s="1" t="s">
        <v>35</v>
      </c>
      <c r="C2627" s="1">
        <v>6.3</v>
      </c>
    </row>
    <row r="2628" ht="14.25" customHeight="1">
      <c r="A2628" s="1" t="s">
        <v>12575</v>
      </c>
      <c r="B2628" s="1" t="s">
        <v>35</v>
      </c>
      <c r="C2628" s="1">
        <v>7.7</v>
      </c>
    </row>
    <row r="2629" ht="14.25" customHeight="1">
      <c r="A2629" s="1" t="s">
        <v>12579</v>
      </c>
      <c r="B2629" s="1" t="s">
        <v>35</v>
      </c>
      <c r="C2629" s="1">
        <v>6.9</v>
      </c>
    </row>
    <row r="2630" ht="14.25" customHeight="1">
      <c r="A2630" s="1" t="s">
        <v>12583</v>
      </c>
      <c r="B2630" s="1" t="s">
        <v>35</v>
      </c>
      <c r="C2630" s="1">
        <v>7.1</v>
      </c>
    </row>
    <row r="2631" ht="14.25" customHeight="1">
      <c r="A2631" s="1" t="s">
        <v>12587</v>
      </c>
      <c r="B2631" s="1" t="s">
        <v>35</v>
      </c>
      <c r="C2631" s="1">
        <v>7.4</v>
      </c>
    </row>
    <row r="2632" ht="14.25" customHeight="1">
      <c r="A2632" s="1" t="s">
        <v>12591</v>
      </c>
      <c r="B2632" s="1" t="s">
        <v>35</v>
      </c>
      <c r="C2632" s="1">
        <v>6.5</v>
      </c>
    </row>
    <row r="2633" ht="14.25" customHeight="1">
      <c r="A2633" s="1" t="s">
        <v>12598</v>
      </c>
      <c r="B2633" s="1" t="s">
        <v>35</v>
      </c>
      <c r="C2633" s="1">
        <v>6.5</v>
      </c>
    </row>
    <row r="2634" ht="14.25" customHeight="1">
      <c r="A2634" s="1" t="s">
        <v>12604</v>
      </c>
      <c r="B2634" s="1" t="s">
        <v>35</v>
      </c>
      <c r="C2634" s="1">
        <v>6.8</v>
      </c>
    </row>
    <row r="2635" ht="14.25" customHeight="1">
      <c r="A2635" s="1" t="s">
        <v>12608</v>
      </c>
      <c r="B2635" s="1" t="s">
        <v>35</v>
      </c>
      <c r="C2635" s="1">
        <v>7.5</v>
      </c>
    </row>
    <row r="2636" ht="14.25" customHeight="1">
      <c r="A2636" s="1" t="s">
        <v>12612</v>
      </c>
      <c r="B2636" s="1" t="s">
        <v>35</v>
      </c>
      <c r="C2636" s="1">
        <v>6.6</v>
      </c>
    </row>
    <row r="2637" ht="14.25" customHeight="1">
      <c r="A2637" s="1" t="s">
        <v>12615</v>
      </c>
      <c r="B2637" s="1" t="s">
        <v>35</v>
      </c>
      <c r="C2637" s="1">
        <v>7.1</v>
      </c>
    </row>
    <row r="2638" ht="14.25" customHeight="1">
      <c r="A2638" s="1" t="s">
        <v>12619</v>
      </c>
      <c r="B2638" s="1" t="s">
        <v>35</v>
      </c>
      <c r="C2638" s="1">
        <v>6.6</v>
      </c>
    </row>
    <row r="2639" ht="14.25" customHeight="1">
      <c r="A2639" s="1" t="s">
        <v>12624</v>
      </c>
      <c r="B2639" s="1" t="s">
        <v>35</v>
      </c>
      <c r="C2639" s="1">
        <v>7.0</v>
      </c>
    </row>
    <row r="2640" ht="14.25" customHeight="1">
      <c r="A2640" s="1" t="s">
        <v>12629</v>
      </c>
      <c r="B2640" s="1" t="s">
        <v>35</v>
      </c>
      <c r="C2640" s="1">
        <v>3.3</v>
      </c>
    </row>
    <row r="2641" ht="14.25" customHeight="1">
      <c r="A2641" s="1" t="s">
        <v>12636</v>
      </c>
      <c r="B2641" s="1" t="s">
        <v>35</v>
      </c>
      <c r="C2641" s="1">
        <v>6.7</v>
      </c>
    </row>
    <row r="2642" ht="14.25" customHeight="1">
      <c r="A2642" s="1" t="s">
        <v>12641</v>
      </c>
      <c r="B2642" s="1" t="s">
        <v>35</v>
      </c>
      <c r="C2642" s="1">
        <v>6.8</v>
      </c>
    </row>
    <row r="2643" ht="14.25" customHeight="1">
      <c r="A2643" s="1" t="s">
        <v>12645</v>
      </c>
      <c r="B2643" s="1" t="s">
        <v>35</v>
      </c>
      <c r="C2643" s="1">
        <v>6.0</v>
      </c>
    </row>
    <row r="2644" ht="14.25" customHeight="1">
      <c r="A2644" s="1" t="s">
        <v>12649</v>
      </c>
      <c r="B2644" s="1" t="s">
        <v>35</v>
      </c>
      <c r="C2644" s="1">
        <v>5.4</v>
      </c>
    </row>
    <row r="2645" ht="14.25" customHeight="1">
      <c r="A2645" s="1" t="s">
        <v>12653</v>
      </c>
      <c r="B2645" s="1" t="s">
        <v>35</v>
      </c>
      <c r="C2645" s="1">
        <v>4.3</v>
      </c>
    </row>
    <row r="2646" ht="14.25" customHeight="1">
      <c r="A2646" s="1" t="s">
        <v>12657</v>
      </c>
      <c r="B2646" s="1" t="s">
        <v>35</v>
      </c>
      <c r="C2646" s="1">
        <v>6.2</v>
      </c>
    </row>
    <row r="2647" ht="14.25" customHeight="1">
      <c r="A2647" s="1" t="s">
        <v>12661</v>
      </c>
      <c r="B2647" s="1" t="s">
        <v>35</v>
      </c>
      <c r="C2647" s="1">
        <v>7.7</v>
      </c>
    </row>
    <row r="2648" ht="14.25" customHeight="1">
      <c r="A2648" s="1" t="s">
        <v>1623</v>
      </c>
      <c r="B2648" s="1" t="s">
        <v>35</v>
      </c>
      <c r="C2648" s="1">
        <v>8.0</v>
      </c>
    </row>
    <row r="2649" ht="14.25" customHeight="1">
      <c r="A2649" s="1" t="s">
        <v>12666</v>
      </c>
      <c r="B2649" s="1" t="s">
        <v>35</v>
      </c>
      <c r="C2649" s="1">
        <v>7.4</v>
      </c>
    </row>
    <row r="2650" ht="14.25" customHeight="1">
      <c r="A2650" s="1" t="s">
        <v>12670</v>
      </c>
      <c r="B2650" s="1" t="s">
        <v>35</v>
      </c>
      <c r="C2650" s="1">
        <v>5.9</v>
      </c>
    </row>
    <row r="2651" ht="14.25" customHeight="1">
      <c r="A2651" s="1" t="s">
        <v>12677</v>
      </c>
      <c r="B2651" s="1" t="s">
        <v>35</v>
      </c>
      <c r="C2651" s="1">
        <v>7.8</v>
      </c>
    </row>
    <row r="2652" ht="14.25" customHeight="1">
      <c r="A2652" s="1" t="s">
        <v>12681</v>
      </c>
      <c r="B2652" s="1" t="s">
        <v>35</v>
      </c>
      <c r="C2652" s="1">
        <v>7.4</v>
      </c>
    </row>
    <row r="2653" ht="14.25" customHeight="1">
      <c r="A2653" s="1" t="s">
        <v>12684</v>
      </c>
      <c r="B2653" s="1" t="s">
        <v>35</v>
      </c>
      <c r="C2653" s="1">
        <v>6.5</v>
      </c>
    </row>
    <row r="2654" ht="14.25" customHeight="1">
      <c r="A2654" s="1" t="s">
        <v>12688</v>
      </c>
      <c r="B2654" s="1" t="s">
        <v>35</v>
      </c>
      <c r="C2654" s="1">
        <v>7.0</v>
      </c>
    </row>
    <row r="2655" ht="14.25" customHeight="1">
      <c r="A2655" s="1" t="s">
        <v>12693</v>
      </c>
      <c r="B2655" s="1" t="s">
        <v>35</v>
      </c>
      <c r="C2655" s="1">
        <v>7.6</v>
      </c>
    </row>
    <row r="2656" ht="14.25" customHeight="1">
      <c r="A2656" s="1" t="s">
        <v>12698</v>
      </c>
      <c r="B2656" s="1" t="s">
        <v>35</v>
      </c>
      <c r="C2656" s="1">
        <v>6.9</v>
      </c>
    </row>
    <row r="2657" ht="14.25" customHeight="1">
      <c r="A2657" s="1" t="s">
        <v>12701</v>
      </c>
      <c r="B2657" s="1" t="s">
        <v>35</v>
      </c>
      <c r="C2657" s="1">
        <v>5.3</v>
      </c>
    </row>
    <row r="2658" ht="14.25" customHeight="1">
      <c r="A2658" s="1" t="s">
        <v>12708</v>
      </c>
      <c r="B2658" s="1" t="s">
        <v>35</v>
      </c>
      <c r="C2658" s="1">
        <v>6.4</v>
      </c>
    </row>
    <row r="2659" ht="14.25" customHeight="1">
      <c r="A2659" s="1" t="s">
        <v>12712</v>
      </c>
      <c r="B2659" s="1" t="s">
        <v>35</v>
      </c>
      <c r="C2659" s="1">
        <v>7.8</v>
      </c>
    </row>
    <row r="2660" ht="14.25" customHeight="1">
      <c r="A2660" s="1" t="s">
        <v>12716</v>
      </c>
      <c r="B2660" s="1" t="s">
        <v>35</v>
      </c>
      <c r="C2660" s="1">
        <v>6.7</v>
      </c>
    </row>
    <row r="2661" ht="14.25" customHeight="1">
      <c r="A2661" s="1" t="s">
        <v>12719</v>
      </c>
      <c r="B2661" s="1" t="s">
        <v>35</v>
      </c>
      <c r="C2661" s="1">
        <v>5.3</v>
      </c>
    </row>
    <row r="2662" ht="14.25" customHeight="1">
      <c r="A2662" s="1" t="s">
        <v>12723</v>
      </c>
      <c r="B2662" s="1" t="s">
        <v>35</v>
      </c>
      <c r="C2662" s="1">
        <v>6.3</v>
      </c>
    </row>
    <row r="2663" ht="14.25" customHeight="1">
      <c r="A2663" s="1" t="s">
        <v>12726</v>
      </c>
      <c r="B2663" s="1" t="s">
        <v>35</v>
      </c>
      <c r="C2663" s="1">
        <v>7.0</v>
      </c>
    </row>
    <row r="2664" ht="14.25" customHeight="1">
      <c r="A2664" s="1" t="s">
        <v>12729</v>
      </c>
      <c r="B2664" s="1" t="s">
        <v>35</v>
      </c>
      <c r="C2664" s="1">
        <v>6.6</v>
      </c>
    </row>
    <row r="2665" ht="14.25" customHeight="1">
      <c r="A2665" s="1" t="s">
        <v>12732</v>
      </c>
      <c r="B2665" s="1" t="s">
        <v>10526</v>
      </c>
      <c r="C2665" s="1">
        <v>8.4</v>
      </c>
    </row>
    <row r="2666" ht="14.25" customHeight="1">
      <c r="A2666" s="1" t="s">
        <v>1974</v>
      </c>
      <c r="B2666" s="1" t="s">
        <v>35</v>
      </c>
      <c r="C2666" s="1">
        <v>6.0</v>
      </c>
    </row>
    <row r="2667" ht="14.25" customHeight="1">
      <c r="A2667" s="1" t="s">
        <v>12740</v>
      </c>
      <c r="B2667" s="1" t="s">
        <v>35</v>
      </c>
      <c r="C2667" s="1">
        <v>5.4</v>
      </c>
    </row>
    <row r="2668" ht="14.25" customHeight="1">
      <c r="A2668" s="1" t="s">
        <v>12743</v>
      </c>
      <c r="B2668" s="1" t="s">
        <v>35</v>
      </c>
      <c r="C2668" s="1">
        <v>7.8</v>
      </c>
    </row>
    <row r="2669" ht="14.25" customHeight="1">
      <c r="A2669" s="1" t="s">
        <v>12747</v>
      </c>
      <c r="B2669" s="1" t="s">
        <v>1864</v>
      </c>
      <c r="C2669" s="1">
        <v>7.6</v>
      </c>
    </row>
    <row r="2670" ht="14.25" customHeight="1">
      <c r="A2670" s="1" t="s">
        <v>12752</v>
      </c>
      <c r="B2670" s="1" t="s">
        <v>35</v>
      </c>
      <c r="C2670" s="1">
        <v>6.6</v>
      </c>
    </row>
    <row r="2671" ht="14.25" customHeight="1">
      <c r="A2671" s="1" t="s">
        <v>12756</v>
      </c>
      <c r="B2671" s="1" t="s">
        <v>35</v>
      </c>
      <c r="C2671" s="1">
        <v>6.4</v>
      </c>
    </row>
    <row r="2672" ht="14.25" customHeight="1">
      <c r="A2672" s="1" t="s">
        <v>12763</v>
      </c>
      <c r="B2672" s="1" t="s">
        <v>35</v>
      </c>
      <c r="C2672" s="1">
        <v>7.0</v>
      </c>
    </row>
    <row r="2673" ht="14.25" customHeight="1">
      <c r="A2673" s="1" t="s">
        <v>12769</v>
      </c>
      <c r="B2673" s="1" t="s">
        <v>35</v>
      </c>
      <c r="C2673" s="1">
        <v>5.7</v>
      </c>
    </row>
    <row r="2674" ht="14.25" customHeight="1">
      <c r="A2674" s="1" t="s">
        <v>12774</v>
      </c>
      <c r="B2674" s="1" t="s">
        <v>35</v>
      </c>
      <c r="C2674" s="1">
        <v>5.9</v>
      </c>
    </row>
    <row r="2675" ht="14.25" customHeight="1">
      <c r="A2675" s="1" t="s">
        <v>12777</v>
      </c>
      <c r="B2675" s="1" t="s">
        <v>35</v>
      </c>
      <c r="C2675" s="1">
        <v>6.3</v>
      </c>
    </row>
    <row r="2676" ht="14.25" customHeight="1">
      <c r="A2676" s="1" t="s">
        <v>12780</v>
      </c>
      <c r="B2676" s="1" t="s">
        <v>35</v>
      </c>
      <c r="C2676" s="1">
        <v>6.3</v>
      </c>
    </row>
    <row r="2677" ht="14.25" customHeight="1">
      <c r="A2677" s="1" t="s">
        <v>12784</v>
      </c>
      <c r="B2677" s="1" t="s">
        <v>35</v>
      </c>
      <c r="C2677" s="1">
        <v>6.2</v>
      </c>
    </row>
    <row r="2678" ht="14.25" customHeight="1">
      <c r="A2678" s="1" t="s">
        <v>12788</v>
      </c>
      <c r="B2678" s="1" t="s">
        <v>35</v>
      </c>
      <c r="C2678" s="1">
        <v>2.1</v>
      </c>
    </row>
    <row r="2679" ht="14.25" customHeight="1">
      <c r="A2679" s="1" t="s">
        <v>12793</v>
      </c>
      <c r="B2679" s="1" t="s">
        <v>35</v>
      </c>
      <c r="C2679" s="1">
        <v>5.0</v>
      </c>
    </row>
    <row r="2680" ht="14.25" customHeight="1">
      <c r="A2680" s="1" t="s">
        <v>12797</v>
      </c>
      <c r="B2680" s="1" t="s">
        <v>35</v>
      </c>
      <c r="C2680" s="1">
        <v>5.3</v>
      </c>
    </row>
    <row r="2681" ht="14.25" customHeight="1">
      <c r="A2681" s="1" t="s">
        <v>12802</v>
      </c>
      <c r="B2681" s="1" t="s">
        <v>35</v>
      </c>
      <c r="C2681" s="1">
        <v>7.1</v>
      </c>
    </row>
    <row r="2682" ht="14.25" customHeight="1">
      <c r="A2682" s="1" t="s">
        <v>12807</v>
      </c>
      <c r="B2682" s="1" t="s">
        <v>35</v>
      </c>
      <c r="C2682" s="1">
        <v>7.0</v>
      </c>
    </row>
    <row r="2683" ht="14.25" customHeight="1">
      <c r="A2683" s="1" t="s">
        <v>5056</v>
      </c>
      <c r="B2683" s="1" t="s">
        <v>12540</v>
      </c>
      <c r="C2683" s="1">
        <v>7.0</v>
      </c>
    </row>
    <row r="2684" ht="14.25" customHeight="1">
      <c r="A2684" s="1" t="s">
        <v>12817</v>
      </c>
      <c r="B2684" s="1" t="s">
        <v>35</v>
      </c>
      <c r="C2684" s="1">
        <v>7.1</v>
      </c>
    </row>
    <row r="2685" ht="14.25" customHeight="1">
      <c r="A2685" s="1" t="s">
        <v>12821</v>
      </c>
      <c r="B2685" s="1" t="s">
        <v>35</v>
      </c>
      <c r="C2685" s="1">
        <v>7.0</v>
      </c>
    </row>
    <row r="2686" ht="14.25" customHeight="1">
      <c r="A2686" s="1" t="s">
        <v>12825</v>
      </c>
      <c r="B2686" s="1" t="s">
        <v>9061</v>
      </c>
      <c r="C2686" s="1">
        <v>7.7</v>
      </c>
    </row>
    <row r="2687" ht="14.25" customHeight="1">
      <c r="A2687" s="1" t="s">
        <v>12832</v>
      </c>
      <c r="B2687" s="1" t="s">
        <v>35</v>
      </c>
      <c r="C2687" s="1">
        <v>7.1</v>
      </c>
    </row>
    <row r="2688" ht="14.25" customHeight="1">
      <c r="A2688" s="1" t="s">
        <v>12838</v>
      </c>
      <c r="B2688" s="1" t="s">
        <v>35</v>
      </c>
      <c r="C2688" s="1">
        <v>6.8</v>
      </c>
    </row>
    <row r="2689" ht="14.25" customHeight="1">
      <c r="A2689" s="1">
        <v>2046.0</v>
      </c>
      <c r="B2689" s="1" t="s">
        <v>6797</v>
      </c>
      <c r="C2689" s="1">
        <v>7.5</v>
      </c>
    </row>
    <row r="2690" ht="14.25" customHeight="1">
      <c r="A2690" s="1" t="s">
        <v>12846</v>
      </c>
      <c r="B2690" s="1" t="s">
        <v>35</v>
      </c>
      <c r="C2690" s="1">
        <v>6.3</v>
      </c>
    </row>
    <row r="2691" ht="14.25" customHeight="1">
      <c r="A2691" s="1" t="s">
        <v>12854</v>
      </c>
      <c r="B2691" s="1" t="s">
        <v>35</v>
      </c>
      <c r="C2691" s="1">
        <v>7.3</v>
      </c>
    </row>
    <row r="2692" ht="14.25" customHeight="1">
      <c r="A2692" s="1" t="s">
        <v>12858</v>
      </c>
      <c r="B2692" s="1" t="s">
        <v>35</v>
      </c>
      <c r="C2692" s="1">
        <v>6.8</v>
      </c>
    </row>
    <row r="2693" ht="14.25" customHeight="1">
      <c r="A2693" s="1" t="s">
        <v>12863</v>
      </c>
      <c r="B2693" s="1" t="s">
        <v>35</v>
      </c>
      <c r="C2693" s="1">
        <v>7.2</v>
      </c>
    </row>
    <row r="2694" ht="14.25" customHeight="1">
      <c r="A2694" s="1" t="s">
        <v>12867</v>
      </c>
      <c r="B2694" s="1" t="s">
        <v>35</v>
      </c>
      <c r="C2694" s="1">
        <v>6.4</v>
      </c>
    </row>
    <row r="2695" ht="14.25" customHeight="1">
      <c r="A2695" s="1" t="s">
        <v>12871</v>
      </c>
      <c r="B2695" s="1" t="s">
        <v>35</v>
      </c>
      <c r="C2695" s="1">
        <v>6.0</v>
      </c>
    </row>
    <row r="2696" ht="14.25" customHeight="1">
      <c r="A2696" s="1" t="s">
        <v>12874</v>
      </c>
      <c r="B2696" s="1" t="s">
        <v>35</v>
      </c>
      <c r="C2696" s="1">
        <v>6.4</v>
      </c>
    </row>
    <row r="2697" ht="14.25" customHeight="1">
      <c r="A2697" s="1" t="s">
        <v>12878</v>
      </c>
      <c r="B2697" s="1" t="s">
        <v>35</v>
      </c>
      <c r="C2697" s="1">
        <v>7.5</v>
      </c>
    </row>
    <row r="2698" ht="14.25" customHeight="1">
      <c r="A2698" s="1" t="s">
        <v>12882</v>
      </c>
      <c r="B2698" s="1" t="s">
        <v>12888</v>
      </c>
      <c r="C2698" s="1">
        <v>7.1</v>
      </c>
    </row>
    <row r="2699" ht="14.25" customHeight="1">
      <c r="A2699" s="1" t="s">
        <v>12890</v>
      </c>
      <c r="B2699" s="1" t="s">
        <v>35</v>
      </c>
      <c r="C2699" s="1">
        <v>4.6</v>
      </c>
    </row>
    <row r="2700" ht="14.25" customHeight="1">
      <c r="A2700" s="1" t="s">
        <v>12894</v>
      </c>
      <c r="B2700" s="1" t="s">
        <v>1864</v>
      </c>
      <c r="C2700" s="1">
        <v>7.7</v>
      </c>
    </row>
    <row r="2701" ht="14.25" customHeight="1">
      <c r="A2701" s="1" t="s">
        <v>1131</v>
      </c>
      <c r="B2701" s="1" t="s">
        <v>35</v>
      </c>
      <c r="C2701" s="1">
        <v>6.7</v>
      </c>
    </row>
    <row r="2702" ht="14.25" customHeight="1">
      <c r="A2702" s="1" t="s">
        <v>12899</v>
      </c>
      <c r="B2702" s="1" t="s">
        <v>35</v>
      </c>
      <c r="C2702" s="1">
        <v>5.6</v>
      </c>
    </row>
    <row r="2703" ht="14.25" customHeight="1">
      <c r="A2703" s="1" t="s">
        <v>12905</v>
      </c>
      <c r="B2703" s="1" t="s">
        <v>35</v>
      </c>
      <c r="C2703" s="1">
        <v>8.3</v>
      </c>
    </row>
    <row r="2704" ht="14.25" customHeight="1">
      <c r="A2704" s="1" t="s">
        <v>12908</v>
      </c>
      <c r="B2704" s="1" t="s">
        <v>35</v>
      </c>
      <c r="C2704" s="1">
        <v>6.6</v>
      </c>
    </row>
    <row r="2705" ht="14.25" customHeight="1">
      <c r="A2705" s="1" t="s">
        <v>12912</v>
      </c>
      <c r="B2705" s="1" t="s">
        <v>35</v>
      </c>
      <c r="C2705" s="1">
        <v>7.2</v>
      </c>
    </row>
    <row r="2706" ht="14.25" customHeight="1">
      <c r="A2706" s="1" t="s">
        <v>12917</v>
      </c>
      <c r="B2706" s="1" t="s">
        <v>35</v>
      </c>
      <c r="C2706" s="1">
        <v>8.7</v>
      </c>
    </row>
    <row r="2707" ht="14.25" customHeight="1">
      <c r="A2707" s="1" t="s">
        <v>12922</v>
      </c>
      <c r="B2707" s="1" t="s">
        <v>35</v>
      </c>
      <c r="C2707" s="1">
        <v>6.0</v>
      </c>
    </row>
    <row r="2708" ht="14.25" customHeight="1">
      <c r="A2708" s="1" t="s">
        <v>12926</v>
      </c>
      <c r="B2708" s="1" t="s">
        <v>35</v>
      </c>
      <c r="C2708" s="1">
        <v>8.0</v>
      </c>
    </row>
    <row r="2709" ht="14.25" customHeight="1">
      <c r="A2709" s="1" t="s">
        <v>12930</v>
      </c>
      <c r="B2709" s="1" t="s">
        <v>35</v>
      </c>
      <c r="C2709" s="1">
        <v>4.5</v>
      </c>
    </row>
    <row r="2710" ht="14.25" customHeight="1">
      <c r="A2710" s="1" t="s">
        <v>12933</v>
      </c>
      <c r="B2710" s="1" t="s">
        <v>35</v>
      </c>
      <c r="C2710" s="1">
        <v>7.9</v>
      </c>
    </row>
    <row r="2711" ht="14.25" customHeight="1">
      <c r="A2711" s="1" t="s">
        <v>12937</v>
      </c>
      <c r="B2711" s="1" t="s">
        <v>35</v>
      </c>
      <c r="C2711" s="1">
        <v>7.5</v>
      </c>
    </row>
    <row r="2712" ht="14.25" customHeight="1">
      <c r="A2712" s="1" t="s">
        <v>12942</v>
      </c>
      <c r="B2712" s="1" t="s">
        <v>35</v>
      </c>
      <c r="C2712" s="1">
        <v>6.8</v>
      </c>
    </row>
    <row r="2713" ht="14.25" customHeight="1">
      <c r="A2713" s="1" t="s">
        <v>12947</v>
      </c>
      <c r="B2713" s="1" t="s">
        <v>35</v>
      </c>
      <c r="C2713" s="1">
        <v>7.2</v>
      </c>
    </row>
    <row r="2714" ht="14.25" customHeight="1">
      <c r="A2714" s="1" t="s">
        <v>12950</v>
      </c>
      <c r="B2714" s="1" t="s">
        <v>35</v>
      </c>
      <c r="C2714" s="1">
        <v>7.1</v>
      </c>
    </row>
    <row r="2715" ht="14.25" customHeight="1">
      <c r="A2715" s="1" t="s">
        <v>12954</v>
      </c>
      <c r="B2715" s="1" t="s">
        <v>35</v>
      </c>
      <c r="C2715" s="1">
        <v>7.4</v>
      </c>
    </row>
    <row r="2716" ht="14.25" customHeight="1">
      <c r="A2716" s="1" t="s">
        <v>12958</v>
      </c>
      <c r="B2716" s="1" t="s">
        <v>35</v>
      </c>
      <c r="C2716" s="1">
        <v>7.6</v>
      </c>
    </row>
    <row r="2717" ht="14.25" customHeight="1">
      <c r="A2717" s="1" t="s">
        <v>12962</v>
      </c>
      <c r="B2717" s="1" t="s">
        <v>35</v>
      </c>
      <c r="C2717" s="1">
        <v>6.9</v>
      </c>
    </row>
    <row r="2718" ht="14.25" customHeight="1">
      <c r="A2718" s="1" t="s">
        <v>12966</v>
      </c>
      <c r="B2718" s="1" t="s">
        <v>35</v>
      </c>
      <c r="C2718" s="1">
        <v>6.0</v>
      </c>
    </row>
    <row r="2719" ht="14.25" customHeight="1">
      <c r="A2719" s="1" t="s">
        <v>12971</v>
      </c>
      <c r="B2719" s="1" t="s">
        <v>35</v>
      </c>
      <c r="C2719" s="1">
        <v>7.3</v>
      </c>
    </row>
    <row r="2720" ht="14.25" customHeight="1">
      <c r="A2720" s="1" t="s">
        <v>12976</v>
      </c>
      <c r="B2720" s="1" t="s">
        <v>35</v>
      </c>
      <c r="C2720" s="1">
        <v>4.6</v>
      </c>
    </row>
    <row r="2721" ht="14.25" customHeight="1">
      <c r="A2721" s="1" t="s">
        <v>12979</v>
      </c>
      <c r="B2721" s="1" t="s">
        <v>35</v>
      </c>
      <c r="C2721" s="1">
        <v>6.0</v>
      </c>
    </row>
    <row r="2722" ht="14.25" customHeight="1">
      <c r="A2722" s="1" t="s">
        <v>12984</v>
      </c>
      <c r="B2722" s="1" t="s">
        <v>35</v>
      </c>
      <c r="C2722" s="1">
        <v>5.5</v>
      </c>
    </row>
    <row r="2723" ht="14.25" customHeight="1">
      <c r="A2723" s="1" t="s">
        <v>12990</v>
      </c>
      <c r="B2723" s="1" t="s">
        <v>35</v>
      </c>
      <c r="C2723" s="1">
        <v>7.5</v>
      </c>
    </row>
    <row r="2724" ht="14.25" customHeight="1">
      <c r="A2724" s="1" t="s">
        <v>12996</v>
      </c>
      <c r="B2724" s="1" t="s">
        <v>35</v>
      </c>
      <c r="C2724" s="1">
        <v>6.3</v>
      </c>
    </row>
    <row r="2725" ht="14.25" customHeight="1">
      <c r="A2725" s="1" t="s">
        <v>12999</v>
      </c>
      <c r="B2725" s="1" t="s">
        <v>35</v>
      </c>
      <c r="C2725" s="1">
        <v>5.1</v>
      </c>
    </row>
    <row r="2726" ht="14.25" customHeight="1">
      <c r="A2726" s="1" t="s">
        <v>13003</v>
      </c>
      <c r="B2726" s="1" t="s">
        <v>35</v>
      </c>
      <c r="C2726" s="1">
        <v>6.8</v>
      </c>
    </row>
    <row r="2727" ht="14.25" customHeight="1">
      <c r="A2727" s="1" t="s">
        <v>13009</v>
      </c>
      <c r="B2727" s="1" t="s">
        <v>35</v>
      </c>
      <c r="C2727" s="1">
        <v>5.3</v>
      </c>
    </row>
    <row r="2728" ht="14.25" customHeight="1">
      <c r="A2728" s="1" t="s">
        <v>13013</v>
      </c>
      <c r="B2728" s="1" t="s">
        <v>35</v>
      </c>
      <c r="C2728" s="1">
        <v>7.3</v>
      </c>
    </row>
    <row r="2729" ht="14.25" customHeight="1">
      <c r="A2729" s="1" t="s">
        <v>13017</v>
      </c>
      <c r="B2729" s="1" t="s">
        <v>35</v>
      </c>
      <c r="C2729" s="1">
        <v>7.3</v>
      </c>
    </row>
    <row r="2730" ht="14.25" customHeight="1">
      <c r="A2730" s="1" t="s">
        <v>13020</v>
      </c>
      <c r="B2730" s="1" t="s">
        <v>35</v>
      </c>
      <c r="C2730" s="1">
        <v>7.1</v>
      </c>
    </row>
    <row r="2731" ht="14.25" customHeight="1">
      <c r="A2731" s="1" t="s">
        <v>13023</v>
      </c>
      <c r="B2731" s="1" t="s">
        <v>35</v>
      </c>
      <c r="C2731" s="1">
        <v>7.6</v>
      </c>
    </row>
    <row r="2732" ht="14.25" customHeight="1">
      <c r="A2732" s="1" t="s">
        <v>13028</v>
      </c>
      <c r="B2732" s="1" t="s">
        <v>35</v>
      </c>
      <c r="C2732" s="1">
        <v>5.3</v>
      </c>
    </row>
    <row r="2733" ht="14.25" customHeight="1">
      <c r="A2733" s="1" t="s">
        <v>13032</v>
      </c>
      <c r="B2733" s="1" t="s">
        <v>35</v>
      </c>
      <c r="C2733" s="1">
        <v>7.8</v>
      </c>
    </row>
    <row r="2734" ht="14.25" customHeight="1">
      <c r="A2734" s="1" t="s">
        <v>13037</v>
      </c>
      <c r="B2734" s="1" t="s">
        <v>35</v>
      </c>
      <c r="C2734" s="1">
        <v>7.7</v>
      </c>
    </row>
    <row r="2735" ht="14.25" customHeight="1">
      <c r="A2735" s="1" t="s">
        <v>13042</v>
      </c>
      <c r="B2735" s="1" t="s">
        <v>35</v>
      </c>
      <c r="C2735" s="1">
        <v>7.7</v>
      </c>
    </row>
    <row r="2736" ht="14.25" customHeight="1">
      <c r="A2736" s="1" t="s">
        <v>13046</v>
      </c>
      <c r="B2736" s="1" t="s">
        <v>35</v>
      </c>
      <c r="C2736" s="1">
        <v>5.4</v>
      </c>
    </row>
    <row r="2737" ht="14.25" customHeight="1">
      <c r="A2737" s="1" t="s">
        <v>13050</v>
      </c>
      <c r="B2737" s="1" t="s">
        <v>35</v>
      </c>
      <c r="C2737" s="1">
        <v>6.2</v>
      </c>
    </row>
    <row r="2738" ht="14.25" customHeight="1">
      <c r="A2738" s="1" t="s">
        <v>13053</v>
      </c>
      <c r="B2738" s="1" t="s">
        <v>35</v>
      </c>
      <c r="C2738" s="1">
        <v>7.4</v>
      </c>
    </row>
    <row r="2739" ht="14.25" customHeight="1">
      <c r="A2739" s="1" t="s">
        <v>13057</v>
      </c>
      <c r="B2739" s="1" t="s">
        <v>35</v>
      </c>
      <c r="C2739" s="1">
        <v>6.2</v>
      </c>
    </row>
    <row r="2740" ht="14.25" customHeight="1">
      <c r="A2740" s="1" t="s">
        <v>13061</v>
      </c>
      <c r="B2740" s="1" t="s">
        <v>35</v>
      </c>
      <c r="C2740" s="1">
        <v>5.1</v>
      </c>
    </row>
    <row r="2741" ht="14.25" customHeight="1">
      <c r="A2741" s="1" t="s">
        <v>13067</v>
      </c>
      <c r="B2741" s="1" t="s">
        <v>35</v>
      </c>
      <c r="C2741" s="1">
        <v>6.8</v>
      </c>
    </row>
    <row r="2742" ht="14.25" customHeight="1">
      <c r="A2742" s="1" t="s">
        <v>6958</v>
      </c>
      <c r="B2742" s="1" t="s">
        <v>35</v>
      </c>
      <c r="C2742" s="1">
        <v>7.4</v>
      </c>
    </row>
    <row r="2743" ht="14.25" customHeight="1">
      <c r="A2743" s="1" t="s">
        <v>13074</v>
      </c>
      <c r="B2743" s="1" t="s">
        <v>35</v>
      </c>
      <c r="C2743" s="1">
        <v>5.8</v>
      </c>
    </row>
    <row r="2744" ht="14.25" customHeight="1">
      <c r="A2744" s="1" t="s">
        <v>13079</v>
      </c>
      <c r="B2744" s="1" t="s">
        <v>35</v>
      </c>
      <c r="C2744" s="1">
        <v>6.4</v>
      </c>
    </row>
    <row r="2745" ht="14.25" customHeight="1">
      <c r="A2745" s="1" t="s">
        <v>13086</v>
      </c>
      <c r="B2745" s="1" t="s">
        <v>13092</v>
      </c>
      <c r="C2745" s="1">
        <v>6.0</v>
      </c>
    </row>
    <row r="2746" ht="14.25" customHeight="1">
      <c r="A2746" s="1" t="s">
        <v>13094</v>
      </c>
      <c r="B2746" s="1" t="s">
        <v>35</v>
      </c>
      <c r="C2746" s="1">
        <v>6.9</v>
      </c>
    </row>
    <row r="2747" ht="14.25" customHeight="1">
      <c r="A2747" s="1" t="s">
        <v>13098</v>
      </c>
      <c r="B2747" s="1" t="s">
        <v>35</v>
      </c>
      <c r="C2747" s="1">
        <v>5.5</v>
      </c>
    </row>
    <row r="2748" ht="14.25" customHeight="1">
      <c r="A2748" s="1" t="s">
        <v>13103</v>
      </c>
      <c r="B2748" s="1" t="s">
        <v>35</v>
      </c>
      <c r="C2748" s="1">
        <v>5.4</v>
      </c>
    </row>
    <row r="2749" ht="14.25" customHeight="1">
      <c r="A2749" s="1" t="s">
        <v>13107</v>
      </c>
      <c r="B2749" s="1" t="s">
        <v>35</v>
      </c>
      <c r="C2749" s="1">
        <v>8.3</v>
      </c>
    </row>
    <row r="2750" ht="14.25" customHeight="1">
      <c r="A2750" s="1" t="s">
        <v>13113</v>
      </c>
      <c r="B2750" s="1" t="s">
        <v>35</v>
      </c>
      <c r="C2750" s="1">
        <v>7.9</v>
      </c>
    </row>
    <row r="2751" ht="14.25" customHeight="1">
      <c r="A2751" s="1" t="s">
        <v>13119</v>
      </c>
      <c r="B2751" s="1" t="s">
        <v>35</v>
      </c>
      <c r="C2751" s="1">
        <v>6.5</v>
      </c>
    </row>
    <row r="2752" ht="14.25" customHeight="1">
      <c r="A2752" s="1" t="s">
        <v>13124</v>
      </c>
      <c r="B2752" s="1" t="s">
        <v>2648</v>
      </c>
      <c r="C2752" s="1">
        <v>6.6</v>
      </c>
    </row>
    <row r="2753" ht="14.25" customHeight="1">
      <c r="A2753" s="1" t="s">
        <v>13129</v>
      </c>
      <c r="B2753" s="1" t="s">
        <v>35</v>
      </c>
      <c r="C2753" s="1">
        <v>8.3</v>
      </c>
    </row>
    <row r="2754" ht="14.25" customHeight="1">
      <c r="A2754" s="1" t="s">
        <v>13133</v>
      </c>
      <c r="B2754" s="1" t="s">
        <v>35</v>
      </c>
      <c r="C2754" s="1">
        <v>6.2</v>
      </c>
    </row>
    <row r="2755" ht="14.25" customHeight="1">
      <c r="A2755" s="1" t="s">
        <v>13137</v>
      </c>
      <c r="B2755" s="1" t="s">
        <v>35</v>
      </c>
      <c r="C2755" s="1">
        <v>6.9</v>
      </c>
    </row>
    <row r="2756" ht="14.25" customHeight="1">
      <c r="A2756" s="1" t="s">
        <v>13141</v>
      </c>
      <c r="B2756" s="1" t="s">
        <v>35</v>
      </c>
      <c r="C2756" s="1">
        <v>5.9</v>
      </c>
    </row>
    <row r="2757" ht="14.25" customHeight="1">
      <c r="A2757" s="1" t="s">
        <v>13146</v>
      </c>
      <c r="B2757" s="1" t="s">
        <v>35</v>
      </c>
      <c r="C2757" s="1">
        <v>6.1</v>
      </c>
    </row>
    <row r="2758" ht="14.25" customHeight="1">
      <c r="A2758" s="1" t="s">
        <v>13149</v>
      </c>
      <c r="B2758" s="1" t="s">
        <v>35</v>
      </c>
      <c r="C2758" s="1">
        <v>5.8</v>
      </c>
    </row>
    <row r="2759" ht="14.25" customHeight="1">
      <c r="A2759" s="1" t="s">
        <v>6608</v>
      </c>
      <c r="B2759" s="1" t="s">
        <v>35</v>
      </c>
      <c r="C2759" s="1">
        <v>7.3</v>
      </c>
    </row>
    <row r="2760" ht="14.25" customHeight="1">
      <c r="A2760" s="1" t="s">
        <v>13152</v>
      </c>
      <c r="B2760" s="1" t="s">
        <v>35</v>
      </c>
      <c r="C2760" s="1">
        <v>5.9</v>
      </c>
    </row>
    <row r="2761" ht="14.25" customHeight="1">
      <c r="A2761" s="1" t="s">
        <v>13155</v>
      </c>
      <c r="B2761" s="1" t="s">
        <v>35</v>
      </c>
      <c r="C2761" s="1">
        <v>5.5</v>
      </c>
    </row>
    <row r="2762" ht="14.25" customHeight="1">
      <c r="A2762" s="1" t="s">
        <v>13158</v>
      </c>
      <c r="B2762" s="1" t="s">
        <v>35</v>
      </c>
      <c r="C2762" s="1">
        <v>5.0</v>
      </c>
    </row>
    <row r="2763" ht="14.25" customHeight="1">
      <c r="A2763" s="1" t="s">
        <v>13161</v>
      </c>
      <c r="B2763" s="1" t="s">
        <v>35</v>
      </c>
      <c r="C2763" s="1">
        <v>7.0</v>
      </c>
    </row>
    <row r="2764" ht="14.25" customHeight="1">
      <c r="A2764" s="1" t="s">
        <v>13164</v>
      </c>
      <c r="B2764" s="1" t="s">
        <v>35</v>
      </c>
      <c r="C2764" s="1">
        <v>6.4</v>
      </c>
    </row>
    <row r="2765" ht="14.25" customHeight="1">
      <c r="A2765" s="1" t="s">
        <v>13167</v>
      </c>
      <c r="B2765" s="1" t="s">
        <v>35</v>
      </c>
      <c r="C2765" s="1">
        <v>5.9</v>
      </c>
    </row>
    <row r="2766" ht="14.25" customHeight="1">
      <c r="A2766" s="1" t="s">
        <v>13171</v>
      </c>
      <c r="B2766" s="1" t="s">
        <v>35</v>
      </c>
      <c r="C2766" s="1">
        <v>7.0</v>
      </c>
    </row>
    <row r="2767" ht="14.25" customHeight="1">
      <c r="A2767" s="1" t="s">
        <v>13175</v>
      </c>
      <c r="B2767" s="1" t="s">
        <v>35</v>
      </c>
      <c r="C2767" s="1">
        <v>6.1</v>
      </c>
    </row>
    <row r="2768" ht="14.25" customHeight="1">
      <c r="A2768" s="1" t="s">
        <v>13179</v>
      </c>
      <c r="B2768" s="1" t="s">
        <v>35</v>
      </c>
      <c r="C2768" s="1">
        <v>6.9</v>
      </c>
    </row>
    <row r="2769" ht="14.25" customHeight="1">
      <c r="A2769" s="1" t="s">
        <v>13185</v>
      </c>
      <c r="B2769" s="1" t="s">
        <v>35</v>
      </c>
      <c r="C2769" s="1">
        <v>7.5</v>
      </c>
    </row>
    <row r="2770" ht="14.25" customHeight="1">
      <c r="A2770" s="1" t="s">
        <v>13191</v>
      </c>
      <c r="B2770" s="1" t="s">
        <v>35</v>
      </c>
      <c r="C2770" s="1">
        <v>7.3</v>
      </c>
    </row>
    <row r="2771" ht="14.25" customHeight="1">
      <c r="A2771" s="1" t="s">
        <v>13195</v>
      </c>
      <c r="B2771" s="1" t="s">
        <v>35</v>
      </c>
      <c r="C2771" s="1">
        <v>6.5</v>
      </c>
    </row>
    <row r="2772" ht="14.25" customHeight="1">
      <c r="A2772" s="1" t="s">
        <v>13200</v>
      </c>
      <c r="B2772" s="1" t="s">
        <v>35</v>
      </c>
      <c r="C2772" s="1">
        <v>6.2</v>
      </c>
    </row>
    <row r="2773" ht="14.25" customHeight="1">
      <c r="A2773" s="1" t="s">
        <v>13205</v>
      </c>
      <c r="B2773" s="1" t="s">
        <v>35</v>
      </c>
      <c r="C2773" s="1">
        <v>6.0</v>
      </c>
    </row>
    <row r="2774" ht="14.25" customHeight="1">
      <c r="A2774" s="1" t="s">
        <v>13209</v>
      </c>
      <c r="B2774" s="1" t="s">
        <v>35</v>
      </c>
      <c r="C2774" s="1">
        <v>6.3</v>
      </c>
    </row>
    <row r="2775" ht="14.25" customHeight="1">
      <c r="A2775" s="1" t="s">
        <v>13213</v>
      </c>
      <c r="B2775" s="1" t="s">
        <v>35</v>
      </c>
      <c r="C2775" s="1">
        <v>5.8</v>
      </c>
    </row>
    <row r="2776" ht="14.25" customHeight="1">
      <c r="A2776" s="1" t="s">
        <v>13216</v>
      </c>
      <c r="B2776" s="1" t="s">
        <v>35</v>
      </c>
      <c r="C2776" s="1">
        <v>6.1</v>
      </c>
    </row>
    <row r="2777" ht="14.25" customHeight="1">
      <c r="A2777" s="1" t="s">
        <v>13221</v>
      </c>
      <c r="B2777" s="1" t="s">
        <v>35</v>
      </c>
      <c r="C2777" s="1">
        <v>6.9</v>
      </c>
    </row>
    <row r="2778" ht="14.25" customHeight="1">
      <c r="A2778" s="1" t="s">
        <v>12905</v>
      </c>
      <c r="B2778" s="1" t="s">
        <v>35</v>
      </c>
      <c r="C2778" s="1">
        <v>8.3</v>
      </c>
    </row>
    <row r="2779" ht="14.25" customHeight="1">
      <c r="A2779" s="1" t="s">
        <v>13227</v>
      </c>
      <c r="B2779" s="1" t="s">
        <v>35</v>
      </c>
      <c r="C2779" s="1">
        <v>5.4</v>
      </c>
    </row>
    <row r="2780" ht="14.25" customHeight="1">
      <c r="A2780" s="1" t="s">
        <v>13233</v>
      </c>
      <c r="B2780" s="1" t="s">
        <v>35</v>
      </c>
      <c r="C2780" s="1">
        <v>6.7</v>
      </c>
    </row>
    <row r="2781" ht="14.25" customHeight="1">
      <c r="A2781" s="1" t="s">
        <v>13236</v>
      </c>
      <c r="B2781" s="1" t="s">
        <v>35</v>
      </c>
      <c r="C2781" s="1">
        <v>7.4</v>
      </c>
    </row>
    <row r="2782" ht="14.25" customHeight="1">
      <c r="A2782" s="1" t="s">
        <v>13241</v>
      </c>
      <c r="B2782" s="1" t="s">
        <v>35</v>
      </c>
      <c r="C2782" s="1">
        <v>5.6</v>
      </c>
    </row>
    <row r="2783" ht="14.25" customHeight="1">
      <c r="A2783" s="1" t="s">
        <v>13245</v>
      </c>
      <c r="B2783" s="1" t="s">
        <v>35</v>
      </c>
      <c r="C2783" s="1">
        <v>6.5</v>
      </c>
    </row>
    <row r="2784" ht="14.25" customHeight="1">
      <c r="A2784" s="1" t="s">
        <v>13251</v>
      </c>
      <c r="B2784" s="1" t="s">
        <v>35</v>
      </c>
      <c r="C2784" s="1">
        <v>6.5</v>
      </c>
    </row>
    <row r="2785" ht="14.25" customHeight="1">
      <c r="A2785" s="1" t="s">
        <v>13254</v>
      </c>
      <c r="B2785" s="1" t="s">
        <v>35</v>
      </c>
      <c r="C2785" s="1">
        <v>5.8</v>
      </c>
    </row>
    <row r="2786" ht="14.25" customHeight="1">
      <c r="A2786" s="1" t="s">
        <v>13257</v>
      </c>
      <c r="B2786" s="1" t="s">
        <v>35</v>
      </c>
      <c r="C2786" s="1">
        <v>5.0</v>
      </c>
    </row>
    <row r="2787" ht="14.25" customHeight="1">
      <c r="A2787" s="1" t="s">
        <v>13262</v>
      </c>
      <c r="B2787" s="1" t="s">
        <v>35</v>
      </c>
      <c r="C2787" s="1">
        <v>5.5</v>
      </c>
    </row>
    <row r="2788" ht="14.25" customHeight="1">
      <c r="A2788" s="1" t="s">
        <v>13265</v>
      </c>
      <c r="B2788" s="1" t="s">
        <v>35</v>
      </c>
      <c r="C2788" s="1">
        <v>6.5</v>
      </c>
    </row>
    <row r="2789" ht="14.25" customHeight="1">
      <c r="A2789" s="1" t="s">
        <v>13268</v>
      </c>
      <c r="B2789" s="1" t="s">
        <v>35</v>
      </c>
      <c r="C2789" s="1">
        <v>7.2</v>
      </c>
    </row>
    <row r="2790" ht="14.25" customHeight="1">
      <c r="A2790" s="1" t="s">
        <v>13273</v>
      </c>
      <c r="B2790" s="1" t="s">
        <v>35</v>
      </c>
      <c r="C2790" s="1">
        <v>5.2</v>
      </c>
    </row>
    <row r="2791" ht="14.25" customHeight="1">
      <c r="A2791" s="1" t="s">
        <v>13279</v>
      </c>
      <c r="B2791" s="1" t="s">
        <v>35</v>
      </c>
      <c r="C2791" s="1">
        <v>5.7</v>
      </c>
    </row>
    <row r="2792" ht="14.25" customHeight="1">
      <c r="A2792" s="1" t="s">
        <v>13282</v>
      </c>
      <c r="B2792" s="1" t="s">
        <v>35</v>
      </c>
      <c r="C2792" s="1">
        <v>4.7</v>
      </c>
    </row>
    <row r="2793" ht="14.25" customHeight="1">
      <c r="A2793" s="1" t="s">
        <v>13287</v>
      </c>
      <c r="B2793" s="1" t="s">
        <v>35</v>
      </c>
      <c r="C2793" s="1">
        <v>5.9</v>
      </c>
    </row>
    <row r="2794" ht="14.25" customHeight="1">
      <c r="A2794" s="1" t="s">
        <v>13290</v>
      </c>
      <c r="B2794" s="1" t="s">
        <v>35</v>
      </c>
      <c r="C2794" s="1">
        <v>6.8</v>
      </c>
    </row>
    <row r="2795" ht="14.25" customHeight="1">
      <c r="A2795" s="1" t="s">
        <v>13294</v>
      </c>
      <c r="B2795" s="1" t="s">
        <v>35</v>
      </c>
      <c r="C2795" s="1">
        <v>5.9</v>
      </c>
    </row>
    <row r="2796" ht="14.25" customHeight="1">
      <c r="A2796" s="1" t="s">
        <v>13297</v>
      </c>
      <c r="B2796" s="1" t="s">
        <v>35</v>
      </c>
      <c r="C2796" s="1">
        <v>7.7</v>
      </c>
    </row>
    <row r="2797" ht="14.25" customHeight="1">
      <c r="A2797" s="1" t="s">
        <v>13300</v>
      </c>
      <c r="B2797" s="1" t="s">
        <v>35</v>
      </c>
      <c r="C2797" s="1">
        <v>4.4</v>
      </c>
    </row>
    <row r="2798" ht="14.25" customHeight="1">
      <c r="A2798" s="1" t="s">
        <v>13303</v>
      </c>
      <c r="B2798" s="1" t="s">
        <v>35</v>
      </c>
      <c r="C2798" s="1">
        <v>6.6</v>
      </c>
    </row>
    <row r="2799" ht="14.25" customHeight="1">
      <c r="A2799" s="1" t="s">
        <v>13309</v>
      </c>
      <c r="B2799" s="1" t="s">
        <v>35</v>
      </c>
      <c r="C2799" s="1">
        <v>6.7</v>
      </c>
    </row>
    <row r="2800" ht="14.25" customHeight="1">
      <c r="A2800" s="1" t="s">
        <v>13312</v>
      </c>
      <c r="B2800" s="1" t="s">
        <v>35</v>
      </c>
      <c r="C2800" s="1">
        <v>5.5</v>
      </c>
    </row>
    <row r="2801" ht="14.25" customHeight="1">
      <c r="A2801" s="1" t="s">
        <v>13316</v>
      </c>
      <c r="B2801" s="1" t="s">
        <v>35</v>
      </c>
      <c r="C2801" s="1">
        <v>6.5</v>
      </c>
    </row>
    <row r="2802" ht="14.25" customHeight="1">
      <c r="A2802" s="1" t="s">
        <v>13320</v>
      </c>
      <c r="B2802" s="1" t="s">
        <v>35</v>
      </c>
      <c r="C2802" s="1">
        <v>6.2</v>
      </c>
    </row>
    <row r="2803" ht="14.25" customHeight="1">
      <c r="A2803" s="1" t="s">
        <v>13325</v>
      </c>
      <c r="B2803" s="1" t="s">
        <v>35</v>
      </c>
      <c r="C2803" s="1">
        <v>7.1</v>
      </c>
    </row>
    <row r="2804" ht="14.25" customHeight="1">
      <c r="A2804" s="1" t="s">
        <v>13331</v>
      </c>
      <c r="B2804" s="1" t="s">
        <v>35</v>
      </c>
      <c r="C2804" s="1">
        <v>6.1</v>
      </c>
    </row>
    <row r="2805" ht="14.25" customHeight="1">
      <c r="A2805" s="1" t="s">
        <v>13335</v>
      </c>
      <c r="B2805" s="1" t="s">
        <v>35</v>
      </c>
      <c r="C2805" s="1">
        <v>6.0</v>
      </c>
    </row>
    <row r="2806" ht="14.25" customHeight="1">
      <c r="A2806" s="1" t="s">
        <v>13339</v>
      </c>
      <c r="B2806" s="1" t="s">
        <v>35</v>
      </c>
      <c r="C2806" s="1">
        <v>7.4</v>
      </c>
    </row>
    <row r="2807" ht="14.25" customHeight="1">
      <c r="A2807" s="1" t="s">
        <v>13343</v>
      </c>
      <c r="B2807" s="1" t="s">
        <v>35</v>
      </c>
      <c r="C2807" s="1">
        <v>5.9</v>
      </c>
    </row>
    <row r="2808" ht="14.25" customHeight="1">
      <c r="A2808" s="1" t="s">
        <v>13348</v>
      </c>
      <c r="B2808" s="1" t="s">
        <v>35</v>
      </c>
      <c r="C2808" s="1">
        <v>4.1</v>
      </c>
    </row>
    <row r="2809" ht="14.25" customHeight="1">
      <c r="A2809" s="1" t="s">
        <v>13355</v>
      </c>
      <c r="B2809" s="1" t="s">
        <v>35</v>
      </c>
      <c r="C2809" s="1">
        <v>5.9</v>
      </c>
    </row>
    <row r="2810" ht="14.25" customHeight="1">
      <c r="A2810" s="1" t="s">
        <v>13358</v>
      </c>
      <c r="B2810" s="1" t="s">
        <v>35</v>
      </c>
      <c r="C2810" s="1">
        <v>7.0</v>
      </c>
    </row>
    <row r="2811" ht="14.25" customHeight="1">
      <c r="A2811" s="1" t="s">
        <v>13361</v>
      </c>
      <c r="B2811" s="1" t="s">
        <v>35</v>
      </c>
      <c r="C2811" s="1">
        <v>6.8</v>
      </c>
    </row>
    <row r="2812" ht="14.25" customHeight="1">
      <c r="A2812" s="1" t="s">
        <v>13365</v>
      </c>
      <c r="B2812" s="1" t="s">
        <v>35</v>
      </c>
      <c r="C2812" s="1">
        <v>7.4</v>
      </c>
    </row>
    <row r="2813" ht="14.25" customHeight="1">
      <c r="A2813" s="1" t="s">
        <v>13369</v>
      </c>
      <c r="B2813" s="1" t="s">
        <v>35</v>
      </c>
      <c r="C2813" s="1">
        <v>7.1</v>
      </c>
    </row>
    <row r="2814" ht="14.25" customHeight="1">
      <c r="A2814" s="1" t="s">
        <v>13373</v>
      </c>
      <c r="B2814" s="1" t="s">
        <v>35</v>
      </c>
      <c r="C2814" s="1">
        <v>7.0</v>
      </c>
    </row>
    <row r="2815" ht="14.25" customHeight="1">
      <c r="A2815" s="1" t="s">
        <v>13379</v>
      </c>
      <c r="B2815" s="1" t="s">
        <v>35</v>
      </c>
      <c r="C2815" s="1">
        <v>5.8</v>
      </c>
    </row>
    <row r="2816" ht="14.25" customHeight="1">
      <c r="A2816" s="1" t="s">
        <v>13382</v>
      </c>
      <c r="B2816" s="1" t="s">
        <v>35</v>
      </c>
      <c r="C2816" s="1">
        <v>7.8</v>
      </c>
    </row>
    <row r="2817" ht="14.25" customHeight="1">
      <c r="A2817" s="1" t="s">
        <v>13386</v>
      </c>
      <c r="B2817" s="1" t="s">
        <v>35</v>
      </c>
      <c r="C2817" s="1">
        <v>6.5</v>
      </c>
    </row>
    <row r="2818" ht="14.25" customHeight="1">
      <c r="A2818" s="1" t="s">
        <v>13390</v>
      </c>
      <c r="B2818" s="1" t="s">
        <v>35</v>
      </c>
      <c r="C2818" s="1">
        <v>7.0</v>
      </c>
    </row>
    <row r="2819" ht="14.25" customHeight="1">
      <c r="A2819" s="1" t="s">
        <v>13394</v>
      </c>
      <c r="B2819" s="1" t="s">
        <v>35</v>
      </c>
      <c r="C2819" s="1">
        <v>6.3</v>
      </c>
    </row>
    <row r="2820" ht="14.25" customHeight="1">
      <c r="A2820" s="1" t="s">
        <v>13397</v>
      </c>
      <c r="B2820" s="1" t="s">
        <v>35</v>
      </c>
      <c r="C2820" s="1">
        <v>5.3</v>
      </c>
    </row>
    <row r="2821" ht="14.25" customHeight="1">
      <c r="A2821" s="1" t="s">
        <v>13401</v>
      </c>
      <c r="B2821" s="1" t="s">
        <v>35</v>
      </c>
      <c r="C2821" s="1">
        <v>5.5</v>
      </c>
    </row>
    <row r="2822" ht="14.25" customHeight="1">
      <c r="A2822" s="1" t="s">
        <v>13405</v>
      </c>
      <c r="B2822" s="1" t="s">
        <v>35</v>
      </c>
      <c r="C2822" s="1">
        <v>7.4</v>
      </c>
    </row>
    <row r="2823" ht="14.25" customHeight="1">
      <c r="A2823" s="1" t="s">
        <v>13408</v>
      </c>
      <c r="B2823" s="1" t="s">
        <v>35</v>
      </c>
      <c r="C2823" s="1">
        <v>4.3</v>
      </c>
    </row>
    <row r="2824" ht="14.25" customHeight="1">
      <c r="A2824" s="1" t="s">
        <v>1731</v>
      </c>
      <c r="B2824" s="1" t="s">
        <v>35</v>
      </c>
      <c r="C2824" s="1">
        <v>6.0</v>
      </c>
    </row>
    <row r="2825" ht="14.25" customHeight="1">
      <c r="A2825" s="1" t="s">
        <v>13412</v>
      </c>
      <c r="B2825" s="1" t="s">
        <v>35</v>
      </c>
      <c r="C2825" s="1">
        <v>5.2</v>
      </c>
    </row>
    <row r="2826" ht="14.25" customHeight="1">
      <c r="A2826" s="1" t="s">
        <v>13416</v>
      </c>
      <c r="B2826" s="1" t="s">
        <v>35</v>
      </c>
      <c r="C2826" s="1">
        <v>6.7</v>
      </c>
    </row>
    <row r="2827" ht="14.25" customHeight="1">
      <c r="A2827" s="1" t="s">
        <v>13422</v>
      </c>
      <c r="B2827" s="1" t="s">
        <v>35</v>
      </c>
      <c r="C2827" s="1">
        <v>8.6</v>
      </c>
    </row>
    <row r="2828" ht="14.25" customHeight="1">
      <c r="A2828" s="1" t="s">
        <v>13426</v>
      </c>
      <c r="B2828" s="1" t="s">
        <v>35</v>
      </c>
      <c r="C2828" s="1">
        <v>6.1</v>
      </c>
    </row>
    <row r="2829" ht="14.25" customHeight="1">
      <c r="A2829" s="1" t="s">
        <v>13432</v>
      </c>
      <c r="B2829" s="1" t="s">
        <v>35</v>
      </c>
      <c r="C2829" s="1">
        <v>5.8</v>
      </c>
    </row>
    <row r="2830" ht="14.25" customHeight="1">
      <c r="A2830" s="1" t="s">
        <v>13436</v>
      </c>
      <c r="B2830" s="1" t="s">
        <v>2752</v>
      </c>
      <c r="C2830" s="1">
        <v>7.7</v>
      </c>
    </row>
    <row r="2831" ht="14.25" customHeight="1">
      <c r="A2831" s="1" t="s">
        <v>13443</v>
      </c>
      <c r="B2831" s="1" t="s">
        <v>35</v>
      </c>
      <c r="C2831" s="1">
        <v>8.0</v>
      </c>
    </row>
    <row r="2832" ht="14.25" customHeight="1">
      <c r="A2832" s="1" t="s">
        <v>13448</v>
      </c>
      <c r="B2832" s="1" t="s">
        <v>35</v>
      </c>
      <c r="C2832" s="1">
        <v>5.6</v>
      </c>
    </row>
    <row r="2833" ht="14.25" customHeight="1">
      <c r="A2833" s="1" t="s">
        <v>13453</v>
      </c>
      <c r="B2833" s="1" t="s">
        <v>35</v>
      </c>
      <c r="C2833" s="1">
        <v>6.7</v>
      </c>
    </row>
    <row r="2834" ht="14.25" customHeight="1">
      <c r="A2834" s="1" t="s">
        <v>13456</v>
      </c>
      <c r="B2834" s="1" t="s">
        <v>35</v>
      </c>
      <c r="C2834" s="1">
        <v>6.6</v>
      </c>
    </row>
    <row r="2835" ht="14.25" customHeight="1">
      <c r="A2835" s="1" t="s">
        <v>13461</v>
      </c>
      <c r="B2835" s="1" t="s">
        <v>35</v>
      </c>
      <c r="C2835" s="1">
        <v>4.1</v>
      </c>
    </row>
    <row r="2836" ht="14.25" customHeight="1">
      <c r="A2836" s="1" t="s">
        <v>13464</v>
      </c>
      <c r="B2836" s="1" t="s">
        <v>35</v>
      </c>
      <c r="C2836" s="1">
        <v>7.3</v>
      </c>
    </row>
    <row r="2837" ht="14.25" customHeight="1">
      <c r="A2837" s="1" t="s">
        <v>13471</v>
      </c>
      <c r="B2837" s="1" t="s">
        <v>35</v>
      </c>
      <c r="C2837" s="1">
        <v>6.5</v>
      </c>
    </row>
    <row r="2838" ht="14.25" customHeight="1">
      <c r="A2838" s="1" t="s">
        <v>13476</v>
      </c>
      <c r="B2838" s="1" t="s">
        <v>9061</v>
      </c>
      <c r="C2838" s="1">
        <v>7.0</v>
      </c>
    </row>
    <row r="2839" ht="14.25" customHeight="1">
      <c r="A2839" s="1" t="s">
        <v>13483</v>
      </c>
      <c r="B2839" s="1" t="s">
        <v>35</v>
      </c>
      <c r="C2839" s="1">
        <v>5.5</v>
      </c>
    </row>
    <row r="2840" ht="14.25" customHeight="1">
      <c r="A2840" s="1" t="s">
        <v>13487</v>
      </c>
      <c r="B2840" s="1" t="s">
        <v>35</v>
      </c>
      <c r="C2840" s="1">
        <v>6.6</v>
      </c>
    </row>
    <row r="2841" ht="14.25" customHeight="1">
      <c r="A2841" s="1" t="s">
        <v>13490</v>
      </c>
      <c r="B2841" s="1" t="s">
        <v>35</v>
      </c>
      <c r="C2841" s="1">
        <v>7.1</v>
      </c>
    </row>
    <row r="2842" ht="14.25" customHeight="1">
      <c r="A2842" s="1" t="s">
        <v>13494</v>
      </c>
      <c r="B2842" s="1" t="s">
        <v>35</v>
      </c>
      <c r="C2842" s="1">
        <v>7.9</v>
      </c>
    </row>
    <row r="2843" ht="14.25" customHeight="1">
      <c r="A2843" s="1" t="s">
        <v>13498</v>
      </c>
      <c r="B2843" s="1" t="s">
        <v>35</v>
      </c>
      <c r="C2843" s="1">
        <v>7.1</v>
      </c>
    </row>
    <row r="2844" ht="14.25" customHeight="1">
      <c r="A2844" s="1" t="s">
        <v>13502</v>
      </c>
      <c r="B2844" s="1" t="s">
        <v>35</v>
      </c>
      <c r="C2844" s="1">
        <v>5.6</v>
      </c>
    </row>
    <row r="2845" ht="14.25" customHeight="1">
      <c r="A2845" s="1" t="s">
        <v>13506</v>
      </c>
      <c r="B2845" s="1" t="s">
        <v>35</v>
      </c>
      <c r="C2845" s="1">
        <v>7.3</v>
      </c>
    </row>
    <row r="2846" ht="14.25" customHeight="1">
      <c r="A2846" s="1" t="s">
        <v>13511</v>
      </c>
      <c r="B2846" s="1" t="s">
        <v>35</v>
      </c>
      <c r="C2846" s="1">
        <v>3.3</v>
      </c>
    </row>
    <row r="2847" ht="14.25" customHeight="1">
      <c r="A2847" s="1" t="s">
        <v>13514</v>
      </c>
      <c r="B2847" s="1" t="s">
        <v>35</v>
      </c>
      <c r="C2847" s="1">
        <v>6.5</v>
      </c>
    </row>
    <row r="2848" ht="14.25" customHeight="1">
      <c r="A2848" s="1" t="s">
        <v>13519</v>
      </c>
      <c r="B2848" s="1" t="s">
        <v>35</v>
      </c>
      <c r="C2848" s="1">
        <v>4.8</v>
      </c>
    </row>
    <row r="2849" ht="14.25" customHeight="1">
      <c r="A2849" s="1" t="s">
        <v>13526</v>
      </c>
      <c r="B2849" s="1" t="s">
        <v>35</v>
      </c>
      <c r="C2849" s="1">
        <v>5.2</v>
      </c>
    </row>
    <row r="2850" ht="14.25" customHeight="1">
      <c r="A2850" s="1" t="s">
        <v>13530</v>
      </c>
      <c r="B2850" s="1" t="s">
        <v>35</v>
      </c>
      <c r="C2850" s="1">
        <v>6.3</v>
      </c>
    </row>
    <row r="2851" ht="14.25" customHeight="1">
      <c r="A2851" s="1" t="s">
        <v>13535</v>
      </c>
      <c r="B2851" s="1" t="s">
        <v>35</v>
      </c>
      <c r="C2851" s="1">
        <v>7.2</v>
      </c>
    </row>
    <row r="2852" ht="14.25" customHeight="1">
      <c r="A2852" s="1" t="s">
        <v>13540</v>
      </c>
      <c r="B2852" s="1" t="s">
        <v>35</v>
      </c>
      <c r="C2852" s="1">
        <v>6.8</v>
      </c>
    </row>
    <row r="2853" ht="14.25" customHeight="1">
      <c r="A2853" s="1" t="s">
        <v>13544</v>
      </c>
      <c r="B2853" s="1" t="s">
        <v>35</v>
      </c>
      <c r="C2853" s="1">
        <v>5.7</v>
      </c>
    </row>
    <row r="2854" ht="14.25" customHeight="1">
      <c r="A2854" s="1" t="s">
        <v>13547</v>
      </c>
      <c r="B2854" s="1" t="s">
        <v>35</v>
      </c>
      <c r="C2854" s="1">
        <v>7.2</v>
      </c>
    </row>
    <row r="2855" ht="14.25" customHeight="1">
      <c r="A2855" s="1" t="s">
        <v>13550</v>
      </c>
      <c r="B2855" s="1" t="s">
        <v>35</v>
      </c>
      <c r="C2855" s="1">
        <v>6.9</v>
      </c>
    </row>
    <row r="2856" ht="14.25" customHeight="1">
      <c r="A2856" s="1" t="s">
        <v>13553</v>
      </c>
      <c r="B2856" s="1" t="s">
        <v>35</v>
      </c>
      <c r="C2856" s="1">
        <v>6.2</v>
      </c>
    </row>
    <row r="2857" ht="14.25" customHeight="1">
      <c r="A2857" s="1" t="s">
        <v>13556</v>
      </c>
      <c r="B2857" s="1" t="s">
        <v>35</v>
      </c>
      <c r="C2857" s="1">
        <v>6.7</v>
      </c>
    </row>
    <row r="2858" ht="14.25" customHeight="1">
      <c r="A2858" s="1" t="s">
        <v>13562</v>
      </c>
      <c r="B2858" s="1" t="s">
        <v>35</v>
      </c>
      <c r="C2858" s="1">
        <v>6.5</v>
      </c>
    </row>
    <row r="2859" ht="14.25" customHeight="1">
      <c r="A2859" s="1" t="s">
        <v>13567</v>
      </c>
      <c r="B2859" s="1" t="s">
        <v>35</v>
      </c>
      <c r="C2859" s="1">
        <v>7.2</v>
      </c>
    </row>
    <row r="2860" ht="14.25" customHeight="1">
      <c r="A2860" s="1" t="s">
        <v>13571</v>
      </c>
      <c r="B2860" s="1" t="s">
        <v>35</v>
      </c>
      <c r="C2860" s="1">
        <v>5.3</v>
      </c>
    </row>
    <row r="2861" ht="14.25" customHeight="1">
      <c r="A2861" s="1" t="s">
        <v>13574</v>
      </c>
      <c r="B2861" s="1" t="s">
        <v>35</v>
      </c>
      <c r="C2861" s="1">
        <v>6.7</v>
      </c>
    </row>
    <row r="2862" ht="14.25" customHeight="1">
      <c r="A2862" s="1" t="s">
        <v>13579</v>
      </c>
      <c r="B2862" s="1" t="s">
        <v>35</v>
      </c>
      <c r="C2862" s="1">
        <v>3.6</v>
      </c>
    </row>
    <row r="2863" ht="14.25" customHeight="1">
      <c r="A2863" s="1" t="s">
        <v>13583</v>
      </c>
      <c r="B2863" s="1" t="s">
        <v>35</v>
      </c>
      <c r="C2863" s="1">
        <v>5.7</v>
      </c>
    </row>
    <row r="2864" ht="14.25" customHeight="1">
      <c r="A2864" s="1" t="s">
        <v>13587</v>
      </c>
      <c r="B2864" s="1" t="s">
        <v>6797</v>
      </c>
      <c r="C2864" s="1">
        <v>7.3</v>
      </c>
    </row>
    <row r="2865" ht="14.25" customHeight="1">
      <c r="A2865" s="1" t="s">
        <v>13591</v>
      </c>
      <c r="B2865" s="1" t="s">
        <v>35</v>
      </c>
      <c r="C2865" s="1">
        <v>5.0</v>
      </c>
    </row>
    <row r="2866" ht="14.25" customHeight="1">
      <c r="A2866" s="1" t="s">
        <v>13596</v>
      </c>
      <c r="B2866" s="1" t="s">
        <v>35</v>
      </c>
      <c r="C2866" s="1">
        <v>6.6</v>
      </c>
    </row>
    <row r="2867" ht="14.25" customHeight="1">
      <c r="A2867" s="1" t="s">
        <v>13603</v>
      </c>
      <c r="B2867" s="1" t="s">
        <v>35</v>
      </c>
      <c r="C2867" s="1">
        <v>7.3</v>
      </c>
    </row>
    <row r="2868" ht="14.25" customHeight="1">
      <c r="A2868" s="1" t="s">
        <v>13609</v>
      </c>
      <c r="B2868" s="1" t="s">
        <v>35</v>
      </c>
      <c r="C2868" s="1">
        <v>6.2</v>
      </c>
    </row>
    <row r="2869" ht="14.25" customHeight="1">
      <c r="A2869" s="1" t="s">
        <v>13615</v>
      </c>
      <c r="B2869" s="1" t="s">
        <v>35</v>
      </c>
      <c r="C2869" s="1">
        <v>6.6</v>
      </c>
    </row>
    <row r="2870" ht="14.25" customHeight="1">
      <c r="A2870" s="1" t="s">
        <v>13619</v>
      </c>
      <c r="B2870" s="1" t="s">
        <v>35</v>
      </c>
      <c r="C2870" s="1">
        <v>6.3</v>
      </c>
    </row>
    <row r="2871" ht="14.25" customHeight="1">
      <c r="A2871" s="1" t="s">
        <v>13624</v>
      </c>
      <c r="B2871" s="1" t="s">
        <v>35</v>
      </c>
      <c r="C2871" s="1">
        <v>3.3</v>
      </c>
    </row>
    <row r="2872" ht="14.25" customHeight="1">
      <c r="A2872" s="1" t="s">
        <v>13628</v>
      </c>
      <c r="B2872" s="1" t="s">
        <v>35</v>
      </c>
      <c r="C2872" s="1">
        <v>3.5</v>
      </c>
    </row>
    <row r="2873" ht="14.25" customHeight="1">
      <c r="A2873" s="1" t="s">
        <v>13633</v>
      </c>
      <c r="B2873" s="1" t="s">
        <v>35</v>
      </c>
      <c r="C2873" s="1">
        <v>5.5</v>
      </c>
    </row>
    <row r="2874" ht="14.25" customHeight="1">
      <c r="A2874" s="1" t="s">
        <v>13637</v>
      </c>
      <c r="B2874" s="1" t="s">
        <v>35</v>
      </c>
      <c r="C2874" s="1">
        <v>5.9</v>
      </c>
    </row>
    <row r="2875" ht="14.25" customHeight="1">
      <c r="A2875" s="1" t="s">
        <v>13641</v>
      </c>
      <c r="B2875" s="1" t="s">
        <v>35</v>
      </c>
      <c r="C2875" s="1">
        <v>4.7</v>
      </c>
    </row>
    <row r="2876" ht="14.25" customHeight="1">
      <c r="A2876" s="1" t="s">
        <v>13645</v>
      </c>
      <c r="B2876" s="1" t="s">
        <v>35</v>
      </c>
      <c r="C2876" s="1">
        <v>3.9</v>
      </c>
    </row>
    <row r="2877" ht="14.25" customHeight="1">
      <c r="A2877" s="1" t="s">
        <v>13651</v>
      </c>
      <c r="B2877" s="1" t="s">
        <v>35</v>
      </c>
      <c r="C2877" s="1">
        <v>6.1</v>
      </c>
    </row>
    <row r="2878" ht="14.25" customHeight="1">
      <c r="A2878" s="1" t="s">
        <v>13657</v>
      </c>
      <c r="B2878" s="1" t="s">
        <v>35</v>
      </c>
      <c r="C2878" s="1">
        <v>6.7</v>
      </c>
    </row>
    <row r="2879" ht="14.25" customHeight="1">
      <c r="A2879" s="1" t="s">
        <v>13660</v>
      </c>
      <c r="B2879" s="1" t="s">
        <v>12540</v>
      </c>
      <c r="C2879" s="1">
        <v>7.3</v>
      </c>
    </row>
    <row r="2880" ht="14.25" customHeight="1">
      <c r="A2880" s="1" t="s">
        <v>13666</v>
      </c>
      <c r="B2880" s="1" t="s">
        <v>35</v>
      </c>
      <c r="C2880" s="1">
        <v>6.7</v>
      </c>
    </row>
    <row r="2881" ht="14.25" customHeight="1">
      <c r="A2881" s="1" t="s">
        <v>13671</v>
      </c>
      <c r="B2881" s="1" t="s">
        <v>35</v>
      </c>
      <c r="C2881" s="1">
        <v>6.1</v>
      </c>
    </row>
    <row r="2882" ht="14.25" customHeight="1">
      <c r="A2882" s="1" t="s">
        <v>13674</v>
      </c>
      <c r="B2882" s="1" t="s">
        <v>35</v>
      </c>
      <c r="C2882" s="1">
        <v>6.9</v>
      </c>
    </row>
    <row r="2883" ht="14.25" customHeight="1">
      <c r="A2883" s="1" t="s">
        <v>13678</v>
      </c>
      <c r="B2883" s="1" t="s">
        <v>2752</v>
      </c>
      <c r="C2883" s="1">
        <v>7.9</v>
      </c>
    </row>
    <row r="2884" ht="14.25" customHeight="1">
      <c r="A2884" s="1" t="s">
        <v>13684</v>
      </c>
      <c r="B2884" s="1" t="s">
        <v>35</v>
      </c>
      <c r="C2884" s="1">
        <v>4.5</v>
      </c>
    </row>
    <row r="2885" ht="14.25" customHeight="1">
      <c r="A2885" s="1" t="s">
        <v>13688</v>
      </c>
      <c r="B2885" s="1" t="s">
        <v>35</v>
      </c>
      <c r="C2885" s="1">
        <v>7.6</v>
      </c>
    </row>
    <row r="2886" ht="14.25" customHeight="1">
      <c r="A2886" s="1" t="s">
        <v>13693</v>
      </c>
      <c r="B2886" s="1" t="s">
        <v>35</v>
      </c>
      <c r="C2886" s="1">
        <v>7.5</v>
      </c>
    </row>
    <row r="2887" ht="14.25" customHeight="1">
      <c r="A2887" s="1" t="s">
        <v>13696</v>
      </c>
      <c r="B2887" s="1" t="s">
        <v>35</v>
      </c>
      <c r="C2887" s="1">
        <v>7.1</v>
      </c>
    </row>
    <row r="2888" ht="14.25" customHeight="1">
      <c r="A2888" s="1" t="s">
        <v>13700</v>
      </c>
      <c r="B2888" s="1" t="s">
        <v>13092</v>
      </c>
      <c r="C2888" s="1">
        <v>6.9</v>
      </c>
    </row>
    <row r="2889" ht="14.25" customHeight="1">
      <c r="A2889" s="1" t="s">
        <v>13705</v>
      </c>
      <c r="B2889" s="1" t="s">
        <v>35</v>
      </c>
      <c r="C2889" s="1">
        <v>8.5</v>
      </c>
    </row>
    <row r="2890" ht="14.25" customHeight="1">
      <c r="A2890" s="1" t="s">
        <v>13709</v>
      </c>
      <c r="B2890" s="1" t="s">
        <v>35</v>
      </c>
      <c r="C2890" s="1">
        <v>7.5</v>
      </c>
    </row>
    <row r="2891" ht="14.25" customHeight="1">
      <c r="A2891" s="1" t="s">
        <v>13715</v>
      </c>
      <c r="B2891" s="1" t="s">
        <v>35</v>
      </c>
      <c r="C2891" s="1">
        <v>6.6</v>
      </c>
    </row>
    <row r="2892" ht="14.25" customHeight="1">
      <c r="A2892" s="1" t="s">
        <v>13718</v>
      </c>
      <c r="B2892" s="1" t="s">
        <v>35</v>
      </c>
      <c r="C2892" s="1">
        <v>8.0</v>
      </c>
    </row>
    <row r="2893" ht="14.25" customHeight="1">
      <c r="A2893" s="1" t="s">
        <v>13723</v>
      </c>
      <c r="B2893" s="1" t="s">
        <v>35</v>
      </c>
      <c r="C2893" s="1">
        <v>7.0</v>
      </c>
    </row>
    <row r="2894" ht="14.25" customHeight="1">
      <c r="A2894" s="1" t="s">
        <v>13727</v>
      </c>
      <c r="B2894" s="1" t="s">
        <v>35</v>
      </c>
      <c r="C2894" s="1">
        <v>6.8</v>
      </c>
    </row>
    <row r="2895" ht="14.25" customHeight="1">
      <c r="A2895" s="1" t="s">
        <v>13730</v>
      </c>
      <c r="B2895" s="1" t="s">
        <v>35</v>
      </c>
      <c r="C2895" s="1">
        <v>6.7</v>
      </c>
    </row>
    <row r="2896" ht="14.25" customHeight="1">
      <c r="A2896" s="1" t="s">
        <v>13734</v>
      </c>
      <c r="B2896" s="1" t="s">
        <v>35</v>
      </c>
      <c r="C2896" s="1">
        <v>6.5</v>
      </c>
    </row>
    <row r="2897" ht="14.25" customHeight="1">
      <c r="A2897" s="1" t="s">
        <v>13740</v>
      </c>
      <c r="B2897" s="1" t="s">
        <v>35</v>
      </c>
      <c r="C2897" s="1">
        <v>8.0</v>
      </c>
    </row>
    <row r="2898" ht="14.25" customHeight="1">
      <c r="A2898" s="1" t="s">
        <v>13745</v>
      </c>
      <c r="B2898" s="1" t="s">
        <v>35</v>
      </c>
      <c r="C2898" s="1">
        <v>6.5</v>
      </c>
    </row>
    <row r="2899" ht="14.25" customHeight="1">
      <c r="A2899" s="1" t="s">
        <v>13750</v>
      </c>
      <c r="B2899" s="1" t="s">
        <v>35</v>
      </c>
      <c r="C2899" s="1">
        <v>4.9</v>
      </c>
    </row>
    <row r="2900" ht="14.25" customHeight="1">
      <c r="A2900" s="1" t="s">
        <v>13753</v>
      </c>
      <c r="B2900" s="1" t="s">
        <v>35</v>
      </c>
      <c r="C2900" s="1">
        <v>7.1</v>
      </c>
    </row>
    <row r="2901" ht="14.25" customHeight="1">
      <c r="A2901" s="1" t="s">
        <v>13756</v>
      </c>
      <c r="B2901" s="1" t="s">
        <v>35</v>
      </c>
      <c r="C2901" s="1">
        <v>7.0</v>
      </c>
    </row>
    <row r="2902" ht="14.25" customHeight="1">
      <c r="A2902" s="1" t="s">
        <v>13760</v>
      </c>
      <c r="B2902" s="1" t="s">
        <v>35</v>
      </c>
      <c r="C2902" s="1">
        <v>7.0</v>
      </c>
    </row>
    <row r="2903" ht="14.25" customHeight="1">
      <c r="A2903" s="1" t="s">
        <v>13763</v>
      </c>
      <c r="B2903" s="1" t="s">
        <v>35</v>
      </c>
      <c r="C2903" s="1">
        <v>4.5</v>
      </c>
    </row>
    <row r="2904" ht="14.25" customHeight="1">
      <c r="A2904" s="1" t="s">
        <v>13766</v>
      </c>
      <c r="B2904" s="1" t="s">
        <v>35</v>
      </c>
      <c r="C2904" s="1">
        <v>7.7</v>
      </c>
    </row>
    <row r="2905" ht="14.25" customHeight="1">
      <c r="A2905" s="1" t="s">
        <v>13771</v>
      </c>
      <c r="B2905" s="1" t="s">
        <v>35</v>
      </c>
      <c r="C2905" s="1">
        <v>6.7</v>
      </c>
    </row>
    <row r="2906" ht="14.25" customHeight="1">
      <c r="A2906" s="1" t="s">
        <v>13777</v>
      </c>
      <c r="B2906" s="1" t="s">
        <v>35</v>
      </c>
      <c r="C2906" s="1">
        <v>7.0</v>
      </c>
    </row>
    <row r="2907" ht="14.25" customHeight="1">
      <c r="A2907" s="1" t="s">
        <v>13782</v>
      </c>
      <c r="B2907" s="1" t="s">
        <v>35</v>
      </c>
      <c r="C2907" s="1">
        <v>6.5</v>
      </c>
    </row>
    <row r="2908" ht="14.25" customHeight="1">
      <c r="A2908" s="1" t="s">
        <v>13786</v>
      </c>
      <c r="B2908" s="1" t="s">
        <v>35</v>
      </c>
      <c r="C2908" s="1">
        <v>6.2</v>
      </c>
    </row>
    <row r="2909" ht="14.25" customHeight="1">
      <c r="A2909" s="1" t="s">
        <v>13790</v>
      </c>
      <c r="B2909" s="1" t="s">
        <v>35</v>
      </c>
      <c r="C2909" s="1">
        <v>5.7</v>
      </c>
    </row>
    <row r="2910" ht="14.25" customHeight="1">
      <c r="A2910" s="1" t="s">
        <v>13793</v>
      </c>
      <c r="B2910" s="1" t="s">
        <v>35</v>
      </c>
      <c r="C2910" s="1">
        <v>6.4</v>
      </c>
    </row>
    <row r="2911" ht="14.25" customHeight="1">
      <c r="A2911" s="1" t="s">
        <v>13796</v>
      </c>
      <c r="B2911" s="1" t="s">
        <v>35</v>
      </c>
      <c r="C2911" s="1">
        <v>5.4</v>
      </c>
    </row>
    <row r="2912" ht="14.25" customHeight="1">
      <c r="A2912" s="1" t="s">
        <v>13803</v>
      </c>
      <c r="B2912" s="1" t="s">
        <v>11946</v>
      </c>
      <c r="C2912" s="1">
        <v>6.6</v>
      </c>
    </row>
    <row r="2913" ht="14.25" customHeight="1">
      <c r="A2913" s="1" t="s">
        <v>13809</v>
      </c>
      <c r="B2913" s="1" t="s">
        <v>35</v>
      </c>
      <c r="C2913" s="1">
        <v>6.1</v>
      </c>
    </row>
    <row r="2914" ht="14.25" customHeight="1">
      <c r="A2914" s="1" t="s">
        <v>13813</v>
      </c>
      <c r="B2914" s="1" t="s">
        <v>35</v>
      </c>
      <c r="C2914" s="1">
        <v>7.6</v>
      </c>
    </row>
    <row r="2915" ht="14.25" customHeight="1">
      <c r="A2915" s="1" t="s">
        <v>13818</v>
      </c>
      <c r="B2915" s="1" t="s">
        <v>35</v>
      </c>
      <c r="C2915" s="1">
        <v>6.2</v>
      </c>
    </row>
    <row r="2916" ht="14.25" customHeight="1">
      <c r="A2916" s="1" t="s">
        <v>13822</v>
      </c>
      <c r="B2916" s="1" t="s">
        <v>35</v>
      </c>
      <c r="C2916" s="1">
        <v>6.6</v>
      </c>
    </row>
    <row r="2917" ht="14.25" customHeight="1">
      <c r="A2917" s="1" t="s">
        <v>13829</v>
      </c>
      <c r="B2917" s="1" t="s">
        <v>13834</v>
      </c>
      <c r="C2917" s="1">
        <v>7.3</v>
      </c>
    </row>
    <row r="2918" ht="14.25" customHeight="1">
      <c r="A2918" s="1" t="s">
        <v>13836</v>
      </c>
      <c r="B2918" s="1" t="s">
        <v>35</v>
      </c>
      <c r="C2918" s="1">
        <v>4.2</v>
      </c>
    </row>
    <row r="2919" ht="14.25" customHeight="1">
      <c r="A2919" s="1" t="s">
        <v>13841</v>
      </c>
      <c r="B2919" s="1" t="s">
        <v>35</v>
      </c>
      <c r="C2919" s="1">
        <v>6.5</v>
      </c>
    </row>
    <row r="2920" ht="14.25" customHeight="1">
      <c r="A2920" s="1" t="s">
        <v>13846</v>
      </c>
      <c r="B2920" s="1" t="s">
        <v>35</v>
      </c>
      <c r="C2920" s="1">
        <v>6.5</v>
      </c>
    </row>
    <row r="2921" ht="14.25" customHeight="1">
      <c r="A2921" s="1" t="s">
        <v>13850</v>
      </c>
      <c r="B2921" s="1" t="s">
        <v>35</v>
      </c>
      <c r="C2921" s="1">
        <v>5.7</v>
      </c>
    </row>
    <row r="2922" ht="14.25" customHeight="1">
      <c r="A2922" s="1" t="s">
        <v>13854</v>
      </c>
      <c r="B2922" s="1" t="s">
        <v>35</v>
      </c>
      <c r="C2922" s="1">
        <v>7.3</v>
      </c>
    </row>
    <row r="2923" ht="14.25" customHeight="1">
      <c r="A2923" s="1" t="s">
        <v>13859</v>
      </c>
      <c r="B2923" s="1" t="s">
        <v>35</v>
      </c>
      <c r="C2923" s="1">
        <v>6.9</v>
      </c>
    </row>
    <row r="2924" ht="14.25" customHeight="1">
      <c r="A2924" s="1" t="s">
        <v>13865</v>
      </c>
      <c r="B2924" s="1" t="s">
        <v>35</v>
      </c>
      <c r="C2924" s="1">
        <v>5.0</v>
      </c>
    </row>
    <row r="2925" ht="14.25" customHeight="1">
      <c r="A2925" s="1" t="s">
        <v>13868</v>
      </c>
      <c r="B2925" s="1" t="s">
        <v>35</v>
      </c>
      <c r="C2925" s="1">
        <v>7.3</v>
      </c>
    </row>
    <row r="2926" ht="14.25" customHeight="1">
      <c r="A2926" s="1" t="s">
        <v>13873</v>
      </c>
      <c r="B2926" s="1" t="s">
        <v>35</v>
      </c>
      <c r="C2926" s="1">
        <v>6.5</v>
      </c>
    </row>
    <row r="2927" ht="14.25" customHeight="1">
      <c r="A2927" s="1" t="s">
        <v>13877</v>
      </c>
      <c r="B2927" s="1" t="s">
        <v>35</v>
      </c>
      <c r="C2927" s="1">
        <v>2.1</v>
      </c>
    </row>
    <row r="2928" ht="14.25" customHeight="1">
      <c r="A2928" s="1" t="s">
        <v>13882</v>
      </c>
      <c r="B2928" s="1" t="s">
        <v>35</v>
      </c>
      <c r="C2928" s="1">
        <v>7.0</v>
      </c>
    </row>
    <row r="2929" ht="14.25" customHeight="1">
      <c r="A2929" s="1" t="s">
        <v>13886</v>
      </c>
      <c r="B2929" s="1" t="s">
        <v>13092</v>
      </c>
      <c r="C2929" s="1">
        <v>8.0</v>
      </c>
    </row>
    <row r="2930" ht="14.25" customHeight="1">
      <c r="A2930" s="1" t="s">
        <v>9288</v>
      </c>
      <c r="B2930" s="1" t="s">
        <v>35</v>
      </c>
      <c r="C2930" s="1">
        <v>6.5</v>
      </c>
    </row>
    <row r="2931" ht="14.25" customHeight="1">
      <c r="A2931" s="1" t="s">
        <v>13892</v>
      </c>
      <c r="B2931" s="1" t="s">
        <v>35</v>
      </c>
      <c r="C2931" s="1">
        <v>7.1</v>
      </c>
    </row>
    <row r="2932" ht="14.25" customHeight="1">
      <c r="A2932" s="1" t="s">
        <v>5848</v>
      </c>
      <c r="B2932" s="1" t="s">
        <v>35</v>
      </c>
      <c r="C2932" s="1">
        <v>7.2</v>
      </c>
    </row>
    <row r="2933" ht="14.25" customHeight="1">
      <c r="A2933" s="1" t="s">
        <v>13897</v>
      </c>
      <c r="B2933" s="1" t="s">
        <v>35</v>
      </c>
      <c r="C2933" s="1">
        <v>6.7</v>
      </c>
    </row>
    <row r="2934" ht="14.25" customHeight="1">
      <c r="A2934" s="1" t="s">
        <v>13901</v>
      </c>
      <c r="B2934" s="1" t="s">
        <v>35</v>
      </c>
      <c r="C2934" s="1">
        <v>8.9</v>
      </c>
    </row>
    <row r="2935" ht="14.25" customHeight="1">
      <c r="A2935" s="1" t="s">
        <v>13905</v>
      </c>
      <c r="B2935" s="1" t="s">
        <v>35</v>
      </c>
      <c r="C2935" s="1">
        <v>7.9</v>
      </c>
    </row>
    <row r="2936" ht="14.25" customHeight="1">
      <c r="A2936" s="1" t="s">
        <v>13909</v>
      </c>
      <c r="B2936" s="1" t="s">
        <v>35</v>
      </c>
      <c r="C2936" s="1">
        <v>5.6</v>
      </c>
    </row>
    <row r="2937" ht="14.25" customHeight="1">
      <c r="A2937" s="1" t="s">
        <v>13913</v>
      </c>
      <c r="B2937" s="1" t="s">
        <v>35</v>
      </c>
      <c r="C2937" s="1">
        <v>8.0</v>
      </c>
    </row>
    <row r="2938" ht="14.25" customHeight="1">
      <c r="A2938" s="1" t="s">
        <v>13920</v>
      </c>
      <c r="B2938" s="1" t="s">
        <v>35</v>
      </c>
      <c r="C2938" s="1">
        <v>6.2</v>
      </c>
    </row>
    <row r="2939" ht="14.25" customHeight="1">
      <c r="A2939" s="1" t="s">
        <v>13926</v>
      </c>
      <c r="B2939" s="1" t="s">
        <v>35</v>
      </c>
      <c r="C2939" s="1">
        <v>7.9</v>
      </c>
    </row>
    <row r="2940" ht="14.25" customHeight="1">
      <c r="A2940" s="1" t="s">
        <v>13931</v>
      </c>
      <c r="B2940" s="1" t="s">
        <v>35</v>
      </c>
      <c r="C2940" s="1">
        <v>8.1</v>
      </c>
    </row>
    <row r="2941" ht="14.25" customHeight="1">
      <c r="A2941" s="1" t="s">
        <v>13935</v>
      </c>
      <c r="B2941" s="1" t="s">
        <v>35</v>
      </c>
      <c r="C2941" s="1">
        <v>7.6</v>
      </c>
    </row>
    <row r="2942" ht="14.25" customHeight="1">
      <c r="A2942" s="1" t="s">
        <v>13942</v>
      </c>
      <c r="B2942" s="1" t="s">
        <v>35</v>
      </c>
      <c r="C2942" s="1">
        <v>3.5</v>
      </c>
    </row>
    <row r="2943" ht="14.25" customHeight="1">
      <c r="A2943" s="1" t="s">
        <v>13949</v>
      </c>
      <c r="B2943" s="1" t="s">
        <v>35</v>
      </c>
      <c r="C2943" s="1">
        <v>7.6</v>
      </c>
    </row>
    <row r="2944" ht="14.25" customHeight="1">
      <c r="A2944" s="1" t="s">
        <v>13952</v>
      </c>
      <c r="B2944" s="1" t="s">
        <v>35</v>
      </c>
      <c r="C2944" s="1">
        <v>6.5</v>
      </c>
    </row>
    <row r="2945" ht="14.25" customHeight="1">
      <c r="A2945" s="1" t="s">
        <v>13956</v>
      </c>
      <c r="B2945" s="1" t="s">
        <v>35</v>
      </c>
      <c r="C2945" s="1">
        <v>5.6</v>
      </c>
    </row>
    <row r="2946" ht="14.25" customHeight="1">
      <c r="A2946" s="1" t="s">
        <v>13960</v>
      </c>
      <c r="B2946" s="1" t="s">
        <v>35</v>
      </c>
      <c r="C2946" s="1">
        <v>7.7</v>
      </c>
    </row>
    <row r="2947" ht="14.25" customHeight="1">
      <c r="A2947" s="1" t="s">
        <v>13964</v>
      </c>
      <c r="B2947" s="1" t="s">
        <v>35</v>
      </c>
      <c r="C2947" s="1">
        <v>5.2</v>
      </c>
    </row>
    <row r="2948" ht="14.25" customHeight="1">
      <c r="A2948" s="1" t="s">
        <v>13971</v>
      </c>
      <c r="B2948" s="1" t="s">
        <v>35</v>
      </c>
      <c r="C2948" s="1">
        <v>6.1</v>
      </c>
    </row>
    <row r="2949" ht="14.25" customHeight="1">
      <c r="A2949" s="1" t="s">
        <v>13977</v>
      </c>
      <c r="B2949" s="1" t="s">
        <v>35</v>
      </c>
      <c r="C2949" s="1">
        <v>7.4</v>
      </c>
    </row>
    <row r="2950" ht="14.25" customHeight="1">
      <c r="A2950" s="1" t="s">
        <v>13981</v>
      </c>
      <c r="B2950" s="1" t="s">
        <v>35</v>
      </c>
      <c r="C2950" s="1">
        <v>6.8</v>
      </c>
    </row>
    <row r="2951" ht="14.25" customHeight="1">
      <c r="A2951" s="1" t="s">
        <v>13987</v>
      </c>
      <c r="B2951" s="1" t="s">
        <v>35</v>
      </c>
      <c r="C2951" s="1">
        <v>6.4</v>
      </c>
    </row>
    <row r="2952" ht="14.25" customHeight="1">
      <c r="A2952" s="1" t="s">
        <v>13992</v>
      </c>
      <c r="B2952" s="1" t="s">
        <v>35</v>
      </c>
      <c r="C2952" s="1">
        <v>5.7</v>
      </c>
    </row>
    <row r="2953" ht="14.25" customHeight="1">
      <c r="A2953" s="1" t="s">
        <v>13996</v>
      </c>
      <c r="B2953" s="1" t="s">
        <v>35</v>
      </c>
      <c r="C2953" s="1">
        <v>6.7</v>
      </c>
    </row>
    <row r="2954" ht="14.25" customHeight="1">
      <c r="A2954" s="1" t="s">
        <v>14000</v>
      </c>
      <c r="B2954" s="1" t="s">
        <v>35</v>
      </c>
      <c r="C2954" s="1">
        <v>5.6</v>
      </c>
    </row>
    <row r="2955" ht="14.25" customHeight="1">
      <c r="A2955" s="1" t="s">
        <v>4901</v>
      </c>
      <c r="B2955" s="1" t="s">
        <v>35</v>
      </c>
      <c r="C2955" s="1">
        <v>7.0</v>
      </c>
    </row>
    <row r="2956" ht="14.25" customHeight="1">
      <c r="A2956" s="1" t="s">
        <v>14004</v>
      </c>
      <c r="B2956" s="1" t="s">
        <v>35</v>
      </c>
      <c r="C2956" s="1">
        <v>7.6</v>
      </c>
    </row>
    <row r="2957" ht="14.25" customHeight="1">
      <c r="A2957" s="1" t="s">
        <v>14007</v>
      </c>
      <c r="B2957" s="1" t="s">
        <v>35</v>
      </c>
      <c r="C2957" s="1">
        <v>6.5</v>
      </c>
    </row>
    <row r="2958" ht="14.25" customHeight="1">
      <c r="A2958" s="1" t="s">
        <v>14011</v>
      </c>
      <c r="B2958" s="1" t="s">
        <v>35</v>
      </c>
      <c r="C2958" s="1">
        <v>6.3</v>
      </c>
    </row>
    <row r="2959" ht="14.25" customHeight="1">
      <c r="A2959" s="1" t="s">
        <v>14015</v>
      </c>
      <c r="B2959" s="1" t="s">
        <v>35</v>
      </c>
      <c r="C2959" s="1">
        <v>7.1</v>
      </c>
    </row>
    <row r="2960" ht="14.25" customHeight="1">
      <c r="A2960" s="1" t="s">
        <v>14020</v>
      </c>
      <c r="B2960" s="1" t="s">
        <v>35</v>
      </c>
      <c r="C2960" s="1">
        <v>7.1</v>
      </c>
    </row>
    <row r="2961" ht="14.25" customHeight="1">
      <c r="A2961" s="1" t="s">
        <v>14024</v>
      </c>
      <c r="B2961" s="1" t="s">
        <v>35</v>
      </c>
      <c r="C2961" s="1">
        <v>6.9</v>
      </c>
    </row>
    <row r="2962" ht="14.25" customHeight="1">
      <c r="A2962" s="1" t="s">
        <v>14028</v>
      </c>
      <c r="B2962" s="1" t="s">
        <v>35</v>
      </c>
      <c r="C2962" s="1">
        <v>5.4</v>
      </c>
    </row>
    <row r="2963" ht="14.25" customHeight="1">
      <c r="A2963" s="1" t="s">
        <v>14031</v>
      </c>
      <c r="B2963" s="1" t="s">
        <v>35</v>
      </c>
      <c r="C2963" s="1">
        <v>5.1</v>
      </c>
    </row>
    <row r="2964" ht="14.25" customHeight="1">
      <c r="A2964" s="1" t="s">
        <v>14035</v>
      </c>
      <c r="B2964" s="1" t="s">
        <v>35</v>
      </c>
      <c r="C2964" s="1">
        <v>5.3</v>
      </c>
    </row>
    <row r="2965" ht="14.25" customHeight="1">
      <c r="A2965" s="1" t="s">
        <v>14040</v>
      </c>
      <c r="B2965" s="1" t="s">
        <v>35</v>
      </c>
      <c r="C2965" s="1">
        <v>7.3</v>
      </c>
    </row>
    <row r="2966" ht="14.25" customHeight="1">
      <c r="A2966" s="1" t="s">
        <v>14045</v>
      </c>
      <c r="B2966" s="1" t="s">
        <v>35</v>
      </c>
      <c r="C2966" s="1">
        <v>7.3</v>
      </c>
    </row>
    <row r="2967" ht="14.25" customHeight="1">
      <c r="A2967" s="1" t="s">
        <v>14049</v>
      </c>
      <c r="B2967" s="1" t="s">
        <v>2752</v>
      </c>
      <c r="C2967" s="1">
        <v>7.1</v>
      </c>
    </row>
    <row r="2968" ht="14.25" customHeight="1">
      <c r="A2968" s="1" t="s">
        <v>14054</v>
      </c>
      <c r="B2968" s="1" t="s">
        <v>35</v>
      </c>
      <c r="C2968" s="1">
        <v>6.0</v>
      </c>
    </row>
    <row r="2969" ht="14.25" customHeight="1">
      <c r="A2969" s="1" t="s">
        <v>14058</v>
      </c>
      <c r="B2969" s="1" t="s">
        <v>35</v>
      </c>
      <c r="C2969" s="1">
        <v>6.6</v>
      </c>
    </row>
    <row r="2970" ht="14.25" customHeight="1">
      <c r="A2970" s="1" t="s">
        <v>14063</v>
      </c>
      <c r="B2970" s="1" t="s">
        <v>35</v>
      </c>
      <c r="C2970" s="1">
        <v>7.2</v>
      </c>
    </row>
    <row r="2971" ht="14.25" customHeight="1">
      <c r="A2971" s="1" t="s">
        <v>14066</v>
      </c>
      <c r="B2971" s="1" t="s">
        <v>35</v>
      </c>
      <c r="C2971" s="1">
        <v>7.2</v>
      </c>
    </row>
    <row r="2972" ht="14.25" customHeight="1">
      <c r="A2972" s="1" t="s">
        <v>14070</v>
      </c>
      <c r="B2972" s="1" t="s">
        <v>35</v>
      </c>
      <c r="C2972" s="1">
        <v>6.9</v>
      </c>
    </row>
    <row r="2973" ht="14.25" customHeight="1">
      <c r="A2973" s="1" t="s">
        <v>14075</v>
      </c>
      <c r="B2973" s="1" t="s">
        <v>35</v>
      </c>
      <c r="C2973" s="1">
        <v>6.8</v>
      </c>
    </row>
    <row r="2974" ht="14.25" customHeight="1">
      <c r="A2974" s="1" t="s">
        <v>14081</v>
      </c>
      <c r="B2974" s="1" t="s">
        <v>35</v>
      </c>
      <c r="C2974" s="1">
        <v>7.7</v>
      </c>
    </row>
    <row r="2975" ht="14.25" customHeight="1">
      <c r="A2975" s="1" t="s">
        <v>14088</v>
      </c>
      <c r="B2975" s="1" t="s">
        <v>35</v>
      </c>
      <c r="C2975" s="1">
        <v>7.4</v>
      </c>
    </row>
    <row r="2976" ht="14.25" customHeight="1">
      <c r="A2976" s="1" t="s">
        <v>14094</v>
      </c>
      <c r="B2976" s="1" t="s">
        <v>35</v>
      </c>
      <c r="C2976" s="1">
        <v>6.5</v>
      </c>
    </row>
    <row r="2977" ht="14.25" customHeight="1">
      <c r="A2977" s="1" t="s">
        <v>14098</v>
      </c>
      <c r="B2977" s="1" t="s">
        <v>35</v>
      </c>
      <c r="C2977" s="1">
        <v>6.4</v>
      </c>
    </row>
    <row r="2978" ht="14.25" customHeight="1">
      <c r="A2978" s="1" t="s">
        <v>14104</v>
      </c>
      <c r="B2978" s="1" t="s">
        <v>35</v>
      </c>
      <c r="C2978" s="1">
        <v>5.6</v>
      </c>
    </row>
    <row r="2979" ht="14.25" customHeight="1">
      <c r="A2979" s="1" t="s">
        <v>14109</v>
      </c>
      <c r="B2979" s="1" t="s">
        <v>35</v>
      </c>
      <c r="C2979" s="1">
        <v>6.8</v>
      </c>
    </row>
    <row r="2980" ht="14.25" customHeight="1">
      <c r="A2980" s="1" t="s">
        <v>14114</v>
      </c>
      <c r="B2980" s="1" t="s">
        <v>35</v>
      </c>
      <c r="C2980" s="1">
        <v>5.5</v>
      </c>
    </row>
    <row r="2981" ht="14.25" customHeight="1">
      <c r="A2981" s="1" t="s">
        <v>14117</v>
      </c>
      <c r="B2981" s="1" t="s">
        <v>35</v>
      </c>
      <c r="C2981" s="1">
        <v>6.9</v>
      </c>
    </row>
    <row r="2982" ht="14.25" customHeight="1">
      <c r="A2982" s="1" t="s">
        <v>14122</v>
      </c>
      <c r="B2982" s="1" t="s">
        <v>35</v>
      </c>
      <c r="C2982" s="1">
        <v>6.0</v>
      </c>
    </row>
    <row r="2983" ht="14.25" customHeight="1">
      <c r="A2983" s="1" t="s">
        <v>14127</v>
      </c>
      <c r="B2983" s="1" t="s">
        <v>35</v>
      </c>
      <c r="C2983" s="1">
        <v>6.4</v>
      </c>
    </row>
    <row r="2984" ht="14.25" customHeight="1">
      <c r="A2984" s="1" t="s">
        <v>14131</v>
      </c>
      <c r="B2984" s="1" t="s">
        <v>35</v>
      </c>
      <c r="C2984" s="1">
        <v>6.6</v>
      </c>
    </row>
    <row r="2985" ht="14.25" customHeight="1">
      <c r="A2985" s="1" t="s">
        <v>14135</v>
      </c>
      <c r="B2985" s="1" t="s">
        <v>7281</v>
      </c>
      <c r="C2985" s="1">
        <v>8.1</v>
      </c>
    </row>
    <row r="2986" ht="14.25" customHeight="1">
      <c r="A2986" s="1" t="s">
        <v>14143</v>
      </c>
      <c r="B2986" s="1" t="s">
        <v>35</v>
      </c>
      <c r="C2986" s="1">
        <v>6.9</v>
      </c>
    </row>
    <row r="2987" ht="14.25" customHeight="1">
      <c r="A2987" s="1" t="s">
        <v>14148</v>
      </c>
      <c r="B2987" s="1" t="s">
        <v>35</v>
      </c>
      <c r="C2987" s="1">
        <v>6.5</v>
      </c>
    </row>
    <row r="2988" ht="14.25" customHeight="1">
      <c r="A2988" s="1" t="s">
        <v>14152</v>
      </c>
      <c r="B2988" s="1" t="s">
        <v>35</v>
      </c>
      <c r="C2988" s="1">
        <v>7.4</v>
      </c>
    </row>
    <row r="2989" ht="14.25" customHeight="1">
      <c r="A2989" s="1" t="s">
        <v>14157</v>
      </c>
      <c r="B2989" s="1" t="s">
        <v>35</v>
      </c>
      <c r="C2989" s="1">
        <v>6.9</v>
      </c>
    </row>
    <row r="2990" ht="14.25" customHeight="1">
      <c r="A2990" s="1" t="s">
        <v>14161</v>
      </c>
      <c r="B2990" s="1" t="s">
        <v>6797</v>
      </c>
      <c r="C2990" s="1">
        <v>6.7</v>
      </c>
    </row>
    <row r="2991" ht="14.25" customHeight="1">
      <c r="A2991" s="1" t="s">
        <v>14167</v>
      </c>
      <c r="B2991" s="1" t="s">
        <v>35</v>
      </c>
      <c r="C2991" s="1">
        <v>7.6</v>
      </c>
    </row>
    <row r="2992" ht="14.25" customHeight="1">
      <c r="A2992" s="1" t="s">
        <v>14172</v>
      </c>
      <c r="B2992" s="1" t="s">
        <v>35</v>
      </c>
      <c r="C2992" s="1">
        <v>5.4</v>
      </c>
    </row>
    <row r="2993" ht="14.25" customHeight="1">
      <c r="A2993" s="1" t="s">
        <v>14176</v>
      </c>
      <c r="B2993" s="1" t="s">
        <v>35</v>
      </c>
      <c r="C2993" s="1">
        <v>7.3</v>
      </c>
    </row>
    <row r="2994" ht="14.25" customHeight="1">
      <c r="A2994" s="1" t="s">
        <v>14181</v>
      </c>
      <c r="B2994" s="1" t="s">
        <v>35</v>
      </c>
      <c r="C2994" s="1">
        <v>6.0</v>
      </c>
    </row>
    <row r="2995" ht="14.25" customHeight="1">
      <c r="A2995" s="1" t="s">
        <v>14185</v>
      </c>
      <c r="B2995" s="1" t="s">
        <v>35</v>
      </c>
      <c r="C2995" s="1">
        <v>7.2</v>
      </c>
    </row>
    <row r="2996" ht="14.25" customHeight="1">
      <c r="A2996" s="1" t="s">
        <v>14189</v>
      </c>
      <c r="B2996" s="1" t="s">
        <v>35</v>
      </c>
      <c r="C2996" s="1">
        <v>6.0</v>
      </c>
    </row>
    <row r="2997" ht="14.25" customHeight="1">
      <c r="A2997" s="1" t="s">
        <v>14194</v>
      </c>
      <c r="B2997" s="1" t="s">
        <v>35</v>
      </c>
      <c r="C2997" s="1">
        <v>3.1</v>
      </c>
    </row>
    <row r="2998" ht="14.25" customHeight="1">
      <c r="A2998" s="1" t="s">
        <v>14198</v>
      </c>
      <c r="B2998" s="1" t="s">
        <v>35</v>
      </c>
      <c r="C2998" s="1">
        <v>6.2</v>
      </c>
    </row>
    <row r="2999" ht="14.25" customHeight="1">
      <c r="A2999" s="1" t="s">
        <v>14201</v>
      </c>
      <c r="B2999" s="1" t="s">
        <v>35</v>
      </c>
      <c r="C2999" s="1">
        <v>6.3</v>
      </c>
    </row>
    <row r="3000" ht="14.25" customHeight="1">
      <c r="A3000" s="1" t="s">
        <v>13494</v>
      </c>
      <c r="B3000" s="1" t="s">
        <v>35</v>
      </c>
      <c r="C3000" s="1">
        <v>7.9</v>
      </c>
    </row>
    <row r="3001" ht="14.25" customHeight="1">
      <c r="A3001" s="1" t="s">
        <v>14207</v>
      </c>
      <c r="B3001" s="1" t="s">
        <v>35</v>
      </c>
      <c r="C3001" s="1">
        <v>6.7</v>
      </c>
    </row>
    <row r="3002" ht="14.25" customHeight="1">
      <c r="A3002" s="1" t="s">
        <v>14212</v>
      </c>
      <c r="B3002" s="1" t="s">
        <v>2752</v>
      </c>
      <c r="C3002" s="1">
        <v>8.0</v>
      </c>
    </row>
    <row r="3003" ht="14.25" customHeight="1">
      <c r="A3003" s="1" t="s">
        <v>14217</v>
      </c>
      <c r="B3003" s="1" t="s">
        <v>35</v>
      </c>
      <c r="C3003" s="1">
        <v>7.0</v>
      </c>
    </row>
    <row r="3004" ht="14.25" customHeight="1">
      <c r="A3004" s="1" t="s">
        <v>14222</v>
      </c>
      <c r="B3004" s="1" t="s">
        <v>35</v>
      </c>
      <c r="C3004" s="1">
        <v>7.2</v>
      </c>
    </row>
    <row r="3005" ht="14.25" customHeight="1">
      <c r="A3005" s="1" t="s">
        <v>72</v>
      </c>
      <c r="B3005" s="1" t="s">
        <v>35</v>
      </c>
      <c r="C3005" s="1">
        <v>6.2</v>
      </c>
    </row>
    <row r="3006" ht="14.25" customHeight="1">
      <c r="A3006" s="1" t="s">
        <v>14226</v>
      </c>
      <c r="B3006" s="1" t="s">
        <v>35</v>
      </c>
      <c r="C3006" s="1">
        <v>3.5</v>
      </c>
    </row>
    <row r="3007" ht="14.25" customHeight="1">
      <c r="A3007" s="1" t="s">
        <v>14231</v>
      </c>
      <c r="B3007" s="1" t="s">
        <v>35</v>
      </c>
      <c r="C3007" s="1">
        <v>7.5</v>
      </c>
    </row>
    <row r="3008" ht="14.25" customHeight="1">
      <c r="A3008" s="1" t="s">
        <v>14235</v>
      </c>
      <c r="B3008" s="1" t="s">
        <v>35</v>
      </c>
      <c r="C3008" s="1">
        <v>6.7</v>
      </c>
    </row>
    <row r="3009" ht="14.25" customHeight="1">
      <c r="A3009" s="1" t="s">
        <v>14240</v>
      </c>
      <c r="B3009" s="1" t="s">
        <v>35</v>
      </c>
      <c r="C3009" s="1">
        <v>9.2</v>
      </c>
    </row>
    <row r="3010" ht="14.25" customHeight="1">
      <c r="A3010" s="1" t="s">
        <v>14243</v>
      </c>
      <c r="B3010" s="1" t="s">
        <v>35</v>
      </c>
      <c r="C3010" s="1">
        <v>6.1</v>
      </c>
    </row>
    <row r="3011" ht="14.25" customHeight="1">
      <c r="A3011" s="1" t="s">
        <v>14248</v>
      </c>
      <c r="B3011" s="1" t="s">
        <v>35</v>
      </c>
      <c r="C3011" s="1">
        <v>7.7</v>
      </c>
    </row>
    <row r="3012" ht="14.25" customHeight="1">
      <c r="A3012" s="1" t="s">
        <v>14251</v>
      </c>
      <c r="B3012" s="1" t="s">
        <v>35</v>
      </c>
      <c r="C3012" s="1">
        <v>7.6</v>
      </c>
    </row>
    <row r="3013" ht="14.25" customHeight="1">
      <c r="A3013" s="1" t="s">
        <v>14256</v>
      </c>
      <c r="B3013" s="1" t="s">
        <v>35</v>
      </c>
      <c r="C3013" s="1">
        <v>6.1</v>
      </c>
    </row>
    <row r="3014" ht="14.25" customHeight="1">
      <c r="A3014" s="1" t="s">
        <v>14259</v>
      </c>
      <c r="B3014" s="1" t="s">
        <v>35</v>
      </c>
      <c r="C3014" s="1">
        <v>4.9</v>
      </c>
    </row>
    <row r="3015" ht="14.25" customHeight="1">
      <c r="A3015" s="1" t="s">
        <v>14264</v>
      </c>
      <c r="B3015" s="1" t="s">
        <v>35</v>
      </c>
      <c r="C3015" s="1">
        <v>6.8</v>
      </c>
    </row>
    <row r="3016" ht="14.25" customHeight="1">
      <c r="A3016" s="1" t="s">
        <v>14268</v>
      </c>
      <c r="B3016" s="1" t="s">
        <v>35</v>
      </c>
      <c r="C3016" s="1">
        <v>7.0</v>
      </c>
    </row>
    <row r="3017" ht="14.25" customHeight="1">
      <c r="A3017" s="1" t="s">
        <v>14272</v>
      </c>
      <c r="B3017" s="1" t="s">
        <v>35</v>
      </c>
      <c r="C3017" s="1">
        <v>5.7</v>
      </c>
    </row>
    <row r="3018" ht="14.25" customHeight="1">
      <c r="A3018" s="1" t="s">
        <v>357</v>
      </c>
      <c r="B3018" s="1" t="s">
        <v>35</v>
      </c>
      <c r="C3018" s="1">
        <v>7.3</v>
      </c>
    </row>
    <row r="3019" ht="14.25" customHeight="1">
      <c r="A3019" s="1" t="s">
        <v>14275</v>
      </c>
      <c r="B3019" s="1" t="s">
        <v>35</v>
      </c>
      <c r="C3019" s="1">
        <v>7.5</v>
      </c>
    </row>
    <row r="3020" ht="14.25" customHeight="1">
      <c r="A3020" s="1" t="s">
        <v>14278</v>
      </c>
      <c r="B3020" s="1" t="s">
        <v>35</v>
      </c>
      <c r="C3020" s="1">
        <v>7.4</v>
      </c>
    </row>
    <row r="3021" ht="14.25" customHeight="1">
      <c r="A3021" s="1" t="s">
        <v>14283</v>
      </c>
      <c r="B3021" s="1" t="s">
        <v>35</v>
      </c>
      <c r="C3021" s="1">
        <v>7.2</v>
      </c>
    </row>
    <row r="3022" ht="14.25" customHeight="1">
      <c r="A3022" s="1" t="s">
        <v>12433</v>
      </c>
      <c r="B3022" s="1" t="s">
        <v>35</v>
      </c>
      <c r="C3022" s="1">
        <v>6.5</v>
      </c>
    </row>
    <row r="3023" ht="14.25" customHeight="1">
      <c r="A3023" s="1" t="s">
        <v>14287</v>
      </c>
      <c r="B3023" s="1" t="s">
        <v>35</v>
      </c>
      <c r="C3023" s="1">
        <v>6.8</v>
      </c>
    </row>
    <row r="3024" ht="14.25" customHeight="1">
      <c r="A3024" s="1" t="s">
        <v>14292</v>
      </c>
      <c r="B3024" s="1" t="s">
        <v>35</v>
      </c>
      <c r="C3024" s="1">
        <v>6.8</v>
      </c>
    </row>
    <row r="3025" ht="14.25" customHeight="1">
      <c r="A3025" s="1" t="s">
        <v>14296</v>
      </c>
      <c r="B3025" s="1" t="s">
        <v>35</v>
      </c>
      <c r="C3025" s="1">
        <v>5.2</v>
      </c>
    </row>
    <row r="3026" ht="14.25" customHeight="1">
      <c r="A3026" s="1" t="s">
        <v>14299</v>
      </c>
      <c r="B3026" s="1" t="s">
        <v>35</v>
      </c>
      <c r="C3026" s="1">
        <v>7.2</v>
      </c>
    </row>
    <row r="3027" ht="14.25" customHeight="1">
      <c r="A3027" s="1" t="s">
        <v>14306</v>
      </c>
      <c r="B3027" s="1" t="s">
        <v>35</v>
      </c>
      <c r="C3027" s="1">
        <v>4.0</v>
      </c>
    </row>
    <row r="3028" ht="14.25" customHeight="1">
      <c r="A3028" s="1" t="s">
        <v>14311</v>
      </c>
      <c r="B3028" s="1" t="s">
        <v>35</v>
      </c>
      <c r="C3028" s="1">
        <v>6.8</v>
      </c>
    </row>
    <row r="3029" ht="14.25" customHeight="1">
      <c r="A3029" s="1" t="s">
        <v>14315</v>
      </c>
      <c r="B3029" s="1" t="s">
        <v>35</v>
      </c>
      <c r="C3029" s="1">
        <v>6.9</v>
      </c>
    </row>
    <row r="3030" ht="14.25" customHeight="1">
      <c r="A3030" s="1" t="s">
        <v>14320</v>
      </c>
      <c r="B3030" s="1" t="s">
        <v>35</v>
      </c>
      <c r="C3030" s="1">
        <v>7.3</v>
      </c>
    </row>
    <row r="3031" ht="14.25" customHeight="1">
      <c r="A3031" s="1" t="s">
        <v>14324</v>
      </c>
      <c r="B3031" s="1" t="s">
        <v>35</v>
      </c>
      <c r="C3031" s="1">
        <v>6.1</v>
      </c>
    </row>
    <row r="3032" ht="14.25" customHeight="1">
      <c r="A3032" s="1" t="s">
        <v>232</v>
      </c>
      <c r="B3032" s="1" t="s">
        <v>35</v>
      </c>
      <c r="C3032" s="1">
        <v>7.8</v>
      </c>
    </row>
    <row r="3033" ht="14.25" customHeight="1">
      <c r="A3033" s="1" t="s">
        <v>14327</v>
      </c>
      <c r="B3033" s="1" t="s">
        <v>35</v>
      </c>
      <c r="C3033" s="1">
        <v>6.0</v>
      </c>
    </row>
    <row r="3034" ht="14.25" customHeight="1">
      <c r="A3034" s="1" t="s">
        <v>14332</v>
      </c>
      <c r="B3034" s="1" t="s">
        <v>35</v>
      </c>
      <c r="C3034" s="1">
        <v>7.0</v>
      </c>
    </row>
    <row r="3035" ht="14.25" customHeight="1">
      <c r="A3035" s="1" t="s">
        <v>14338</v>
      </c>
      <c r="B3035" s="1" t="s">
        <v>35</v>
      </c>
      <c r="C3035" s="1">
        <v>7.1</v>
      </c>
    </row>
    <row r="3036" ht="14.25" customHeight="1">
      <c r="A3036" s="1" t="s">
        <v>14341</v>
      </c>
      <c r="B3036" s="1" t="s">
        <v>35</v>
      </c>
      <c r="C3036" s="1">
        <v>6.2</v>
      </c>
    </row>
    <row r="3037" ht="14.25" customHeight="1">
      <c r="A3037" s="1" t="s">
        <v>14345</v>
      </c>
      <c r="B3037" s="1" t="s">
        <v>35</v>
      </c>
      <c r="C3037" s="1">
        <v>7.6</v>
      </c>
    </row>
    <row r="3038" ht="14.25" customHeight="1">
      <c r="A3038" s="1" t="s">
        <v>14349</v>
      </c>
      <c r="B3038" s="1" t="s">
        <v>35</v>
      </c>
      <c r="C3038" s="1">
        <v>7.6</v>
      </c>
    </row>
    <row r="3039" ht="14.25" customHeight="1">
      <c r="A3039" s="1" t="s">
        <v>14353</v>
      </c>
      <c r="B3039" s="1" t="s">
        <v>35</v>
      </c>
      <c r="C3039" s="1">
        <v>6.4</v>
      </c>
    </row>
    <row r="3040" ht="14.25" customHeight="1">
      <c r="A3040" s="1" t="s">
        <v>14359</v>
      </c>
      <c r="B3040" s="1" t="s">
        <v>35</v>
      </c>
      <c r="C3040" s="1">
        <v>6.2</v>
      </c>
    </row>
    <row r="3041" ht="14.25" customHeight="1">
      <c r="A3041" s="1" t="s">
        <v>14363</v>
      </c>
      <c r="B3041" s="1" t="s">
        <v>2136</v>
      </c>
      <c r="C3041" s="1">
        <v>7.5</v>
      </c>
    </row>
    <row r="3042" ht="14.25" customHeight="1">
      <c r="A3042" s="1" t="s">
        <v>14369</v>
      </c>
      <c r="B3042" s="1" t="s">
        <v>35</v>
      </c>
      <c r="C3042" s="1">
        <v>2.0</v>
      </c>
    </row>
    <row r="3043" ht="14.25" customHeight="1">
      <c r="A3043" s="1" t="s">
        <v>14374</v>
      </c>
      <c r="B3043" s="1" t="s">
        <v>35</v>
      </c>
      <c r="C3043" s="1">
        <v>6.2</v>
      </c>
    </row>
    <row r="3044" ht="14.25" customHeight="1">
      <c r="A3044" s="1" t="s">
        <v>14381</v>
      </c>
      <c r="B3044" s="1" t="s">
        <v>35</v>
      </c>
      <c r="C3044" s="1">
        <v>6.5</v>
      </c>
    </row>
    <row r="3045" ht="14.25" customHeight="1">
      <c r="A3045" s="1" t="s">
        <v>14386</v>
      </c>
      <c r="B3045" s="1" t="s">
        <v>35</v>
      </c>
      <c r="C3045" s="1">
        <v>6.8</v>
      </c>
    </row>
    <row r="3046" ht="14.25" customHeight="1">
      <c r="A3046" s="1" t="s">
        <v>14390</v>
      </c>
      <c r="B3046" s="1" t="s">
        <v>35</v>
      </c>
      <c r="C3046" s="1">
        <v>6.3</v>
      </c>
    </row>
    <row r="3047" ht="14.25" customHeight="1">
      <c r="A3047" s="1" t="s">
        <v>14395</v>
      </c>
      <c r="B3047" s="1" t="s">
        <v>35</v>
      </c>
      <c r="C3047" s="1">
        <v>6.3</v>
      </c>
    </row>
    <row r="3048" ht="14.25" customHeight="1">
      <c r="A3048" s="1" t="s">
        <v>14400</v>
      </c>
      <c r="B3048" s="1" t="s">
        <v>35</v>
      </c>
      <c r="C3048" s="1">
        <v>6.6</v>
      </c>
    </row>
    <row r="3049" ht="14.25" customHeight="1">
      <c r="A3049" s="1" t="s">
        <v>14403</v>
      </c>
      <c r="B3049" s="1" t="s">
        <v>35</v>
      </c>
      <c r="C3049" s="1">
        <v>6.4</v>
      </c>
    </row>
    <row r="3050" ht="14.25" customHeight="1">
      <c r="A3050" s="1" t="s">
        <v>14407</v>
      </c>
      <c r="B3050" s="1" t="s">
        <v>35</v>
      </c>
      <c r="C3050" s="1">
        <v>7.5</v>
      </c>
    </row>
    <row r="3051" ht="14.25" customHeight="1">
      <c r="A3051" s="1" t="s">
        <v>14412</v>
      </c>
      <c r="B3051" s="1" t="s">
        <v>35</v>
      </c>
      <c r="C3051" s="1">
        <v>6.5</v>
      </c>
    </row>
    <row r="3052" ht="14.25" customHeight="1">
      <c r="A3052" s="1" t="s">
        <v>14416</v>
      </c>
      <c r="B3052" s="1" t="s">
        <v>35</v>
      </c>
      <c r="C3052" s="1">
        <v>7.2</v>
      </c>
    </row>
    <row r="3053" ht="14.25" customHeight="1">
      <c r="A3053" s="1" t="s">
        <v>14420</v>
      </c>
      <c r="B3053" s="1" t="s">
        <v>35</v>
      </c>
      <c r="C3053" s="1">
        <v>6.3</v>
      </c>
    </row>
    <row r="3054" ht="14.25" customHeight="1">
      <c r="A3054" s="1" t="s">
        <v>14425</v>
      </c>
      <c r="B3054" s="1" t="s">
        <v>2752</v>
      </c>
      <c r="C3054" s="1">
        <v>7.0</v>
      </c>
    </row>
    <row r="3055" ht="14.25" customHeight="1">
      <c r="A3055" s="1" t="s">
        <v>14430</v>
      </c>
      <c r="B3055" s="1" t="s">
        <v>35</v>
      </c>
      <c r="C3055" s="1">
        <v>6.3</v>
      </c>
    </row>
    <row r="3056" ht="14.25" customHeight="1">
      <c r="A3056" s="1" t="s">
        <v>14436</v>
      </c>
      <c r="B3056" s="1" t="s">
        <v>35</v>
      </c>
      <c r="C3056" s="1">
        <v>2.3</v>
      </c>
    </row>
    <row r="3057" ht="14.25" customHeight="1">
      <c r="A3057" s="1" t="s">
        <v>14440</v>
      </c>
      <c r="B3057" s="1" t="s">
        <v>35</v>
      </c>
      <c r="C3057" s="1">
        <v>7.1</v>
      </c>
    </row>
    <row r="3058" ht="14.25" customHeight="1">
      <c r="A3058" s="1" t="s">
        <v>14444</v>
      </c>
      <c r="B3058" s="1" t="s">
        <v>35</v>
      </c>
      <c r="C3058" s="1">
        <v>6.7</v>
      </c>
    </row>
    <row r="3059" ht="14.25" customHeight="1">
      <c r="A3059" s="1" t="s">
        <v>14448</v>
      </c>
      <c r="B3059" s="1" t="s">
        <v>35</v>
      </c>
      <c r="C3059" s="1">
        <v>6.5</v>
      </c>
    </row>
    <row r="3060" ht="14.25" customHeight="1">
      <c r="A3060" s="1" t="s">
        <v>14452</v>
      </c>
      <c r="B3060" s="1" t="s">
        <v>35</v>
      </c>
      <c r="C3060" s="1">
        <v>5.9</v>
      </c>
    </row>
    <row r="3061" ht="14.25" customHeight="1">
      <c r="A3061" s="1" t="s">
        <v>14456</v>
      </c>
      <c r="B3061" s="1" t="s">
        <v>35</v>
      </c>
      <c r="C3061" s="1">
        <v>6.0</v>
      </c>
    </row>
    <row r="3062" ht="14.25" customHeight="1">
      <c r="A3062" s="1" t="s">
        <v>14459</v>
      </c>
      <c r="B3062" s="1" t="s">
        <v>35</v>
      </c>
      <c r="C3062" s="1">
        <v>6.9</v>
      </c>
    </row>
    <row r="3063" ht="14.25" customHeight="1">
      <c r="A3063" s="1" t="s">
        <v>14462</v>
      </c>
      <c r="B3063" s="1" t="s">
        <v>35</v>
      </c>
      <c r="C3063" s="1">
        <v>7.3</v>
      </c>
    </row>
    <row r="3064" ht="14.25" customHeight="1">
      <c r="A3064" s="1" t="s">
        <v>14467</v>
      </c>
      <c r="B3064" s="1" t="s">
        <v>35</v>
      </c>
      <c r="C3064" s="1">
        <v>7.7</v>
      </c>
    </row>
    <row r="3065" ht="14.25" customHeight="1">
      <c r="A3065" s="1" t="s">
        <v>14471</v>
      </c>
      <c r="B3065" s="1" t="s">
        <v>35</v>
      </c>
      <c r="C3065" s="1">
        <v>7.0</v>
      </c>
    </row>
    <row r="3066" ht="14.25" customHeight="1">
      <c r="A3066" s="1" t="s">
        <v>14475</v>
      </c>
      <c r="B3066" s="1" t="s">
        <v>35</v>
      </c>
      <c r="C3066" s="1">
        <v>6.4</v>
      </c>
    </row>
    <row r="3067" ht="14.25" customHeight="1">
      <c r="A3067" s="1" t="s">
        <v>14482</v>
      </c>
      <c r="B3067" s="1" t="s">
        <v>35</v>
      </c>
      <c r="C3067" s="1">
        <v>5.6</v>
      </c>
    </row>
    <row r="3068" ht="14.25" customHeight="1">
      <c r="A3068" s="1" t="s">
        <v>14486</v>
      </c>
      <c r="B3068" s="1" t="s">
        <v>2752</v>
      </c>
      <c r="C3068" s="1">
        <v>8.2</v>
      </c>
    </row>
    <row r="3069" ht="14.25" customHeight="1">
      <c r="A3069" s="1" t="s">
        <v>14493</v>
      </c>
      <c r="B3069" s="1" t="s">
        <v>9061</v>
      </c>
      <c r="C3069" s="1">
        <v>6.5</v>
      </c>
    </row>
    <row r="3070" ht="14.25" customHeight="1">
      <c r="A3070" s="1" t="s">
        <v>14499</v>
      </c>
      <c r="B3070" s="1" t="s">
        <v>14505</v>
      </c>
      <c r="C3070" s="1">
        <v>8.1</v>
      </c>
    </row>
    <row r="3071" ht="14.25" customHeight="1">
      <c r="A3071" s="1" t="s">
        <v>14506</v>
      </c>
      <c r="B3071" s="1" t="s">
        <v>35</v>
      </c>
      <c r="C3071" s="1">
        <v>5.4</v>
      </c>
    </row>
    <row r="3072" ht="14.25" customHeight="1">
      <c r="A3072" s="1" t="s">
        <v>14512</v>
      </c>
      <c r="B3072" s="1" t="s">
        <v>35</v>
      </c>
      <c r="C3072" s="1">
        <v>6.3</v>
      </c>
    </row>
    <row r="3073" ht="14.25" customHeight="1">
      <c r="A3073" s="1" t="s">
        <v>14518</v>
      </c>
      <c r="B3073" s="1" t="s">
        <v>35</v>
      </c>
      <c r="C3073" s="1">
        <v>7.8</v>
      </c>
    </row>
    <row r="3074" ht="14.25" customHeight="1">
      <c r="A3074" s="1" t="s">
        <v>14525</v>
      </c>
      <c r="B3074" s="1" t="s">
        <v>35</v>
      </c>
      <c r="C3074" s="1">
        <v>6.8</v>
      </c>
    </row>
    <row r="3075" ht="14.25" customHeight="1">
      <c r="A3075" s="1" t="s">
        <v>14530</v>
      </c>
      <c r="B3075" s="1" t="s">
        <v>35</v>
      </c>
      <c r="C3075" s="1">
        <v>7.1</v>
      </c>
    </row>
    <row r="3076" ht="14.25" customHeight="1">
      <c r="A3076" s="1" t="s">
        <v>14535</v>
      </c>
      <c r="B3076" s="1" t="s">
        <v>35</v>
      </c>
      <c r="C3076" s="1">
        <v>6.2</v>
      </c>
    </row>
    <row r="3077" ht="14.25" customHeight="1">
      <c r="A3077" s="1" t="s">
        <v>14539</v>
      </c>
      <c r="B3077" s="1" t="s">
        <v>35</v>
      </c>
      <c r="C3077" s="1">
        <v>7.3</v>
      </c>
    </row>
    <row r="3078" ht="14.25" customHeight="1">
      <c r="A3078" s="1" t="s">
        <v>14543</v>
      </c>
      <c r="B3078" s="1" t="s">
        <v>35</v>
      </c>
      <c r="C3078" s="1">
        <v>5.9</v>
      </c>
    </row>
    <row r="3079" ht="14.25" customHeight="1">
      <c r="A3079" s="1" t="s">
        <v>14549</v>
      </c>
      <c r="B3079" s="1" t="s">
        <v>35</v>
      </c>
      <c r="C3079" s="1">
        <v>3.6</v>
      </c>
    </row>
    <row r="3080" ht="14.25" customHeight="1">
      <c r="A3080" s="1" t="s">
        <v>14553</v>
      </c>
      <c r="B3080" s="1" t="s">
        <v>35</v>
      </c>
      <c r="C3080" s="1">
        <v>7.7</v>
      </c>
    </row>
    <row r="3081" ht="14.25" customHeight="1">
      <c r="A3081" s="1" t="s">
        <v>14559</v>
      </c>
      <c r="B3081" s="1" t="s">
        <v>35</v>
      </c>
      <c r="C3081" s="1">
        <v>7.3</v>
      </c>
    </row>
    <row r="3082" ht="14.25" customHeight="1">
      <c r="A3082" s="1" t="s">
        <v>14562</v>
      </c>
      <c r="B3082" s="1" t="s">
        <v>35</v>
      </c>
      <c r="C3082" s="1">
        <v>7.4</v>
      </c>
    </row>
    <row r="3083" ht="14.25" customHeight="1">
      <c r="A3083" s="1" t="s">
        <v>14566</v>
      </c>
      <c r="B3083" s="1" t="s">
        <v>35</v>
      </c>
      <c r="C3083" s="1">
        <v>6.6</v>
      </c>
    </row>
    <row r="3084" ht="14.25" customHeight="1">
      <c r="A3084" s="1" t="s">
        <v>14572</v>
      </c>
      <c r="B3084" s="1" t="s">
        <v>35</v>
      </c>
      <c r="C3084" s="1">
        <v>6.9</v>
      </c>
    </row>
    <row r="3085" ht="14.25" customHeight="1">
      <c r="A3085" s="1" t="s">
        <v>14575</v>
      </c>
      <c r="B3085" s="1" t="s">
        <v>35</v>
      </c>
      <c r="C3085" s="1">
        <v>6.8</v>
      </c>
    </row>
    <row r="3086" ht="14.25" customHeight="1">
      <c r="A3086" s="1" t="s">
        <v>14579</v>
      </c>
      <c r="B3086" s="1" t="s">
        <v>35</v>
      </c>
      <c r="C3086" s="1">
        <v>7.2</v>
      </c>
    </row>
    <row r="3087" ht="14.25" customHeight="1">
      <c r="A3087" s="1" t="s">
        <v>14582</v>
      </c>
      <c r="B3087" s="1" t="s">
        <v>35</v>
      </c>
      <c r="C3087" s="1">
        <v>7.7</v>
      </c>
    </row>
    <row r="3088" ht="14.25" customHeight="1">
      <c r="A3088" s="1" t="s">
        <v>14585</v>
      </c>
      <c r="B3088" s="1" t="s">
        <v>35</v>
      </c>
      <c r="C3088" s="1">
        <v>8.1</v>
      </c>
    </row>
    <row r="3089" ht="14.25" customHeight="1">
      <c r="A3089" s="1" t="s">
        <v>14590</v>
      </c>
      <c r="B3089" s="1" t="s">
        <v>10526</v>
      </c>
      <c r="C3089" s="1">
        <v>7.7</v>
      </c>
    </row>
    <row r="3090" ht="14.25" customHeight="1">
      <c r="A3090" s="1" t="s">
        <v>14595</v>
      </c>
      <c r="B3090" s="1" t="s">
        <v>35</v>
      </c>
      <c r="C3090" s="1">
        <v>7.6</v>
      </c>
    </row>
    <row r="3091" ht="14.25" customHeight="1">
      <c r="A3091" s="1" t="s">
        <v>14600</v>
      </c>
      <c r="B3091" s="1" t="s">
        <v>35</v>
      </c>
      <c r="C3091" s="1">
        <v>7.2</v>
      </c>
    </row>
    <row r="3092" ht="14.25" customHeight="1">
      <c r="A3092" s="1" t="s">
        <v>14603</v>
      </c>
      <c r="B3092" s="1" t="s">
        <v>35</v>
      </c>
      <c r="C3092" s="1">
        <v>7.2</v>
      </c>
    </row>
    <row r="3093" ht="14.25" customHeight="1">
      <c r="A3093" s="1" t="s">
        <v>14608</v>
      </c>
      <c r="B3093" s="1" t="s">
        <v>35</v>
      </c>
      <c r="C3093" s="1">
        <v>8.1</v>
      </c>
    </row>
    <row r="3094" ht="14.25" customHeight="1">
      <c r="A3094" s="1" t="s">
        <v>14611</v>
      </c>
      <c r="B3094" s="1" t="s">
        <v>35</v>
      </c>
      <c r="C3094" s="1">
        <v>7.5</v>
      </c>
    </row>
    <row r="3095" ht="14.25" customHeight="1">
      <c r="A3095" s="1" t="s">
        <v>14619</v>
      </c>
      <c r="B3095" s="1" t="s">
        <v>35</v>
      </c>
      <c r="C3095" s="1">
        <v>8.1</v>
      </c>
    </row>
    <row r="3096" ht="14.25" customHeight="1">
      <c r="A3096" s="1" t="s">
        <v>14627</v>
      </c>
      <c r="B3096" s="1" t="s">
        <v>35</v>
      </c>
      <c r="C3096" s="1">
        <v>7.8</v>
      </c>
    </row>
    <row r="3097" ht="14.25" customHeight="1">
      <c r="A3097" s="1" t="s">
        <v>14634</v>
      </c>
      <c r="B3097" s="1" t="s">
        <v>35</v>
      </c>
      <c r="C3097" s="1">
        <v>7.8</v>
      </c>
    </row>
    <row r="3098" ht="14.25" customHeight="1">
      <c r="A3098" s="1" t="s">
        <v>1550</v>
      </c>
      <c r="B3098" s="1" t="s">
        <v>35</v>
      </c>
      <c r="C3098" s="1">
        <v>5.8</v>
      </c>
    </row>
    <row r="3099" ht="14.25" customHeight="1">
      <c r="A3099" s="1" t="s">
        <v>14638</v>
      </c>
      <c r="B3099" s="1" t="s">
        <v>35</v>
      </c>
      <c r="C3099" s="1">
        <v>7.6</v>
      </c>
    </row>
    <row r="3100" ht="14.25" customHeight="1">
      <c r="A3100" s="1" t="s">
        <v>14645</v>
      </c>
      <c r="B3100" s="1" t="s">
        <v>35</v>
      </c>
      <c r="C3100" s="1">
        <v>7.4</v>
      </c>
    </row>
    <row r="3101" ht="14.25" customHeight="1">
      <c r="A3101" s="1" t="s">
        <v>14650</v>
      </c>
      <c r="B3101" s="1" t="s">
        <v>35</v>
      </c>
      <c r="C3101" s="1">
        <v>6.3</v>
      </c>
    </row>
    <row r="3102" ht="14.25" customHeight="1">
      <c r="A3102" s="1" t="s">
        <v>14653</v>
      </c>
      <c r="B3102" s="1" t="s">
        <v>35</v>
      </c>
      <c r="C3102" s="1">
        <v>6.9</v>
      </c>
    </row>
    <row r="3103" ht="14.25" customHeight="1">
      <c r="A3103" s="1" t="s">
        <v>14656</v>
      </c>
      <c r="B3103" s="1" t="s">
        <v>35</v>
      </c>
      <c r="C3103" s="1">
        <v>8.6</v>
      </c>
    </row>
    <row r="3104" ht="14.25" customHeight="1">
      <c r="A3104" s="1" t="s">
        <v>14659</v>
      </c>
      <c r="B3104" s="1" t="s">
        <v>35</v>
      </c>
      <c r="C3104" s="1">
        <v>5.1</v>
      </c>
    </row>
    <row r="3105" ht="14.25" customHeight="1">
      <c r="A3105" s="1" t="s">
        <v>14666</v>
      </c>
      <c r="B3105" s="1" t="s">
        <v>35</v>
      </c>
      <c r="C3105" s="1">
        <v>6.4</v>
      </c>
    </row>
    <row r="3106" ht="14.25" customHeight="1">
      <c r="A3106" s="1" t="s">
        <v>14670</v>
      </c>
      <c r="B3106" s="1" t="s">
        <v>35</v>
      </c>
      <c r="C3106" s="1">
        <v>7.9</v>
      </c>
    </row>
    <row r="3107" ht="14.25" customHeight="1">
      <c r="A3107" s="1" t="s">
        <v>14676</v>
      </c>
      <c r="B3107" s="1" t="s">
        <v>35</v>
      </c>
      <c r="C3107" s="1">
        <v>6.9</v>
      </c>
    </row>
    <row r="3108" ht="14.25" customHeight="1">
      <c r="A3108" s="1" t="s">
        <v>14681</v>
      </c>
      <c r="B3108" s="1" t="s">
        <v>35</v>
      </c>
      <c r="C3108" s="1">
        <v>7.5</v>
      </c>
    </row>
    <row r="3109" ht="14.25" customHeight="1">
      <c r="A3109" s="1" t="s">
        <v>14684</v>
      </c>
      <c r="B3109" s="1" t="s">
        <v>35</v>
      </c>
      <c r="C3109" s="1">
        <v>7.2</v>
      </c>
    </row>
    <row r="3110" ht="14.25" customHeight="1">
      <c r="A3110" s="1" t="s">
        <v>14688</v>
      </c>
      <c r="B3110" s="1" t="s">
        <v>35</v>
      </c>
      <c r="C3110" s="1">
        <v>5.8</v>
      </c>
    </row>
    <row r="3111" ht="14.25" customHeight="1">
      <c r="A3111" s="1" t="s">
        <v>14693</v>
      </c>
      <c r="B3111" s="1" t="s">
        <v>35</v>
      </c>
      <c r="C3111" s="1">
        <v>2.9</v>
      </c>
    </row>
    <row r="3112" ht="14.25" customHeight="1">
      <c r="A3112" s="1" t="s">
        <v>14696</v>
      </c>
      <c r="B3112" s="1" t="s">
        <v>35</v>
      </c>
      <c r="C3112" s="1">
        <v>6.2</v>
      </c>
    </row>
    <row r="3113" ht="14.25" customHeight="1">
      <c r="A3113" s="1" t="s">
        <v>14699</v>
      </c>
      <c r="B3113" s="1" t="s">
        <v>35</v>
      </c>
      <c r="C3113" s="1">
        <v>6.8</v>
      </c>
    </row>
    <row r="3114" ht="14.25" customHeight="1">
      <c r="A3114" s="1" t="s">
        <v>14704</v>
      </c>
      <c r="B3114" s="1" t="s">
        <v>35</v>
      </c>
      <c r="C3114" s="1">
        <v>6.1</v>
      </c>
    </row>
    <row r="3115" ht="14.25" customHeight="1">
      <c r="A3115" s="1" t="s">
        <v>14709</v>
      </c>
      <c r="B3115" s="1" t="s">
        <v>35</v>
      </c>
      <c r="C3115" s="1">
        <v>7.7</v>
      </c>
    </row>
    <row r="3116" ht="14.25" customHeight="1">
      <c r="A3116" s="1" t="s">
        <v>14714</v>
      </c>
      <c r="B3116" s="1" t="s">
        <v>35</v>
      </c>
      <c r="C3116" s="1">
        <v>5.2</v>
      </c>
    </row>
    <row r="3117" ht="14.25" customHeight="1">
      <c r="A3117" s="1" t="s">
        <v>14718</v>
      </c>
      <c r="B3117" s="1" t="s">
        <v>35</v>
      </c>
      <c r="C3117" s="1">
        <v>6.8</v>
      </c>
    </row>
    <row r="3118" ht="14.25" customHeight="1">
      <c r="A3118" s="1" t="s">
        <v>14724</v>
      </c>
      <c r="B3118" s="1" t="s">
        <v>35</v>
      </c>
      <c r="C3118" s="1">
        <v>7.0</v>
      </c>
    </row>
    <row r="3119" ht="14.25" customHeight="1">
      <c r="A3119" s="1" t="s">
        <v>14729</v>
      </c>
      <c r="B3119" s="1" t="s">
        <v>35</v>
      </c>
      <c r="C3119" s="1">
        <v>5.9</v>
      </c>
    </row>
    <row r="3120" ht="14.25" customHeight="1">
      <c r="A3120" s="1" t="s">
        <v>14733</v>
      </c>
      <c r="B3120" s="1" t="s">
        <v>35</v>
      </c>
      <c r="C3120" s="1">
        <v>7.1</v>
      </c>
    </row>
    <row r="3121" ht="14.25" customHeight="1">
      <c r="A3121" s="1" t="s">
        <v>14737</v>
      </c>
      <c r="B3121" s="1" t="s">
        <v>2648</v>
      </c>
      <c r="C3121" s="1">
        <v>5.5</v>
      </c>
    </row>
    <row r="3122" ht="14.25" customHeight="1">
      <c r="A3122" s="1" t="s">
        <v>14742</v>
      </c>
      <c r="B3122" s="1" t="s">
        <v>35</v>
      </c>
      <c r="C3122" s="1">
        <v>7.4</v>
      </c>
    </row>
    <row r="3123" ht="14.25" customHeight="1">
      <c r="A3123" s="1" t="s">
        <v>14747</v>
      </c>
      <c r="B3123" s="1" t="s">
        <v>35</v>
      </c>
      <c r="C3123" s="1">
        <v>7.3</v>
      </c>
    </row>
    <row r="3124" ht="14.25" customHeight="1">
      <c r="A3124" s="1" t="s">
        <v>14752</v>
      </c>
      <c r="B3124" s="1" t="s">
        <v>35</v>
      </c>
      <c r="C3124" s="1">
        <v>4.6</v>
      </c>
    </row>
    <row r="3125" ht="14.25" customHeight="1">
      <c r="A3125" s="1" t="s">
        <v>14755</v>
      </c>
      <c r="B3125" s="1" t="s">
        <v>35</v>
      </c>
      <c r="C3125" s="1">
        <v>7.2</v>
      </c>
    </row>
    <row r="3126" ht="14.25" customHeight="1">
      <c r="A3126" s="1" t="s">
        <v>14759</v>
      </c>
      <c r="B3126" s="1" t="s">
        <v>35</v>
      </c>
      <c r="C3126" s="1">
        <v>5.1</v>
      </c>
    </row>
    <row r="3127" ht="14.25" customHeight="1">
      <c r="A3127" s="1" t="s">
        <v>14766</v>
      </c>
      <c r="B3127" s="1" t="s">
        <v>35</v>
      </c>
      <c r="C3127" s="1">
        <v>6.7</v>
      </c>
    </row>
    <row r="3128" ht="14.25" customHeight="1">
      <c r="A3128" s="1" t="s">
        <v>14770</v>
      </c>
      <c r="B3128" s="1" t="s">
        <v>35</v>
      </c>
      <c r="C3128" s="1">
        <v>5.3</v>
      </c>
    </row>
    <row r="3129" ht="14.25" customHeight="1">
      <c r="A3129" s="1" t="s">
        <v>14775</v>
      </c>
      <c r="B3129" s="1" t="s">
        <v>35</v>
      </c>
      <c r="C3129" s="1">
        <v>7.8</v>
      </c>
    </row>
    <row r="3130" ht="14.25" customHeight="1">
      <c r="A3130" s="1" t="s">
        <v>14780</v>
      </c>
      <c r="B3130" s="1" t="s">
        <v>35</v>
      </c>
      <c r="C3130" s="1">
        <v>6.7</v>
      </c>
    </row>
    <row r="3131" ht="14.25" customHeight="1">
      <c r="A3131" s="1" t="s">
        <v>14786</v>
      </c>
      <c r="B3131" s="1" t="s">
        <v>35</v>
      </c>
      <c r="C3131" s="1">
        <v>7.2</v>
      </c>
    </row>
    <row r="3132" ht="14.25" customHeight="1">
      <c r="A3132" s="1" t="s">
        <v>14790</v>
      </c>
      <c r="B3132" s="1" t="s">
        <v>35</v>
      </c>
      <c r="C3132" s="1">
        <v>5.8</v>
      </c>
    </row>
    <row r="3133" ht="14.25" customHeight="1">
      <c r="A3133" s="1" t="s">
        <v>14795</v>
      </c>
      <c r="B3133" s="1" t="s">
        <v>35</v>
      </c>
      <c r="C3133" s="1">
        <v>7.0</v>
      </c>
    </row>
    <row r="3134" ht="14.25" customHeight="1">
      <c r="A3134" s="1" t="s">
        <v>14799</v>
      </c>
      <c r="B3134" s="1" t="s">
        <v>35</v>
      </c>
      <c r="C3134" s="1">
        <v>3.8</v>
      </c>
    </row>
    <row r="3135" ht="14.25" customHeight="1">
      <c r="A3135" s="1" t="s">
        <v>14805</v>
      </c>
      <c r="B3135" s="1" t="s">
        <v>35</v>
      </c>
      <c r="C3135" s="1">
        <v>5.7</v>
      </c>
    </row>
    <row r="3136" ht="14.25" customHeight="1">
      <c r="A3136" s="1" t="s">
        <v>14810</v>
      </c>
      <c r="B3136" s="1" t="s">
        <v>35</v>
      </c>
      <c r="C3136" s="1">
        <v>6.7</v>
      </c>
    </row>
    <row r="3137" ht="14.25" customHeight="1">
      <c r="A3137" s="1" t="s">
        <v>14814</v>
      </c>
      <c r="B3137" s="1" t="s">
        <v>35</v>
      </c>
      <c r="C3137" s="1">
        <v>6.2</v>
      </c>
    </row>
    <row r="3138" ht="14.25" customHeight="1">
      <c r="A3138" s="1" t="s">
        <v>14819</v>
      </c>
      <c r="B3138" s="1" t="s">
        <v>35</v>
      </c>
      <c r="C3138" s="1">
        <v>6.2</v>
      </c>
    </row>
    <row r="3139" ht="14.25" customHeight="1">
      <c r="A3139" s="1" t="s">
        <v>14824</v>
      </c>
      <c r="B3139" s="1" t="s">
        <v>35</v>
      </c>
      <c r="C3139" s="1">
        <v>4.7</v>
      </c>
    </row>
    <row r="3140" ht="14.25" customHeight="1">
      <c r="A3140" s="1" t="s">
        <v>14827</v>
      </c>
      <c r="B3140" s="1" t="s">
        <v>35</v>
      </c>
      <c r="C3140" s="1">
        <v>6.3</v>
      </c>
    </row>
    <row r="3141" ht="14.25" customHeight="1">
      <c r="A3141" s="1" t="s">
        <v>14831</v>
      </c>
      <c r="B3141" s="1" t="s">
        <v>2752</v>
      </c>
      <c r="C3141" s="1">
        <v>7.3</v>
      </c>
    </row>
    <row r="3142" ht="14.25" customHeight="1">
      <c r="A3142" s="1" t="s">
        <v>5035</v>
      </c>
      <c r="B3142" s="1" t="s">
        <v>35</v>
      </c>
      <c r="C3142" s="1">
        <v>6.1</v>
      </c>
    </row>
    <row r="3143" ht="14.25" customHeight="1">
      <c r="A3143" s="1" t="s">
        <v>14836</v>
      </c>
      <c r="B3143" s="1" t="s">
        <v>9646</v>
      </c>
      <c r="C3143" s="1">
        <v>7.1</v>
      </c>
    </row>
    <row r="3144" ht="14.25" customHeight="1">
      <c r="A3144" s="1" t="s">
        <v>14843</v>
      </c>
      <c r="B3144" s="1" t="s">
        <v>11946</v>
      </c>
      <c r="C3144" s="1">
        <v>7.1</v>
      </c>
    </row>
    <row r="3145" ht="14.25" customHeight="1">
      <c r="A3145" s="1" t="s">
        <v>14849</v>
      </c>
      <c r="B3145" s="1" t="s">
        <v>35</v>
      </c>
      <c r="C3145" s="1">
        <v>6.7</v>
      </c>
    </row>
    <row r="3146" ht="14.25" customHeight="1">
      <c r="A3146" s="1" t="s">
        <v>14853</v>
      </c>
      <c r="B3146" s="1" t="s">
        <v>35</v>
      </c>
      <c r="C3146" s="1">
        <v>6.9</v>
      </c>
    </row>
    <row r="3147" ht="14.25" customHeight="1">
      <c r="A3147" s="1" t="s">
        <v>14857</v>
      </c>
      <c r="B3147" s="1" t="s">
        <v>35</v>
      </c>
      <c r="C3147" s="1">
        <v>2.1</v>
      </c>
    </row>
    <row r="3148" ht="14.25" customHeight="1">
      <c r="A3148" s="1" t="s">
        <v>14864</v>
      </c>
      <c r="B3148" s="1" t="s">
        <v>2648</v>
      </c>
      <c r="C3148" s="1">
        <v>6.6</v>
      </c>
    </row>
    <row r="3149" ht="14.25" customHeight="1">
      <c r="A3149" s="1" t="s">
        <v>14870</v>
      </c>
      <c r="B3149" s="1" t="s">
        <v>35</v>
      </c>
      <c r="C3149" s="1">
        <v>8.3</v>
      </c>
    </row>
    <row r="3150" ht="14.25" customHeight="1">
      <c r="A3150" s="1" t="s">
        <v>14873</v>
      </c>
      <c r="B3150" s="1" t="s">
        <v>35</v>
      </c>
      <c r="C3150" s="1">
        <v>7.2</v>
      </c>
    </row>
    <row r="3151" ht="14.25" customHeight="1">
      <c r="A3151" s="1" t="s">
        <v>14877</v>
      </c>
      <c r="B3151" s="1" t="s">
        <v>35</v>
      </c>
      <c r="C3151" s="1">
        <v>5.6</v>
      </c>
    </row>
    <row r="3152" ht="14.25" customHeight="1">
      <c r="A3152" s="1" t="s">
        <v>14881</v>
      </c>
      <c r="B3152" s="1" t="s">
        <v>35</v>
      </c>
      <c r="C3152" s="1">
        <v>7.7</v>
      </c>
    </row>
    <row r="3153" ht="14.25" customHeight="1">
      <c r="A3153" s="1" t="s">
        <v>14885</v>
      </c>
      <c r="B3153" s="1" t="s">
        <v>35</v>
      </c>
      <c r="C3153" s="1">
        <v>6.6</v>
      </c>
    </row>
    <row r="3154" ht="14.25" customHeight="1">
      <c r="A3154" s="1" t="s">
        <v>14889</v>
      </c>
      <c r="B3154" s="1" t="s">
        <v>35</v>
      </c>
      <c r="C3154" s="1">
        <v>7.4</v>
      </c>
    </row>
    <row r="3155" ht="14.25" customHeight="1">
      <c r="A3155" s="1" t="s">
        <v>14892</v>
      </c>
      <c r="B3155" s="1" t="s">
        <v>35</v>
      </c>
      <c r="C3155" s="1">
        <v>7.1</v>
      </c>
    </row>
    <row r="3156" ht="14.25" customHeight="1">
      <c r="A3156" s="1" t="s">
        <v>14896</v>
      </c>
      <c r="B3156" s="1" t="s">
        <v>2752</v>
      </c>
      <c r="C3156" s="1">
        <v>7.9</v>
      </c>
    </row>
    <row r="3157" ht="14.25" customHeight="1">
      <c r="A3157" s="1" t="s">
        <v>14903</v>
      </c>
      <c r="B3157" s="1" t="s">
        <v>35</v>
      </c>
      <c r="C3157" s="1">
        <v>6.7</v>
      </c>
    </row>
    <row r="3158" ht="14.25" customHeight="1">
      <c r="A3158" s="1" t="s">
        <v>14909</v>
      </c>
      <c r="B3158" s="1" t="s">
        <v>35</v>
      </c>
      <c r="C3158" s="1">
        <v>6.6</v>
      </c>
    </row>
    <row r="3159" ht="14.25" customHeight="1">
      <c r="A3159" s="1" t="s">
        <v>14913</v>
      </c>
      <c r="B3159" s="1" t="s">
        <v>35</v>
      </c>
      <c r="C3159" s="1">
        <v>7.9</v>
      </c>
    </row>
    <row r="3160" ht="14.25" customHeight="1">
      <c r="A3160" s="1" t="s">
        <v>14918</v>
      </c>
      <c r="B3160" s="1" t="s">
        <v>35</v>
      </c>
      <c r="C3160" s="1">
        <v>4.9</v>
      </c>
    </row>
    <row r="3161" ht="14.25" customHeight="1">
      <c r="A3161" s="1" t="s">
        <v>14922</v>
      </c>
      <c r="B3161" s="1" t="s">
        <v>2752</v>
      </c>
      <c r="C3161" s="1">
        <v>7.2</v>
      </c>
    </row>
    <row r="3162" ht="14.25" customHeight="1">
      <c r="A3162" s="1" t="s">
        <v>14930</v>
      </c>
      <c r="B3162" s="1" t="s">
        <v>7281</v>
      </c>
      <c r="C3162" s="1">
        <v>6.1</v>
      </c>
    </row>
    <row r="3163" ht="14.25" customHeight="1">
      <c r="A3163" s="1" t="s">
        <v>14936</v>
      </c>
      <c r="B3163" s="1" t="s">
        <v>35</v>
      </c>
      <c r="C3163" s="1">
        <v>5.3</v>
      </c>
    </row>
    <row r="3164" ht="14.25" customHeight="1">
      <c r="A3164" s="1" t="s">
        <v>14942</v>
      </c>
      <c r="B3164" s="1" t="s">
        <v>35</v>
      </c>
      <c r="C3164" s="1">
        <v>5.0</v>
      </c>
    </row>
    <row r="3165" ht="14.25" customHeight="1">
      <c r="A3165" s="1" t="s">
        <v>14946</v>
      </c>
      <c r="B3165" s="1" t="s">
        <v>14952</v>
      </c>
      <c r="C3165" s="1">
        <v>7.6</v>
      </c>
    </row>
    <row r="3166" ht="14.25" customHeight="1">
      <c r="A3166" s="1" t="s">
        <v>14955</v>
      </c>
      <c r="B3166" s="1" t="s">
        <v>35</v>
      </c>
      <c r="C3166" s="1">
        <v>7.6</v>
      </c>
    </row>
    <row r="3167" ht="14.25" customHeight="1">
      <c r="A3167" s="1" t="s">
        <v>14960</v>
      </c>
      <c r="B3167" s="1" t="s">
        <v>35</v>
      </c>
      <c r="C3167" s="1">
        <v>6.6</v>
      </c>
    </row>
    <row r="3168" ht="14.25" customHeight="1">
      <c r="A3168" s="1" t="s">
        <v>14963</v>
      </c>
      <c r="B3168" s="1" t="s">
        <v>35</v>
      </c>
      <c r="C3168" s="1">
        <v>6.6</v>
      </c>
    </row>
    <row r="3169" ht="14.25" customHeight="1">
      <c r="A3169" s="1" t="s">
        <v>14967</v>
      </c>
      <c r="B3169" s="1" t="s">
        <v>35</v>
      </c>
      <c r="C3169" s="1">
        <v>7.3</v>
      </c>
    </row>
    <row r="3170" ht="14.25" customHeight="1">
      <c r="A3170" s="1" t="s">
        <v>14972</v>
      </c>
      <c r="B3170" s="1" t="s">
        <v>35</v>
      </c>
      <c r="C3170" s="1">
        <v>6.6</v>
      </c>
    </row>
    <row r="3171" ht="14.25" customHeight="1">
      <c r="A3171" s="1" t="s">
        <v>14977</v>
      </c>
      <c r="B3171" s="1" t="s">
        <v>35</v>
      </c>
      <c r="C3171" s="1">
        <v>6.9</v>
      </c>
    </row>
    <row r="3172" ht="14.25" customHeight="1">
      <c r="A3172" s="1" t="s">
        <v>14982</v>
      </c>
      <c r="B3172" s="1" t="s">
        <v>35</v>
      </c>
      <c r="C3172" s="1">
        <v>5.8</v>
      </c>
    </row>
    <row r="3173" ht="14.25" customHeight="1">
      <c r="A3173" s="1" t="s">
        <v>14987</v>
      </c>
      <c r="B3173" s="1" t="s">
        <v>35</v>
      </c>
      <c r="C3173" s="1">
        <v>4.4</v>
      </c>
    </row>
    <row r="3174" ht="14.25" customHeight="1">
      <c r="A3174" s="1" t="s">
        <v>14992</v>
      </c>
      <c r="B3174" s="1" t="s">
        <v>35</v>
      </c>
      <c r="C3174" s="1">
        <v>6.6</v>
      </c>
    </row>
    <row r="3175" ht="14.25" customHeight="1">
      <c r="A3175" s="1" t="s">
        <v>13369</v>
      </c>
      <c r="B3175" s="1" t="s">
        <v>35</v>
      </c>
      <c r="C3175" s="1">
        <v>7.1</v>
      </c>
    </row>
    <row r="3176" ht="14.25" customHeight="1">
      <c r="A3176" s="1" t="s">
        <v>14998</v>
      </c>
      <c r="B3176" s="1" t="s">
        <v>2648</v>
      </c>
      <c r="C3176" s="1">
        <v>7.6</v>
      </c>
    </row>
    <row r="3177" ht="14.25" customHeight="1">
      <c r="A3177" s="1" t="s">
        <v>15003</v>
      </c>
      <c r="B3177" s="1" t="s">
        <v>35</v>
      </c>
      <c r="C3177" s="1">
        <v>4.6</v>
      </c>
    </row>
    <row r="3178" ht="14.25" customHeight="1">
      <c r="A3178" s="1" t="s">
        <v>15010</v>
      </c>
      <c r="B3178" s="1" t="s">
        <v>35</v>
      </c>
      <c r="C3178" s="1">
        <v>6.8</v>
      </c>
    </row>
    <row r="3179" ht="14.25" customHeight="1">
      <c r="A3179" s="1" t="s">
        <v>15014</v>
      </c>
      <c r="B3179" s="1" t="s">
        <v>35</v>
      </c>
      <c r="C3179" s="1">
        <v>4.9</v>
      </c>
    </row>
    <row r="3180" ht="14.25" customHeight="1">
      <c r="A3180" s="1" t="s">
        <v>15018</v>
      </c>
      <c r="B3180" s="1" t="s">
        <v>35</v>
      </c>
      <c r="C3180" s="1">
        <v>7.3</v>
      </c>
    </row>
    <row r="3181" ht="14.25" customHeight="1">
      <c r="A3181" s="1" t="s">
        <v>15022</v>
      </c>
      <c r="B3181" s="1" t="s">
        <v>35</v>
      </c>
      <c r="C3181" s="1">
        <v>5.0</v>
      </c>
    </row>
    <row r="3182" ht="14.25" customHeight="1">
      <c r="A3182" s="1" t="s">
        <v>15028</v>
      </c>
      <c r="B3182" s="1" t="s">
        <v>35</v>
      </c>
      <c r="C3182" s="1">
        <v>8.0</v>
      </c>
    </row>
    <row r="3183" ht="14.25" customHeight="1">
      <c r="A3183" s="1" t="s">
        <v>15032</v>
      </c>
      <c r="B3183" s="1" t="s">
        <v>35</v>
      </c>
      <c r="C3183" s="1">
        <v>5.2</v>
      </c>
    </row>
    <row r="3184" ht="14.25" customHeight="1">
      <c r="A3184" s="1" t="s">
        <v>15035</v>
      </c>
      <c r="B3184" s="1" t="s">
        <v>35</v>
      </c>
      <c r="C3184" s="1">
        <v>8.5</v>
      </c>
    </row>
    <row r="3185" ht="14.25" customHeight="1">
      <c r="A3185" s="1" t="s">
        <v>15040</v>
      </c>
      <c r="B3185" s="1" t="s">
        <v>35</v>
      </c>
      <c r="C3185" s="1">
        <v>6.5</v>
      </c>
    </row>
    <row r="3186" ht="14.25" customHeight="1">
      <c r="A3186" s="1" t="s">
        <v>15045</v>
      </c>
      <c r="B3186" s="1" t="s">
        <v>35</v>
      </c>
      <c r="C3186" s="1">
        <v>7.4</v>
      </c>
    </row>
    <row r="3187" ht="14.25" customHeight="1">
      <c r="A3187" s="1" t="s">
        <v>15049</v>
      </c>
      <c r="B3187" s="1" t="s">
        <v>35</v>
      </c>
      <c r="C3187" s="1">
        <v>7.7</v>
      </c>
    </row>
    <row r="3188" ht="14.25" customHeight="1">
      <c r="A3188" s="1" t="s">
        <v>15053</v>
      </c>
      <c r="B3188" s="1" t="s">
        <v>35</v>
      </c>
      <c r="C3188" s="1">
        <v>7.4</v>
      </c>
    </row>
    <row r="3189" ht="14.25" customHeight="1">
      <c r="A3189" s="1" t="s">
        <v>15057</v>
      </c>
      <c r="B3189" s="1" t="s">
        <v>35</v>
      </c>
      <c r="C3189" s="1">
        <v>5.1</v>
      </c>
    </row>
    <row r="3190" ht="14.25" customHeight="1">
      <c r="A3190" s="1" t="s">
        <v>15063</v>
      </c>
      <c r="B3190" s="1" t="s">
        <v>35</v>
      </c>
      <c r="C3190" s="1">
        <v>5.0</v>
      </c>
    </row>
    <row r="3191" ht="14.25" customHeight="1">
      <c r="A3191" s="1" t="s">
        <v>15068</v>
      </c>
      <c r="B3191" s="1" t="s">
        <v>35</v>
      </c>
      <c r="C3191" s="1">
        <v>7.2</v>
      </c>
    </row>
    <row r="3192" ht="14.25" customHeight="1">
      <c r="A3192" s="1" t="s">
        <v>15074</v>
      </c>
      <c r="B3192" s="1" t="s">
        <v>35</v>
      </c>
      <c r="C3192" s="1">
        <v>6.4</v>
      </c>
    </row>
    <row r="3193" ht="14.25" customHeight="1">
      <c r="A3193" s="1" t="s">
        <v>15078</v>
      </c>
      <c r="B3193" s="1" t="s">
        <v>35</v>
      </c>
      <c r="C3193" s="1">
        <v>5.6</v>
      </c>
    </row>
    <row r="3194" ht="14.25" customHeight="1">
      <c r="A3194" s="1" t="s">
        <v>13057</v>
      </c>
      <c r="B3194" s="1" t="s">
        <v>35</v>
      </c>
      <c r="C3194" s="1">
        <v>6.2</v>
      </c>
    </row>
    <row r="3195" ht="14.25" customHeight="1">
      <c r="A3195" s="1" t="s">
        <v>15083</v>
      </c>
      <c r="B3195" s="1" t="s">
        <v>35</v>
      </c>
      <c r="C3195" s="1">
        <v>6.1</v>
      </c>
    </row>
    <row r="3196" ht="14.25" customHeight="1">
      <c r="A3196" s="1" t="s">
        <v>15088</v>
      </c>
      <c r="B3196" s="1" t="s">
        <v>2648</v>
      </c>
      <c r="C3196" s="1">
        <v>5.2</v>
      </c>
    </row>
    <row r="3197" ht="14.25" customHeight="1">
      <c r="A3197" s="1" t="s">
        <v>15093</v>
      </c>
      <c r="B3197" s="1" t="s">
        <v>35</v>
      </c>
      <c r="C3197" s="1">
        <v>7.3</v>
      </c>
    </row>
    <row r="3198" ht="14.25" customHeight="1">
      <c r="A3198" s="1" t="s">
        <v>15097</v>
      </c>
      <c r="B3198" s="1" t="s">
        <v>35</v>
      </c>
      <c r="C3198" s="1">
        <v>7.5</v>
      </c>
    </row>
    <row r="3199" ht="14.25" customHeight="1">
      <c r="A3199" s="1" t="s">
        <v>15101</v>
      </c>
      <c r="B3199" s="1" t="s">
        <v>35</v>
      </c>
      <c r="C3199" s="1">
        <v>4.5</v>
      </c>
    </row>
    <row r="3200" ht="14.25" customHeight="1">
      <c r="A3200" s="1" t="s">
        <v>15107</v>
      </c>
      <c r="B3200" s="1" t="s">
        <v>35</v>
      </c>
      <c r="C3200" s="1">
        <v>6.6</v>
      </c>
    </row>
    <row r="3201" ht="14.25" customHeight="1">
      <c r="A3201" s="1" t="s">
        <v>15110</v>
      </c>
      <c r="B3201" s="1" t="s">
        <v>35</v>
      </c>
      <c r="C3201" s="1">
        <v>5.3</v>
      </c>
    </row>
    <row r="3202" ht="14.25" customHeight="1">
      <c r="A3202" s="1" t="s">
        <v>15115</v>
      </c>
      <c r="B3202" s="1" t="s">
        <v>35</v>
      </c>
      <c r="C3202" s="1">
        <v>4.9</v>
      </c>
    </row>
    <row r="3203" ht="14.25" customHeight="1">
      <c r="A3203" s="1" t="s">
        <v>15119</v>
      </c>
      <c r="B3203" s="1" t="s">
        <v>2648</v>
      </c>
      <c r="C3203" s="1">
        <v>7.7</v>
      </c>
    </row>
    <row r="3204" ht="14.25" customHeight="1">
      <c r="A3204" s="1" t="s">
        <v>15124</v>
      </c>
      <c r="B3204" s="1" t="s">
        <v>35</v>
      </c>
      <c r="C3204" s="1">
        <v>8.0</v>
      </c>
    </row>
    <row r="3205" ht="14.25" customHeight="1">
      <c r="A3205" s="1" t="s">
        <v>15129</v>
      </c>
      <c r="B3205" s="1" t="s">
        <v>35</v>
      </c>
      <c r="C3205" s="1">
        <v>3.8</v>
      </c>
    </row>
    <row r="3206" ht="14.25" customHeight="1">
      <c r="A3206" s="1" t="s">
        <v>15134</v>
      </c>
      <c r="B3206" s="1" t="s">
        <v>35</v>
      </c>
      <c r="C3206" s="1">
        <v>7.6</v>
      </c>
    </row>
    <row r="3207" ht="14.25" customHeight="1">
      <c r="A3207" s="1" t="s">
        <v>15138</v>
      </c>
      <c r="B3207" s="1" t="s">
        <v>35</v>
      </c>
      <c r="C3207" s="1">
        <v>5.9</v>
      </c>
    </row>
    <row r="3208" ht="14.25" customHeight="1">
      <c r="A3208" s="1" t="s">
        <v>15144</v>
      </c>
      <c r="B3208" s="1" t="s">
        <v>35</v>
      </c>
      <c r="C3208" s="1">
        <v>6.2</v>
      </c>
    </row>
    <row r="3209" ht="14.25" customHeight="1">
      <c r="A3209" s="1" t="s">
        <v>15149</v>
      </c>
      <c r="B3209" s="1" t="s">
        <v>35</v>
      </c>
      <c r="C3209" s="1">
        <v>7.2</v>
      </c>
    </row>
    <row r="3210" ht="14.25" customHeight="1">
      <c r="A3210" s="1" t="s">
        <v>15153</v>
      </c>
      <c r="B3210" s="1" t="s">
        <v>35</v>
      </c>
      <c r="C3210" s="1">
        <v>6.3</v>
      </c>
    </row>
    <row r="3211" ht="14.25" customHeight="1">
      <c r="A3211" s="1" t="s">
        <v>15159</v>
      </c>
      <c r="B3211" s="1" t="s">
        <v>35</v>
      </c>
      <c r="C3211" s="1">
        <v>5.2</v>
      </c>
    </row>
    <row r="3212" ht="14.25" customHeight="1">
      <c r="A3212" s="1" t="s">
        <v>15165</v>
      </c>
      <c r="B3212" s="1" t="s">
        <v>35</v>
      </c>
      <c r="C3212" s="1">
        <v>6.9</v>
      </c>
    </row>
    <row r="3213" ht="14.25" customHeight="1">
      <c r="A3213" s="1" t="s">
        <v>15168</v>
      </c>
      <c r="B3213" s="1" t="s">
        <v>35</v>
      </c>
      <c r="C3213" s="1">
        <v>6.8</v>
      </c>
    </row>
    <row r="3214" ht="14.25" customHeight="1">
      <c r="A3214" s="1" t="s">
        <v>15174</v>
      </c>
      <c r="B3214" s="1" t="s">
        <v>35</v>
      </c>
      <c r="C3214" s="1">
        <v>6.1</v>
      </c>
    </row>
    <row r="3215" ht="14.25" customHeight="1">
      <c r="A3215" s="1" t="s">
        <v>15178</v>
      </c>
      <c r="B3215" s="1" t="s">
        <v>35</v>
      </c>
      <c r="C3215" s="1">
        <v>5.9</v>
      </c>
    </row>
    <row r="3216" ht="14.25" customHeight="1">
      <c r="A3216" s="1" t="s">
        <v>15185</v>
      </c>
      <c r="B3216" s="1" t="s">
        <v>35</v>
      </c>
      <c r="C3216" s="1">
        <v>6.9</v>
      </c>
    </row>
    <row r="3217" ht="14.25" customHeight="1">
      <c r="A3217" s="1" t="s">
        <v>15189</v>
      </c>
      <c r="B3217" s="1" t="s">
        <v>2752</v>
      </c>
      <c r="C3217" s="1">
        <v>7.7</v>
      </c>
    </row>
    <row r="3218" ht="14.25" customHeight="1">
      <c r="A3218" s="1" t="s">
        <v>15196</v>
      </c>
      <c r="B3218" s="1" t="s">
        <v>35</v>
      </c>
      <c r="C3218" s="1">
        <v>5.3</v>
      </c>
    </row>
    <row r="3219" ht="14.25" customHeight="1">
      <c r="A3219" s="1" t="s">
        <v>15200</v>
      </c>
      <c r="B3219" s="1" t="s">
        <v>35</v>
      </c>
      <c r="C3219" s="1">
        <v>7.0</v>
      </c>
    </row>
    <row r="3220" ht="14.25" customHeight="1">
      <c r="A3220" s="1" t="s">
        <v>15205</v>
      </c>
      <c r="B3220" s="1" t="s">
        <v>35</v>
      </c>
      <c r="C3220" s="1">
        <v>6.6</v>
      </c>
    </row>
    <row r="3221" ht="14.25" customHeight="1">
      <c r="A3221" s="1" t="s">
        <v>15209</v>
      </c>
      <c r="B3221" s="1" t="s">
        <v>35</v>
      </c>
      <c r="C3221" s="1">
        <v>6.4</v>
      </c>
    </row>
    <row r="3222" ht="14.25" customHeight="1">
      <c r="A3222" s="1" t="s">
        <v>15213</v>
      </c>
      <c r="B3222" s="1" t="s">
        <v>35</v>
      </c>
      <c r="C3222" s="1">
        <v>7.9</v>
      </c>
    </row>
    <row r="3223" ht="14.25" customHeight="1">
      <c r="A3223" s="1" t="s">
        <v>15217</v>
      </c>
      <c r="B3223" s="1" t="s">
        <v>35</v>
      </c>
      <c r="C3223" s="1">
        <v>7.7</v>
      </c>
    </row>
    <row r="3224" ht="14.25" customHeight="1">
      <c r="A3224" s="1" t="s">
        <v>15222</v>
      </c>
      <c r="B3224" s="1" t="s">
        <v>2752</v>
      </c>
      <c r="C3224" s="1">
        <v>7.2</v>
      </c>
    </row>
    <row r="3225" ht="14.25" customHeight="1">
      <c r="A3225" s="1" t="s">
        <v>15227</v>
      </c>
      <c r="B3225" s="1" t="s">
        <v>35</v>
      </c>
      <c r="C3225" s="1">
        <v>6.8</v>
      </c>
    </row>
    <row r="3226" ht="14.25" customHeight="1">
      <c r="A3226" s="1" t="s">
        <v>15230</v>
      </c>
      <c r="B3226" s="1" t="s">
        <v>35</v>
      </c>
      <c r="C3226" s="1">
        <v>7.4</v>
      </c>
    </row>
    <row r="3227" ht="14.25" customHeight="1">
      <c r="A3227" s="1" t="s">
        <v>15235</v>
      </c>
      <c r="B3227" s="1" t="s">
        <v>35</v>
      </c>
      <c r="C3227" s="1">
        <v>4.6</v>
      </c>
    </row>
    <row r="3228" ht="14.25" customHeight="1">
      <c r="A3228" s="1" t="s">
        <v>15241</v>
      </c>
      <c r="B3228" s="1" t="s">
        <v>35</v>
      </c>
      <c r="C3228" s="1">
        <v>6.4</v>
      </c>
    </row>
    <row r="3229" ht="14.25" customHeight="1">
      <c r="A3229" s="1" t="s">
        <v>15245</v>
      </c>
      <c r="B3229" s="1" t="s">
        <v>35</v>
      </c>
      <c r="C3229" s="1">
        <v>7.0</v>
      </c>
    </row>
    <row r="3230" ht="14.25" customHeight="1">
      <c r="A3230" s="1" t="s">
        <v>15249</v>
      </c>
      <c r="B3230" s="1" t="s">
        <v>35</v>
      </c>
      <c r="C3230" s="1">
        <v>7.7</v>
      </c>
    </row>
    <row r="3231" ht="14.25" customHeight="1">
      <c r="A3231" s="1" t="s">
        <v>15252</v>
      </c>
      <c r="B3231" s="1" t="s">
        <v>35</v>
      </c>
      <c r="C3231" s="1">
        <v>6.8</v>
      </c>
    </row>
    <row r="3232" ht="14.25" customHeight="1">
      <c r="A3232" s="1" t="s">
        <v>15256</v>
      </c>
      <c r="B3232" s="1" t="s">
        <v>35</v>
      </c>
      <c r="C3232" s="1">
        <v>7.0</v>
      </c>
    </row>
    <row r="3233" ht="14.25" customHeight="1">
      <c r="A3233" s="1" t="s">
        <v>15260</v>
      </c>
      <c r="B3233" s="1" t="s">
        <v>35</v>
      </c>
      <c r="C3233" s="1">
        <v>7.0</v>
      </c>
    </row>
    <row r="3234" ht="14.25" customHeight="1">
      <c r="A3234" s="1" t="s">
        <v>15264</v>
      </c>
      <c r="B3234" s="1" t="s">
        <v>35</v>
      </c>
      <c r="C3234" s="1">
        <v>6.3</v>
      </c>
    </row>
    <row r="3235" ht="14.25" customHeight="1">
      <c r="A3235" s="1" t="s">
        <v>15269</v>
      </c>
      <c r="B3235" s="1" t="s">
        <v>35</v>
      </c>
      <c r="C3235" s="1">
        <v>7.1</v>
      </c>
    </row>
    <row r="3236" ht="14.25" customHeight="1">
      <c r="A3236" s="1" t="s">
        <v>15274</v>
      </c>
      <c r="B3236" s="1" t="s">
        <v>35</v>
      </c>
      <c r="C3236" s="1">
        <v>7.1</v>
      </c>
    </row>
    <row r="3237" ht="14.25" customHeight="1">
      <c r="A3237" s="1" t="s">
        <v>15279</v>
      </c>
      <c r="B3237" s="1" t="s">
        <v>35</v>
      </c>
      <c r="C3237" s="1">
        <v>6.1</v>
      </c>
    </row>
    <row r="3238" ht="14.25" customHeight="1">
      <c r="A3238" s="1" t="s">
        <v>15283</v>
      </c>
      <c r="B3238" s="1" t="s">
        <v>35</v>
      </c>
      <c r="C3238" s="1">
        <v>7.3</v>
      </c>
    </row>
    <row r="3239" ht="14.25" customHeight="1">
      <c r="A3239" s="1" t="s">
        <v>15287</v>
      </c>
      <c r="B3239" s="1" t="s">
        <v>35</v>
      </c>
      <c r="C3239" s="1">
        <v>6.2</v>
      </c>
    </row>
    <row r="3240" ht="14.25" customHeight="1">
      <c r="A3240" s="1" t="s">
        <v>15291</v>
      </c>
      <c r="B3240" s="1" t="s">
        <v>35</v>
      </c>
      <c r="C3240" s="1">
        <v>6.2</v>
      </c>
    </row>
    <row r="3241" ht="14.25" customHeight="1">
      <c r="A3241" s="1" t="s">
        <v>15299</v>
      </c>
      <c r="B3241" s="1" t="s">
        <v>35</v>
      </c>
      <c r="C3241" s="1">
        <v>3.3</v>
      </c>
    </row>
    <row r="3242" ht="14.25" customHeight="1">
      <c r="A3242" s="1" t="s">
        <v>15305</v>
      </c>
      <c r="B3242" s="1" t="s">
        <v>15312</v>
      </c>
      <c r="C3242" s="1">
        <v>7.4</v>
      </c>
    </row>
    <row r="3243" ht="14.25" customHeight="1">
      <c r="A3243" s="1" t="s">
        <v>15313</v>
      </c>
      <c r="B3243" s="1" t="s">
        <v>35</v>
      </c>
      <c r="C3243" s="1">
        <v>8.0</v>
      </c>
    </row>
    <row r="3244" ht="14.25" customHeight="1">
      <c r="A3244" s="1" t="s">
        <v>15316</v>
      </c>
      <c r="B3244" s="1" t="s">
        <v>35</v>
      </c>
      <c r="C3244" s="1">
        <v>5.9</v>
      </c>
    </row>
    <row r="3245" ht="14.25" customHeight="1">
      <c r="A3245" s="1" t="s">
        <v>15320</v>
      </c>
      <c r="B3245" s="1" t="s">
        <v>35</v>
      </c>
      <c r="C3245" s="1">
        <v>6.8</v>
      </c>
    </row>
    <row r="3246" ht="14.25" customHeight="1">
      <c r="A3246" s="1" t="s">
        <v>15323</v>
      </c>
      <c r="B3246" s="1" t="s">
        <v>35</v>
      </c>
      <c r="C3246" s="1">
        <v>7.4</v>
      </c>
    </row>
    <row r="3247" ht="14.25" customHeight="1">
      <c r="A3247" s="1" t="s">
        <v>15328</v>
      </c>
      <c r="B3247" s="1" t="s">
        <v>35</v>
      </c>
      <c r="C3247" s="1">
        <v>6.7</v>
      </c>
    </row>
    <row r="3248" ht="14.25" customHeight="1">
      <c r="A3248" s="1" t="s">
        <v>15332</v>
      </c>
      <c r="B3248" s="1" t="s">
        <v>35</v>
      </c>
      <c r="C3248" s="1">
        <v>5.5</v>
      </c>
    </row>
    <row r="3249" ht="14.25" customHeight="1">
      <c r="A3249" s="1" t="s">
        <v>15338</v>
      </c>
      <c r="B3249" s="1" t="s">
        <v>35</v>
      </c>
      <c r="C3249" s="1">
        <v>5.7</v>
      </c>
    </row>
    <row r="3250" ht="14.25" customHeight="1">
      <c r="A3250" s="1" t="s">
        <v>15343</v>
      </c>
      <c r="B3250" s="1" t="s">
        <v>2752</v>
      </c>
      <c r="C3250" s="1">
        <v>7.2</v>
      </c>
    </row>
    <row r="3251" ht="14.25" customHeight="1">
      <c r="A3251" s="1" t="s">
        <v>15350</v>
      </c>
      <c r="B3251" s="1" t="s">
        <v>35</v>
      </c>
      <c r="C3251" s="1">
        <v>5.9</v>
      </c>
    </row>
    <row r="3252" ht="14.25" customHeight="1">
      <c r="A3252" s="1" t="s">
        <v>15353</v>
      </c>
      <c r="B3252" s="1" t="s">
        <v>35</v>
      </c>
      <c r="C3252" s="1">
        <v>6.7</v>
      </c>
    </row>
    <row r="3253" ht="14.25" customHeight="1">
      <c r="A3253" s="1" t="s">
        <v>15357</v>
      </c>
      <c r="B3253" s="1" t="s">
        <v>35</v>
      </c>
      <c r="C3253" s="1">
        <v>7.1</v>
      </c>
    </row>
    <row r="3254" ht="14.25" customHeight="1">
      <c r="A3254" s="1" t="s">
        <v>15361</v>
      </c>
      <c r="B3254" s="1" t="s">
        <v>35</v>
      </c>
      <c r="C3254" s="1">
        <v>7.7</v>
      </c>
    </row>
    <row r="3255" ht="14.25" customHeight="1">
      <c r="A3255" s="1" t="s">
        <v>15364</v>
      </c>
      <c r="B3255" s="1" t="s">
        <v>35</v>
      </c>
      <c r="C3255" s="1">
        <v>7.4</v>
      </c>
    </row>
    <row r="3256" ht="14.25" customHeight="1">
      <c r="A3256" s="1" t="s">
        <v>15369</v>
      </c>
      <c r="B3256" s="1" t="s">
        <v>35</v>
      </c>
      <c r="C3256" s="1">
        <v>8.4</v>
      </c>
    </row>
    <row r="3257" ht="14.25" customHeight="1">
      <c r="A3257" s="1" t="s">
        <v>15374</v>
      </c>
      <c r="B3257" s="1" t="s">
        <v>2648</v>
      </c>
      <c r="C3257" s="1">
        <v>7.2</v>
      </c>
    </row>
    <row r="3258" ht="14.25" customHeight="1">
      <c r="A3258" s="1" t="s">
        <v>15381</v>
      </c>
      <c r="B3258" s="1" t="s">
        <v>35</v>
      </c>
      <c r="C3258" s="1">
        <v>8.1</v>
      </c>
    </row>
    <row r="3259" ht="14.25" customHeight="1">
      <c r="A3259" s="1" t="s">
        <v>15386</v>
      </c>
      <c r="B3259" s="1" t="s">
        <v>9646</v>
      </c>
      <c r="C3259" s="1">
        <v>7.8</v>
      </c>
    </row>
    <row r="3260" ht="14.25" customHeight="1">
      <c r="A3260" s="1" t="s">
        <v>15393</v>
      </c>
      <c r="B3260" s="1" t="s">
        <v>35</v>
      </c>
      <c r="C3260" s="1">
        <v>6.8</v>
      </c>
    </row>
    <row r="3261" ht="14.25" customHeight="1">
      <c r="A3261" s="1" t="s">
        <v>15397</v>
      </c>
      <c r="B3261" s="1" t="s">
        <v>12540</v>
      </c>
      <c r="C3261" s="1">
        <v>7.7</v>
      </c>
    </row>
    <row r="3262" ht="14.25" customHeight="1">
      <c r="A3262" s="1" t="s">
        <v>15403</v>
      </c>
      <c r="B3262" s="1" t="s">
        <v>35</v>
      </c>
      <c r="C3262" s="1">
        <v>6.5</v>
      </c>
    </row>
    <row r="3263" ht="14.25" customHeight="1">
      <c r="A3263" s="1" t="s">
        <v>15407</v>
      </c>
      <c r="B3263" s="1" t="s">
        <v>6797</v>
      </c>
      <c r="C3263" s="1">
        <v>7.3</v>
      </c>
    </row>
    <row r="3264" ht="14.25" customHeight="1">
      <c r="A3264" s="1" t="s">
        <v>15412</v>
      </c>
      <c r="B3264" s="1" t="s">
        <v>35</v>
      </c>
      <c r="C3264" s="1">
        <v>5.9</v>
      </c>
    </row>
    <row r="3265" ht="14.25" customHeight="1">
      <c r="A3265" s="1" t="s">
        <v>15415</v>
      </c>
      <c r="B3265" s="1" t="s">
        <v>35</v>
      </c>
      <c r="C3265" s="1">
        <v>8.7</v>
      </c>
    </row>
    <row r="3266" ht="14.25" customHeight="1">
      <c r="A3266" s="1" t="s">
        <v>15420</v>
      </c>
      <c r="B3266" s="1" t="s">
        <v>35</v>
      </c>
      <c r="C3266" s="1">
        <v>6.1</v>
      </c>
    </row>
    <row r="3267" ht="14.25" customHeight="1">
      <c r="A3267" s="1" t="s">
        <v>15423</v>
      </c>
      <c r="B3267" s="1" t="s">
        <v>35</v>
      </c>
      <c r="C3267" s="1">
        <v>7.6</v>
      </c>
    </row>
    <row r="3268" ht="14.25" customHeight="1">
      <c r="A3268" s="1" t="s">
        <v>904</v>
      </c>
      <c r="B3268" s="1" t="s">
        <v>35</v>
      </c>
      <c r="C3268" s="1">
        <v>5.8</v>
      </c>
    </row>
    <row r="3269" ht="14.25" customHeight="1">
      <c r="A3269" s="1" t="s">
        <v>15428</v>
      </c>
      <c r="B3269" s="1" t="s">
        <v>15435</v>
      </c>
      <c r="C3269" s="1">
        <v>6.5</v>
      </c>
    </row>
    <row r="3270" ht="14.25" customHeight="1">
      <c r="A3270" s="1" t="s">
        <v>15436</v>
      </c>
      <c r="B3270" s="1" t="s">
        <v>35</v>
      </c>
      <c r="C3270" s="1">
        <v>7.3</v>
      </c>
    </row>
    <row r="3271" ht="14.25" customHeight="1">
      <c r="A3271" s="1" t="s">
        <v>15439</v>
      </c>
      <c r="B3271" s="1" t="s">
        <v>35</v>
      </c>
      <c r="C3271" s="1">
        <v>6.2</v>
      </c>
    </row>
    <row r="3272" ht="14.25" customHeight="1">
      <c r="A3272" s="1" t="s">
        <v>15445</v>
      </c>
      <c r="B3272" s="1" t="s">
        <v>35</v>
      </c>
      <c r="C3272" s="1">
        <v>5.0</v>
      </c>
    </row>
    <row r="3273" ht="14.25" customHeight="1">
      <c r="A3273" s="1" t="s">
        <v>15449</v>
      </c>
      <c r="B3273" s="1" t="s">
        <v>35</v>
      </c>
      <c r="C3273" s="1">
        <v>7.8</v>
      </c>
    </row>
    <row r="3274" ht="14.25" customHeight="1">
      <c r="A3274" s="1" t="s">
        <v>15453</v>
      </c>
      <c r="B3274" s="1" t="s">
        <v>35</v>
      </c>
      <c r="C3274" s="1">
        <v>8.1</v>
      </c>
    </row>
    <row r="3275" ht="14.25" customHeight="1">
      <c r="A3275" s="1" t="s">
        <v>15457</v>
      </c>
      <c r="B3275" s="1" t="s">
        <v>35</v>
      </c>
      <c r="C3275" s="1">
        <v>6.7</v>
      </c>
    </row>
    <row r="3276" ht="14.25" customHeight="1">
      <c r="A3276" s="1" t="s">
        <v>985</v>
      </c>
      <c r="B3276" s="1" t="s">
        <v>35</v>
      </c>
      <c r="C3276" s="1">
        <v>6.1</v>
      </c>
    </row>
    <row r="3277" ht="14.25" customHeight="1">
      <c r="A3277" s="1" t="s">
        <v>15463</v>
      </c>
      <c r="B3277" s="1" t="s">
        <v>35</v>
      </c>
      <c r="C3277" s="1">
        <v>7.1</v>
      </c>
    </row>
    <row r="3278" ht="14.25" customHeight="1">
      <c r="A3278" s="1" t="s">
        <v>15468</v>
      </c>
      <c r="B3278" s="1" t="s">
        <v>35</v>
      </c>
      <c r="C3278" s="1">
        <v>5.6</v>
      </c>
    </row>
    <row r="3279" ht="14.25" customHeight="1">
      <c r="A3279" s="1" t="s">
        <v>15473</v>
      </c>
      <c r="B3279" s="1" t="s">
        <v>35</v>
      </c>
      <c r="C3279" s="1">
        <v>7.6</v>
      </c>
    </row>
    <row r="3280" ht="14.25" customHeight="1">
      <c r="A3280" s="1" t="s">
        <v>15476</v>
      </c>
      <c r="B3280" s="1" t="s">
        <v>35</v>
      </c>
      <c r="C3280" s="1">
        <v>4.6</v>
      </c>
    </row>
    <row r="3281" ht="14.25" customHeight="1">
      <c r="A3281" s="1" t="s">
        <v>15481</v>
      </c>
      <c r="B3281" s="1" t="s">
        <v>35</v>
      </c>
      <c r="C3281" s="1">
        <v>7.1</v>
      </c>
    </row>
    <row r="3282" ht="14.25" customHeight="1">
      <c r="A3282" s="1" t="s">
        <v>15484</v>
      </c>
      <c r="B3282" s="1" t="s">
        <v>35</v>
      </c>
      <c r="C3282" s="1">
        <v>7.3</v>
      </c>
    </row>
    <row r="3283" ht="14.25" customHeight="1">
      <c r="A3283" s="1" t="s">
        <v>15490</v>
      </c>
      <c r="B3283" s="1" t="s">
        <v>35</v>
      </c>
      <c r="C3283" s="1">
        <v>4.0</v>
      </c>
    </row>
    <row r="3284" ht="14.25" customHeight="1">
      <c r="A3284" s="1" t="s">
        <v>15494</v>
      </c>
      <c r="B3284" s="1" t="s">
        <v>35</v>
      </c>
      <c r="C3284" s="1">
        <v>8.0</v>
      </c>
    </row>
    <row r="3285" ht="14.25" customHeight="1">
      <c r="A3285" s="1" t="s">
        <v>15500</v>
      </c>
      <c r="B3285" s="1" t="s">
        <v>35</v>
      </c>
      <c r="C3285" s="1">
        <v>6.7</v>
      </c>
    </row>
    <row r="3286" ht="14.25" customHeight="1">
      <c r="A3286" s="1" t="s">
        <v>1628</v>
      </c>
      <c r="B3286" s="1" t="s">
        <v>35</v>
      </c>
      <c r="C3286" s="1">
        <v>5.7</v>
      </c>
    </row>
    <row r="3287" ht="14.25" customHeight="1">
      <c r="A3287" s="1" t="s">
        <v>15504</v>
      </c>
      <c r="B3287" s="1" t="s">
        <v>35</v>
      </c>
      <c r="C3287" s="1">
        <v>4.6</v>
      </c>
    </row>
    <row r="3288" ht="14.25" customHeight="1">
      <c r="A3288" s="1" t="s">
        <v>15508</v>
      </c>
      <c r="B3288" s="1" t="s">
        <v>35</v>
      </c>
      <c r="C3288" s="1">
        <v>4.0</v>
      </c>
    </row>
    <row r="3289" ht="14.25" customHeight="1">
      <c r="A3289" s="1" t="s">
        <v>15511</v>
      </c>
      <c r="B3289" s="1" t="s">
        <v>35</v>
      </c>
      <c r="C3289" s="1">
        <v>7.0</v>
      </c>
    </row>
    <row r="3290" ht="14.25" customHeight="1">
      <c r="A3290" s="1" t="s">
        <v>15516</v>
      </c>
      <c r="B3290" s="1" t="s">
        <v>35</v>
      </c>
      <c r="C3290" s="1">
        <v>5.9</v>
      </c>
    </row>
    <row r="3291" ht="14.25" customHeight="1">
      <c r="A3291" s="1" t="s">
        <v>9077</v>
      </c>
      <c r="B3291" s="1" t="s">
        <v>35</v>
      </c>
      <c r="C3291" s="1">
        <v>4.8</v>
      </c>
    </row>
    <row r="3292" ht="14.25" customHeight="1">
      <c r="A3292" s="1" t="s">
        <v>15519</v>
      </c>
      <c r="B3292" s="1" t="s">
        <v>2648</v>
      </c>
      <c r="C3292" s="1">
        <v>7.5</v>
      </c>
    </row>
    <row r="3293" ht="14.25" customHeight="1">
      <c r="A3293" s="1" t="s">
        <v>15524</v>
      </c>
      <c r="B3293" s="1" t="s">
        <v>35</v>
      </c>
      <c r="C3293" s="1">
        <v>4.7</v>
      </c>
    </row>
    <row r="3294" ht="14.25" customHeight="1">
      <c r="A3294" s="1" t="s">
        <v>15530</v>
      </c>
      <c r="B3294" s="1" t="s">
        <v>35</v>
      </c>
      <c r="C3294" s="1">
        <v>6.7</v>
      </c>
    </row>
    <row r="3295" ht="14.25" customHeight="1">
      <c r="A3295" s="1" t="s">
        <v>15534</v>
      </c>
      <c r="B3295" s="1" t="s">
        <v>35</v>
      </c>
      <c r="C3295" s="1">
        <v>6.7</v>
      </c>
    </row>
    <row r="3296" ht="14.25" customHeight="1">
      <c r="A3296" s="1" t="s">
        <v>15537</v>
      </c>
      <c r="B3296" s="1" t="s">
        <v>35</v>
      </c>
      <c r="C3296" s="1">
        <v>7.1</v>
      </c>
    </row>
    <row r="3297" ht="14.25" customHeight="1">
      <c r="A3297" s="1" t="s">
        <v>15541</v>
      </c>
      <c r="B3297" s="1" t="s">
        <v>35</v>
      </c>
      <c r="C3297" s="1">
        <v>2.7</v>
      </c>
    </row>
    <row r="3298" ht="14.25" customHeight="1">
      <c r="A3298" s="1" t="s">
        <v>15546</v>
      </c>
      <c r="B3298" s="1" t="s">
        <v>35</v>
      </c>
      <c r="C3298" s="1">
        <v>7.3</v>
      </c>
    </row>
    <row r="3299" ht="14.25" customHeight="1">
      <c r="A3299" s="1" t="s">
        <v>15549</v>
      </c>
      <c r="B3299" s="1" t="s">
        <v>35</v>
      </c>
      <c r="C3299" s="1">
        <v>7.6</v>
      </c>
    </row>
    <row r="3300" ht="14.25" customHeight="1">
      <c r="A3300" s="1" t="s">
        <v>15553</v>
      </c>
      <c r="B3300" s="1" t="s">
        <v>35</v>
      </c>
      <c r="C3300" s="1">
        <v>5.8</v>
      </c>
    </row>
    <row r="3301" ht="14.25" customHeight="1">
      <c r="A3301" s="1" t="s">
        <v>15556</v>
      </c>
      <c r="B3301" s="1" t="s">
        <v>35</v>
      </c>
      <c r="C3301" s="1">
        <v>6.5</v>
      </c>
    </row>
    <row r="3302" ht="14.25" customHeight="1">
      <c r="A3302" s="1" t="s">
        <v>15561</v>
      </c>
      <c r="B3302" s="1" t="s">
        <v>35</v>
      </c>
      <c r="C3302" s="1">
        <v>6.6</v>
      </c>
    </row>
    <row r="3303" ht="14.25" customHeight="1">
      <c r="A3303" s="1" t="s">
        <v>15565</v>
      </c>
      <c r="B3303" s="1" t="s">
        <v>35</v>
      </c>
      <c r="C3303" s="1">
        <v>6.9</v>
      </c>
    </row>
    <row r="3304" ht="14.25" customHeight="1">
      <c r="A3304" s="1" t="s">
        <v>15571</v>
      </c>
      <c r="B3304" s="1" t="s">
        <v>15577</v>
      </c>
      <c r="C3304" s="1">
        <v>8.5</v>
      </c>
    </row>
    <row r="3305" ht="14.25" customHeight="1">
      <c r="A3305" s="1" t="s">
        <v>15579</v>
      </c>
      <c r="B3305" s="1" t="s">
        <v>35</v>
      </c>
      <c r="C3305" s="1">
        <v>4.8</v>
      </c>
    </row>
    <row r="3306" ht="14.25" customHeight="1">
      <c r="A3306" s="1" t="s">
        <v>15585</v>
      </c>
      <c r="B3306" s="1" t="s">
        <v>35</v>
      </c>
      <c r="C3306" s="1">
        <v>7.0</v>
      </c>
    </row>
    <row r="3307" ht="14.25" customHeight="1">
      <c r="A3307" s="1" t="s">
        <v>15588</v>
      </c>
      <c r="B3307" s="1" t="s">
        <v>35</v>
      </c>
      <c r="C3307" s="1">
        <v>5.4</v>
      </c>
    </row>
    <row r="3308" ht="14.25" customHeight="1">
      <c r="A3308" s="1" t="s">
        <v>15591</v>
      </c>
      <c r="B3308" s="1" t="s">
        <v>35</v>
      </c>
      <c r="C3308" s="1">
        <v>6.9</v>
      </c>
    </row>
    <row r="3309" ht="14.25" customHeight="1">
      <c r="A3309" s="1" t="s">
        <v>15596</v>
      </c>
      <c r="B3309" s="1" t="s">
        <v>35</v>
      </c>
      <c r="C3309" s="1">
        <v>6.6</v>
      </c>
    </row>
    <row r="3310" ht="14.25" customHeight="1">
      <c r="A3310" s="1" t="s">
        <v>15600</v>
      </c>
      <c r="B3310" s="1" t="s">
        <v>35</v>
      </c>
      <c r="C3310" s="1">
        <v>5.9</v>
      </c>
    </row>
    <row r="3311" ht="14.25" customHeight="1">
      <c r="A3311" s="1" t="s">
        <v>15605</v>
      </c>
      <c r="B3311" s="1" t="s">
        <v>35</v>
      </c>
      <c r="C3311" s="1">
        <v>6.3</v>
      </c>
    </row>
    <row r="3312" ht="14.25" customHeight="1">
      <c r="A3312" s="1" t="s">
        <v>15611</v>
      </c>
      <c r="B3312" s="1" t="s">
        <v>35</v>
      </c>
      <c r="C3312" s="1">
        <v>6.3</v>
      </c>
    </row>
    <row r="3313" ht="14.25" customHeight="1">
      <c r="A3313" s="1" t="s">
        <v>15615</v>
      </c>
      <c r="B3313" s="1" t="s">
        <v>35</v>
      </c>
      <c r="C3313" s="1">
        <v>7.0</v>
      </c>
    </row>
    <row r="3314" ht="14.25" customHeight="1">
      <c r="A3314" s="1" t="s">
        <v>15620</v>
      </c>
      <c r="B3314" s="1" t="s">
        <v>35</v>
      </c>
      <c r="C3314" s="1">
        <v>6.3</v>
      </c>
    </row>
    <row r="3315" ht="14.25" customHeight="1">
      <c r="A3315" s="1" t="s">
        <v>15623</v>
      </c>
      <c r="B3315" s="1" t="s">
        <v>35</v>
      </c>
      <c r="C3315" s="1">
        <v>6.2</v>
      </c>
    </row>
    <row r="3316" ht="14.25" customHeight="1">
      <c r="A3316" s="1" t="s">
        <v>15627</v>
      </c>
      <c r="B3316" s="1" t="s">
        <v>2648</v>
      </c>
      <c r="C3316" s="1">
        <v>7.7</v>
      </c>
    </row>
    <row r="3317" ht="14.25" customHeight="1">
      <c r="A3317" s="1" t="s">
        <v>15634</v>
      </c>
      <c r="B3317" s="1" t="s">
        <v>35</v>
      </c>
      <c r="C3317" s="1">
        <v>6.5</v>
      </c>
    </row>
    <row r="3318" ht="14.25" customHeight="1">
      <c r="A3318" s="1" t="s">
        <v>15639</v>
      </c>
      <c r="B3318" s="1" t="s">
        <v>35</v>
      </c>
      <c r="C3318" s="1">
        <v>5.8</v>
      </c>
    </row>
    <row r="3319" ht="14.25" customHeight="1">
      <c r="A3319" s="1" t="s">
        <v>15643</v>
      </c>
      <c r="B3319" s="1" t="s">
        <v>14505</v>
      </c>
      <c r="C3319" s="1">
        <v>6.1</v>
      </c>
    </row>
    <row r="3320" ht="14.25" customHeight="1">
      <c r="A3320" s="1" t="s">
        <v>15648</v>
      </c>
      <c r="B3320" s="1" t="s">
        <v>35</v>
      </c>
      <c r="C3320" s="1">
        <v>8.2</v>
      </c>
    </row>
    <row r="3321" ht="14.25" customHeight="1">
      <c r="A3321" s="1" t="s">
        <v>15655</v>
      </c>
      <c r="B3321" s="1" t="s">
        <v>35</v>
      </c>
      <c r="C3321" s="1">
        <v>6.0</v>
      </c>
    </row>
    <row r="3322" ht="14.25" customHeight="1">
      <c r="A3322" s="1" t="s">
        <v>15660</v>
      </c>
      <c r="B3322" s="1" t="s">
        <v>35</v>
      </c>
      <c r="C3322" s="1">
        <v>6.8</v>
      </c>
    </row>
    <row r="3323" ht="14.25" customHeight="1">
      <c r="A3323" s="1" t="s">
        <v>15667</v>
      </c>
      <c r="B3323" s="1" t="s">
        <v>35</v>
      </c>
      <c r="C3323" s="1">
        <v>7.0</v>
      </c>
    </row>
    <row r="3324" ht="14.25" customHeight="1">
      <c r="A3324" s="1" t="s">
        <v>15676</v>
      </c>
      <c r="B3324" s="1" t="s">
        <v>35</v>
      </c>
      <c r="C3324" s="1">
        <v>6.8</v>
      </c>
    </row>
    <row r="3325" ht="14.25" customHeight="1">
      <c r="A3325" s="1" t="s">
        <v>15680</v>
      </c>
      <c r="B3325" s="1" t="s">
        <v>35</v>
      </c>
      <c r="C3325" s="1">
        <v>7.1</v>
      </c>
    </row>
    <row r="3326" ht="14.25" customHeight="1">
      <c r="A3326" s="1" t="s">
        <v>15688</v>
      </c>
      <c r="B3326" s="1" t="s">
        <v>35</v>
      </c>
      <c r="C3326" s="1">
        <v>6.9</v>
      </c>
    </row>
    <row r="3327" ht="14.25" customHeight="1">
      <c r="A3327" s="1" t="s">
        <v>15693</v>
      </c>
      <c r="B3327" s="1" t="s">
        <v>35</v>
      </c>
      <c r="C3327" s="1">
        <v>6.9</v>
      </c>
    </row>
    <row r="3328" ht="14.25" customHeight="1">
      <c r="A3328" s="1" t="s">
        <v>6055</v>
      </c>
      <c r="B3328" s="1" t="s">
        <v>35</v>
      </c>
      <c r="C3328" s="1">
        <v>6.9</v>
      </c>
    </row>
    <row r="3329" ht="14.25" customHeight="1">
      <c r="A3329" s="1" t="s">
        <v>15696</v>
      </c>
      <c r="B3329" s="1" t="s">
        <v>35</v>
      </c>
      <c r="C3329" s="1">
        <v>7.2</v>
      </c>
    </row>
    <row r="3330" ht="14.25" customHeight="1">
      <c r="A3330" s="1" t="s">
        <v>15701</v>
      </c>
      <c r="B3330" s="1" t="s">
        <v>35</v>
      </c>
      <c r="C3330" s="1">
        <v>7.8</v>
      </c>
    </row>
    <row r="3331" ht="14.25" customHeight="1">
      <c r="A3331" s="1" t="s">
        <v>15707</v>
      </c>
      <c r="B3331" s="1" t="s">
        <v>35</v>
      </c>
      <c r="C3331" s="1">
        <v>7.3</v>
      </c>
    </row>
    <row r="3332" ht="14.25" customHeight="1">
      <c r="A3332" s="1" t="s">
        <v>15710</v>
      </c>
      <c r="B3332" s="1" t="s">
        <v>35</v>
      </c>
      <c r="C3332" s="1">
        <v>7.5</v>
      </c>
    </row>
    <row r="3333" ht="14.25" customHeight="1">
      <c r="A3333" s="1" t="s">
        <v>15714</v>
      </c>
      <c r="B3333" s="1" t="s">
        <v>35</v>
      </c>
      <c r="C3333" s="1">
        <v>6.0</v>
      </c>
    </row>
    <row r="3334" ht="14.25" customHeight="1">
      <c r="A3334" s="1" t="s">
        <v>15718</v>
      </c>
      <c r="B3334" s="1" t="s">
        <v>35</v>
      </c>
      <c r="C3334" s="1">
        <v>6.8</v>
      </c>
    </row>
    <row r="3335" ht="14.25" customHeight="1">
      <c r="A3335" s="1" t="s">
        <v>15723</v>
      </c>
      <c r="B3335" s="1" t="s">
        <v>35</v>
      </c>
      <c r="C3335" s="1">
        <v>3.9</v>
      </c>
    </row>
    <row r="3336" ht="14.25" customHeight="1">
      <c r="A3336" s="1" t="s">
        <v>15730</v>
      </c>
      <c r="B3336" s="1" t="s">
        <v>35</v>
      </c>
      <c r="C3336" s="1">
        <v>6.1</v>
      </c>
    </row>
    <row r="3337" ht="14.25" customHeight="1">
      <c r="A3337" s="1" t="s">
        <v>15734</v>
      </c>
      <c r="B3337" s="1" t="s">
        <v>35</v>
      </c>
      <c r="C3337" s="1">
        <v>7.5</v>
      </c>
    </row>
    <row r="3338" ht="14.25" customHeight="1">
      <c r="A3338" s="1" t="s">
        <v>15738</v>
      </c>
      <c r="B3338" s="1" t="s">
        <v>2648</v>
      </c>
      <c r="C3338" s="1">
        <v>8.2</v>
      </c>
    </row>
    <row r="3339" ht="14.25" customHeight="1">
      <c r="A3339" s="1" t="s">
        <v>15745</v>
      </c>
      <c r="B3339" s="1" t="s">
        <v>35</v>
      </c>
      <c r="C3339" s="1">
        <v>7.8</v>
      </c>
    </row>
    <row r="3340" ht="14.25" customHeight="1">
      <c r="A3340" s="1" t="s">
        <v>15751</v>
      </c>
      <c r="B3340" s="1" t="s">
        <v>35</v>
      </c>
      <c r="C3340" s="1">
        <v>5.2</v>
      </c>
    </row>
    <row r="3341" ht="14.25" customHeight="1">
      <c r="A3341" s="1" t="s">
        <v>15756</v>
      </c>
      <c r="B3341" s="1" t="s">
        <v>2648</v>
      </c>
      <c r="C3341" s="1">
        <v>6.8</v>
      </c>
    </row>
    <row r="3342" ht="14.25" customHeight="1">
      <c r="A3342" s="1" t="s">
        <v>15763</v>
      </c>
      <c r="B3342" s="1" t="s">
        <v>14952</v>
      </c>
      <c r="C3342" s="1">
        <v>7.0</v>
      </c>
    </row>
    <row r="3343" ht="14.25" customHeight="1">
      <c r="A3343" s="1" t="s">
        <v>15771</v>
      </c>
      <c r="B3343" s="1" t="s">
        <v>35</v>
      </c>
      <c r="C3343" s="1">
        <v>6.5</v>
      </c>
    </row>
    <row r="3344" ht="14.25" customHeight="1">
      <c r="A3344" s="1" t="s">
        <v>4471</v>
      </c>
      <c r="B3344" s="1" t="s">
        <v>35</v>
      </c>
      <c r="C3344" s="1">
        <v>5.7</v>
      </c>
    </row>
    <row r="3345" ht="14.25" customHeight="1">
      <c r="A3345" s="1" t="s">
        <v>15775</v>
      </c>
      <c r="B3345" s="1" t="s">
        <v>35</v>
      </c>
      <c r="C3345" s="1">
        <v>6.4</v>
      </c>
    </row>
    <row r="3346" ht="14.25" customHeight="1">
      <c r="A3346" s="1" t="s">
        <v>15778</v>
      </c>
      <c r="B3346" s="1" t="s">
        <v>35</v>
      </c>
      <c r="C3346" s="1">
        <v>5.3</v>
      </c>
    </row>
    <row r="3347" ht="14.25" customHeight="1">
      <c r="A3347" s="1" t="s">
        <v>15782</v>
      </c>
      <c r="B3347" s="1" t="s">
        <v>2752</v>
      </c>
      <c r="C3347" s="1">
        <v>7.6</v>
      </c>
    </row>
    <row r="3348" ht="14.25" customHeight="1">
      <c r="A3348" s="1" t="s">
        <v>15787</v>
      </c>
      <c r="B3348" s="1" t="s">
        <v>35</v>
      </c>
      <c r="C3348" s="1">
        <v>7.1</v>
      </c>
    </row>
    <row r="3349" ht="14.25" customHeight="1">
      <c r="A3349" s="1" t="s">
        <v>15791</v>
      </c>
      <c r="B3349" s="1" t="s">
        <v>35</v>
      </c>
      <c r="C3349" s="1">
        <v>6.5</v>
      </c>
    </row>
    <row r="3350" ht="14.25" customHeight="1">
      <c r="A3350" s="1" t="s">
        <v>15795</v>
      </c>
      <c r="B3350" s="1" t="s">
        <v>35</v>
      </c>
      <c r="C3350" s="1">
        <v>8.5</v>
      </c>
    </row>
    <row r="3351" ht="14.25" customHeight="1">
      <c r="A3351" s="1" t="s">
        <v>15798</v>
      </c>
      <c r="B3351" s="1" t="s">
        <v>14505</v>
      </c>
      <c r="C3351" s="1">
        <v>8.7</v>
      </c>
    </row>
    <row r="3352" ht="14.25" customHeight="1">
      <c r="A3352" s="1" t="s">
        <v>15804</v>
      </c>
      <c r="B3352" s="1" t="s">
        <v>35</v>
      </c>
      <c r="C3352" s="1">
        <v>7.1</v>
      </c>
    </row>
    <row r="3353" ht="14.25" customHeight="1">
      <c r="A3353" s="1" t="s">
        <v>15808</v>
      </c>
      <c r="B3353" s="1" t="s">
        <v>13834</v>
      </c>
      <c r="C3353" s="1">
        <v>8.3</v>
      </c>
    </row>
    <row r="3354" ht="14.25" customHeight="1">
      <c r="A3354" s="1" t="s">
        <v>15815</v>
      </c>
      <c r="B3354" s="1" t="s">
        <v>35</v>
      </c>
      <c r="C3354" s="1">
        <v>7.4</v>
      </c>
    </row>
    <row r="3355" ht="14.25" customHeight="1">
      <c r="A3355" s="1" t="s">
        <v>15819</v>
      </c>
      <c r="B3355" s="1" t="s">
        <v>2648</v>
      </c>
      <c r="C3355" s="1">
        <v>7.5</v>
      </c>
    </row>
    <row r="3356" ht="14.25" customHeight="1">
      <c r="A3356" s="1" t="s">
        <v>15825</v>
      </c>
      <c r="B3356" s="1" t="s">
        <v>35</v>
      </c>
      <c r="C3356" s="1">
        <v>7.2</v>
      </c>
    </row>
    <row r="3357" ht="14.25" customHeight="1">
      <c r="A3357" s="1" t="s">
        <v>15829</v>
      </c>
      <c r="B3357" s="1" t="s">
        <v>35</v>
      </c>
      <c r="C3357" s="1">
        <v>7.6</v>
      </c>
    </row>
    <row r="3358" ht="14.25" customHeight="1">
      <c r="A3358" s="1" t="s">
        <v>15832</v>
      </c>
      <c r="B3358" s="1" t="s">
        <v>35</v>
      </c>
      <c r="C3358" s="1">
        <v>7.8</v>
      </c>
    </row>
    <row r="3359" ht="14.25" customHeight="1">
      <c r="A3359" s="1" t="s">
        <v>15837</v>
      </c>
      <c r="B3359" s="1" t="s">
        <v>35</v>
      </c>
      <c r="C3359" s="1">
        <v>8.2</v>
      </c>
    </row>
    <row r="3360" ht="14.25" customHeight="1">
      <c r="A3360" s="1" t="s">
        <v>15840</v>
      </c>
      <c r="B3360" s="1" t="s">
        <v>35</v>
      </c>
      <c r="C3360" s="1">
        <v>6.6</v>
      </c>
    </row>
    <row r="3361" ht="14.25" customHeight="1">
      <c r="A3361" s="1" t="s">
        <v>15844</v>
      </c>
      <c r="B3361" s="1" t="s">
        <v>35</v>
      </c>
      <c r="C3361" s="1">
        <v>5.7</v>
      </c>
    </row>
    <row r="3362" ht="14.25" customHeight="1">
      <c r="A3362" s="1" t="s">
        <v>15848</v>
      </c>
      <c r="B3362" s="1" t="s">
        <v>35</v>
      </c>
      <c r="C3362" s="1">
        <v>7.4</v>
      </c>
    </row>
    <row r="3363" ht="14.25" customHeight="1">
      <c r="A3363" s="1" t="s">
        <v>15851</v>
      </c>
      <c r="B3363" s="1" t="s">
        <v>35</v>
      </c>
      <c r="C3363" s="1">
        <v>8.0</v>
      </c>
    </row>
    <row r="3364" ht="14.25" customHeight="1">
      <c r="A3364" s="1" t="s">
        <v>15857</v>
      </c>
      <c r="B3364" s="1" t="s">
        <v>35</v>
      </c>
      <c r="C3364" s="1">
        <v>5.4</v>
      </c>
    </row>
    <row r="3365" ht="14.25" customHeight="1">
      <c r="A3365" s="1" t="s">
        <v>15862</v>
      </c>
      <c r="B3365" s="1" t="s">
        <v>35</v>
      </c>
      <c r="C3365" s="1">
        <v>7.4</v>
      </c>
    </row>
    <row r="3366" ht="14.25" customHeight="1">
      <c r="A3366" s="1" t="s">
        <v>15866</v>
      </c>
      <c r="B3366" s="1" t="s">
        <v>35</v>
      </c>
      <c r="C3366" s="1">
        <v>5.7</v>
      </c>
    </row>
    <row r="3367" ht="14.25" customHeight="1">
      <c r="A3367" s="1" t="s">
        <v>15870</v>
      </c>
      <c r="B3367" s="1" t="s">
        <v>35</v>
      </c>
      <c r="C3367" s="1">
        <v>6.8</v>
      </c>
    </row>
    <row r="3368" ht="14.25" customHeight="1">
      <c r="A3368" s="1" t="s">
        <v>15875</v>
      </c>
      <c r="B3368" s="1" t="s">
        <v>35</v>
      </c>
      <c r="C3368" s="1">
        <v>5.4</v>
      </c>
    </row>
    <row r="3369" ht="14.25" customHeight="1">
      <c r="A3369" s="1" t="s">
        <v>15881</v>
      </c>
      <c r="B3369" s="1" t="s">
        <v>35</v>
      </c>
      <c r="C3369" s="1">
        <v>5.1</v>
      </c>
    </row>
    <row r="3370" ht="14.25" customHeight="1">
      <c r="A3370" s="1" t="s">
        <v>15885</v>
      </c>
      <c r="B3370" s="1" t="s">
        <v>35</v>
      </c>
      <c r="C3370" s="1">
        <v>5.9</v>
      </c>
    </row>
    <row r="3371" ht="14.25" customHeight="1">
      <c r="A3371" s="1" t="s">
        <v>15890</v>
      </c>
      <c r="B3371" s="1" t="s">
        <v>35</v>
      </c>
      <c r="C3371" s="1">
        <v>8.2</v>
      </c>
    </row>
    <row r="3372" ht="14.25" customHeight="1">
      <c r="A3372" s="1" t="s">
        <v>15895</v>
      </c>
      <c r="B3372" s="1" t="s">
        <v>35</v>
      </c>
      <c r="C3372" s="1">
        <v>5.3</v>
      </c>
    </row>
    <row r="3373" ht="14.25" customHeight="1">
      <c r="A3373" s="1" t="s">
        <v>15901</v>
      </c>
      <c r="B3373" s="1" t="s">
        <v>35</v>
      </c>
      <c r="C3373" s="1">
        <v>4.3</v>
      </c>
    </row>
    <row r="3374" ht="14.25" customHeight="1">
      <c r="A3374" s="1" t="s">
        <v>15906</v>
      </c>
      <c r="B3374" s="1" t="s">
        <v>35</v>
      </c>
      <c r="C3374" s="1">
        <v>7.2</v>
      </c>
    </row>
    <row r="3375" ht="14.25" customHeight="1">
      <c r="A3375" s="1" t="s">
        <v>15912</v>
      </c>
      <c r="B3375" s="1" t="s">
        <v>35</v>
      </c>
      <c r="C3375" s="1">
        <v>5.9</v>
      </c>
    </row>
    <row r="3376" ht="14.25" customHeight="1">
      <c r="A3376" s="1" t="s">
        <v>15916</v>
      </c>
      <c r="B3376" s="1" t="s">
        <v>35</v>
      </c>
      <c r="C3376" s="1">
        <v>3.0</v>
      </c>
    </row>
    <row r="3377" ht="14.25" customHeight="1">
      <c r="A3377" s="1" t="s">
        <v>15920</v>
      </c>
      <c r="B3377" s="1" t="s">
        <v>35</v>
      </c>
      <c r="C3377" s="1">
        <v>7.9</v>
      </c>
    </row>
    <row r="3378" ht="14.25" customHeight="1">
      <c r="A3378" s="1" t="s">
        <v>15927</v>
      </c>
      <c r="B3378" s="1" t="s">
        <v>35</v>
      </c>
      <c r="C3378" s="1">
        <v>3.2</v>
      </c>
    </row>
    <row r="3379" ht="14.25" customHeight="1">
      <c r="A3379" s="1" t="s">
        <v>15933</v>
      </c>
      <c r="B3379" s="1" t="s">
        <v>35</v>
      </c>
      <c r="C3379" s="1">
        <v>6.5</v>
      </c>
    </row>
    <row r="3380" ht="14.25" customHeight="1">
      <c r="A3380" s="1" t="s">
        <v>15940</v>
      </c>
      <c r="B3380" s="1" t="s">
        <v>35</v>
      </c>
      <c r="C3380" s="1">
        <v>7.0</v>
      </c>
    </row>
    <row r="3381" ht="14.25" customHeight="1">
      <c r="A3381" s="1" t="s">
        <v>15944</v>
      </c>
      <c r="B3381" s="1" t="s">
        <v>35</v>
      </c>
      <c r="C3381" s="1">
        <v>6.9</v>
      </c>
    </row>
    <row r="3382" ht="14.25" customHeight="1">
      <c r="A3382" s="1" t="s">
        <v>15948</v>
      </c>
      <c r="B3382" s="1" t="s">
        <v>35</v>
      </c>
      <c r="C3382" s="1">
        <v>4.4</v>
      </c>
    </row>
    <row r="3383" ht="14.25" customHeight="1">
      <c r="A3383" s="1" t="s">
        <v>15953</v>
      </c>
      <c r="B3383" s="1" t="s">
        <v>35</v>
      </c>
      <c r="C3383" s="1">
        <v>6.0</v>
      </c>
    </row>
    <row r="3384" ht="14.25" customHeight="1">
      <c r="A3384" s="1" t="s">
        <v>15959</v>
      </c>
      <c r="B3384" s="1" t="s">
        <v>35</v>
      </c>
      <c r="C3384" s="1">
        <v>5.3</v>
      </c>
    </row>
    <row r="3385" ht="14.25" customHeight="1">
      <c r="A3385" s="1" t="s">
        <v>15964</v>
      </c>
      <c r="B3385" s="1" t="s">
        <v>35</v>
      </c>
      <c r="C3385" s="1">
        <v>5.3</v>
      </c>
    </row>
    <row r="3386" ht="14.25" customHeight="1">
      <c r="A3386" s="1" t="s">
        <v>15969</v>
      </c>
      <c r="B3386" s="1" t="s">
        <v>35</v>
      </c>
      <c r="C3386" s="1">
        <v>7.1</v>
      </c>
    </row>
    <row r="3387" ht="14.25" customHeight="1">
      <c r="A3387" s="1" t="s">
        <v>15974</v>
      </c>
      <c r="B3387" s="1" t="s">
        <v>35</v>
      </c>
      <c r="C3387" s="1">
        <v>5.4</v>
      </c>
    </row>
    <row r="3388" ht="14.25" customHeight="1">
      <c r="A3388" s="1" t="s">
        <v>15979</v>
      </c>
      <c r="B3388" s="1" t="s">
        <v>35</v>
      </c>
      <c r="C3388" s="1">
        <v>6.9</v>
      </c>
    </row>
    <row r="3389" ht="14.25" customHeight="1">
      <c r="A3389" s="1" t="s">
        <v>15983</v>
      </c>
      <c r="B3389" s="1" t="s">
        <v>15988</v>
      </c>
      <c r="C3389" s="1">
        <v>7.3</v>
      </c>
    </row>
    <row r="3390" ht="14.25" customHeight="1">
      <c r="A3390" s="1" t="s">
        <v>15989</v>
      </c>
      <c r="B3390" s="1" t="s">
        <v>35</v>
      </c>
      <c r="C3390" s="1">
        <v>6.6</v>
      </c>
    </row>
    <row r="3391" ht="14.25" customHeight="1">
      <c r="A3391" s="1" t="s">
        <v>15994</v>
      </c>
      <c r="B3391" s="1" t="s">
        <v>35</v>
      </c>
      <c r="C3391" s="1">
        <v>5.4</v>
      </c>
    </row>
    <row r="3392" ht="14.25" customHeight="1">
      <c r="A3392" s="1" t="s">
        <v>15998</v>
      </c>
      <c r="B3392" s="1" t="s">
        <v>12540</v>
      </c>
      <c r="C3392" s="1">
        <v>8.4</v>
      </c>
    </row>
    <row r="3393" ht="14.25" customHeight="1">
      <c r="A3393" s="1" t="s">
        <v>16003</v>
      </c>
      <c r="B3393" s="1" t="s">
        <v>35</v>
      </c>
      <c r="C3393" s="1">
        <v>6.3</v>
      </c>
    </row>
    <row r="3394" ht="14.25" customHeight="1">
      <c r="A3394" s="1" t="s">
        <v>16010</v>
      </c>
      <c r="B3394" s="1" t="s">
        <v>35</v>
      </c>
      <c r="C3394" s="1">
        <v>6.1</v>
      </c>
    </row>
    <row r="3395" ht="14.25" customHeight="1">
      <c r="A3395" s="1" t="s">
        <v>16016</v>
      </c>
      <c r="B3395" s="1" t="s">
        <v>35</v>
      </c>
      <c r="C3395" s="1">
        <v>5.3</v>
      </c>
    </row>
    <row r="3396" ht="14.25" customHeight="1">
      <c r="A3396" s="1" t="s">
        <v>16020</v>
      </c>
      <c r="B3396" s="1" t="s">
        <v>35</v>
      </c>
      <c r="C3396" s="1">
        <v>5.3</v>
      </c>
    </row>
    <row r="3397" ht="14.25" customHeight="1">
      <c r="A3397" s="1" t="s">
        <v>8987</v>
      </c>
      <c r="B3397" s="1" t="s">
        <v>35</v>
      </c>
      <c r="C3397" s="1">
        <v>6.0</v>
      </c>
    </row>
    <row r="3398" ht="14.25" customHeight="1">
      <c r="A3398" s="1" t="s">
        <v>16024</v>
      </c>
      <c r="B3398" s="1" t="s">
        <v>10526</v>
      </c>
      <c r="C3398" s="1">
        <v>7.4</v>
      </c>
    </row>
    <row r="3399" ht="14.25" customHeight="1">
      <c r="A3399" s="1" t="s">
        <v>16030</v>
      </c>
      <c r="B3399" s="1" t="s">
        <v>35</v>
      </c>
      <c r="C3399" s="1">
        <v>4.1</v>
      </c>
    </row>
    <row r="3400" ht="14.25" customHeight="1">
      <c r="A3400" s="1" t="s">
        <v>16035</v>
      </c>
      <c r="B3400" s="1" t="s">
        <v>35</v>
      </c>
      <c r="C3400" s="1">
        <v>6.7</v>
      </c>
    </row>
    <row r="3401" ht="14.25" customHeight="1">
      <c r="A3401" s="1" t="s">
        <v>16039</v>
      </c>
      <c r="B3401" s="1" t="s">
        <v>35</v>
      </c>
      <c r="C3401" s="1">
        <v>5.8</v>
      </c>
    </row>
    <row r="3402" ht="14.25" customHeight="1">
      <c r="A3402" s="1" t="s">
        <v>248</v>
      </c>
      <c r="B3402" s="1" t="s">
        <v>35</v>
      </c>
      <c r="C3402" s="1">
        <v>6.5</v>
      </c>
    </row>
    <row r="3403" ht="14.25" customHeight="1">
      <c r="A3403" s="1" t="s">
        <v>1914</v>
      </c>
      <c r="B3403" s="1" t="s">
        <v>35</v>
      </c>
      <c r="C3403" s="1">
        <v>7.0</v>
      </c>
    </row>
    <row r="3404" ht="14.25" customHeight="1">
      <c r="A3404" s="1" t="s">
        <v>16042</v>
      </c>
      <c r="B3404" s="1" t="s">
        <v>14505</v>
      </c>
      <c r="C3404" s="1">
        <v>8.0</v>
      </c>
    </row>
    <row r="3405" ht="14.25" customHeight="1">
      <c r="A3405" s="1" t="s">
        <v>16049</v>
      </c>
      <c r="B3405" s="1" t="s">
        <v>35</v>
      </c>
      <c r="C3405" s="1">
        <v>6.5</v>
      </c>
    </row>
    <row r="3406" ht="14.25" customHeight="1">
      <c r="A3406" s="1" t="s">
        <v>16053</v>
      </c>
      <c r="B3406" s="1" t="s">
        <v>2752</v>
      </c>
      <c r="C3406" s="1">
        <v>6.8</v>
      </c>
    </row>
    <row r="3407" ht="14.25" customHeight="1">
      <c r="A3407" s="1" t="s">
        <v>16058</v>
      </c>
      <c r="B3407" s="1" t="s">
        <v>35</v>
      </c>
      <c r="C3407" s="1">
        <v>7.4</v>
      </c>
    </row>
    <row r="3408" ht="14.25" customHeight="1">
      <c r="A3408" s="1" t="s">
        <v>16065</v>
      </c>
      <c r="B3408" s="1" t="s">
        <v>35</v>
      </c>
      <c r="C3408" s="1">
        <v>8.3</v>
      </c>
    </row>
    <row r="3409" ht="14.25" customHeight="1">
      <c r="A3409" s="1" t="s">
        <v>16072</v>
      </c>
      <c r="B3409" s="1" t="s">
        <v>35</v>
      </c>
      <c r="C3409" s="1">
        <v>5.3</v>
      </c>
    </row>
    <row r="3410" ht="14.25" customHeight="1">
      <c r="A3410" s="1" t="s">
        <v>16077</v>
      </c>
      <c r="B3410" s="1" t="s">
        <v>35</v>
      </c>
      <c r="C3410" s="1">
        <v>8.1</v>
      </c>
    </row>
    <row r="3411" ht="14.25" customHeight="1">
      <c r="A3411" s="1" t="s">
        <v>16083</v>
      </c>
      <c r="B3411" s="1" t="s">
        <v>35</v>
      </c>
      <c r="C3411" s="1">
        <v>8.0</v>
      </c>
    </row>
    <row r="3412" ht="14.25" customHeight="1">
      <c r="A3412" s="1" t="s">
        <v>16086</v>
      </c>
      <c r="B3412" s="1" t="s">
        <v>35</v>
      </c>
      <c r="C3412" s="1">
        <v>5.7</v>
      </c>
    </row>
    <row r="3413" ht="14.25" customHeight="1">
      <c r="A3413" s="1" t="s">
        <v>16091</v>
      </c>
      <c r="B3413" s="1" t="s">
        <v>35</v>
      </c>
      <c r="C3413" s="1">
        <v>7.1</v>
      </c>
    </row>
    <row r="3414" ht="14.25" customHeight="1">
      <c r="A3414" s="1" t="s">
        <v>16096</v>
      </c>
      <c r="B3414" s="1" t="s">
        <v>35</v>
      </c>
      <c r="C3414" s="1">
        <v>7.8</v>
      </c>
    </row>
    <row r="3415" ht="14.25" customHeight="1">
      <c r="A3415" s="1" t="s">
        <v>16101</v>
      </c>
      <c r="B3415" s="1" t="s">
        <v>35</v>
      </c>
      <c r="C3415" s="1">
        <v>5.9</v>
      </c>
    </row>
    <row r="3416" ht="14.25" customHeight="1">
      <c r="A3416" s="1" t="s">
        <v>16107</v>
      </c>
      <c r="B3416" s="1" t="s">
        <v>35</v>
      </c>
      <c r="C3416" s="1">
        <v>7.8</v>
      </c>
    </row>
    <row r="3417" ht="14.25" customHeight="1">
      <c r="A3417" s="1" t="s">
        <v>7290</v>
      </c>
      <c r="B3417" s="1" t="s">
        <v>35</v>
      </c>
      <c r="C3417" s="1">
        <v>5.3</v>
      </c>
    </row>
    <row r="3418" ht="14.25" customHeight="1">
      <c r="A3418" s="1" t="s">
        <v>16111</v>
      </c>
      <c r="B3418" s="1" t="s">
        <v>2648</v>
      </c>
      <c r="C3418" s="1">
        <v>7.2</v>
      </c>
    </row>
    <row r="3419" ht="14.25" customHeight="1">
      <c r="A3419" s="1" t="s">
        <v>16116</v>
      </c>
      <c r="B3419" s="1" t="s">
        <v>35</v>
      </c>
      <c r="C3419" s="1">
        <v>5.1</v>
      </c>
    </row>
    <row r="3420" ht="14.25" customHeight="1">
      <c r="A3420" s="1" t="s">
        <v>16120</v>
      </c>
      <c r="B3420" s="1" t="s">
        <v>35</v>
      </c>
      <c r="C3420" s="1">
        <v>5.1</v>
      </c>
    </row>
    <row r="3421" ht="14.25" customHeight="1">
      <c r="A3421" s="1" t="s">
        <v>11562</v>
      </c>
      <c r="B3421" s="1" t="s">
        <v>35</v>
      </c>
      <c r="C3421" s="1">
        <v>4.9</v>
      </c>
    </row>
    <row r="3422" ht="14.25" customHeight="1">
      <c r="A3422" s="1" t="s">
        <v>16125</v>
      </c>
      <c r="B3422" s="1" t="s">
        <v>35</v>
      </c>
      <c r="C3422" s="1">
        <v>6.9</v>
      </c>
    </row>
    <row r="3423" ht="14.25" customHeight="1">
      <c r="A3423" s="1" t="s">
        <v>16129</v>
      </c>
      <c r="B3423" s="1" t="s">
        <v>35</v>
      </c>
      <c r="C3423" s="1">
        <v>4.6</v>
      </c>
    </row>
    <row r="3424" ht="14.25" customHeight="1">
      <c r="A3424" s="1" t="s">
        <v>16135</v>
      </c>
      <c r="B3424" s="1" t="s">
        <v>35</v>
      </c>
      <c r="C3424" s="1">
        <v>6.7</v>
      </c>
    </row>
    <row r="3425" ht="14.25" customHeight="1">
      <c r="A3425" s="1" t="s">
        <v>16141</v>
      </c>
      <c r="B3425" s="1" t="s">
        <v>35</v>
      </c>
      <c r="C3425" s="1">
        <v>7.1</v>
      </c>
    </row>
    <row r="3426" ht="14.25" customHeight="1">
      <c r="A3426" s="1" t="s">
        <v>16144</v>
      </c>
      <c r="B3426" s="1" t="s">
        <v>35</v>
      </c>
      <c r="C3426" s="1">
        <v>7.6</v>
      </c>
    </row>
    <row r="3427" ht="14.25" customHeight="1">
      <c r="A3427" s="1" t="s">
        <v>16148</v>
      </c>
      <c r="B3427" s="1" t="s">
        <v>35</v>
      </c>
      <c r="C3427" s="1">
        <v>8.1</v>
      </c>
    </row>
    <row r="3428" ht="14.25" customHeight="1">
      <c r="A3428" s="1" t="s">
        <v>16155</v>
      </c>
      <c r="B3428" s="1" t="s">
        <v>35</v>
      </c>
      <c r="C3428" s="1">
        <v>7.0</v>
      </c>
    </row>
    <row r="3429" ht="14.25" customHeight="1">
      <c r="A3429" s="1" t="s">
        <v>16158</v>
      </c>
      <c r="B3429" s="1" t="s">
        <v>35</v>
      </c>
      <c r="C3429" s="1">
        <v>7.1</v>
      </c>
    </row>
    <row r="3430" ht="14.25" customHeight="1">
      <c r="A3430" s="1" t="s">
        <v>16165</v>
      </c>
      <c r="B3430" s="1" t="s">
        <v>35</v>
      </c>
      <c r="C3430" s="1">
        <v>7.6</v>
      </c>
    </row>
    <row r="3431" ht="14.25" customHeight="1">
      <c r="A3431" s="1" t="s">
        <v>16170</v>
      </c>
      <c r="B3431" s="1" t="s">
        <v>35</v>
      </c>
      <c r="C3431" s="1">
        <v>7.1</v>
      </c>
    </row>
    <row r="3432" ht="14.25" customHeight="1">
      <c r="A3432" s="1" t="s">
        <v>16174</v>
      </c>
      <c r="B3432" s="1" t="s">
        <v>35</v>
      </c>
      <c r="C3432" s="1">
        <v>7.7</v>
      </c>
    </row>
    <row r="3433" ht="14.25" customHeight="1">
      <c r="A3433" s="1" t="s">
        <v>16182</v>
      </c>
      <c r="B3433" s="1" t="s">
        <v>35</v>
      </c>
      <c r="C3433" s="1">
        <v>7.6</v>
      </c>
    </row>
    <row r="3434" ht="14.25" customHeight="1">
      <c r="A3434" s="1" t="s">
        <v>7601</v>
      </c>
      <c r="B3434" s="1" t="s">
        <v>35</v>
      </c>
      <c r="C3434" s="1">
        <v>6.7</v>
      </c>
    </row>
    <row r="3435" ht="14.25" customHeight="1">
      <c r="A3435" s="1" t="s">
        <v>16188</v>
      </c>
      <c r="B3435" s="1" t="s">
        <v>35</v>
      </c>
      <c r="C3435" s="1">
        <v>5.7</v>
      </c>
    </row>
    <row r="3436" ht="14.25" customHeight="1">
      <c r="A3436" s="1" t="s">
        <v>16192</v>
      </c>
      <c r="B3436" s="1" t="s">
        <v>35</v>
      </c>
      <c r="C3436" s="1">
        <v>7.1</v>
      </c>
    </row>
    <row r="3437" ht="14.25" customHeight="1">
      <c r="A3437" s="1" t="s">
        <v>16199</v>
      </c>
      <c r="B3437" s="1" t="s">
        <v>35</v>
      </c>
      <c r="C3437" s="1">
        <v>6.2</v>
      </c>
    </row>
    <row r="3438" ht="14.25" customHeight="1">
      <c r="A3438" s="1" t="s">
        <v>16203</v>
      </c>
      <c r="B3438" s="1" t="s">
        <v>10526</v>
      </c>
      <c r="C3438" s="1">
        <v>6.1</v>
      </c>
    </row>
    <row r="3439" ht="14.25" customHeight="1">
      <c r="A3439" s="1" t="s">
        <v>16209</v>
      </c>
      <c r="B3439" s="1" t="s">
        <v>2648</v>
      </c>
      <c r="C3439" s="1">
        <v>5.9</v>
      </c>
    </row>
    <row r="3440" ht="14.25" customHeight="1">
      <c r="A3440" s="1" t="s">
        <v>16213</v>
      </c>
      <c r="B3440" s="1" t="s">
        <v>35</v>
      </c>
      <c r="C3440" s="1">
        <v>6.8</v>
      </c>
    </row>
    <row r="3441" ht="14.25" customHeight="1">
      <c r="A3441" s="1" t="s">
        <v>16217</v>
      </c>
      <c r="B3441" s="1" t="s">
        <v>35</v>
      </c>
      <c r="C3441" s="1">
        <v>6.8</v>
      </c>
    </row>
    <row r="3442" ht="14.25" customHeight="1">
      <c r="A3442" s="1" t="s">
        <v>16221</v>
      </c>
      <c r="B3442" s="1" t="s">
        <v>35</v>
      </c>
      <c r="C3442" s="1">
        <v>5.1</v>
      </c>
    </row>
    <row r="3443" ht="14.25" customHeight="1">
      <c r="A3443" s="1" t="s">
        <v>16227</v>
      </c>
      <c r="B3443" s="1" t="s">
        <v>35</v>
      </c>
      <c r="C3443" s="1">
        <v>7.7</v>
      </c>
    </row>
    <row r="3444" ht="14.25" customHeight="1">
      <c r="A3444" s="1" t="s">
        <v>16231</v>
      </c>
      <c r="B3444" s="1" t="s">
        <v>35</v>
      </c>
      <c r="C3444" s="1">
        <v>3.9</v>
      </c>
    </row>
    <row r="3445" ht="14.25" customHeight="1">
      <c r="A3445" s="1" t="s">
        <v>16236</v>
      </c>
      <c r="B3445" s="1" t="s">
        <v>35</v>
      </c>
      <c r="C3445" s="1">
        <v>5.7</v>
      </c>
    </row>
    <row r="3446" ht="14.25" customHeight="1">
      <c r="A3446" s="1" t="s">
        <v>16243</v>
      </c>
      <c r="B3446" s="1" t="s">
        <v>35</v>
      </c>
      <c r="C3446" s="1">
        <v>4.7</v>
      </c>
    </row>
    <row r="3447" ht="14.25" customHeight="1">
      <c r="A3447" s="1" t="s">
        <v>16250</v>
      </c>
      <c r="B3447" s="1" t="s">
        <v>35</v>
      </c>
      <c r="C3447" s="1">
        <v>5.9</v>
      </c>
    </row>
    <row r="3448" ht="14.25" customHeight="1">
      <c r="A3448" s="1" t="s">
        <v>16254</v>
      </c>
      <c r="B3448" s="1" t="s">
        <v>35</v>
      </c>
      <c r="C3448" s="1">
        <v>8.1</v>
      </c>
    </row>
    <row r="3449" ht="14.25" customHeight="1">
      <c r="A3449" s="1" t="s">
        <v>16261</v>
      </c>
      <c r="B3449" s="1" t="s">
        <v>14952</v>
      </c>
      <c r="C3449" s="1">
        <v>7.6</v>
      </c>
    </row>
    <row r="3450" ht="14.25" customHeight="1">
      <c r="A3450" s="1" t="s">
        <v>16267</v>
      </c>
      <c r="B3450" s="1" t="s">
        <v>35</v>
      </c>
      <c r="C3450" s="1">
        <v>7.5</v>
      </c>
    </row>
    <row r="3451" ht="14.25" customHeight="1">
      <c r="A3451" s="1" t="s">
        <v>16272</v>
      </c>
      <c r="B3451" s="1" t="s">
        <v>35</v>
      </c>
      <c r="C3451" s="1">
        <v>5.1</v>
      </c>
    </row>
    <row r="3452" ht="14.25" customHeight="1">
      <c r="A3452" s="1" t="s">
        <v>16280</v>
      </c>
      <c r="B3452" s="1" t="s">
        <v>35</v>
      </c>
      <c r="C3452" s="1">
        <v>6.9</v>
      </c>
    </row>
    <row r="3453" ht="14.25" customHeight="1">
      <c r="A3453" s="1" t="s">
        <v>16286</v>
      </c>
      <c r="B3453" s="1" t="s">
        <v>35</v>
      </c>
      <c r="C3453" s="1">
        <v>7.6</v>
      </c>
    </row>
    <row r="3454" ht="14.25" customHeight="1">
      <c r="A3454" s="1" t="s">
        <v>16292</v>
      </c>
      <c r="B3454" s="1" t="s">
        <v>6797</v>
      </c>
      <c r="C3454" s="1">
        <v>7.6</v>
      </c>
    </row>
    <row r="3455" ht="14.25" customHeight="1">
      <c r="A3455" s="1" t="s">
        <v>16296</v>
      </c>
      <c r="B3455" s="1" t="s">
        <v>35</v>
      </c>
      <c r="C3455" s="1">
        <v>7.6</v>
      </c>
    </row>
    <row r="3456" ht="14.25" customHeight="1">
      <c r="A3456" s="1" t="s">
        <v>16302</v>
      </c>
      <c r="B3456" s="1" t="s">
        <v>35</v>
      </c>
      <c r="C3456" s="1">
        <v>5.3</v>
      </c>
    </row>
    <row r="3457" ht="14.25" customHeight="1">
      <c r="A3457" s="1" t="s">
        <v>16308</v>
      </c>
      <c r="B3457" s="1" t="s">
        <v>10526</v>
      </c>
      <c r="C3457" s="1">
        <v>8.5</v>
      </c>
    </row>
    <row r="3458" ht="14.25" customHeight="1">
      <c r="A3458" s="1" t="s">
        <v>16312</v>
      </c>
      <c r="B3458" s="1" t="s">
        <v>35</v>
      </c>
      <c r="C3458" s="1">
        <v>7.0</v>
      </c>
    </row>
    <row r="3459" ht="14.25" customHeight="1">
      <c r="A3459" s="1" t="s">
        <v>16318</v>
      </c>
      <c r="B3459" s="1" t="s">
        <v>2752</v>
      </c>
      <c r="C3459" s="1">
        <v>7.8</v>
      </c>
    </row>
    <row r="3460" ht="14.25" customHeight="1">
      <c r="A3460" s="1" t="s">
        <v>16326</v>
      </c>
      <c r="B3460" s="1" t="s">
        <v>35</v>
      </c>
      <c r="C3460" s="1">
        <v>7.2</v>
      </c>
    </row>
    <row r="3461" ht="14.25" customHeight="1">
      <c r="A3461" s="1" t="s">
        <v>16329</v>
      </c>
      <c r="B3461" s="1" t="s">
        <v>35</v>
      </c>
      <c r="C3461" s="1">
        <v>8.0</v>
      </c>
    </row>
    <row r="3462" ht="14.25" customHeight="1">
      <c r="A3462" s="1" t="s">
        <v>16334</v>
      </c>
      <c r="B3462" s="1" t="s">
        <v>2648</v>
      </c>
      <c r="C3462" s="1">
        <v>8.1</v>
      </c>
    </row>
    <row r="3463" ht="14.25" customHeight="1">
      <c r="A3463" s="1" t="s">
        <v>16340</v>
      </c>
      <c r="B3463" s="1" t="s">
        <v>35</v>
      </c>
      <c r="C3463" s="1">
        <v>6.8</v>
      </c>
    </row>
    <row r="3464" ht="14.25" customHeight="1">
      <c r="A3464" s="1" t="s">
        <v>16345</v>
      </c>
      <c r="B3464" s="1" t="s">
        <v>35</v>
      </c>
      <c r="C3464" s="1">
        <v>7.2</v>
      </c>
    </row>
    <row r="3465" ht="14.25" customHeight="1">
      <c r="A3465" s="1" t="s">
        <v>16351</v>
      </c>
      <c r="B3465" s="1" t="s">
        <v>35</v>
      </c>
      <c r="C3465" s="1">
        <v>7.4</v>
      </c>
    </row>
    <row r="3466" ht="14.25" customHeight="1">
      <c r="A3466" s="1" t="s">
        <v>16356</v>
      </c>
      <c r="B3466" s="1" t="s">
        <v>35</v>
      </c>
      <c r="C3466" s="1">
        <v>6.1</v>
      </c>
    </row>
    <row r="3467" ht="14.25" customHeight="1">
      <c r="A3467" s="1" t="s">
        <v>16359</v>
      </c>
      <c r="B3467" s="1" t="s">
        <v>35</v>
      </c>
      <c r="C3467" s="1">
        <v>7.0</v>
      </c>
    </row>
    <row r="3468" ht="14.25" customHeight="1">
      <c r="A3468" s="1" t="s">
        <v>16362</v>
      </c>
      <c r="B3468" s="1" t="s">
        <v>35</v>
      </c>
      <c r="C3468" s="1">
        <v>5.3</v>
      </c>
    </row>
    <row r="3469" ht="14.25" customHeight="1">
      <c r="A3469" s="1" t="s">
        <v>16366</v>
      </c>
      <c r="B3469" s="1" t="s">
        <v>35</v>
      </c>
      <c r="C3469" s="1">
        <v>4.7</v>
      </c>
    </row>
    <row r="3470" ht="14.25" customHeight="1">
      <c r="A3470" s="1" t="s">
        <v>16370</v>
      </c>
      <c r="B3470" s="1" t="s">
        <v>35</v>
      </c>
      <c r="C3470" s="1">
        <v>5.7</v>
      </c>
    </row>
    <row r="3471" ht="14.25" customHeight="1">
      <c r="A3471" s="1" t="s">
        <v>10909</v>
      </c>
      <c r="B3471" s="1" t="s">
        <v>35</v>
      </c>
      <c r="C3471" s="1">
        <v>7.8</v>
      </c>
    </row>
    <row r="3472" ht="14.25" customHeight="1">
      <c r="A3472" s="1" t="s">
        <v>16375</v>
      </c>
      <c r="B3472" s="1" t="s">
        <v>35</v>
      </c>
      <c r="C3472" s="1">
        <v>6.5</v>
      </c>
    </row>
    <row r="3473" ht="14.25" customHeight="1">
      <c r="A3473" s="1" t="s">
        <v>16382</v>
      </c>
      <c r="B3473" s="1" t="s">
        <v>16388</v>
      </c>
      <c r="C3473" s="1">
        <v>8.0</v>
      </c>
    </row>
    <row r="3474" ht="14.25" customHeight="1">
      <c r="A3474" s="1" t="s">
        <v>16391</v>
      </c>
      <c r="B3474" s="1" t="s">
        <v>35</v>
      </c>
      <c r="C3474" s="1">
        <v>3.3</v>
      </c>
    </row>
    <row r="3475" ht="14.25" customHeight="1">
      <c r="A3475" s="1" t="s">
        <v>16398</v>
      </c>
      <c r="B3475" s="1" t="s">
        <v>35</v>
      </c>
      <c r="C3475" s="1">
        <v>6.9</v>
      </c>
    </row>
    <row r="3476" ht="14.25" customHeight="1">
      <c r="A3476" s="1" t="s">
        <v>16403</v>
      </c>
      <c r="B3476" s="1" t="s">
        <v>35</v>
      </c>
      <c r="C3476" s="1">
        <v>8.1</v>
      </c>
    </row>
    <row r="3477" ht="14.25" customHeight="1">
      <c r="A3477" s="1" t="s">
        <v>16410</v>
      </c>
      <c r="B3477" s="1" t="s">
        <v>35</v>
      </c>
      <c r="C3477" s="1">
        <v>6.8</v>
      </c>
    </row>
    <row r="3478" ht="14.25" customHeight="1">
      <c r="A3478" s="1" t="s">
        <v>16416</v>
      </c>
      <c r="B3478" s="1" t="s">
        <v>35</v>
      </c>
      <c r="C3478" s="1">
        <v>4.6</v>
      </c>
    </row>
    <row r="3479" ht="14.25" customHeight="1">
      <c r="A3479" s="1" t="s">
        <v>16423</v>
      </c>
      <c r="B3479" s="1" t="s">
        <v>35</v>
      </c>
      <c r="C3479" s="1">
        <v>7.0</v>
      </c>
    </row>
    <row r="3480" ht="14.25" customHeight="1">
      <c r="A3480" s="1" t="s">
        <v>16427</v>
      </c>
      <c r="B3480" s="1" t="s">
        <v>35</v>
      </c>
      <c r="C3480" s="1">
        <v>6.7</v>
      </c>
    </row>
    <row r="3481" ht="14.25" customHeight="1">
      <c r="A3481" s="1" t="s">
        <v>16435</v>
      </c>
      <c r="B3481" s="1" t="s">
        <v>35</v>
      </c>
      <c r="C3481" s="1">
        <v>5.8</v>
      </c>
    </row>
    <row r="3482" ht="14.25" customHeight="1">
      <c r="A3482" s="1" t="s">
        <v>16438</v>
      </c>
      <c r="B3482" s="1" t="s">
        <v>35</v>
      </c>
      <c r="C3482" s="1">
        <v>4.5</v>
      </c>
    </row>
    <row r="3483" ht="14.25" customHeight="1">
      <c r="A3483" s="1" t="s">
        <v>16443</v>
      </c>
      <c r="B3483" s="1" t="s">
        <v>35</v>
      </c>
      <c r="C3483" s="1">
        <v>6.6</v>
      </c>
    </row>
    <row r="3484" ht="14.25" customHeight="1">
      <c r="A3484" s="1" t="s">
        <v>16447</v>
      </c>
      <c r="B3484" s="1" t="s">
        <v>35</v>
      </c>
      <c r="C3484" s="1">
        <v>6.6</v>
      </c>
    </row>
    <row r="3485" ht="14.25" customHeight="1">
      <c r="A3485" s="1" t="s">
        <v>9095</v>
      </c>
      <c r="B3485" s="1" t="s">
        <v>35</v>
      </c>
      <c r="C3485" s="1">
        <v>5.1</v>
      </c>
    </row>
    <row r="3486" ht="14.25" customHeight="1">
      <c r="A3486" s="1" t="s">
        <v>16452</v>
      </c>
      <c r="B3486" s="1" t="s">
        <v>35</v>
      </c>
      <c r="C3486" s="1">
        <v>7.8</v>
      </c>
    </row>
    <row r="3487" ht="14.25" customHeight="1">
      <c r="A3487" s="1" t="s">
        <v>16458</v>
      </c>
      <c r="B3487" s="1" t="s">
        <v>35</v>
      </c>
      <c r="C3487" s="1">
        <v>7.7</v>
      </c>
    </row>
    <row r="3488" ht="14.25" customHeight="1">
      <c r="A3488" s="1" t="s">
        <v>16466</v>
      </c>
      <c r="B3488" s="1" t="s">
        <v>35</v>
      </c>
      <c r="C3488" s="1">
        <v>5.7</v>
      </c>
    </row>
    <row r="3489" ht="14.25" customHeight="1">
      <c r="A3489" s="1" t="s">
        <v>16474</v>
      </c>
      <c r="B3489" s="1" t="s">
        <v>35</v>
      </c>
      <c r="C3489" s="1">
        <v>7.1</v>
      </c>
    </row>
    <row r="3490" ht="14.25" customHeight="1">
      <c r="A3490" s="1" t="s">
        <v>16477</v>
      </c>
      <c r="B3490" s="1" t="s">
        <v>35</v>
      </c>
      <c r="C3490" s="1">
        <v>6.4</v>
      </c>
    </row>
    <row r="3491" ht="14.25" customHeight="1">
      <c r="A3491" s="1" t="s">
        <v>16481</v>
      </c>
      <c r="B3491" s="1" t="s">
        <v>35</v>
      </c>
      <c r="C3491" s="1">
        <v>7.0</v>
      </c>
    </row>
    <row r="3492" ht="14.25" customHeight="1">
      <c r="A3492" s="1" t="s">
        <v>16486</v>
      </c>
      <c r="B3492" s="1" t="s">
        <v>2752</v>
      </c>
      <c r="C3492" s="1">
        <v>5.8</v>
      </c>
    </row>
    <row r="3493" ht="14.25" customHeight="1">
      <c r="A3493" s="1" t="s">
        <v>7877</v>
      </c>
      <c r="B3493" s="1" t="s">
        <v>35</v>
      </c>
      <c r="C3493" s="1">
        <v>5.9</v>
      </c>
    </row>
    <row r="3494" ht="14.25" customHeight="1">
      <c r="A3494" s="1" t="s">
        <v>6881</v>
      </c>
      <c r="B3494" s="1" t="s">
        <v>35</v>
      </c>
      <c r="C3494" s="1">
        <v>7.5</v>
      </c>
    </row>
    <row r="3495" ht="14.25" customHeight="1">
      <c r="A3495" s="1" t="s">
        <v>16492</v>
      </c>
      <c r="B3495" s="1" t="s">
        <v>35</v>
      </c>
      <c r="C3495" s="1">
        <v>7.8</v>
      </c>
    </row>
    <row r="3496" ht="14.25" customHeight="1">
      <c r="A3496" s="1" t="s">
        <v>16500</v>
      </c>
      <c r="B3496" s="1" t="s">
        <v>35</v>
      </c>
      <c r="C3496" s="1">
        <v>7.2</v>
      </c>
    </row>
    <row r="3497" ht="14.25" customHeight="1">
      <c r="A3497" s="1" t="s">
        <v>16506</v>
      </c>
      <c r="B3497" s="1" t="s">
        <v>35</v>
      </c>
      <c r="C3497" s="1">
        <v>5.6</v>
      </c>
    </row>
    <row r="3498" ht="14.25" customHeight="1">
      <c r="A3498" s="1" t="s">
        <v>16511</v>
      </c>
      <c r="B3498" s="1" t="s">
        <v>2648</v>
      </c>
      <c r="C3498" s="1">
        <v>6.8</v>
      </c>
    </row>
    <row r="3499" ht="14.25" customHeight="1">
      <c r="A3499" s="1" t="s">
        <v>16516</v>
      </c>
      <c r="B3499" s="1" t="s">
        <v>35</v>
      </c>
      <c r="C3499" s="1">
        <v>7.3</v>
      </c>
    </row>
    <row r="3500" ht="14.25" customHeight="1">
      <c r="A3500" s="1" t="s">
        <v>16522</v>
      </c>
      <c r="B3500" s="1" t="s">
        <v>35</v>
      </c>
      <c r="C3500" s="1">
        <v>7.3</v>
      </c>
    </row>
    <row r="3501" ht="14.25" customHeight="1">
      <c r="A3501" s="1" t="s">
        <v>16525</v>
      </c>
      <c r="B3501" s="1" t="s">
        <v>10526</v>
      </c>
      <c r="C3501" s="1">
        <v>7.8</v>
      </c>
    </row>
    <row r="3502" ht="14.25" customHeight="1">
      <c r="A3502" s="1" t="s">
        <v>16531</v>
      </c>
      <c r="B3502" s="1" t="s">
        <v>35</v>
      </c>
      <c r="C3502" s="1">
        <v>6.7</v>
      </c>
    </row>
    <row r="3503" ht="14.25" customHeight="1">
      <c r="A3503" s="1" t="s">
        <v>16535</v>
      </c>
      <c r="B3503" s="1" t="s">
        <v>35</v>
      </c>
      <c r="C3503" s="1">
        <v>7.5</v>
      </c>
    </row>
    <row r="3504" ht="14.25" customHeight="1">
      <c r="A3504" s="1" t="s">
        <v>16539</v>
      </c>
      <c r="B3504" s="1" t="s">
        <v>35</v>
      </c>
      <c r="C3504" s="1">
        <v>6.3</v>
      </c>
    </row>
    <row r="3505" ht="14.25" customHeight="1">
      <c r="A3505" s="1" t="s">
        <v>16545</v>
      </c>
      <c r="B3505" s="1" t="s">
        <v>35</v>
      </c>
      <c r="C3505" s="1">
        <v>6.3</v>
      </c>
    </row>
    <row r="3506" ht="14.25" customHeight="1">
      <c r="A3506" s="1" t="s">
        <v>16550</v>
      </c>
      <c r="B3506" s="1" t="s">
        <v>35</v>
      </c>
      <c r="C3506" s="1">
        <v>6.8</v>
      </c>
    </row>
    <row r="3507" ht="14.25" customHeight="1">
      <c r="A3507" s="1" t="s">
        <v>16556</v>
      </c>
      <c r="B3507" s="1" t="s">
        <v>13092</v>
      </c>
      <c r="C3507" s="1">
        <v>7.8</v>
      </c>
    </row>
    <row r="3508" ht="14.25" customHeight="1">
      <c r="A3508" s="1" t="s">
        <v>16561</v>
      </c>
      <c r="B3508" s="1" t="s">
        <v>35</v>
      </c>
      <c r="C3508" s="1">
        <v>6.9</v>
      </c>
    </row>
    <row r="3509" ht="14.25" customHeight="1">
      <c r="A3509" s="1" t="s">
        <v>16565</v>
      </c>
      <c r="B3509" s="1" t="s">
        <v>16570</v>
      </c>
      <c r="C3509" s="1">
        <v>7.2</v>
      </c>
    </row>
    <row r="3510" ht="14.25" customHeight="1">
      <c r="A3510" s="1" t="s">
        <v>16572</v>
      </c>
      <c r="B3510" s="1" t="s">
        <v>2752</v>
      </c>
      <c r="C3510" s="1">
        <v>7.2</v>
      </c>
    </row>
    <row r="3511" ht="14.25" customHeight="1">
      <c r="A3511" s="1" t="s">
        <v>16577</v>
      </c>
      <c r="B3511" s="1" t="s">
        <v>35</v>
      </c>
      <c r="C3511" s="1">
        <v>5.4</v>
      </c>
    </row>
    <row r="3512" ht="14.25" customHeight="1">
      <c r="A3512" s="1" t="s">
        <v>8249</v>
      </c>
      <c r="B3512" s="1" t="s">
        <v>35</v>
      </c>
      <c r="C3512" s="1">
        <v>7.4</v>
      </c>
    </row>
    <row r="3513" ht="14.25" customHeight="1">
      <c r="A3513" s="1" t="s">
        <v>16582</v>
      </c>
      <c r="B3513" s="1" t="s">
        <v>35</v>
      </c>
      <c r="C3513" s="1">
        <v>7.1</v>
      </c>
    </row>
    <row r="3514" ht="14.25" customHeight="1">
      <c r="A3514" s="1" t="s">
        <v>16586</v>
      </c>
      <c r="B3514" s="1" t="s">
        <v>35</v>
      </c>
      <c r="C3514" s="1">
        <v>6.8</v>
      </c>
    </row>
    <row r="3515" ht="14.25" customHeight="1">
      <c r="A3515" s="1" t="s">
        <v>16591</v>
      </c>
      <c r="B3515" s="1" t="s">
        <v>35</v>
      </c>
      <c r="C3515" s="1">
        <v>7.4</v>
      </c>
    </row>
    <row r="3516" ht="14.25" customHeight="1">
      <c r="A3516" s="1" t="s">
        <v>16597</v>
      </c>
      <c r="B3516" s="1" t="s">
        <v>35</v>
      </c>
      <c r="C3516" s="1">
        <v>6.7</v>
      </c>
    </row>
    <row r="3517" ht="14.25" customHeight="1">
      <c r="A3517" s="1" t="s">
        <v>16603</v>
      </c>
      <c r="B3517" s="1" t="s">
        <v>35</v>
      </c>
      <c r="C3517" s="1">
        <v>7.2</v>
      </c>
    </row>
    <row r="3518" ht="14.25" customHeight="1">
      <c r="A3518" s="1" t="s">
        <v>16606</v>
      </c>
      <c r="B3518" s="1" t="s">
        <v>35</v>
      </c>
      <c r="C3518" s="1">
        <v>7.5</v>
      </c>
    </row>
    <row r="3519" ht="14.25" customHeight="1">
      <c r="A3519" s="1" t="s">
        <v>16610</v>
      </c>
      <c r="B3519" s="1" t="s">
        <v>35</v>
      </c>
      <c r="C3519" s="1">
        <v>6.8</v>
      </c>
    </row>
    <row r="3520" ht="14.25" customHeight="1">
      <c r="A3520" s="1" t="s">
        <v>16615</v>
      </c>
      <c r="B3520" s="1" t="s">
        <v>2648</v>
      </c>
      <c r="C3520" s="1">
        <v>7.9</v>
      </c>
    </row>
    <row r="3521" ht="14.25" customHeight="1">
      <c r="A3521" s="1" t="s">
        <v>16621</v>
      </c>
      <c r="B3521" s="1" t="s">
        <v>35</v>
      </c>
      <c r="C3521" s="1">
        <v>6.7</v>
      </c>
    </row>
    <row r="3522" ht="14.25" customHeight="1">
      <c r="A3522" s="1" t="s">
        <v>16626</v>
      </c>
      <c r="B3522" s="1" t="s">
        <v>35</v>
      </c>
      <c r="C3522" s="1">
        <v>5.8</v>
      </c>
    </row>
    <row r="3523" ht="14.25" customHeight="1">
      <c r="A3523" s="1" t="s">
        <v>16629</v>
      </c>
      <c r="B3523" s="1" t="s">
        <v>35</v>
      </c>
      <c r="C3523" s="1">
        <v>6.5</v>
      </c>
    </row>
    <row r="3524" ht="14.25" customHeight="1">
      <c r="A3524" s="1" t="s">
        <v>16635</v>
      </c>
      <c r="B3524" s="1" t="s">
        <v>35</v>
      </c>
      <c r="C3524" s="1">
        <v>7.2</v>
      </c>
    </row>
    <row r="3525" ht="14.25" customHeight="1">
      <c r="A3525" s="1" t="s">
        <v>16640</v>
      </c>
      <c r="B3525" s="1" t="s">
        <v>35</v>
      </c>
      <c r="C3525" s="1">
        <v>6.5</v>
      </c>
    </row>
    <row r="3526" ht="14.25" customHeight="1">
      <c r="A3526" s="1" t="s">
        <v>16643</v>
      </c>
      <c r="B3526" s="1" t="s">
        <v>35</v>
      </c>
      <c r="C3526" s="1">
        <v>6.2</v>
      </c>
    </row>
    <row r="3527" ht="14.25" customHeight="1">
      <c r="A3527" s="1" t="s">
        <v>16648</v>
      </c>
      <c r="B3527" s="1" t="s">
        <v>35</v>
      </c>
      <c r="C3527" s="1">
        <v>8.6</v>
      </c>
    </row>
    <row r="3528" ht="14.25" customHeight="1">
      <c r="A3528" s="1" t="s">
        <v>16655</v>
      </c>
      <c r="B3528" s="1" t="s">
        <v>35</v>
      </c>
      <c r="C3528" s="1">
        <v>6.5</v>
      </c>
    </row>
    <row r="3529" ht="14.25" customHeight="1">
      <c r="A3529" s="1" t="s">
        <v>16658</v>
      </c>
      <c r="B3529" s="1" t="s">
        <v>35</v>
      </c>
      <c r="C3529" s="1">
        <v>6.3</v>
      </c>
    </row>
    <row r="3530" ht="14.25" customHeight="1">
      <c r="A3530" s="1" t="s">
        <v>16663</v>
      </c>
      <c r="B3530" s="1" t="s">
        <v>35</v>
      </c>
      <c r="C3530" s="1">
        <v>6.7</v>
      </c>
    </row>
    <row r="3531" ht="14.25" customHeight="1">
      <c r="A3531" s="1" t="s">
        <v>16669</v>
      </c>
      <c r="B3531" s="1" t="s">
        <v>35</v>
      </c>
      <c r="C3531" s="1">
        <v>6.7</v>
      </c>
    </row>
    <row r="3532" ht="14.25" customHeight="1">
      <c r="A3532" s="1" t="s">
        <v>16672</v>
      </c>
      <c r="B3532" s="1" t="s">
        <v>35</v>
      </c>
      <c r="C3532" s="1">
        <v>5.1</v>
      </c>
    </row>
    <row r="3533" ht="14.25" customHeight="1">
      <c r="A3533" s="1" t="s">
        <v>3852</v>
      </c>
      <c r="B3533" s="1" t="s">
        <v>35</v>
      </c>
      <c r="C3533" s="1">
        <v>7.0</v>
      </c>
    </row>
    <row r="3534" ht="14.25" customHeight="1">
      <c r="A3534" s="1" t="s">
        <v>16676</v>
      </c>
      <c r="B3534" s="1" t="s">
        <v>35</v>
      </c>
      <c r="C3534" s="1">
        <v>7.7</v>
      </c>
    </row>
    <row r="3535" ht="14.25" customHeight="1">
      <c r="A3535" s="1" t="s">
        <v>16683</v>
      </c>
      <c r="B3535" s="1" t="s">
        <v>2648</v>
      </c>
      <c r="C3535" s="1">
        <v>6.7</v>
      </c>
    </row>
    <row r="3536" ht="14.25" customHeight="1">
      <c r="A3536" s="1" t="s">
        <v>16689</v>
      </c>
      <c r="B3536" s="1" t="s">
        <v>35</v>
      </c>
      <c r="C3536" s="1">
        <v>6.6</v>
      </c>
    </row>
    <row r="3537" ht="14.25" customHeight="1">
      <c r="A3537" s="1" t="s">
        <v>16695</v>
      </c>
      <c r="B3537" s="1" t="s">
        <v>35</v>
      </c>
      <c r="C3537" s="1">
        <v>8.2</v>
      </c>
    </row>
    <row r="3538" ht="14.25" customHeight="1">
      <c r="A3538" s="1" t="s">
        <v>16698</v>
      </c>
      <c r="B3538" s="1" t="s">
        <v>13834</v>
      </c>
      <c r="C3538" s="1">
        <v>8.1</v>
      </c>
    </row>
    <row r="3539" ht="14.25" customHeight="1">
      <c r="A3539" s="1" t="s">
        <v>16703</v>
      </c>
      <c r="B3539" s="1" t="s">
        <v>35</v>
      </c>
      <c r="C3539" s="1">
        <v>7.2</v>
      </c>
    </row>
    <row r="3540" ht="14.25" customHeight="1">
      <c r="A3540" s="1" t="s">
        <v>16707</v>
      </c>
      <c r="B3540" s="1" t="s">
        <v>16713</v>
      </c>
      <c r="C3540" s="1">
        <v>7.4</v>
      </c>
    </row>
    <row r="3541" ht="14.25" customHeight="1">
      <c r="A3541" s="1" t="s">
        <v>16715</v>
      </c>
      <c r="B3541" s="1" t="s">
        <v>35</v>
      </c>
      <c r="C3541" s="1">
        <v>6.5</v>
      </c>
    </row>
    <row r="3542" ht="14.25" customHeight="1">
      <c r="A3542" s="1" t="s">
        <v>4070</v>
      </c>
      <c r="B3542" s="1" t="s">
        <v>35</v>
      </c>
      <c r="C3542" s="1">
        <v>6.1</v>
      </c>
    </row>
    <row r="3543" ht="14.25" customHeight="1">
      <c r="A3543" s="1" t="s">
        <v>16719</v>
      </c>
      <c r="B3543" s="1" t="s">
        <v>35</v>
      </c>
      <c r="C3543" s="1">
        <v>6.2</v>
      </c>
    </row>
    <row r="3544" ht="14.25" customHeight="1">
      <c r="A3544" s="1" t="s">
        <v>16722</v>
      </c>
      <c r="B3544" s="1" t="s">
        <v>35</v>
      </c>
      <c r="C3544" s="1">
        <v>6.1</v>
      </c>
    </row>
    <row r="3545" ht="14.25" customHeight="1">
      <c r="A3545" s="1" t="s">
        <v>16728</v>
      </c>
      <c r="B3545" s="1" t="s">
        <v>35</v>
      </c>
      <c r="C3545" s="1">
        <v>7.2</v>
      </c>
    </row>
    <row r="3546" ht="14.25" customHeight="1">
      <c r="A3546" s="1" t="s">
        <v>16732</v>
      </c>
      <c r="B3546" s="1" t="s">
        <v>35</v>
      </c>
      <c r="C3546" s="1">
        <v>7.7</v>
      </c>
    </row>
    <row r="3547" ht="14.25" customHeight="1">
      <c r="A3547" s="1" t="s">
        <v>16735</v>
      </c>
      <c r="B3547" s="1" t="s">
        <v>35</v>
      </c>
      <c r="C3547" s="1">
        <v>7.1</v>
      </c>
    </row>
    <row r="3548" ht="14.25" customHeight="1">
      <c r="A3548" s="1" t="s">
        <v>2565</v>
      </c>
      <c r="B3548" s="1" t="s">
        <v>35</v>
      </c>
      <c r="C3548" s="1">
        <v>5.5</v>
      </c>
    </row>
    <row r="3549" ht="14.25" customHeight="1">
      <c r="A3549" s="1" t="s">
        <v>16738</v>
      </c>
      <c r="B3549" s="1" t="s">
        <v>13092</v>
      </c>
      <c r="C3549" s="1">
        <v>7.4</v>
      </c>
    </row>
    <row r="3550" ht="14.25" customHeight="1">
      <c r="A3550" s="1" t="s">
        <v>16743</v>
      </c>
      <c r="B3550" s="1" t="s">
        <v>35</v>
      </c>
      <c r="C3550" s="1">
        <v>7.7</v>
      </c>
    </row>
    <row r="3551" ht="14.25" customHeight="1">
      <c r="A3551" s="1" t="s">
        <v>8471</v>
      </c>
      <c r="B3551" s="1" t="s">
        <v>35</v>
      </c>
      <c r="C3551" s="1">
        <v>7.8</v>
      </c>
    </row>
    <row r="3552" ht="14.25" customHeight="1">
      <c r="A3552" s="1" t="s">
        <v>16747</v>
      </c>
      <c r="B3552" s="1" t="s">
        <v>35</v>
      </c>
      <c r="C3552" s="1">
        <v>6.6</v>
      </c>
    </row>
    <row r="3553" ht="14.25" customHeight="1">
      <c r="A3553" s="1" t="s">
        <v>16751</v>
      </c>
      <c r="B3553" s="1" t="s">
        <v>35</v>
      </c>
      <c r="C3553" s="1">
        <v>6.0</v>
      </c>
    </row>
    <row r="3554" ht="14.25" customHeight="1">
      <c r="A3554" s="1" t="s">
        <v>16754</v>
      </c>
      <c r="B3554" s="1" t="s">
        <v>35</v>
      </c>
      <c r="C3554" s="1">
        <v>8.4</v>
      </c>
    </row>
    <row r="3555" ht="14.25" customHeight="1">
      <c r="A3555" s="1" t="s">
        <v>16757</v>
      </c>
      <c r="B3555" s="1" t="s">
        <v>9061</v>
      </c>
      <c r="C3555" s="1">
        <v>8.9</v>
      </c>
    </row>
    <row r="3556" ht="14.25" customHeight="1">
      <c r="A3556" s="1" t="s">
        <v>16763</v>
      </c>
      <c r="B3556" s="1" t="s">
        <v>14505</v>
      </c>
      <c r="C3556" s="1">
        <v>7.9</v>
      </c>
    </row>
    <row r="3557" ht="14.25" customHeight="1">
      <c r="A3557" s="1" t="s">
        <v>16770</v>
      </c>
      <c r="B3557" s="1" t="s">
        <v>35</v>
      </c>
      <c r="C3557" s="1">
        <v>6.0</v>
      </c>
    </row>
    <row r="3558" ht="14.25" customHeight="1">
      <c r="A3558" s="1" t="s">
        <v>16776</v>
      </c>
      <c r="B3558" s="1" t="s">
        <v>35</v>
      </c>
      <c r="C3558" s="1">
        <v>6.1</v>
      </c>
    </row>
    <row r="3559" ht="14.25" customHeight="1">
      <c r="A3559" s="1" t="s">
        <v>16782</v>
      </c>
      <c r="B3559" s="1" t="s">
        <v>35</v>
      </c>
      <c r="C3559" s="1">
        <v>6.2</v>
      </c>
    </row>
    <row r="3560" ht="14.25" customHeight="1">
      <c r="A3560" s="1" t="s">
        <v>16788</v>
      </c>
      <c r="B3560" s="1" t="s">
        <v>35</v>
      </c>
      <c r="C3560" s="1">
        <v>6.8</v>
      </c>
    </row>
    <row r="3561" ht="14.25" customHeight="1">
      <c r="A3561" s="1" t="s">
        <v>16792</v>
      </c>
      <c r="B3561" s="1" t="s">
        <v>35</v>
      </c>
      <c r="C3561" s="1">
        <v>5.9</v>
      </c>
    </row>
    <row r="3562" ht="14.25" customHeight="1">
      <c r="A3562" s="1" t="s">
        <v>16798</v>
      </c>
      <c r="B3562" s="1" t="s">
        <v>35</v>
      </c>
      <c r="C3562" s="1">
        <v>6.1</v>
      </c>
    </row>
    <row r="3563" ht="14.25" customHeight="1">
      <c r="A3563" s="1" t="s">
        <v>16804</v>
      </c>
      <c r="B3563" s="1" t="s">
        <v>16810</v>
      </c>
      <c r="C3563" s="1">
        <v>7.6</v>
      </c>
    </row>
    <row r="3564" ht="14.25" customHeight="1">
      <c r="A3564" s="1" t="s">
        <v>16812</v>
      </c>
      <c r="B3564" s="1" t="s">
        <v>35</v>
      </c>
      <c r="C3564" s="1">
        <v>8.1</v>
      </c>
    </row>
    <row r="3565" ht="14.25" customHeight="1">
      <c r="A3565" s="1" t="s">
        <v>10761</v>
      </c>
      <c r="B3565" s="1" t="s">
        <v>35</v>
      </c>
      <c r="C3565" s="1">
        <v>6.8</v>
      </c>
    </row>
    <row r="3566" ht="14.25" customHeight="1">
      <c r="A3566" s="1" t="s">
        <v>16817</v>
      </c>
      <c r="B3566" s="1" t="s">
        <v>35</v>
      </c>
      <c r="C3566" s="1">
        <v>5.7</v>
      </c>
    </row>
    <row r="3567" ht="14.25" customHeight="1">
      <c r="A3567" s="1" t="s">
        <v>16822</v>
      </c>
      <c r="B3567" s="1" t="s">
        <v>35</v>
      </c>
      <c r="C3567" s="1">
        <v>6.6</v>
      </c>
    </row>
    <row r="3568" ht="14.25" customHeight="1">
      <c r="A3568" s="1" t="s">
        <v>16825</v>
      </c>
      <c r="B3568" s="1" t="s">
        <v>35</v>
      </c>
      <c r="C3568" s="1">
        <v>7.3</v>
      </c>
    </row>
    <row r="3569" ht="14.25" customHeight="1">
      <c r="A3569" s="1" t="s">
        <v>16831</v>
      </c>
      <c r="B3569" s="1" t="s">
        <v>35</v>
      </c>
      <c r="C3569" s="1">
        <v>5.0</v>
      </c>
    </row>
    <row r="3570" ht="14.25" customHeight="1">
      <c r="A3570" s="1" t="s">
        <v>16835</v>
      </c>
      <c r="B3570" s="1" t="s">
        <v>35</v>
      </c>
      <c r="C3570" s="1">
        <v>7.0</v>
      </c>
    </row>
    <row r="3571" ht="14.25" customHeight="1">
      <c r="A3571" s="1" t="s">
        <v>16842</v>
      </c>
      <c r="B3571" s="1" t="s">
        <v>35</v>
      </c>
      <c r="C3571" s="1">
        <v>3.4</v>
      </c>
    </row>
    <row r="3572" ht="14.25" customHeight="1">
      <c r="A3572" s="1" t="s">
        <v>16848</v>
      </c>
      <c r="B3572" s="1" t="s">
        <v>35</v>
      </c>
      <c r="C3572" s="1">
        <v>5.9</v>
      </c>
    </row>
    <row r="3573" ht="14.25" customHeight="1">
      <c r="A3573" s="1" t="s">
        <v>16852</v>
      </c>
      <c r="B3573" s="1" t="s">
        <v>7281</v>
      </c>
      <c r="C3573" s="1">
        <v>6.0</v>
      </c>
    </row>
    <row r="3574" ht="14.25" customHeight="1">
      <c r="A3574" s="1" t="s">
        <v>16858</v>
      </c>
      <c r="B3574" s="1" t="s">
        <v>35</v>
      </c>
      <c r="C3574" s="1">
        <v>7.4</v>
      </c>
    </row>
    <row r="3575" ht="14.25" customHeight="1">
      <c r="A3575" s="1" t="s">
        <v>16862</v>
      </c>
      <c r="B3575" s="1" t="s">
        <v>35</v>
      </c>
      <c r="C3575" s="1">
        <v>7.4</v>
      </c>
    </row>
    <row r="3576" ht="14.25" customHeight="1">
      <c r="A3576" s="1" t="s">
        <v>16866</v>
      </c>
      <c r="B3576" s="1" t="s">
        <v>35</v>
      </c>
      <c r="C3576" s="1">
        <v>4.2</v>
      </c>
    </row>
    <row r="3577" ht="14.25" customHeight="1">
      <c r="A3577" s="1" t="s">
        <v>16872</v>
      </c>
      <c r="B3577" s="1" t="s">
        <v>35</v>
      </c>
      <c r="C3577" s="1">
        <v>6.2</v>
      </c>
    </row>
    <row r="3578" ht="14.25" customHeight="1">
      <c r="A3578" s="1" t="s">
        <v>16877</v>
      </c>
      <c r="B3578" s="1" t="s">
        <v>35</v>
      </c>
      <c r="C3578" s="1">
        <v>5.4</v>
      </c>
    </row>
    <row r="3579" ht="14.25" customHeight="1">
      <c r="A3579" s="1" t="s">
        <v>16882</v>
      </c>
      <c r="B3579" s="1" t="s">
        <v>35</v>
      </c>
      <c r="C3579" s="1">
        <v>7.2</v>
      </c>
    </row>
    <row r="3580" ht="14.25" customHeight="1">
      <c r="A3580" s="1" t="s">
        <v>16886</v>
      </c>
      <c r="B3580" s="1" t="s">
        <v>35</v>
      </c>
      <c r="C3580" s="1">
        <v>6.7</v>
      </c>
    </row>
    <row r="3581" ht="14.25" customHeight="1">
      <c r="A3581" s="1" t="s">
        <v>14231</v>
      </c>
      <c r="B3581" s="1" t="s">
        <v>35</v>
      </c>
      <c r="C3581" s="1">
        <v>7.5</v>
      </c>
    </row>
    <row r="3582" ht="14.25" customHeight="1">
      <c r="A3582" s="1" t="s">
        <v>16890</v>
      </c>
      <c r="B3582" s="1" t="s">
        <v>35</v>
      </c>
      <c r="C3582" s="1">
        <v>7.2</v>
      </c>
    </row>
    <row r="3583" ht="14.25" customHeight="1">
      <c r="A3583" s="1" t="s">
        <v>16896</v>
      </c>
      <c r="B3583" s="1" t="s">
        <v>35</v>
      </c>
      <c r="C3583" s="1">
        <v>7.4</v>
      </c>
    </row>
    <row r="3584" ht="14.25" customHeight="1">
      <c r="A3584" s="1" t="s">
        <v>16901</v>
      </c>
      <c r="B3584" s="1" t="s">
        <v>35</v>
      </c>
      <c r="C3584" s="1">
        <v>5.6</v>
      </c>
    </row>
    <row r="3585" ht="14.25" customHeight="1">
      <c r="A3585" s="1" t="s">
        <v>16906</v>
      </c>
      <c r="B3585" s="1" t="s">
        <v>35</v>
      </c>
      <c r="C3585" s="1">
        <v>6.8</v>
      </c>
    </row>
    <row r="3586" ht="14.25" customHeight="1">
      <c r="A3586" s="1" t="s">
        <v>15696</v>
      </c>
      <c r="B3586" s="1" t="s">
        <v>35</v>
      </c>
      <c r="C3586" s="1">
        <v>7.2</v>
      </c>
    </row>
    <row r="3587" ht="14.25" customHeight="1">
      <c r="A3587" s="1" t="s">
        <v>16910</v>
      </c>
      <c r="B3587" s="1" t="s">
        <v>35</v>
      </c>
      <c r="C3587" s="1">
        <v>7.7</v>
      </c>
    </row>
    <row r="3588" ht="14.25" customHeight="1">
      <c r="A3588" s="1" t="s">
        <v>16916</v>
      </c>
      <c r="B3588" s="1" t="s">
        <v>35</v>
      </c>
      <c r="C3588" s="1">
        <v>7.0</v>
      </c>
    </row>
    <row r="3589" ht="14.25" customHeight="1">
      <c r="A3589" s="1" t="s">
        <v>4217</v>
      </c>
      <c r="B3589" s="1" t="s">
        <v>35</v>
      </c>
      <c r="C3589" s="1">
        <v>6.4</v>
      </c>
    </row>
    <row r="3590" ht="14.25" customHeight="1">
      <c r="A3590" s="1" t="s">
        <v>16920</v>
      </c>
      <c r="B3590" s="1" t="s">
        <v>35</v>
      </c>
      <c r="C3590" s="1">
        <v>7.2</v>
      </c>
    </row>
    <row r="3591" ht="14.25" customHeight="1">
      <c r="A3591" s="1" t="s">
        <v>16926</v>
      </c>
      <c r="B3591" s="1" t="s">
        <v>35</v>
      </c>
      <c r="C3591" s="1">
        <v>7.2</v>
      </c>
    </row>
    <row r="3592" ht="14.25" customHeight="1">
      <c r="A3592" s="1" t="s">
        <v>16931</v>
      </c>
      <c r="B3592" s="1" t="s">
        <v>35</v>
      </c>
      <c r="C3592" s="1">
        <v>6.2</v>
      </c>
    </row>
    <row r="3593" ht="14.25" customHeight="1">
      <c r="A3593" s="1" t="s">
        <v>16936</v>
      </c>
      <c r="B3593" s="1" t="s">
        <v>35</v>
      </c>
      <c r="C3593" s="1">
        <v>6.9</v>
      </c>
    </row>
    <row r="3594" ht="14.25" customHeight="1">
      <c r="A3594" s="1" t="s">
        <v>16940</v>
      </c>
      <c r="B3594" s="1" t="s">
        <v>35</v>
      </c>
      <c r="C3594" s="1">
        <v>7.0</v>
      </c>
    </row>
    <row r="3595" ht="14.25" customHeight="1">
      <c r="A3595" s="1" t="s">
        <v>16944</v>
      </c>
      <c r="B3595" s="1" t="s">
        <v>35</v>
      </c>
      <c r="C3595" s="1">
        <v>6.7</v>
      </c>
    </row>
    <row r="3596" ht="14.25" customHeight="1">
      <c r="A3596" s="1" t="s">
        <v>16948</v>
      </c>
      <c r="B3596" s="1" t="s">
        <v>35</v>
      </c>
      <c r="C3596" s="1">
        <v>7.4</v>
      </c>
    </row>
    <row r="3597" ht="14.25" customHeight="1">
      <c r="A3597" s="1" t="s">
        <v>16952</v>
      </c>
      <c r="B3597" s="1" t="s">
        <v>35</v>
      </c>
      <c r="C3597" s="1">
        <v>6.1</v>
      </c>
    </row>
    <row r="3598" ht="14.25" customHeight="1">
      <c r="A3598" s="1" t="s">
        <v>1919</v>
      </c>
      <c r="B3598" s="1" t="s">
        <v>35</v>
      </c>
      <c r="C3598" s="1">
        <v>6.7</v>
      </c>
    </row>
    <row r="3599" ht="14.25" customHeight="1">
      <c r="A3599" s="1" t="s">
        <v>16956</v>
      </c>
      <c r="B3599" s="1" t="s">
        <v>16810</v>
      </c>
      <c r="C3599" s="1">
        <v>8.2</v>
      </c>
    </row>
    <row r="3600" ht="14.25" customHeight="1">
      <c r="A3600" s="1" t="s">
        <v>16964</v>
      </c>
      <c r="B3600" s="1" t="s">
        <v>35</v>
      </c>
      <c r="C3600" s="1">
        <v>7.7</v>
      </c>
    </row>
    <row r="3601" ht="14.25" customHeight="1">
      <c r="A3601" s="1" t="s">
        <v>16970</v>
      </c>
      <c r="B3601" s="1" t="s">
        <v>35</v>
      </c>
      <c r="C3601" s="1">
        <v>7.3</v>
      </c>
    </row>
    <row r="3602" ht="14.25" customHeight="1">
      <c r="A3602" s="1" t="s">
        <v>16978</v>
      </c>
      <c r="B3602" s="1" t="s">
        <v>35</v>
      </c>
      <c r="C3602" s="1">
        <v>7.6</v>
      </c>
    </row>
    <row r="3603" ht="14.25" customHeight="1">
      <c r="A3603" s="1" t="s">
        <v>16985</v>
      </c>
      <c r="B3603" s="1" t="s">
        <v>35</v>
      </c>
      <c r="C3603" s="1">
        <v>5.6</v>
      </c>
    </row>
    <row r="3604" ht="14.25" customHeight="1">
      <c r="A3604" s="1" t="s">
        <v>16991</v>
      </c>
      <c r="B3604" s="1" t="s">
        <v>35</v>
      </c>
      <c r="C3604" s="1">
        <v>6.4</v>
      </c>
    </row>
    <row r="3605" ht="14.25" customHeight="1">
      <c r="A3605" s="1" t="s">
        <v>16996</v>
      </c>
      <c r="B3605" s="1" t="s">
        <v>35</v>
      </c>
      <c r="C3605" s="1">
        <v>6.8</v>
      </c>
    </row>
    <row r="3606" ht="14.25" customHeight="1">
      <c r="A3606" s="1" t="s">
        <v>16999</v>
      </c>
      <c r="B3606" s="1" t="s">
        <v>35</v>
      </c>
      <c r="C3606" s="1">
        <v>6.1</v>
      </c>
    </row>
    <row r="3607" ht="14.25" customHeight="1">
      <c r="A3607" s="1" t="s">
        <v>17002</v>
      </c>
      <c r="B3607" s="1" t="s">
        <v>35</v>
      </c>
      <c r="C3607" s="1">
        <v>6.0</v>
      </c>
    </row>
    <row r="3608" ht="14.25" customHeight="1">
      <c r="A3608" s="1" t="s">
        <v>17006</v>
      </c>
      <c r="B3608" s="1" t="s">
        <v>35</v>
      </c>
      <c r="C3608" s="1">
        <v>6.1</v>
      </c>
    </row>
    <row r="3609" ht="14.25" customHeight="1">
      <c r="A3609" s="1" t="s">
        <v>17012</v>
      </c>
      <c r="B3609" s="1" t="s">
        <v>35</v>
      </c>
      <c r="C3609" s="1">
        <v>5.5</v>
      </c>
    </row>
    <row r="3610" ht="14.25" customHeight="1">
      <c r="A3610" s="1" t="s">
        <v>17018</v>
      </c>
      <c r="B3610" s="1" t="s">
        <v>35</v>
      </c>
      <c r="C3610" s="1">
        <v>6.9</v>
      </c>
    </row>
    <row r="3611" ht="14.25" customHeight="1">
      <c r="A3611" s="1" t="s">
        <v>17023</v>
      </c>
      <c r="B3611" s="1" t="s">
        <v>35</v>
      </c>
      <c r="C3611" s="1">
        <v>4.1</v>
      </c>
    </row>
    <row r="3612" ht="14.25" customHeight="1">
      <c r="A3612" s="1" t="s">
        <v>17028</v>
      </c>
      <c r="B3612" s="1" t="s">
        <v>35</v>
      </c>
      <c r="C3612" s="1">
        <v>5.4</v>
      </c>
    </row>
    <row r="3613" ht="14.25" customHeight="1">
      <c r="A3613" s="1" t="s">
        <v>11362</v>
      </c>
      <c r="B3613" s="1" t="s">
        <v>35</v>
      </c>
      <c r="C3613" s="1">
        <v>7.0</v>
      </c>
    </row>
    <row r="3614" ht="14.25" customHeight="1">
      <c r="A3614" s="1" t="s">
        <v>17033</v>
      </c>
      <c r="B3614" s="1" t="s">
        <v>35</v>
      </c>
      <c r="C3614" s="1">
        <v>8.2</v>
      </c>
    </row>
    <row r="3615" ht="14.25" customHeight="1">
      <c r="A3615" s="1" t="s">
        <v>17038</v>
      </c>
      <c r="B3615" s="1" t="s">
        <v>35</v>
      </c>
      <c r="C3615" s="1">
        <v>5.7</v>
      </c>
    </row>
    <row r="3616" ht="14.25" customHeight="1">
      <c r="A3616" s="1" t="s">
        <v>17043</v>
      </c>
      <c r="B3616" s="1" t="s">
        <v>17049</v>
      </c>
      <c r="C3616" s="1">
        <v>7.9</v>
      </c>
    </row>
    <row r="3617" ht="14.25" customHeight="1">
      <c r="A3617" s="1" t="s">
        <v>17050</v>
      </c>
      <c r="B3617" s="1" t="s">
        <v>35</v>
      </c>
      <c r="C3617" s="1">
        <v>7.1</v>
      </c>
    </row>
    <row r="3618" ht="14.25" customHeight="1">
      <c r="A3618" s="1" t="s">
        <v>17056</v>
      </c>
      <c r="B3618" s="1" t="s">
        <v>35</v>
      </c>
      <c r="C3618" s="1">
        <v>6.4</v>
      </c>
    </row>
    <row r="3619" ht="14.25" customHeight="1">
      <c r="A3619" s="1" t="s">
        <v>17059</v>
      </c>
      <c r="B3619" s="1" t="s">
        <v>35</v>
      </c>
      <c r="C3619" s="1">
        <v>7.5</v>
      </c>
    </row>
    <row r="3620" ht="14.25" customHeight="1">
      <c r="A3620" s="1" t="s">
        <v>17065</v>
      </c>
      <c r="B3620" s="1" t="s">
        <v>35</v>
      </c>
      <c r="C3620" s="1">
        <v>6.4</v>
      </c>
    </row>
    <row r="3621" ht="14.25" customHeight="1">
      <c r="A3621" s="1" t="s">
        <v>11519</v>
      </c>
      <c r="B3621" s="1" t="s">
        <v>35</v>
      </c>
      <c r="C3621" s="1">
        <v>6.5</v>
      </c>
    </row>
    <row r="3622" ht="14.25" customHeight="1">
      <c r="A3622" s="1" t="s">
        <v>17070</v>
      </c>
      <c r="B3622" s="1" t="s">
        <v>35</v>
      </c>
      <c r="C3622" s="1">
        <v>7.2</v>
      </c>
    </row>
    <row r="3623" ht="14.25" customHeight="1">
      <c r="A3623" s="1" t="s">
        <v>17074</v>
      </c>
      <c r="B3623" s="1" t="s">
        <v>35</v>
      </c>
      <c r="C3623" s="1">
        <v>6.0</v>
      </c>
    </row>
    <row r="3624" ht="14.25" customHeight="1">
      <c r="A3624" s="1" t="s">
        <v>17078</v>
      </c>
      <c r="B3624" s="1" t="s">
        <v>35</v>
      </c>
      <c r="C3624" s="1">
        <v>5.6</v>
      </c>
    </row>
    <row r="3625" ht="14.25" customHeight="1">
      <c r="A3625" s="1" t="s">
        <v>17086</v>
      </c>
      <c r="B3625" s="1" t="s">
        <v>17092</v>
      </c>
      <c r="C3625" s="1">
        <v>8.4</v>
      </c>
    </row>
    <row r="3626" ht="14.25" customHeight="1">
      <c r="A3626" s="1" t="s">
        <v>17094</v>
      </c>
      <c r="B3626" s="1" t="s">
        <v>35</v>
      </c>
      <c r="C3626" s="1">
        <v>7.5</v>
      </c>
    </row>
    <row r="3627" ht="14.25" customHeight="1">
      <c r="A3627" s="1" t="s">
        <v>17099</v>
      </c>
      <c r="B3627" s="1" t="s">
        <v>35</v>
      </c>
      <c r="C3627" s="1">
        <v>7.2</v>
      </c>
    </row>
    <row r="3628" ht="14.25" customHeight="1">
      <c r="A3628" s="1" t="s">
        <v>17104</v>
      </c>
      <c r="B3628" s="1" t="s">
        <v>35</v>
      </c>
      <c r="C3628" s="1">
        <v>7.2</v>
      </c>
    </row>
    <row r="3629" ht="14.25" customHeight="1">
      <c r="A3629" s="1" t="s">
        <v>17109</v>
      </c>
      <c r="B3629" s="1" t="s">
        <v>35</v>
      </c>
      <c r="C3629" s="1">
        <v>6.5</v>
      </c>
    </row>
    <row r="3630" ht="14.25" customHeight="1">
      <c r="A3630" s="1" t="s">
        <v>17112</v>
      </c>
      <c r="B3630" s="1" t="s">
        <v>14952</v>
      </c>
      <c r="C3630" s="1">
        <v>6.4</v>
      </c>
    </row>
    <row r="3631" ht="14.25" customHeight="1">
      <c r="A3631" s="1" t="s">
        <v>17118</v>
      </c>
      <c r="B3631" s="1" t="s">
        <v>35</v>
      </c>
      <c r="C3631" s="1">
        <v>7.5</v>
      </c>
    </row>
    <row r="3632" ht="14.25" customHeight="1">
      <c r="A3632" s="1" t="s">
        <v>17123</v>
      </c>
      <c r="B3632" s="1" t="s">
        <v>35</v>
      </c>
      <c r="C3632" s="1">
        <v>6.9</v>
      </c>
    </row>
    <row r="3633" ht="14.25" customHeight="1">
      <c r="A3633" s="1" t="s">
        <v>17127</v>
      </c>
      <c r="B3633" s="1" t="s">
        <v>35</v>
      </c>
      <c r="C3633" s="1">
        <v>7.0</v>
      </c>
    </row>
    <row r="3634" ht="14.25" customHeight="1">
      <c r="A3634" s="1" t="s">
        <v>17131</v>
      </c>
      <c r="B3634" s="1" t="s">
        <v>35</v>
      </c>
      <c r="C3634" s="1">
        <v>6.3</v>
      </c>
    </row>
    <row r="3635" ht="14.25" customHeight="1">
      <c r="A3635" s="1" t="s">
        <v>17134</v>
      </c>
      <c r="B3635" s="1" t="s">
        <v>35</v>
      </c>
      <c r="C3635" s="1">
        <v>5.5</v>
      </c>
    </row>
    <row r="3636" ht="14.25" customHeight="1">
      <c r="A3636" s="1" t="s">
        <v>11220</v>
      </c>
      <c r="B3636" s="1" t="s">
        <v>35</v>
      </c>
      <c r="C3636" s="1">
        <v>4.8</v>
      </c>
    </row>
    <row r="3637" ht="14.25" customHeight="1">
      <c r="A3637" s="1" t="s">
        <v>17139</v>
      </c>
      <c r="B3637" s="1" t="s">
        <v>35</v>
      </c>
      <c r="C3637" s="1">
        <v>6.6</v>
      </c>
    </row>
    <row r="3638" ht="14.25" customHeight="1">
      <c r="A3638" s="1" t="s">
        <v>17146</v>
      </c>
      <c r="B3638" s="1" t="s">
        <v>35</v>
      </c>
      <c r="C3638" s="1">
        <v>5.2</v>
      </c>
    </row>
    <row r="3639" ht="14.25" customHeight="1">
      <c r="A3639" s="1" t="s">
        <v>17150</v>
      </c>
      <c r="B3639" s="1" t="s">
        <v>35</v>
      </c>
      <c r="C3639" s="1">
        <v>8.3</v>
      </c>
    </row>
    <row r="3640" ht="14.25" customHeight="1">
      <c r="A3640" s="1" t="s">
        <v>17157</v>
      </c>
      <c r="B3640" s="1" t="s">
        <v>35</v>
      </c>
      <c r="C3640" s="1">
        <v>7.2</v>
      </c>
    </row>
    <row r="3641" ht="14.25" customHeight="1">
      <c r="A3641" s="1" t="s">
        <v>198</v>
      </c>
      <c r="B3641" s="1" t="s">
        <v>35</v>
      </c>
      <c r="C3641" s="1">
        <v>7.2</v>
      </c>
    </row>
    <row r="3642" ht="14.25" customHeight="1">
      <c r="A3642" s="1" t="s">
        <v>7010</v>
      </c>
      <c r="B3642" s="1" t="s">
        <v>35</v>
      </c>
      <c r="C3642" s="1">
        <v>5.3</v>
      </c>
    </row>
    <row r="3643" ht="14.25" customHeight="1">
      <c r="A3643" s="1" t="s">
        <v>17162</v>
      </c>
      <c r="B3643" s="1" t="s">
        <v>35</v>
      </c>
      <c r="C3643" s="1">
        <v>7.2</v>
      </c>
    </row>
    <row r="3644" ht="14.25" customHeight="1">
      <c r="A3644" s="1" t="s">
        <v>17167</v>
      </c>
      <c r="B3644" s="1" t="s">
        <v>35</v>
      </c>
      <c r="C3644" s="1">
        <v>7.8</v>
      </c>
    </row>
    <row r="3645" ht="14.25" customHeight="1">
      <c r="A3645" s="1" t="s">
        <v>17174</v>
      </c>
      <c r="B3645" s="1" t="s">
        <v>35</v>
      </c>
      <c r="C3645" s="1">
        <v>6.4</v>
      </c>
    </row>
    <row r="3646" ht="14.25" customHeight="1">
      <c r="A3646" s="1" t="s">
        <v>17181</v>
      </c>
      <c r="B3646" s="1" t="s">
        <v>35</v>
      </c>
      <c r="C3646" s="1">
        <v>8.1</v>
      </c>
    </row>
    <row r="3647" ht="14.25" customHeight="1">
      <c r="A3647" s="1" t="s">
        <v>17189</v>
      </c>
      <c r="B3647" s="1" t="s">
        <v>35</v>
      </c>
      <c r="C3647" s="1">
        <v>5.6</v>
      </c>
    </row>
    <row r="3648" ht="14.25" customHeight="1">
      <c r="A3648" s="1" t="s">
        <v>17195</v>
      </c>
      <c r="B3648" s="1" t="s">
        <v>35</v>
      </c>
      <c r="C3648" s="1">
        <v>6.6</v>
      </c>
    </row>
    <row r="3649" ht="14.25" customHeight="1">
      <c r="A3649" s="1" t="s">
        <v>17199</v>
      </c>
      <c r="B3649" s="1" t="s">
        <v>35</v>
      </c>
      <c r="C3649" s="1">
        <v>7.7</v>
      </c>
    </row>
    <row r="3650" ht="14.25" customHeight="1">
      <c r="A3650" s="1" t="s">
        <v>17205</v>
      </c>
      <c r="B3650" s="1" t="s">
        <v>35</v>
      </c>
      <c r="C3650" s="1">
        <v>6.5</v>
      </c>
    </row>
    <row r="3651" ht="14.25" customHeight="1">
      <c r="A3651" s="1" t="s">
        <v>17212</v>
      </c>
      <c r="B3651" s="1" t="s">
        <v>35</v>
      </c>
      <c r="C3651" s="1">
        <v>6.1</v>
      </c>
    </row>
    <row r="3652" ht="14.25" customHeight="1">
      <c r="A3652" s="1" t="s">
        <v>17219</v>
      </c>
      <c r="B3652" s="1" t="s">
        <v>35</v>
      </c>
      <c r="C3652" s="1">
        <v>5.7</v>
      </c>
    </row>
    <row r="3653" ht="14.25" customHeight="1">
      <c r="A3653" s="1" t="s">
        <v>17227</v>
      </c>
      <c r="B3653" s="1" t="s">
        <v>35</v>
      </c>
      <c r="C3653" s="1">
        <v>5.9</v>
      </c>
    </row>
    <row r="3654" ht="14.25" customHeight="1">
      <c r="A3654" s="1" t="s">
        <v>17233</v>
      </c>
      <c r="B3654" s="1" t="s">
        <v>35</v>
      </c>
      <c r="C3654" s="1">
        <v>7.7</v>
      </c>
    </row>
    <row r="3655" ht="14.25" customHeight="1">
      <c r="A3655" s="1" t="s">
        <v>17237</v>
      </c>
      <c r="B3655" s="1" t="s">
        <v>35</v>
      </c>
      <c r="C3655" s="1">
        <v>7.1</v>
      </c>
    </row>
    <row r="3656" ht="14.25" customHeight="1">
      <c r="A3656" s="1" t="s">
        <v>17242</v>
      </c>
      <c r="B3656" s="1" t="s">
        <v>35</v>
      </c>
      <c r="C3656" s="1">
        <v>7.6</v>
      </c>
    </row>
    <row r="3657" ht="14.25" customHeight="1">
      <c r="A3657" s="1" t="s">
        <v>17250</v>
      </c>
      <c r="B3657" s="1" t="s">
        <v>10189</v>
      </c>
      <c r="C3657" s="1">
        <v>7.4</v>
      </c>
    </row>
    <row r="3658" ht="14.25" customHeight="1">
      <c r="A3658" s="1" t="s">
        <v>17258</v>
      </c>
      <c r="B3658" s="1" t="s">
        <v>35</v>
      </c>
      <c r="C3658" s="1">
        <v>6.8</v>
      </c>
    </row>
    <row r="3659" ht="14.25" customHeight="1">
      <c r="A3659" s="1" t="s">
        <v>17264</v>
      </c>
      <c r="B3659" s="1" t="s">
        <v>35</v>
      </c>
      <c r="C3659" s="1">
        <v>6.5</v>
      </c>
    </row>
    <row r="3660" ht="14.25" customHeight="1">
      <c r="A3660" s="1" t="s">
        <v>17269</v>
      </c>
      <c r="B3660" s="1" t="s">
        <v>35</v>
      </c>
      <c r="C3660" s="1">
        <v>7.3</v>
      </c>
    </row>
    <row r="3661" ht="14.25" customHeight="1">
      <c r="A3661" s="1" t="s">
        <v>17274</v>
      </c>
      <c r="B3661" s="1" t="s">
        <v>35</v>
      </c>
      <c r="C3661" s="1">
        <v>7.3</v>
      </c>
    </row>
    <row r="3662" ht="14.25" customHeight="1">
      <c r="A3662" s="1" t="s">
        <v>17277</v>
      </c>
      <c r="B3662" s="1" t="s">
        <v>35</v>
      </c>
      <c r="C3662" s="1">
        <v>6.5</v>
      </c>
    </row>
    <row r="3663" ht="14.25" customHeight="1">
      <c r="A3663" s="1" t="s">
        <v>17281</v>
      </c>
      <c r="B3663" s="1" t="s">
        <v>35</v>
      </c>
      <c r="C3663" s="1">
        <v>6.0</v>
      </c>
    </row>
    <row r="3664" ht="14.25" customHeight="1">
      <c r="A3664" s="1" t="s">
        <v>17285</v>
      </c>
      <c r="B3664" s="1" t="s">
        <v>35</v>
      </c>
      <c r="C3664" s="1">
        <v>5.3</v>
      </c>
    </row>
    <row r="3665" ht="14.25" customHeight="1">
      <c r="A3665" s="1" t="s">
        <v>17290</v>
      </c>
      <c r="B3665" s="1" t="s">
        <v>35</v>
      </c>
      <c r="C3665" s="1">
        <v>6.6</v>
      </c>
    </row>
    <row r="3666" ht="14.25" customHeight="1">
      <c r="A3666" s="1" t="s">
        <v>17294</v>
      </c>
      <c r="B3666" s="1" t="s">
        <v>7281</v>
      </c>
      <c r="C3666" s="1">
        <v>8.7</v>
      </c>
    </row>
    <row r="3667" ht="14.25" customHeight="1">
      <c r="A3667" s="1" t="s">
        <v>17300</v>
      </c>
      <c r="B3667" s="1" t="s">
        <v>35</v>
      </c>
      <c r="C3667" s="1">
        <v>6.2</v>
      </c>
    </row>
    <row r="3668" ht="14.25" customHeight="1">
      <c r="A3668" s="1" t="s">
        <v>17306</v>
      </c>
      <c r="B3668" s="1" t="s">
        <v>35</v>
      </c>
      <c r="C3668" s="1">
        <v>5.8</v>
      </c>
    </row>
    <row r="3669" ht="14.25" customHeight="1">
      <c r="A3669" s="1" t="s">
        <v>1131</v>
      </c>
      <c r="B3669" s="1" t="s">
        <v>35</v>
      </c>
      <c r="C3669" s="1">
        <v>6.7</v>
      </c>
    </row>
    <row r="3670" ht="14.25" customHeight="1">
      <c r="A3670" s="1" t="s">
        <v>17310</v>
      </c>
      <c r="B3670" s="1" t="s">
        <v>35</v>
      </c>
      <c r="C3670" s="1">
        <v>5.7</v>
      </c>
    </row>
    <row r="3671" ht="14.25" customHeight="1">
      <c r="A3671" s="1" t="s">
        <v>17317</v>
      </c>
      <c r="B3671" s="1" t="s">
        <v>35</v>
      </c>
      <c r="C3671" s="1">
        <v>6.1</v>
      </c>
    </row>
    <row r="3672" ht="14.25" customHeight="1">
      <c r="A3672" s="1" t="s">
        <v>17322</v>
      </c>
      <c r="B3672" s="1" t="s">
        <v>35</v>
      </c>
      <c r="C3672" s="1">
        <v>6.4</v>
      </c>
    </row>
    <row r="3673" ht="14.25" customHeight="1">
      <c r="A3673" s="1" t="s">
        <v>17328</v>
      </c>
      <c r="B3673" s="1" t="s">
        <v>35</v>
      </c>
      <c r="C3673" s="1">
        <v>4.6</v>
      </c>
    </row>
    <row r="3674" ht="14.25" customHeight="1">
      <c r="A3674" s="1" t="s">
        <v>12629</v>
      </c>
      <c r="B3674" s="1" t="s">
        <v>35</v>
      </c>
      <c r="C3674" s="1">
        <v>3.3</v>
      </c>
    </row>
    <row r="3675" ht="14.25" customHeight="1">
      <c r="A3675" s="1" t="s">
        <v>282</v>
      </c>
      <c r="B3675" s="1" t="s">
        <v>35</v>
      </c>
      <c r="C3675" s="1">
        <v>6.4</v>
      </c>
    </row>
    <row r="3676" ht="14.25" customHeight="1">
      <c r="A3676" s="1" t="s">
        <v>17333</v>
      </c>
      <c r="B3676" s="1" t="s">
        <v>35</v>
      </c>
      <c r="C3676" s="1">
        <v>5.9</v>
      </c>
    </row>
    <row r="3677" ht="14.25" customHeight="1">
      <c r="A3677" s="1" t="s">
        <v>17337</v>
      </c>
      <c r="B3677" s="1" t="s">
        <v>35</v>
      </c>
      <c r="C3677" s="1">
        <v>7.7</v>
      </c>
    </row>
    <row r="3678" ht="14.25" customHeight="1">
      <c r="A3678" s="1" t="s">
        <v>17343</v>
      </c>
      <c r="B3678" s="1" t="s">
        <v>35</v>
      </c>
      <c r="C3678" s="1">
        <v>7.1</v>
      </c>
    </row>
    <row r="3679" ht="14.25" customHeight="1">
      <c r="A3679" s="1" t="s">
        <v>17347</v>
      </c>
      <c r="B3679" s="1" t="s">
        <v>35</v>
      </c>
      <c r="C3679" s="1">
        <v>6.2</v>
      </c>
    </row>
    <row r="3680" ht="14.25" customHeight="1">
      <c r="A3680" s="1" t="s">
        <v>17354</v>
      </c>
      <c r="B3680" s="1" t="s">
        <v>35</v>
      </c>
      <c r="C3680" s="1">
        <v>7.7</v>
      </c>
    </row>
    <row r="3681" ht="14.25" customHeight="1">
      <c r="A3681" s="1" t="s">
        <v>17360</v>
      </c>
      <c r="B3681" s="1" t="s">
        <v>35</v>
      </c>
      <c r="C3681" s="1">
        <v>7.5</v>
      </c>
    </row>
    <row r="3682" ht="14.25" customHeight="1">
      <c r="A3682" s="1" t="s">
        <v>17366</v>
      </c>
      <c r="B3682" s="1" t="s">
        <v>35</v>
      </c>
      <c r="C3682" s="1">
        <v>6.9</v>
      </c>
    </row>
    <row r="3683" ht="14.25" customHeight="1">
      <c r="A3683" s="1" t="s">
        <v>17369</v>
      </c>
      <c r="B3683" s="1" t="s">
        <v>35</v>
      </c>
      <c r="C3683" s="1">
        <v>7.1</v>
      </c>
    </row>
    <row r="3684" ht="14.25" customHeight="1">
      <c r="A3684" s="1" t="s">
        <v>17375</v>
      </c>
      <c r="B3684" s="1" t="s">
        <v>35</v>
      </c>
      <c r="C3684" s="1">
        <v>6.3</v>
      </c>
    </row>
    <row r="3685" ht="14.25" customHeight="1">
      <c r="A3685" s="1" t="s">
        <v>17380</v>
      </c>
      <c r="B3685" s="1" t="s">
        <v>35</v>
      </c>
      <c r="C3685" s="1">
        <v>8.3</v>
      </c>
    </row>
    <row r="3686" ht="14.25" customHeight="1">
      <c r="A3686" s="1" t="s">
        <v>17384</v>
      </c>
      <c r="B3686" s="1" t="s">
        <v>2648</v>
      </c>
      <c r="C3686" s="1">
        <v>7.1</v>
      </c>
    </row>
    <row r="3687" ht="14.25" customHeight="1">
      <c r="A3687" s="1" t="s">
        <v>17391</v>
      </c>
      <c r="B3687" s="1" t="s">
        <v>35</v>
      </c>
      <c r="C3687" s="1">
        <v>7.2</v>
      </c>
    </row>
    <row r="3688" ht="14.25" customHeight="1">
      <c r="A3688" s="1" t="s">
        <v>17398</v>
      </c>
      <c r="B3688" s="1" t="s">
        <v>9061</v>
      </c>
      <c r="C3688" s="1">
        <v>6.9</v>
      </c>
    </row>
    <row r="3689" ht="14.25" customHeight="1">
      <c r="A3689" s="1" t="s">
        <v>17404</v>
      </c>
      <c r="B3689" s="1" t="s">
        <v>35</v>
      </c>
      <c r="C3689" s="1">
        <v>6.1</v>
      </c>
    </row>
    <row r="3690" ht="14.25" customHeight="1">
      <c r="A3690" s="1" t="s">
        <v>17409</v>
      </c>
      <c r="B3690" s="1" t="s">
        <v>35</v>
      </c>
      <c r="C3690" s="1">
        <v>6.3</v>
      </c>
    </row>
    <row r="3691" ht="14.25" customHeight="1">
      <c r="A3691" s="1" t="s">
        <v>17416</v>
      </c>
      <c r="B3691" s="1" t="s">
        <v>35</v>
      </c>
      <c r="C3691" s="1">
        <v>6.1</v>
      </c>
    </row>
    <row r="3692" ht="14.25" customHeight="1">
      <c r="A3692" s="1" t="s">
        <v>17423</v>
      </c>
      <c r="B3692" s="1" t="s">
        <v>35</v>
      </c>
      <c r="C3692" s="1">
        <v>7.8</v>
      </c>
    </row>
    <row r="3693" ht="14.25" customHeight="1">
      <c r="A3693" s="1" t="s">
        <v>17430</v>
      </c>
      <c r="B3693" s="1" t="s">
        <v>35</v>
      </c>
      <c r="C3693" s="1">
        <v>4.7</v>
      </c>
    </row>
    <row r="3694" ht="14.25" customHeight="1">
      <c r="A3694" s="1" t="s">
        <v>11025</v>
      </c>
      <c r="B3694" s="1" t="s">
        <v>35</v>
      </c>
      <c r="C3694" s="1">
        <v>7.9</v>
      </c>
    </row>
    <row r="3695" ht="14.25" customHeight="1">
      <c r="A3695" s="1" t="s">
        <v>17435</v>
      </c>
      <c r="B3695" s="1" t="s">
        <v>35</v>
      </c>
      <c r="C3695" s="1">
        <v>6.7</v>
      </c>
    </row>
    <row r="3696" ht="14.25" customHeight="1">
      <c r="A3696" s="1" t="s">
        <v>17440</v>
      </c>
      <c r="B3696" s="1" t="s">
        <v>35</v>
      </c>
      <c r="C3696" s="1">
        <v>6.6</v>
      </c>
    </row>
    <row r="3697" ht="14.25" customHeight="1">
      <c r="A3697" s="1" t="s">
        <v>17444</v>
      </c>
      <c r="B3697" s="1" t="s">
        <v>2752</v>
      </c>
      <c r="C3697" s="1">
        <v>6.9</v>
      </c>
    </row>
    <row r="3698" ht="14.25" customHeight="1">
      <c r="A3698" s="1" t="s">
        <v>17449</v>
      </c>
      <c r="B3698" s="1" t="s">
        <v>35</v>
      </c>
      <c r="C3698" s="1">
        <v>7.1</v>
      </c>
    </row>
    <row r="3699" ht="14.25" customHeight="1">
      <c r="A3699" s="1" t="s">
        <v>17453</v>
      </c>
      <c r="B3699" s="1" t="s">
        <v>35</v>
      </c>
      <c r="C3699" s="1">
        <v>6.7</v>
      </c>
    </row>
    <row r="3700" ht="14.25" customHeight="1">
      <c r="A3700" s="1" t="s">
        <v>17458</v>
      </c>
      <c r="B3700" s="1" t="s">
        <v>35</v>
      </c>
      <c r="C3700" s="1">
        <v>7.1</v>
      </c>
    </row>
    <row r="3701" ht="14.25" customHeight="1">
      <c r="A3701" s="1" t="s">
        <v>17463</v>
      </c>
      <c r="B3701" s="1" t="s">
        <v>35</v>
      </c>
      <c r="C3701" s="1">
        <v>6.6</v>
      </c>
    </row>
    <row r="3702" ht="14.25" customHeight="1">
      <c r="A3702" s="1" t="s">
        <v>5520</v>
      </c>
      <c r="B3702" s="1" t="s">
        <v>35</v>
      </c>
      <c r="C3702" s="1">
        <v>7.4</v>
      </c>
    </row>
    <row r="3703" ht="14.25" customHeight="1">
      <c r="A3703" s="1" t="s">
        <v>17470</v>
      </c>
      <c r="B3703" s="1" t="s">
        <v>35</v>
      </c>
      <c r="C3703" s="1">
        <v>4.8</v>
      </c>
    </row>
    <row r="3704" ht="14.25" customHeight="1">
      <c r="A3704" s="1" t="s">
        <v>17475</v>
      </c>
      <c r="B3704" s="1" t="s">
        <v>35</v>
      </c>
      <c r="C3704" s="1">
        <v>6.4</v>
      </c>
    </row>
    <row r="3705" ht="14.25" customHeight="1">
      <c r="A3705" s="1" t="s">
        <v>17479</v>
      </c>
      <c r="B3705" s="1" t="s">
        <v>35</v>
      </c>
      <c r="C3705" s="1">
        <v>7.3</v>
      </c>
    </row>
    <row r="3706" ht="14.25" customHeight="1">
      <c r="A3706" s="1" t="s">
        <v>17482</v>
      </c>
      <c r="B3706" s="1" t="s">
        <v>35</v>
      </c>
      <c r="C3706" s="1">
        <v>6.9</v>
      </c>
    </row>
    <row r="3707" ht="14.25" customHeight="1">
      <c r="A3707" s="1" t="s">
        <v>17486</v>
      </c>
      <c r="B3707" s="1" t="s">
        <v>35</v>
      </c>
      <c r="C3707" s="1">
        <v>7.2</v>
      </c>
    </row>
    <row r="3708" ht="14.25" customHeight="1">
      <c r="A3708" s="1" t="s">
        <v>17493</v>
      </c>
      <c r="B3708" s="1" t="s">
        <v>35</v>
      </c>
      <c r="C3708" s="1">
        <v>6.5</v>
      </c>
    </row>
    <row r="3709" ht="14.25" customHeight="1">
      <c r="A3709" s="1" t="s">
        <v>17497</v>
      </c>
      <c r="B3709" s="1" t="s">
        <v>35</v>
      </c>
      <c r="C3709" s="1">
        <v>6.6</v>
      </c>
    </row>
    <row r="3710" ht="14.25" customHeight="1">
      <c r="A3710" s="1" t="s">
        <v>17501</v>
      </c>
      <c r="B3710" s="1" t="s">
        <v>35</v>
      </c>
      <c r="C3710" s="1">
        <v>6.7</v>
      </c>
    </row>
    <row r="3711" ht="14.25" customHeight="1">
      <c r="A3711" s="1" t="s">
        <v>17507</v>
      </c>
      <c r="B3711" s="1" t="s">
        <v>35</v>
      </c>
      <c r="C3711" s="1">
        <v>7.3</v>
      </c>
    </row>
    <row r="3712" ht="14.25" customHeight="1">
      <c r="A3712" s="1" t="s">
        <v>17512</v>
      </c>
      <c r="B3712" s="1" t="s">
        <v>35</v>
      </c>
      <c r="C3712" s="1">
        <v>7.0</v>
      </c>
    </row>
    <row r="3713" ht="14.25" customHeight="1">
      <c r="A3713" s="1" t="s">
        <v>17519</v>
      </c>
      <c r="B3713" s="1" t="s">
        <v>35</v>
      </c>
      <c r="C3713" s="1">
        <v>5.5</v>
      </c>
    </row>
    <row r="3714" ht="14.25" customHeight="1">
      <c r="A3714" s="1" t="s">
        <v>17524</v>
      </c>
      <c r="B3714" s="1" t="s">
        <v>35</v>
      </c>
      <c r="C3714" s="1">
        <v>6.7</v>
      </c>
    </row>
    <row r="3715" ht="14.25" customHeight="1">
      <c r="A3715" s="1" t="s">
        <v>17529</v>
      </c>
      <c r="B3715" s="1" t="s">
        <v>35</v>
      </c>
      <c r="C3715" s="1">
        <v>3.9</v>
      </c>
    </row>
    <row r="3716" ht="14.25" customHeight="1">
      <c r="A3716" s="1" t="s">
        <v>17534</v>
      </c>
      <c r="B3716" s="1" t="s">
        <v>35</v>
      </c>
      <c r="C3716" s="1">
        <v>7.5</v>
      </c>
    </row>
    <row r="3717" ht="14.25" customHeight="1">
      <c r="A3717" s="1" t="s">
        <v>17541</v>
      </c>
      <c r="B3717" s="1" t="s">
        <v>35</v>
      </c>
      <c r="C3717" s="1">
        <v>7.0</v>
      </c>
    </row>
    <row r="3718" ht="14.25" customHeight="1">
      <c r="A3718" s="1" t="s">
        <v>17546</v>
      </c>
      <c r="B3718" s="1" t="s">
        <v>35</v>
      </c>
      <c r="C3718" s="1">
        <v>6.7</v>
      </c>
    </row>
    <row r="3719" ht="14.25" customHeight="1">
      <c r="A3719" s="1" t="s">
        <v>17553</v>
      </c>
      <c r="B3719" s="1" t="s">
        <v>35</v>
      </c>
      <c r="C3719" s="1">
        <v>7.4</v>
      </c>
    </row>
    <row r="3720" ht="14.25" customHeight="1">
      <c r="A3720" s="1" t="s">
        <v>17558</v>
      </c>
      <c r="B3720" s="1" t="s">
        <v>9061</v>
      </c>
      <c r="C3720" s="1">
        <v>8.0</v>
      </c>
    </row>
    <row r="3721" ht="14.25" customHeight="1">
      <c r="A3721" s="1" t="s">
        <v>7901</v>
      </c>
      <c r="B3721" s="1" t="s">
        <v>35</v>
      </c>
      <c r="C3721" s="1">
        <v>7.1</v>
      </c>
    </row>
    <row r="3722" ht="14.25" customHeight="1">
      <c r="A3722" s="1" t="s">
        <v>17564</v>
      </c>
      <c r="B3722" s="1" t="s">
        <v>35</v>
      </c>
      <c r="C3722" s="1">
        <v>7.7</v>
      </c>
    </row>
    <row r="3723" ht="14.25" customHeight="1">
      <c r="A3723" s="1" t="s">
        <v>17572</v>
      </c>
      <c r="B3723" s="1" t="s">
        <v>17092</v>
      </c>
      <c r="C3723" s="1">
        <v>8.5</v>
      </c>
    </row>
    <row r="3724" ht="14.25" customHeight="1">
      <c r="A3724" s="1" t="s">
        <v>17579</v>
      </c>
      <c r="B3724" s="1" t="s">
        <v>35</v>
      </c>
      <c r="C3724" s="1">
        <v>7.7</v>
      </c>
    </row>
    <row r="3725" ht="14.25" customHeight="1">
      <c r="A3725" s="1" t="s">
        <v>17584</v>
      </c>
      <c r="B3725" s="1" t="s">
        <v>35</v>
      </c>
      <c r="C3725" s="1">
        <v>6.5</v>
      </c>
    </row>
    <row r="3726" ht="14.25" customHeight="1">
      <c r="A3726" s="1" t="s">
        <v>17590</v>
      </c>
      <c r="B3726" s="1" t="s">
        <v>35</v>
      </c>
      <c r="C3726" s="1">
        <v>7.0</v>
      </c>
    </row>
    <row r="3727" ht="14.25" customHeight="1">
      <c r="A3727" s="1" t="s">
        <v>17596</v>
      </c>
      <c r="B3727" s="1" t="s">
        <v>35</v>
      </c>
      <c r="C3727" s="1">
        <v>5.5</v>
      </c>
    </row>
    <row r="3728" ht="14.25" customHeight="1">
      <c r="A3728" s="1" t="s">
        <v>17599</v>
      </c>
      <c r="B3728" s="1" t="s">
        <v>35</v>
      </c>
      <c r="C3728" s="1">
        <v>6.3</v>
      </c>
    </row>
    <row r="3729" ht="14.25" customHeight="1">
      <c r="A3729" s="1" t="s">
        <v>17602</v>
      </c>
      <c r="B3729" s="1" t="s">
        <v>35</v>
      </c>
      <c r="C3729" s="1">
        <v>7.9</v>
      </c>
    </row>
    <row r="3730" ht="14.25" customHeight="1">
      <c r="A3730" s="1" t="s">
        <v>17609</v>
      </c>
      <c r="B3730" s="1" t="s">
        <v>35</v>
      </c>
      <c r="C3730" s="1">
        <v>7.4</v>
      </c>
    </row>
    <row r="3731" ht="14.25" customHeight="1">
      <c r="A3731" s="1" t="s">
        <v>13709</v>
      </c>
      <c r="B3731" s="1" t="s">
        <v>35</v>
      </c>
      <c r="C3731" s="1">
        <v>7.5</v>
      </c>
    </row>
    <row r="3732" ht="14.25" customHeight="1">
      <c r="A3732" s="1" t="s">
        <v>17615</v>
      </c>
      <c r="B3732" s="1" t="s">
        <v>35</v>
      </c>
      <c r="C3732" s="1">
        <v>7.5</v>
      </c>
    </row>
    <row r="3733" ht="14.25" customHeight="1">
      <c r="A3733" s="1" t="s">
        <v>17620</v>
      </c>
      <c r="B3733" s="1" t="s">
        <v>35</v>
      </c>
      <c r="C3733" s="1">
        <v>6.7</v>
      </c>
    </row>
    <row r="3734" ht="14.25" customHeight="1">
      <c r="A3734" s="1" t="s">
        <v>17625</v>
      </c>
      <c r="B3734" s="1" t="s">
        <v>35</v>
      </c>
      <c r="C3734" s="1">
        <v>4.2</v>
      </c>
    </row>
    <row r="3735" ht="14.25" customHeight="1">
      <c r="A3735" s="1" t="s">
        <v>17632</v>
      </c>
      <c r="B3735" s="1" t="s">
        <v>35</v>
      </c>
      <c r="C3735" s="1">
        <v>7.0</v>
      </c>
    </row>
    <row r="3736" ht="14.25" customHeight="1">
      <c r="A3736" s="1" t="s">
        <v>17636</v>
      </c>
      <c r="B3736" s="1" t="s">
        <v>35</v>
      </c>
      <c r="C3736" s="1">
        <v>7.0</v>
      </c>
    </row>
    <row r="3737" ht="14.25" customHeight="1">
      <c r="A3737" s="1" t="s">
        <v>17642</v>
      </c>
      <c r="B3737" s="1" t="s">
        <v>35</v>
      </c>
      <c r="C3737" s="1">
        <v>6.8</v>
      </c>
    </row>
    <row r="3738" ht="14.25" customHeight="1">
      <c r="A3738" s="1" t="s">
        <v>11569</v>
      </c>
      <c r="B3738" s="1" t="s">
        <v>35</v>
      </c>
      <c r="C3738" s="1">
        <v>6.6</v>
      </c>
    </row>
    <row r="3739" ht="14.25" customHeight="1">
      <c r="A3739" s="1" t="s">
        <v>17647</v>
      </c>
      <c r="B3739" s="1" t="s">
        <v>35</v>
      </c>
      <c r="C3739" s="1">
        <v>7.5</v>
      </c>
    </row>
    <row r="3740" ht="14.25" customHeight="1">
      <c r="A3740" s="1" t="s">
        <v>17653</v>
      </c>
      <c r="B3740" s="1" t="s">
        <v>35</v>
      </c>
      <c r="C3740" s="1">
        <v>5.3</v>
      </c>
    </row>
    <row r="3741" ht="14.25" customHeight="1">
      <c r="A3741" s="1" t="s">
        <v>17658</v>
      </c>
      <c r="B3741" s="1" t="s">
        <v>35</v>
      </c>
      <c r="C3741" s="1">
        <v>7.3</v>
      </c>
    </row>
    <row r="3742" ht="14.25" customHeight="1">
      <c r="A3742" s="1" t="s">
        <v>17666</v>
      </c>
      <c r="B3742" s="1" t="s">
        <v>35</v>
      </c>
      <c r="C3742" s="1">
        <v>5.6</v>
      </c>
    </row>
    <row r="3743" ht="14.25" customHeight="1">
      <c r="A3743" s="1" t="s">
        <v>17672</v>
      </c>
      <c r="B3743" s="1" t="s">
        <v>35</v>
      </c>
      <c r="C3743" s="1">
        <v>5.6</v>
      </c>
    </row>
    <row r="3744" ht="14.25" customHeight="1">
      <c r="A3744" s="1" t="s">
        <v>17675</v>
      </c>
      <c r="B3744" s="1" t="s">
        <v>35</v>
      </c>
      <c r="C3744" s="1">
        <v>6.6</v>
      </c>
    </row>
    <row r="3745" ht="14.25" customHeight="1">
      <c r="A3745" s="1" t="s">
        <v>17680</v>
      </c>
      <c r="B3745" s="1" t="s">
        <v>35</v>
      </c>
      <c r="C3745" s="1">
        <v>6.3</v>
      </c>
    </row>
    <row r="3746" ht="14.25" customHeight="1">
      <c r="A3746" s="1" t="s">
        <v>17684</v>
      </c>
      <c r="B3746" s="1" t="s">
        <v>35</v>
      </c>
      <c r="C3746" s="1">
        <v>7.5</v>
      </c>
    </row>
    <row r="3747" ht="14.25" customHeight="1">
      <c r="A3747" s="1" t="s">
        <v>17689</v>
      </c>
      <c r="B3747" s="1" t="s">
        <v>35</v>
      </c>
      <c r="C3747" s="1">
        <v>7.6</v>
      </c>
    </row>
    <row r="3748" ht="14.25" customHeight="1">
      <c r="A3748" s="1" t="s">
        <v>17695</v>
      </c>
      <c r="B3748" s="1" t="s">
        <v>35</v>
      </c>
      <c r="C3748" s="1">
        <v>7.8</v>
      </c>
    </row>
    <row r="3749" ht="14.25" customHeight="1">
      <c r="A3749" s="1" t="s">
        <v>17698</v>
      </c>
      <c r="B3749" s="1" t="s">
        <v>35</v>
      </c>
      <c r="C3749" s="1">
        <v>7.3</v>
      </c>
    </row>
    <row r="3750" ht="14.25" customHeight="1">
      <c r="A3750" s="1" t="s">
        <v>7190</v>
      </c>
      <c r="B3750" s="1" t="s">
        <v>35</v>
      </c>
      <c r="C3750" s="1">
        <v>5.7</v>
      </c>
    </row>
    <row r="3751" ht="14.25" customHeight="1">
      <c r="A3751" s="1" t="s">
        <v>17703</v>
      </c>
      <c r="B3751" s="1" t="s">
        <v>35</v>
      </c>
      <c r="C3751" s="1">
        <v>7.1</v>
      </c>
    </row>
    <row r="3752" ht="14.25" customHeight="1">
      <c r="A3752" s="1" t="s">
        <v>17708</v>
      </c>
      <c r="B3752" s="1" t="s">
        <v>35</v>
      </c>
      <c r="C3752" s="1">
        <v>6.1</v>
      </c>
    </row>
    <row r="3753" ht="14.25" customHeight="1">
      <c r="A3753" s="1" t="s">
        <v>17715</v>
      </c>
      <c r="B3753" s="1" t="s">
        <v>2752</v>
      </c>
      <c r="C3753" s="1">
        <v>6.9</v>
      </c>
    </row>
    <row r="3754" ht="14.25" customHeight="1">
      <c r="A3754" s="1" t="s">
        <v>17720</v>
      </c>
      <c r="B3754" s="1" t="s">
        <v>17092</v>
      </c>
      <c r="C3754" s="1">
        <v>7.5</v>
      </c>
    </row>
    <row r="3755" ht="14.25" customHeight="1">
      <c r="A3755" s="1" t="s">
        <v>17727</v>
      </c>
      <c r="B3755" s="1" t="s">
        <v>35</v>
      </c>
      <c r="C3755" s="1">
        <v>7.0</v>
      </c>
    </row>
    <row r="3756" ht="14.25" customHeight="1">
      <c r="A3756" s="1" t="s">
        <v>17732</v>
      </c>
      <c r="B3756" s="1" t="s">
        <v>2648</v>
      </c>
      <c r="C3756" s="1">
        <v>6.9</v>
      </c>
    </row>
    <row r="3757" ht="14.25" customHeight="1">
      <c r="A3757" s="1" t="s">
        <v>17738</v>
      </c>
      <c r="B3757" s="1" t="s">
        <v>35</v>
      </c>
      <c r="C3757" s="1">
        <v>6.6</v>
      </c>
    </row>
  </sheetData>
  <printOptions/>
  <pageMargins bottom="0.75" footer="0.0" header="0.0" left="0.7" right="0.7" top="0.75"/>
  <pageSetup orientation="landscape"/>
  <drawing r:id="rId1"/>
  <tableParts count="3">
    <tablePart r:id="rId5"/>
    <tablePart r:id="rId6"/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2.0"/>
    <col customWidth="1" min="3" max="3" width="12.86"/>
    <col customWidth="1" min="4" max="4" width="8.71"/>
    <col customWidth="1" min="5" max="5" width="13.0"/>
    <col customWidth="1" min="6" max="7" width="12.71"/>
    <col customWidth="1" min="8" max="8" width="23.86"/>
    <col customWidth="1" min="9" max="9" width="23.57"/>
    <col customWidth="1" min="10" max="10" width="15.0"/>
    <col customWidth="1" min="11" max="11" width="10.43"/>
  </cols>
  <sheetData>
    <row r="1" ht="14.25" customHeight="1">
      <c r="A1" s="1" t="s">
        <v>2</v>
      </c>
      <c r="B1" s="1" t="s">
        <v>15</v>
      </c>
      <c r="C1" s="1" t="s">
        <v>3</v>
      </c>
      <c r="E1" s="4" t="s">
        <v>17793</v>
      </c>
      <c r="F1" s="4" t="s">
        <v>17794</v>
      </c>
      <c r="G1" s="4" t="s">
        <v>17795</v>
      </c>
      <c r="H1" s="4" t="s">
        <v>17796</v>
      </c>
      <c r="I1" s="4" t="s">
        <v>17797</v>
      </c>
      <c r="J1" s="1" t="s">
        <v>17798</v>
      </c>
      <c r="K1" s="1" t="s">
        <v>17799</v>
      </c>
    </row>
    <row r="2" ht="14.25" customHeight="1">
      <c r="A2" s="1" t="s">
        <v>28</v>
      </c>
      <c r="B2" s="1">
        <v>2.37E8</v>
      </c>
      <c r="C2" s="1">
        <v>7.60505847E8</v>
      </c>
      <c r="E2" s="4">
        <f>CORREL(B2:B3757, C2:C3757)</f>
        <v>0.09949642327</v>
      </c>
      <c r="F2" s="4">
        <f t="array" ref="F2:F3757">(C2:C3757-B2:B3757)</f>
        <v>523505847</v>
      </c>
      <c r="G2" s="4">
        <f t="array" ref="G2">IFERROR((C2-B2)/C2*100, "N/A")</f>
        <v>68.83653151</v>
      </c>
      <c r="H2" s="4">
        <f>MAX(G2:G3757)</f>
        <v>99.98610047</v>
      </c>
      <c r="I2" s="4" t="str">
        <f t="array" ref="I2">INDEX(A2:A3757, MATCH(MAX(G2:G3757), G2:G3757, 0))</f>
        <v>Paranormal Activity</v>
      </c>
      <c r="J2" s="1">
        <f>MAX(F2:F3757)</f>
        <v>523505847</v>
      </c>
      <c r="K2" s="1" t="s">
        <v>28</v>
      </c>
    </row>
    <row r="3" ht="14.25" customHeight="1">
      <c r="A3" s="1" t="s">
        <v>39</v>
      </c>
      <c r="B3" s="1">
        <v>3.0E8</v>
      </c>
      <c r="C3" s="1">
        <v>3.09404152E8</v>
      </c>
      <c r="F3" s="4">
        <v>9404152.0</v>
      </c>
      <c r="G3" s="4">
        <f t="array" ref="G3">IFERROR((C3-B3)/C3*100, "N/A")</f>
        <v>3.039439497</v>
      </c>
      <c r="J3" s="1"/>
      <c r="K3" s="1"/>
    </row>
    <row r="4" ht="14.25" customHeight="1">
      <c r="A4" s="1" t="s">
        <v>47</v>
      </c>
      <c r="B4" s="1">
        <v>2.45E8</v>
      </c>
      <c r="C4" s="1">
        <v>2.00074175E8</v>
      </c>
      <c r="F4" s="4">
        <v>-4.4925825E7</v>
      </c>
      <c r="G4" s="4">
        <f t="array" ref="G4">IFERROR((C4-B4)/C4*100, "N/A")</f>
        <v>-22.45458466</v>
      </c>
      <c r="J4" s="1"/>
      <c r="K4" s="1"/>
    </row>
    <row r="5" ht="14.25" customHeight="1">
      <c r="A5" s="1" t="s">
        <v>56</v>
      </c>
      <c r="B5" s="1">
        <v>2.5E8</v>
      </c>
      <c r="C5" s="1">
        <v>4.48130642E8</v>
      </c>
      <c r="F5" s="4">
        <v>1.98130642E8</v>
      </c>
      <c r="G5" s="4">
        <f t="array" ref="G5">IFERROR((C5-B5)/C5*100, "N/A")</f>
        <v>44.2126968</v>
      </c>
      <c r="J5" s="1"/>
      <c r="K5" s="1"/>
    </row>
    <row r="6" ht="14.25" customHeight="1">
      <c r="A6" s="1" t="s">
        <v>64</v>
      </c>
      <c r="B6" s="1">
        <v>2.637E8</v>
      </c>
      <c r="C6" s="1">
        <v>7.3058679E7</v>
      </c>
      <c r="F6" s="4">
        <v>-1.90641321E8</v>
      </c>
      <c r="G6" s="4">
        <f t="array" ref="G6">IFERROR((C6-B6)/C6*100, "N/A")</f>
        <v>-260.942743</v>
      </c>
      <c r="J6" s="1"/>
      <c r="K6" s="1"/>
    </row>
    <row r="7" ht="14.25" customHeight="1">
      <c r="A7" s="1" t="s">
        <v>72</v>
      </c>
      <c r="B7" s="1">
        <v>2.58E8</v>
      </c>
      <c r="C7" s="1">
        <v>3.36530303E8</v>
      </c>
      <c r="F7" s="4">
        <v>7.8530303E7</v>
      </c>
      <c r="G7" s="4">
        <f t="array" ref="G7">IFERROR((C7-B7)/C7*100, "N/A")</f>
        <v>23.33528431</v>
      </c>
      <c r="J7" s="1"/>
      <c r="K7" s="1"/>
    </row>
    <row r="8" ht="14.25" customHeight="1">
      <c r="A8" s="1" t="s">
        <v>80</v>
      </c>
      <c r="B8" s="1">
        <v>2.6E8</v>
      </c>
      <c r="C8" s="1">
        <v>2.00807262E8</v>
      </c>
      <c r="F8" s="4">
        <v>-5.9192738E7</v>
      </c>
      <c r="G8" s="4">
        <f t="array" ref="G8">IFERROR((C8-B8)/C8*100, "N/A")</f>
        <v>-29.47738912</v>
      </c>
      <c r="J8" s="1"/>
      <c r="K8" s="1"/>
    </row>
    <row r="9" ht="14.25" customHeight="1">
      <c r="A9" s="1" t="s">
        <v>89</v>
      </c>
      <c r="B9" s="1">
        <v>2.5E8</v>
      </c>
      <c r="C9" s="1">
        <v>4.58991599E8</v>
      </c>
      <c r="F9" s="4">
        <v>2.08991599E8</v>
      </c>
      <c r="G9" s="4">
        <f t="array" ref="G9">IFERROR((C9-B9)/C9*100, "N/A")</f>
        <v>45.53277216</v>
      </c>
      <c r="J9" s="1"/>
      <c r="K9" s="1"/>
    </row>
    <row r="10" ht="14.25" customHeight="1">
      <c r="A10" s="1" t="s">
        <v>96</v>
      </c>
      <c r="B10" s="1">
        <v>2.5E8</v>
      </c>
      <c r="C10" s="1">
        <v>3.0195698E8</v>
      </c>
      <c r="F10" s="4">
        <v>5.195698E7</v>
      </c>
      <c r="G10" s="4">
        <f t="array" ref="G10">IFERROR((C10-B10)/C10*100, "N/A")</f>
        <v>17.20674912</v>
      </c>
      <c r="J10" s="1"/>
      <c r="K10" s="1"/>
    </row>
    <row r="11" ht="14.25" customHeight="1">
      <c r="A11" s="1" t="s">
        <v>104</v>
      </c>
      <c r="B11" s="1">
        <v>2.5E8</v>
      </c>
      <c r="C11" s="1">
        <v>3.30249062E8</v>
      </c>
      <c r="F11" s="4">
        <v>8.0249062E7</v>
      </c>
      <c r="G11" s="4">
        <f t="array" ref="G11">IFERROR((C11-B11)/C11*100, "N/A")</f>
        <v>24.29955789</v>
      </c>
      <c r="J11" s="1"/>
      <c r="K11" s="1"/>
    </row>
    <row r="12" ht="14.25" customHeight="1">
      <c r="A12" s="1" t="s">
        <v>111</v>
      </c>
      <c r="B12" s="1">
        <v>2.09E8</v>
      </c>
      <c r="C12" s="1">
        <v>2.00069408E8</v>
      </c>
      <c r="F12" s="4">
        <v>-8930592.0</v>
      </c>
      <c r="G12" s="4">
        <f t="array" ref="G12">IFERROR((C12-B12)/C12*100, "N/A")</f>
        <v>-4.463746901</v>
      </c>
      <c r="J12" s="1"/>
      <c r="K12" s="1"/>
    </row>
    <row r="13" ht="14.25" customHeight="1">
      <c r="A13" s="1" t="s">
        <v>118</v>
      </c>
      <c r="B13" s="1">
        <v>2.0E8</v>
      </c>
      <c r="C13" s="1">
        <v>1.68368427E8</v>
      </c>
      <c r="F13" s="4">
        <v>-3.1631573E7</v>
      </c>
      <c r="G13" s="4">
        <f t="array" ref="G13">IFERROR((C13-B13)/C13*100, "N/A")</f>
        <v>-18.78711678</v>
      </c>
      <c r="J13" s="1"/>
      <c r="K13" s="1"/>
    </row>
    <row r="14" ht="14.25" customHeight="1">
      <c r="A14" s="1" t="s">
        <v>124</v>
      </c>
      <c r="B14" s="1">
        <v>2.25E8</v>
      </c>
      <c r="C14" s="1">
        <v>4.23032628E8</v>
      </c>
      <c r="F14" s="4">
        <v>1.98032628E8</v>
      </c>
      <c r="G14" s="4">
        <f t="array" ref="G14">IFERROR((C14-B14)/C14*100, "N/A")</f>
        <v>46.81261323</v>
      </c>
      <c r="J14" s="1"/>
      <c r="K14" s="1"/>
    </row>
    <row r="15" ht="14.25" customHeight="1">
      <c r="A15" s="1" t="s">
        <v>127</v>
      </c>
      <c r="B15" s="1">
        <v>2.15E8</v>
      </c>
      <c r="C15" s="1">
        <v>8.928991E7</v>
      </c>
      <c r="F15" s="4">
        <v>-1.2571009E8</v>
      </c>
      <c r="G15" s="4">
        <f t="array" ref="G15">IFERROR((C15-B15)/C15*100, "N/A")</f>
        <v>-140.7886849</v>
      </c>
      <c r="J15" s="1"/>
      <c r="K15" s="1"/>
    </row>
    <row r="16" ht="14.25" customHeight="1">
      <c r="A16" s="1" t="s">
        <v>133</v>
      </c>
      <c r="B16" s="1">
        <v>2.25E8</v>
      </c>
      <c r="C16" s="1">
        <v>2.91021565E8</v>
      </c>
      <c r="F16" s="4">
        <v>6.6021565E7</v>
      </c>
      <c r="G16" s="4">
        <f t="array" ref="G16">IFERROR((C16-B16)/C16*100, "N/A")</f>
        <v>22.68614183</v>
      </c>
      <c r="J16" s="1"/>
      <c r="K16" s="1"/>
    </row>
    <row r="17" ht="14.25" customHeight="1">
      <c r="A17" s="1" t="s">
        <v>139</v>
      </c>
      <c r="B17" s="1">
        <v>2.25E8</v>
      </c>
      <c r="C17" s="1">
        <v>1.41614023E8</v>
      </c>
      <c r="F17" s="4">
        <v>-8.3385977E7</v>
      </c>
      <c r="G17" s="4">
        <f t="array" ref="G17">IFERROR((C17-B17)/C17*100, "N/A")</f>
        <v>-58.88257055</v>
      </c>
      <c r="J17" s="1"/>
      <c r="K17" s="1"/>
    </row>
    <row r="18" ht="14.25" customHeight="1">
      <c r="A18" s="1" t="s">
        <v>146</v>
      </c>
      <c r="B18" s="1">
        <v>2.2E8</v>
      </c>
      <c r="C18" s="1">
        <v>6.23279547E8</v>
      </c>
      <c r="F18" s="4">
        <v>4.03279547E8</v>
      </c>
      <c r="G18" s="4">
        <f t="array" ref="G18">IFERROR((C18-B18)/C18*100, "N/A")</f>
        <v>64.70283662</v>
      </c>
      <c r="J18" s="1"/>
      <c r="K18" s="1"/>
    </row>
    <row r="19" ht="14.25" customHeight="1">
      <c r="A19" s="1" t="s">
        <v>150</v>
      </c>
      <c r="B19" s="1">
        <v>2.5E8</v>
      </c>
      <c r="C19" s="1">
        <v>2.41063875E8</v>
      </c>
      <c r="F19" s="4">
        <v>-8936125.0</v>
      </c>
      <c r="G19" s="4">
        <f t="array" ref="G19">IFERROR((C19-B19)/C19*100, "N/A")</f>
        <v>-3.706953188</v>
      </c>
      <c r="J19" s="1"/>
      <c r="K19" s="1"/>
    </row>
    <row r="20" ht="14.25" customHeight="1">
      <c r="A20" s="1" t="s">
        <v>156</v>
      </c>
      <c r="B20" s="1">
        <v>2.25E8</v>
      </c>
      <c r="C20" s="1">
        <v>1.79020854E8</v>
      </c>
      <c r="F20" s="4">
        <v>-4.5979146E7</v>
      </c>
      <c r="G20" s="4">
        <f t="array" ref="G20">IFERROR((C20-B20)/C20*100, "N/A")</f>
        <v>-25.68368152</v>
      </c>
      <c r="J20" s="1"/>
      <c r="K20" s="1"/>
    </row>
    <row r="21" ht="14.25" customHeight="1">
      <c r="A21" s="1" t="s">
        <v>164</v>
      </c>
      <c r="B21" s="1">
        <v>2.5E8</v>
      </c>
      <c r="C21" s="1">
        <v>2.5510837E8</v>
      </c>
      <c r="F21" s="4">
        <v>5108370.0</v>
      </c>
      <c r="G21" s="4">
        <f t="array" ref="G21">IFERROR((C21-B21)/C21*100, "N/A")</f>
        <v>2.002431359</v>
      </c>
      <c r="J21" s="1"/>
      <c r="K21" s="1"/>
    </row>
    <row r="22" ht="14.25" customHeight="1">
      <c r="A22" s="1" t="s">
        <v>173</v>
      </c>
      <c r="B22" s="1">
        <v>2.3E8</v>
      </c>
      <c r="C22" s="1">
        <v>2.62030663E8</v>
      </c>
      <c r="F22" s="4">
        <v>3.2030663E7</v>
      </c>
      <c r="G22" s="4">
        <f t="array" ref="G22">IFERROR((C22-B22)/C22*100, "N/A")</f>
        <v>12.22401326</v>
      </c>
      <c r="J22" s="1"/>
      <c r="K22" s="1"/>
    </row>
    <row r="23" ht="14.25" customHeight="1">
      <c r="A23" s="1" t="s">
        <v>180</v>
      </c>
      <c r="B23" s="1">
        <v>2.0E8</v>
      </c>
      <c r="C23" s="1">
        <v>1.05219735E8</v>
      </c>
      <c r="F23" s="4">
        <v>-9.4780265E7</v>
      </c>
      <c r="G23" s="4">
        <f t="array" ref="G23">IFERROR((C23-B23)/C23*100, "N/A")</f>
        <v>-90.07841067</v>
      </c>
      <c r="J23" s="1"/>
      <c r="K23" s="1"/>
    </row>
    <row r="24" ht="14.25" customHeight="1">
      <c r="A24" s="1" t="s">
        <v>187</v>
      </c>
      <c r="B24" s="1">
        <v>2.25E8</v>
      </c>
      <c r="C24" s="1">
        <v>2.58355354E8</v>
      </c>
      <c r="F24" s="4">
        <v>3.3355354E7</v>
      </c>
      <c r="G24" s="4">
        <f t="array" ref="G24">IFERROR((C24-B24)/C24*100, "N/A")</f>
        <v>12.91064942</v>
      </c>
      <c r="J24" s="1"/>
      <c r="K24" s="1"/>
    </row>
    <row r="25" ht="14.25" customHeight="1">
      <c r="A25" s="1" t="s">
        <v>191</v>
      </c>
      <c r="B25" s="1">
        <v>1.8E8</v>
      </c>
      <c r="C25" s="1">
        <v>7.0083519E7</v>
      </c>
      <c r="F25" s="4">
        <v>-1.09916481E8</v>
      </c>
      <c r="G25" s="4">
        <f t="array" ref="G25">IFERROR((C25-B25)/C25*100, "N/A")</f>
        <v>-156.8364183</v>
      </c>
      <c r="J25" s="1"/>
      <c r="K25" s="1"/>
    </row>
    <row r="26" ht="14.25" customHeight="1">
      <c r="A26" s="1" t="s">
        <v>198</v>
      </c>
      <c r="B26" s="1">
        <v>2.07E8</v>
      </c>
      <c r="C26" s="1">
        <v>2.1805126E8</v>
      </c>
      <c r="F26" s="4">
        <v>1.105126E7</v>
      </c>
      <c r="G26" s="4">
        <f t="array" ref="G26">IFERROR((C26-B26)/C26*100, "N/A")</f>
        <v>5.068193598</v>
      </c>
      <c r="J26" s="1"/>
      <c r="K26" s="1"/>
    </row>
    <row r="27" ht="14.25" customHeight="1">
      <c r="A27" s="1" t="s">
        <v>205</v>
      </c>
      <c r="B27" s="1">
        <v>2.0E8</v>
      </c>
      <c r="C27" s="1">
        <v>6.58672302E8</v>
      </c>
      <c r="F27" s="4">
        <v>4.58672302E8</v>
      </c>
      <c r="G27" s="4">
        <f t="array" ref="G27">IFERROR((C27-B27)/C27*100, "N/A")</f>
        <v>69.63588732</v>
      </c>
      <c r="J27" s="1"/>
      <c r="K27" s="1"/>
    </row>
    <row r="28" ht="14.25" customHeight="1">
      <c r="A28" s="1" t="s">
        <v>213</v>
      </c>
      <c r="B28" s="1">
        <v>2.5E8</v>
      </c>
      <c r="C28" s="1">
        <v>4.07197282E8</v>
      </c>
      <c r="F28" s="4">
        <v>1.57197282E8</v>
      </c>
      <c r="G28" s="4">
        <f t="array" ref="G28">IFERROR((C28-B28)/C28*100, "N/A")</f>
        <v>38.60469825</v>
      </c>
      <c r="J28" s="1"/>
      <c r="K28" s="1"/>
    </row>
    <row r="29" ht="14.25" customHeight="1">
      <c r="A29" s="1" t="s">
        <v>218</v>
      </c>
      <c r="B29" s="1">
        <v>2.09E8</v>
      </c>
      <c r="C29" s="1">
        <v>6.517316E7</v>
      </c>
      <c r="F29" s="4">
        <v>-1.4382684E8</v>
      </c>
      <c r="G29" s="4">
        <f t="array" ref="G29">IFERROR((C29-B29)/C29*100, "N/A")</f>
        <v>-220.6841589</v>
      </c>
      <c r="J29" s="1"/>
      <c r="K29" s="1"/>
    </row>
    <row r="30" ht="14.25" customHeight="1">
      <c r="A30" s="1" t="s">
        <v>226</v>
      </c>
      <c r="B30" s="1">
        <v>1.5E8</v>
      </c>
      <c r="C30" s="1">
        <v>6.52177271E8</v>
      </c>
      <c r="F30" s="4">
        <v>5.02177271E8</v>
      </c>
      <c r="G30" s="4">
        <f t="array" ref="G30">IFERROR((C30-B30)/C30*100, "N/A")</f>
        <v>77.00011842</v>
      </c>
      <c r="J30" s="1"/>
      <c r="K30" s="1"/>
    </row>
    <row r="31" ht="14.25" customHeight="1">
      <c r="A31" s="1" t="s">
        <v>232</v>
      </c>
      <c r="B31" s="1">
        <v>2.0E8</v>
      </c>
      <c r="C31" s="1">
        <v>3.04360277E8</v>
      </c>
      <c r="F31" s="4">
        <v>1.04360277E8</v>
      </c>
      <c r="G31" s="4">
        <f t="array" ref="G31">IFERROR((C31-B31)/C31*100, "N/A")</f>
        <v>34.28840256</v>
      </c>
      <c r="J31" s="1"/>
      <c r="K31" s="1"/>
    </row>
    <row r="32" ht="14.25" customHeight="1">
      <c r="A32" s="1" t="s">
        <v>237</v>
      </c>
      <c r="B32" s="1">
        <v>2.0E8</v>
      </c>
      <c r="C32" s="1">
        <v>3.73377893E8</v>
      </c>
      <c r="F32" s="4">
        <v>1.73377893E8</v>
      </c>
      <c r="G32" s="4">
        <f t="array" ref="G32">IFERROR((C32-B32)/C32*100, "N/A")</f>
        <v>46.43496475</v>
      </c>
      <c r="J32" s="1"/>
      <c r="K32" s="1"/>
    </row>
    <row r="33" ht="14.25" customHeight="1">
      <c r="A33" s="1" t="s">
        <v>242</v>
      </c>
      <c r="B33" s="1">
        <v>2.0E8</v>
      </c>
      <c r="C33" s="1">
        <v>4.08992272E8</v>
      </c>
      <c r="F33" s="4">
        <v>2.08992272E8</v>
      </c>
      <c r="G33" s="4">
        <f t="array" ref="G33">IFERROR((C33-B33)/C33*100, "N/A")</f>
        <v>51.09932053</v>
      </c>
      <c r="J33" s="1"/>
      <c r="K33" s="1"/>
    </row>
    <row r="34" ht="14.25" customHeight="1">
      <c r="A34" s="1" t="s">
        <v>248</v>
      </c>
      <c r="B34" s="1">
        <v>2.0E8</v>
      </c>
      <c r="C34" s="1">
        <v>3.34185206E8</v>
      </c>
      <c r="F34" s="4">
        <v>1.34185206E8</v>
      </c>
      <c r="G34" s="4">
        <f t="array" ref="G34">IFERROR((C34-B34)/C34*100, "N/A")</f>
        <v>40.15294621</v>
      </c>
      <c r="J34" s="1"/>
      <c r="K34" s="1"/>
    </row>
    <row r="35" ht="14.25" customHeight="1">
      <c r="A35" s="1" t="s">
        <v>253</v>
      </c>
      <c r="B35" s="1">
        <v>2.1E8</v>
      </c>
      <c r="C35" s="1">
        <v>2.34360014E8</v>
      </c>
      <c r="F35" s="4">
        <v>2.4360014E7</v>
      </c>
      <c r="G35" s="4">
        <f t="array" ref="G35">IFERROR((C35-B35)/C35*100, "N/A")</f>
        <v>10.39427059</v>
      </c>
      <c r="J35" s="1"/>
      <c r="K35" s="1"/>
    </row>
    <row r="36" ht="14.25" customHeight="1">
      <c r="A36" s="1" t="s">
        <v>262</v>
      </c>
      <c r="B36" s="1">
        <v>2.0E8</v>
      </c>
      <c r="C36" s="1">
        <v>2.68488329E8</v>
      </c>
      <c r="F36" s="4">
        <v>6.8488329E7</v>
      </c>
      <c r="G36" s="4">
        <f t="array" ref="G36">IFERROR((C36-B36)/C36*100, "N/A")</f>
        <v>25.50886635</v>
      </c>
      <c r="J36" s="1"/>
      <c r="K36" s="1"/>
    </row>
    <row r="37" ht="14.25" customHeight="1">
      <c r="A37" s="1" t="s">
        <v>271</v>
      </c>
      <c r="B37" s="1">
        <v>2.0E8</v>
      </c>
      <c r="C37" s="1">
        <v>4.02076689E8</v>
      </c>
      <c r="F37" s="4">
        <v>2.02076689E8</v>
      </c>
      <c r="G37" s="4">
        <f t="array" ref="G37">IFERROR((C37-B37)/C37*100, "N/A")</f>
        <v>50.25824539</v>
      </c>
      <c r="J37" s="1"/>
      <c r="K37" s="1"/>
    </row>
    <row r="38" ht="14.25" customHeight="1">
      <c r="A38" s="1" t="s">
        <v>277</v>
      </c>
      <c r="B38" s="1">
        <v>2.1E8</v>
      </c>
      <c r="C38" s="1">
        <v>2.45428137E8</v>
      </c>
      <c r="F38" s="4">
        <v>3.5428137E7</v>
      </c>
      <c r="G38" s="4">
        <f t="array" ref="G38">IFERROR((C38-B38)/C38*100, "N/A")</f>
        <v>14.43523853</v>
      </c>
      <c r="J38" s="1"/>
      <c r="K38" s="1"/>
    </row>
    <row r="39" ht="14.25" customHeight="1">
      <c r="A39" s="1" t="s">
        <v>282</v>
      </c>
      <c r="B39" s="1">
        <v>2.15E8</v>
      </c>
      <c r="C39" s="1">
        <v>2.34903076E8</v>
      </c>
      <c r="F39" s="4">
        <v>1.9903076E7</v>
      </c>
      <c r="G39" s="4">
        <f t="array" ref="G39">IFERROR((C39-B39)/C39*100, "N/A")</f>
        <v>8.472888622</v>
      </c>
      <c r="J39" s="1"/>
      <c r="K39" s="1"/>
    </row>
    <row r="40" ht="14.25" customHeight="1">
      <c r="A40" s="1" t="s">
        <v>287</v>
      </c>
      <c r="B40" s="1">
        <v>2.0E8</v>
      </c>
      <c r="C40" s="1">
        <v>2.02853933E8</v>
      </c>
      <c r="F40" s="4">
        <v>2853933.0</v>
      </c>
      <c r="G40" s="4">
        <f t="array" ref="G40">IFERROR((C40-B40)/C40*100, "N/A")</f>
        <v>1.406890642</v>
      </c>
      <c r="J40" s="1"/>
      <c r="K40" s="1"/>
    </row>
    <row r="41" ht="14.25" customHeight="1">
      <c r="A41" s="1" t="s">
        <v>292</v>
      </c>
      <c r="B41" s="1">
        <v>1.7E8</v>
      </c>
      <c r="C41" s="1">
        <v>1.72051787E8</v>
      </c>
      <c r="F41" s="4">
        <v>2051787.0</v>
      </c>
      <c r="G41" s="4">
        <f t="array" ref="G41">IFERROR((C41-B41)/C41*100, "N/A")</f>
        <v>1.19254036</v>
      </c>
      <c r="J41" s="1"/>
      <c r="K41" s="1"/>
    </row>
    <row r="42" ht="14.25" customHeight="1">
      <c r="A42" s="1" t="s">
        <v>299</v>
      </c>
      <c r="B42" s="1">
        <v>2.0E8</v>
      </c>
      <c r="C42" s="1">
        <v>1.91450875E8</v>
      </c>
      <c r="F42" s="4">
        <v>-8549125.0</v>
      </c>
      <c r="G42" s="4">
        <f t="array" ref="G42">IFERROR((C42-B42)/C42*100, "N/A")</f>
        <v>-4.465440547</v>
      </c>
      <c r="J42" s="1"/>
      <c r="K42" s="1"/>
    </row>
    <row r="43" ht="14.25" customHeight="1">
      <c r="A43" s="1" t="s">
        <v>306</v>
      </c>
      <c r="B43" s="1">
        <v>2.0E8</v>
      </c>
      <c r="C43" s="1">
        <v>1.16593191E8</v>
      </c>
      <c r="F43" s="4">
        <v>-8.3406809E7</v>
      </c>
      <c r="G43" s="4">
        <f t="array" ref="G43">IFERROR((C43-B43)/C43*100, "N/A")</f>
        <v>-71.53660371</v>
      </c>
      <c r="J43" s="1"/>
      <c r="K43" s="1"/>
    </row>
    <row r="44" ht="14.25" customHeight="1">
      <c r="A44" s="1" t="s">
        <v>313</v>
      </c>
      <c r="B44" s="1">
        <v>2.0E8</v>
      </c>
      <c r="C44" s="1">
        <v>4.14984497E8</v>
      </c>
      <c r="F44" s="4">
        <v>2.14984497E8</v>
      </c>
      <c r="G44" s="4">
        <f t="array" ref="G44">IFERROR((C44-B44)/C44*100, "N/A")</f>
        <v>51.80542853</v>
      </c>
      <c r="J44" s="1"/>
      <c r="K44" s="1"/>
    </row>
    <row r="45" ht="14.25" customHeight="1">
      <c r="A45" s="1" t="s">
        <v>320</v>
      </c>
      <c r="B45" s="1">
        <v>2.0E8</v>
      </c>
      <c r="C45" s="1">
        <v>1.25320003E8</v>
      </c>
      <c r="F45" s="4">
        <v>-7.4679997E7</v>
      </c>
      <c r="G45" s="4">
        <f t="array" ref="G45">IFERROR((C45-B45)/C45*100, "N/A")</f>
        <v>-59.59144208</v>
      </c>
      <c r="J45" s="1"/>
      <c r="K45" s="1"/>
    </row>
    <row r="46" ht="14.25" customHeight="1">
      <c r="A46" s="1" t="s">
        <v>325</v>
      </c>
      <c r="B46" s="1">
        <v>1.9E8</v>
      </c>
      <c r="C46" s="1">
        <v>3.5003411E8</v>
      </c>
      <c r="F46" s="4">
        <v>1.6003411E8</v>
      </c>
      <c r="G46" s="4">
        <f t="array" ref="G46">IFERROR((C46-B46)/C46*100, "N/A")</f>
        <v>45.71957573</v>
      </c>
      <c r="J46" s="1"/>
      <c r="K46" s="1"/>
    </row>
    <row r="47" ht="14.25" customHeight="1">
      <c r="A47" s="1" t="s">
        <v>332</v>
      </c>
      <c r="B47" s="1">
        <v>1.9E8</v>
      </c>
      <c r="C47" s="1">
        <v>2.02351611E8</v>
      </c>
      <c r="F47" s="4">
        <v>1.2351611E7</v>
      </c>
      <c r="G47" s="4">
        <f t="array" ref="G47">IFERROR((C47-B47)/C47*100, "N/A")</f>
        <v>6.104033933</v>
      </c>
      <c r="J47" s="1"/>
      <c r="K47" s="1"/>
    </row>
    <row r="48" ht="14.25" customHeight="1">
      <c r="A48" s="1" t="s">
        <v>339</v>
      </c>
      <c r="B48" s="1">
        <v>2.0E8</v>
      </c>
      <c r="C48" s="1">
        <v>2.33914986E8</v>
      </c>
      <c r="F48" s="4">
        <v>3.3914986E7</v>
      </c>
      <c r="G48" s="4">
        <f t="array" ref="G48">IFERROR((C48-B48)/C48*100, "N/A")</f>
        <v>14.4988513</v>
      </c>
      <c r="J48" s="1"/>
      <c r="K48" s="1"/>
    </row>
    <row r="49" ht="14.25" customHeight="1">
      <c r="A49" s="1" t="s">
        <v>344</v>
      </c>
      <c r="B49" s="1">
        <v>1.9E8</v>
      </c>
      <c r="C49" s="1">
        <v>2.28756232E8</v>
      </c>
      <c r="F49" s="4">
        <v>3.8756232E7</v>
      </c>
      <c r="G49" s="4">
        <f t="array" ref="G49">IFERROR((C49-B49)/C49*100, "N/A")</f>
        <v>16.94215351</v>
      </c>
      <c r="J49" s="1"/>
      <c r="K49" s="1"/>
    </row>
    <row r="50" ht="14.25" customHeight="1">
      <c r="A50" s="1" t="s">
        <v>350</v>
      </c>
      <c r="B50" s="1">
        <v>1.95E8</v>
      </c>
      <c r="C50" s="1">
        <v>6.517186E7</v>
      </c>
      <c r="F50" s="4">
        <v>-1.2982814E8</v>
      </c>
      <c r="G50" s="4">
        <f t="array" ref="G50">IFERROR((C50-B50)/C50*100, "N/A")</f>
        <v>-199.2088917</v>
      </c>
      <c r="J50" s="1"/>
      <c r="K50" s="1"/>
    </row>
    <row r="51" ht="14.25" customHeight="1">
      <c r="A51" s="1" t="s">
        <v>357</v>
      </c>
      <c r="B51" s="1">
        <v>1.05E8</v>
      </c>
      <c r="C51" s="1">
        <v>1.44812796E8</v>
      </c>
      <c r="F51" s="4">
        <v>3.9812796E7</v>
      </c>
      <c r="G51" s="4">
        <f t="array" ref="G51">IFERROR((C51-B51)/C51*100, "N/A")</f>
        <v>27.49259534</v>
      </c>
      <c r="J51" s="1"/>
      <c r="K51" s="1"/>
    </row>
    <row r="52" ht="14.25" customHeight="1">
      <c r="A52" s="1" t="s">
        <v>364</v>
      </c>
      <c r="B52" s="1">
        <v>2.0E8</v>
      </c>
      <c r="C52" s="1">
        <v>9.0755643E7</v>
      </c>
      <c r="F52" s="4">
        <v>-1.09244357E8</v>
      </c>
      <c r="G52" s="4">
        <f t="array" ref="G52">IFERROR((C52-B52)/C52*100, "N/A")</f>
        <v>-120.3719718</v>
      </c>
      <c r="J52" s="1"/>
      <c r="K52" s="1"/>
    </row>
    <row r="53" ht="14.25" customHeight="1">
      <c r="A53" s="1" t="s">
        <v>371</v>
      </c>
      <c r="B53" s="1">
        <v>1.9E8</v>
      </c>
      <c r="C53" s="1">
        <v>1.01785482E8</v>
      </c>
      <c r="F53" s="4">
        <v>-8.8214518E7</v>
      </c>
      <c r="G53" s="4">
        <f t="array" ref="G53">IFERROR((C53-B53)/C53*100, "N/A")</f>
        <v>-86.66709266</v>
      </c>
      <c r="J53" s="1"/>
      <c r="K53" s="1"/>
    </row>
    <row r="54" ht="14.25" customHeight="1">
      <c r="A54" s="1" t="s">
        <v>377</v>
      </c>
      <c r="B54" s="1">
        <v>1.95E8</v>
      </c>
      <c r="C54" s="1">
        <v>3.52358779E8</v>
      </c>
      <c r="F54" s="4">
        <v>1.57358779E8</v>
      </c>
      <c r="G54" s="4">
        <f t="array" ref="G54">IFERROR((C54-B54)/C54*100, "N/A")</f>
        <v>44.65867984</v>
      </c>
      <c r="J54" s="1"/>
      <c r="K54" s="1"/>
    </row>
    <row r="55" ht="14.25" customHeight="1">
      <c r="A55" s="1" t="s">
        <v>382</v>
      </c>
      <c r="B55" s="1">
        <v>1.85E8</v>
      </c>
      <c r="C55" s="1">
        <v>3.17011114E8</v>
      </c>
      <c r="F55" s="4">
        <v>1.32011114E8</v>
      </c>
      <c r="G55" s="4">
        <f t="array" ref="G55">IFERROR((C55-B55)/C55*100, "N/A")</f>
        <v>41.64242456</v>
      </c>
      <c r="J55" s="1"/>
      <c r="K55" s="1"/>
    </row>
    <row r="56" ht="14.25" customHeight="1">
      <c r="A56" s="1" t="s">
        <v>389</v>
      </c>
      <c r="B56" s="1">
        <v>1.85E8</v>
      </c>
      <c r="C56" s="1">
        <v>2.37282182E8</v>
      </c>
      <c r="F56" s="4">
        <v>5.2282182E7</v>
      </c>
      <c r="G56" s="4">
        <f t="array" ref="G56">IFERROR((C56-B56)/C56*100, "N/A")</f>
        <v>22.0337581</v>
      </c>
      <c r="J56" s="1"/>
      <c r="K56" s="1"/>
    </row>
    <row r="57" ht="14.25" customHeight="1">
      <c r="A57" s="1" t="s">
        <v>395</v>
      </c>
      <c r="B57" s="1">
        <v>1.85E8</v>
      </c>
      <c r="C57" s="1">
        <v>1.30468626E8</v>
      </c>
      <c r="F57" s="4">
        <v>-5.4531374E7</v>
      </c>
      <c r="G57" s="4">
        <f t="array" ref="G57">IFERROR((C57-B57)/C57*100, "N/A")</f>
        <v>-41.79654195</v>
      </c>
      <c r="J57" s="1"/>
      <c r="K57" s="1"/>
    </row>
    <row r="58" ht="14.25" customHeight="1">
      <c r="A58" s="1" t="s">
        <v>401</v>
      </c>
      <c r="B58" s="1">
        <v>1.8E8</v>
      </c>
      <c r="C58" s="1">
        <v>2.23806889E8</v>
      </c>
      <c r="F58" s="4">
        <v>4.3806889E7</v>
      </c>
      <c r="G58" s="4">
        <f t="array" ref="G58">IFERROR((C58-B58)/C58*100, "N/A")</f>
        <v>19.57352126</v>
      </c>
      <c r="J58" s="1"/>
      <c r="K58" s="1"/>
    </row>
    <row r="59" ht="14.25" customHeight="1">
      <c r="A59" s="1" t="s">
        <v>407</v>
      </c>
      <c r="B59" s="1">
        <v>1.4E8</v>
      </c>
      <c r="C59" s="1">
        <v>1.4008085E8</v>
      </c>
      <c r="F59" s="4">
        <v>80850.0</v>
      </c>
      <c r="G59" s="4">
        <f t="array" ref="G59">IFERROR((C59-B59)/C59*100, "N/A")</f>
        <v>0.05771666862</v>
      </c>
      <c r="J59" s="1"/>
      <c r="K59" s="1"/>
    </row>
    <row r="60" ht="14.25" customHeight="1">
      <c r="A60" s="1">
        <v>2012.0</v>
      </c>
      <c r="B60" s="1">
        <v>2.0E8</v>
      </c>
      <c r="C60" s="1">
        <v>1.66112167E8</v>
      </c>
      <c r="F60" s="4">
        <v>-3.3887833E7</v>
      </c>
      <c r="G60" s="4">
        <f t="array" ref="G60">IFERROR((C60-B60)/C60*100, "N/A")</f>
        <v>-20.40057246</v>
      </c>
      <c r="J60" s="1"/>
      <c r="K60" s="1"/>
    </row>
    <row r="61" ht="14.25" customHeight="1">
      <c r="A61" s="1" t="s">
        <v>421</v>
      </c>
      <c r="B61" s="1">
        <v>2.0E8</v>
      </c>
      <c r="C61" s="1">
        <v>1.37850096E8</v>
      </c>
      <c r="F61" s="4">
        <v>-6.2149904E7</v>
      </c>
      <c r="G61" s="4">
        <f t="array" ref="G61">IFERROR((C61-B61)/C61*100, "N/A")</f>
        <v>-45.08513654</v>
      </c>
      <c r="J61" s="1"/>
      <c r="K61" s="1"/>
    </row>
    <row r="62" ht="14.25" customHeight="1">
      <c r="A62" s="1" t="s">
        <v>429</v>
      </c>
      <c r="B62" s="1">
        <v>1.76E8</v>
      </c>
      <c r="C62" s="1">
        <v>4.7375327E7</v>
      </c>
      <c r="F62" s="4">
        <v>-1.28624673E8</v>
      </c>
      <c r="G62" s="4">
        <f t="array" ref="G62">IFERROR((C62-B62)/C62*100, "N/A")</f>
        <v>-271.5013935</v>
      </c>
      <c r="J62" s="1"/>
      <c r="K62" s="1"/>
    </row>
    <row r="63" ht="14.25" customHeight="1">
      <c r="A63" s="1" t="s">
        <v>434</v>
      </c>
      <c r="B63" s="1">
        <v>1.8E8</v>
      </c>
      <c r="C63" s="1">
        <v>1.24051759E8</v>
      </c>
      <c r="F63" s="4">
        <v>-5.5948241E7</v>
      </c>
      <c r="G63" s="4">
        <f t="array" ref="G63">IFERROR((C63-B63)/C63*100, "N/A")</f>
        <v>-45.10072364</v>
      </c>
      <c r="J63" s="1"/>
      <c r="K63" s="1"/>
    </row>
    <row r="64" ht="14.25" customHeight="1">
      <c r="A64" s="1" t="s">
        <v>438</v>
      </c>
      <c r="B64" s="1">
        <v>1.8E8</v>
      </c>
      <c r="C64" s="1">
        <v>2.91709845E8</v>
      </c>
      <c r="F64" s="4">
        <v>1.11709845E8</v>
      </c>
      <c r="G64" s="4">
        <f t="array" ref="G64">IFERROR((C64-B64)/C64*100, "N/A")</f>
        <v>38.29484912</v>
      </c>
      <c r="J64" s="1"/>
      <c r="K64" s="1"/>
    </row>
    <row r="65" ht="14.25" customHeight="1">
      <c r="A65" s="1" t="s">
        <v>443</v>
      </c>
      <c r="B65" s="1">
        <v>1.78E8</v>
      </c>
      <c r="C65" s="1">
        <v>1.54985087E8</v>
      </c>
      <c r="F65" s="4">
        <v>-2.3014913E7</v>
      </c>
      <c r="G65" s="4">
        <f t="array" ref="G65">IFERROR((C65-B65)/C65*100, "N/A")</f>
        <v>-14.84975971</v>
      </c>
      <c r="J65" s="1"/>
      <c r="K65" s="1"/>
    </row>
    <row r="66" ht="14.25" customHeight="1">
      <c r="A66" s="1" t="s">
        <v>448</v>
      </c>
      <c r="B66" s="1">
        <v>1.85E8</v>
      </c>
      <c r="C66" s="1">
        <v>5.33316061E8</v>
      </c>
      <c r="F66" s="4">
        <v>3.48316061E8</v>
      </c>
      <c r="G66" s="4">
        <f t="array" ref="G66">IFERROR((C66-B66)/C66*100, "N/A")</f>
        <v>65.31137659</v>
      </c>
      <c r="J66" s="1"/>
      <c r="K66" s="1"/>
    </row>
    <row r="67" ht="14.25" customHeight="1">
      <c r="A67" s="1" t="s">
        <v>455</v>
      </c>
      <c r="B67" s="1">
        <v>1.75E8</v>
      </c>
      <c r="C67" s="1">
        <v>2.92979556E8</v>
      </c>
      <c r="F67" s="4">
        <v>1.17979556E8</v>
      </c>
      <c r="G67" s="4">
        <f t="array" ref="G67">IFERROR((C67-B67)/C67*100, "N/A")</f>
        <v>40.26886982</v>
      </c>
      <c r="J67" s="1"/>
      <c r="K67" s="1"/>
    </row>
    <row r="68" ht="14.25" customHeight="1">
      <c r="A68" s="1" t="s">
        <v>462</v>
      </c>
      <c r="B68" s="1">
        <v>1.75E8</v>
      </c>
      <c r="C68" s="1">
        <v>1.98332128E8</v>
      </c>
      <c r="F68" s="4">
        <v>2.3332128E7</v>
      </c>
      <c r="G68" s="4">
        <f t="array" ref="G68">IFERROR((C68-B68)/C68*100, "N/A")</f>
        <v>11.76416965</v>
      </c>
      <c r="J68" s="1"/>
      <c r="K68" s="1"/>
    </row>
    <row r="69" ht="14.25" customHeight="1">
      <c r="A69" s="1" t="s">
        <v>469</v>
      </c>
      <c r="B69" s="1">
        <v>1.4E8</v>
      </c>
      <c r="C69" s="1">
        <v>3.1829818E8</v>
      </c>
      <c r="F69" s="4">
        <v>1.7829818E8</v>
      </c>
      <c r="G69" s="4">
        <f t="array" ref="G69">IFERROR((C69-B69)/C69*100, "N/A")</f>
        <v>56.01608529</v>
      </c>
      <c r="J69" s="1"/>
      <c r="K69" s="1"/>
    </row>
    <row r="70" ht="14.25" customHeight="1">
      <c r="A70" s="1" t="s">
        <v>473</v>
      </c>
      <c r="B70" s="1">
        <v>1.7E8</v>
      </c>
      <c r="C70" s="1">
        <v>7.3820094E7</v>
      </c>
      <c r="F70" s="4">
        <v>-9.6179906E7</v>
      </c>
      <c r="G70" s="4">
        <f t="array" ref="G70">IFERROR((C70-B70)/C70*100, "N/A")</f>
        <v>-130.2896011</v>
      </c>
      <c r="J70" s="1"/>
      <c r="K70" s="1"/>
    </row>
    <row r="71" ht="14.25" customHeight="1">
      <c r="A71" s="1" t="s">
        <v>478</v>
      </c>
      <c r="B71" s="1">
        <v>1.7E8</v>
      </c>
      <c r="C71" s="1">
        <v>1.13745408E8</v>
      </c>
      <c r="F71" s="4">
        <v>-5.6254592E7</v>
      </c>
      <c r="G71" s="4">
        <f t="array" ref="G71">IFERROR((C71-B71)/C71*100, "N/A")</f>
        <v>-49.4565829</v>
      </c>
      <c r="J71" s="1"/>
      <c r="K71" s="1"/>
    </row>
    <row r="72" ht="14.25" customHeight="1">
      <c r="A72" s="1" t="s">
        <v>485</v>
      </c>
      <c r="B72" s="1">
        <v>1.45E8</v>
      </c>
      <c r="C72" s="1">
        <v>1.02176165E8</v>
      </c>
      <c r="F72" s="4">
        <v>-4.2823835E7</v>
      </c>
      <c r="G72" s="4">
        <f t="array" ref="G72">IFERROR((C72-B72)/C72*100, "N/A")</f>
        <v>-41.91176582</v>
      </c>
      <c r="J72" s="1"/>
      <c r="K72" s="1"/>
    </row>
    <row r="73" ht="14.25" customHeight="1">
      <c r="A73" s="1" t="s">
        <v>493</v>
      </c>
      <c r="B73" s="1">
        <v>1.75E8</v>
      </c>
      <c r="C73" s="1">
        <v>1.61087183E8</v>
      </c>
      <c r="F73" s="4">
        <v>-1.3912817E7</v>
      </c>
      <c r="G73" s="4">
        <f t="array" ref="G73">IFERROR((C73-B73)/C73*100, "N/A")</f>
        <v>-8.636824321</v>
      </c>
      <c r="J73" s="1"/>
      <c r="K73" s="1"/>
    </row>
    <row r="74" ht="14.25" customHeight="1">
      <c r="A74" s="1" t="s">
        <v>500</v>
      </c>
      <c r="B74" s="1">
        <v>1.75E8</v>
      </c>
      <c r="C74" s="1">
        <v>1.0028969E8</v>
      </c>
      <c r="F74" s="4">
        <v>-7.471031E7</v>
      </c>
      <c r="G74" s="4">
        <f t="array" ref="G74">IFERROR((C74-B74)/C74*100, "N/A")</f>
        <v>-74.49450686</v>
      </c>
      <c r="J74" s="1"/>
      <c r="K74" s="1"/>
    </row>
    <row r="75" ht="14.25" customHeight="1">
      <c r="A75" s="1" t="s">
        <v>507</v>
      </c>
      <c r="B75" s="1">
        <v>1.78E8</v>
      </c>
      <c r="C75" s="1">
        <v>1.00189501E8</v>
      </c>
      <c r="F75" s="4">
        <v>-7.7810499E7</v>
      </c>
      <c r="G75" s="4">
        <f t="array" ref="G75">IFERROR((C75-B75)/C75*100, "N/A")</f>
        <v>-77.66332622</v>
      </c>
      <c r="J75" s="1"/>
      <c r="K75" s="1"/>
    </row>
    <row r="76" ht="14.25" customHeight="1">
      <c r="A76" s="1" t="s">
        <v>514</v>
      </c>
      <c r="B76" s="1">
        <v>1.75E8</v>
      </c>
      <c r="C76" s="1">
        <v>8.824622E7</v>
      </c>
      <c r="F76" s="4">
        <v>-8.675378E7</v>
      </c>
      <c r="G76" s="4">
        <f t="array" ref="G76">IFERROR((C76-B76)/C76*100, "N/A")</f>
        <v>-98.30877742</v>
      </c>
      <c r="J76" s="1"/>
      <c r="K76" s="1"/>
    </row>
    <row r="77" ht="14.25" customHeight="1">
      <c r="A77" s="1" t="s">
        <v>521</v>
      </c>
      <c r="B77" s="1">
        <v>1.75E8</v>
      </c>
      <c r="C77" s="1">
        <v>1.5016763E8</v>
      </c>
      <c r="F77" s="4">
        <v>-2.483237E7</v>
      </c>
      <c r="G77" s="4">
        <f t="array" ref="G77">IFERROR((C77-B77)/C77*100, "N/A")</f>
        <v>-16.53643332</v>
      </c>
      <c r="J77" s="1"/>
      <c r="K77" s="1"/>
    </row>
    <row r="78" ht="14.25" customHeight="1">
      <c r="A78" s="1" t="s">
        <v>526</v>
      </c>
      <c r="B78" s="1">
        <v>1.75E8</v>
      </c>
      <c r="C78" s="1">
        <v>3.56454367E8</v>
      </c>
      <c r="F78" s="4">
        <v>1.81454367E8</v>
      </c>
      <c r="G78" s="4">
        <f t="array" ref="G78">IFERROR((C78-B78)/C78*100, "N/A")</f>
        <v>50.9053567</v>
      </c>
      <c r="J78" s="1"/>
      <c r="K78" s="1"/>
    </row>
    <row r="79" ht="14.25" customHeight="1">
      <c r="A79" s="1" t="s">
        <v>532</v>
      </c>
      <c r="B79" s="1">
        <v>1.75E8</v>
      </c>
      <c r="C79" s="1">
        <v>3.62645141E8</v>
      </c>
      <c r="F79" s="4">
        <v>1.87645141E8</v>
      </c>
      <c r="G79" s="4">
        <f t="array" ref="G79">IFERROR((C79-B79)/C79*100, "N/A")</f>
        <v>51.74345932</v>
      </c>
      <c r="J79" s="1"/>
      <c r="K79" s="1"/>
    </row>
    <row r="80" ht="14.25" customHeight="1">
      <c r="A80" s="1" t="s">
        <v>538</v>
      </c>
      <c r="B80" s="1">
        <v>2.0E8</v>
      </c>
      <c r="C80" s="1">
        <v>3.12057433E8</v>
      </c>
      <c r="F80" s="4">
        <v>1.12057433E8</v>
      </c>
      <c r="G80" s="4">
        <f t="array" ref="G80">IFERROR((C80-B80)/C80*100, "N/A")</f>
        <v>35.90923373</v>
      </c>
      <c r="J80" s="1"/>
      <c r="K80" s="1"/>
    </row>
    <row r="81" ht="14.25" customHeight="1">
      <c r="A81" s="1" t="s">
        <v>542</v>
      </c>
      <c r="B81" s="1">
        <v>1.7E8</v>
      </c>
      <c r="C81" s="1">
        <v>1.55111815E8</v>
      </c>
      <c r="F81" s="4">
        <v>-1.4888185E7</v>
      </c>
      <c r="G81" s="4">
        <f t="array" ref="G81">IFERROR((C81-B81)/C81*100, "N/A")</f>
        <v>-9.598356515</v>
      </c>
      <c r="J81" s="1"/>
      <c r="K81" s="1"/>
    </row>
    <row r="82" ht="14.25" customHeight="1">
      <c r="A82" s="1" t="s">
        <v>548</v>
      </c>
      <c r="B82" s="1">
        <v>1.8E8</v>
      </c>
      <c r="C82" s="1">
        <v>2.41407328E8</v>
      </c>
      <c r="F82" s="4">
        <v>6.1407328E7</v>
      </c>
      <c r="G82" s="4">
        <f t="array" ref="G82">IFERROR((C82-B82)/C82*100, "N/A")</f>
        <v>25.43722616</v>
      </c>
      <c r="J82" s="1"/>
      <c r="K82" s="1"/>
    </row>
    <row r="83" ht="14.25" customHeight="1">
      <c r="A83" s="1" t="s">
        <v>556</v>
      </c>
      <c r="B83" s="1">
        <v>1.7E8</v>
      </c>
      <c r="C83" s="1">
        <v>2.08543795E8</v>
      </c>
      <c r="F83" s="4">
        <v>3.8543795E7</v>
      </c>
      <c r="G83" s="4">
        <f t="array" ref="G83">IFERROR((C83-B83)/C83*100, "N/A")</f>
        <v>18.48235043</v>
      </c>
      <c r="J83" s="1"/>
      <c r="K83" s="1"/>
    </row>
    <row r="84" ht="14.25" customHeight="1">
      <c r="A84" s="1" t="s">
        <v>562</v>
      </c>
      <c r="B84" s="1">
        <v>1.75E8</v>
      </c>
      <c r="C84" s="1">
        <v>3.8297305E7</v>
      </c>
      <c r="F84" s="4">
        <v>-1.36702695E8</v>
      </c>
      <c r="G84" s="4">
        <f t="array" ref="G84">IFERROR((C84-B84)/C84*100, "N/A")</f>
        <v>-356.9512137</v>
      </c>
      <c r="J84" s="1"/>
      <c r="K84" s="1"/>
    </row>
    <row r="85" ht="14.25" customHeight="1">
      <c r="A85" s="1" t="s">
        <v>568</v>
      </c>
      <c r="B85" s="1">
        <v>1.7E8</v>
      </c>
      <c r="C85" s="1">
        <v>2.59746958E8</v>
      </c>
      <c r="F85" s="4">
        <v>8.9746958E7</v>
      </c>
      <c r="G85" s="4">
        <f t="array" ref="G85">IFERROR((C85-B85)/C85*100, "N/A")</f>
        <v>34.5516878</v>
      </c>
      <c r="J85" s="1"/>
      <c r="K85" s="1"/>
    </row>
    <row r="86" ht="14.25" customHeight="1">
      <c r="A86" s="1" t="s">
        <v>573</v>
      </c>
      <c r="B86" s="1">
        <v>1.65E8</v>
      </c>
      <c r="C86" s="1">
        <v>2.38371987E8</v>
      </c>
      <c r="F86" s="4">
        <v>7.3371987E7</v>
      </c>
      <c r="G86" s="4">
        <f t="array" ref="G86">IFERROR((C86-B86)/C86*100, "N/A")</f>
        <v>30.78045702</v>
      </c>
      <c r="J86" s="1"/>
      <c r="K86" s="1"/>
    </row>
    <row r="87" ht="14.25" customHeight="1">
      <c r="A87" s="1" t="s">
        <v>580</v>
      </c>
      <c r="B87" s="1">
        <v>1.9E8</v>
      </c>
      <c r="C87" s="1">
        <v>9.3417865E7</v>
      </c>
      <c r="F87" s="4">
        <v>-9.6582135E7</v>
      </c>
      <c r="G87" s="4">
        <f t="array" ref="G87">IFERROR((C87-B87)/C87*100, "N/A")</f>
        <v>-103.3872215</v>
      </c>
      <c r="J87" s="1"/>
      <c r="K87" s="1"/>
    </row>
    <row r="88" ht="14.25" customHeight="1">
      <c r="A88" s="1" t="s">
        <v>587</v>
      </c>
      <c r="B88" s="1">
        <v>1.65E8</v>
      </c>
      <c r="C88" s="1">
        <v>2.22487711E8</v>
      </c>
      <c r="F88" s="4">
        <v>5.7487711E7</v>
      </c>
      <c r="G88" s="4">
        <f t="array" ref="G88">IFERROR((C88-B88)/C88*100, "N/A")</f>
        <v>25.83860059</v>
      </c>
      <c r="J88" s="1"/>
      <c r="K88" s="1"/>
    </row>
    <row r="89" ht="14.25" customHeight="1">
      <c r="A89" s="1" t="s">
        <v>595</v>
      </c>
      <c r="B89" s="1">
        <v>1.65E8</v>
      </c>
      <c r="C89" s="1">
        <v>1.89412677E8</v>
      </c>
      <c r="F89" s="4">
        <v>2.4412677E7</v>
      </c>
      <c r="G89" s="4">
        <f t="array" ref="G89">IFERROR((C89-B89)/C89*100, "N/A")</f>
        <v>12.88861833</v>
      </c>
      <c r="J89" s="1"/>
      <c r="K89" s="1"/>
    </row>
    <row r="90" ht="14.25" customHeight="1">
      <c r="A90" s="1" t="s">
        <v>602</v>
      </c>
      <c r="B90" s="1">
        <v>1.65E8</v>
      </c>
      <c r="C90" s="1">
        <v>665426.0</v>
      </c>
      <c r="F90" s="4">
        <v>-1.64334574E8</v>
      </c>
      <c r="G90" s="4">
        <f t="array" ref="G90">IFERROR((C90-B90)/C90*100, "N/A")</f>
        <v>-24696.14563</v>
      </c>
      <c r="J90" s="1"/>
      <c r="K90" s="1"/>
    </row>
    <row r="91" ht="14.25" customHeight="1">
      <c r="A91" s="1" t="s">
        <v>608</v>
      </c>
      <c r="B91" s="1">
        <v>1.65E8</v>
      </c>
      <c r="C91" s="1">
        <v>1.02315545E8</v>
      </c>
      <c r="F91" s="4">
        <v>-6.2684455E7</v>
      </c>
      <c r="G91" s="4">
        <f t="array" ref="G91">IFERROR((C91-B91)/C91*100, "N/A")</f>
        <v>-61.26581743</v>
      </c>
      <c r="J91" s="1"/>
      <c r="K91" s="1"/>
    </row>
    <row r="92" ht="14.25" customHeight="1">
      <c r="A92" s="1" t="s">
        <v>615</v>
      </c>
      <c r="B92" s="1">
        <v>1.65E8</v>
      </c>
      <c r="C92" s="1">
        <v>2.17387997E8</v>
      </c>
      <c r="F92" s="4">
        <v>5.2387997E7</v>
      </c>
      <c r="G92" s="4">
        <f t="array" ref="G92">IFERROR((C92-B92)/C92*100, "N/A")</f>
        <v>24.09884526</v>
      </c>
      <c r="J92" s="1"/>
      <c r="K92" s="1"/>
    </row>
    <row r="93" ht="14.25" customHeight="1">
      <c r="A93" s="1" t="s">
        <v>622</v>
      </c>
      <c r="B93" s="1">
        <v>2.0E8</v>
      </c>
      <c r="C93" s="1">
        <v>1.50350192E8</v>
      </c>
      <c r="F93" s="4">
        <v>-4.9649808E7</v>
      </c>
      <c r="G93" s="4">
        <f t="array" ref="G93">IFERROR((C93-B93)/C93*100, "N/A")</f>
        <v>-33.02277659</v>
      </c>
      <c r="J93" s="1"/>
      <c r="K93" s="1"/>
    </row>
    <row r="94" ht="14.25" customHeight="1">
      <c r="A94" s="1" t="s">
        <v>630</v>
      </c>
      <c r="B94" s="1">
        <v>1.7E8</v>
      </c>
      <c r="C94" s="1">
        <v>3.33130696E8</v>
      </c>
      <c r="F94" s="4">
        <v>1.63130696E8</v>
      </c>
      <c r="G94" s="4">
        <f t="array" ref="G94">IFERROR((C94-B94)/C94*100, "N/A")</f>
        <v>48.96897763</v>
      </c>
      <c r="J94" s="1"/>
      <c r="K94" s="1"/>
    </row>
    <row r="95" ht="14.25" customHeight="1">
      <c r="A95" s="1" t="s">
        <v>635</v>
      </c>
      <c r="B95" s="1">
        <v>1.65E8</v>
      </c>
      <c r="C95" s="1">
        <v>1.87991439E8</v>
      </c>
      <c r="F95" s="4">
        <v>2.2991439E7</v>
      </c>
      <c r="G95" s="4">
        <f t="array" ref="G95">IFERROR((C95-B95)/C95*100, "N/A")</f>
        <v>12.23004575</v>
      </c>
      <c r="J95" s="1"/>
      <c r="K95" s="1"/>
    </row>
    <row r="96" ht="14.25" customHeight="1">
      <c r="A96" s="1" t="s">
        <v>641</v>
      </c>
      <c r="B96" s="1">
        <v>1.6E8</v>
      </c>
      <c r="C96" s="1">
        <v>2.92568851E8</v>
      </c>
      <c r="F96" s="4">
        <v>1.32568851E8</v>
      </c>
      <c r="G96" s="4">
        <f t="array" ref="G96">IFERROR((C96-B96)/C96*100, "N/A")</f>
        <v>45.3120182</v>
      </c>
      <c r="J96" s="1"/>
      <c r="K96" s="1"/>
    </row>
    <row r="97" ht="14.25" customHeight="1">
      <c r="A97" s="1" t="s">
        <v>644</v>
      </c>
      <c r="B97" s="1">
        <v>3.8E7</v>
      </c>
      <c r="C97" s="1">
        <v>1.4451231E8</v>
      </c>
      <c r="F97" s="4">
        <v>1.0651231E8</v>
      </c>
      <c r="G97" s="4">
        <f t="array" ref="G97">IFERROR((C97-B97)/C97*100, "N/A")</f>
        <v>73.70466225</v>
      </c>
      <c r="J97" s="1"/>
      <c r="K97" s="1"/>
    </row>
    <row r="98" ht="14.25" customHeight="1">
      <c r="A98" s="1" t="s">
        <v>649</v>
      </c>
      <c r="B98" s="1">
        <v>1.5E8</v>
      </c>
      <c r="C98" s="1">
        <v>1.27490802E8</v>
      </c>
      <c r="F98" s="4">
        <v>-2.2509198E7</v>
      </c>
      <c r="G98" s="4">
        <f t="array" ref="G98">IFERROR((C98-B98)/C98*100, "N/A")</f>
        <v>-17.65554663</v>
      </c>
      <c r="J98" s="1"/>
      <c r="K98" s="1"/>
    </row>
    <row r="99" ht="14.25" customHeight="1">
      <c r="A99" s="1" t="s">
        <v>656</v>
      </c>
      <c r="B99" s="1">
        <v>1.6E8</v>
      </c>
      <c r="C99" s="1">
        <v>1.46405371E8</v>
      </c>
      <c r="F99" s="4">
        <v>-1.3594629E7</v>
      </c>
      <c r="G99" s="4">
        <f t="array" ref="G99">IFERROR((C99-B99)/C99*100, "N/A")</f>
        <v>-9.285608108</v>
      </c>
      <c r="J99" s="1"/>
      <c r="K99" s="1"/>
    </row>
    <row r="100" ht="14.25" customHeight="1">
      <c r="A100" s="1" t="s">
        <v>660</v>
      </c>
      <c r="B100" s="1">
        <v>1.6E8</v>
      </c>
      <c r="C100" s="1">
        <v>2.81666058E8</v>
      </c>
      <c r="F100" s="4">
        <v>1.21666058E8</v>
      </c>
      <c r="G100" s="4">
        <f t="array" ref="G100">IFERROR((C100-B100)/C100*100, "N/A")</f>
        <v>43.19514352</v>
      </c>
      <c r="J100" s="1"/>
      <c r="K100" s="1"/>
    </row>
    <row r="101" ht="14.25" customHeight="1">
      <c r="A101" s="1" t="s">
        <v>667</v>
      </c>
      <c r="B101" s="1">
        <v>1.5E8</v>
      </c>
      <c r="C101" s="1">
        <v>6.3143812E7</v>
      </c>
      <c r="F101" s="4">
        <v>-8.6856188E7</v>
      </c>
      <c r="G101" s="4">
        <f t="array" ref="G101">IFERROR((C101-B101)/C101*100, "N/A")</f>
        <v>-137.5529688</v>
      </c>
      <c r="J101" s="1"/>
      <c r="K101" s="1"/>
    </row>
    <row r="102" ht="14.25" customHeight="1">
      <c r="A102" s="1" t="s">
        <v>674</v>
      </c>
      <c r="B102" s="1">
        <v>1.6E8</v>
      </c>
      <c r="C102" s="1">
        <v>6.0655503E7</v>
      </c>
      <c r="F102" s="4">
        <v>-9.9344497E7</v>
      </c>
      <c r="G102" s="4">
        <f t="array" ref="G102">IFERROR((C102-B102)/C102*100, "N/A")</f>
        <v>-163.7848045</v>
      </c>
      <c r="J102" s="1"/>
      <c r="K102" s="1"/>
    </row>
    <row r="103" ht="14.25" customHeight="1">
      <c r="A103" s="1" t="s">
        <v>681</v>
      </c>
      <c r="B103" s="1">
        <v>1.7E8</v>
      </c>
      <c r="C103" s="1">
        <v>7.6846624E7</v>
      </c>
      <c r="F103" s="4">
        <v>-9.3153376E7</v>
      </c>
      <c r="G103" s="4">
        <f t="array" ref="G103">IFERROR((C103-B103)/C103*100, "N/A")</f>
        <v>-121.2198678</v>
      </c>
      <c r="J103" s="1"/>
      <c r="K103" s="1"/>
    </row>
    <row r="104" ht="14.25" customHeight="1">
      <c r="A104" s="1" t="s">
        <v>685</v>
      </c>
      <c r="B104" s="1">
        <v>1.6E8</v>
      </c>
      <c r="C104" s="1">
        <v>3.20706665E8</v>
      </c>
      <c r="F104" s="4">
        <v>1.60706665E8</v>
      </c>
      <c r="G104" s="4">
        <f t="array" ref="G104">IFERROR((C104-B104)/C104*100, "N/A")</f>
        <v>50.11017311</v>
      </c>
      <c r="J104" s="1"/>
      <c r="K104" s="1"/>
    </row>
    <row r="105" ht="14.25" customHeight="1">
      <c r="A105" s="1" t="s">
        <v>692</v>
      </c>
      <c r="B105" s="1">
        <v>1.6E8</v>
      </c>
      <c r="C105" s="1">
        <v>4.6978995E7</v>
      </c>
      <c r="F105" s="4">
        <v>-1.13021005E8</v>
      </c>
      <c r="G105" s="4">
        <f t="array" ref="G105">IFERROR((C105-B105)/C105*100, "N/A")</f>
        <v>-240.5777412</v>
      </c>
      <c r="J105" s="1"/>
      <c r="K105" s="1"/>
    </row>
    <row r="106" ht="14.25" customHeight="1">
      <c r="A106" s="1" t="s">
        <v>699</v>
      </c>
      <c r="B106" s="1">
        <v>1.55E8</v>
      </c>
      <c r="C106" s="1">
        <v>8.9732035E7</v>
      </c>
      <c r="F106" s="4">
        <v>-6.5267965E7</v>
      </c>
      <c r="G106" s="4">
        <f t="array" ref="G106">IFERROR((C106-B106)/C106*100, "N/A")</f>
        <v>-72.73652604</v>
      </c>
      <c r="J106" s="1"/>
      <c r="K106" s="1"/>
    </row>
    <row r="107" ht="14.25" customHeight="1">
      <c r="A107" s="1" t="s">
        <v>705</v>
      </c>
      <c r="B107" s="1">
        <v>1.55E8</v>
      </c>
      <c r="C107" s="1">
        <v>1.04383624E8</v>
      </c>
      <c r="F107" s="4">
        <v>-5.0616376E7</v>
      </c>
      <c r="G107" s="4">
        <f t="array" ref="G107">IFERROR((C107-B107)/C107*100, "N/A")</f>
        <v>-48.49072494</v>
      </c>
      <c r="J107" s="1"/>
      <c r="K107" s="1"/>
    </row>
    <row r="108" ht="14.25" customHeight="1">
      <c r="A108" s="1" t="s">
        <v>711</v>
      </c>
      <c r="B108" s="1">
        <v>1.4E8</v>
      </c>
      <c r="C108" s="1">
        <v>1.98539855E8</v>
      </c>
      <c r="F108" s="4">
        <v>5.8539855E7</v>
      </c>
      <c r="G108" s="4">
        <f t="array" ref="G108">IFERROR((C108-B108)/C108*100, "N/A")</f>
        <v>29.48519077</v>
      </c>
      <c r="J108" s="1"/>
      <c r="K108" s="1"/>
    </row>
    <row r="109" ht="14.25" customHeight="1">
      <c r="A109" s="1" t="s">
        <v>718</v>
      </c>
      <c r="B109" s="1">
        <v>1.5E8</v>
      </c>
      <c r="C109" s="1">
        <v>3.18759914E8</v>
      </c>
      <c r="F109" s="4">
        <v>1.68759914E8</v>
      </c>
      <c r="G109" s="4">
        <f t="array" ref="G109">IFERROR((C109-B109)/C109*100, "N/A")</f>
        <v>52.94264008</v>
      </c>
      <c r="J109" s="1"/>
      <c r="K109" s="1"/>
    </row>
    <row r="110" ht="14.25" customHeight="1">
      <c r="A110" s="1" t="s">
        <v>724</v>
      </c>
      <c r="B110" s="1">
        <v>1.55E8</v>
      </c>
      <c r="C110" s="1">
        <v>3.4293771E7</v>
      </c>
      <c r="F110" s="4">
        <v>-1.20706229E8</v>
      </c>
      <c r="G110" s="4">
        <f t="array" ref="G110">IFERROR((C110-B110)/C110*100, "N/A")</f>
        <v>-351.9771244</v>
      </c>
      <c r="J110" s="1"/>
      <c r="K110" s="1"/>
    </row>
    <row r="111" ht="14.25" customHeight="1">
      <c r="A111" s="1" t="s">
        <v>731</v>
      </c>
      <c r="B111" s="1">
        <v>1.5E8</v>
      </c>
      <c r="C111" s="1">
        <v>2.92000866E8</v>
      </c>
      <c r="F111" s="4">
        <v>1.42000866E8</v>
      </c>
      <c r="G111" s="4">
        <f t="array" ref="G111">IFERROR((C111-B111)/C111*100, "N/A")</f>
        <v>48.63028934</v>
      </c>
      <c r="J111" s="1"/>
      <c r="K111" s="1"/>
    </row>
    <row r="112" ht="14.25" customHeight="1">
      <c r="A112" s="1" t="s">
        <v>736</v>
      </c>
      <c r="B112" s="1">
        <v>1.5E8</v>
      </c>
      <c r="C112" s="1">
        <v>2.89994397E8</v>
      </c>
      <c r="F112" s="4">
        <v>1.39994397E8</v>
      </c>
      <c r="G112" s="4">
        <f t="array" ref="G112">IFERROR((C112-B112)/C112*100, "N/A")</f>
        <v>48.2748627</v>
      </c>
      <c r="J112" s="1"/>
      <c r="K112" s="1"/>
    </row>
    <row r="113" ht="14.25" customHeight="1">
      <c r="A113" s="1" t="s">
        <v>739</v>
      </c>
      <c r="B113" s="1">
        <v>1.5E8</v>
      </c>
      <c r="C113" s="1">
        <v>2.27946274E8</v>
      </c>
      <c r="F113" s="4">
        <v>7.7946274E7</v>
      </c>
      <c r="G113" s="4">
        <f t="array" ref="G113">IFERROR((C113-B113)/C113*100, "N/A")</f>
        <v>34.19502001</v>
      </c>
      <c r="J113" s="1"/>
      <c r="K113" s="1"/>
    </row>
    <row r="114" ht="14.25" customHeight="1">
      <c r="A114" s="1" t="s">
        <v>744</v>
      </c>
      <c r="B114" s="1">
        <v>1.5E8</v>
      </c>
      <c r="C114" s="1">
        <v>2.56386216E8</v>
      </c>
      <c r="F114" s="4">
        <v>1.06386216E8</v>
      </c>
      <c r="G114" s="4">
        <f t="array" ref="G114">IFERROR((C114-B114)/C114*100, "N/A")</f>
        <v>41.49451467</v>
      </c>
      <c r="J114" s="1"/>
      <c r="K114" s="1"/>
    </row>
    <row r="115" ht="14.25" customHeight="1">
      <c r="A115" s="1" t="s">
        <v>750</v>
      </c>
      <c r="B115" s="1">
        <v>1.5E8</v>
      </c>
      <c r="C115" s="1">
        <v>2.06456431E8</v>
      </c>
      <c r="F115" s="4">
        <v>5.6456431E7</v>
      </c>
      <c r="G115" s="4">
        <f t="array" ref="G115">IFERROR((C115-B115)/C115*100, "N/A")</f>
        <v>27.34544559</v>
      </c>
      <c r="J115" s="1"/>
      <c r="K115" s="1"/>
    </row>
    <row r="116" ht="14.25" customHeight="1">
      <c r="A116" s="1" t="s">
        <v>755</v>
      </c>
      <c r="B116" s="1">
        <v>1.5E8</v>
      </c>
      <c r="C116" s="1">
        <v>2.06435493E8</v>
      </c>
      <c r="F116" s="4">
        <v>5.6435493E7</v>
      </c>
      <c r="G116" s="4">
        <f t="array" ref="G116">IFERROR((C116-B116)/C116*100, "N/A")</f>
        <v>27.3380765</v>
      </c>
      <c r="J116" s="1"/>
      <c r="K116" s="1"/>
    </row>
    <row r="117" ht="14.25" customHeight="1">
      <c r="A117" s="1" t="s">
        <v>761</v>
      </c>
      <c r="B117" s="1">
        <v>1.5E8</v>
      </c>
      <c r="C117" s="1">
        <v>2.05343774E8</v>
      </c>
      <c r="F117" s="4">
        <v>5.5343774E7</v>
      </c>
      <c r="G117" s="4">
        <f t="array" ref="G117">IFERROR((C117-B117)/C117*100, "N/A")</f>
        <v>26.95176626</v>
      </c>
      <c r="J117" s="1"/>
      <c r="K117" s="1"/>
    </row>
    <row r="118" ht="14.25" customHeight="1">
      <c r="A118" s="1" t="s">
        <v>765</v>
      </c>
      <c r="B118" s="1">
        <v>1.5E8</v>
      </c>
      <c r="C118" s="1">
        <v>1.79982968E8</v>
      </c>
      <c r="F118" s="4">
        <v>2.9982968E7</v>
      </c>
      <c r="G118" s="4">
        <f t="array" ref="G118">IFERROR((C118-B118)/C118*100, "N/A")</f>
        <v>16.65878074</v>
      </c>
      <c r="J118" s="1"/>
      <c r="K118" s="1"/>
    </row>
    <row r="119" ht="14.25" customHeight="1">
      <c r="A119" s="1" t="s">
        <v>773</v>
      </c>
      <c r="B119" s="1">
        <v>1.5E8</v>
      </c>
      <c r="C119" s="1">
        <v>1.77243721E8</v>
      </c>
      <c r="F119" s="4">
        <v>2.7243721E7</v>
      </c>
      <c r="G119" s="4">
        <f t="array" ref="G119">IFERROR((C119-B119)/C119*100, "N/A")</f>
        <v>15.37076792</v>
      </c>
      <c r="J119" s="1"/>
      <c r="K119" s="1"/>
    </row>
    <row r="120" ht="14.25" customHeight="1">
      <c r="A120" s="1" t="s">
        <v>780</v>
      </c>
      <c r="B120" s="1">
        <v>1.5E8</v>
      </c>
      <c r="C120" s="1">
        <v>1.79883016E8</v>
      </c>
      <c r="F120" s="4">
        <v>2.9883016E7</v>
      </c>
      <c r="G120" s="4">
        <f t="array" ref="G120">IFERROR((C120-B120)/C120*100, "N/A")</f>
        <v>16.61247219</v>
      </c>
      <c r="J120" s="1"/>
      <c r="K120" s="1"/>
    </row>
    <row r="121" ht="14.25" customHeight="1">
      <c r="A121" s="1" t="s">
        <v>784</v>
      </c>
      <c r="B121" s="1">
        <v>1.5E8</v>
      </c>
      <c r="C121" s="1">
        <v>1.39259759E8</v>
      </c>
      <c r="F121" s="4">
        <v>-1.0740241E7</v>
      </c>
      <c r="G121" s="4">
        <f t="array" ref="G121">IFERROR((C121-B121)/C121*100, "N/A")</f>
        <v>-7.712379425</v>
      </c>
      <c r="J121" s="1"/>
      <c r="K121" s="1"/>
    </row>
    <row r="122" ht="14.25" customHeight="1">
      <c r="A122" s="1" t="s">
        <v>791</v>
      </c>
      <c r="B122" s="1">
        <v>1.5E8</v>
      </c>
      <c r="C122" s="1">
        <v>4.007366E8</v>
      </c>
      <c r="F122" s="4">
        <v>2.507366E8</v>
      </c>
      <c r="G122" s="4">
        <f t="array" ref="G122">IFERROR((C122-B122)/C122*100, "N/A")</f>
        <v>62.56892932</v>
      </c>
      <c r="J122" s="1"/>
      <c r="K122" s="1"/>
    </row>
    <row r="123" ht="14.25" customHeight="1">
      <c r="A123" s="1" t="s">
        <v>798</v>
      </c>
      <c r="B123" s="1">
        <v>1.5E8</v>
      </c>
      <c r="C123" s="1">
        <v>2.81492479E8</v>
      </c>
      <c r="F123" s="4">
        <v>1.31492479E8</v>
      </c>
      <c r="G123" s="4">
        <f t="array" ref="G123">IFERROR((C123-B123)/C123*100, "N/A")</f>
        <v>46.71260826</v>
      </c>
      <c r="J123" s="1"/>
      <c r="K123" s="1"/>
    </row>
    <row r="124" ht="14.25" customHeight="1">
      <c r="A124" s="1" t="s">
        <v>804</v>
      </c>
      <c r="B124" s="1">
        <v>1.7E8</v>
      </c>
      <c r="C124" s="1">
        <v>2.06360018E8</v>
      </c>
      <c r="F124" s="4">
        <v>3.6360018E7</v>
      </c>
      <c r="G124" s="4">
        <f t="array" ref="G124">IFERROR((C124-B124)/C124*100, "N/A")</f>
        <v>17.61970092</v>
      </c>
      <c r="J124" s="1"/>
      <c r="K124" s="1"/>
    </row>
    <row r="125" ht="14.25" customHeight="1">
      <c r="A125" s="1" t="s">
        <v>809</v>
      </c>
      <c r="B125" s="1">
        <v>1.5E8</v>
      </c>
      <c r="C125" s="1">
        <v>1.53629485E8</v>
      </c>
      <c r="F125" s="4">
        <v>3629485.0</v>
      </c>
      <c r="G125" s="4">
        <f t="array" ref="G125">IFERROR((C125-B125)/C125*100, "N/A")</f>
        <v>2.36249246</v>
      </c>
      <c r="J125" s="1"/>
      <c r="K125" s="1"/>
    </row>
    <row r="126" ht="14.25" customHeight="1">
      <c r="A126" s="1" t="s">
        <v>814</v>
      </c>
      <c r="B126" s="1">
        <v>1.5E8</v>
      </c>
      <c r="C126" s="1">
        <v>1.33375846E8</v>
      </c>
      <c r="F126" s="4">
        <v>-1.6624154E7</v>
      </c>
      <c r="G126" s="4">
        <f t="array" ref="G126">IFERROR((C126-B126)/C126*100, "N/A")</f>
        <v>-12.46414137</v>
      </c>
      <c r="J126" s="1"/>
      <c r="K126" s="1"/>
    </row>
    <row r="127" ht="14.25" customHeight="1">
      <c r="A127" s="1" t="s">
        <v>821</v>
      </c>
      <c r="B127" s="1">
        <v>1.5E8</v>
      </c>
      <c r="C127" s="1">
        <v>1.81015141E8</v>
      </c>
      <c r="F127" s="4">
        <v>3.1015141E7</v>
      </c>
      <c r="G127" s="4">
        <f t="array" ref="G127">IFERROR((C127-B127)/C127*100, "N/A")</f>
        <v>17.13400372</v>
      </c>
      <c r="J127" s="1"/>
      <c r="K127" s="1"/>
    </row>
    <row r="128" ht="14.25" customHeight="1">
      <c r="A128" s="1" t="s">
        <v>825</v>
      </c>
      <c r="B128" s="1">
        <v>1.5E8</v>
      </c>
      <c r="C128" s="1">
        <v>1.14053579E8</v>
      </c>
      <c r="F128" s="4">
        <v>-3.5946421E7</v>
      </c>
      <c r="G128" s="4">
        <f t="array" ref="G128">IFERROR((C128-B128)/C128*100, "N/A")</f>
        <v>-31.51713547</v>
      </c>
      <c r="J128" s="1"/>
      <c r="K128" s="1"/>
    </row>
    <row r="129" ht="14.25" customHeight="1">
      <c r="A129" s="1" t="s">
        <v>832</v>
      </c>
      <c r="B129" s="1">
        <v>1.5E8</v>
      </c>
      <c r="C129" s="1">
        <v>1.19420252E8</v>
      </c>
      <c r="F129" s="4">
        <v>-3.0579748E7</v>
      </c>
      <c r="G129" s="4">
        <f t="array" ref="G129">IFERROR((C129-B129)/C129*100, "N/A")</f>
        <v>-25.60683593</v>
      </c>
      <c r="J129" s="1"/>
      <c r="K129" s="1"/>
    </row>
    <row r="130" ht="14.25" customHeight="1">
      <c r="A130" s="1" t="s">
        <v>840</v>
      </c>
      <c r="B130" s="1">
        <v>1.5E8</v>
      </c>
      <c r="C130" s="1">
        <v>8.3640426E7</v>
      </c>
      <c r="F130" s="4">
        <v>-6.6359574E7</v>
      </c>
      <c r="G130" s="4">
        <f t="array" ref="G130">IFERROR((C130-B130)/C130*100, "N/A")</f>
        <v>-79.33911527</v>
      </c>
      <c r="J130" s="1"/>
      <c r="K130" s="1"/>
    </row>
    <row r="131" ht="14.25" customHeight="1">
      <c r="A131" s="1" t="s">
        <v>845</v>
      </c>
      <c r="B131" s="1">
        <v>1.0E8</v>
      </c>
      <c r="C131" s="1">
        <v>7.9711678E7</v>
      </c>
      <c r="F131" s="4">
        <v>-2.0288322E7</v>
      </c>
      <c r="G131" s="4">
        <f t="array" ref="G131">IFERROR((C131-B131)/C131*100, "N/A")</f>
        <v>-25.45213262</v>
      </c>
      <c r="J131" s="1"/>
      <c r="K131" s="1"/>
    </row>
    <row r="132" ht="14.25" customHeight="1">
      <c r="A132" s="1" t="s">
        <v>850</v>
      </c>
      <c r="B132" s="1">
        <v>1.5E8</v>
      </c>
      <c r="C132" s="1">
        <v>1.95000874E8</v>
      </c>
      <c r="F132" s="4">
        <v>4.5000874E7</v>
      </c>
      <c r="G132" s="4">
        <f t="array" ref="G132">IFERROR((C132-B132)/C132*100, "N/A")</f>
        <v>23.07726785</v>
      </c>
      <c r="J132" s="1"/>
      <c r="K132" s="1"/>
    </row>
    <row r="133" ht="14.25" customHeight="1">
      <c r="A133" s="1" t="s">
        <v>857</v>
      </c>
      <c r="B133" s="1">
        <v>1.5E8</v>
      </c>
      <c r="C133" s="1">
        <v>6.1937495E7</v>
      </c>
      <c r="F133" s="4">
        <v>-8.8062505E7</v>
      </c>
      <c r="G133" s="4">
        <f t="array" ref="G133">IFERROR((C133-B133)/C133*100, "N/A")</f>
        <v>-142.1796361</v>
      </c>
      <c r="J133" s="1"/>
      <c r="K133" s="1"/>
    </row>
    <row r="134" ht="14.25" customHeight="1">
      <c r="A134" s="1" t="s">
        <v>434</v>
      </c>
      <c r="B134" s="1">
        <v>1.8E8</v>
      </c>
      <c r="C134" s="1">
        <v>1.24051759E8</v>
      </c>
      <c r="F134" s="4">
        <v>-5.5948241E7</v>
      </c>
      <c r="G134" s="4">
        <f t="array" ref="G134">IFERROR((C134-B134)/C134*100, "N/A")</f>
        <v>-45.10072364</v>
      </c>
      <c r="J134" s="1"/>
      <c r="K134" s="1"/>
    </row>
    <row r="135" ht="14.25" customHeight="1">
      <c r="A135" s="1" t="s">
        <v>864</v>
      </c>
      <c r="B135" s="1">
        <v>1.5E8</v>
      </c>
      <c r="C135" s="1">
        <v>1.26597121E8</v>
      </c>
      <c r="F135" s="4">
        <v>-2.3402879E7</v>
      </c>
      <c r="G135" s="4">
        <f t="array" ref="G135">IFERROR((C135-B135)/C135*100, "N/A")</f>
        <v>-18.4861068</v>
      </c>
      <c r="J135" s="1"/>
      <c r="K135" s="1"/>
    </row>
    <row r="136" ht="14.25" customHeight="1">
      <c r="A136" s="1" t="s">
        <v>871</v>
      </c>
      <c r="B136" s="1">
        <v>1.5E8</v>
      </c>
      <c r="C136" s="1">
        <v>1.65230261E8</v>
      </c>
      <c r="F136" s="4">
        <v>1.5230261E7</v>
      </c>
      <c r="G136" s="4">
        <f t="array" ref="G136">IFERROR((C136-B136)/C136*100, "N/A")</f>
        <v>9.217597859</v>
      </c>
      <c r="J136" s="1"/>
      <c r="K136" s="1"/>
    </row>
    <row r="137" ht="14.25" customHeight="1">
      <c r="A137" s="1" t="s">
        <v>876</v>
      </c>
      <c r="B137" s="1">
        <v>1.5E8</v>
      </c>
      <c r="C137" s="1">
        <v>1.31564731E8</v>
      </c>
      <c r="F137" s="4">
        <v>-1.8435269E7</v>
      </c>
      <c r="G137" s="4">
        <f t="array" ref="G137">IFERROR((C137-B137)/C137*100, "N/A")</f>
        <v>-14.01231839</v>
      </c>
      <c r="J137" s="1"/>
      <c r="K137" s="1"/>
    </row>
    <row r="138" ht="14.25" customHeight="1">
      <c r="A138" s="1" t="s">
        <v>882</v>
      </c>
      <c r="B138" s="1">
        <v>1.5E8</v>
      </c>
      <c r="C138" s="1">
        <v>1.33382309E8</v>
      </c>
      <c r="F138" s="4">
        <v>-1.6617691E7</v>
      </c>
      <c r="G138" s="4">
        <f t="array" ref="G138">IFERROR((C138-B138)/C138*100, "N/A")</f>
        <v>-12.45869195</v>
      </c>
      <c r="J138" s="1"/>
      <c r="K138" s="1"/>
    </row>
    <row r="139" ht="14.25" customHeight="1">
      <c r="A139" s="1" t="s">
        <v>885</v>
      </c>
      <c r="B139" s="1">
        <v>1.5E8</v>
      </c>
      <c r="C139" s="1">
        <v>7.3103784E7</v>
      </c>
      <c r="F139" s="4">
        <v>-7.6896216E7</v>
      </c>
      <c r="G139" s="4">
        <f t="array" ref="G139">IFERROR((C139-B139)/C139*100, "N/A")</f>
        <v>-105.1877369</v>
      </c>
      <c r="J139" s="1"/>
      <c r="K139" s="1"/>
    </row>
    <row r="140" ht="14.25" customHeight="1">
      <c r="A140" s="1" t="s">
        <v>892</v>
      </c>
      <c r="B140" s="1">
        <v>1.5E8</v>
      </c>
      <c r="C140" s="1">
        <v>2.1379315E7</v>
      </c>
      <c r="F140" s="4">
        <v>-1.28620685E8</v>
      </c>
      <c r="G140" s="4">
        <f t="array" ref="G140">IFERROR((C140-B140)/C140*100, "N/A")</f>
        <v>-601.6127505</v>
      </c>
      <c r="J140" s="1"/>
      <c r="K140" s="1"/>
    </row>
    <row r="141" ht="14.25" customHeight="1">
      <c r="A141" s="1" t="s">
        <v>899</v>
      </c>
      <c r="B141" s="1">
        <v>1.49E8</v>
      </c>
      <c r="C141" s="1">
        <v>6.4459316E7</v>
      </c>
      <c r="F141" s="4">
        <v>-8.4540684E7</v>
      </c>
      <c r="G141" s="4">
        <f t="array" ref="G141">IFERROR((C141-B141)/C141*100, "N/A")</f>
        <v>-131.1535543</v>
      </c>
      <c r="J141" s="1"/>
      <c r="K141" s="1"/>
    </row>
    <row r="142" ht="14.25" customHeight="1">
      <c r="A142" s="1" t="s">
        <v>904</v>
      </c>
      <c r="B142" s="1">
        <v>1.5E8</v>
      </c>
      <c r="C142" s="1">
        <v>3.4964818E7</v>
      </c>
      <c r="F142" s="4">
        <v>-1.15035182E8</v>
      </c>
      <c r="G142" s="4">
        <f t="array" ref="G142">IFERROR((C142-B142)/C142*100, "N/A")</f>
        <v>-329.002662</v>
      </c>
      <c r="J142" s="1"/>
      <c r="K142" s="1"/>
    </row>
    <row r="143" ht="14.25" customHeight="1">
      <c r="A143" s="1" t="s">
        <v>910</v>
      </c>
      <c r="B143" s="1">
        <v>1.45E8</v>
      </c>
      <c r="C143" s="1">
        <v>1.11505642E8</v>
      </c>
      <c r="F143" s="4">
        <v>-3.3494358E7</v>
      </c>
      <c r="G143" s="4">
        <f t="array" ref="G143">IFERROR((C143-B143)/C143*100, "N/A")</f>
        <v>-30.038263</v>
      </c>
      <c r="J143" s="1"/>
      <c r="K143" s="1"/>
    </row>
    <row r="144" ht="14.25" customHeight="1">
      <c r="A144" s="1" t="s">
        <v>916</v>
      </c>
      <c r="B144" s="1">
        <v>1.75E8</v>
      </c>
      <c r="C144" s="1">
        <v>1.33228348E8</v>
      </c>
      <c r="F144" s="4">
        <v>-4.1771652E7</v>
      </c>
      <c r="G144" s="4">
        <f t="array" ref="G144">IFERROR((C144-B144)/C144*100, "N/A")</f>
        <v>-31.35342637</v>
      </c>
      <c r="J144" s="1"/>
      <c r="K144" s="1"/>
    </row>
    <row r="145" ht="14.25" customHeight="1">
      <c r="A145" s="1" t="s">
        <v>921</v>
      </c>
      <c r="B145" s="1">
        <v>1.45E8</v>
      </c>
      <c r="C145" s="1">
        <v>2.16366733E8</v>
      </c>
      <c r="F145" s="4">
        <v>7.1366733E7</v>
      </c>
      <c r="G145" s="4">
        <f t="array" ref="G145">IFERROR((C145-B145)/C145*100, "N/A")</f>
        <v>32.98415242</v>
      </c>
      <c r="J145" s="1"/>
      <c r="K145" s="1"/>
    </row>
    <row r="146" ht="14.25" customHeight="1">
      <c r="A146" s="1" t="s">
        <v>926</v>
      </c>
      <c r="B146" s="1">
        <v>1.42E8</v>
      </c>
      <c r="C146" s="1">
        <v>1.60201106E8</v>
      </c>
      <c r="F146" s="4">
        <v>1.8201106E7</v>
      </c>
      <c r="G146" s="4">
        <f t="array" ref="G146">IFERROR((C146-B146)/C146*100, "N/A")</f>
        <v>11.36141095</v>
      </c>
      <c r="J146" s="1"/>
      <c r="K146" s="1"/>
    </row>
    <row r="147" ht="14.25" customHeight="1">
      <c r="A147" s="1" t="s">
        <v>933</v>
      </c>
      <c r="B147" s="1">
        <v>1.44E8</v>
      </c>
      <c r="C147" s="1">
        <v>1.18099659E8</v>
      </c>
      <c r="F147" s="4">
        <v>-2.5900341E7</v>
      </c>
      <c r="G147" s="4">
        <f t="array" ref="G147">IFERROR((C147-B147)/C147*100, "N/A")</f>
        <v>-21.93091938</v>
      </c>
      <c r="J147" s="1"/>
      <c r="K147" s="1"/>
    </row>
    <row r="148" ht="14.25" customHeight="1">
      <c r="A148" s="1" t="s">
        <v>940</v>
      </c>
      <c r="B148" s="1">
        <v>1.4E8</v>
      </c>
      <c r="C148" s="1">
        <v>2.01573391E8</v>
      </c>
      <c r="F148" s="4">
        <v>6.1573391E7</v>
      </c>
      <c r="G148" s="4">
        <f t="array" ref="G148">IFERROR((C148-B148)/C148*100, "N/A")</f>
        <v>30.54638844</v>
      </c>
      <c r="J148" s="1"/>
      <c r="K148" s="1"/>
    </row>
    <row r="149" ht="14.25" customHeight="1">
      <c r="A149" s="1" t="s">
        <v>945</v>
      </c>
      <c r="B149" s="1">
        <v>1.4E8</v>
      </c>
      <c r="C149" s="1">
        <v>1.90418803E8</v>
      </c>
      <c r="F149" s="4">
        <v>5.0418803E7</v>
      </c>
      <c r="G149" s="4">
        <f t="array" ref="G149">IFERROR((C149-B149)/C149*100, "N/A")</f>
        <v>26.47784893</v>
      </c>
      <c r="J149" s="1"/>
      <c r="K149" s="1"/>
    </row>
    <row r="150" ht="14.25" customHeight="1">
      <c r="A150" s="1" t="s">
        <v>950</v>
      </c>
      <c r="B150" s="1">
        <v>1.5E8</v>
      </c>
      <c r="C150" s="1">
        <v>8.2161969E7</v>
      </c>
      <c r="F150" s="4">
        <v>-6.7838031E7</v>
      </c>
      <c r="G150" s="4">
        <f t="array" ref="G150">IFERROR((C150-B150)/C150*100, "N/A")</f>
        <v>-82.56621868</v>
      </c>
      <c r="J150" s="1"/>
      <c r="K150" s="1"/>
    </row>
    <row r="151" ht="14.25" customHeight="1">
      <c r="A151" s="1" t="s">
        <v>956</v>
      </c>
      <c r="B151" s="1">
        <v>1.45E8</v>
      </c>
      <c r="C151" s="1">
        <v>1.43523463E8</v>
      </c>
      <c r="F151" s="4">
        <v>-1476537.0</v>
      </c>
      <c r="G151" s="4">
        <f t="array" ref="G151">IFERROR((C151-B151)/C151*100, "N/A")</f>
        <v>-1.028777434</v>
      </c>
      <c r="J151" s="1"/>
      <c r="K151" s="1"/>
    </row>
    <row r="152" ht="14.25" customHeight="1">
      <c r="A152" s="1" t="s">
        <v>960</v>
      </c>
      <c r="B152" s="1">
        <v>1.45E8</v>
      </c>
      <c r="C152" s="1">
        <v>2.09364921E8</v>
      </c>
      <c r="F152" s="4">
        <v>6.4364921E7</v>
      </c>
      <c r="G152" s="4">
        <f t="array" ref="G152">IFERROR((C152-B152)/C152*100, "N/A")</f>
        <v>30.74293472</v>
      </c>
      <c r="J152" s="1"/>
      <c r="K152" s="1"/>
    </row>
    <row r="153" ht="14.25" customHeight="1">
      <c r="A153" s="1" t="s">
        <v>965</v>
      </c>
      <c r="B153" s="1">
        <v>1.45E8</v>
      </c>
      <c r="C153" s="1">
        <v>1.03400692E8</v>
      </c>
      <c r="F153" s="4">
        <v>-4.1599308E7</v>
      </c>
      <c r="G153" s="4">
        <f t="array" ref="G153">IFERROR((C153-B153)/C153*100, "N/A")</f>
        <v>-40.23116983</v>
      </c>
      <c r="J153" s="1"/>
      <c r="K153" s="1"/>
    </row>
    <row r="154" ht="14.25" customHeight="1">
      <c r="A154" s="1" t="s">
        <v>971</v>
      </c>
      <c r="B154" s="1">
        <v>1.0E8</v>
      </c>
      <c r="C154" s="1">
        <v>1.10332737E8</v>
      </c>
      <c r="F154" s="4">
        <v>1.0332737E7</v>
      </c>
      <c r="G154" s="4">
        <f t="array" ref="G154">IFERROR((C154-B154)/C154*100, "N/A")</f>
        <v>9.365069046</v>
      </c>
      <c r="J154" s="1"/>
      <c r="K154" s="1"/>
    </row>
    <row r="155" ht="14.25" customHeight="1">
      <c r="A155" s="1" t="s">
        <v>979</v>
      </c>
      <c r="B155" s="1">
        <v>1.4E8</v>
      </c>
      <c r="C155" s="1">
        <v>1.11110575E8</v>
      </c>
      <c r="F155" s="4">
        <v>-2.8889425E7</v>
      </c>
      <c r="G155" s="4">
        <f t="array" ref="G155">IFERROR((C155-B155)/C155*100, "N/A")</f>
        <v>-26.00060795</v>
      </c>
      <c r="J155" s="1"/>
      <c r="K155" s="1"/>
    </row>
    <row r="156" ht="14.25" customHeight="1">
      <c r="A156" s="1" t="s">
        <v>985</v>
      </c>
      <c r="B156" s="1">
        <v>1.4E8</v>
      </c>
      <c r="C156" s="1">
        <v>6.5007045E7</v>
      </c>
      <c r="F156" s="4">
        <v>-7.4992955E7</v>
      </c>
      <c r="G156" s="4">
        <f t="array" ref="G156">IFERROR((C156-B156)/C156*100, "N/A")</f>
        <v>-115.3612735</v>
      </c>
      <c r="J156" s="1"/>
      <c r="K156" s="1"/>
    </row>
    <row r="157" ht="14.25" customHeight="1">
      <c r="A157" s="1" t="s">
        <v>991</v>
      </c>
      <c r="B157" s="1">
        <v>1.5E8</v>
      </c>
      <c r="C157" s="1">
        <v>2.57704099E8</v>
      </c>
      <c r="F157" s="4">
        <v>1.07704099E8</v>
      </c>
      <c r="G157" s="4">
        <f t="array" ref="G157">IFERROR((C157-B157)/C157*100, "N/A")</f>
        <v>41.79370814</v>
      </c>
      <c r="J157" s="1"/>
      <c r="K157" s="1"/>
    </row>
    <row r="158" ht="14.25" customHeight="1">
      <c r="A158" s="1" t="s">
        <v>995</v>
      </c>
      <c r="B158" s="1">
        <v>1.39E8</v>
      </c>
      <c r="C158" s="1">
        <v>4.03706375E8</v>
      </c>
      <c r="F158" s="4">
        <v>2.64706375E8</v>
      </c>
      <c r="G158" s="4">
        <f t="array" ref="G158">IFERROR((C158-B158)/C158*100, "N/A")</f>
        <v>65.56903517</v>
      </c>
      <c r="J158" s="1"/>
      <c r="K158" s="1"/>
    </row>
    <row r="159" ht="14.25" customHeight="1">
      <c r="A159" s="1" t="s">
        <v>998</v>
      </c>
      <c r="B159" s="1">
        <v>1.45E8</v>
      </c>
      <c r="C159" s="1">
        <v>1.76997107E8</v>
      </c>
      <c r="F159" s="4">
        <v>3.1997107E7</v>
      </c>
      <c r="G159" s="4">
        <f t="array" ref="G159">IFERROR((C159-B159)/C159*100, "N/A")</f>
        <v>18.07775706</v>
      </c>
      <c r="J159" s="1"/>
      <c r="K159" s="1"/>
    </row>
    <row r="160" ht="14.25" customHeight="1">
      <c r="A160" s="1" t="s">
        <v>1003</v>
      </c>
      <c r="B160" s="1">
        <v>1.4E8</v>
      </c>
      <c r="C160" s="1">
        <v>3.1141074E7</v>
      </c>
      <c r="F160" s="4">
        <v>-1.08858926E8</v>
      </c>
      <c r="G160" s="4">
        <f t="array" ref="G160">IFERROR((C160-B160)/C160*100, "N/A")</f>
        <v>-349.5670252</v>
      </c>
      <c r="J160" s="1"/>
      <c r="K160" s="1"/>
    </row>
    <row r="161" ht="14.25" customHeight="1">
      <c r="A161" s="1" t="s">
        <v>1008</v>
      </c>
      <c r="B161" s="1">
        <v>1.35E8</v>
      </c>
      <c r="C161" s="1">
        <v>3.1704416E7</v>
      </c>
      <c r="F161" s="4">
        <v>-1.03295584E8</v>
      </c>
      <c r="G161" s="4">
        <f t="array" ref="G161">IFERROR((C161-B161)/C161*100, "N/A")</f>
        <v>-325.8081903</v>
      </c>
      <c r="J161" s="1"/>
      <c r="K161" s="1"/>
    </row>
    <row r="162" ht="14.25" customHeight="1">
      <c r="A162" s="1" t="s">
        <v>1014</v>
      </c>
      <c r="B162" s="1">
        <v>1.3E8</v>
      </c>
      <c r="C162" s="1">
        <v>1.07503316E8</v>
      </c>
      <c r="F162" s="4">
        <v>-2.2496684E7</v>
      </c>
      <c r="G162" s="4">
        <f t="array" ref="G162">IFERROR((C162-B162)/C162*100, "N/A")</f>
        <v>-20.9265024</v>
      </c>
      <c r="J162" s="1"/>
      <c r="K162" s="1"/>
    </row>
    <row r="163" ht="14.25" customHeight="1">
      <c r="A163" s="1" t="s">
        <v>1022</v>
      </c>
      <c r="B163" s="1">
        <v>1.4E8</v>
      </c>
      <c r="C163" s="1">
        <v>1.29734803E8</v>
      </c>
      <c r="F163" s="4">
        <v>-1.0265197E7</v>
      </c>
      <c r="G163" s="4">
        <f t="array" ref="G163">IFERROR((C163-B163)/C163*100, "N/A")</f>
        <v>-7.912446593</v>
      </c>
      <c r="J163" s="1"/>
      <c r="K163" s="1"/>
    </row>
    <row r="164" ht="14.25" customHeight="1">
      <c r="A164" s="1" t="s">
        <v>1028</v>
      </c>
      <c r="B164" s="1">
        <v>1.37E8</v>
      </c>
      <c r="C164" s="1">
        <v>1.32122995E8</v>
      </c>
      <c r="F164" s="4">
        <v>-4877005.0</v>
      </c>
      <c r="G164" s="4">
        <f t="array" ref="G164">IFERROR((C164-B164)/C164*100, "N/A")</f>
        <v>-3.691261313</v>
      </c>
      <c r="J164" s="1"/>
      <c r="K164" s="1"/>
    </row>
    <row r="165" ht="14.25" customHeight="1">
      <c r="A165" s="1" t="s">
        <v>1035</v>
      </c>
      <c r="B165" s="1">
        <v>1.3E8</v>
      </c>
      <c r="C165" s="1">
        <v>1.22512052E8</v>
      </c>
      <c r="F165" s="4">
        <v>-7487948.0</v>
      </c>
      <c r="G165" s="4">
        <f t="array" ref="G165">IFERROR((C165-B165)/C165*100, "N/A")</f>
        <v>-6.11200929</v>
      </c>
      <c r="J165" s="1"/>
      <c r="K165" s="1"/>
    </row>
    <row r="166" ht="14.25" customHeight="1">
      <c r="A166" s="1" t="s">
        <v>1040</v>
      </c>
      <c r="B166" s="1">
        <v>1.3E8</v>
      </c>
      <c r="C166" s="1">
        <v>6.8642452E7</v>
      </c>
      <c r="F166" s="4">
        <v>-6.1357548E7</v>
      </c>
      <c r="G166" s="4">
        <f t="array" ref="G166">IFERROR((C166-B166)/C166*100, "N/A")</f>
        <v>-89.38717399</v>
      </c>
      <c r="J166" s="1"/>
      <c r="K166" s="1"/>
    </row>
    <row r="167" ht="14.25" customHeight="1">
      <c r="A167" s="1" t="s">
        <v>1045</v>
      </c>
      <c r="B167" s="1">
        <v>1.37E8</v>
      </c>
      <c r="C167" s="1">
        <v>3.213183E7</v>
      </c>
      <c r="F167" s="4">
        <v>-1.0486817E8</v>
      </c>
      <c r="G167" s="4">
        <f t="array" ref="G167">IFERROR((C167-B167)/C167*100, "N/A")</f>
        <v>-326.368495</v>
      </c>
      <c r="J167" s="1"/>
      <c r="K167" s="1"/>
    </row>
    <row r="168" ht="14.25" customHeight="1">
      <c r="A168" s="1" t="s">
        <v>1051</v>
      </c>
      <c r="B168" s="1">
        <v>1.4E8</v>
      </c>
      <c r="C168" s="1">
        <v>1.76636816E8</v>
      </c>
      <c r="F168" s="4">
        <v>3.6636816E7</v>
      </c>
      <c r="G168" s="4">
        <f t="array" ref="G168">IFERROR((C168-B168)/C168*100, "N/A")</f>
        <v>20.74132496</v>
      </c>
      <c r="J168" s="1"/>
      <c r="K168" s="1"/>
    </row>
    <row r="169" ht="14.25" customHeight="1">
      <c r="A169" s="1" t="s">
        <v>1054</v>
      </c>
      <c r="B169" s="1">
        <v>1.35E8</v>
      </c>
      <c r="C169" s="1">
        <v>1.2693066E8</v>
      </c>
      <c r="F169" s="4">
        <v>-8069340.0</v>
      </c>
      <c r="G169" s="4">
        <f t="array" ref="G169">IFERROR((C169-B169)/C169*100, "N/A")</f>
        <v>-6.357281999</v>
      </c>
      <c r="J169" s="1"/>
      <c r="K169" s="1"/>
    </row>
    <row r="170" ht="14.25" customHeight="1">
      <c r="A170" s="1" t="s">
        <v>1060</v>
      </c>
      <c r="B170" s="1">
        <v>1.5E8</v>
      </c>
      <c r="C170" s="1">
        <v>9.3926386E7</v>
      </c>
      <c r="F170" s="4">
        <v>-5.6073614E7</v>
      </c>
      <c r="G170" s="4">
        <f t="array" ref="G170">IFERROR((C170-B170)/C170*100, "N/A")</f>
        <v>-59.69953321</v>
      </c>
      <c r="J170" s="1"/>
      <c r="K170" s="1"/>
    </row>
    <row r="171" ht="14.25" customHeight="1">
      <c r="A171" s="1" t="s">
        <v>1068</v>
      </c>
      <c r="B171" s="1">
        <v>1.2E8</v>
      </c>
      <c r="C171" s="1">
        <v>2.92298923E8</v>
      </c>
      <c r="F171" s="4">
        <v>1.72298923E8</v>
      </c>
      <c r="G171" s="4">
        <f t="array" ref="G171">IFERROR((C171-B171)/C171*100, "N/A")</f>
        <v>58.94613679</v>
      </c>
      <c r="J171" s="1"/>
      <c r="K171" s="1"/>
    </row>
    <row r="172" ht="14.25" customHeight="1">
      <c r="A172" s="1" t="s">
        <v>1073</v>
      </c>
      <c r="B172" s="1">
        <v>1.35E8</v>
      </c>
      <c r="C172" s="1">
        <v>6.3992328E7</v>
      </c>
      <c r="F172" s="4">
        <v>-7.1007672E7</v>
      </c>
      <c r="G172" s="4">
        <f t="array" ref="G172">IFERROR((C172-B172)/C172*100, "N/A")</f>
        <v>-110.9627892</v>
      </c>
      <c r="J172" s="1"/>
      <c r="K172" s="1"/>
    </row>
    <row r="173" ht="14.25" customHeight="1">
      <c r="A173" s="1" t="s">
        <v>1078</v>
      </c>
      <c r="B173" s="1">
        <v>1.5E8</v>
      </c>
      <c r="C173" s="1">
        <v>1.3451839E8</v>
      </c>
      <c r="F173" s="4">
        <v>-1.548161E7</v>
      </c>
      <c r="G173" s="4">
        <f t="array" ref="G173">IFERROR((C173-B173)/C173*100, "N/A")</f>
        <v>-11.50891711</v>
      </c>
      <c r="J173" s="1"/>
      <c r="K173" s="1"/>
    </row>
    <row r="174" ht="14.25" customHeight="1">
      <c r="A174" s="1" t="s">
        <v>1082</v>
      </c>
      <c r="B174" s="1">
        <v>1.4E8</v>
      </c>
      <c r="C174" s="1">
        <v>5.2792307E7</v>
      </c>
      <c r="F174" s="4">
        <v>-8.7207693E7</v>
      </c>
      <c r="G174" s="4">
        <f t="array" ref="G174">IFERROR((C174-B174)/C174*100, "N/A")</f>
        <v>-165.1901536</v>
      </c>
      <c r="J174" s="1"/>
      <c r="K174" s="1"/>
    </row>
    <row r="175" ht="14.25" customHeight="1">
      <c r="A175" s="1" t="s">
        <v>1089</v>
      </c>
      <c r="B175" s="1">
        <v>1.35E8</v>
      </c>
      <c r="C175" s="1">
        <v>1.83635922E8</v>
      </c>
      <c r="F175" s="4">
        <v>4.8635922E7</v>
      </c>
      <c r="G175" s="4">
        <f t="array" ref="G175">IFERROR((C175-B175)/C175*100, "N/A")</f>
        <v>26.48497171</v>
      </c>
      <c r="J175" s="1"/>
      <c r="K175" s="1"/>
    </row>
    <row r="176" ht="14.25" customHeight="1">
      <c r="A176" s="1" t="s">
        <v>1095</v>
      </c>
      <c r="B176" s="1">
        <v>1.35E8</v>
      </c>
      <c r="C176" s="1">
        <v>8.30249E7</v>
      </c>
      <c r="F176" s="4">
        <v>-5.19751E7</v>
      </c>
      <c r="G176" s="4">
        <f t="array" ref="G176">IFERROR((C176-B176)/C176*100, "N/A")</f>
        <v>-62.60182186</v>
      </c>
      <c r="J176" s="1"/>
      <c r="K176" s="1"/>
    </row>
    <row r="177" ht="14.25" customHeight="1">
      <c r="A177" s="1" t="s">
        <v>1100</v>
      </c>
      <c r="B177" s="1">
        <v>1.35E8</v>
      </c>
      <c r="C177" s="1">
        <v>1.23207194E8</v>
      </c>
      <c r="F177" s="4">
        <v>-1.1792806E7</v>
      </c>
      <c r="G177" s="4">
        <f t="array" ref="G177">IFERROR((C177-B177)/C177*100, "N/A")</f>
        <v>-9.571523884</v>
      </c>
      <c r="J177" s="1"/>
      <c r="K177" s="1"/>
    </row>
    <row r="178" ht="14.25" customHeight="1">
      <c r="A178" s="1" t="s">
        <v>1105</v>
      </c>
      <c r="B178" s="1">
        <v>1.32E8</v>
      </c>
      <c r="C178" s="1">
        <v>8.334892E7</v>
      </c>
      <c r="F178" s="4">
        <v>-4.865108E7</v>
      </c>
      <c r="G178" s="4">
        <f t="array" ref="G178">IFERROR((C178-B178)/C178*100, "N/A")</f>
        <v>-58.3703784</v>
      </c>
      <c r="J178" s="1"/>
      <c r="K178" s="1"/>
    </row>
    <row r="179" ht="14.25" customHeight="1">
      <c r="A179" s="1" t="s">
        <v>1111</v>
      </c>
      <c r="B179" s="1">
        <v>1.1E8</v>
      </c>
      <c r="C179" s="1">
        <v>2.2713709E8</v>
      </c>
      <c r="F179" s="4">
        <v>1.1713709E8</v>
      </c>
      <c r="G179" s="4">
        <f t="array" ref="G179">IFERROR((C179-B179)/C179*100, "N/A")</f>
        <v>51.57109744</v>
      </c>
      <c r="J179" s="1"/>
      <c r="K179" s="1"/>
    </row>
    <row r="180" ht="14.25" customHeight="1">
      <c r="A180" s="1" t="s">
        <v>1117</v>
      </c>
      <c r="B180" s="1">
        <v>1.3E8</v>
      </c>
      <c r="C180" s="1">
        <v>2.15395021E8</v>
      </c>
      <c r="F180" s="4">
        <v>8.5395021E7</v>
      </c>
      <c r="G180" s="4">
        <f t="array" ref="G180">IFERROR((C180-B180)/C180*100, "N/A")</f>
        <v>39.64577296</v>
      </c>
      <c r="J180" s="1"/>
      <c r="K180" s="1"/>
    </row>
    <row r="181" ht="14.25" customHeight="1">
      <c r="A181" s="1" t="s">
        <v>1121</v>
      </c>
      <c r="B181" s="1">
        <v>1.3E8</v>
      </c>
      <c r="C181" s="1">
        <v>1.80191634E8</v>
      </c>
      <c r="F181" s="4">
        <v>5.0191634E7</v>
      </c>
      <c r="G181" s="4">
        <f t="array" ref="G181">IFERROR((C181-B181)/C181*100, "N/A")</f>
        <v>27.85458619</v>
      </c>
      <c r="J181" s="1"/>
      <c r="K181" s="1"/>
    </row>
    <row r="182" ht="14.25" customHeight="1">
      <c r="A182" s="1" t="s">
        <v>1125</v>
      </c>
      <c r="B182" s="1">
        <v>1.3E8</v>
      </c>
      <c r="C182" s="1">
        <v>4.24645577E8</v>
      </c>
      <c r="F182" s="4">
        <v>2.94645577E8</v>
      </c>
      <c r="G182" s="4">
        <f t="array" ref="G182">IFERROR((C182-B182)/C182*100, "N/A")</f>
        <v>69.38623477</v>
      </c>
      <c r="J182" s="1"/>
      <c r="K182" s="1"/>
    </row>
    <row r="183" ht="14.25" customHeight="1">
      <c r="A183" s="1" t="s">
        <v>1068</v>
      </c>
      <c r="B183" s="1">
        <v>1.2E8</v>
      </c>
      <c r="C183" s="1">
        <v>2.92298923E8</v>
      </c>
      <c r="F183" s="4">
        <v>1.72298923E8</v>
      </c>
      <c r="G183" s="4">
        <f t="array" ref="G183">IFERROR((C183-B183)/C183*100, "N/A")</f>
        <v>58.94613679</v>
      </c>
      <c r="J183" s="1"/>
      <c r="K183" s="1"/>
    </row>
    <row r="184" ht="14.25" customHeight="1">
      <c r="A184" s="1" t="s">
        <v>1131</v>
      </c>
      <c r="B184" s="1">
        <v>1.35E8</v>
      </c>
      <c r="C184" s="1">
        <v>1.77343675E8</v>
      </c>
      <c r="F184" s="4">
        <v>4.2343675E7</v>
      </c>
      <c r="G184" s="4">
        <f t="array" ref="G184">IFERROR((C184-B184)/C184*100, "N/A")</f>
        <v>23.87661979</v>
      </c>
      <c r="J184" s="1"/>
      <c r="K184" s="1"/>
    </row>
    <row r="185" ht="14.25" customHeight="1">
      <c r="A185" s="1" t="s">
        <v>1138</v>
      </c>
      <c r="B185" s="1">
        <v>1.32E8</v>
      </c>
      <c r="C185" s="1">
        <v>2.34277056E8</v>
      </c>
      <c r="F185" s="4">
        <v>1.02277056E8</v>
      </c>
      <c r="G185" s="4">
        <f t="array" ref="G185">IFERROR((C185-B185)/C185*100, "N/A")</f>
        <v>43.65645435</v>
      </c>
      <c r="J185" s="1"/>
      <c r="K185" s="1"/>
    </row>
    <row r="186" ht="14.25" customHeight="1">
      <c r="A186" s="1" t="s">
        <v>1143</v>
      </c>
      <c r="B186" s="1">
        <v>1.3E8</v>
      </c>
      <c r="C186" s="1">
        <v>1.38396624E8</v>
      </c>
      <c r="F186" s="4">
        <v>8396624.0</v>
      </c>
      <c r="G186" s="4">
        <f t="array" ref="G186">IFERROR((C186-B186)/C186*100, "N/A")</f>
        <v>6.06707285</v>
      </c>
      <c r="J186" s="1"/>
      <c r="K186" s="1"/>
    </row>
    <row r="187" ht="14.25" customHeight="1">
      <c r="A187" s="1" t="s">
        <v>1148</v>
      </c>
      <c r="B187" s="1">
        <v>1.3E8</v>
      </c>
      <c r="C187" s="1">
        <v>1.49234747E8</v>
      </c>
      <c r="F187" s="4">
        <v>1.9234747E7</v>
      </c>
      <c r="G187" s="4">
        <f t="array" ref="G187">IFERROR((C187-B187)/C187*100, "N/A")</f>
        <v>12.8889199</v>
      </c>
      <c r="J187" s="1"/>
      <c r="K187" s="1"/>
    </row>
    <row r="188" ht="14.25" customHeight="1">
      <c r="A188" s="1" t="s">
        <v>1154</v>
      </c>
      <c r="B188" s="1">
        <v>1.1E8</v>
      </c>
      <c r="C188" s="1">
        <v>1.18311368E8</v>
      </c>
      <c r="F188" s="4">
        <v>8311368.0</v>
      </c>
      <c r="G188" s="4">
        <f t="array" ref="G188">IFERROR((C188-B188)/C188*100, "N/A")</f>
        <v>7.024995265</v>
      </c>
      <c r="J188" s="1"/>
      <c r="K188" s="1"/>
    </row>
    <row r="189" ht="14.25" customHeight="1">
      <c r="A189" s="1" t="s">
        <v>1160</v>
      </c>
      <c r="B189" s="1">
        <v>1.25E8</v>
      </c>
      <c r="C189" s="1">
        <v>1.01160529E8</v>
      </c>
      <c r="F189" s="4">
        <v>-2.3839471E7</v>
      </c>
      <c r="G189" s="4">
        <f t="array" ref="G189">IFERROR((C189-B189)/C189*100, "N/A")</f>
        <v>-23.56598096</v>
      </c>
      <c r="J189" s="1"/>
      <c r="K189" s="1"/>
    </row>
    <row r="190" ht="14.25" customHeight="1">
      <c r="A190" s="1" t="s">
        <v>1165</v>
      </c>
      <c r="B190" s="1">
        <v>1.35E8</v>
      </c>
      <c r="C190" s="1">
        <v>7.7564037E7</v>
      </c>
      <c r="F190" s="4">
        <v>-5.7435963E7</v>
      </c>
      <c r="G190" s="4">
        <f t="array" ref="G190">IFERROR((C190-B190)/C190*100, "N/A")</f>
        <v>-74.0497339</v>
      </c>
      <c r="J190" s="1"/>
      <c r="K190" s="1"/>
    </row>
    <row r="191" ht="14.25" customHeight="1">
      <c r="A191" s="1" t="s">
        <v>1173</v>
      </c>
      <c r="B191" s="1">
        <v>1.3E8</v>
      </c>
      <c r="C191" s="1">
        <v>2.49358727E8</v>
      </c>
      <c r="F191" s="4">
        <v>1.19358727E8</v>
      </c>
      <c r="G191" s="4">
        <f t="array" ref="G191">IFERROR((C191-B191)/C191*100, "N/A")</f>
        <v>47.86627219</v>
      </c>
      <c r="J191" s="1"/>
      <c r="K191" s="1"/>
    </row>
    <row r="192" ht="14.25" customHeight="1">
      <c r="A192" s="1" t="s">
        <v>362</v>
      </c>
      <c r="B192" s="1">
        <v>1.3E8</v>
      </c>
      <c r="C192" s="1">
        <v>4.9551662E7</v>
      </c>
      <c r="F192" s="4">
        <v>-8.0448338E7</v>
      </c>
      <c r="G192" s="4">
        <f t="array" ref="G192">IFERROR((C192-B192)/C192*100, "N/A")</f>
        <v>-162.3524515</v>
      </c>
      <c r="J192" s="1"/>
      <c r="K192" s="1"/>
    </row>
    <row r="193" ht="14.25" customHeight="1">
      <c r="A193" s="1" t="s">
        <v>1180</v>
      </c>
      <c r="B193" s="1">
        <v>1.3E8</v>
      </c>
      <c r="C193" s="1">
        <v>6.0522097E7</v>
      </c>
      <c r="F193" s="4">
        <v>-6.9477903E7</v>
      </c>
      <c r="G193" s="4">
        <f t="array" ref="G193">IFERROR((C193-B193)/C193*100, "N/A")</f>
        <v>-114.7975805</v>
      </c>
      <c r="J193" s="1"/>
      <c r="K193" s="1"/>
    </row>
    <row r="194" ht="14.25" customHeight="1">
      <c r="A194" s="1" t="s">
        <v>1184</v>
      </c>
      <c r="B194" s="1">
        <v>1.275E8</v>
      </c>
      <c r="C194" s="1">
        <v>1.37748063E8</v>
      </c>
      <c r="F194" s="4">
        <v>1.0248063E7</v>
      </c>
      <c r="G194" s="4">
        <f t="array" ref="G194">IFERROR((C194-B194)/C194*100, "N/A")</f>
        <v>7.439714778</v>
      </c>
      <c r="J194" s="1"/>
      <c r="K194" s="1"/>
    </row>
    <row r="195" ht="14.25" customHeight="1">
      <c r="A195" s="1" t="s">
        <v>1191</v>
      </c>
      <c r="B195" s="1">
        <v>1.27E8</v>
      </c>
      <c r="C195" s="1">
        <v>1.13733726E8</v>
      </c>
      <c r="F195" s="4">
        <v>-1.3266274E7</v>
      </c>
      <c r="G195" s="4">
        <f t="array" ref="G195">IFERROR((C195-B195)/C195*100, "N/A")</f>
        <v>-11.66432726</v>
      </c>
      <c r="J195" s="1"/>
      <c r="K195" s="1"/>
    </row>
    <row r="196" ht="14.25" customHeight="1">
      <c r="A196" s="1" t="s">
        <v>1195</v>
      </c>
      <c r="B196" s="1">
        <v>1.3E8</v>
      </c>
      <c r="C196" s="1">
        <v>1.48337537E8</v>
      </c>
      <c r="F196" s="4">
        <v>1.8337537E7</v>
      </c>
      <c r="G196" s="4">
        <f t="array" ref="G196">IFERROR((C196-B196)/C196*100, "N/A")</f>
        <v>12.36203416</v>
      </c>
      <c r="J196" s="1"/>
      <c r="K196" s="1"/>
    </row>
    <row r="197" ht="14.25" customHeight="1">
      <c r="A197" s="1" t="s">
        <v>1201</v>
      </c>
      <c r="B197" s="1">
        <v>1.25E8</v>
      </c>
      <c r="C197" s="1">
        <v>3.17557891E8</v>
      </c>
      <c r="F197" s="4">
        <v>1.92557891E8</v>
      </c>
      <c r="G197" s="4">
        <f t="array" ref="G197">IFERROR((C197-B197)/C197*100, "N/A")</f>
        <v>60.63709845</v>
      </c>
      <c r="J197" s="1"/>
      <c r="K197" s="1"/>
    </row>
    <row r="198" ht="14.25" customHeight="1">
      <c r="A198" s="1" t="s">
        <v>1206</v>
      </c>
      <c r="B198" s="1">
        <v>1.3E8</v>
      </c>
      <c r="C198" s="1">
        <v>3.3592415E7</v>
      </c>
      <c r="F198" s="4">
        <v>-9.6407585E7</v>
      </c>
      <c r="G198" s="4">
        <f t="array" ref="G198">IFERROR((C198-B198)/C198*100, "N/A")</f>
        <v>-286.9921231</v>
      </c>
      <c r="J198" s="1"/>
      <c r="K198" s="1"/>
    </row>
    <row r="199" ht="14.25" customHeight="1">
      <c r="A199" s="1" t="s">
        <v>1211</v>
      </c>
      <c r="B199" s="1">
        <v>1.4E8</v>
      </c>
      <c r="C199" s="1">
        <v>3.05388685E8</v>
      </c>
      <c r="F199" s="4">
        <v>1.65388685E8</v>
      </c>
      <c r="G199" s="4">
        <f t="array" ref="G199">IFERROR((C199-B199)/C199*100, "N/A")</f>
        <v>54.1567822</v>
      </c>
      <c r="J199" s="1"/>
      <c r="K199" s="1"/>
    </row>
    <row r="200" ht="14.25" customHeight="1">
      <c r="A200" s="1" t="s">
        <v>1214</v>
      </c>
      <c r="B200" s="1">
        <v>1.25E8</v>
      </c>
      <c r="C200" s="1">
        <v>3.37103873E8</v>
      </c>
      <c r="F200" s="4">
        <v>2.12103873E8</v>
      </c>
      <c r="G200" s="4">
        <f t="array" ref="G200">IFERROR((C200-B200)/C200*100, "N/A")</f>
        <v>62.91944115</v>
      </c>
      <c r="J200" s="1"/>
      <c r="K200" s="1"/>
    </row>
    <row r="201" ht="14.25" customHeight="1">
      <c r="A201" s="1" t="s">
        <v>1217</v>
      </c>
      <c r="B201" s="1">
        <v>1.25E8</v>
      </c>
      <c r="C201" s="1">
        <v>2.17536138E8</v>
      </c>
      <c r="F201" s="4">
        <v>9.2536138E7</v>
      </c>
      <c r="G201" s="4">
        <f t="array" ref="G201">IFERROR((C201-B201)/C201*100, "N/A")</f>
        <v>42.538283</v>
      </c>
      <c r="J201" s="1"/>
      <c r="K201" s="1"/>
    </row>
    <row r="202" ht="14.25" customHeight="1">
      <c r="A202" s="1" t="s">
        <v>1223</v>
      </c>
      <c r="B202" s="1">
        <v>1.03E8</v>
      </c>
      <c r="C202" s="1">
        <v>1.31536019E8</v>
      </c>
      <c r="F202" s="4">
        <v>2.8536019E7</v>
      </c>
      <c r="G202" s="4">
        <f t="array" ref="G202">IFERROR((C202-B202)/C202*100, "N/A")</f>
        <v>21.69445238</v>
      </c>
      <c r="J202" s="1"/>
      <c r="K202" s="1"/>
    </row>
    <row r="203" ht="14.25" customHeight="1">
      <c r="A203" s="1" t="s">
        <v>1230</v>
      </c>
      <c r="B203" s="1">
        <v>1.1E8</v>
      </c>
      <c r="C203" s="1">
        <v>2.1494878E8</v>
      </c>
      <c r="F203" s="4">
        <v>1.0494878E8</v>
      </c>
      <c r="G203" s="4">
        <f t="array" ref="G203">IFERROR((C203-B203)/C203*100, "N/A")</f>
        <v>48.82501776</v>
      </c>
      <c r="J203" s="1"/>
      <c r="K203" s="1"/>
    </row>
    <row r="204" ht="14.25" customHeight="1">
      <c r="A204" s="1" t="s">
        <v>1235</v>
      </c>
      <c r="B204" s="1">
        <v>1.25E8</v>
      </c>
      <c r="C204" s="1">
        <v>2.09805005E8</v>
      </c>
      <c r="F204" s="4">
        <v>8.4805005E7</v>
      </c>
      <c r="G204" s="4">
        <f t="array" ref="G204">IFERROR((C204-B204)/C204*100, "N/A")</f>
        <v>40.42086842</v>
      </c>
      <c r="J204" s="1"/>
      <c r="K204" s="1"/>
    </row>
    <row r="205" ht="14.25" customHeight="1">
      <c r="A205" s="1" t="s">
        <v>1239</v>
      </c>
      <c r="B205" s="1">
        <v>1.25E8</v>
      </c>
      <c r="C205" s="1">
        <v>1.86830669E8</v>
      </c>
      <c r="F205" s="4">
        <v>6.1830669E7</v>
      </c>
      <c r="G205" s="4">
        <f t="array" ref="G205">IFERROR((C205-B205)/C205*100, "N/A")</f>
        <v>33.09449639</v>
      </c>
      <c r="J205" s="1"/>
      <c r="K205" s="1"/>
    </row>
    <row r="206" ht="14.25" customHeight="1">
      <c r="A206" s="1" t="s">
        <v>1244</v>
      </c>
      <c r="B206" s="1">
        <v>1.25E8</v>
      </c>
      <c r="C206" s="1">
        <v>1.63192114E8</v>
      </c>
      <c r="F206" s="4">
        <v>3.8192114E7</v>
      </c>
      <c r="G206" s="4">
        <f t="array" ref="G206">IFERROR((C206-B206)/C206*100, "N/A")</f>
        <v>23.4031615</v>
      </c>
      <c r="J206" s="1"/>
      <c r="K206" s="1"/>
    </row>
    <row r="207" ht="14.25" customHeight="1">
      <c r="A207" s="1" t="s">
        <v>1249</v>
      </c>
      <c r="B207" s="1">
        <v>6.5E7</v>
      </c>
      <c r="C207" s="1">
        <v>1.19412921E8</v>
      </c>
      <c r="F207" s="4">
        <v>5.4412921E7</v>
      </c>
      <c r="G207" s="4">
        <f t="array" ref="G207">IFERROR((C207-B207)/C207*100, "N/A")</f>
        <v>45.56702955</v>
      </c>
      <c r="J207" s="1"/>
      <c r="K207" s="1"/>
    </row>
    <row r="208" ht="14.25" customHeight="1">
      <c r="A208" s="1" t="s">
        <v>1256</v>
      </c>
      <c r="B208" s="1">
        <v>8.5E7</v>
      </c>
      <c r="C208" s="1">
        <v>3.2694788E7</v>
      </c>
      <c r="F208" s="4">
        <v>-5.2305212E7</v>
      </c>
      <c r="G208" s="4">
        <f t="array" ref="G208">IFERROR((C208-B208)/C208*100, "N/A")</f>
        <v>-159.9802758</v>
      </c>
      <c r="J208" s="1"/>
      <c r="K208" s="1"/>
    </row>
    <row r="209" ht="14.25" customHeight="1">
      <c r="A209" s="1" t="s">
        <v>1263</v>
      </c>
      <c r="B209" s="1">
        <v>1.25E8</v>
      </c>
      <c r="C209" s="1">
        <v>1.13165635E8</v>
      </c>
      <c r="F209" s="4">
        <v>-1.1834365E7</v>
      </c>
      <c r="G209" s="4">
        <f t="array" ref="G209">IFERROR((C209-B209)/C209*100, "N/A")</f>
        <v>-10.45756073</v>
      </c>
      <c r="J209" s="1"/>
      <c r="K209" s="1"/>
    </row>
    <row r="210" ht="14.25" customHeight="1">
      <c r="A210" s="1" t="s">
        <v>1269</v>
      </c>
      <c r="B210" s="1">
        <v>1.25E8</v>
      </c>
      <c r="C210" s="1">
        <v>1.07285004E8</v>
      </c>
      <c r="F210" s="4">
        <v>-1.7714996E7</v>
      </c>
      <c r="G210" s="4">
        <f t="array" ref="G210">IFERROR((C210-B210)/C210*100, "N/A")</f>
        <v>-16.51208961</v>
      </c>
      <c r="J210" s="1"/>
      <c r="K210" s="1"/>
    </row>
    <row r="211" ht="14.25" customHeight="1">
      <c r="A211" s="1" t="s">
        <v>1275</v>
      </c>
      <c r="B211" s="1">
        <v>1.23E8</v>
      </c>
      <c r="C211" s="1">
        <v>2.60031035E8</v>
      </c>
      <c r="F211" s="4">
        <v>1.37031035E8</v>
      </c>
      <c r="G211" s="4">
        <f t="array" ref="G211">IFERROR((C211-B211)/C211*100, "N/A")</f>
        <v>52.69795392</v>
      </c>
      <c r="J211" s="1"/>
      <c r="K211" s="1"/>
    </row>
    <row r="212" ht="14.25" customHeight="1">
      <c r="A212" s="1" t="s">
        <v>1281</v>
      </c>
      <c r="B212" s="1">
        <v>1.25E8</v>
      </c>
      <c r="C212" s="1">
        <v>1.86739919E8</v>
      </c>
      <c r="F212" s="4">
        <v>6.1739919E7</v>
      </c>
      <c r="G212" s="4">
        <f t="array" ref="G212">IFERROR((C212-B212)/C212*100, "N/A")</f>
        <v>33.06198232</v>
      </c>
      <c r="J212" s="1"/>
      <c r="K212" s="1"/>
    </row>
    <row r="213" ht="14.25" customHeight="1">
      <c r="A213" s="1" t="s">
        <v>1285</v>
      </c>
      <c r="B213" s="1">
        <v>1.25E8</v>
      </c>
      <c r="C213" s="1">
        <v>2.15397307E8</v>
      </c>
      <c r="F213" s="4">
        <v>9.0397307E7</v>
      </c>
      <c r="G213" s="4">
        <f t="array" ref="G213">IFERROR((C213-B213)/C213*100, "N/A")</f>
        <v>41.96770529</v>
      </c>
      <c r="J213" s="1"/>
      <c r="K213" s="1"/>
    </row>
    <row r="214" ht="14.25" customHeight="1">
      <c r="A214" s="1" t="s">
        <v>1289</v>
      </c>
      <c r="B214" s="1">
        <v>1.4E8</v>
      </c>
      <c r="C214" s="1">
        <v>1.82618434E8</v>
      </c>
      <c r="F214" s="4">
        <v>4.2618434E7</v>
      </c>
      <c r="G214" s="4">
        <f t="array" ref="G214">IFERROR((C214-B214)/C214*100, "N/A")</f>
        <v>23.33742168</v>
      </c>
      <c r="J214" s="1"/>
      <c r="K214" s="1"/>
    </row>
    <row r="215" ht="14.25" customHeight="1">
      <c r="A215" s="1" t="s">
        <v>1296</v>
      </c>
      <c r="B215" s="1">
        <v>1.3E8</v>
      </c>
      <c r="C215" s="1">
        <v>1.31920333E8</v>
      </c>
      <c r="F215" s="4">
        <v>1920333.0</v>
      </c>
      <c r="G215" s="4">
        <f t="array" ref="G215">IFERROR((C215-B215)/C215*100, "N/A")</f>
        <v>1.455676283</v>
      </c>
      <c r="J215" s="1"/>
      <c r="K215" s="1"/>
    </row>
    <row r="216" ht="14.25" customHeight="1">
      <c r="A216" s="1" t="s">
        <v>1300</v>
      </c>
      <c r="B216" s="1">
        <v>1.2E8</v>
      </c>
      <c r="C216" s="1">
        <v>1.24976634E8</v>
      </c>
      <c r="F216" s="4">
        <v>4976634.0</v>
      </c>
      <c r="G216" s="4">
        <f t="array" ref="G216">IFERROR((C216-B216)/C216*100, "N/A")</f>
        <v>3.982051557</v>
      </c>
      <c r="J216" s="1"/>
      <c r="K216" s="1"/>
    </row>
    <row r="217" ht="14.25" customHeight="1">
      <c r="A217" s="1" t="s">
        <v>1307</v>
      </c>
      <c r="B217" s="1">
        <v>1.1E8</v>
      </c>
      <c r="C217" s="1">
        <v>1.15802596E8</v>
      </c>
      <c r="F217" s="4">
        <v>5802596.0</v>
      </c>
      <c r="G217" s="4">
        <f t="array" ref="G217">IFERROR((C217-B217)/C217*100, "N/A")</f>
        <v>5.010765044</v>
      </c>
      <c r="J217" s="1"/>
      <c r="K217" s="1"/>
    </row>
    <row r="218" ht="14.25" customHeight="1">
      <c r="A218" s="1" t="s">
        <v>1313</v>
      </c>
      <c r="B218" s="1">
        <v>1.2E8</v>
      </c>
      <c r="C218" s="1">
        <v>1.08521835E8</v>
      </c>
      <c r="F218" s="4">
        <v>-1.1478165E7</v>
      </c>
      <c r="G218" s="4">
        <f t="array" ref="G218">IFERROR((C218-B218)/C218*100, "N/A")</f>
        <v>-10.57682539</v>
      </c>
      <c r="J218" s="1"/>
      <c r="K218" s="1"/>
    </row>
    <row r="219" ht="14.25" customHeight="1">
      <c r="A219" s="1" t="s">
        <v>1318</v>
      </c>
      <c r="B219" s="1">
        <v>1.2E8</v>
      </c>
      <c r="C219" s="1">
        <v>1.0068588E8</v>
      </c>
      <c r="F219" s="4">
        <v>-1.931412E7</v>
      </c>
      <c r="G219" s="4">
        <f t="array" ref="G219">IFERROR((C219-B219)/C219*100, "N/A")</f>
        <v>-19.18255072</v>
      </c>
      <c r="J219" s="1"/>
      <c r="K219" s="1"/>
    </row>
    <row r="220" ht="14.25" customHeight="1">
      <c r="A220" s="1" t="s">
        <v>1324</v>
      </c>
      <c r="B220" s="1">
        <v>1.3E8</v>
      </c>
      <c r="C220" s="1">
        <v>1.26464904E8</v>
      </c>
      <c r="F220" s="4">
        <v>-3535096.0</v>
      </c>
      <c r="G220" s="4">
        <f t="array" ref="G220">IFERROR((C220-B220)/C220*100, "N/A")</f>
        <v>-2.795317822</v>
      </c>
      <c r="J220" s="1"/>
      <c r="K220" s="1"/>
    </row>
    <row r="221" ht="14.25" customHeight="1">
      <c r="A221" s="1" t="s">
        <v>1328</v>
      </c>
      <c r="B221" s="1">
        <v>1.2E8</v>
      </c>
      <c r="C221" s="1">
        <v>6.4736114E7</v>
      </c>
      <c r="F221" s="4">
        <v>-5.5263886E7</v>
      </c>
      <c r="G221" s="4">
        <f t="array" ref="G221">IFERROR((C221-B221)/C221*100, "N/A")</f>
        <v>-85.36793852</v>
      </c>
      <c r="J221" s="1"/>
      <c r="K221" s="1"/>
    </row>
    <row r="222" ht="14.25" customHeight="1">
      <c r="A222" s="1" t="s">
        <v>1334</v>
      </c>
      <c r="B222" s="1">
        <v>1.15E8</v>
      </c>
      <c r="C222" s="1">
        <v>9.3050117E7</v>
      </c>
      <c r="F222" s="4">
        <v>-2.1949883E7</v>
      </c>
      <c r="G222" s="4">
        <f t="array" ref="G222">IFERROR((C222-B222)/C222*100, "N/A")</f>
        <v>-23.58931263</v>
      </c>
      <c r="J222" s="1"/>
      <c r="K222" s="1"/>
    </row>
    <row r="223" ht="14.25" customHeight="1">
      <c r="A223" s="1" t="s">
        <v>1339</v>
      </c>
      <c r="B223" s="1">
        <v>1.05E8</v>
      </c>
      <c r="C223" s="1">
        <v>5.7637485E7</v>
      </c>
      <c r="F223" s="4">
        <v>-4.7362515E7</v>
      </c>
      <c r="G223" s="4">
        <f t="array" ref="G223">IFERROR((C223-B223)/C223*100, "N/A")</f>
        <v>-82.17311182</v>
      </c>
      <c r="J223" s="1"/>
      <c r="K223" s="1"/>
    </row>
    <row r="224" ht="14.25" customHeight="1">
      <c r="A224" s="1" t="s">
        <v>1344</v>
      </c>
      <c r="B224" s="1">
        <v>1.0E8</v>
      </c>
      <c r="C224" s="1">
        <v>5.8607007E7</v>
      </c>
      <c r="F224" s="4">
        <v>-4.1392993E7</v>
      </c>
      <c r="G224" s="4">
        <f t="array" ref="G224">IFERROR((C224-B224)/C224*100, "N/A")</f>
        <v>-70.62806159</v>
      </c>
      <c r="J224" s="1"/>
      <c r="K224" s="1"/>
    </row>
    <row r="225" ht="14.25" customHeight="1">
      <c r="A225" s="1" t="s">
        <v>1350</v>
      </c>
      <c r="B225" s="1">
        <v>1.2E8</v>
      </c>
      <c r="C225" s="1">
        <v>4.3929341E7</v>
      </c>
      <c r="F225" s="4">
        <v>-7.6070659E7</v>
      </c>
      <c r="G225" s="4">
        <f t="array" ref="G225">IFERROR((C225-B225)/C225*100, "N/A")</f>
        <v>-173.1659462</v>
      </c>
      <c r="J225" s="1"/>
      <c r="K225" s="1"/>
    </row>
    <row r="226" ht="14.25" customHeight="1">
      <c r="A226" s="1" t="s">
        <v>1358</v>
      </c>
      <c r="B226" s="1">
        <v>1.2E8</v>
      </c>
      <c r="C226" s="1">
        <v>3.021262E7</v>
      </c>
      <c r="F226" s="4">
        <v>-8.978738E7</v>
      </c>
      <c r="G226" s="4">
        <f t="array" ref="G226">IFERROR((C226-B226)/C226*100, "N/A")</f>
        <v>-297.1850174</v>
      </c>
      <c r="J226" s="1"/>
      <c r="K226" s="1"/>
    </row>
    <row r="227" ht="14.25" customHeight="1">
      <c r="A227" s="1" t="s">
        <v>1366</v>
      </c>
      <c r="B227" s="1">
        <v>1.17E8</v>
      </c>
      <c r="C227" s="1">
        <v>7.6418654E7</v>
      </c>
      <c r="F227" s="4">
        <v>-4.0581346E7</v>
      </c>
      <c r="G227" s="4">
        <f t="array" ref="G227">IFERROR((C227-B227)/C227*100, "N/A")</f>
        <v>-53.10397904</v>
      </c>
      <c r="J227" s="1"/>
      <c r="K227" s="1"/>
    </row>
    <row r="228" ht="14.25" customHeight="1">
      <c r="A228" s="1" t="s">
        <v>1371</v>
      </c>
      <c r="B228" s="1">
        <v>1.2E8</v>
      </c>
      <c r="C228" s="1">
        <v>8.9021735E7</v>
      </c>
      <c r="F228" s="4">
        <v>-3.0978265E7</v>
      </c>
      <c r="G228" s="4">
        <f t="array" ref="G228">IFERROR((C228-B228)/C228*100, "N/A")</f>
        <v>-34.79854105</v>
      </c>
      <c r="J228" s="1"/>
      <c r="K228" s="1"/>
    </row>
    <row r="229" ht="14.25" customHeight="1">
      <c r="A229" s="1" t="s">
        <v>1377</v>
      </c>
      <c r="B229" s="1">
        <v>1.13E8</v>
      </c>
      <c r="C229" s="1">
        <v>3.80262555E8</v>
      </c>
      <c r="F229" s="4">
        <v>2.67262555E8</v>
      </c>
      <c r="G229" s="4">
        <f t="array" ref="G229">IFERROR((C229-B229)/C229*100, "N/A")</f>
        <v>70.28368991</v>
      </c>
      <c r="J229" s="1"/>
      <c r="K229" s="1"/>
    </row>
    <row r="230" ht="14.25" customHeight="1">
      <c r="A230" s="1" t="s">
        <v>1381</v>
      </c>
      <c r="B230" s="1">
        <v>1.15E8</v>
      </c>
      <c r="C230" s="1">
        <v>3.10675583E8</v>
      </c>
      <c r="F230" s="4">
        <v>1.95675583E8</v>
      </c>
      <c r="G230" s="4">
        <f t="array" ref="G230">IFERROR((C230-B230)/C230*100, "N/A")</f>
        <v>62.983895</v>
      </c>
      <c r="J230" s="1"/>
      <c r="K230" s="1"/>
    </row>
    <row r="231" ht="14.25" customHeight="1">
      <c r="A231" s="1" t="s">
        <v>1384</v>
      </c>
      <c r="B231" s="1">
        <v>1.15E8</v>
      </c>
      <c r="C231" s="1">
        <v>2.89907418E8</v>
      </c>
      <c r="F231" s="4">
        <v>1.74907418E8</v>
      </c>
      <c r="G231" s="4">
        <f t="array" ref="G231">IFERROR((C231-B231)/C231*100, "N/A")</f>
        <v>60.3321637</v>
      </c>
      <c r="J231" s="1"/>
      <c r="K231" s="1"/>
    </row>
    <row r="232" ht="14.25" customHeight="1">
      <c r="A232" s="1" t="s">
        <v>1388</v>
      </c>
      <c r="B232" s="1">
        <v>1.2E8</v>
      </c>
      <c r="C232" s="1">
        <v>1.3255096E8</v>
      </c>
      <c r="F232" s="4">
        <v>1.255096E7</v>
      </c>
      <c r="G232" s="4">
        <f t="array" ref="G232">IFERROR((C232-B232)/C232*100, "N/A")</f>
        <v>9.468780913</v>
      </c>
      <c r="J232" s="1"/>
      <c r="K232" s="1"/>
    </row>
    <row r="233" ht="14.25" customHeight="1">
      <c r="A233" s="1" t="s">
        <v>1393</v>
      </c>
      <c r="B233" s="1">
        <v>1.15E8</v>
      </c>
      <c r="C233" s="1">
        <v>4.74544677E8</v>
      </c>
      <c r="F233" s="4">
        <v>3.59544677E8</v>
      </c>
      <c r="G233" s="4">
        <f t="array" ref="G233">IFERROR((C233-B233)/C233*100, "N/A")</f>
        <v>75.76624382</v>
      </c>
      <c r="J233" s="1"/>
      <c r="K233" s="1"/>
    </row>
    <row r="234" ht="14.25" customHeight="1">
      <c r="A234" s="1" t="s">
        <v>1398</v>
      </c>
      <c r="B234" s="1">
        <v>1.35E8</v>
      </c>
      <c r="C234" s="1">
        <v>1.87165546E8</v>
      </c>
      <c r="F234" s="4">
        <v>5.2165546E7</v>
      </c>
      <c r="G234" s="4">
        <f t="array" ref="G234">IFERROR((C234-B234)/C234*100, "N/A")</f>
        <v>27.87134017</v>
      </c>
      <c r="J234" s="1"/>
      <c r="K234" s="1"/>
    </row>
    <row r="235" ht="14.25" customHeight="1">
      <c r="A235" s="1" t="s">
        <v>1401</v>
      </c>
      <c r="B235" s="1">
        <v>1.15E8</v>
      </c>
      <c r="C235" s="1">
        <v>4.091183E7</v>
      </c>
      <c r="F235" s="4">
        <v>-7.408817E7</v>
      </c>
      <c r="G235" s="4">
        <f t="array" ref="G235">IFERROR((C235-B235)/C235*100, "N/A")</f>
        <v>-181.0922904</v>
      </c>
      <c r="J235" s="1"/>
      <c r="K235" s="1"/>
    </row>
    <row r="236" ht="14.25" customHeight="1">
      <c r="A236" s="1" t="s">
        <v>1408</v>
      </c>
      <c r="B236" s="1">
        <v>1.15E8</v>
      </c>
      <c r="C236" s="1">
        <v>4.795202E7</v>
      </c>
      <c r="F236" s="4">
        <v>-6.704798E7</v>
      </c>
      <c r="G236" s="4">
        <f t="array" ref="G236">IFERROR((C236-B236)/C236*100, "N/A")</f>
        <v>-139.8230565</v>
      </c>
      <c r="J236" s="1"/>
      <c r="K236" s="1"/>
    </row>
    <row r="237" ht="14.25" customHeight="1">
      <c r="A237" s="1" t="s">
        <v>1411</v>
      </c>
      <c r="B237" s="1">
        <v>1.25E8</v>
      </c>
      <c r="C237" s="1">
        <v>1.9087124E8</v>
      </c>
      <c r="F237" s="4">
        <v>6.587124E7</v>
      </c>
      <c r="G237" s="4">
        <f t="array" ref="G237">IFERROR((C237-B237)/C237*100, "N/A")</f>
        <v>34.5108252</v>
      </c>
      <c r="J237" s="1"/>
      <c r="K237" s="1"/>
    </row>
    <row r="238" ht="14.25" customHeight="1">
      <c r="A238" s="1" t="s">
        <v>1417</v>
      </c>
      <c r="B238" s="1">
        <v>1.0E8</v>
      </c>
      <c r="C238" s="1">
        <v>2.74084951E8</v>
      </c>
      <c r="F238" s="4">
        <v>1.74084951E8</v>
      </c>
      <c r="G238" s="4">
        <f t="array" ref="G238">IFERROR((C238-B238)/C238*100, "N/A")</f>
        <v>63.51496146</v>
      </c>
      <c r="J238" s="1"/>
      <c r="K238" s="1"/>
    </row>
    <row r="239" ht="14.25" customHeight="1">
      <c r="A239" s="1" t="s">
        <v>1425</v>
      </c>
      <c r="B239" s="1">
        <v>1.16E8</v>
      </c>
      <c r="C239" s="1">
        <v>6.7155742E7</v>
      </c>
      <c r="F239" s="4">
        <v>-4.8844258E7</v>
      </c>
      <c r="G239" s="4">
        <f t="array" ref="G239">IFERROR((C239-B239)/C239*100, "N/A")</f>
        <v>-72.73280965</v>
      </c>
      <c r="J239" s="1"/>
      <c r="K239" s="1"/>
    </row>
    <row r="240" ht="14.25" customHeight="1">
      <c r="A240" s="1" t="s">
        <v>1431</v>
      </c>
      <c r="B240" s="1">
        <v>1.2E8</v>
      </c>
      <c r="C240" s="1">
        <v>5.6114221E7</v>
      </c>
      <c r="F240" s="4">
        <v>-6.3885779E7</v>
      </c>
      <c r="G240" s="4">
        <f t="array" ref="G240">IFERROR((C240-B240)/C240*100, "N/A")</f>
        <v>-113.8495338</v>
      </c>
      <c r="J240" s="1"/>
      <c r="K240" s="1"/>
    </row>
    <row r="241" ht="14.25" customHeight="1">
      <c r="A241" s="1" t="s">
        <v>1437</v>
      </c>
      <c r="B241" s="1">
        <v>1.1E8</v>
      </c>
      <c r="C241" s="1">
        <v>2.50863268E8</v>
      </c>
      <c r="F241" s="4">
        <v>1.40863268E8</v>
      </c>
      <c r="G241" s="4">
        <f t="array" ref="G241">IFERROR((C241-B241)/C241*100, "N/A")</f>
        <v>56.15141233</v>
      </c>
      <c r="J241" s="1"/>
      <c r="K241" s="1"/>
    </row>
    <row r="242" ht="14.25" customHeight="1">
      <c r="A242" s="1" t="s">
        <v>1442</v>
      </c>
      <c r="B242" s="1">
        <v>1.1E8</v>
      </c>
      <c r="C242" s="1">
        <v>1.55181732E8</v>
      </c>
      <c r="F242" s="4">
        <v>4.5181732E7</v>
      </c>
      <c r="G242" s="4">
        <f t="array" ref="G242">IFERROR((C242-B242)/C242*100, "N/A")</f>
        <v>29.11536778</v>
      </c>
      <c r="J242" s="1"/>
      <c r="K242" s="1"/>
    </row>
    <row r="243" ht="14.25" customHeight="1">
      <c r="A243" s="1" t="s">
        <v>1447</v>
      </c>
      <c r="B243" s="1">
        <v>1.1E8</v>
      </c>
      <c r="C243" s="1">
        <v>1.25332007E8</v>
      </c>
      <c r="F243" s="4">
        <v>1.5332007E7</v>
      </c>
      <c r="G243" s="4">
        <f t="array" ref="G243">IFERROR((C243-B243)/C243*100, "N/A")</f>
        <v>12.23311376</v>
      </c>
      <c r="J243" s="1"/>
      <c r="K243" s="1"/>
    </row>
    <row r="244" ht="14.25" customHeight="1">
      <c r="A244" s="1" t="s">
        <v>1452</v>
      </c>
      <c r="B244" s="1">
        <v>1.1E8</v>
      </c>
      <c r="C244" s="1">
        <v>1.13330342E8</v>
      </c>
      <c r="F244" s="4">
        <v>3330342.0</v>
      </c>
      <c r="G244" s="4">
        <f t="array" ref="G244">IFERROR((C244-B244)/C244*100, "N/A")</f>
        <v>2.938614621</v>
      </c>
      <c r="J244" s="1"/>
      <c r="K244" s="1"/>
    </row>
    <row r="245" ht="14.25" customHeight="1">
      <c r="A245" s="1" t="s">
        <v>1457</v>
      </c>
      <c r="B245" s="1">
        <v>1.1E8</v>
      </c>
      <c r="C245" s="1">
        <v>1.25531634E8</v>
      </c>
      <c r="F245" s="4">
        <v>1.5531634E7</v>
      </c>
      <c r="G245" s="4">
        <f t="array" ref="G245">IFERROR((C245-B245)/C245*100, "N/A")</f>
        <v>12.37268528</v>
      </c>
      <c r="J245" s="1"/>
      <c r="K245" s="1"/>
    </row>
    <row r="246" ht="14.25" customHeight="1">
      <c r="A246" s="1" t="s">
        <v>1463</v>
      </c>
      <c r="B246" s="1">
        <v>1.2E8</v>
      </c>
      <c r="C246" s="1">
        <v>1.86336103E8</v>
      </c>
      <c r="F246" s="4">
        <v>6.6336103E7</v>
      </c>
      <c r="G246" s="4">
        <f t="array" ref="G246">IFERROR((C246-B246)/C246*100, "N/A")</f>
        <v>35.60024168</v>
      </c>
      <c r="J246" s="1"/>
      <c r="K246" s="1"/>
    </row>
    <row r="247" ht="14.25" customHeight="1">
      <c r="A247" s="1" t="s">
        <v>1468</v>
      </c>
      <c r="B247" s="1">
        <v>1.1E8</v>
      </c>
      <c r="C247" s="1">
        <v>1.29995817E8</v>
      </c>
      <c r="F247" s="4">
        <v>1.9995817E7</v>
      </c>
      <c r="G247" s="4">
        <f t="array" ref="G247">IFERROR((C247-B247)/C247*100, "N/A")</f>
        <v>15.38189263</v>
      </c>
      <c r="J247" s="1"/>
      <c r="K247" s="1"/>
    </row>
    <row r="248" ht="14.25" customHeight="1">
      <c r="A248" s="1" t="s">
        <v>1473</v>
      </c>
      <c r="B248" s="1">
        <v>1.1E8</v>
      </c>
      <c r="C248" s="1">
        <v>1.02608827E8</v>
      </c>
      <c r="F248" s="4">
        <v>-7391173.0</v>
      </c>
      <c r="G248" s="4">
        <f t="array" ref="G248">IFERROR((C248-B248)/C248*100, "N/A")</f>
        <v>-7.203252601</v>
      </c>
      <c r="J248" s="1"/>
      <c r="K248" s="1"/>
    </row>
    <row r="249" ht="14.25" customHeight="1">
      <c r="A249" s="1" t="s">
        <v>1479</v>
      </c>
      <c r="B249" s="1">
        <v>1.12E8</v>
      </c>
      <c r="C249" s="1">
        <v>4.2776259E7</v>
      </c>
      <c r="F249" s="4">
        <v>-6.9223741E7</v>
      </c>
      <c r="G249" s="4">
        <f t="array" ref="G249">IFERROR((C249-B249)/C249*100, "N/A")</f>
        <v>-161.8274777</v>
      </c>
      <c r="J249" s="1"/>
      <c r="K249" s="1"/>
    </row>
    <row r="250" ht="14.25" customHeight="1">
      <c r="A250" s="1" t="s">
        <v>1486</v>
      </c>
      <c r="B250" s="1">
        <v>1.2E8</v>
      </c>
      <c r="C250" s="1">
        <v>9.8780042E7</v>
      </c>
      <c r="F250" s="4">
        <v>-2.1219958E7</v>
      </c>
      <c r="G250" s="4">
        <f t="array" ref="G250">IFERROR((C250-B250)/C250*100, "N/A")</f>
        <v>-21.48202974</v>
      </c>
      <c r="J250" s="1"/>
      <c r="K250" s="1"/>
    </row>
    <row r="251" ht="14.25" customHeight="1">
      <c r="A251" s="1" t="s">
        <v>1492</v>
      </c>
      <c r="B251" s="1">
        <v>1.1E8</v>
      </c>
      <c r="C251" s="1">
        <v>1.06369117E8</v>
      </c>
      <c r="F251" s="4">
        <v>-3630883.0</v>
      </c>
      <c r="G251" s="4">
        <f t="array" ref="G251">IFERROR((C251-B251)/C251*100, "N/A")</f>
        <v>-3.413474796</v>
      </c>
      <c r="J251" s="1"/>
      <c r="K251" s="1"/>
    </row>
    <row r="252" ht="14.25" customHeight="1">
      <c r="A252" s="1" t="s">
        <v>1498</v>
      </c>
      <c r="B252" s="1">
        <v>1.1E8</v>
      </c>
      <c r="C252" s="1">
        <v>1.42614158E8</v>
      </c>
      <c r="F252" s="4">
        <v>3.2614158E7</v>
      </c>
      <c r="G252" s="4">
        <f t="array" ref="G252">IFERROR((C252-B252)/C252*100, "N/A")</f>
        <v>22.86880802</v>
      </c>
      <c r="J252" s="1"/>
      <c r="K252" s="1"/>
    </row>
    <row r="253" ht="14.25" customHeight="1">
      <c r="A253" s="1" t="s">
        <v>1505</v>
      </c>
      <c r="B253" s="1">
        <v>1.1E8</v>
      </c>
      <c r="C253" s="1">
        <v>5.0026353E7</v>
      </c>
      <c r="F253" s="4">
        <v>-5.9973647E7</v>
      </c>
      <c r="G253" s="4">
        <f t="array" ref="G253">IFERROR((C253-B253)/C253*100, "N/A")</f>
        <v>-119.8841079</v>
      </c>
      <c r="J253" s="1"/>
      <c r="K253" s="1"/>
    </row>
    <row r="254" ht="14.25" customHeight="1">
      <c r="A254" s="1" t="s">
        <v>1511</v>
      </c>
      <c r="B254" s="1">
        <v>1.1E8</v>
      </c>
      <c r="C254" s="1">
        <v>6.6002193E7</v>
      </c>
      <c r="F254" s="4">
        <v>-4.3997807E7</v>
      </c>
      <c r="G254" s="4">
        <f t="array" ref="G254">IFERROR((C254-B254)/C254*100, "N/A")</f>
        <v>-66.66112897</v>
      </c>
      <c r="J254" s="1"/>
      <c r="K254" s="1"/>
    </row>
    <row r="255" ht="14.25" customHeight="1">
      <c r="A255" s="1" t="s">
        <v>1515</v>
      </c>
      <c r="B255" s="1">
        <v>1.1E8</v>
      </c>
      <c r="C255" s="1">
        <v>8.5463309E7</v>
      </c>
      <c r="F255" s="4">
        <v>-2.4536691E7</v>
      </c>
      <c r="G255" s="4">
        <f t="array" ref="G255">IFERROR((C255-B255)/C255*100, "N/A")</f>
        <v>-28.71020475</v>
      </c>
      <c r="J255" s="1"/>
      <c r="K255" s="1"/>
    </row>
    <row r="256" ht="14.25" customHeight="1">
      <c r="A256" s="1" t="s">
        <v>1521</v>
      </c>
      <c r="B256" s="1">
        <v>1.05E8</v>
      </c>
      <c r="C256" s="1">
        <v>7.1017784E7</v>
      </c>
      <c r="F256" s="4">
        <v>-3.3982216E7</v>
      </c>
      <c r="G256" s="4">
        <f t="array" ref="G256">IFERROR((C256-B256)/C256*100, "N/A")</f>
        <v>-47.85029057</v>
      </c>
      <c r="J256" s="1"/>
      <c r="K256" s="1"/>
    </row>
    <row r="257" ht="14.25" customHeight="1">
      <c r="A257" s="1" t="s">
        <v>1528</v>
      </c>
      <c r="B257" s="1">
        <v>1.6E8</v>
      </c>
      <c r="C257" s="1">
        <v>4.8068396E7</v>
      </c>
      <c r="F257" s="4">
        <v>-1.11931604E8</v>
      </c>
      <c r="G257" s="4">
        <f t="array" ref="G257">IFERROR((C257-B257)/C257*100, "N/A")</f>
        <v>-232.8590369</v>
      </c>
      <c r="J257" s="1"/>
      <c r="K257" s="1"/>
    </row>
    <row r="258" ht="14.25" customHeight="1">
      <c r="A258" s="1" t="s">
        <v>1534</v>
      </c>
      <c r="B258" s="1">
        <v>1.1E8</v>
      </c>
      <c r="C258" s="1">
        <v>6.1656849E7</v>
      </c>
      <c r="F258" s="4">
        <v>-4.8343151E7</v>
      </c>
      <c r="G258" s="4">
        <f t="array" ref="G258">IFERROR((C258-B258)/C258*100, "N/A")</f>
        <v>-78.4067817</v>
      </c>
      <c r="J258" s="1"/>
      <c r="K258" s="1"/>
    </row>
    <row r="259" ht="14.25" customHeight="1">
      <c r="A259" s="1" t="s">
        <v>1540</v>
      </c>
      <c r="B259" s="1">
        <v>1.1E8</v>
      </c>
      <c r="C259" s="1">
        <v>1.34520804E8</v>
      </c>
      <c r="F259" s="4">
        <v>2.4520804E7</v>
      </c>
      <c r="G259" s="4">
        <f t="array" ref="G259">IFERROR((C259-B259)/C259*100, "N/A")</f>
        <v>18.22826156</v>
      </c>
      <c r="J259" s="1"/>
      <c r="K259" s="1"/>
    </row>
    <row r="260" ht="14.25" customHeight="1">
      <c r="A260" s="1" t="s">
        <v>1545</v>
      </c>
      <c r="B260" s="1">
        <v>9.3E7</v>
      </c>
      <c r="C260" s="1">
        <v>3.13837577E8</v>
      </c>
      <c r="F260" s="4">
        <v>2.20837577E8</v>
      </c>
      <c r="G260" s="4">
        <f t="array" ref="G260">IFERROR((C260-B260)/C260*100, "N/A")</f>
        <v>70.36683724</v>
      </c>
      <c r="J260" s="1"/>
      <c r="K260" s="1"/>
    </row>
    <row r="261" ht="14.25" customHeight="1">
      <c r="A261" s="1" t="s">
        <v>1550</v>
      </c>
      <c r="B261" s="1">
        <v>1.1E8</v>
      </c>
      <c r="C261" s="1">
        <v>2.4004159E7</v>
      </c>
      <c r="F261" s="4">
        <v>-8.5995841E7</v>
      </c>
      <c r="G261" s="4">
        <f t="array" ref="G261">IFERROR((C261-B261)/C261*100, "N/A")</f>
        <v>-358.2539217</v>
      </c>
      <c r="J261" s="1"/>
      <c r="K261" s="1"/>
    </row>
    <row r="262" ht="14.25" customHeight="1">
      <c r="A262" s="1" t="s">
        <v>1556</v>
      </c>
      <c r="B262" s="1">
        <v>1.07E8</v>
      </c>
      <c r="C262" s="1">
        <v>5.8183966E7</v>
      </c>
      <c r="F262" s="4">
        <v>-4.8816034E7</v>
      </c>
      <c r="G262" s="4">
        <f t="array" ref="G262">IFERROR((C262-B262)/C262*100, "N/A")</f>
        <v>-83.89946124</v>
      </c>
      <c r="J262" s="1"/>
      <c r="K262" s="1"/>
    </row>
    <row r="263" ht="14.25" customHeight="1">
      <c r="A263" s="1" t="s">
        <v>1561</v>
      </c>
      <c r="B263" s="1">
        <v>1.09E8</v>
      </c>
      <c r="C263" s="1">
        <v>1.00446895E8</v>
      </c>
      <c r="F263" s="4">
        <v>-8553105.0</v>
      </c>
      <c r="G263" s="4">
        <f t="array" ref="G263">IFERROR((C263-B263)/C263*100, "N/A")</f>
        <v>-8.51505166</v>
      </c>
      <c r="J263" s="1"/>
      <c r="K263" s="1"/>
    </row>
    <row r="264" ht="14.25" customHeight="1">
      <c r="A264" s="1" t="s">
        <v>1566</v>
      </c>
      <c r="B264" s="1">
        <v>1.2E8</v>
      </c>
      <c r="C264" s="1">
        <v>1.4479535E8</v>
      </c>
      <c r="F264" s="4">
        <v>2.479535E7</v>
      </c>
      <c r="G264" s="4">
        <f t="array" ref="G264">IFERROR((C264-B264)/C264*100, "N/A")</f>
        <v>17.12441042</v>
      </c>
      <c r="J264" s="1"/>
      <c r="K264" s="1"/>
    </row>
    <row r="265" ht="14.25" customHeight="1">
      <c r="A265" s="1" t="s">
        <v>1571</v>
      </c>
      <c r="B265" s="1">
        <v>1.3E8</v>
      </c>
      <c r="C265" s="1">
        <v>4.7396698E7</v>
      </c>
      <c r="F265" s="4">
        <v>-8.2603302E7</v>
      </c>
      <c r="G265" s="4">
        <f t="array" ref="G265">IFERROR((C265-B265)/C265*100, "N/A")</f>
        <v>-174.2807104</v>
      </c>
      <c r="J265" s="1"/>
      <c r="K265" s="1"/>
    </row>
    <row r="266" ht="14.25" customHeight="1">
      <c r="A266" s="1" t="s">
        <v>1575</v>
      </c>
      <c r="B266" s="1">
        <v>1.33E8</v>
      </c>
      <c r="C266" s="1">
        <v>1.40015224E8</v>
      </c>
      <c r="F266" s="4">
        <v>7015224.0</v>
      </c>
      <c r="G266" s="4">
        <f t="array" ref="G266">IFERROR((C266-B266)/C266*100, "N/A")</f>
        <v>5.010329448</v>
      </c>
      <c r="J266" s="1"/>
      <c r="K266" s="1"/>
    </row>
    <row r="267" ht="14.25" customHeight="1">
      <c r="A267" s="1" t="s">
        <v>1581</v>
      </c>
      <c r="B267" s="1">
        <v>1.05E8</v>
      </c>
      <c r="C267" s="1">
        <v>1.04374107E8</v>
      </c>
      <c r="F267" s="4">
        <v>-625893.0</v>
      </c>
      <c r="G267" s="4">
        <f t="array" ref="G267">IFERROR((C267-B267)/C267*100, "N/A")</f>
        <v>-0.5996630946</v>
      </c>
      <c r="J267" s="1"/>
      <c r="K267" s="1"/>
    </row>
    <row r="268" ht="14.25" customHeight="1">
      <c r="A268" s="1" t="s">
        <v>1587</v>
      </c>
      <c r="B268" s="1">
        <v>1.08E8</v>
      </c>
      <c r="C268" s="1">
        <v>2.28430993E8</v>
      </c>
      <c r="F268" s="4">
        <v>1.20430993E8</v>
      </c>
      <c r="G268" s="4">
        <f t="array" ref="G268">IFERROR((C268-B268)/C268*100, "N/A")</f>
        <v>52.72095149</v>
      </c>
      <c r="J268" s="1"/>
      <c r="K268" s="1"/>
    </row>
    <row r="269" ht="14.25" customHeight="1">
      <c r="A269" s="1" t="s">
        <v>1592</v>
      </c>
      <c r="B269" s="1">
        <v>1.26E8</v>
      </c>
      <c r="C269" s="1">
        <v>3.5799026E7</v>
      </c>
      <c r="F269" s="4">
        <v>-9.0200974E7</v>
      </c>
      <c r="G269" s="4">
        <f t="array" ref="G269">IFERROR((C269-B269)/C269*100, "N/A")</f>
        <v>-251.9648831</v>
      </c>
      <c r="J269" s="1"/>
      <c r="K269" s="1"/>
    </row>
    <row r="270" ht="14.25" customHeight="1">
      <c r="A270" s="1" t="s">
        <v>1597</v>
      </c>
      <c r="B270" s="1">
        <v>9.0E7</v>
      </c>
      <c r="C270" s="1">
        <v>6712451.0</v>
      </c>
      <c r="F270" s="4">
        <v>-8.3287549E7</v>
      </c>
      <c r="G270" s="4">
        <f t="array" ref="G270">IFERROR((C270-B270)/C270*100, "N/A")</f>
        <v>-1240.79191</v>
      </c>
      <c r="J270" s="1"/>
      <c r="K270" s="1"/>
    </row>
    <row r="271" ht="14.25" customHeight="1">
      <c r="A271" s="1" t="s">
        <v>1605</v>
      </c>
      <c r="B271" s="1">
        <v>9.0E7</v>
      </c>
      <c r="C271" s="1">
        <v>1.01643008E8</v>
      </c>
      <c r="F271" s="4">
        <v>1.1643008E7</v>
      </c>
      <c r="G271" s="4">
        <f t="array" ref="G271">IFERROR((C271-B271)/C271*100, "N/A")</f>
        <v>11.45480464</v>
      </c>
      <c r="J271" s="1"/>
      <c r="K271" s="1"/>
    </row>
    <row r="272" ht="14.25" customHeight="1">
      <c r="A272" s="1" t="s">
        <v>1609</v>
      </c>
      <c r="B272" s="1">
        <v>1.03E8</v>
      </c>
      <c r="C272" s="1">
        <v>1.87670866E8</v>
      </c>
      <c r="F272" s="4">
        <v>8.4670866E7</v>
      </c>
      <c r="G272" s="4">
        <f t="array" ref="G272">IFERROR((C272-B272)/C272*100, "N/A")</f>
        <v>45.11668103</v>
      </c>
      <c r="J272" s="1"/>
      <c r="K272" s="1"/>
    </row>
    <row r="273" ht="14.25" customHeight="1">
      <c r="A273" s="1" t="s">
        <v>1615</v>
      </c>
      <c r="B273" s="1">
        <v>1.02E8</v>
      </c>
      <c r="C273" s="1">
        <v>1.32014112E8</v>
      </c>
      <c r="F273" s="4">
        <v>3.0014112E7</v>
      </c>
      <c r="G273" s="4">
        <f t="array" ref="G273">IFERROR((C273-B273)/C273*100, "N/A")</f>
        <v>22.735533</v>
      </c>
      <c r="J273" s="1"/>
      <c r="K273" s="1"/>
    </row>
    <row r="274" ht="14.25" customHeight="1">
      <c r="A274" s="1" t="s">
        <v>1620</v>
      </c>
      <c r="B274" s="1">
        <v>1.0E8</v>
      </c>
      <c r="C274" s="1">
        <v>2.61970615E8</v>
      </c>
      <c r="F274" s="4">
        <v>1.61970615E8</v>
      </c>
      <c r="G274" s="4">
        <f t="array" ref="G274">IFERROR((C274-B274)/C274*100, "N/A")</f>
        <v>61.82777981</v>
      </c>
      <c r="J274" s="1"/>
      <c r="K274" s="1"/>
    </row>
    <row r="275" ht="14.25" customHeight="1">
      <c r="A275" s="1" t="s">
        <v>1623</v>
      </c>
      <c r="B275" s="1">
        <v>1.5E8</v>
      </c>
      <c r="C275" s="1">
        <v>1.67007184E8</v>
      </c>
      <c r="F275" s="4">
        <v>1.7007184E7</v>
      </c>
      <c r="G275" s="4">
        <f t="array" ref="G275">IFERROR((C275-B275)/C275*100, "N/A")</f>
        <v>10.18350444</v>
      </c>
      <c r="J275" s="1"/>
      <c r="K275" s="1"/>
    </row>
    <row r="276" ht="14.25" customHeight="1">
      <c r="A276" s="1" t="s">
        <v>1628</v>
      </c>
      <c r="B276" s="1">
        <v>1.0E8</v>
      </c>
      <c r="C276" s="1">
        <v>1.8001174E8</v>
      </c>
      <c r="F276" s="4">
        <v>8.001174E7</v>
      </c>
      <c r="G276" s="4">
        <f t="array" ref="G276">IFERROR((C276-B276)/C276*100, "N/A")</f>
        <v>44.44806766</v>
      </c>
      <c r="J276" s="1"/>
      <c r="K276" s="1"/>
    </row>
    <row r="277" ht="14.25" customHeight="1">
      <c r="A277" s="1" t="s">
        <v>1633</v>
      </c>
      <c r="B277" s="1">
        <v>1.02E8</v>
      </c>
      <c r="C277" s="1">
        <v>2.0484335E8</v>
      </c>
      <c r="F277" s="4">
        <v>1.0284335E8</v>
      </c>
      <c r="G277" s="4">
        <f t="array" ref="G277">IFERROR((C277-B277)/C277*100, "N/A")</f>
        <v>50.20585242</v>
      </c>
      <c r="J277" s="1"/>
      <c r="K277" s="1"/>
    </row>
    <row r="278" ht="14.25" customHeight="1">
      <c r="A278" s="1" t="s">
        <v>1638</v>
      </c>
      <c r="B278" s="1">
        <v>1.0E8</v>
      </c>
      <c r="C278" s="1">
        <v>9.7030725E7</v>
      </c>
      <c r="F278" s="4">
        <v>-2969275.0</v>
      </c>
      <c r="G278" s="4">
        <f t="array" ref="G278">IFERROR((C278-B278)/C278*100, "N/A")</f>
        <v>-3.060138941</v>
      </c>
      <c r="J278" s="1"/>
      <c r="K278" s="1"/>
    </row>
    <row r="279" ht="14.25" customHeight="1">
      <c r="A279" s="1" t="s">
        <v>1642</v>
      </c>
      <c r="B279" s="1">
        <v>1.0E8</v>
      </c>
      <c r="C279" s="1">
        <v>1.3012762E8</v>
      </c>
      <c r="F279" s="4">
        <v>3.012762E7</v>
      </c>
      <c r="G279" s="4">
        <f t="array" ref="G279">IFERROR((C279-B279)/C279*100, "N/A")</f>
        <v>23.15236381</v>
      </c>
      <c r="J279" s="1"/>
      <c r="K279" s="1"/>
    </row>
    <row r="280" ht="14.25" customHeight="1">
      <c r="A280" s="1" t="s">
        <v>1649</v>
      </c>
      <c r="B280" s="1">
        <v>1.15E8</v>
      </c>
      <c r="C280" s="1">
        <v>1.46282411E8</v>
      </c>
      <c r="F280" s="4">
        <v>3.1282411E7</v>
      </c>
      <c r="G280" s="4">
        <f t="array" ref="G280">IFERROR((C280-B280)/C280*100, "N/A")</f>
        <v>21.38494354</v>
      </c>
      <c r="J280" s="1"/>
      <c r="K280" s="1"/>
    </row>
    <row r="281" ht="14.25" customHeight="1">
      <c r="A281" s="1" t="s">
        <v>1657</v>
      </c>
      <c r="B281" s="1">
        <v>1.0E8</v>
      </c>
      <c r="C281" s="1">
        <v>6.5452312E7</v>
      </c>
      <c r="F281" s="4">
        <v>-3.4547688E7</v>
      </c>
      <c r="G281" s="4">
        <f t="array" ref="G281">IFERROR((C281-B281)/C281*100, "N/A")</f>
        <v>-52.78299107</v>
      </c>
      <c r="J281" s="1"/>
      <c r="K281" s="1"/>
    </row>
    <row r="282" ht="14.25" customHeight="1">
      <c r="A282" s="1" t="s">
        <v>1662</v>
      </c>
      <c r="B282" s="1">
        <v>1.0E8</v>
      </c>
      <c r="C282" s="1">
        <v>1.4838378E8</v>
      </c>
      <c r="F282" s="4">
        <v>4.838378E7</v>
      </c>
      <c r="G282" s="4">
        <f t="array" ref="G282">IFERROR((C282-B282)/C282*100, "N/A")</f>
        <v>32.60718928</v>
      </c>
      <c r="J282" s="1"/>
      <c r="K282" s="1"/>
    </row>
    <row r="283" ht="14.25" customHeight="1">
      <c r="A283" s="1" t="s">
        <v>1669</v>
      </c>
      <c r="B283" s="1">
        <v>1.0E8</v>
      </c>
      <c r="C283" s="1">
        <v>1.19219978E8</v>
      </c>
      <c r="F283" s="4">
        <v>1.9219978E7</v>
      </c>
      <c r="G283" s="4">
        <f t="array" ref="G283">IFERROR((C283-B283)/C283*100, "N/A")</f>
        <v>16.12144065</v>
      </c>
      <c r="J283" s="1"/>
      <c r="K283" s="1"/>
    </row>
    <row r="284" ht="14.25" customHeight="1">
      <c r="A284" s="1" t="s">
        <v>1675</v>
      </c>
      <c r="B284" s="1">
        <v>1.0E8</v>
      </c>
      <c r="C284" s="1">
        <v>1.0122812E8</v>
      </c>
      <c r="F284" s="4">
        <v>1228120.0</v>
      </c>
      <c r="G284" s="4">
        <f t="array" ref="G284">IFERROR((C284-B284)/C284*100, "N/A")</f>
        <v>1.2132202</v>
      </c>
      <c r="J284" s="1"/>
      <c r="K284" s="1"/>
    </row>
    <row r="285" ht="14.25" customHeight="1">
      <c r="A285" s="1" t="s">
        <v>1682</v>
      </c>
      <c r="B285" s="1">
        <v>1.0E8</v>
      </c>
      <c r="C285" s="1">
        <v>1.62804648E8</v>
      </c>
      <c r="F285" s="4">
        <v>6.2804648E7</v>
      </c>
      <c r="G285" s="4">
        <f t="array" ref="G285">IFERROR((C285-B285)/C285*100, "N/A")</f>
        <v>38.57669223</v>
      </c>
      <c r="J285" s="1"/>
      <c r="K285" s="1"/>
    </row>
    <row r="286" ht="14.25" customHeight="1">
      <c r="A286" s="1" t="s">
        <v>1687</v>
      </c>
      <c r="B286" s="1">
        <v>1.0E8</v>
      </c>
      <c r="C286" s="1">
        <v>1.00117603E8</v>
      </c>
      <c r="F286" s="4">
        <v>117603.0</v>
      </c>
      <c r="G286" s="4">
        <f t="array" ref="G286">IFERROR((C286-B286)/C286*100, "N/A")</f>
        <v>0.1174648578</v>
      </c>
      <c r="J286" s="1"/>
      <c r="K286" s="1"/>
    </row>
    <row r="287" ht="14.25" customHeight="1">
      <c r="A287" s="1" t="s">
        <v>1694</v>
      </c>
      <c r="B287" s="1">
        <v>1.0E8</v>
      </c>
      <c r="C287" s="1">
        <v>8.9296573E7</v>
      </c>
      <c r="F287" s="4">
        <v>-1.0703427E7</v>
      </c>
      <c r="G287" s="4">
        <f t="array" ref="G287">IFERROR((C287-B287)/C287*100, "N/A")</f>
        <v>-11.98638049</v>
      </c>
      <c r="J287" s="1"/>
      <c r="K287" s="1"/>
    </row>
    <row r="288" ht="14.25" customHeight="1">
      <c r="A288" s="1" t="s">
        <v>1701</v>
      </c>
      <c r="B288" s="1">
        <v>9.2E7</v>
      </c>
      <c r="C288" s="1">
        <v>8.5017401E7</v>
      </c>
      <c r="F288" s="4">
        <v>-6982599.0</v>
      </c>
      <c r="G288" s="4">
        <f t="array" ref="G288">IFERROR((C288-B288)/C288*100, "N/A")</f>
        <v>-8.213140978</v>
      </c>
      <c r="J288" s="1"/>
      <c r="K288" s="1"/>
    </row>
    <row r="289" ht="14.25" customHeight="1">
      <c r="A289" s="1" t="s">
        <v>1705</v>
      </c>
      <c r="B289" s="1">
        <v>1.0E8</v>
      </c>
      <c r="C289" s="1">
        <v>1.73005002E8</v>
      </c>
      <c r="F289" s="4">
        <v>7.3005002E7</v>
      </c>
      <c r="G289" s="4">
        <f t="array" ref="G289">IFERROR((C289-B289)/C289*100, "N/A")</f>
        <v>42.19820303</v>
      </c>
      <c r="J289" s="1"/>
      <c r="K289" s="1"/>
    </row>
    <row r="290" ht="14.25" customHeight="1">
      <c r="A290" s="1" t="s">
        <v>1712</v>
      </c>
      <c r="B290" s="1">
        <v>1.0E8</v>
      </c>
      <c r="C290" s="1">
        <v>7.5030163E7</v>
      </c>
      <c r="F290" s="4">
        <v>-2.4969837E7</v>
      </c>
      <c r="G290" s="4">
        <f t="array" ref="G290">IFERROR((C290-B290)/C290*100, "N/A")</f>
        <v>-33.27973178</v>
      </c>
      <c r="J290" s="1"/>
      <c r="K290" s="1"/>
    </row>
    <row r="291" ht="14.25" customHeight="1">
      <c r="A291" s="1" t="s">
        <v>1718</v>
      </c>
      <c r="B291" s="1">
        <v>1.0E8</v>
      </c>
      <c r="C291" s="1">
        <v>7.7222184E7</v>
      </c>
      <c r="F291" s="4">
        <v>-2.2777816E7</v>
      </c>
      <c r="G291" s="4">
        <f t="array" ref="G291">IFERROR((C291-B291)/C291*100, "N/A")</f>
        <v>-29.49646697</v>
      </c>
      <c r="J291" s="1"/>
      <c r="K291" s="1"/>
    </row>
    <row r="292" ht="14.25" customHeight="1">
      <c r="A292" s="1" t="s">
        <v>904</v>
      </c>
      <c r="B292" s="1">
        <v>1.5E8</v>
      </c>
      <c r="C292" s="1">
        <v>3.4964818E7</v>
      </c>
      <c r="F292" s="4">
        <v>-1.15035182E8</v>
      </c>
      <c r="G292" s="4">
        <f t="array" ref="G292">IFERROR((C292-B292)/C292*100, "N/A")</f>
        <v>-329.002662</v>
      </c>
      <c r="J292" s="1"/>
      <c r="K292" s="1"/>
    </row>
    <row r="293" ht="14.25" customHeight="1">
      <c r="A293" s="1" t="s">
        <v>1725</v>
      </c>
      <c r="B293" s="1">
        <v>1.0E8</v>
      </c>
      <c r="C293" s="1">
        <v>1.07515297E8</v>
      </c>
      <c r="F293" s="4">
        <v>7515297.0</v>
      </c>
      <c r="G293" s="4">
        <f t="array" ref="G293">IFERROR((C293-B293)/C293*100, "N/A")</f>
        <v>6.989979296</v>
      </c>
      <c r="J293" s="1"/>
      <c r="K293" s="1"/>
    </row>
    <row r="294" ht="14.25" customHeight="1">
      <c r="A294" s="1" t="s">
        <v>1731</v>
      </c>
      <c r="B294" s="1">
        <v>1.0E8</v>
      </c>
      <c r="C294" s="1">
        <v>6.7631157E7</v>
      </c>
      <c r="F294" s="4">
        <v>-3.2368843E7</v>
      </c>
      <c r="G294" s="4">
        <f t="array" ref="G294">IFERROR((C294-B294)/C294*100, "N/A")</f>
        <v>-47.86084467</v>
      </c>
      <c r="J294" s="1"/>
      <c r="K294" s="1"/>
    </row>
    <row r="295" ht="14.25" customHeight="1">
      <c r="A295" s="1" t="s">
        <v>1737</v>
      </c>
      <c r="B295" s="1">
        <v>8.3E7</v>
      </c>
      <c r="C295" s="1">
        <v>6.6862068E7</v>
      </c>
      <c r="F295" s="4">
        <v>-1.6137932E7</v>
      </c>
      <c r="G295" s="4">
        <f t="array" ref="G295">IFERROR((C295-B295)/C295*100, "N/A")</f>
        <v>-24.13615445</v>
      </c>
      <c r="J295" s="1"/>
      <c r="K295" s="1"/>
    </row>
    <row r="296" ht="14.25" customHeight="1">
      <c r="A296" s="1" t="s">
        <v>1743</v>
      </c>
      <c r="B296" s="1">
        <v>1.0E8</v>
      </c>
      <c r="C296" s="1">
        <v>5.7366262E7</v>
      </c>
      <c r="F296" s="4">
        <v>-4.2633738E7</v>
      </c>
      <c r="G296" s="4">
        <f t="array" ref="G296">IFERROR((C296-B296)/C296*100, "N/A")</f>
        <v>-74.31848706</v>
      </c>
      <c r="J296" s="1"/>
      <c r="K296" s="1"/>
    </row>
    <row r="297" ht="14.25" customHeight="1">
      <c r="A297" s="1" t="s">
        <v>1748</v>
      </c>
      <c r="B297" s="1">
        <v>1.0E8</v>
      </c>
      <c r="C297" s="1">
        <v>1.16866727E8</v>
      </c>
      <c r="F297" s="4">
        <v>1.6866727E7</v>
      </c>
      <c r="G297" s="4">
        <f t="array" ref="G297">IFERROR((C297-B297)/C297*100, "N/A")</f>
        <v>14.43244577</v>
      </c>
      <c r="J297" s="1"/>
      <c r="K297" s="1"/>
    </row>
    <row r="298" ht="14.25" customHeight="1">
      <c r="A298" s="1" t="s">
        <v>1752</v>
      </c>
      <c r="B298" s="1">
        <v>1.0E8</v>
      </c>
      <c r="C298" s="1">
        <v>1.84031112E8</v>
      </c>
      <c r="F298" s="4">
        <v>8.4031112E7</v>
      </c>
      <c r="G298" s="4">
        <f t="array" ref="G298">IFERROR((C298-B298)/C298*100, "N/A")</f>
        <v>45.66136187</v>
      </c>
      <c r="J298" s="1"/>
      <c r="K298" s="1"/>
    </row>
    <row r="299" ht="14.25" customHeight="1">
      <c r="A299" s="1" t="s">
        <v>1757</v>
      </c>
      <c r="B299" s="1">
        <v>1.05E8</v>
      </c>
      <c r="C299" s="1">
        <v>5.4700065E7</v>
      </c>
      <c r="F299" s="4">
        <v>-5.0299935E7</v>
      </c>
      <c r="G299" s="4">
        <f t="array" ref="G299">IFERROR((C299-B299)/C299*100, "N/A")</f>
        <v>-91.95589621</v>
      </c>
      <c r="J299" s="1"/>
      <c r="K299" s="1"/>
    </row>
    <row r="300" ht="14.25" customHeight="1">
      <c r="A300" s="1" t="s">
        <v>1765</v>
      </c>
      <c r="B300" s="1">
        <v>1.02E8</v>
      </c>
      <c r="C300" s="1">
        <v>2.709858E7</v>
      </c>
      <c r="F300" s="4">
        <v>-7.490142E7</v>
      </c>
      <c r="G300" s="4">
        <f t="array" ref="G300">IFERROR((C300-B300)/C300*100, "N/A")</f>
        <v>-276.4034868</v>
      </c>
      <c r="J300" s="1"/>
      <c r="K300" s="1"/>
    </row>
    <row r="301" ht="14.25" customHeight="1">
      <c r="A301" s="1" t="s">
        <v>1770</v>
      </c>
      <c r="B301" s="1">
        <v>8.0E7</v>
      </c>
      <c r="C301" s="1">
        <v>5.5673333E7</v>
      </c>
      <c r="F301" s="4">
        <v>-2.4326667E7</v>
      </c>
      <c r="G301" s="4">
        <f t="array" ref="G301">IFERROR((C301-B301)/C301*100, "N/A")</f>
        <v>-43.69536668</v>
      </c>
      <c r="J301" s="1"/>
      <c r="K301" s="1"/>
    </row>
    <row r="302" ht="14.25" customHeight="1">
      <c r="A302" s="1" t="s">
        <v>1776</v>
      </c>
      <c r="B302" s="1">
        <v>1.0E8</v>
      </c>
      <c r="C302" s="1">
        <v>4.019871E7</v>
      </c>
      <c r="F302" s="4">
        <v>-5.980129E7</v>
      </c>
      <c r="G302" s="4">
        <f t="array" ref="G302">IFERROR((C302-B302)/C302*100, "N/A")</f>
        <v>-148.7642016</v>
      </c>
      <c r="J302" s="1"/>
      <c r="K302" s="1"/>
    </row>
    <row r="303" ht="14.25" customHeight="1">
      <c r="A303" s="1" t="s">
        <v>1782</v>
      </c>
      <c r="B303" s="1">
        <v>1.0E8</v>
      </c>
      <c r="C303" s="1">
        <v>7.2660029E7</v>
      </c>
      <c r="F303" s="4">
        <v>-2.7339971E7</v>
      </c>
      <c r="G303" s="4">
        <f t="array" ref="G303">IFERROR((C303-B303)/C303*100, "N/A")</f>
        <v>-37.62725033</v>
      </c>
      <c r="J303" s="1"/>
      <c r="K303" s="1"/>
    </row>
    <row r="304" ht="14.25" customHeight="1">
      <c r="A304" s="1" t="s">
        <v>1786</v>
      </c>
      <c r="B304" s="1">
        <v>1.4E8</v>
      </c>
      <c r="C304" s="1">
        <v>3.8120554E7</v>
      </c>
      <c r="F304" s="4">
        <v>-1.01879446E8</v>
      </c>
      <c r="G304" s="4">
        <f t="array" ref="G304">IFERROR((C304-B304)/C304*100, "N/A")</f>
        <v>-267.2559428</v>
      </c>
      <c r="J304" s="1"/>
      <c r="K304" s="1"/>
    </row>
    <row r="305" ht="14.25" customHeight="1">
      <c r="A305" s="1" t="s">
        <v>1791</v>
      </c>
      <c r="B305" s="1">
        <v>1.0E8</v>
      </c>
      <c r="C305" s="1">
        <v>4.9392095E7</v>
      </c>
      <c r="F305" s="4">
        <v>-5.0607905E7</v>
      </c>
      <c r="G305" s="4">
        <f t="array" ref="G305">IFERROR((C305-B305)/C305*100, "N/A")</f>
        <v>-102.4615477</v>
      </c>
      <c r="J305" s="1"/>
      <c r="K305" s="1"/>
    </row>
    <row r="306" ht="14.25" customHeight="1">
      <c r="A306" s="1" t="s">
        <v>1798</v>
      </c>
      <c r="B306" s="1">
        <v>9.0E7</v>
      </c>
      <c r="C306" s="1">
        <v>3.9292022E7</v>
      </c>
      <c r="F306" s="4">
        <v>-5.0707978E7</v>
      </c>
      <c r="G306" s="4">
        <f t="array" ref="G306">IFERROR((C306-B306)/C306*100, "N/A")</f>
        <v>-129.0541322</v>
      </c>
      <c r="J306" s="1"/>
      <c r="K306" s="1"/>
    </row>
    <row r="307" ht="14.25" customHeight="1">
      <c r="A307" s="1" t="s">
        <v>1802</v>
      </c>
      <c r="B307" s="1">
        <v>1.05E8</v>
      </c>
      <c r="C307" s="1">
        <v>2.8772222E7</v>
      </c>
      <c r="F307" s="4">
        <v>-7.6227778E7</v>
      </c>
      <c r="G307" s="4">
        <f t="array" ref="G307">IFERROR((C307-B307)/C307*100, "N/A")</f>
        <v>-264.9353185</v>
      </c>
      <c r="J307" s="1"/>
      <c r="K307" s="1"/>
    </row>
    <row r="308" ht="14.25" customHeight="1">
      <c r="A308" s="1" t="s">
        <v>1807</v>
      </c>
      <c r="B308" s="1">
        <v>8.4E7</v>
      </c>
      <c r="C308" s="1">
        <v>1.7010646E7</v>
      </c>
      <c r="F308" s="4">
        <v>-6.6989354E7</v>
      </c>
      <c r="G308" s="4">
        <f t="array" ref="G308">IFERROR((C308-B308)/C308*100, "N/A")</f>
        <v>-393.8084068</v>
      </c>
      <c r="J308" s="1"/>
      <c r="K308" s="1"/>
    </row>
    <row r="309" ht="14.25" customHeight="1">
      <c r="A309" s="1" t="s">
        <v>1813</v>
      </c>
      <c r="B309" s="1">
        <v>1.0E8</v>
      </c>
      <c r="C309" s="1">
        <v>2.4985612E7</v>
      </c>
      <c r="F309" s="4">
        <v>-7.5014388E7</v>
      </c>
      <c r="G309" s="4">
        <f t="array" ref="G309">IFERROR((C309-B309)/C309*100, "N/A")</f>
        <v>-300.2303406</v>
      </c>
      <c r="J309" s="1"/>
      <c r="K309" s="1"/>
    </row>
    <row r="310" ht="14.25" customHeight="1">
      <c r="A310" s="1" t="s">
        <v>1820</v>
      </c>
      <c r="B310" s="1">
        <v>1.0E8</v>
      </c>
      <c r="C310" s="1">
        <v>4411102.0</v>
      </c>
      <c r="F310" s="4">
        <v>-9.5588898E7</v>
      </c>
      <c r="G310" s="4">
        <f t="array" ref="G310">IFERROR((C310-B310)/C310*100, "N/A")</f>
        <v>-2167.007201</v>
      </c>
      <c r="J310" s="1"/>
      <c r="K310" s="1"/>
    </row>
    <row r="311" ht="14.25" customHeight="1">
      <c r="A311" s="1" t="s">
        <v>1826</v>
      </c>
      <c r="B311" s="1">
        <v>1.0E8</v>
      </c>
      <c r="C311" s="1">
        <v>3.5024475E7</v>
      </c>
      <c r="F311" s="4">
        <v>-6.4975525E7</v>
      </c>
      <c r="G311" s="4">
        <f t="array" ref="G311">IFERROR((C311-B311)/C311*100, "N/A")</f>
        <v>-185.5146294</v>
      </c>
      <c r="J311" s="1"/>
      <c r="K311" s="1"/>
    </row>
    <row r="312" ht="14.25" customHeight="1">
      <c r="A312" s="1" t="s">
        <v>1834</v>
      </c>
      <c r="B312" s="1">
        <v>9.9E7</v>
      </c>
      <c r="C312" s="1">
        <v>1.30174897E8</v>
      </c>
      <c r="F312" s="4">
        <v>3.1174897E7</v>
      </c>
      <c r="G312" s="4">
        <f t="array" ref="G312">IFERROR((C312-B312)/C312*100, "N/A")</f>
        <v>23.94847065</v>
      </c>
      <c r="J312" s="1"/>
      <c r="K312" s="1"/>
    </row>
    <row r="313" ht="14.25" customHeight="1">
      <c r="A313" s="1" t="s">
        <v>1841</v>
      </c>
      <c r="B313" s="1">
        <v>1.0E7</v>
      </c>
      <c r="C313" s="1">
        <v>1.02E7</v>
      </c>
      <c r="F313" s="4">
        <v>200000.0</v>
      </c>
      <c r="G313" s="4">
        <f t="array" ref="G313">IFERROR((C313-B313)/C313*100, "N/A")</f>
        <v>1.960784314</v>
      </c>
      <c r="J313" s="1"/>
      <c r="K313" s="1"/>
    </row>
    <row r="314" ht="14.25" customHeight="1">
      <c r="A314" s="1" t="s">
        <v>1848</v>
      </c>
      <c r="B314" s="1">
        <v>9.8E7</v>
      </c>
      <c r="C314" s="1">
        <v>2.0200764E8</v>
      </c>
      <c r="F314" s="4">
        <v>1.0400764E8</v>
      </c>
      <c r="G314" s="4">
        <f t="array" ref="G314">IFERROR((C314-B314)/C314*100, "N/A")</f>
        <v>51.48698336</v>
      </c>
      <c r="J314" s="1"/>
      <c r="K314" s="1"/>
    </row>
    <row r="315" ht="14.25" customHeight="1">
      <c r="A315" s="1" t="s">
        <v>1853</v>
      </c>
      <c r="B315" s="1">
        <v>1.0E8</v>
      </c>
      <c r="C315" s="1">
        <v>7.7679638E7</v>
      </c>
      <c r="F315" s="4">
        <v>-2.2320362E7</v>
      </c>
      <c r="G315" s="4">
        <f t="array" ref="G315">IFERROR((C315-B315)/C315*100, "N/A")</f>
        <v>-28.73386459</v>
      </c>
      <c r="J315" s="1"/>
      <c r="K315" s="1"/>
    </row>
    <row r="316" ht="14.25" customHeight="1">
      <c r="A316" s="1" t="s">
        <v>1858</v>
      </c>
      <c r="B316" s="1">
        <v>9.4E7</v>
      </c>
      <c r="C316" s="1">
        <v>9213.0</v>
      </c>
      <c r="F316" s="4">
        <v>-9.3990787E7</v>
      </c>
      <c r="G316" s="4">
        <f t="array" ref="G316">IFERROR((C316-B316)/C316*100, "N/A")</f>
        <v>-1020197.406</v>
      </c>
      <c r="J316" s="1"/>
      <c r="K316" s="1"/>
    </row>
    <row r="317" ht="14.25" customHeight="1">
      <c r="A317" s="1" t="s">
        <v>1866</v>
      </c>
      <c r="B317" s="1">
        <v>1.0E8</v>
      </c>
      <c r="C317" s="1">
        <v>5.8867694E7</v>
      </c>
      <c r="F317" s="4">
        <v>-4.1132306E7</v>
      </c>
      <c r="G317" s="4">
        <f t="array" ref="G317">IFERROR((C317-B317)/C317*100, "N/A")</f>
        <v>-69.8724601</v>
      </c>
      <c r="J317" s="1"/>
      <c r="K317" s="1"/>
    </row>
    <row r="318" ht="14.25" customHeight="1">
      <c r="A318" s="1" t="s">
        <v>1873</v>
      </c>
      <c r="B318" s="1">
        <v>9.0E7</v>
      </c>
      <c r="C318" s="1">
        <v>5.9475623E7</v>
      </c>
      <c r="F318" s="4">
        <v>-3.0524377E7</v>
      </c>
      <c r="G318" s="4">
        <f t="array" ref="G318">IFERROR((C318-B318)/C318*100, "N/A")</f>
        <v>-51.32250065</v>
      </c>
      <c r="J318" s="1"/>
      <c r="K318" s="1"/>
    </row>
    <row r="319" ht="14.25" customHeight="1">
      <c r="A319" s="1" t="s">
        <v>1879</v>
      </c>
      <c r="B319" s="1">
        <v>9.2E7</v>
      </c>
      <c r="C319" s="1">
        <v>1.08638745E8</v>
      </c>
      <c r="F319" s="4">
        <v>1.6638745E7</v>
      </c>
      <c r="G319" s="4">
        <f t="array" ref="G319">IFERROR((C319-B319)/C319*100, "N/A")</f>
        <v>15.31566385</v>
      </c>
      <c r="J319" s="1"/>
      <c r="K319" s="1"/>
    </row>
    <row r="320" ht="14.25" customHeight="1">
      <c r="A320" s="1" t="s">
        <v>1884</v>
      </c>
      <c r="B320" s="1">
        <v>9.5E7</v>
      </c>
      <c r="C320" s="1">
        <v>8.6897182E7</v>
      </c>
      <c r="F320" s="4">
        <v>-8102818.0</v>
      </c>
      <c r="G320" s="4">
        <f t="array" ref="G320">IFERROR((C320-B320)/C320*100, "N/A")</f>
        <v>-9.324603875</v>
      </c>
      <c r="J320" s="1"/>
      <c r="K320" s="1"/>
    </row>
    <row r="321" ht="14.25" customHeight="1">
      <c r="A321" s="1" t="s">
        <v>1891</v>
      </c>
      <c r="B321" s="1">
        <v>9.3E7</v>
      </c>
      <c r="C321" s="1">
        <v>6.354002E7</v>
      </c>
      <c r="F321" s="4">
        <v>-2.945998E7</v>
      </c>
      <c r="G321" s="4">
        <f t="array" ref="G321">IFERROR((C321-B321)/C321*100, "N/A")</f>
        <v>-46.36444874</v>
      </c>
      <c r="J321" s="1"/>
      <c r="K321" s="1"/>
    </row>
    <row r="322" ht="14.25" customHeight="1">
      <c r="A322" s="1" t="s">
        <v>1896</v>
      </c>
      <c r="B322" s="1">
        <v>1.0E8</v>
      </c>
      <c r="C322" s="1">
        <v>9.5328937E7</v>
      </c>
      <c r="F322" s="4">
        <v>-4671063.0</v>
      </c>
      <c r="G322" s="4">
        <f t="array" ref="G322">IFERROR((C322-B322)/C322*100, "N/A")</f>
        <v>-4.899942396</v>
      </c>
      <c r="J322" s="1"/>
      <c r="K322" s="1"/>
    </row>
    <row r="323" ht="14.25" customHeight="1">
      <c r="A323" s="1" t="s">
        <v>1903</v>
      </c>
      <c r="B323" s="1">
        <v>9.5E7</v>
      </c>
      <c r="C323" s="1">
        <v>5.0802661E7</v>
      </c>
      <c r="F323" s="4">
        <v>-4.4197339E7</v>
      </c>
      <c r="G323" s="4">
        <f t="array" ref="G323">IFERROR((C323-B323)/C323*100, "N/A")</f>
        <v>-86.9980787</v>
      </c>
      <c r="J323" s="1"/>
      <c r="K323" s="1"/>
    </row>
    <row r="324" ht="14.25" customHeight="1">
      <c r="A324" s="1" t="s">
        <v>1910</v>
      </c>
      <c r="B324" s="1">
        <v>9.5E7</v>
      </c>
      <c r="C324" s="1">
        <v>1.61317423E8</v>
      </c>
      <c r="F324" s="4">
        <v>6.6317423E7</v>
      </c>
      <c r="G324" s="4">
        <f t="array" ref="G324">IFERROR((C324-B324)/C324*100, "N/A")</f>
        <v>41.10989487</v>
      </c>
      <c r="J324" s="1"/>
      <c r="K324" s="1"/>
    </row>
    <row r="325" ht="14.25" customHeight="1">
      <c r="A325" s="1" t="s">
        <v>1914</v>
      </c>
      <c r="B325" s="1">
        <v>9.5E7</v>
      </c>
      <c r="C325" s="1">
        <v>2.01148159E8</v>
      </c>
      <c r="F325" s="4">
        <v>1.06148159E8</v>
      </c>
      <c r="G325" s="4">
        <f t="array" ref="G325">IFERROR((C325-B325)/C325*100, "N/A")</f>
        <v>52.77113125</v>
      </c>
      <c r="J325" s="1"/>
      <c r="K325" s="1"/>
    </row>
    <row r="326" ht="14.25" customHeight="1">
      <c r="A326" s="1" t="s">
        <v>1919</v>
      </c>
      <c r="B326" s="1">
        <v>6.5E7</v>
      </c>
      <c r="C326" s="1">
        <v>4.3982842E7</v>
      </c>
      <c r="F326" s="4">
        <v>-2.1017158E7</v>
      </c>
      <c r="G326" s="4">
        <f t="array" ref="G326">IFERROR((C326-B326)/C326*100, "N/A")</f>
        <v>-47.78490212</v>
      </c>
      <c r="J326" s="1"/>
      <c r="K326" s="1"/>
    </row>
    <row r="327" ht="14.25" customHeight="1">
      <c r="A327" s="1" t="s">
        <v>1925</v>
      </c>
      <c r="B327" s="1">
        <v>9.4E7</v>
      </c>
      <c r="C327" s="1">
        <v>3.8083887E8</v>
      </c>
      <c r="F327" s="4">
        <v>2.8683887E8</v>
      </c>
      <c r="G327" s="4">
        <f t="array" ref="G327">IFERROR((C327-B327)/C327*100, "N/A")</f>
        <v>75.31764549</v>
      </c>
      <c r="J327" s="1"/>
      <c r="K327" s="1"/>
    </row>
    <row r="328" ht="14.25" customHeight="1">
      <c r="A328" s="1" t="s">
        <v>1929</v>
      </c>
      <c r="B328" s="1">
        <v>9.4E7</v>
      </c>
      <c r="C328" s="1">
        <v>3.77019252E8</v>
      </c>
      <c r="F328" s="4">
        <v>2.83019252E8</v>
      </c>
      <c r="G328" s="4">
        <f t="array" ref="G328">IFERROR((C328-B328)/C328*100, "N/A")</f>
        <v>75.0675862</v>
      </c>
      <c r="J328" s="1"/>
      <c r="K328" s="1"/>
    </row>
    <row r="329" ht="14.25" customHeight="1">
      <c r="A329" s="1" t="s">
        <v>1933</v>
      </c>
      <c r="B329" s="1">
        <v>9.4E7</v>
      </c>
      <c r="C329" s="1">
        <v>3.40478898E8</v>
      </c>
      <c r="F329" s="4">
        <v>2.46478898E8</v>
      </c>
      <c r="G329" s="4">
        <f t="array" ref="G329">IFERROR((C329-B329)/C329*100, "N/A")</f>
        <v>72.39182794</v>
      </c>
      <c r="J329" s="1"/>
      <c r="K329" s="1"/>
    </row>
    <row r="330" ht="14.25" customHeight="1">
      <c r="A330" s="1" t="s">
        <v>1937</v>
      </c>
      <c r="B330" s="1">
        <v>9.5E7</v>
      </c>
      <c r="C330" s="1">
        <v>1.71769E7</v>
      </c>
      <c r="F330" s="4">
        <v>-7.78231E7</v>
      </c>
      <c r="G330" s="4">
        <f t="array" ref="G330">IFERROR((C330-B330)/C330*100, "N/A")</f>
        <v>-453.0683651</v>
      </c>
      <c r="J330" s="1"/>
      <c r="K330" s="1"/>
    </row>
    <row r="331" ht="14.25" customHeight="1">
      <c r="A331" s="1" t="s">
        <v>1941</v>
      </c>
      <c r="B331" s="1">
        <v>1.15E8</v>
      </c>
      <c r="C331" s="1">
        <v>1.31144183E8</v>
      </c>
      <c r="F331" s="4">
        <v>1.6144183E7</v>
      </c>
      <c r="G331" s="4">
        <f t="array" ref="G331">IFERROR((C331-B331)/C331*100, "N/A")</f>
        <v>12.31025474</v>
      </c>
      <c r="J331" s="1"/>
      <c r="K331" s="1"/>
    </row>
    <row r="332" ht="14.25" customHeight="1">
      <c r="A332" s="1" t="s">
        <v>1946</v>
      </c>
      <c r="B332" s="1">
        <v>1.0E8</v>
      </c>
      <c r="C332" s="1">
        <v>2.3014504E7</v>
      </c>
      <c r="F332" s="4">
        <v>-7.6985496E7</v>
      </c>
      <c r="G332" s="4">
        <f t="array" ref="G332">IFERROR((C332-B332)/C332*100, "N/A")</f>
        <v>-334.5086038</v>
      </c>
      <c r="J332" s="1"/>
      <c r="K332" s="1"/>
    </row>
    <row r="333" ht="14.25" customHeight="1">
      <c r="A333" s="1" t="s">
        <v>1950</v>
      </c>
      <c r="B333" s="1">
        <v>9.3E7</v>
      </c>
      <c r="C333" s="1">
        <v>1.81166115E8</v>
      </c>
      <c r="F333" s="4">
        <v>8.8166115E7</v>
      </c>
      <c r="G333" s="4">
        <f t="array" ref="G333">IFERROR((C333-B333)/C333*100, "N/A")</f>
        <v>48.66589704</v>
      </c>
      <c r="J333" s="1"/>
      <c r="K333" s="1"/>
    </row>
    <row r="334" ht="14.25" customHeight="1">
      <c r="A334" s="1" t="s">
        <v>1957</v>
      </c>
      <c r="B334" s="1">
        <v>9.3E7</v>
      </c>
      <c r="C334" s="1">
        <v>1.7674065E8</v>
      </c>
      <c r="F334" s="4">
        <v>8.374065E7</v>
      </c>
      <c r="G334" s="4">
        <f t="array" ref="G334">IFERROR((C334-B334)/C334*100, "N/A")</f>
        <v>47.38052621</v>
      </c>
      <c r="J334" s="1"/>
      <c r="K334" s="1"/>
    </row>
    <row r="335" ht="14.25" customHeight="1">
      <c r="A335" s="1" t="s">
        <v>1962</v>
      </c>
      <c r="B335" s="1">
        <v>9.0E7</v>
      </c>
      <c r="C335" s="1">
        <v>7.1148699E7</v>
      </c>
      <c r="F335" s="4">
        <v>-1.8851301E7</v>
      </c>
      <c r="G335" s="4">
        <f t="array" ref="G335">IFERROR((C335-B335)/C335*100, "N/A")</f>
        <v>-26.49563698</v>
      </c>
      <c r="J335" s="1"/>
      <c r="K335" s="1"/>
    </row>
    <row r="336" ht="14.25" customHeight="1">
      <c r="A336" s="1" t="s">
        <v>1968</v>
      </c>
      <c r="B336" s="1">
        <v>9.2E7</v>
      </c>
      <c r="C336" s="1">
        <v>6.7344392E7</v>
      </c>
      <c r="F336" s="4">
        <v>-2.4655608E7</v>
      </c>
      <c r="G336" s="4">
        <f t="array" ref="G336">IFERROR((C336-B336)/C336*100, "N/A")</f>
        <v>-36.61122666</v>
      </c>
      <c r="J336" s="1"/>
      <c r="K336" s="1"/>
    </row>
    <row r="337" ht="14.25" customHeight="1">
      <c r="A337" s="1" t="s">
        <v>1974</v>
      </c>
      <c r="B337" s="1">
        <v>1.07E8</v>
      </c>
      <c r="C337" s="1">
        <v>2.2406362E7</v>
      </c>
      <c r="F337" s="4">
        <v>-8.4593638E7</v>
      </c>
      <c r="G337" s="4">
        <f t="array" ref="G337">IFERROR((C337-B337)/C337*100, "N/A")</f>
        <v>-377.5429407</v>
      </c>
      <c r="J337" s="1"/>
      <c r="K337" s="1"/>
    </row>
    <row r="338" ht="14.25" customHeight="1">
      <c r="A338" s="1" t="s">
        <v>1978</v>
      </c>
      <c r="B338" s="1">
        <v>9.2E7</v>
      </c>
      <c r="C338" s="1">
        <v>2.61437578E8</v>
      </c>
      <c r="F338" s="4">
        <v>1.69437578E8</v>
      </c>
      <c r="G338" s="4">
        <f t="array" ref="G338">IFERROR((C338-B338)/C338*100, "N/A")</f>
        <v>64.80995551</v>
      </c>
      <c r="J338" s="1"/>
      <c r="K338" s="1"/>
    </row>
    <row r="339" ht="14.25" customHeight="1">
      <c r="A339" s="1" t="s">
        <v>1986</v>
      </c>
      <c r="B339" s="1">
        <v>9.8E7</v>
      </c>
      <c r="C339" s="1">
        <v>1.1E7</v>
      </c>
      <c r="F339" s="4">
        <v>-8.7E7</v>
      </c>
      <c r="G339" s="4">
        <f t="array" ref="G339">IFERROR((C339-B339)/C339*100, "N/A")</f>
        <v>-790.9090909</v>
      </c>
      <c r="J339" s="1"/>
      <c r="K339" s="1"/>
    </row>
    <row r="340" ht="14.25" customHeight="1">
      <c r="A340" s="1" t="s">
        <v>1991</v>
      </c>
      <c r="B340" s="1">
        <v>9.5E7</v>
      </c>
      <c r="C340" s="1">
        <v>8.876172E7</v>
      </c>
      <c r="F340" s="4">
        <v>-6238280.0</v>
      </c>
      <c r="G340" s="4">
        <f t="array" ref="G340">IFERROR((C340-B340)/C340*100, "N/A")</f>
        <v>-7.02811978</v>
      </c>
      <c r="J340" s="1"/>
      <c r="K340" s="1"/>
    </row>
    <row r="341" ht="14.25" customHeight="1">
      <c r="A341" s="1" t="s">
        <v>1994</v>
      </c>
      <c r="B341" s="1">
        <v>9.0E7</v>
      </c>
      <c r="C341" s="1">
        <v>2.50147615E8</v>
      </c>
      <c r="F341" s="4">
        <v>1.60147615E8</v>
      </c>
      <c r="G341" s="4">
        <f t="array" ref="G341">IFERROR((C341-B341)/C341*100, "N/A")</f>
        <v>64.02124402</v>
      </c>
      <c r="J341" s="1"/>
      <c r="K341" s="1"/>
    </row>
    <row r="342" ht="14.25" customHeight="1">
      <c r="A342" s="1" t="s">
        <v>1999</v>
      </c>
      <c r="B342" s="1">
        <v>9.0E7</v>
      </c>
      <c r="C342" s="1">
        <v>2.45823397E8</v>
      </c>
      <c r="F342" s="4">
        <v>1.55823397E8</v>
      </c>
      <c r="G342" s="4">
        <f t="array" ref="G342">IFERROR((C342-B342)/C342*100, "N/A")</f>
        <v>63.3883507</v>
      </c>
      <c r="J342" s="1"/>
      <c r="K342" s="1"/>
    </row>
    <row r="343" ht="14.25" customHeight="1">
      <c r="A343" s="1" t="s">
        <v>2002</v>
      </c>
      <c r="B343" s="1">
        <v>1.0E8</v>
      </c>
      <c r="C343" s="1">
        <v>8.1557479E7</v>
      </c>
      <c r="F343" s="4">
        <v>-1.8442521E7</v>
      </c>
      <c r="G343" s="4">
        <f t="array" ref="G343">IFERROR((C343-B343)/C343*100, "N/A")</f>
        <v>-22.61291205</v>
      </c>
      <c r="J343" s="1"/>
      <c r="K343" s="1"/>
    </row>
    <row r="344" ht="14.25" customHeight="1">
      <c r="A344" s="1" t="s">
        <v>2006</v>
      </c>
      <c r="B344" s="1">
        <v>9.0E7</v>
      </c>
      <c r="C344" s="1">
        <v>2.26138454E8</v>
      </c>
      <c r="F344" s="4">
        <v>1.36138454E8</v>
      </c>
      <c r="G344" s="4">
        <f t="array" ref="G344">IFERROR((C344-B344)/C344*100, "N/A")</f>
        <v>60.20137292</v>
      </c>
      <c r="J344" s="1"/>
      <c r="K344" s="1"/>
    </row>
    <row r="345" ht="14.25" customHeight="1">
      <c r="A345" s="1" t="s">
        <v>2012</v>
      </c>
      <c r="B345" s="1">
        <v>1.0E8</v>
      </c>
      <c r="C345" s="1">
        <v>1.55370362E8</v>
      </c>
      <c r="F345" s="4">
        <v>5.5370362E7</v>
      </c>
      <c r="G345" s="4">
        <f t="array" ref="G345">IFERROR((C345-B345)/C345*100, "N/A")</f>
        <v>35.63766042</v>
      </c>
      <c r="J345" s="1"/>
      <c r="K345" s="1"/>
    </row>
    <row r="346" ht="14.25" customHeight="1">
      <c r="A346" s="1" t="s">
        <v>2019</v>
      </c>
      <c r="B346" s="1">
        <v>1.0E8</v>
      </c>
      <c r="C346" s="1">
        <v>1.24870275E8</v>
      </c>
      <c r="F346" s="4">
        <v>2.4870275E7</v>
      </c>
      <c r="G346" s="4">
        <f t="array" ref="G346">IFERROR((C346-B346)/C346*100, "N/A")</f>
        <v>19.91688975</v>
      </c>
      <c r="J346" s="1"/>
      <c r="K346" s="1"/>
    </row>
    <row r="347" ht="14.25" customHeight="1">
      <c r="A347" s="1" t="s">
        <v>2025</v>
      </c>
      <c r="B347" s="1">
        <v>9.0E7</v>
      </c>
      <c r="C347" s="1">
        <v>1.96573705E8</v>
      </c>
      <c r="F347" s="4">
        <v>1.06573705E8</v>
      </c>
      <c r="G347" s="4">
        <f t="array" ref="G347">IFERROR((C347-B347)/C347*100, "N/A")</f>
        <v>54.21564649</v>
      </c>
      <c r="J347" s="1"/>
      <c r="K347" s="1"/>
    </row>
    <row r="348" ht="14.25" customHeight="1">
      <c r="A348" s="1" t="s">
        <v>2032</v>
      </c>
      <c r="B348" s="1">
        <v>9.0E7</v>
      </c>
      <c r="C348" s="1">
        <v>5.822912E7</v>
      </c>
      <c r="F348" s="4">
        <v>-3.177088E7</v>
      </c>
      <c r="G348" s="4">
        <f t="array" ref="G348">IFERROR((C348-B348)/C348*100, "N/A")</f>
        <v>-54.56184122</v>
      </c>
      <c r="J348" s="1"/>
      <c r="K348" s="1"/>
    </row>
    <row r="349" ht="14.25" customHeight="1">
      <c r="A349" s="1" t="s">
        <v>2038</v>
      </c>
      <c r="B349" s="1">
        <v>9.2E7</v>
      </c>
      <c r="C349" s="1">
        <v>1.25305545E8</v>
      </c>
      <c r="F349" s="4">
        <v>3.3305545E7</v>
      </c>
      <c r="G349" s="4">
        <f t="array" ref="G349">IFERROR((C349-B349)/C349*100, "N/A")</f>
        <v>26.57946622</v>
      </c>
      <c r="J349" s="1"/>
      <c r="K349" s="1"/>
    </row>
    <row r="350" ht="14.25" customHeight="1">
      <c r="A350" s="1" t="s">
        <v>2044</v>
      </c>
      <c r="B350" s="1">
        <v>9.0E7</v>
      </c>
      <c r="C350" s="1">
        <v>1.32373442E8</v>
      </c>
      <c r="F350" s="4">
        <v>4.2373442E7</v>
      </c>
      <c r="G350" s="4">
        <f t="array" ref="G350">IFERROR((C350-B350)/C350*100, "N/A")</f>
        <v>32.01053124</v>
      </c>
      <c r="J350" s="1"/>
      <c r="K350" s="1"/>
    </row>
    <row r="351" ht="14.25" customHeight="1">
      <c r="A351" s="1" t="s">
        <v>2049</v>
      </c>
      <c r="B351" s="1">
        <v>9.0E7</v>
      </c>
      <c r="C351" s="1">
        <v>1.20618403E8</v>
      </c>
      <c r="F351" s="4">
        <v>3.0618403E7</v>
      </c>
      <c r="G351" s="4">
        <f t="array" ref="G351">IFERROR((C351-B351)/C351*100, "N/A")</f>
        <v>25.3845203</v>
      </c>
      <c r="J351" s="1"/>
      <c r="K351" s="1"/>
    </row>
    <row r="352" ht="14.25" customHeight="1">
      <c r="A352" s="1" t="s">
        <v>2055</v>
      </c>
      <c r="B352" s="1">
        <v>9.2E7</v>
      </c>
      <c r="C352" s="1">
        <v>1.10416702E8</v>
      </c>
      <c r="F352" s="4">
        <v>1.8416702E7</v>
      </c>
      <c r="G352" s="4">
        <f t="array" ref="G352">IFERROR((C352-B352)/C352*100, "N/A")</f>
        <v>16.67927195</v>
      </c>
      <c r="J352" s="1"/>
      <c r="K352" s="1"/>
    </row>
    <row r="353" ht="14.25" customHeight="1">
      <c r="A353" s="1" t="s">
        <v>2060</v>
      </c>
      <c r="B353" s="1">
        <v>9.0E7</v>
      </c>
      <c r="C353" s="1">
        <v>1.02515793E8</v>
      </c>
      <c r="F353" s="4">
        <v>1.2515793E7</v>
      </c>
      <c r="G353" s="4">
        <f t="array" ref="G353">IFERROR((C353-B353)/C353*100, "N/A")</f>
        <v>12.20864867</v>
      </c>
      <c r="J353" s="1"/>
      <c r="K353" s="1"/>
    </row>
    <row r="354" ht="14.25" customHeight="1">
      <c r="A354" s="1" t="s">
        <v>2066</v>
      </c>
      <c r="B354" s="1">
        <v>9.0E7</v>
      </c>
      <c r="C354" s="1">
        <v>1.000125E8</v>
      </c>
      <c r="F354" s="4">
        <v>1.00125E7</v>
      </c>
      <c r="G354" s="4">
        <f t="array" ref="G354">IFERROR((C354-B354)/C354*100, "N/A")</f>
        <v>10.01124859</v>
      </c>
      <c r="J354" s="1"/>
      <c r="K354" s="1"/>
    </row>
    <row r="355" ht="14.25" customHeight="1">
      <c r="A355" s="1" t="s">
        <v>2071</v>
      </c>
      <c r="B355" s="1">
        <v>9.0E7</v>
      </c>
      <c r="C355" s="1">
        <v>2.09019489E8</v>
      </c>
      <c r="F355" s="4">
        <v>1.19019489E8</v>
      </c>
      <c r="G355" s="4">
        <f t="array" ref="G355">IFERROR((C355-B355)/C355*100, "N/A")</f>
        <v>56.94181417</v>
      </c>
      <c r="J355" s="1"/>
      <c r="K355" s="1"/>
    </row>
    <row r="356" ht="14.25" customHeight="1">
      <c r="A356" s="1" t="s">
        <v>2075</v>
      </c>
      <c r="B356" s="1">
        <v>1.2E8</v>
      </c>
      <c r="C356" s="1">
        <v>8.4037039E7</v>
      </c>
      <c r="F356" s="4">
        <v>-3.5962961E7</v>
      </c>
      <c r="G356" s="4">
        <f t="array" ref="G356">IFERROR((C356-B356)/C356*100, "N/A")</f>
        <v>-42.79417912</v>
      </c>
      <c r="J356" s="1"/>
      <c r="K356" s="1"/>
    </row>
    <row r="357" ht="14.25" customHeight="1">
      <c r="A357" s="1" t="s">
        <v>2082</v>
      </c>
      <c r="B357" s="1">
        <v>9.0E7</v>
      </c>
      <c r="C357" s="1">
        <v>8.5884815E7</v>
      </c>
      <c r="F357" s="4">
        <v>-4115185.0</v>
      </c>
      <c r="G357" s="4">
        <f t="array" ref="G357">IFERROR((C357-B357)/C357*100, "N/A")</f>
        <v>-4.791516405</v>
      </c>
      <c r="J357" s="1"/>
      <c r="K357" s="1"/>
    </row>
    <row r="358" ht="14.25" customHeight="1">
      <c r="A358" s="1" t="s">
        <v>2089</v>
      </c>
      <c r="B358" s="1">
        <v>7.5E7</v>
      </c>
      <c r="C358" s="1">
        <v>8.307747E7</v>
      </c>
      <c r="F358" s="4">
        <v>8077470.0</v>
      </c>
      <c r="G358" s="4">
        <f t="array" ref="G358">IFERROR((C358-B358)/C358*100, "N/A")</f>
        <v>9.722816547</v>
      </c>
      <c r="J358" s="1"/>
      <c r="K358" s="1"/>
    </row>
    <row r="359" ht="14.25" customHeight="1">
      <c r="A359" s="1" t="s">
        <v>2094</v>
      </c>
      <c r="B359" s="1">
        <v>9.0E7</v>
      </c>
      <c r="C359" s="1">
        <v>1.00018837E8</v>
      </c>
      <c r="F359" s="4">
        <v>1.0018837E7</v>
      </c>
      <c r="G359" s="4">
        <f t="array" ref="G359">IFERROR((C359-B359)/C359*100, "N/A")</f>
        <v>10.01695011</v>
      </c>
      <c r="J359" s="1"/>
      <c r="K359" s="1"/>
    </row>
    <row r="360" ht="14.25" customHeight="1">
      <c r="A360" s="1" t="s">
        <v>2100</v>
      </c>
      <c r="B360" s="1">
        <v>8.8E7</v>
      </c>
      <c r="C360" s="1">
        <v>7.8747585E7</v>
      </c>
      <c r="F360" s="4">
        <v>-9252415.0</v>
      </c>
      <c r="G360" s="4">
        <f t="array" ref="G360">IFERROR((C360-B360)/C360*100, "N/A")</f>
        <v>-11.74945873</v>
      </c>
      <c r="J360" s="1"/>
      <c r="K360" s="1"/>
    </row>
    <row r="361" ht="14.25" customHeight="1">
      <c r="A361" s="1" t="s">
        <v>2104</v>
      </c>
      <c r="B361" s="1">
        <v>1.0E8</v>
      </c>
      <c r="C361" s="1">
        <v>7.8616689E7</v>
      </c>
      <c r="F361" s="4">
        <v>-2.1383311E7</v>
      </c>
      <c r="G361" s="4">
        <f t="array" ref="G361">IFERROR((C361-B361)/C361*100, "N/A")</f>
        <v>-27.19945507</v>
      </c>
      <c r="J361" s="1"/>
      <c r="K361" s="1"/>
    </row>
    <row r="362" ht="14.25" customHeight="1">
      <c r="A362" s="1" t="s">
        <v>2109</v>
      </c>
      <c r="B362" s="1">
        <v>9.0E7</v>
      </c>
      <c r="C362" s="1">
        <v>7.5817994E7</v>
      </c>
      <c r="F362" s="4">
        <v>-1.4182006E7</v>
      </c>
      <c r="G362" s="4">
        <f t="array" ref="G362">IFERROR((C362-B362)/C362*100, "N/A")</f>
        <v>-18.70533003</v>
      </c>
      <c r="J362" s="1"/>
      <c r="K362" s="1"/>
    </row>
    <row r="363" ht="14.25" customHeight="1">
      <c r="A363" s="1" t="s">
        <v>2116</v>
      </c>
      <c r="B363" s="1">
        <v>9.0E7</v>
      </c>
      <c r="C363" s="1">
        <v>1.00853835E8</v>
      </c>
      <c r="F363" s="4">
        <v>1.0853835E7</v>
      </c>
      <c r="G363" s="4">
        <f t="array" ref="G363">IFERROR((C363-B363)/C363*100, "N/A")</f>
        <v>10.76194574</v>
      </c>
      <c r="J363" s="1"/>
      <c r="K363" s="1"/>
    </row>
    <row r="364" ht="14.25" customHeight="1">
      <c r="A364" s="1" t="s">
        <v>2122</v>
      </c>
      <c r="B364" s="1">
        <v>9.5E7</v>
      </c>
      <c r="C364" s="1">
        <v>7.320934E7</v>
      </c>
      <c r="F364" s="4">
        <v>-2.179066E7</v>
      </c>
      <c r="G364" s="4">
        <f t="array" ref="G364">IFERROR((C364-B364)/C364*100, "N/A")</f>
        <v>-29.76486334</v>
      </c>
      <c r="J364" s="1"/>
      <c r="K364" s="1"/>
    </row>
    <row r="365" ht="14.25" customHeight="1">
      <c r="A365" s="1" t="s">
        <v>2129</v>
      </c>
      <c r="B365" s="1">
        <v>8.0E7</v>
      </c>
      <c r="C365" s="1">
        <v>7.251536E7</v>
      </c>
      <c r="F365" s="4">
        <v>-7484640.0</v>
      </c>
      <c r="G365" s="4">
        <f t="array" ref="G365">IFERROR((C365-B365)/C365*100, "N/A")</f>
        <v>-10.32145465</v>
      </c>
      <c r="J365" s="1"/>
      <c r="K365" s="1"/>
    </row>
    <row r="366" ht="14.25" customHeight="1">
      <c r="A366" s="1" t="s">
        <v>2138</v>
      </c>
      <c r="B366" s="1">
        <v>9.0E7</v>
      </c>
      <c r="C366" s="1">
        <v>6.8558662E7</v>
      </c>
      <c r="F366" s="4">
        <v>-2.1441338E7</v>
      </c>
      <c r="G366" s="4">
        <f t="array" ref="G366">IFERROR((C366-B366)/C366*100, "N/A")</f>
        <v>-31.27444057</v>
      </c>
      <c r="J366" s="1"/>
      <c r="K366" s="1"/>
    </row>
    <row r="367" ht="14.25" customHeight="1">
      <c r="A367" s="1" t="s">
        <v>2142</v>
      </c>
      <c r="B367" s="1">
        <v>9.5E7</v>
      </c>
      <c r="C367" s="1">
        <v>6.5653758E7</v>
      </c>
      <c r="F367" s="4">
        <v>-2.9346242E7</v>
      </c>
      <c r="G367" s="4">
        <f t="array" ref="G367">IFERROR((C367-B367)/C367*100, "N/A")</f>
        <v>-44.6984954</v>
      </c>
      <c r="J367" s="1"/>
      <c r="K367" s="1"/>
    </row>
    <row r="368" ht="14.25" customHeight="1">
      <c r="A368" s="1" t="s">
        <v>2145</v>
      </c>
      <c r="B368" s="1">
        <v>9.0E7</v>
      </c>
      <c r="C368" s="1">
        <v>6.4685359E7</v>
      </c>
      <c r="F368" s="4">
        <v>-2.5314641E7</v>
      </c>
      <c r="G368" s="4">
        <f t="array" ref="G368">IFERROR((C368-B368)/C368*100, "N/A")</f>
        <v>-39.13503982</v>
      </c>
      <c r="J368" s="1"/>
      <c r="K368" s="1"/>
    </row>
    <row r="369" ht="14.25" customHeight="1">
      <c r="A369" s="1" t="s">
        <v>2150</v>
      </c>
      <c r="B369" s="1">
        <v>6.8E7</v>
      </c>
      <c r="C369" s="1">
        <v>6.1355436E7</v>
      </c>
      <c r="F369" s="4">
        <v>-6644564.0</v>
      </c>
      <c r="G369" s="4">
        <f t="array" ref="G369">IFERROR((C369-B369)/C369*100, "N/A")</f>
        <v>-10.82962559</v>
      </c>
      <c r="J369" s="1"/>
      <c r="K369" s="1"/>
    </row>
    <row r="370" ht="14.25" customHeight="1">
      <c r="A370" s="1" t="s">
        <v>2156</v>
      </c>
      <c r="B370" s="1">
        <v>9.2E7</v>
      </c>
      <c r="C370" s="1">
        <v>26871.0</v>
      </c>
      <c r="F370" s="4">
        <v>-9.1973129E7</v>
      </c>
      <c r="G370" s="4">
        <f t="array" ref="G370">IFERROR((C370-B370)/C370*100, "N/A")</f>
        <v>-342276.5398</v>
      </c>
      <c r="J370" s="1"/>
      <c r="K370" s="1"/>
    </row>
    <row r="371" ht="14.25" customHeight="1">
      <c r="A371" s="1" t="s">
        <v>2162</v>
      </c>
      <c r="B371" s="1">
        <v>9.0E7</v>
      </c>
      <c r="C371" s="1">
        <v>6.0874615E7</v>
      </c>
      <c r="F371" s="4">
        <v>-2.9125385E7</v>
      </c>
      <c r="G371" s="4">
        <f t="array" ref="G371">IFERROR((C371-B371)/C371*100, "N/A")</f>
        <v>-47.84487754</v>
      </c>
      <c r="J371" s="1"/>
      <c r="K371" s="1"/>
    </row>
    <row r="372" ht="14.25" customHeight="1">
      <c r="A372" s="1" t="s">
        <v>2166</v>
      </c>
      <c r="B372" s="1">
        <v>9.0E7</v>
      </c>
      <c r="C372" s="1">
        <v>1.43618384E8</v>
      </c>
      <c r="F372" s="4">
        <v>5.3618384E7</v>
      </c>
      <c r="G372" s="4">
        <f t="array" ref="G372">IFERROR((C372-B372)/C372*100, "N/A")</f>
        <v>37.33392795</v>
      </c>
      <c r="J372" s="1"/>
      <c r="K372" s="1"/>
    </row>
    <row r="373" ht="14.25" customHeight="1">
      <c r="A373" s="1" t="s">
        <v>2171</v>
      </c>
      <c r="B373" s="1">
        <v>1.0E8</v>
      </c>
      <c r="C373" s="1">
        <v>5.8220776E7</v>
      </c>
      <c r="F373" s="4">
        <v>-4.1779224E7</v>
      </c>
      <c r="G373" s="4">
        <f t="array" ref="G373">IFERROR((C373-B373)/C373*100, "N/A")</f>
        <v>-71.75999166</v>
      </c>
      <c r="J373" s="1"/>
      <c r="K373" s="1"/>
    </row>
    <row r="374" ht="14.25" customHeight="1">
      <c r="A374" s="1" t="s">
        <v>2176</v>
      </c>
      <c r="B374" s="1">
        <v>9.0E7</v>
      </c>
      <c r="C374" s="1">
        <v>4.7474112E7</v>
      </c>
      <c r="F374" s="4">
        <v>-4.2525888E7</v>
      </c>
      <c r="G374" s="4">
        <f t="array" ref="G374">IFERROR((C374-B374)/C374*100, "N/A")</f>
        <v>-89.57700567</v>
      </c>
      <c r="J374" s="1"/>
      <c r="K374" s="1"/>
    </row>
    <row r="375" ht="14.25" customHeight="1">
      <c r="A375" s="1" t="s">
        <v>2182</v>
      </c>
      <c r="B375" s="1">
        <v>8.6E7</v>
      </c>
      <c r="C375" s="1">
        <v>4.2877165E7</v>
      </c>
      <c r="F375" s="4">
        <v>-4.3122835E7</v>
      </c>
      <c r="G375" s="4">
        <f t="array" ref="G375">IFERROR((C375-B375)/C375*100, "N/A")</f>
        <v>-100.5729623</v>
      </c>
      <c r="J375" s="1"/>
      <c r="K375" s="1"/>
    </row>
    <row r="376" ht="14.25" customHeight="1">
      <c r="A376" s="1" t="s">
        <v>2187</v>
      </c>
      <c r="B376" s="1">
        <v>1.0E8</v>
      </c>
      <c r="C376" s="1">
        <v>3.5168677E7</v>
      </c>
      <c r="F376" s="4">
        <v>-6.4831323E7</v>
      </c>
      <c r="G376" s="4">
        <f t="array" ref="G376">IFERROR((C376-B376)/C376*100, "N/A")</f>
        <v>-184.3439348</v>
      </c>
      <c r="J376" s="1"/>
      <c r="K376" s="1"/>
    </row>
    <row r="377" ht="14.25" customHeight="1">
      <c r="A377" s="1" t="s">
        <v>1431</v>
      </c>
      <c r="B377" s="1">
        <v>1.2E8</v>
      </c>
      <c r="C377" s="1">
        <v>5.6114221E7</v>
      </c>
      <c r="F377" s="4">
        <v>-6.3885779E7</v>
      </c>
      <c r="G377" s="4">
        <f t="array" ref="G377">IFERROR((C377-B377)/C377*100, "N/A")</f>
        <v>-113.8495338</v>
      </c>
      <c r="J377" s="1"/>
      <c r="K377" s="1"/>
    </row>
    <row r="378" ht="14.25" customHeight="1">
      <c r="A378" s="1" t="s">
        <v>2193</v>
      </c>
      <c r="B378" s="1">
        <v>2.0E7</v>
      </c>
      <c r="C378" s="1">
        <v>3.756744E7</v>
      </c>
      <c r="F378" s="4">
        <v>1.756744E7</v>
      </c>
      <c r="G378" s="4">
        <f t="array" ref="G378">IFERROR((C378-B378)/C378*100, "N/A")</f>
        <v>46.76240915</v>
      </c>
      <c r="J378" s="1"/>
      <c r="K378" s="1"/>
    </row>
    <row r="379" ht="14.25" customHeight="1">
      <c r="A379" s="1" t="s">
        <v>2198</v>
      </c>
      <c r="B379" s="1">
        <v>8.8E7</v>
      </c>
      <c r="C379" s="1">
        <v>6.1644321E7</v>
      </c>
      <c r="F379" s="4">
        <v>-2.6355679E7</v>
      </c>
      <c r="G379" s="4">
        <f t="array" ref="G379">IFERROR((C379-B379)/C379*100, "N/A")</f>
        <v>-42.75443151</v>
      </c>
      <c r="J379" s="1"/>
      <c r="K379" s="1"/>
    </row>
    <row r="380" ht="14.25" customHeight="1">
      <c r="A380" s="1" t="s">
        <v>2205</v>
      </c>
      <c r="B380" s="1">
        <v>9.0E7</v>
      </c>
      <c r="C380" s="1">
        <v>190562.0</v>
      </c>
      <c r="F380" s="4">
        <v>-8.9809438E7</v>
      </c>
      <c r="G380" s="4">
        <f t="array" ref="G380">IFERROR((C380-B380)/C380*100, "N/A")</f>
        <v>-47128.72346</v>
      </c>
      <c r="J380" s="1"/>
      <c r="K380" s="1"/>
    </row>
    <row r="381" ht="14.25" customHeight="1">
      <c r="A381" s="1" t="s">
        <v>2212</v>
      </c>
      <c r="B381" s="1">
        <v>8.7E7</v>
      </c>
      <c r="C381" s="1">
        <v>1.20147445E8</v>
      </c>
      <c r="F381" s="4">
        <v>3.3147445E7</v>
      </c>
      <c r="G381" s="4">
        <f t="array" ref="G381">IFERROR((C381-B381)/C381*100, "N/A")</f>
        <v>27.58897203</v>
      </c>
      <c r="J381" s="1"/>
      <c r="K381" s="1"/>
    </row>
    <row r="382" ht="14.25" customHeight="1">
      <c r="A382" s="1" t="s">
        <v>2217</v>
      </c>
      <c r="B382" s="1">
        <v>9.2E7</v>
      </c>
      <c r="C382" s="1">
        <v>2.41688385E8</v>
      </c>
      <c r="F382" s="4">
        <v>1.49688385E8</v>
      </c>
      <c r="G382" s="4">
        <f t="array" ref="G382">IFERROR((C382-B382)/C382*100, "N/A")</f>
        <v>61.93445539</v>
      </c>
      <c r="J382" s="1"/>
      <c r="K382" s="1"/>
    </row>
    <row r="383" ht="14.25" customHeight="1">
      <c r="A383" s="1" t="s">
        <v>644</v>
      </c>
      <c r="B383" s="1">
        <v>3.8E7</v>
      </c>
      <c r="C383" s="1">
        <v>1.4451231E8</v>
      </c>
      <c r="F383" s="4">
        <v>1.0651231E8</v>
      </c>
      <c r="G383" s="4">
        <f t="array" ref="G383">IFERROR((C383-B383)/C383*100, "N/A")</f>
        <v>73.70466225</v>
      </c>
      <c r="J383" s="1"/>
      <c r="K383" s="1"/>
    </row>
    <row r="384" ht="14.25" customHeight="1">
      <c r="A384" s="1" t="s">
        <v>2222</v>
      </c>
      <c r="B384" s="1">
        <v>9.0E7</v>
      </c>
      <c r="C384" s="1">
        <v>2.33630478E8</v>
      </c>
      <c r="F384" s="4">
        <v>1.43630478E8</v>
      </c>
      <c r="G384" s="4">
        <f t="array" ref="G384">IFERROR((C384-B384)/C384*100, "N/A")</f>
        <v>61.47762879</v>
      </c>
      <c r="J384" s="1"/>
      <c r="K384" s="1"/>
    </row>
    <row r="385" ht="14.25" customHeight="1">
      <c r="A385" s="1" t="s">
        <v>2228</v>
      </c>
      <c r="B385" s="1">
        <v>1.0E8</v>
      </c>
      <c r="C385" s="1">
        <v>1.97992827E8</v>
      </c>
      <c r="F385" s="4">
        <v>9.7992827E7</v>
      </c>
      <c r="G385" s="4">
        <f t="array" ref="G385">IFERROR((C385-B385)/C385*100, "N/A")</f>
        <v>49.49311977</v>
      </c>
      <c r="J385" s="1"/>
      <c r="K385" s="1"/>
    </row>
    <row r="386" ht="14.25" customHeight="1">
      <c r="A386" s="1" t="s">
        <v>2233</v>
      </c>
      <c r="B386" s="1">
        <v>7.5E7</v>
      </c>
      <c r="C386" s="1">
        <v>1.7604913E8</v>
      </c>
      <c r="F386" s="4">
        <v>1.0104913E8</v>
      </c>
      <c r="G386" s="4">
        <f t="array" ref="G386">IFERROR((C386-B386)/C386*100, "N/A")</f>
        <v>57.39825582</v>
      </c>
      <c r="J386" s="1"/>
      <c r="K386" s="1"/>
    </row>
    <row r="387" ht="14.25" customHeight="1">
      <c r="A387" s="1" t="s">
        <v>2238</v>
      </c>
      <c r="B387" s="1">
        <v>8.5E7</v>
      </c>
      <c r="C387" s="1">
        <v>1.72620724E8</v>
      </c>
      <c r="F387" s="4">
        <v>8.7620724E7</v>
      </c>
      <c r="G387" s="4">
        <f t="array" ref="G387">IFERROR((C387-B387)/C387*100, "N/A")</f>
        <v>50.75909889</v>
      </c>
      <c r="J387" s="1"/>
      <c r="K387" s="1"/>
    </row>
    <row r="388" ht="14.25" customHeight="1">
      <c r="A388" s="1" t="s">
        <v>2242</v>
      </c>
      <c r="B388" s="1">
        <v>8.5E7</v>
      </c>
      <c r="C388" s="1">
        <v>1.83405771E8</v>
      </c>
      <c r="F388" s="4">
        <v>9.8405771E7</v>
      </c>
      <c r="G388" s="4">
        <f t="array" ref="G388">IFERROR((C388-B388)/C388*100, "N/A")</f>
        <v>53.65467535</v>
      </c>
      <c r="J388" s="1"/>
      <c r="K388" s="1"/>
    </row>
    <row r="389" ht="14.25" customHeight="1">
      <c r="A389" s="1" t="s">
        <v>2247</v>
      </c>
      <c r="B389" s="1">
        <v>7.5E7</v>
      </c>
      <c r="C389" s="1">
        <v>2.0315324E7</v>
      </c>
      <c r="F389" s="4">
        <v>-5.4684676E7</v>
      </c>
      <c r="G389" s="4">
        <f t="array" ref="G389">IFERROR((C389-B389)/C389*100, "N/A")</f>
        <v>-269.1794431</v>
      </c>
      <c r="J389" s="1"/>
      <c r="K389" s="1"/>
    </row>
    <row r="390" ht="14.25" customHeight="1">
      <c r="A390" s="1" t="s">
        <v>2251</v>
      </c>
      <c r="B390" s="1">
        <v>8.5E7</v>
      </c>
      <c r="C390" s="1">
        <v>1.48313048E8</v>
      </c>
      <c r="F390" s="4">
        <v>6.3313048E7</v>
      </c>
      <c r="G390" s="4">
        <f t="array" ref="G390">IFERROR((C390-B390)/C390*100, "N/A")</f>
        <v>42.68879162</v>
      </c>
      <c r="J390" s="1"/>
      <c r="K390" s="1"/>
    </row>
    <row r="391" ht="14.25" customHeight="1">
      <c r="A391" s="1" t="s">
        <v>2255</v>
      </c>
      <c r="B391" s="1">
        <v>8.5E7</v>
      </c>
      <c r="C391" s="1">
        <v>1.27706877E8</v>
      </c>
      <c r="F391" s="4">
        <v>4.2706877E7</v>
      </c>
      <c r="G391" s="4">
        <f t="array" ref="G391">IFERROR((C391-B391)/C391*100, "N/A")</f>
        <v>33.44132908</v>
      </c>
      <c r="J391" s="1"/>
      <c r="K391" s="1"/>
    </row>
    <row r="392" ht="14.25" customHeight="1">
      <c r="A392" s="1" t="s">
        <v>2263</v>
      </c>
      <c r="B392" s="1">
        <v>8.5E7</v>
      </c>
      <c r="C392" s="1">
        <v>1.26149655E8</v>
      </c>
      <c r="F392" s="4">
        <v>4.1149655E7</v>
      </c>
      <c r="G392" s="4">
        <f t="array" ref="G392">IFERROR((C392-B392)/C392*100, "N/A")</f>
        <v>32.61971267</v>
      </c>
      <c r="J392" s="1"/>
      <c r="K392" s="1"/>
    </row>
    <row r="393" ht="14.25" customHeight="1">
      <c r="A393" s="1" t="s">
        <v>2266</v>
      </c>
      <c r="B393" s="1">
        <v>8.5E7</v>
      </c>
      <c r="C393" s="1">
        <v>6.6941559E7</v>
      </c>
      <c r="F393" s="4">
        <v>-1.8058441E7</v>
      </c>
      <c r="G393" s="4">
        <f t="array" ref="G393">IFERROR((C393-B393)/C393*100, "N/A")</f>
        <v>-26.9764273</v>
      </c>
      <c r="J393" s="1"/>
      <c r="K393" s="1"/>
    </row>
    <row r="394" ht="14.25" customHeight="1">
      <c r="A394" s="1" t="s">
        <v>2271</v>
      </c>
      <c r="B394" s="1">
        <v>7.5E7</v>
      </c>
      <c r="C394" s="1">
        <v>7.8009155E7</v>
      </c>
      <c r="F394" s="4">
        <v>3009155.0</v>
      </c>
      <c r="G394" s="4">
        <f t="array" ref="G394">IFERROR((C394-B394)/C394*100, "N/A")</f>
        <v>3.857438271</v>
      </c>
      <c r="J394" s="1"/>
      <c r="K394" s="1"/>
    </row>
    <row r="395" ht="14.25" customHeight="1">
      <c r="A395" s="1" t="s">
        <v>2276</v>
      </c>
      <c r="B395" s="1">
        <v>8.5E7</v>
      </c>
      <c r="C395" s="1">
        <v>6.3224849E7</v>
      </c>
      <c r="F395" s="4">
        <v>-2.1775151E7</v>
      </c>
      <c r="G395" s="4">
        <f t="array" ref="G395">IFERROR((C395-B395)/C395*100, "N/A")</f>
        <v>-34.4408114</v>
      </c>
      <c r="J395" s="1"/>
      <c r="K395" s="1"/>
    </row>
    <row r="396" ht="14.25" customHeight="1">
      <c r="A396" s="1" t="s">
        <v>2280</v>
      </c>
      <c r="B396" s="1">
        <v>9.0E7</v>
      </c>
      <c r="C396" s="1">
        <v>1.11544445E8</v>
      </c>
      <c r="F396" s="4">
        <v>2.1544445E7</v>
      </c>
      <c r="G396" s="4">
        <f t="array" ref="G396">IFERROR((C396-B396)/C396*100, "N/A")</f>
        <v>19.31467318</v>
      </c>
      <c r="J396" s="1"/>
      <c r="K396" s="1"/>
    </row>
    <row r="397" ht="14.25" customHeight="1">
      <c r="A397" s="1" t="s">
        <v>2285</v>
      </c>
      <c r="B397" s="1">
        <v>8.5E7</v>
      </c>
      <c r="C397" s="1">
        <v>1.1270347E8</v>
      </c>
      <c r="F397" s="4">
        <v>2.770347E7</v>
      </c>
      <c r="G397" s="4">
        <f t="array" ref="G397">IFERROR((C397-B397)/C397*100, "N/A")</f>
        <v>24.5808492</v>
      </c>
      <c r="J397" s="1"/>
      <c r="K397" s="1"/>
    </row>
    <row r="398" ht="14.25" customHeight="1">
      <c r="A398" s="1" t="s">
        <v>2291</v>
      </c>
      <c r="B398" s="1">
        <v>8.5E7</v>
      </c>
      <c r="C398" s="1">
        <v>1.17144465E8</v>
      </c>
      <c r="F398" s="4">
        <v>3.2144465E7</v>
      </c>
      <c r="G398" s="4">
        <f t="array" ref="G398">IFERROR((C398-B398)/C398*100, "N/A")</f>
        <v>27.44002032</v>
      </c>
      <c r="J398" s="1"/>
      <c r="K398" s="1"/>
    </row>
    <row r="399" ht="14.25" customHeight="1">
      <c r="A399" s="1" t="s">
        <v>2296</v>
      </c>
      <c r="B399" s="1">
        <v>8.5E7</v>
      </c>
      <c r="C399" s="1">
        <v>8.4303558E7</v>
      </c>
      <c r="F399" s="4">
        <v>-696442.0</v>
      </c>
      <c r="G399" s="4">
        <f t="array" ref="G399">IFERROR((C399-B399)/C399*100, "N/A")</f>
        <v>-0.8261122265</v>
      </c>
      <c r="J399" s="1"/>
      <c r="K399" s="1"/>
    </row>
    <row r="400" ht="14.25" customHeight="1">
      <c r="A400" s="1" t="s">
        <v>2302</v>
      </c>
      <c r="B400" s="1">
        <v>8.5E7</v>
      </c>
      <c r="C400" s="1">
        <v>1.50832203E8</v>
      </c>
      <c r="F400" s="4">
        <v>6.5832203E7</v>
      </c>
      <c r="G400" s="4">
        <f t="array" ref="G400">IFERROR((C400-B400)/C400*100, "N/A")</f>
        <v>43.64598653</v>
      </c>
      <c r="J400" s="1"/>
      <c r="K400" s="1"/>
    </row>
    <row r="401" ht="14.25" customHeight="1">
      <c r="A401" s="1" t="s">
        <v>2306</v>
      </c>
      <c r="B401" s="1">
        <v>6.8E7</v>
      </c>
      <c r="C401" s="1">
        <v>5.1396781E7</v>
      </c>
      <c r="F401" s="4">
        <v>-1.6603219E7</v>
      </c>
      <c r="G401" s="4">
        <f t="array" ref="G401">IFERROR((C401-B401)/C401*100, "N/A")</f>
        <v>-32.30400558</v>
      </c>
      <c r="J401" s="1"/>
      <c r="K401" s="1"/>
    </row>
    <row r="402" ht="14.25" customHeight="1">
      <c r="A402" s="1" t="s">
        <v>2312</v>
      </c>
      <c r="B402" s="1">
        <v>8.5E7</v>
      </c>
      <c r="C402" s="1">
        <v>4.7592825E7</v>
      </c>
      <c r="F402" s="4">
        <v>-3.7407175E7</v>
      </c>
      <c r="G402" s="4">
        <f t="array" ref="G402">IFERROR((C402-B402)/C402*100, "N/A")</f>
        <v>-78.59834965</v>
      </c>
      <c r="J402" s="1"/>
      <c r="K402" s="1"/>
    </row>
    <row r="403" ht="14.25" customHeight="1">
      <c r="A403" s="1" t="s">
        <v>2315</v>
      </c>
      <c r="B403" s="1">
        <v>7.0E7</v>
      </c>
      <c r="C403" s="1">
        <v>5.0016394E7</v>
      </c>
      <c r="F403" s="4">
        <v>-1.9983606E7</v>
      </c>
      <c r="G403" s="4">
        <f t="array" ref="G403">IFERROR((C403-B403)/C403*100, "N/A")</f>
        <v>-39.95411185</v>
      </c>
      <c r="J403" s="1"/>
      <c r="K403" s="1"/>
    </row>
    <row r="404" ht="14.25" customHeight="1">
      <c r="A404" s="1" t="s">
        <v>2321</v>
      </c>
      <c r="B404" s="1">
        <v>8.5E7</v>
      </c>
      <c r="C404" s="1">
        <v>5.7010853E7</v>
      </c>
      <c r="F404" s="4">
        <v>-2.7989147E7</v>
      </c>
      <c r="G404" s="4">
        <f t="array" ref="G404">IFERROR((C404-B404)/C404*100, "N/A")</f>
        <v>-49.09441892</v>
      </c>
      <c r="J404" s="1"/>
      <c r="K404" s="1"/>
    </row>
    <row r="405" ht="14.25" customHeight="1">
      <c r="A405" s="1" t="s">
        <v>2326</v>
      </c>
      <c r="B405" s="1">
        <v>8.5E7</v>
      </c>
      <c r="C405" s="1">
        <v>6.2494975E7</v>
      </c>
      <c r="F405" s="4">
        <v>-2.2505025E7</v>
      </c>
      <c r="G405" s="4">
        <f t="array" ref="G405">IFERROR((C405-B405)/C405*100, "N/A")</f>
        <v>-36.01093528</v>
      </c>
      <c r="J405" s="1"/>
      <c r="K405" s="1"/>
    </row>
    <row r="406" ht="14.25" customHeight="1">
      <c r="A406" s="1" t="s">
        <v>2333</v>
      </c>
      <c r="B406" s="1">
        <v>1.0E8</v>
      </c>
      <c r="C406" s="1">
        <v>4.6440491E7</v>
      </c>
      <c r="F406" s="4">
        <v>-5.3559509E7</v>
      </c>
      <c r="G406" s="4">
        <f t="array" ref="G406">IFERROR((C406-B406)/C406*100, "N/A")</f>
        <v>-115.3293341</v>
      </c>
      <c r="J406" s="1"/>
      <c r="K406" s="1"/>
    </row>
    <row r="407" ht="14.25" customHeight="1">
      <c r="A407" s="1" t="s">
        <v>2339</v>
      </c>
      <c r="B407" s="1">
        <v>9.0E7</v>
      </c>
      <c r="C407" s="1">
        <v>4.4606335E7</v>
      </c>
      <c r="F407" s="4">
        <v>-4.5393665E7</v>
      </c>
      <c r="G407" s="4">
        <f t="array" ref="G407">IFERROR((C407-B407)/C407*100, "N/A")</f>
        <v>-101.7650632</v>
      </c>
      <c r="J407" s="1"/>
      <c r="K407" s="1"/>
    </row>
    <row r="408" ht="14.25" customHeight="1">
      <c r="A408" s="1" t="s">
        <v>2343</v>
      </c>
      <c r="B408" s="1">
        <v>8.5E7</v>
      </c>
      <c r="C408" s="1">
        <v>4.0048332E7</v>
      </c>
      <c r="F408" s="4">
        <v>-4.4951668E7</v>
      </c>
      <c r="G408" s="4">
        <f t="array" ref="G408">IFERROR((C408-B408)/C408*100, "N/A")</f>
        <v>-112.2435461</v>
      </c>
      <c r="J408" s="1"/>
      <c r="K408" s="1"/>
    </row>
    <row r="409" ht="14.25" customHeight="1">
      <c r="A409" s="1" t="s">
        <v>2350</v>
      </c>
      <c r="B409" s="1">
        <v>8.5E7</v>
      </c>
      <c r="C409" s="1">
        <v>6.493367E7</v>
      </c>
      <c r="F409" s="4">
        <v>-2.006633E7</v>
      </c>
      <c r="G409" s="4">
        <f t="array" ref="G409">IFERROR((C409-B409)/C409*100, "N/A")</f>
        <v>-30.90281205</v>
      </c>
      <c r="J409" s="1"/>
      <c r="K409" s="1"/>
    </row>
    <row r="410" ht="14.25" customHeight="1">
      <c r="A410" s="1" t="s">
        <v>2355</v>
      </c>
      <c r="B410" s="1">
        <v>6.0E7</v>
      </c>
      <c r="C410" s="1">
        <v>3.149427E7</v>
      </c>
      <c r="F410" s="4">
        <v>-2.850573E7</v>
      </c>
      <c r="G410" s="4">
        <f t="array" ref="G410">IFERROR((C410-B410)/C410*100, "N/A")</f>
        <v>-90.51084531</v>
      </c>
      <c r="J410" s="1"/>
      <c r="K410" s="1"/>
    </row>
    <row r="411" ht="14.25" customHeight="1">
      <c r="A411" s="1" t="s">
        <v>2363</v>
      </c>
      <c r="B411" s="1">
        <v>6.0E7</v>
      </c>
      <c r="C411" s="1">
        <v>3.111126E7</v>
      </c>
      <c r="F411" s="4">
        <v>-2.888874E7</v>
      </c>
      <c r="G411" s="4">
        <f t="array" ref="G411">IFERROR((C411-B411)/C411*100, "N/A")</f>
        <v>-92.8562199</v>
      </c>
      <c r="J411" s="1"/>
      <c r="K411" s="1"/>
    </row>
    <row r="412" ht="14.25" customHeight="1">
      <c r="A412" s="1" t="s">
        <v>2369</v>
      </c>
      <c r="B412" s="1">
        <v>6.5E7</v>
      </c>
      <c r="C412" s="1">
        <v>1.23307945E8</v>
      </c>
      <c r="F412" s="4">
        <v>5.8307945E7</v>
      </c>
      <c r="G412" s="4">
        <f t="array" ref="G412">IFERROR((C412-B412)/C412*100, "N/A")</f>
        <v>47.28644614</v>
      </c>
      <c r="J412" s="1"/>
      <c r="K412" s="1"/>
    </row>
    <row r="413" ht="14.25" customHeight="1">
      <c r="A413" s="1" t="s">
        <v>2376</v>
      </c>
      <c r="B413" s="1">
        <v>8.4E7</v>
      </c>
      <c r="C413" s="1">
        <v>1.53288182E8</v>
      </c>
      <c r="F413" s="4">
        <v>6.9288182E7</v>
      </c>
      <c r="G413" s="4">
        <f t="array" ref="G413">IFERROR((C413-B413)/C413*100, "N/A")</f>
        <v>45.20125498</v>
      </c>
      <c r="J413" s="1"/>
      <c r="K413" s="1"/>
    </row>
    <row r="414" ht="14.25" customHeight="1">
      <c r="A414" s="1" t="s">
        <v>2384</v>
      </c>
      <c r="B414" s="1">
        <v>3.5E7</v>
      </c>
      <c r="C414" s="1">
        <v>1.3401683E7</v>
      </c>
      <c r="F414" s="4">
        <v>-2.1598317E7</v>
      </c>
      <c r="G414" s="4">
        <f t="array" ref="G414">IFERROR((C414-B414)/C414*100, "N/A")</f>
        <v>-161.1612288</v>
      </c>
      <c r="J414" s="1"/>
      <c r="K414" s="1"/>
    </row>
    <row r="415" ht="14.25" customHeight="1">
      <c r="A415" s="1" t="s">
        <v>2390</v>
      </c>
      <c r="B415" s="1">
        <v>7.0E7</v>
      </c>
      <c r="C415" s="1">
        <v>1.37340146E8</v>
      </c>
      <c r="F415" s="4">
        <v>6.7340146E7</v>
      </c>
      <c r="G415" s="4">
        <f t="array" ref="G415">IFERROR((C415-B415)/C415*100, "N/A")</f>
        <v>49.03165459</v>
      </c>
      <c r="J415" s="1"/>
      <c r="K415" s="1"/>
    </row>
    <row r="416" ht="14.25" customHeight="1">
      <c r="A416" s="1" t="s">
        <v>2396</v>
      </c>
      <c r="B416" s="1">
        <v>8.5E7</v>
      </c>
      <c r="C416" s="1">
        <v>4.3575716E7</v>
      </c>
      <c r="F416" s="4">
        <v>-4.1424284E7</v>
      </c>
      <c r="G416" s="4">
        <f t="array" ref="G416">IFERROR((C416-B416)/C416*100, "N/A")</f>
        <v>-95.06277304</v>
      </c>
      <c r="J416" s="1"/>
      <c r="K416" s="1"/>
    </row>
    <row r="417" ht="14.25" customHeight="1">
      <c r="A417" s="1" t="s">
        <v>2401</v>
      </c>
      <c r="B417" s="1">
        <v>8.5E7</v>
      </c>
      <c r="C417" s="1">
        <v>8.0170146E7</v>
      </c>
      <c r="F417" s="4">
        <v>-4829854.0</v>
      </c>
      <c r="G417" s="4">
        <f t="array" ref="G417">IFERROR((C417-B417)/C417*100, "N/A")</f>
        <v>-6.024504433</v>
      </c>
      <c r="J417" s="1"/>
      <c r="K417" s="1"/>
    </row>
    <row r="418" ht="14.25" customHeight="1">
      <c r="A418" s="1" t="s">
        <v>2405</v>
      </c>
      <c r="B418" s="1">
        <v>8.5E7</v>
      </c>
      <c r="C418" s="1">
        <v>7.575467E7</v>
      </c>
      <c r="F418" s="4">
        <v>-9245330.0</v>
      </c>
      <c r="G418" s="4">
        <f t="array" ref="G418">IFERROR((C418-B418)/C418*100, "N/A")</f>
        <v>-12.20430371</v>
      </c>
      <c r="J418" s="1"/>
      <c r="K418" s="1"/>
    </row>
    <row r="419" ht="14.25" customHeight="1">
      <c r="A419" s="1" t="s">
        <v>2412</v>
      </c>
      <c r="B419" s="1">
        <v>6.5E7</v>
      </c>
      <c r="C419" s="1">
        <v>3.3048353E7</v>
      </c>
      <c r="F419" s="4">
        <v>-3.1951647E7</v>
      </c>
      <c r="G419" s="4">
        <f t="array" ref="G419">IFERROR((C419-B419)/C419*100, "N/A")</f>
        <v>-96.68151088</v>
      </c>
      <c r="J419" s="1"/>
      <c r="K419" s="1"/>
    </row>
    <row r="420" ht="14.25" customHeight="1">
      <c r="A420" s="1" t="s">
        <v>2417</v>
      </c>
      <c r="B420" s="1">
        <v>8.2E7</v>
      </c>
      <c r="C420" s="1">
        <v>3.4543701E7</v>
      </c>
      <c r="F420" s="4">
        <v>-4.7456299E7</v>
      </c>
      <c r="G420" s="4">
        <f t="array" ref="G420">IFERROR((C420-B420)/C420*100, "N/A")</f>
        <v>-137.3804706</v>
      </c>
      <c r="J420" s="1"/>
      <c r="K420" s="1"/>
    </row>
    <row r="421" ht="14.25" customHeight="1">
      <c r="A421" s="1" t="s">
        <v>2421</v>
      </c>
      <c r="B421" s="1">
        <v>8.1E7</v>
      </c>
      <c r="C421" s="1">
        <v>2.4258958E8</v>
      </c>
      <c r="F421" s="4">
        <v>1.6158958E8</v>
      </c>
      <c r="G421" s="4">
        <f t="array" ref="G421">IFERROR((C421-B421)/C421*100, "N/A")</f>
        <v>66.61027238</v>
      </c>
      <c r="J421" s="1"/>
      <c r="K421" s="1"/>
    </row>
    <row r="422" ht="14.25" customHeight="1">
      <c r="A422" s="1" t="s">
        <v>2425</v>
      </c>
      <c r="B422" s="1">
        <v>8.0E7</v>
      </c>
      <c r="C422" s="1">
        <v>1.02981571E8</v>
      </c>
      <c r="F422" s="4">
        <v>2.2981571E7</v>
      </c>
      <c r="G422" s="4">
        <f t="array" ref="G422">IFERROR((C422-B422)/C422*100, "N/A")</f>
        <v>22.31619772</v>
      </c>
      <c r="J422" s="1"/>
      <c r="K422" s="1"/>
    </row>
    <row r="423" ht="14.25" customHeight="1">
      <c r="A423" s="1" t="s">
        <v>2428</v>
      </c>
      <c r="B423" s="1">
        <v>8.0E7</v>
      </c>
      <c r="C423" s="1">
        <v>1.80965237E8</v>
      </c>
      <c r="F423" s="4">
        <v>1.00965237E8</v>
      </c>
      <c r="G423" s="4">
        <f t="array" ref="G423">IFERROR((C423-B423)/C423*100, "N/A")</f>
        <v>55.79261447</v>
      </c>
      <c r="J423" s="1"/>
      <c r="K423" s="1"/>
    </row>
    <row r="424" ht="14.25" customHeight="1">
      <c r="A424" s="1" t="s">
        <v>2432</v>
      </c>
      <c r="B424" s="1">
        <v>7.8E7</v>
      </c>
      <c r="C424" s="1">
        <v>4.07999255E8</v>
      </c>
      <c r="F424" s="4">
        <v>3.29999255E8</v>
      </c>
      <c r="G424" s="4">
        <f t="array" ref="G424">IFERROR((C424-B424)/C424*100, "N/A")</f>
        <v>80.88231803</v>
      </c>
      <c r="J424" s="1"/>
      <c r="K424" s="1"/>
    </row>
    <row r="425" ht="14.25" customHeight="1">
      <c r="A425" s="1" t="s">
        <v>2437</v>
      </c>
      <c r="B425" s="1">
        <v>8.0E7</v>
      </c>
      <c r="C425" s="1">
        <v>2.54455986E8</v>
      </c>
      <c r="F425" s="4">
        <v>1.74455986E8</v>
      </c>
      <c r="G425" s="4">
        <f t="array" ref="G425">IFERROR((C425-B425)/C425*100, "N/A")</f>
        <v>68.56037806</v>
      </c>
      <c r="J425" s="1"/>
      <c r="K425" s="1"/>
    </row>
    <row r="426" ht="14.25" customHeight="1">
      <c r="A426" s="1" t="s">
        <v>2442</v>
      </c>
      <c r="B426" s="1">
        <v>8.0E7</v>
      </c>
      <c r="C426" s="1">
        <v>1.62831698E8</v>
      </c>
      <c r="F426" s="4">
        <v>8.2831698E7</v>
      </c>
      <c r="G426" s="4">
        <f t="array" ref="G426">IFERROR((C426-B426)/C426*100, "N/A")</f>
        <v>50.86951682</v>
      </c>
      <c r="J426" s="1"/>
      <c r="K426" s="1"/>
    </row>
    <row r="427" ht="14.25" customHeight="1">
      <c r="A427" s="1" t="s">
        <v>2446</v>
      </c>
      <c r="B427" s="1">
        <v>8.0E7</v>
      </c>
      <c r="C427" s="1">
        <v>1.5501934E8</v>
      </c>
      <c r="F427" s="4">
        <v>7.501934E7</v>
      </c>
      <c r="G427" s="4">
        <f t="array" ref="G427">IFERROR((C427-B427)/C427*100, "N/A")</f>
        <v>48.39353593</v>
      </c>
      <c r="J427" s="1"/>
      <c r="K427" s="1"/>
    </row>
    <row r="428" ht="14.25" customHeight="1">
      <c r="A428" s="1" t="s">
        <v>2449</v>
      </c>
      <c r="B428" s="1">
        <v>8.0E7</v>
      </c>
      <c r="C428" s="1">
        <v>1.45771527E8</v>
      </c>
      <c r="F428" s="4">
        <v>6.5771527E7</v>
      </c>
      <c r="G428" s="4">
        <f t="array" ref="G428">IFERROR((C428-B428)/C428*100, "N/A")</f>
        <v>45.11959801</v>
      </c>
      <c r="J428" s="1"/>
      <c r="K428" s="1"/>
    </row>
    <row r="429" ht="14.25" customHeight="1">
      <c r="A429" s="1" t="s">
        <v>2456</v>
      </c>
      <c r="B429" s="1">
        <v>7.5E7</v>
      </c>
      <c r="C429" s="1">
        <v>1.40459099E8</v>
      </c>
      <c r="F429" s="4">
        <v>6.5459099E7</v>
      </c>
      <c r="G429" s="4">
        <f t="array" ref="G429">IFERROR((C429-B429)/C429*100, "N/A")</f>
        <v>46.60367286</v>
      </c>
      <c r="J429" s="1"/>
      <c r="K429" s="1"/>
    </row>
    <row r="430" ht="14.25" customHeight="1">
      <c r="A430" s="1" t="s">
        <v>2460</v>
      </c>
      <c r="B430" s="1">
        <v>8.4E7</v>
      </c>
      <c r="C430" s="1">
        <v>5.3215979E7</v>
      </c>
      <c r="F430" s="4">
        <v>-3.0784021E7</v>
      </c>
      <c r="G430" s="4">
        <f t="array" ref="G430">IFERROR((C430-B430)/C430*100, "N/A")</f>
        <v>-57.84732627</v>
      </c>
      <c r="J430" s="1"/>
      <c r="K430" s="1"/>
    </row>
    <row r="431" ht="14.25" customHeight="1">
      <c r="A431" s="1" t="s">
        <v>2464</v>
      </c>
      <c r="B431" s="1">
        <v>8.2E7</v>
      </c>
      <c r="C431" s="1">
        <v>1.58115031E8</v>
      </c>
      <c r="F431" s="4">
        <v>7.6115031E7</v>
      </c>
      <c r="G431" s="4">
        <f t="array" ref="G431">IFERROR((C431-B431)/C431*100, "N/A")</f>
        <v>48.13902291</v>
      </c>
      <c r="J431" s="1"/>
      <c r="K431" s="1"/>
    </row>
    <row r="432" ht="14.25" customHeight="1">
      <c r="A432" s="1" t="s">
        <v>2470</v>
      </c>
      <c r="B432" s="1">
        <v>7.5E7</v>
      </c>
      <c r="C432" s="1">
        <v>1.33103929E8</v>
      </c>
      <c r="F432" s="4">
        <v>5.8103929E7</v>
      </c>
      <c r="G432" s="4">
        <f t="array" ref="G432">IFERROR((C432-B432)/C432*100, "N/A")</f>
        <v>43.65305325</v>
      </c>
      <c r="J432" s="1"/>
      <c r="K432" s="1"/>
    </row>
    <row r="433" ht="14.25" customHeight="1">
      <c r="A433" s="1" t="s">
        <v>2474</v>
      </c>
      <c r="B433" s="1">
        <v>8.0E7</v>
      </c>
      <c r="C433" s="1">
        <v>1.33668525E8</v>
      </c>
      <c r="F433" s="4">
        <v>5.3668525E7</v>
      </c>
      <c r="G433" s="4">
        <f t="array" ref="G433">IFERROR((C433-B433)/C433*100, "N/A")</f>
        <v>40.15045801</v>
      </c>
      <c r="J433" s="1"/>
      <c r="K433" s="1"/>
    </row>
    <row r="434" ht="14.25" customHeight="1">
      <c r="A434" s="1" t="s">
        <v>2477</v>
      </c>
      <c r="B434" s="1">
        <v>8.0E7</v>
      </c>
      <c r="C434" s="1">
        <v>1.30313314E8</v>
      </c>
      <c r="F434" s="4">
        <v>5.0313314E7</v>
      </c>
      <c r="G434" s="4">
        <f t="array" ref="G434">IFERROR((C434-B434)/C434*100, "N/A")</f>
        <v>38.60949619</v>
      </c>
      <c r="J434" s="1"/>
      <c r="K434" s="1"/>
    </row>
    <row r="435" ht="14.25" customHeight="1">
      <c r="A435" s="1" t="s">
        <v>2480</v>
      </c>
      <c r="B435" s="1">
        <v>8.0E7</v>
      </c>
      <c r="C435" s="1">
        <v>1.2459096E8</v>
      </c>
      <c r="F435" s="4">
        <v>4.459096E7</v>
      </c>
      <c r="G435" s="4">
        <f t="array" ref="G435">IFERROR((C435-B435)/C435*100, "N/A")</f>
        <v>35.78988395</v>
      </c>
      <c r="J435" s="1"/>
      <c r="K435" s="1"/>
    </row>
    <row r="436" ht="14.25" customHeight="1">
      <c r="A436" s="1" t="s">
        <v>2484</v>
      </c>
      <c r="B436" s="1">
        <v>8.0E7</v>
      </c>
      <c r="C436" s="1">
        <v>1.27968405E8</v>
      </c>
      <c r="F436" s="4">
        <v>4.7968405E7</v>
      </c>
      <c r="G436" s="4">
        <f t="array" ref="G436">IFERROR((C436-B436)/C436*100, "N/A")</f>
        <v>37.48456894</v>
      </c>
      <c r="J436" s="1"/>
      <c r="K436" s="1"/>
    </row>
    <row r="437" ht="14.25" customHeight="1">
      <c r="A437" s="1" t="s">
        <v>2490</v>
      </c>
      <c r="B437" s="1">
        <v>8.0E7</v>
      </c>
      <c r="C437" s="1">
        <v>1.20136047E8</v>
      </c>
      <c r="F437" s="4">
        <v>4.0136047E7</v>
      </c>
      <c r="G437" s="4">
        <f t="array" ref="G437">IFERROR((C437-B437)/C437*100, "N/A")</f>
        <v>33.40882941</v>
      </c>
      <c r="J437" s="1"/>
      <c r="K437" s="1"/>
    </row>
    <row r="438" ht="14.25" customHeight="1">
      <c r="A438" s="1" t="s">
        <v>2494</v>
      </c>
      <c r="B438" s="1">
        <v>7.5E7</v>
      </c>
      <c r="C438" s="1">
        <v>1.28200012E8</v>
      </c>
      <c r="F438" s="4">
        <v>5.3200012E7</v>
      </c>
      <c r="G438" s="4">
        <f t="array" ref="G438">IFERROR((C438-B438)/C438*100, "N/A")</f>
        <v>41.49766538</v>
      </c>
      <c r="J438" s="1"/>
      <c r="K438" s="1"/>
    </row>
    <row r="439" ht="14.25" customHeight="1">
      <c r="A439" s="1" t="s">
        <v>2499</v>
      </c>
      <c r="B439" s="1">
        <v>8.0E7</v>
      </c>
      <c r="C439" s="1">
        <v>1.12225777E8</v>
      </c>
      <c r="F439" s="4">
        <v>3.2225777E7</v>
      </c>
      <c r="G439" s="4">
        <f t="array" ref="G439">IFERROR((C439-B439)/C439*100, "N/A")</f>
        <v>28.71512932</v>
      </c>
      <c r="J439" s="1"/>
      <c r="K439" s="1"/>
    </row>
    <row r="440" ht="14.25" customHeight="1">
      <c r="A440" s="1" t="s">
        <v>2503</v>
      </c>
      <c r="B440" s="1">
        <v>8.0E7</v>
      </c>
      <c r="C440" s="1">
        <v>1.09993847E8</v>
      </c>
      <c r="F440" s="4">
        <v>2.9993847E7</v>
      </c>
      <c r="G440" s="4">
        <f t="array" ref="G440">IFERROR((C440-B440)/C440*100, "N/A")</f>
        <v>27.26865895</v>
      </c>
      <c r="J440" s="1"/>
      <c r="K440" s="1"/>
    </row>
    <row r="441" ht="14.25" customHeight="1">
      <c r="A441" s="1" t="s">
        <v>2509</v>
      </c>
      <c r="B441" s="1">
        <v>8.0E7</v>
      </c>
      <c r="C441" s="1">
        <v>1.04054514E8</v>
      </c>
      <c r="F441" s="4">
        <v>2.4054514E7</v>
      </c>
      <c r="G441" s="4">
        <f t="array" ref="G441">IFERROR((C441-B441)/C441*100, "N/A")</f>
        <v>23.11722296</v>
      </c>
      <c r="J441" s="1"/>
      <c r="K441" s="1"/>
    </row>
    <row r="442" ht="14.25" customHeight="1">
      <c r="A442" s="1" t="s">
        <v>2514</v>
      </c>
      <c r="B442" s="1">
        <v>8.0E7</v>
      </c>
      <c r="C442" s="1">
        <v>1.03028109E8</v>
      </c>
      <c r="F442" s="4">
        <v>2.3028109E7</v>
      </c>
      <c r="G442" s="4">
        <f t="array" ref="G442">IFERROR((C442-B442)/C442*100, "N/A")</f>
        <v>22.35128765</v>
      </c>
      <c r="J442" s="1"/>
      <c r="K442" s="1"/>
    </row>
    <row r="443" ht="14.25" customHeight="1">
      <c r="A443" s="1" t="s">
        <v>2518</v>
      </c>
      <c r="B443" s="1">
        <v>7.5E7</v>
      </c>
      <c r="C443" s="1">
        <v>1.01087161E8</v>
      </c>
      <c r="F443" s="4">
        <v>2.6087161E7</v>
      </c>
      <c r="G443" s="4">
        <f t="array" ref="G443">IFERROR((C443-B443)/C443*100, "N/A")</f>
        <v>25.80660169</v>
      </c>
      <c r="J443" s="1"/>
      <c r="K443" s="1"/>
    </row>
    <row r="444" ht="14.25" customHeight="1">
      <c r="A444" s="1" t="s">
        <v>2524</v>
      </c>
      <c r="B444" s="1">
        <v>8.0E7</v>
      </c>
      <c r="C444" s="1">
        <v>1.01111837E8</v>
      </c>
      <c r="F444" s="4">
        <v>2.1111837E7</v>
      </c>
      <c r="G444" s="4">
        <f t="array" ref="G444">IFERROR((C444-B444)/C444*100, "N/A")</f>
        <v>20.87968889</v>
      </c>
      <c r="J444" s="1"/>
      <c r="K444" s="1"/>
    </row>
    <row r="445" ht="14.25" customHeight="1">
      <c r="A445" s="1" t="s">
        <v>2530</v>
      </c>
      <c r="B445" s="1">
        <v>7.9E7</v>
      </c>
      <c r="C445" s="1">
        <v>9.5632614E7</v>
      </c>
      <c r="F445" s="4">
        <v>1.6632614E7</v>
      </c>
      <c r="G445" s="4">
        <f t="array" ref="G445">IFERROR((C445-B445)/C445*100, "N/A")</f>
        <v>17.39219844</v>
      </c>
      <c r="J445" s="1"/>
      <c r="K445" s="1"/>
    </row>
    <row r="446" ht="14.25" customHeight="1">
      <c r="A446" s="1" t="s">
        <v>2535</v>
      </c>
      <c r="B446" s="1">
        <v>8.0E7</v>
      </c>
      <c r="C446" s="1">
        <v>9.4822707E7</v>
      </c>
      <c r="F446" s="4">
        <v>1.4822707E7</v>
      </c>
      <c r="G446" s="4">
        <f t="array" ref="G446">IFERROR((C446-B446)/C446*100, "N/A")</f>
        <v>15.63202261</v>
      </c>
      <c r="J446" s="1"/>
      <c r="K446" s="1"/>
    </row>
    <row r="447" ht="14.25" customHeight="1">
      <c r="A447" s="1" t="s">
        <v>2539</v>
      </c>
      <c r="B447" s="1">
        <v>8.0E7</v>
      </c>
      <c r="C447" s="1">
        <v>9.2969824E7</v>
      </c>
      <c r="F447" s="4">
        <v>1.2969824E7</v>
      </c>
      <c r="G447" s="4">
        <f t="array" ref="G447">IFERROR((C447-B447)/C447*100, "N/A")</f>
        <v>13.9505739</v>
      </c>
      <c r="J447" s="1"/>
      <c r="K447" s="1"/>
    </row>
    <row r="448" ht="14.25" customHeight="1">
      <c r="A448" s="1" t="s">
        <v>2545</v>
      </c>
      <c r="B448" s="1">
        <v>8.0E7</v>
      </c>
      <c r="C448" s="1">
        <v>9.1188905E7</v>
      </c>
      <c r="F448" s="4">
        <v>1.1188905E7</v>
      </c>
      <c r="G448" s="4">
        <f t="array" ref="G448">IFERROR((C448-B448)/C448*100, "N/A")</f>
        <v>12.2700289</v>
      </c>
      <c r="J448" s="1"/>
      <c r="K448" s="1"/>
    </row>
    <row r="449" ht="14.25" customHeight="1">
      <c r="A449" s="1" t="s">
        <v>2552</v>
      </c>
      <c r="B449" s="1">
        <v>8.0E7</v>
      </c>
      <c r="C449" s="1">
        <v>9.0443603E7</v>
      </c>
      <c r="F449" s="4">
        <v>1.0443603E7</v>
      </c>
      <c r="G449" s="4">
        <f t="array" ref="G449">IFERROR((C449-B449)/C449*100, "N/A")</f>
        <v>11.54708863</v>
      </c>
      <c r="J449" s="1"/>
      <c r="K449" s="1"/>
    </row>
    <row r="450" ht="14.25" customHeight="1">
      <c r="A450" s="1" t="s">
        <v>2557</v>
      </c>
      <c r="B450" s="1">
        <v>6.5E7</v>
      </c>
      <c r="C450" s="1">
        <v>8.2226474E7</v>
      </c>
      <c r="F450" s="4">
        <v>1.7226474E7</v>
      </c>
      <c r="G450" s="4">
        <f t="array" ref="G450">IFERROR((C450-B450)/C450*100, "N/A")</f>
        <v>20.95003368</v>
      </c>
      <c r="J450" s="1"/>
      <c r="K450" s="1"/>
    </row>
    <row r="451" ht="14.25" customHeight="1">
      <c r="A451" s="1" t="s">
        <v>2565</v>
      </c>
      <c r="B451" s="1">
        <v>8.0E7</v>
      </c>
      <c r="C451" s="1">
        <v>7.9363785E7</v>
      </c>
      <c r="F451" s="4">
        <v>-636215.0</v>
      </c>
      <c r="G451" s="4">
        <f t="array" ref="G451">IFERROR((C451-B451)/C451*100, "N/A")</f>
        <v>-0.801643974</v>
      </c>
      <c r="J451" s="1"/>
      <c r="K451" s="1"/>
    </row>
    <row r="452" ht="14.25" customHeight="1">
      <c r="A452" s="1" t="s">
        <v>2570</v>
      </c>
      <c r="B452" s="1">
        <v>7.5E7</v>
      </c>
      <c r="C452" s="1">
        <v>7.6081498E7</v>
      </c>
      <c r="F452" s="4">
        <v>1081498.0</v>
      </c>
      <c r="G452" s="4">
        <f t="array" ref="G452">IFERROR((C452-B452)/C452*100, "N/A")</f>
        <v>1.421499351</v>
      </c>
      <c r="J452" s="1"/>
      <c r="K452" s="1"/>
    </row>
    <row r="453" ht="14.25" customHeight="1">
      <c r="A453" s="1" t="s">
        <v>2576</v>
      </c>
      <c r="B453" s="1">
        <v>6.8E7</v>
      </c>
      <c r="C453" s="1">
        <v>8.5707116E7</v>
      </c>
      <c r="F453" s="4">
        <v>1.7707116E7</v>
      </c>
      <c r="G453" s="4">
        <f t="array" ref="G453">IFERROR((C453-B453)/C453*100, "N/A")</f>
        <v>20.66003014</v>
      </c>
      <c r="J453" s="1"/>
      <c r="K453" s="1"/>
    </row>
    <row r="454" ht="14.25" customHeight="1">
      <c r="A454" s="1" t="s">
        <v>2581</v>
      </c>
      <c r="B454" s="1">
        <v>7.0E7</v>
      </c>
      <c r="C454" s="1">
        <v>7.4329966E7</v>
      </c>
      <c r="F454" s="4">
        <v>4329966.0</v>
      </c>
      <c r="G454" s="4">
        <f t="array" ref="G454">IFERROR((C454-B454)/C454*100, "N/A")</f>
        <v>5.825330258</v>
      </c>
      <c r="J454" s="1"/>
      <c r="K454" s="1"/>
    </row>
    <row r="455" ht="14.25" customHeight="1">
      <c r="A455" s="1" t="s">
        <v>2586</v>
      </c>
      <c r="B455" s="1">
        <v>8.0E7</v>
      </c>
      <c r="C455" s="1">
        <v>1.00169068E8</v>
      </c>
      <c r="F455" s="4">
        <v>2.0169068E7</v>
      </c>
      <c r="G455" s="4">
        <f t="array" ref="G455">IFERROR((C455-B455)/C455*100, "N/A")</f>
        <v>20.13502611</v>
      </c>
      <c r="J455" s="1"/>
      <c r="K455" s="1"/>
    </row>
    <row r="456" ht="14.25" customHeight="1">
      <c r="A456" s="1" t="s">
        <v>2592</v>
      </c>
      <c r="B456" s="1">
        <v>8.0E7</v>
      </c>
      <c r="C456" s="1">
        <v>7.321531E7</v>
      </c>
      <c r="F456" s="4">
        <v>-6784690.0</v>
      </c>
      <c r="G456" s="4">
        <f t="array" ref="G456">IFERROR((C456-B456)/C456*100, "N/A")</f>
        <v>-9.266764014</v>
      </c>
      <c r="J456" s="1"/>
      <c r="K456" s="1"/>
    </row>
    <row r="457" ht="14.25" customHeight="1">
      <c r="A457" s="1" t="s">
        <v>2598</v>
      </c>
      <c r="B457" s="1">
        <v>8.0E7</v>
      </c>
      <c r="C457" s="1">
        <v>8.0360866E7</v>
      </c>
      <c r="F457" s="4">
        <v>360866.0</v>
      </c>
      <c r="G457" s="4">
        <f t="array" ref="G457">IFERROR((C457-B457)/C457*100, "N/A")</f>
        <v>0.449056883</v>
      </c>
      <c r="J457" s="1"/>
      <c r="K457" s="1"/>
    </row>
    <row r="458" ht="14.25" customHeight="1">
      <c r="A458" s="1" t="s">
        <v>2605</v>
      </c>
      <c r="B458" s="1">
        <v>8.0E7</v>
      </c>
      <c r="C458" s="1">
        <v>6.910291E7</v>
      </c>
      <c r="F458" s="4">
        <v>-1.089709E7</v>
      </c>
      <c r="G458" s="4">
        <f t="array" ref="G458">IFERROR((C458-B458)/C458*100, "N/A")</f>
        <v>-15.76936485</v>
      </c>
      <c r="J458" s="1"/>
      <c r="K458" s="1"/>
    </row>
    <row r="459" ht="14.25" customHeight="1">
      <c r="A459" s="1" t="s">
        <v>2611</v>
      </c>
      <c r="B459" s="1">
        <v>8.0E7</v>
      </c>
      <c r="C459" s="1">
        <v>6.5948711E7</v>
      </c>
      <c r="F459" s="4">
        <v>-1.4051289E7</v>
      </c>
      <c r="G459" s="4">
        <f t="array" ref="G459">IFERROR((C459-B459)/C459*100, "N/A")</f>
        <v>-21.30638914</v>
      </c>
      <c r="J459" s="1"/>
      <c r="K459" s="1"/>
    </row>
    <row r="460" ht="14.25" customHeight="1">
      <c r="A460" s="1" t="s">
        <v>2616</v>
      </c>
      <c r="B460" s="1">
        <v>8.0E7</v>
      </c>
      <c r="C460" s="1">
        <v>1.69692572E8</v>
      </c>
      <c r="F460" s="4">
        <v>8.9692572E7</v>
      </c>
      <c r="G460" s="4">
        <f t="array" ref="G460">IFERROR((C460-B460)/C460*100, "N/A")</f>
        <v>52.85592112</v>
      </c>
      <c r="J460" s="1"/>
      <c r="K460" s="1"/>
    </row>
    <row r="461" ht="14.25" customHeight="1">
      <c r="A461" s="1" t="s">
        <v>2621</v>
      </c>
      <c r="B461" s="1">
        <v>8.0E7</v>
      </c>
      <c r="C461" s="1">
        <v>6.0507228E7</v>
      </c>
      <c r="F461" s="4">
        <v>-1.9492772E7</v>
      </c>
      <c r="G461" s="4">
        <f t="array" ref="G461">IFERROR((C461-B461)/C461*100, "N/A")</f>
        <v>-32.21560902</v>
      </c>
      <c r="J461" s="1"/>
      <c r="K461" s="1"/>
    </row>
    <row r="462" ht="14.25" customHeight="1">
      <c r="A462" s="1" t="s">
        <v>2628</v>
      </c>
      <c r="B462" s="1">
        <v>8.0E7</v>
      </c>
      <c r="C462" s="1">
        <v>5.6684819E7</v>
      </c>
      <c r="F462" s="4">
        <v>-2.3315181E7</v>
      </c>
      <c r="G462" s="4">
        <f t="array" ref="G462">IFERROR((C462-B462)/C462*100, "N/A")</f>
        <v>-41.13126126</v>
      </c>
      <c r="J462" s="1"/>
      <c r="K462" s="1"/>
    </row>
    <row r="463" ht="14.25" customHeight="1">
      <c r="A463" s="1" t="s">
        <v>2633</v>
      </c>
      <c r="B463" s="1">
        <v>9.0E7</v>
      </c>
      <c r="C463" s="1">
        <v>5.0628009E7</v>
      </c>
      <c r="F463" s="4">
        <v>-3.9371991E7</v>
      </c>
      <c r="G463" s="4">
        <f t="array" ref="G463">IFERROR((C463-B463)/C463*100, "N/A")</f>
        <v>-77.76721182</v>
      </c>
      <c r="J463" s="1"/>
      <c r="K463" s="1"/>
    </row>
    <row r="464" ht="14.25" customHeight="1">
      <c r="A464" s="1" t="s">
        <v>2639</v>
      </c>
      <c r="B464" s="1">
        <v>8.0E7</v>
      </c>
      <c r="C464" s="1">
        <v>6.9772969E7</v>
      </c>
      <c r="F464" s="4">
        <v>-1.0227031E7</v>
      </c>
      <c r="G464" s="4">
        <f t="array" ref="G464">IFERROR((C464-B464)/C464*100, "N/A")</f>
        <v>-14.65758323</v>
      </c>
      <c r="J464" s="1"/>
      <c r="K464" s="1"/>
    </row>
    <row r="465" ht="14.25" customHeight="1">
      <c r="A465" s="1" t="s">
        <v>2642</v>
      </c>
      <c r="B465" s="1">
        <v>7.5E7</v>
      </c>
      <c r="C465" s="1">
        <v>4.5356386E7</v>
      </c>
      <c r="F465" s="4">
        <v>-2.9643614E7</v>
      </c>
      <c r="G465" s="4">
        <f t="array" ref="G465">IFERROR((C465-B465)/C465*100, "N/A")</f>
        <v>-65.35708996</v>
      </c>
      <c r="J465" s="1"/>
      <c r="K465" s="1"/>
    </row>
    <row r="466" ht="14.25" customHeight="1">
      <c r="A466" s="1" t="s">
        <v>2650</v>
      </c>
      <c r="B466" s="1">
        <v>8.5E7</v>
      </c>
      <c r="C466" s="1">
        <v>5.5350897E7</v>
      </c>
      <c r="F466" s="4">
        <v>-2.9649103E7</v>
      </c>
      <c r="G466" s="4">
        <f t="array" ref="G466">IFERROR((C466-B466)/C466*100, "N/A")</f>
        <v>-53.56571367</v>
      </c>
      <c r="J466" s="1"/>
      <c r="K466" s="1"/>
    </row>
    <row r="467" ht="14.25" customHeight="1">
      <c r="A467" s="1" t="s">
        <v>2656</v>
      </c>
      <c r="B467" s="1">
        <v>8.0E7</v>
      </c>
      <c r="C467" s="1">
        <v>3.9442871E7</v>
      </c>
      <c r="F467" s="4">
        <v>-4.0557129E7</v>
      </c>
      <c r="G467" s="4">
        <f t="array" ref="G467">IFERROR((C467-B467)/C467*100, "N/A")</f>
        <v>-102.8249921</v>
      </c>
      <c r="J467" s="1"/>
      <c r="K467" s="1"/>
    </row>
    <row r="468" ht="14.25" customHeight="1">
      <c r="A468" s="1" t="s">
        <v>2662</v>
      </c>
      <c r="B468" s="1">
        <v>8.8E7</v>
      </c>
      <c r="C468" s="1">
        <v>3.7899638E7</v>
      </c>
      <c r="F468" s="4">
        <v>-5.0100362E7</v>
      </c>
      <c r="G468" s="4">
        <f t="array" ref="G468">IFERROR((C468-B468)/C468*100, "N/A")</f>
        <v>-132.1921914</v>
      </c>
      <c r="J468" s="1"/>
      <c r="K468" s="1"/>
    </row>
    <row r="469" ht="14.25" customHeight="1">
      <c r="A469" s="1" t="s">
        <v>2666</v>
      </c>
      <c r="B469" s="1">
        <v>7.0E7</v>
      </c>
      <c r="C469" s="1">
        <v>3.7754208E7</v>
      </c>
      <c r="F469" s="4">
        <v>-3.2245792E7</v>
      </c>
      <c r="G469" s="4">
        <f t="array" ref="G469">IFERROR((C469-B469)/C469*100, "N/A")</f>
        <v>-85.40979591</v>
      </c>
      <c r="J469" s="1"/>
      <c r="K469" s="1"/>
    </row>
    <row r="470" ht="14.25" customHeight="1">
      <c r="A470" s="1" t="s">
        <v>2669</v>
      </c>
      <c r="B470" s="1">
        <v>8.0E7</v>
      </c>
      <c r="C470" s="1">
        <v>3.8542418E7</v>
      </c>
      <c r="F470" s="4">
        <v>-4.1457582E7</v>
      </c>
      <c r="G470" s="4">
        <f t="array" ref="G470">IFERROR((C470-B470)/C470*100, "N/A")</f>
        <v>-107.5635213</v>
      </c>
      <c r="J470" s="1"/>
      <c r="K470" s="1"/>
    </row>
    <row r="471" ht="14.25" customHeight="1">
      <c r="A471" s="1" t="s">
        <v>2675</v>
      </c>
      <c r="B471" s="1">
        <v>8.0E7</v>
      </c>
      <c r="C471" s="1">
        <v>3.4566746E7</v>
      </c>
      <c r="F471" s="4">
        <v>-4.5433254E7</v>
      </c>
      <c r="G471" s="4">
        <f t="array" ref="G471">IFERROR((C471-B471)/C471*100, "N/A")</f>
        <v>-131.4363059</v>
      </c>
      <c r="J471" s="1"/>
      <c r="K471" s="1"/>
    </row>
    <row r="472" ht="14.25" customHeight="1">
      <c r="A472" s="1" t="s">
        <v>2681</v>
      </c>
      <c r="B472" s="1">
        <v>8.0E7</v>
      </c>
      <c r="C472" s="1">
        <v>3.2885565E7</v>
      </c>
      <c r="F472" s="4">
        <v>-4.7114435E7</v>
      </c>
      <c r="G472" s="4">
        <f t="array" ref="G472">IFERROR((C472-B472)/C472*100, "N/A")</f>
        <v>-143.2678289</v>
      </c>
      <c r="J472" s="1"/>
      <c r="K472" s="1"/>
    </row>
    <row r="473" ht="14.25" customHeight="1">
      <c r="A473" s="1" t="s">
        <v>2687</v>
      </c>
      <c r="B473" s="1">
        <v>8.0E7</v>
      </c>
      <c r="C473" s="1">
        <v>3.6073232E7</v>
      </c>
      <c r="F473" s="4">
        <v>-4.3926768E7</v>
      </c>
      <c r="G473" s="4">
        <f t="array" ref="G473">IFERROR((C473-B473)/C473*100, "N/A")</f>
        <v>-121.7710905</v>
      </c>
      <c r="J473" s="1"/>
      <c r="K473" s="1"/>
    </row>
    <row r="474" ht="14.25" customHeight="1">
      <c r="A474" s="1" t="s">
        <v>2695</v>
      </c>
      <c r="B474" s="1">
        <v>4.4E7</v>
      </c>
      <c r="C474" s="1">
        <v>2.1471685E7</v>
      </c>
      <c r="F474" s="4">
        <v>-2.2528315E7</v>
      </c>
      <c r="G474" s="4">
        <f t="array" ref="G474">IFERROR((C474-B474)/C474*100, "N/A")</f>
        <v>-104.921039</v>
      </c>
      <c r="J474" s="1"/>
      <c r="K474" s="1"/>
    </row>
    <row r="475" ht="14.25" customHeight="1">
      <c r="A475" s="1" t="s">
        <v>2701</v>
      </c>
      <c r="B475" s="1">
        <v>8.0E7</v>
      </c>
      <c r="C475" s="1">
        <v>2.095082E7</v>
      </c>
      <c r="F475" s="4">
        <v>-5.904918E7</v>
      </c>
      <c r="G475" s="4">
        <f t="array" ref="G475">IFERROR((C475-B475)/C475*100, "N/A")</f>
        <v>-281.8466294</v>
      </c>
      <c r="J475" s="1"/>
      <c r="K475" s="1"/>
    </row>
    <row r="476" ht="14.25" customHeight="1">
      <c r="A476" s="1" t="s">
        <v>2706</v>
      </c>
      <c r="B476" s="1">
        <v>8.0E7</v>
      </c>
      <c r="C476" s="1">
        <v>1.9673424E7</v>
      </c>
      <c r="F476" s="4">
        <v>-6.0326576E7</v>
      </c>
      <c r="G476" s="4">
        <f t="array" ref="G476">IFERROR((C476-B476)/C476*100, "N/A")</f>
        <v>-306.6399423</v>
      </c>
      <c r="J476" s="1"/>
      <c r="K476" s="1"/>
    </row>
    <row r="477" ht="14.25" customHeight="1">
      <c r="A477" s="1" t="s">
        <v>2713</v>
      </c>
      <c r="B477" s="1">
        <v>8.0E7</v>
      </c>
      <c r="C477" s="1">
        <v>1.9480739E7</v>
      </c>
      <c r="F477" s="4">
        <v>-6.0519261E7</v>
      </c>
      <c r="G477" s="4">
        <f t="array" ref="G477">IFERROR((C477-B477)/C477*100, "N/A")</f>
        <v>-310.6620391</v>
      </c>
      <c r="J477" s="1"/>
      <c r="K477" s="1"/>
    </row>
    <row r="478" ht="14.25" customHeight="1">
      <c r="A478" s="1" t="s">
        <v>2717</v>
      </c>
      <c r="B478" s="1">
        <v>8.0E7</v>
      </c>
      <c r="C478" s="1">
        <v>1.7593391E7</v>
      </c>
      <c r="F478" s="4">
        <v>-6.2406609E7</v>
      </c>
      <c r="G478" s="4">
        <f t="array" ref="G478">IFERROR((C478-B478)/C478*100, "N/A")</f>
        <v>-354.7162056</v>
      </c>
      <c r="J478" s="1"/>
      <c r="K478" s="1"/>
    </row>
    <row r="479" ht="14.25" customHeight="1">
      <c r="A479" s="1" t="s">
        <v>2722</v>
      </c>
      <c r="B479" s="1">
        <v>8.0E7</v>
      </c>
      <c r="C479" s="1">
        <v>1.8318E7</v>
      </c>
      <c r="F479" s="4">
        <v>-6.1682E7</v>
      </c>
      <c r="G479" s="4">
        <f t="array" ref="G479">IFERROR((C479-B479)/C479*100, "N/A")</f>
        <v>-336.7289005</v>
      </c>
      <c r="J479" s="1"/>
      <c r="K479" s="1"/>
    </row>
    <row r="480" ht="14.25" customHeight="1">
      <c r="A480" s="1" t="s">
        <v>2727</v>
      </c>
      <c r="B480" s="1">
        <v>9.0E7</v>
      </c>
      <c r="C480" s="1">
        <v>2.735609E7</v>
      </c>
      <c r="F480" s="4">
        <v>-6.264391E7</v>
      </c>
      <c r="G480" s="4">
        <f t="array" ref="G480">IFERROR((C480-B480)/C480*100, "N/A")</f>
        <v>-228.9943848</v>
      </c>
      <c r="J480" s="1"/>
      <c r="K480" s="1"/>
    </row>
    <row r="481" ht="14.25" customHeight="1">
      <c r="A481" s="1" t="s">
        <v>2733</v>
      </c>
      <c r="B481" s="1">
        <v>7.0E7</v>
      </c>
      <c r="C481" s="1">
        <v>1.7473245E7</v>
      </c>
      <c r="F481" s="4">
        <v>-5.2526755E7</v>
      </c>
      <c r="G481" s="4">
        <f t="array" ref="G481">IFERROR((C481-B481)/C481*100, "N/A")</f>
        <v>-300.6124793</v>
      </c>
      <c r="J481" s="1"/>
      <c r="K481" s="1"/>
    </row>
    <row r="482" ht="14.25" customHeight="1">
      <c r="A482" s="1" t="s">
        <v>2739</v>
      </c>
      <c r="B482" s="1">
        <v>8.6E7</v>
      </c>
      <c r="C482" s="1">
        <v>1.513133E7</v>
      </c>
      <c r="F482" s="4">
        <v>-7.086867E7</v>
      </c>
      <c r="G482" s="4">
        <f t="array" ref="G482">IFERROR((C482-B482)/C482*100, "N/A")</f>
        <v>-468.3571768</v>
      </c>
      <c r="J482" s="1"/>
      <c r="K482" s="1"/>
    </row>
    <row r="483" ht="14.25" customHeight="1">
      <c r="A483" s="1" t="s">
        <v>2746</v>
      </c>
      <c r="B483" s="1">
        <v>4.0E7</v>
      </c>
      <c r="C483" s="1">
        <v>1.9406406E7</v>
      </c>
      <c r="F483" s="4">
        <v>-2.0593594E7</v>
      </c>
      <c r="G483" s="4">
        <f t="array" ref="G483">IFERROR((C483-B483)/C483*100, "N/A")</f>
        <v>-106.1175057</v>
      </c>
      <c r="J483" s="1"/>
      <c r="K483" s="1"/>
    </row>
    <row r="484" ht="14.25" customHeight="1">
      <c r="A484" s="1" t="s">
        <v>2753</v>
      </c>
      <c r="B484" s="1">
        <v>5.2E7</v>
      </c>
      <c r="C484" s="1">
        <v>1891821.0</v>
      </c>
      <c r="F484" s="4">
        <v>-5.0108179E7</v>
      </c>
      <c r="G484" s="4">
        <f t="array" ref="G484">IFERROR((C484-B484)/C484*100, "N/A")</f>
        <v>-2648.674425</v>
      </c>
      <c r="J484" s="1"/>
      <c r="K484" s="1"/>
    </row>
    <row r="485" ht="14.25" customHeight="1">
      <c r="A485" s="1" t="s">
        <v>2757</v>
      </c>
      <c r="B485" s="1">
        <v>8.0E7</v>
      </c>
      <c r="C485" s="1">
        <v>2.3219748E7</v>
      </c>
      <c r="F485" s="4">
        <v>-5.6780252E7</v>
      </c>
      <c r="G485" s="4">
        <f t="array" ref="G485">IFERROR((C485-B485)/C485*100, "N/A")</f>
        <v>-244.5343162</v>
      </c>
      <c r="J485" s="1"/>
      <c r="K485" s="1"/>
    </row>
    <row r="486" ht="14.25" customHeight="1">
      <c r="A486" s="1" t="s">
        <v>2764</v>
      </c>
      <c r="B486" s="1">
        <v>5.8E7</v>
      </c>
      <c r="C486" s="1">
        <v>1.70708996E8</v>
      </c>
      <c r="F486" s="4">
        <v>1.12708996E8</v>
      </c>
      <c r="G486" s="4">
        <f t="array" ref="G486">IFERROR((C486-B486)/C486*100, "N/A")</f>
        <v>66.02405183</v>
      </c>
      <c r="J486" s="1"/>
      <c r="K486" s="1"/>
    </row>
    <row r="487" ht="14.25" customHeight="1">
      <c r="A487" s="1" t="s">
        <v>2768</v>
      </c>
      <c r="B487" s="1">
        <v>4.5E7</v>
      </c>
      <c r="C487" s="1">
        <v>4.22783777E8</v>
      </c>
      <c r="F487" s="4">
        <v>3.77783777E8</v>
      </c>
      <c r="G487" s="4">
        <f t="array" ref="G487">IFERROR((C487-B487)/C487*100, "N/A")</f>
        <v>89.35626142</v>
      </c>
      <c r="J487" s="1"/>
      <c r="K487" s="1"/>
    </row>
    <row r="488" ht="14.25" customHeight="1">
      <c r="A488" s="1" t="s">
        <v>2773</v>
      </c>
      <c r="B488" s="1">
        <v>7.9E7</v>
      </c>
      <c r="C488" s="1">
        <v>1.03812241E8</v>
      </c>
      <c r="F488" s="4">
        <v>2.4812241E7</v>
      </c>
      <c r="G488" s="4">
        <f t="array" ref="G488">IFERROR((C488-B488)/C488*100, "N/A")</f>
        <v>23.90107444</v>
      </c>
      <c r="J488" s="1"/>
      <c r="K488" s="1"/>
    </row>
    <row r="489" ht="14.25" customHeight="1">
      <c r="A489" s="1" t="s">
        <v>2777</v>
      </c>
      <c r="B489" s="1">
        <v>7.8E7</v>
      </c>
      <c r="C489" s="1">
        <v>1.19793567E8</v>
      </c>
      <c r="F489" s="4">
        <v>4.1793567E7</v>
      </c>
      <c r="G489" s="4">
        <f t="array" ref="G489">IFERROR((C489-B489)/C489*100, "N/A")</f>
        <v>34.88798944</v>
      </c>
      <c r="J489" s="1"/>
      <c r="K489" s="1"/>
    </row>
    <row r="490" ht="14.25" customHeight="1">
      <c r="A490" s="1" t="s">
        <v>2782</v>
      </c>
      <c r="B490" s="1">
        <v>7.8E7</v>
      </c>
      <c r="C490" s="1">
        <v>9.2930005E7</v>
      </c>
      <c r="F490" s="4">
        <v>1.4930005E7</v>
      </c>
      <c r="G490" s="4">
        <f t="array" ref="G490">IFERROR((C490-B490)/C490*100, "N/A")</f>
        <v>16.06586054</v>
      </c>
      <c r="J490" s="1"/>
      <c r="K490" s="1"/>
    </row>
    <row r="491" ht="14.25" customHeight="1">
      <c r="A491" s="1" t="s">
        <v>2786</v>
      </c>
      <c r="B491" s="1">
        <v>1.0E8</v>
      </c>
      <c r="C491" s="1">
        <v>6.7286731E7</v>
      </c>
      <c r="F491" s="4">
        <v>-3.2713269E7</v>
      </c>
      <c r="G491" s="4">
        <f t="array" ref="G491">IFERROR((C491-B491)/C491*100, "N/A")</f>
        <v>-48.61771186</v>
      </c>
      <c r="J491" s="1"/>
      <c r="K491" s="1"/>
    </row>
    <row r="492" ht="14.25" customHeight="1">
      <c r="A492" s="1" t="s">
        <v>2789</v>
      </c>
      <c r="B492" s="1">
        <v>7.9E7</v>
      </c>
      <c r="C492" s="1">
        <v>7.4158157E7</v>
      </c>
      <c r="F492" s="4">
        <v>-4841843.0</v>
      </c>
      <c r="G492" s="4">
        <f t="array" ref="G492">IFERROR((C492-B492)/C492*100, "N/A")</f>
        <v>-6.529076768</v>
      </c>
      <c r="J492" s="1"/>
      <c r="K492" s="1"/>
    </row>
    <row r="493" ht="14.25" customHeight="1">
      <c r="A493" s="1" t="s">
        <v>2794</v>
      </c>
      <c r="B493" s="1">
        <v>7.6E7</v>
      </c>
      <c r="C493" s="1">
        <v>1.27083765E8</v>
      </c>
      <c r="F493" s="4">
        <v>5.1083765E7</v>
      </c>
      <c r="G493" s="4">
        <f t="array" ref="G493">IFERROR((C493-B493)/C493*100, "N/A")</f>
        <v>40.19692445</v>
      </c>
      <c r="J493" s="1"/>
      <c r="K493" s="1"/>
    </row>
    <row r="494" ht="14.25" customHeight="1">
      <c r="A494" s="1" t="s">
        <v>2798</v>
      </c>
      <c r="B494" s="1">
        <v>8.12E7</v>
      </c>
      <c r="C494" s="1">
        <v>1339152.0</v>
      </c>
      <c r="F494" s="4">
        <v>-7.9860848E7</v>
      </c>
      <c r="G494" s="4">
        <f t="array" ref="G494">IFERROR((C494-B494)/C494*100, "N/A")</f>
        <v>-5963.538717</v>
      </c>
      <c r="J494" s="1"/>
      <c r="K494" s="1"/>
    </row>
    <row r="495" ht="14.25" customHeight="1">
      <c r="A495" s="1" t="s">
        <v>2803</v>
      </c>
      <c r="B495" s="1">
        <v>8.0E7</v>
      </c>
      <c r="C495" s="1">
        <v>1.5071514E7</v>
      </c>
      <c r="F495" s="4">
        <v>-6.4928486E7</v>
      </c>
      <c r="G495" s="4">
        <f t="array" ref="G495">IFERROR((C495-B495)/C495*100, "N/A")</f>
        <v>-430.8026785</v>
      </c>
      <c r="J495" s="1"/>
      <c r="K495" s="1"/>
    </row>
    <row r="496" ht="14.25" customHeight="1">
      <c r="A496" s="1" t="s">
        <v>2810</v>
      </c>
      <c r="B496" s="1">
        <v>7.6E7</v>
      </c>
      <c r="C496" s="1">
        <v>2.600061E7</v>
      </c>
      <c r="F496" s="4">
        <v>-4.999939E7</v>
      </c>
      <c r="G496" s="4">
        <f t="array" ref="G496">IFERROR((C496-B496)/C496*100, "N/A")</f>
        <v>-192.3008345</v>
      </c>
      <c r="J496" s="1"/>
      <c r="K496" s="1"/>
    </row>
    <row r="497" ht="14.25" customHeight="1">
      <c r="A497" s="1" t="s">
        <v>2815</v>
      </c>
      <c r="B497" s="1">
        <v>7.5E7</v>
      </c>
      <c r="C497" s="1">
        <v>3.2350554E8</v>
      </c>
      <c r="F497" s="4">
        <v>2.4850554E8</v>
      </c>
      <c r="G497" s="4">
        <f t="array" ref="G497">IFERROR((C497-B497)/C497*100, "N/A")</f>
        <v>76.81647121</v>
      </c>
      <c r="J497" s="1"/>
      <c r="K497" s="1"/>
    </row>
    <row r="498" ht="14.25" customHeight="1">
      <c r="A498" s="1" t="s">
        <v>2823</v>
      </c>
      <c r="B498" s="1">
        <v>7.8E7</v>
      </c>
      <c r="C498" s="1">
        <v>6.64626E7</v>
      </c>
      <c r="F498" s="4">
        <v>-1.15374E7</v>
      </c>
      <c r="G498" s="4">
        <f t="array" ref="G498">IFERROR((C498-B498)/C498*100, "N/A")</f>
        <v>-17.35923662</v>
      </c>
      <c r="J498" s="1"/>
      <c r="K498" s="1"/>
    </row>
    <row r="499" ht="14.25" customHeight="1">
      <c r="A499" s="1" t="s">
        <v>2828</v>
      </c>
      <c r="B499" s="1">
        <v>7.6E7</v>
      </c>
      <c r="C499" s="1">
        <v>3.68049635E8</v>
      </c>
      <c r="F499" s="4">
        <v>2.92049635E8</v>
      </c>
      <c r="G499" s="4">
        <f t="array" ref="G499">IFERROR((C499-B499)/C499*100, "N/A")</f>
        <v>79.35061123</v>
      </c>
      <c r="J499" s="1"/>
      <c r="K499" s="1"/>
    </row>
    <row r="500" ht="14.25" customHeight="1">
      <c r="A500" s="1" t="s">
        <v>2832</v>
      </c>
      <c r="B500" s="1">
        <v>7.5E7</v>
      </c>
      <c r="C500" s="1">
        <v>3.06124059E8</v>
      </c>
      <c r="F500" s="4">
        <v>2.31124059E8</v>
      </c>
      <c r="G500" s="4">
        <f t="array" ref="G500">IFERROR((C500-B500)/C500*100, "N/A")</f>
        <v>75.50012885</v>
      </c>
      <c r="J500" s="1"/>
      <c r="K500" s="1"/>
    </row>
    <row r="501" ht="14.25" customHeight="1">
      <c r="A501" s="1" t="s">
        <v>2836</v>
      </c>
      <c r="B501" s="1">
        <v>7.3E7</v>
      </c>
      <c r="C501" s="1">
        <v>2.29074524E8</v>
      </c>
      <c r="F501" s="4">
        <v>1.56074524E8</v>
      </c>
      <c r="G501" s="4">
        <f t="array" ref="G501">IFERROR((C501-B501)/C501*100, "N/A")</f>
        <v>68.13264141</v>
      </c>
      <c r="J501" s="1"/>
      <c r="K501" s="1"/>
    </row>
    <row r="502" ht="14.25" customHeight="1">
      <c r="A502" s="1" t="s">
        <v>2842</v>
      </c>
      <c r="B502" s="1">
        <v>7.5E7</v>
      </c>
      <c r="C502" s="1">
        <v>1.93136719E8</v>
      </c>
      <c r="F502" s="4">
        <v>1.18136719E8</v>
      </c>
      <c r="G502" s="4">
        <f t="array" ref="G502">IFERROR((C502-B502)/C502*100, "N/A")</f>
        <v>61.16740494</v>
      </c>
      <c r="J502" s="1"/>
      <c r="K502" s="1"/>
    </row>
    <row r="503" ht="14.25" customHeight="1">
      <c r="A503" s="1" t="s">
        <v>2845</v>
      </c>
      <c r="B503" s="1">
        <v>7.6E7</v>
      </c>
      <c r="C503" s="1">
        <v>3.5286428E7</v>
      </c>
      <c r="F503" s="4">
        <v>-4.0713572E7</v>
      </c>
      <c r="G503" s="4">
        <f t="array" ref="G503">IFERROR((C503-B503)/C503*100, "N/A")</f>
        <v>-115.3802589</v>
      </c>
      <c r="J503" s="1"/>
      <c r="K503" s="1"/>
    </row>
    <row r="504" ht="14.25" customHeight="1">
      <c r="A504" s="1" t="s">
        <v>2850</v>
      </c>
      <c r="B504" s="1">
        <v>7.5E7</v>
      </c>
      <c r="C504" s="1">
        <v>1.57299717E8</v>
      </c>
      <c r="F504" s="4">
        <v>8.2299717E7</v>
      </c>
      <c r="G504" s="4">
        <f t="array" ref="G504">IFERROR((C504-B504)/C504*100, "N/A")</f>
        <v>52.32032108</v>
      </c>
      <c r="J504" s="1"/>
      <c r="K504" s="1"/>
    </row>
    <row r="505" ht="14.25" customHeight="1">
      <c r="A505" s="1" t="s">
        <v>2855</v>
      </c>
      <c r="B505" s="1">
        <v>7.5E7</v>
      </c>
      <c r="C505" s="1">
        <v>1.34568845E8</v>
      </c>
      <c r="F505" s="4">
        <v>5.9568845E7</v>
      </c>
      <c r="G505" s="4">
        <f t="array" ref="G505">IFERROR((C505-B505)/C505*100, "N/A")</f>
        <v>44.26644592</v>
      </c>
      <c r="J505" s="1"/>
      <c r="K505" s="1"/>
    </row>
    <row r="506" ht="14.25" customHeight="1">
      <c r="A506" s="1" t="s">
        <v>2859</v>
      </c>
      <c r="B506" s="1">
        <v>7.5E7</v>
      </c>
      <c r="C506" s="1">
        <v>1.34006721E8</v>
      </c>
      <c r="F506" s="4">
        <v>5.9006721E7</v>
      </c>
      <c r="G506" s="4">
        <f t="array" ref="G506">IFERROR((C506-B506)/C506*100, "N/A")</f>
        <v>44.03265788</v>
      </c>
      <c r="J506" s="1"/>
      <c r="K506" s="1"/>
    </row>
    <row r="507" ht="14.25" customHeight="1">
      <c r="A507" s="1" t="s">
        <v>2864</v>
      </c>
      <c r="B507" s="1">
        <v>8.0E7</v>
      </c>
      <c r="C507" s="1">
        <v>1.95329763E8</v>
      </c>
      <c r="F507" s="4">
        <v>1.15329763E8</v>
      </c>
      <c r="G507" s="4">
        <f t="array" ref="G507">IFERROR((C507-B507)/C507*100, "N/A")</f>
        <v>59.04361999</v>
      </c>
      <c r="J507" s="1"/>
      <c r="K507" s="1"/>
    </row>
    <row r="508" ht="14.25" customHeight="1">
      <c r="A508" s="1" t="s">
        <v>2869</v>
      </c>
      <c r="B508" s="1">
        <v>7.5E7</v>
      </c>
      <c r="C508" s="1">
        <v>1.20776832E8</v>
      </c>
      <c r="F508" s="4">
        <v>4.5776832E7</v>
      </c>
      <c r="G508" s="4">
        <f t="array" ref="G508">IFERROR((C508-B508)/C508*100, "N/A")</f>
        <v>37.90199763</v>
      </c>
      <c r="J508" s="1"/>
      <c r="K508" s="1"/>
    </row>
    <row r="509" ht="14.25" customHeight="1">
      <c r="A509" s="1" t="s">
        <v>2874</v>
      </c>
      <c r="B509" s="1">
        <v>7.5E7</v>
      </c>
      <c r="C509" s="1">
        <v>1.18823091E8</v>
      </c>
      <c r="F509" s="4">
        <v>4.3823091E7</v>
      </c>
      <c r="G509" s="4">
        <f t="array" ref="G509">IFERROR((C509-B509)/C509*100, "N/A")</f>
        <v>36.88095523</v>
      </c>
      <c r="J509" s="1"/>
      <c r="K509" s="1"/>
    </row>
    <row r="510" ht="14.25" customHeight="1">
      <c r="A510" s="1" t="s">
        <v>2881</v>
      </c>
      <c r="B510" s="1">
        <v>5.0E7</v>
      </c>
      <c r="C510" s="1">
        <v>4.1814863E7</v>
      </c>
      <c r="F510" s="4">
        <v>-8185137.0</v>
      </c>
      <c r="G510" s="4">
        <f t="array" ref="G510">IFERROR((C510-B510)/C510*100, "N/A")</f>
        <v>-19.5747072</v>
      </c>
      <c r="J510" s="1"/>
      <c r="K510" s="1"/>
    </row>
    <row r="511" ht="14.25" customHeight="1">
      <c r="A511" s="1" t="s">
        <v>2888</v>
      </c>
      <c r="B511" s="1">
        <v>7.5E7</v>
      </c>
      <c r="C511" s="1">
        <v>9.7360069E7</v>
      </c>
      <c r="F511" s="4">
        <v>2.2360069E7</v>
      </c>
      <c r="G511" s="4">
        <f t="array" ref="G511">IFERROR((C511-B511)/C511*100, "N/A")</f>
        <v>22.96636519</v>
      </c>
      <c r="J511" s="1"/>
      <c r="K511" s="1"/>
    </row>
    <row r="512" ht="14.25" customHeight="1">
      <c r="A512" s="1" t="s">
        <v>2892</v>
      </c>
      <c r="B512" s="1">
        <v>7.5E7</v>
      </c>
      <c r="C512" s="1">
        <v>1.17698894E8</v>
      </c>
      <c r="F512" s="4">
        <v>4.2698894E7</v>
      </c>
      <c r="G512" s="4">
        <f t="array" ref="G512">IFERROR((C512-B512)/C512*100, "N/A")</f>
        <v>36.27807582</v>
      </c>
      <c r="J512" s="1"/>
      <c r="K512" s="1"/>
    </row>
    <row r="513" ht="14.25" customHeight="1">
      <c r="A513" s="1" t="s">
        <v>2896</v>
      </c>
      <c r="B513" s="1">
        <v>8.0E7</v>
      </c>
      <c r="C513" s="1">
        <v>1.62001186E8</v>
      </c>
      <c r="F513" s="4">
        <v>8.2001186E7</v>
      </c>
      <c r="G513" s="4">
        <f t="array" ref="G513">IFERROR((C513-B513)/C513*100, "N/A")</f>
        <v>50.61764548</v>
      </c>
      <c r="J513" s="1"/>
      <c r="K513" s="1"/>
    </row>
    <row r="514" ht="14.25" customHeight="1">
      <c r="A514" s="1" t="s">
        <v>2899</v>
      </c>
      <c r="B514" s="1">
        <v>6.0E7</v>
      </c>
      <c r="C514" s="1">
        <v>7.7032279E7</v>
      </c>
      <c r="F514" s="4">
        <v>1.7032279E7</v>
      </c>
      <c r="G514" s="4">
        <f t="array" ref="G514">IFERROR((C514-B514)/C514*100, "N/A")</f>
        <v>22.11057393</v>
      </c>
      <c r="J514" s="1"/>
      <c r="K514" s="1"/>
    </row>
    <row r="515" ht="14.25" customHeight="1">
      <c r="A515" s="1" t="s">
        <v>2903</v>
      </c>
      <c r="B515" s="1">
        <v>3.5E7</v>
      </c>
      <c r="C515" s="1">
        <v>7.3023275E7</v>
      </c>
      <c r="F515" s="4">
        <v>3.8023275E7</v>
      </c>
      <c r="G515" s="4">
        <f t="array" ref="G515">IFERROR((C515-B515)/C515*100, "N/A")</f>
        <v>52.07007629</v>
      </c>
      <c r="J515" s="1"/>
      <c r="K515" s="1"/>
    </row>
    <row r="516" ht="14.25" customHeight="1">
      <c r="A516" s="1" t="s">
        <v>2909</v>
      </c>
      <c r="B516" s="1">
        <v>7.5E7</v>
      </c>
      <c r="C516" s="1">
        <v>6.847336E7</v>
      </c>
      <c r="F516" s="4">
        <v>-6526640.0</v>
      </c>
      <c r="G516" s="4">
        <f t="array" ref="G516">IFERROR((C516-B516)/C516*100, "N/A")</f>
        <v>-9.531648513</v>
      </c>
      <c r="J516" s="1"/>
      <c r="K516" s="1"/>
    </row>
    <row r="517" ht="14.25" customHeight="1">
      <c r="A517" s="1" t="s">
        <v>2914</v>
      </c>
      <c r="B517" s="1">
        <v>7.5E7</v>
      </c>
      <c r="C517" s="1">
        <v>6.6636385E7</v>
      </c>
      <c r="F517" s="4">
        <v>-8363615.0</v>
      </c>
      <c r="G517" s="4">
        <f t="array" ref="G517">IFERROR((C517-B517)/C517*100, "N/A")</f>
        <v>-12.55112353</v>
      </c>
      <c r="J517" s="1"/>
      <c r="K517" s="1"/>
    </row>
    <row r="518" ht="14.25" customHeight="1">
      <c r="A518" s="1" t="s">
        <v>2919</v>
      </c>
      <c r="B518" s="1">
        <v>7.5E7</v>
      </c>
      <c r="C518" s="1">
        <v>1.60762022E8</v>
      </c>
      <c r="F518" s="4">
        <v>8.5762022E7</v>
      </c>
      <c r="G518" s="4">
        <f t="array" ref="G518">IFERROR((C518-B518)/C518*100, "N/A")</f>
        <v>53.34719042</v>
      </c>
      <c r="J518" s="1"/>
      <c r="K518" s="1"/>
    </row>
    <row r="519" ht="14.25" customHeight="1">
      <c r="A519" s="1" t="s">
        <v>2922</v>
      </c>
      <c r="B519" s="1">
        <v>7.0E7</v>
      </c>
      <c r="C519" s="1">
        <v>1.03338338E8</v>
      </c>
      <c r="F519" s="4">
        <v>3.3338338E7</v>
      </c>
      <c r="G519" s="4">
        <f t="array" ref="G519">IFERROR((C519-B519)/C519*100, "N/A")</f>
        <v>32.26134525</v>
      </c>
      <c r="J519" s="1"/>
      <c r="K519" s="1"/>
    </row>
    <row r="520" ht="14.25" customHeight="1">
      <c r="A520" s="1" t="s">
        <v>2929</v>
      </c>
      <c r="B520" s="1">
        <v>5.3E7</v>
      </c>
      <c r="C520" s="1">
        <v>5.5808744E7</v>
      </c>
      <c r="F520" s="4">
        <v>2808744.0</v>
      </c>
      <c r="G520" s="4">
        <f t="array" ref="G520">IFERROR((C520-B520)/C520*100, "N/A")</f>
        <v>5.032802745</v>
      </c>
      <c r="J520" s="1"/>
      <c r="K520" s="1"/>
    </row>
    <row r="521" ht="14.25" customHeight="1">
      <c r="A521" s="1" t="s">
        <v>2934</v>
      </c>
      <c r="B521" s="1">
        <v>7.0E7</v>
      </c>
      <c r="C521" s="1">
        <v>4.737909E7</v>
      </c>
      <c r="F521" s="4">
        <v>-2.262091E7</v>
      </c>
      <c r="G521" s="4">
        <f t="array" ref="G521">IFERROR((C521-B521)/C521*100, "N/A")</f>
        <v>-47.74450079</v>
      </c>
      <c r="J521" s="1"/>
      <c r="K521" s="1"/>
    </row>
    <row r="522" ht="14.25" customHeight="1">
      <c r="A522" s="1" t="s">
        <v>2939</v>
      </c>
      <c r="B522" s="1">
        <v>7.0E7</v>
      </c>
      <c r="C522" s="1">
        <v>4.3426961E7</v>
      </c>
      <c r="F522" s="4">
        <v>-2.6573039E7</v>
      </c>
      <c r="G522" s="4">
        <f t="array" ref="G522">IFERROR((C522-B522)/C522*100, "N/A")</f>
        <v>-61.19018782</v>
      </c>
      <c r="J522" s="1"/>
      <c r="K522" s="1"/>
    </row>
    <row r="523" ht="14.25" customHeight="1">
      <c r="A523" s="1" t="s">
        <v>2943</v>
      </c>
      <c r="B523" s="1">
        <v>7.5E7</v>
      </c>
      <c r="C523" s="1">
        <v>4.7000485E7</v>
      </c>
      <c r="F523" s="4">
        <v>-2.7999515E7</v>
      </c>
      <c r="G523" s="4">
        <f t="array" ref="G523">IFERROR((C523-B523)/C523*100, "N/A")</f>
        <v>-59.57282143</v>
      </c>
      <c r="J523" s="1"/>
      <c r="K523" s="1"/>
    </row>
    <row r="524" ht="14.25" customHeight="1">
      <c r="A524" s="1" t="s">
        <v>2948</v>
      </c>
      <c r="B524" s="1">
        <v>7.5E7</v>
      </c>
      <c r="C524" s="1">
        <v>4.5434443E7</v>
      </c>
      <c r="F524" s="4">
        <v>-2.9565557E7</v>
      </c>
      <c r="G524" s="4">
        <f t="array" ref="G524">IFERROR((C524-B524)/C524*100, "N/A")</f>
        <v>-65.0730042</v>
      </c>
      <c r="J524" s="1"/>
      <c r="K524" s="1"/>
    </row>
    <row r="525" ht="14.25" customHeight="1">
      <c r="A525" s="1" t="s">
        <v>2952</v>
      </c>
      <c r="B525" s="1">
        <v>8.0E7</v>
      </c>
      <c r="C525" s="1">
        <v>4.2044321E7</v>
      </c>
      <c r="F525" s="4">
        <v>-3.7955679E7</v>
      </c>
      <c r="G525" s="4">
        <f t="array" ref="G525">IFERROR((C525-B525)/C525*100, "N/A")</f>
        <v>-90.2754001</v>
      </c>
      <c r="J525" s="1"/>
      <c r="K525" s="1"/>
    </row>
    <row r="526" ht="14.25" customHeight="1">
      <c r="A526" s="1" t="s">
        <v>2958</v>
      </c>
      <c r="B526" s="1">
        <v>7.5E7</v>
      </c>
      <c r="C526" s="1">
        <v>7.366101E7</v>
      </c>
      <c r="F526" s="4">
        <v>-1338990.0</v>
      </c>
      <c r="G526" s="4">
        <f t="array" ref="G526">IFERROR((C526-B526)/C526*100, "N/A")</f>
        <v>-1.817773066</v>
      </c>
      <c r="J526" s="1"/>
      <c r="K526" s="1"/>
    </row>
    <row r="527" ht="14.25" customHeight="1">
      <c r="A527" s="1" t="s">
        <v>2963</v>
      </c>
      <c r="B527" s="1">
        <v>8.0E7</v>
      </c>
      <c r="C527" s="1">
        <v>4.1523271E7</v>
      </c>
      <c r="F527" s="4">
        <v>-3.8476729E7</v>
      </c>
      <c r="G527" s="4">
        <f t="array" ref="G527">IFERROR((C527-B527)/C527*100, "N/A")</f>
        <v>-92.66304911</v>
      </c>
      <c r="J527" s="1"/>
      <c r="K527" s="1"/>
    </row>
    <row r="528" ht="14.25" customHeight="1">
      <c r="A528" s="1" t="s">
        <v>2970</v>
      </c>
      <c r="B528" s="1">
        <v>5.5E7</v>
      </c>
      <c r="C528" s="1">
        <v>3.7600435E7</v>
      </c>
      <c r="F528" s="4">
        <v>-1.7399565E7</v>
      </c>
      <c r="G528" s="4">
        <f t="array" ref="G528">IFERROR((C528-B528)/C528*100, "N/A")</f>
        <v>-46.27490347</v>
      </c>
      <c r="J528" s="1"/>
      <c r="K528" s="1"/>
    </row>
    <row r="529" ht="14.25" customHeight="1">
      <c r="A529" s="1" t="s">
        <v>2977</v>
      </c>
      <c r="B529" s="1">
        <v>7.5E7</v>
      </c>
      <c r="C529" s="1">
        <v>3.9251128E7</v>
      </c>
      <c r="F529" s="4">
        <v>-3.5748872E7</v>
      </c>
      <c r="G529" s="4">
        <f t="array" ref="G529">IFERROR((C529-B529)/C529*100, "N/A")</f>
        <v>-91.0773112</v>
      </c>
      <c r="J529" s="1"/>
      <c r="K529" s="1"/>
    </row>
    <row r="530" ht="14.25" customHeight="1">
      <c r="A530" s="1" t="s">
        <v>2983</v>
      </c>
      <c r="B530" s="1">
        <v>7.5E7</v>
      </c>
      <c r="C530" s="1">
        <v>8.3503161E7</v>
      </c>
      <c r="F530" s="4">
        <v>8503161.0</v>
      </c>
      <c r="G530" s="4">
        <f t="array" ref="G530">IFERROR((C530-B530)/C530*100, "N/A")</f>
        <v>10.18304086</v>
      </c>
      <c r="J530" s="1"/>
      <c r="K530" s="1"/>
    </row>
    <row r="531" ht="14.25" customHeight="1">
      <c r="A531" s="1" t="s">
        <v>2990</v>
      </c>
      <c r="B531" s="1">
        <v>5.2E7</v>
      </c>
      <c r="C531" s="1">
        <v>3.4636443E7</v>
      </c>
      <c r="F531" s="4">
        <v>-1.7363557E7</v>
      </c>
      <c r="G531" s="4">
        <f t="array" ref="G531">IFERROR((C531-B531)/C531*100, "N/A")</f>
        <v>-50.1308896</v>
      </c>
      <c r="J531" s="1"/>
      <c r="K531" s="1"/>
    </row>
    <row r="532" ht="14.25" customHeight="1">
      <c r="A532" s="1" t="s">
        <v>2995</v>
      </c>
      <c r="B532" s="1">
        <v>7.5E7</v>
      </c>
      <c r="C532" s="1">
        <v>2.2751979E7</v>
      </c>
      <c r="F532" s="4">
        <v>-5.2248021E7</v>
      </c>
      <c r="G532" s="4">
        <f t="array" ref="G532">IFERROR((C532-B532)/C532*100, "N/A")</f>
        <v>-229.6416545</v>
      </c>
      <c r="J532" s="1"/>
      <c r="K532" s="1"/>
    </row>
    <row r="533" ht="14.25" customHeight="1">
      <c r="A533" s="1" t="s">
        <v>3000</v>
      </c>
      <c r="B533" s="1">
        <v>7.5E7</v>
      </c>
      <c r="C533" s="1">
        <v>3.0013346E7</v>
      </c>
      <c r="F533" s="4">
        <v>-4.4986654E7</v>
      </c>
      <c r="G533" s="4">
        <f t="array" ref="G533">IFERROR((C533-B533)/C533*100, "N/A")</f>
        <v>-149.8888328</v>
      </c>
      <c r="J533" s="1"/>
      <c r="K533" s="1"/>
    </row>
    <row r="534" ht="14.25" customHeight="1">
      <c r="A534" s="1" t="s">
        <v>3004</v>
      </c>
      <c r="B534" s="1">
        <v>7.5E7</v>
      </c>
      <c r="C534" s="1">
        <v>1.4567883E7</v>
      </c>
      <c r="F534" s="4">
        <v>-6.0432117E7</v>
      </c>
      <c r="G534" s="4">
        <f t="array" ref="G534">IFERROR((C534-B534)/C534*100, "N/A")</f>
        <v>-414.8311529</v>
      </c>
      <c r="J534" s="1"/>
      <c r="K534" s="1"/>
    </row>
    <row r="535" ht="14.25" customHeight="1">
      <c r="A535" s="1" t="s">
        <v>3010</v>
      </c>
      <c r="B535" s="1">
        <v>7.5E7</v>
      </c>
      <c r="C535" s="1">
        <v>5409517.0</v>
      </c>
      <c r="F535" s="4">
        <v>-6.9590483E7</v>
      </c>
      <c r="G535" s="4">
        <f t="array" ref="G535">IFERROR((C535-B535)/C535*100, "N/A")</f>
        <v>-1286.445407</v>
      </c>
      <c r="J535" s="1"/>
      <c r="K535" s="1"/>
    </row>
    <row r="536" ht="14.25" customHeight="1">
      <c r="A536" s="1" t="s">
        <v>3016</v>
      </c>
      <c r="B536" s="1">
        <v>4.5E7</v>
      </c>
      <c r="C536" s="1">
        <v>2.100918E7</v>
      </c>
      <c r="F536" s="4">
        <v>-2.399082E7</v>
      </c>
      <c r="G536" s="4">
        <f t="array" ref="G536">IFERROR((C536-B536)/C536*100, "N/A")</f>
        <v>-114.1920817</v>
      </c>
      <c r="J536" s="1"/>
      <c r="K536" s="1"/>
    </row>
    <row r="537" ht="14.25" customHeight="1">
      <c r="A537" s="1" t="s">
        <v>3019</v>
      </c>
      <c r="B537" s="1">
        <v>7.5E7</v>
      </c>
      <c r="C537" s="1">
        <v>9.4999143E7</v>
      </c>
      <c r="F537" s="4">
        <v>1.9999143E7</v>
      </c>
      <c r="G537" s="4">
        <f t="array" ref="G537">IFERROR((C537-B537)/C537*100, "N/A")</f>
        <v>21.05191938</v>
      </c>
      <c r="J537" s="1"/>
      <c r="K537" s="1"/>
    </row>
    <row r="538" ht="14.25" customHeight="1">
      <c r="A538" s="1" t="s">
        <v>3023</v>
      </c>
      <c r="B538" s="1">
        <v>7.4E7</v>
      </c>
      <c r="C538" s="1">
        <v>3.3602956E8</v>
      </c>
      <c r="F538" s="4">
        <v>2.6202956E8</v>
      </c>
      <c r="G538" s="4">
        <f t="array" ref="G538">IFERROR((C538-B538)/C538*100, "N/A")</f>
        <v>77.97812788</v>
      </c>
      <c r="J538" s="1"/>
      <c r="K538" s="1"/>
    </row>
    <row r="539" ht="14.25" customHeight="1">
      <c r="A539" s="1" t="s">
        <v>3026</v>
      </c>
      <c r="B539" s="1">
        <v>8.2E7</v>
      </c>
      <c r="C539" s="1">
        <v>3.6381716E7</v>
      </c>
      <c r="F539" s="4">
        <v>-4.5618284E7</v>
      </c>
      <c r="G539" s="4">
        <f t="array" ref="G539">IFERROR((C539-B539)/C539*100, "N/A")</f>
        <v>-125.3879394</v>
      </c>
      <c r="J539" s="1"/>
      <c r="K539" s="1"/>
    </row>
    <row r="540" ht="14.25" customHeight="1">
      <c r="A540" s="1" t="s">
        <v>3030</v>
      </c>
      <c r="B540" s="1">
        <v>6.9E7</v>
      </c>
      <c r="C540" s="1">
        <v>5.5585389E7</v>
      </c>
      <c r="F540" s="4">
        <v>-1.3414611E7</v>
      </c>
      <c r="G540" s="4">
        <f t="array" ref="G540">IFERROR((C540-B540)/C540*100, "N/A")</f>
        <v>-24.13334015</v>
      </c>
      <c r="J540" s="1"/>
      <c r="K540" s="1"/>
    </row>
    <row r="541" ht="14.25" customHeight="1">
      <c r="A541" s="1" t="s">
        <v>3035</v>
      </c>
      <c r="B541" s="1">
        <v>7.5E7</v>
      </c>
      <c r="C541" s="1">
        <v>3.6976367E7</v>
      </c>
      <c r="F541" s="4">
        <v>-3.8023633E7</v>
      </c>
      <c r="G541" s="4">
        <f t="array" ref="G541">IFERROR((C541-B541)/C541*100, "N/A")</f>
        <v>-102.8322577</v>
      </c>
      <c r="J541" s="1"/>
      <c r="K541" s="1"/>
    </row>
    <row r="542" ht="14.25" customHeight="1">
      <c r="A542" s="1" t="s">
        <v>3042</v>
      </c>
      <c r="B542" s="1">
        <v>7.3E7</v>
      </c>
      <c r="C542" s="1">
        <v>1.07225164E8</v>
      </c>
      <c r="F542" s="4">
        <v>3.4225164E7</v>
      </c>
      <c r="G542" s="4">
        <f t="array" ref="G542">IFERROR((C542-B542)/C542*100, "N/A")</f>
        <v>31.91896634</v>
      </c>
      <c r="J542" s="1"/>
      <c r="K542" s="1"/>
    </row>
    <row r="543" ht="14.25" customHeight="1">
      <c r="A543" s="1" t="s">
        <v>3047</v>
      </c>
      <c r="B543" s="1">
        <v>7.0E7</v>
      </c>
      <c r="C543" s="1">
        <v>7.0224196E7</v>
      </c>
      <c r="F543" s="4">
        <v>224196.0</v>
      </c>
      <c r="G543" s="4">
        <f t="array" ref="G543">IFERROR((C543-B543)/C543*100, "N/A")</f>
        <v>0.3192574821</v>
      </c>
      <c r="J543" s="1"/>
      <c r="K543" s="1"/>
    </row>
    <row r="544" ht="14.25" customHeight="1">
      <c r="A544" s="1" t="s">
        <v>3053</v>
      </c>
      <c r="B544" s="1">
        <v>7.5E7</v>
      </c>
      <c r="C544" s="1">
        <v>5.181419E7</v>
      </c>
      <c r="F544" s="4">
        <v>-2.318581E7</v>
      </c>
      <c r="G544" s="4">
        <f t="array" ref="G544">IFERROR((C544-B544)/C544*100, "N/A")</f>
        <v>-44.74799278</v>
      </c>
      <c r="J544" s="1"/>
      <c r="K544" s="1"/>
    </row>
    <row r="545" ht="14.25" customHeight="1">
      <c r="A545" s="1" t="s">
        <v>3057</v>
      </c>
      <c r="B545" s="1">
        <v>7.0E7</v>
      </c>
      <c r="C545" s="1">
        <v>4.745645E7</v>
      </c>
      <c r="F545" s="4">
        <v>-2.254355E7</v>
      </c>
      <c r="G545" s="4">
        <f t="array" ref="G545">IFERROR((C545-B545)/C545*100, "N/A")</f>
        <v>-47.50365862</v>
      </c>
      <c r="J545" s="1"/>
      <c r="K545" s="1"/>
    </row>
    <row r="546" ht="14.25" customHeight="1">
      <c r="A546" s="1" t="s">
        <v>3062</v>
      </c>
      <c r="B546" s="1">
        <v>7.3E7</v>
      </c>
      <c r="C546" s="1">
        <v>1.48213377E8</v>
      </c>
      <c r="F546" s="4">
        <v>7.5213377E7</v>
      </c>
      <c r="G546" s="4">
        <f t="array" ref="G546">IFERROR((C546-B546)/C546*100, "N/A")</f>
        <v>50.74668598</v>
      </c>
      <c r="J546" s="1"/>
      <c r="K546" s="1"/>
    </row>
    <row r="547" ht="14.25" customHeight="1">
      <c r="A547" s="1" t="s">
        <v>3068</v>
      </c>
      <c r="B547" s="1">
        <v>7.2E7</v>
      </c>
      <c r="C547" s="1">
        <v>1.12950721E8</v>
      </c>
      <c r="F547" s="4">
        <v>4.0950721E7</v>
      </c>
      <c r="G547" s="4">
        <f t="array" ref="G547">IFERROR((C547-B547)/C547*100, "N/A")</f>
        <v>36.25538698</v>
      </c>
      <c r="J547" s="1"/>
      <c r="K547" s="1"/>
    </row>
    <row r="548" ht="14.25" customHeight="1">
      <c r="A548" s="1" t="s">
        <v>3074</v>
      </c>
      <c r="B548" s="1">
        <v>7.2E7</v>
      </c>
      <c r="C548" s="1">
        <v>7.56E7</v>
      </c>
      <c r="F548" s="4">
        <v>3600000.0</v>
      </c>
      <c r="G548" s="4">
        <f t="array" ref="G548">IFERROR((C548-B548)/C548*100, "N/A")</f>
        <v>4.761904762</v>
      </c>
      <c r="J548" s="1"/>
      <c r="K548" s="1"/>
    </row>
    <row r="549" ht="14.25" customHeight="1">
      <c r="A549" s="1" t="s">
        <v>3081</v>
      </c>
      <c r="B549" s="1">
        <v>7.0E7</v>
      </c>
      <c r="C549" s="1">
        <v>6.264754E7</v>
      </c>
      <c r="F549" s="4">
        <v>-7352460.0</v>
      </c>
      <c r="G549" s="4">
        <f t="array" ref="G549">IFERROR((C549-B549)/C549*100, "N/A")</f>
        <v>-11.73623098</v>
      </c>
      <c r="J549" s="1"/>
      <c r="K549" s="1"/>
    </row>
    <row r="550" ht="14.25" customHeight="1">
      <c r="A550" s="1" t="s">
        <v>3087</v>
      </c>
      <c r="B550" s="1">
        <v>7.5E7</v>
      </c>
      <c r="C550" s="1">
        <v>1.8313237E8</v>
      </c>
      <c r="F550" s="4">
        <v>1.0813237E8</v>
      </c>
      <c r="G550" s="4">
        <f t="array" ref="G550">IFERROR((C550-B550)/C550*100, "N/A")</f>
        <v>59.04601682</v>
      </c>
      <c r="J550" s="1"/>
      <c r="K550" s="1"/>
    </row>
    <row r="551" ht="14.25" customHeight="1">
      <c r="A551" s="1" t="s">
        <v>3094</v>
      </c>
      <c r="B551" s="1">
        <v>7.2E7</v>
      </c>
      <c r="C551" s="1">
        <v>2.7796042E7</v>
      </c>
      <c r="F551" s="4">
        <v>-4.4203958E7</v>
      </c>
      <c r="G551" s="4">
        <f t="array" ref="G551">IFERROR((C551-B551)/C551*100, "N/A")</f>
        <v>-159.0296849</v>
      </c>
      <c r="J551" s="1"/>
      <c r="K551" s="1"/>
    </row>
    <row r="552" ht="14.25" customHeight="1">
      <c r="A552" s="1" t="s">
        <v>3100</v>
      </c>
      <c r="B552" s="1">
        <v>7.2E7</v>
      </c>
      <c r="C552" s="1">
        <v>3.2616869E7</v>
      </c>
      <c r="F552" s="4">
        <v>-3.9383131E7</v>
      </c>
      <c r="G552" s="4">
        <f t="array" ref="G552">IFERROR((C552-B552)/C552*100, "N/A")</f>
        <v>-120.7446705</v>
      </c>
      <c r="J552" s="1"/>
      <c r="K552" s="1"/>
    </row>
    <row r="553" ht="14.25" customHeight="1">
      <c r="A553" s="1" t="s">
        <v>3105</v>
      </c>
      <c r="B553" s="1">
        <v>5.966E7</v>
      </c>
      <c r="C553" s="1">
        <v>1.894763E7</v>
      </c>
      <c r="F553" s="4">
        <v>-4.071237E7</v>
      </c>
      <c r="G553" s="4">
        <f t="array" ref="G553">IFERROR((C553-B553)/C553*100, "N/A")</f>
        <v>-214.8678753</v>
      </c>
      <c r="J553" s="1"/>
      <c r="K553" s="1"/>
    </row>
    <row r="554" ht="14.25" customHeight="1">
      <c r="A554" s="1" t="s">
        <v>3112</v>
      </c>
      <c r="B554" s="1">
        <v>6.0E7</v>
      </c>
      <c r="C554" s="1">
        <v>1.14195633E8</v>
      </c>
      <c r="F554" s="4">
        <v>5.4195633E7</v>
      </c>
      <c r="G554" s="4">
        <f t="array" ref="G554">IFERROR((C554-B554)/C554*100, "N/A")</f>
        <v>47.45858627</v>
      </c>
      <c r="J554" s="1"/>
      <c r="K554" s="1"/>
    </row>
    <row r="555" ht="14.25" customHeight="1">
      <c r="A555" s="1" t="s">
        <v>3117</v>
      </c>
      <c r="B555" s="1">
        <v>7.15E7</v>
      </c>
      <c r="C555" s="1">
        <v>1.44156464E8</v>
      </c>
      <c r="F555" s="4">
        <v>7.2656464E7</v>
      </c>
      <c r="G555" s="4">
        <f t="array" ref="G555">IFERROR((C555-B555)/C555*100, "N/A")</f>
        <v>50.40111417</v>
      </c>
      <c r="J555" s="1"/>
      <c r="K555" s="1"/>
    </row>
    <row r="556" ht="14.25" customHeight="1">
      <c r="A556" s="1" t="s">
        <v>3121</v>
      </c>
      <c r="B556" s="1">
        <v>7.2E7</v>
      </c>
      <c r="C556" s="1">
        <v>2.2796569E8</v>
      </c>
      <c r="F556" s="4">
        <v>1.5596569E8</v>
      </c>
      <c r="G556" s="4">
        <f t="array" ref="G556">IFERROR((C556-B556)/C556*100, "N/A")</f>
        <v>68.41629984</v>
      </c>
      <c r="J556" s="1"/>
      <c r="K556" s="1"/>
    </row>
    <row r="557" ht="14.25" customHeight="1">
      <c r="A557" s="1" t="s">
        <v>3127</v>
      </c>
      <c r="B557" s="1">
        <v>1.5E8</v>
      </c>
      <c r="C557" s="1">
        <v>4.36471036E8</v>
      </c>
      <c r="F557" s="4">
        <v>2.86471036E8</v>
      </c>
      <c r="G557" s="4">
        <f t="array" ref="G557">IFERROR((C557-B557)/C557*100, "N/A")</f>
        <v>65.63345844</v>
      </c>
      <c r="J557" s="1"/>
      <c r="K557" s="1"/>
    </row>
    <row r="558" ht="14.25" customHeight="1">
      <c r="A558" s="1" t="s">
        <v>3133</v>
      </c>
      <c r="B558" s="1">
        <v>1.2E8</v>
      </c>
      <c r="C558" s="1">
        <v>2.44052771E8</v>
      </c>
      <c r="F558" s="4">
        <v>1.24052771E8</v>
      </c>
      <c r="G558" s="4">
        <f t="array" ref="G558">IFERROR((C558-B558)/C558*100, "N/A")</f>
        <v>50.83030629</v>
      </c>
      <c r="J558" s="1"/>
      <c r="K558" s="1"/>
    </row>
    <row r="559" ht="14.25" customHeight="1">
      <c r="A559" s="1" t="s">
        <v>3139</v>
      </c>
      <c r="B559" s="1">
        <v>7.0E7</v>
      </c>
      <c r="C559" s="1">
        <v>1.5214959E8</v>
      </c>
      <c r="F559" s="4">
        <v>8.214959E7</v>
      </c>
      <c r="G559" s="4">
        <f t="array" ref="G559">IFERROR((C559-B559)/C559*100, "N/A")</f>
        <v>53.99264632</v>
      </c>
      <c r="J559" s="1"/>
      <c r="K559" s="1"/>
    </row>
    <row r="560" ht="14.25" customHeight="1">
      <c r="A560" s="1" t="s">
        <v>3143</v>
      </c>
      <c r="B560" s="1">
        <v>7.0E7</v>
      </c>
      <c r="C560" s="1">
        <v>1.41204016E8</v>
      </c>
      <c r="F560" s="4">
        <v>7.1204016E7</v>
      </c>
      <c r="G560" s="4">
        <f t="array" ref="G560">IFERROR((C560-B560)/C560*100, "N/A")</f>
        <v>50.42633915</v>
      </c>
      <c r="J560" s="1"/>
      <c r="K560" s="1"/>
    </row>
    <row r="561" ht="14.25" customHeight="1">
      <c r="A561" s="1" t="s">
        <v>3149</v>
      </c>
      <c r="B561" s="1">
        <v>7.4E7</v>
      </c>
      <c r="C561" s="1">
        <v>1.62495848E8</v>
      </c>
      <c r="F561" s="4">
        <v>8.8495848E7</v>
      </c>
      <c r="G561" s="4">
        <f t="array" ref="G561">IFERROR((C561-B561)/C561*100, "N/A")</f>
        <v>54.46037489</v>
      </c>
      <c r="J561" s="1"/>
      <c r="K561" s="1"/>
    </row>
    <row r="562" ht="14.25" customHeight="1">
      <c r="A562" s="1" t="s">
        <v>3154</v>
      </c>
      <c r="B562" s="1">
        <v>8.0E7</v>
      </c>
      <c r="C562" s="1">
        <v>1.36448821E8</v>
      </c>
      <c r="F562" s="4">
        <v>5.6448821E7</v>
      </c>
      <c r="G562" s="4">
        <f t="array" ref="G562">IFERROR((C562-B562)/C562*100, "N/A")</f>
        <v>41.36995878</v>
      </c>
      <c r="J562" s="1"/>
      <c r="K562" s="1"/>
    </row>
    <row r="563" ht="14.25" customHeight="1">
      <c r="A563" s="1" t="s">
        <v>3157</v>
      </c>
      <c r="B563" s="1">
        <v>7.5E7</v>
      </c>
      <c r="C563" s="1">
        <v>1.20523073E8</v>
      </c>
      <c r="F563" s="4">
        <v>4.5523073E7</v>
      </c>
      <c r="G563" s="4">
        <f t="array" ref="G563">IFERROR((C563-B563)/C563*100, "N/A")</f>
        <v>37.77125148</v>
      </c>
      <c r="J563" s="1"/>
      <c r="K563" s="1"/>
    </row>
    <row r="564" ht="14.25" customHeight="1">
      <c r="A564" s="1" t="s">
        <v>3161</v>
      </c>
      <c r="B564" s="1">
        <v>7.0E7</v>
      </c>
      <c r="C564" s="1">
        <v>1.196549E8</v>
      </c>
      <c r="F564" s="4">
        <v>4.96549E7</v>
      </c>
      <c r="G564" s="4">
        <f t="array" ref="G564">IFERROR((C564-B564)/C564*100, "N/A")</f>
        <v>41.49842589</v>
      </c>
      <c r="J564" s="1"/>
      <c r="K564" s="1"/>
    </row>
    <row r="565" ht="14.25" customHeight="1">
      <c r="A565" s="1" t="s">
        <v>1782</v>
      </c>
      <c r="B565" s="1">
        <v>1.0E8</v>
      </c>
      <c r="C565" s="1">
        <v>7.2660029E7</v>
      </c>
      <c r="F565" s="4">
        <v>-2.7339971E7</v>
      </c>
      <c r="G565" s="4">
        <f t="array" ref="G565">IFERROR((C565-B565)/C565*100, "N/A")</f>
        <v>-37.62725033</v>
      </c>
      <c r="J565" s="1"/>
      <c r="K565" s="1"/>
    </row>
    <row r="566" ht="14.25" customHeight="1">
      <c r="A566" s="1" t="s">
        <v>3164</v>
      </c>
      <c r="B566" s="1">
        <v>7.0E7</v>
      </c>
      <c r="C566" s="1">
        <v>1.17541E8</v>
      </c>
      <c r="F566" s="4">
        <v>4.7541E7</v>
      </c>
      <c r="G566" s="4">
        <f t="array" ref="G566">IFERROR((C566-B566)/C566*100, "N/A")</f>
        <v>40.44631235</v>
      </c>
      <c r="J566" s="1"/>
      <c r="K566" s="1"/>
    </row>
    <row r="567" ht="14.25" customHeight="1">
      <c r="A567" s="1" t="s">
        <v>3170</v>
      </c>
      <c r="B567" s="1">
        <v>8.0E7</v>
      </c>
      <c r="C567" s="1">
        <v>1.16643346E8</v>
      </c>
      <c r="F567" s="4">
        <v>3.6643346E7</v>
      </c>
      <c r="G567" s="4">
        <f t="array" ref="G567">IFERROR((C567-B567)/C567*100, "N/A")</f>
        <v>31.41486185</v>
      </c>
      <c r="J567" s="1"/>
      <c r="K567" s="1"/>
    </row>
    <row r="568" ht="14.25" customHeight="1">
      <c r="A568" s="1" t="s">
        <v>3176</v>
      </c>
      <c r="B568" s="1">
        <v>6.8E7</v>
      </c>
      <c r="C568" s="1">
        <v>1.00614858E8</v>
      </c>
      <c r="F568" s="4">
        <v>3.2614858E7</v>
      </c>
      <c r="G568" s="4">
        <f t="array" ref="G568">IFERROR((C568-B568)/C568*100, "N/A")</f>
        <v>32.41554841</v>
      </c>
      <c r="J568" s="1"/>
      <c r="K568" s="1"/>
    </row>
    <row r="569" ht="14.25" customHeight="1">
      <c r="A569" s="1" t="s">
        <v>3180</v>
      </c>
      <c r="B569" s="1">
        <v>7.0E7</v>
      </c>
      <c r="C569" s="1">
        <v>4.2272747E7</v>
      </c>
      <c r="F569" s="4">
        <v>-2.7727253E7</v>
      </c>
      <c r="G569" s="4">
        <f t="array" ref="G569">IFERROR((C569-B569)/C569*100, "N/A")</f>
        <v>-65.59132057</v>
      </c>
      <c r="J569" s="1"/>
      <c r="K569" s="1"/>
    </row>
    <row r="570" ht="14.25" customHeight="1">
      <c r="A570" s="1" t="s">
        <v>3186</v>
      </c>
      <c r="B570" s="1">
        <v>6.0E7</v>
      </c>
      <c r="C570" s="1">
        <v>8.0281096E7</v>
      </c>
      <c r="F570" s="4">
        <v>2.0281096E7</v>
      </c>
      <c r="G570" s="4">
        <f t="array" ref="G570">IFERROR((C570-B570)/C570*100, "N/A")</f>
        <v>25.26260479</v>
      </c>
      <c r="J570" s="1"/>
      <c r="K570" s="1"/>
    </row>
    <row r="571" ht="14.25" customHeight="1">
      <c r="A571" s="1" t="s">
        <v>3190</v>
      </c>
      <c r="B571" s="1">
        <v>7.5E7</v>
      </c>
      <c r="C571" s="1">
        <v>2.19613391E8</v>
      </c>
      <c r="F571" s="4">
        <v>1.44613391E8</v>
      </c>
      <c r="G571" s="4">
        <f t="array" ref="G571">IFERROR((C571-B571)/C571*100, "N/A")</f>
        <v>65.84907703</v>
      </c>
      <c r="J571" s="1"/>
      <c r="K571" s="1"/>
    </row>
    <row r="572" ht="14.25" customHeight="1">
      <c r="A572" s="1" t="s">
        <v>3196</v>
      </c>
      <c r="B572" s="1">
        <v>7.5E7</v>
      </c>
      <c r="C572" s="1">
        <v>7.8120196E7</v>
      </c>
      <c r="F572" s="4">
        <v>3120196.0</v>
      </c>
      <c r="G572" s="4">
        <f t="array" ref="G572">IFERROR((C572-B572)/C572*100, "N/A")</f>
        <v>3.994096482</v>
      </c>
      <c r="J572" s="1"/>
      <c r="K572" s="1"/>
    </row>
    <row r="573" ht="14.25" customHeight="1">
      <c r="A573" s="1" t="s">
        <v>3200</v>
      </c>
      <c r="B573" s="1">
        <v>7.0E7</v>
      </c>
      <c r="C573" s="1">
        <v>9.8895417E7</v>
      </c>
      <c r="F573" s="4">
        <v>2.8895417E7</v>
      </c>
      <c r="G573" s="4">
        <f t="array" ref="G573">IFERROR((C573-B573)/C573*100, "N/A")</f>
        <v>29.21815578</v>
      </c>
      <c r="J573" s="1"/>
      <c r="K573" s="1"/>
    </row>
    <row r="574" ht="14.25" customHeight="1">
      <c r="A574" s="1" t="s">
        <v>3205</v>
      </c>
      <c r="B574" s="1">
        <v>5.8E7</v>
      </c>
      <c r="C574" s="1">
        <v>7.0117571E7</v>
      </c>
      <c r="F574" s="4">
        <v>1.2117571E7</v>
      </c>
      <c r="G574" s="4">
        <f t="array" ref="G574">IFERROR((C574-B574)/C574*100, "N/A")</f>
        <v>17.28178947</v>
      </c>
      <c r="J574" s="1"/>
      <c r="K574" s="1"/>
    </row>
    <row r="575" ht="14.25" customHeight="1">
      <c r="A575" s="1" t="s">
        <v>3210</v>
      </c>
      <c r="B575" s="1">
        <v>7.0E7</v>
      </c>
      <c r="C575" s="1">
        <v>8.3552429E7</v>
      </c>
      <c r="F575" s="4">
        <v>1.3552429E7</v>
      </c>
      <c r="G575" s="4">
        <f t="array" ref="G575">IFERROR((C575-B575)/C575*100, "N/A")</f>
        <v>16.22026931</v>
      </c>
      <c r="J575" s="1"/>
      <c r="K575" s="1"/>
    </row>
    <row r="576" ht="14.25" customHeight="1">
      <c r="A576" s="1" t="s">
        <v>3213</v>
      </c>
      <c r="B576" s="1">
        <v>7.0E7</v>
      </c>
      <c r="C576" s="1">
        <v>6.6257002E7</v>
      </c>
      <c r="F576" s="4">
        <v>-3742998.0</v>
      </c>
      <c r="G576" s="4">
        <f t="array" ref="G576">IFERROR((C576-B576)/C576*100, "N/A")</f>
        <v>-5.649211234</v>
      </c>
      <c r="J576" s="1"/>
      <c r="K576" s="1"/>
    </row>
    <row r="577" ht="14.25" customHeight="1">
      <c r="A577" s="1" t="s">
        <v>3217</v>
      </c>
      <c r="B577" s="1">
        <v>7.0E7</v>
      </c>
      <c r="C577" s="1">
        <v>6.5012E7</v>
      </c>
      <c r="F577" s="4">
        <v>-4988000.0</v>
      </c>
      <c r="G577" s="4">
        <f t="array" ref="G577">IFERROR((C577-B577)/C577*100, "N/A")</f>
        <v>-7.672429705</v>
      </c>
      <c r="J577" s="1"/>
      <c r="K577" s="1"/>
    </row>
    <row r="578" ht="14.25" customHeight="1">
      <c r="A578" s="1" t="s">
        <v>3224</v>
      </c>
      <c r="B578" s="1">
        <v>6.6E7</v>
      </c>
      <c r="C578" s="1">
        <v>7.9883359E7</v>
      </c>
      <c r="F578" s="4">
        <v>1.3883359E7</v>
      </c>
      <c r="G578" s="4">
        <f t="array" ref="G578">IFERROR((C578-B578)/C578*100, "N/A")</f>
        <v>17.37953833</v>
      </c>
      <c r="J578" s="1"/>
      <c r="K578" s="1"/>
    </row>
    <row r="579" ht="14.25" customHeight="1">
      <c r="A579" s="1" t="s">
        <v>3230</v>
      </c>
      <c r="B579" s="1">
        <v>7.0E7</v>
      </c>
      <c r="C579" s="1">
        <v>7.803162E7</v>
      </c>
      <c r="F579" s="4">
        <v>8031620.0</v>
      </c>
      <c r="G579" s="4">
        <f t="array" ref="G579">IFERROR((C579-B579)/C579*100, "N/A")</f>
        <v>10.29277618</v>
      </c>
      <c r="J579" s="1"/>
      <c r="K579" s="1"/>
    </row>
    <row r="580" ht="14.25" customHeight="1">
      <c r="A580" s="1" t="s">
        <v>3233</v>
      </c>
      <c r="B580" s="1">
        <v>6.95E7</v>
      </c>
      <c r="C580" s="1">
        <v>5.4222E7</v>
      </c>
      <c r="F580" s="4">
        <v>-1.5278E7</v>
      </c>
      <c r="G580" s="4">
        <f t="array" ref="G580">IFERROR((C580-B580)/C580*100, "N/A")</f>
        <v>-28.17675482</v>
      </c>
      <c r="J580" s="1"/>
      <c r="K580" s="1"/>
    </row>
    <row r="581" ht="14.25" customHeight="1">
      <c r="A581" s="1" t="s">
        <v>3237</v>
      </c>
      <c r="B581" s="1">
        <v>7.0E7</v>
      </c>
      <c r="C581" s="1">
        <v>5.2474616E7</v>
      </c>
      <c r="F581" s="4">
        <v>-1.7525384E7</v>
      </c>
      <c r="G581" s="4">
        <f t="array" ref="G581">IFERROR((C581-B581)/C581*100, "N/A")</f>
        <v>-33.39783182</v>
      </c>
      <c r="J581" s="1"/>
      <c r="K581" s="1"/>
    </row>
    <row r="582" ht="14.25" customHeight="1">
      <c r="A582" s="1" t="s">
        <v>3243</v>
      </c>
      <c r="B582" s="1">
        <v>7.0E7</v>
      </c>
      <c r="C582" s="1">
        <v>5.594283E7</v>
      </c>
      <c r="F582" s="4">
        <v>-1.405717E7</v>
      </c>
      <c r="G582" s="4">
        <f t="array" ref="G582">IFERROR((C582-B582)/C582*100, "N/A")</f>
        <v>-25.12774202</v>
      </c>
      <c r="J582" s="1"/>
      <c r="K582" s="1"/>
    </row>
    <row r="583" ht="14.25" customHeight="1">
      <c r="A583" s="1" t="s">
        <v>3249</v>
      </c>
      <c r="B583" s="1">
        <v>7.0E7</v>
      </c>
      <c r="C583" s="1">
        <v>4.0932372E7</v>
      </c>
      <c r="F583" s="4">
        <v>-2.9067628E7</v>
      </c>
      <c r="G583" s="4">
        <f t="array" ref="G583">IFERROR((C583-B583)/C583*100, "N/A")</f>
        <v>-71.0137883</v>
      </c>
      <c r="J583" s="1"/>
      <c r="K583" s="1"/>
    </row>
    <row r="584" ht="14.25" customHeight="1">
      <c r="A584" s="1" t="s">
        <v>3253</v>
      </c>
      <c r="B584" s="1">
        <v>7.0E7</v>
      </c>
      <c r="C584" s="1">
        <v>3.8345403E7</v>
      </c>
      <c r="F584" s="4">
        <v>-3.1654597E7</v>
      </c>
      <c r="G584" s="4">
        <f t="array" ref="G584">IFERROR((C584-B584)/C584*100, "N/A")</f>
        <v>-82.55121742</v>
      </c>
      <c r="J584" s="1"/>
      <c r="K584" s="1"/>
    </row>
    <row r="585" ht="14.25" customHeight="1">
      <c r="A585" s="1" t="s">
        <v>3258</v>
      </c>
      <c r="B585" s="1">
        <v>7.0E7</v>
      </c>
      <c r="C585" s="1">
        <v>3.7901509E7</v>
      </c>
      <c r="F585" s="4">
        <v>-3.2098491E7</v>
      </c>
      <c r="G585" s="4">
        <f t="array" ref="G585">IFERROR((C585-B585)/C585*100, "N/A")</f>
        <v>-84.68921646</v>
      </c>
      <c r="J585" s="1"/>
      <c r="K585" s="1"/>
    </row>
    <row r="586" ht="14.25" customHeight="1">
      <c r="A586" s="1" t="s">
        <v>3263</v>
      </c>
      <c r="B586" s="1">
        <v>7.0E7</v>
      </c>
      <c r="C586" s="1">
        <v>4.8430355E7</v>
      </c>
      <c r="F586" s="4">
        <v>-2.1569645E7</v>
      </c>
      <c r="G586" s="4">
        <f t="array" ref="G586">IFERROR((C586-B586)/C586*100, "N/A")</f>
        <v>-44.5374497</v>
      </c>
      <c r="J586" s="1"/>
      <c r="K586" s="1"/>
    </row>
    <row r="587" ht="14.25" customHeight="1">
      <c r="A587" s="1" t="s">
        <v>3267</v>
      </c>
      <c r="B587" s="1">
        <v>7.0E7</v>
      </c>
      <c r="C587" s="1">
        <v>3.0157016E7</v>
      </c>
      <c r="F587" s="4">
        <v>-3.9842984E7</v>
      </c>
      <c r="G587" s="4">
        <f t="array" ref="G587">IFERROR((C587-B587)/C587*100, "N/A")</f>
        <v>-132.1184563</v>
      </c>
      <c r="J587" s="1"/>
      <c r="K587" s="1"/>
    </row>
    <row r="588" ht="14.25" customHeight="1">
      <c r="A588" s="1" t="s">
        <v>3273</v>
      </c>
      <c r="B588" s="1">
        <v>6.0E7</v>
      </c>
      <c r="C588" s="1">
        <v>2.803125E7</v>
      </c>
      <c r="F588" s="4">
        <v>-3.196875E7</v>
      </c>
      <c r="G588" s="4">
        <f t="array" ref="G588">IFERROR((C588-B588)/C588*100, "N/A")</f>
        <v>-114.0468227</v>
      </c>
      <c r="J588" s="1"/>
      <c r="K588" s="1"/>
    </row>
    <row r="589" ht="14.25" customHeight="1">
      <c r="A589" s="1" t="s">
        <v>3279</v>
      </c>
      <c r="B589" s="1">
        <v>7.0E7</v>
      </c>
      <c r="C589" s="1">
        <v>3.31056E7</v>
      </c>
      <c r="F589" s="4">
        <v>-3.68944E7</v>
      </c>
      <c r="G589" s="4">
        <f t="array" ref="G589">IFERROR((C589-B589)/C589*100, "N/A")</f>
        <v>-111.4445894</v>
      </c>
      <c r="J589" s="1"/>
      <c r="K589" s="1"/>
    </row>
    <row r="590" ht="14.25" customHeight="1">
      <c r="A590" s="1" t="s">
        <v>3285</v>
      </c>
      <c r="B590" s="1">
        <v>7.0E7</v>
      </c>
      <c r="C590" s="1">
        <v>6.2321039E7</v>
      </c>
      <c r="F590" s="4">
        <v>-7678961.0</v>
      </c>
      <c r="G590" s="4">
        <f t="array" ref="G590">IFERROR((C590-B590)/C590*100, "N/A")</f>
        <v>-12.32161903</v>
      </c>
      <c r="J590" s="1"/>
      <c r="K590" s="1"/>
    </row>
    <row r="591" ht="14.25" customHeight="1">
      <c r="A591" s="1" t="s">
        <v>3291</v>
      </c>
      <c r="B591" s="1">
        <v>7.5E7</v>
      </c>
      <c r="C591" s="1">
        <v>3.8509342E7</v>
      </c>
      <c r="F591" s="4">
        <v>-3.6490658E7</v>
      </c>
      <c r="G591" s="4">
        <f t="array" ref="G591">IFERROR((C591-B591)/C591*100, "N/A")</f>
        <v>-94.75793692</v>
      </c>
      <c r="J591" s="1"/>
      <c r="K591" s="1"/>
    </row>
    <row r="592" ht="14.25" customHeight="1">
      <c r="A592" s="1" t="s">
        <v>3299</v>
      </c>
      <c r="B592" s="1">
        <v>6.0E7</v>
      </c>
      <c r="C592" s="1">
        <v>1.9076815E7</v>
      </c>
      <c r="F592" s="4">
        <v>-4.0923185E7</v>
      </c>
      <c r="G592" s="4">
        <f t="array" ref="G592">IFERROR((C592-B592)/C592*100, "N/A")</f>
        <v>-214.5179109</v>
      </c>
      <c r="J592" s="1"/>
      <c r="K592" s="1"/>
    </row>
    <row r="593" ht="14.25" customHeight="1">
      <c r="A593" s="1" t="s">
        <v>3304</v>
      </c>
      <c r="B593" s="1">
        <v>3.5E7</v>
      </c>
      <c r="C593" s="1">
        <v>2.5093607E7</v>
      </c>
      <c r="F593" s="4">
        <v>-9906393.0</v>
      </c>
      <c r="G593" s="4">
        <f t="array" ref="G593">IFERROR((C593-B593)/C593*100, "N/A")</f>
        <v>-39.47775623</v>
      </c>
      <c r="J593" s="1"/>
      <c r="K593" s="1"/>
    </row>
    <row r="594" ht="14.25" customHeight="1">
      <c r="A594" s="1" t="s">
        <v>3307</v>
      </c>
      <c r="B594" s="1">
        <v>7.0E7</v>
      </c>
      <c r="C594" s="1">
        <v>1.8990542E7</v>
      </c>
      <c r="F594" s="4">
        <v>-5.1009458E7</v>
      </c>
      <c r="G594" s="4">
        <f t="array" ref="G594">IFERROR((C594-B594)/C594*100, "N/A")</f>
        <v>-268.6045401</v>
      </c>
      <c r="J594" s="1"/>
      <c r="K594" s="1"/>
    </row>
    <row r="595" ht="14.25" customHeight="1">
      <c r="A595" s="1" t="s">
        <v>3312</v>
      </c>
      <c r="B595" s="1">
        <v>7.0E7</v>
      </c>
      <c r="C595" s="1">
        <v>1.4294842E7</v>
      </c>
      <c r="F595" s="4">
        <v>-5.5705158E7</v>
      </c>
      <c r="G595" s="4">
        <f t="array" ref="G595">IFERROR((C595-B595)/C595*100, "N/A")</f>
        <v>-389.6871193</v>
      </c>
      <c r="J595" s="1"/>
      <c r="K595" s="1"/>
    </row>
    <row r="596" ht="14.25" customHeight="1">
      <c r="A596" s="1" t="s">
        <v>3318</v>
      </c>
      <c r="B596" s="1">
        <v>7.0E7</v>
      </c>
      <c r="C596" s="1">
        <v>1.9819494E7</v>
      </c>
      <c r="F596" s="4">
        <v>-5.0180506E7</v>
      </c>
      <c r="G596" s="4">
        <f t="array" ref="G596">IFERROR((C596-B596)/C596*100, "N/A")</f>
        <v>-253.1876243</v>
      </c>
      <c r="J596" s="1"/>
      <c r="K596" s="1"/>
    </row>
    <row r="597" ht="14.25" customHeight="1">
      <c r="A597" s="1" t="s">
        <v>3323</v>
      </c>
      <c r="B597" s="1">
        <v>7.0E7</v>
      </c>
      <c r="C597" s="1">
        <v>1.3596911E7</v>
      </c>
      <c r="F597" s="4">
        <v>-5.6403089E7</v>
      </c>
      <c r="G597" s="4">
        <f t="array" ref="G597">IFERROR((C597-B597)/C597*100, "N/A")</f>
        <v>-414.8228153</v>
      </c>
      <c r="J597" s="1"/>
      <c r="K597" s="1"/>
    </row>
    <row r="598" ht="14.25" customHeight="1">
      <c r="A598" s="1" t="s">
        <v>3328</v>
      </c>
      <c r="B598" s="1">
        <v>7.0E7</v>
      </c>
      <c r="C598" s="1">
        <v>7097125.0</v>
      </c>
      <c r="F598" s="4">
        <v>-6.2902875E7</v>
      </c>
      <c r="G598" s="4">
        <f t="array" ref="G598">IFERROR((C598-B598)/C598*100, "N/A")</f>
        <v>-886.314881</v>
      </c>
      <c r="J598" s="1"/>
      <c r="K598" s="1"/>
    </row>
    <row r="599" ht="14.25" customHeight="1">
      <c r="A599" s="1" t="s">
        <v>3334</v>
      </c>
      <c r="B599" s="1">
        <v>7.0E7</v>
      </c>
      <c r="C599" s="1">
        <v>3.776008E7</v>
      </c>
      <c r="F599" s="4">
        <v>-3.223992E7</v>
      </c>
      <c r="G599" s="4">
        <f t="array" ref="G599">IFERROR((C599-B599)/C599*100, "N/A")</f>
        <v>-85.38096318</v>
      </c>
      <c r="J599" s="1"/>
      <c r="K599" s="1"/>
    </row>
    <row r="600" ht="14.25" customHeight="1">
      <c r="A600" s="1" t="s">
        <v>3339</v>
      </c>
      <c r="B600" s="1">
        <v>7.0E7</v>
      </c>
      <c r="C600" s="1">
        <v>5851188.0</v>
      </c>
      <c r="F600" s="4">
        <v>-6.4148812E7</v>
      </c>
      <c r="G600" s="4">
        <f t="array" ref="G600">IFERROR((C600-B600)/C600*100, "N/A")</f>
        <v>-1096.338248</v>
      </c>
      <c r="J600" s="1"/>
      <c r="K600" s="1"/>
    </row>
    <row r="601" ht="14.25" customHeight="1">
      <c r="A601" s="1" t="s">
        <v>3346</v>
      </c>
      <c r="B601" s="1">
        <v>5.0E7</v>
      </c>
      <c r="C601" s="1">
        <v>2.5121291E7</v>
      </c>
      <c r="F601" s="4">
        <v>-2.4878709E7</v>
      </c>
      <c r="G601" s="4">
        <f t="array" ref="G601">IFERROR((C601-B601)/C601*100, "N/A")</f>
        <v>-99.03435695</v>
      </c>
      <c r="J601" s="1"/>
      <c r="K601" s="1"/>
    </row>
    <row r="602" ht="14.25" customHeight="1">
      <c r="A602" s="1" t="s">
        <v>3352</v>
      </c>
      <c r="B602" s="1">
        <v>7.0E7</v>
      </c>
      <c r="C602" s="1">
        <v>1.8821279E7</v>
      </c>
      <c r="F602" s="4">
        <v>-5.1178721E7</v>
      </c>
      <c r="G602" s="4">
        <f t="array" ref="G602">IFERROR((C602-B602)/C602*100, "N/A")</f>
        <v>-271.9194641</v>
      </c>
      <c r="J602" s="1"/>
      <c r="K602" s="1"/>
    </row>
    <row r="603" ht="14.25" customHeight="1">
      <c r="A603" s="1" t="s">
        <v>3359</v>
      </c>
      <c r="B603" s="1">
        <v>6.8E7</v>
      </c>
      <c r="C603" s="1">
        <v>1.1847132E8</v>
      </c>
      <c r="F603" s="4">
        <v>5.047132E7</v>
      </c>
      <c r="G603" s="4">
        <f t="array" ref="G603">IFERROR((C603-B603)/C603*100, "N/A")</f>
        <v>42.60214202</v>
      </c>
      <c r="J603" s="1"/>
      <c r="K603" s="1"/>
    </row>
    <row r="604" ht="14.25" customHeight="1">
      <c r="A604" s="1" t="s">
        <v>3364</v>
      </c>
      <c r="B604" s="1">
        <v>6.8E7</v>
      </c>
      <c r="C604" s="1">
        <v>3.00523113E8</v>
      </c>
      <c r="F604" s="4">
        <v>2.32523113E8</v>
      </c>
      <c r="G604" s="4">
        <f t="array" ref="G604">IFERROR((C604-B604)/C604*100, "N/A")</f>
        <v>77.37278863</v>
      </c>
      <c r="J604" s="1"/>
      <c r="K604" s="1"/>
    </row>
    <row r="605" ht="14.25" customHeight="1">
      <c r="A605" s="1" t="s">
        <v>3367</v>
      </c>
      <c r="B605" s="1">
        <v>6.8E7</v>
      </c>
      <c r="C605" s="1">
        <v>7.1069884E7</v>
      </c>
      <c r="F605" s="4">
        <v>3069884.0</v>
      </c>
      <c r="G605" s="4">
        <f t="array" ref="G605">IFERROR((C605-B605)/C605*100, "N/A")</f>
        <v>4.319528649</v>
      </c>
      <c r="J605" s="1"/>
      <c r="K605" s="1"/>
    </row>
    <row r="606" ht="14.25" customHeight="1">
      <c r="A606" s="1" t="s">
        <v>3371</v>
      </c>
      <c r="B606" s="1">
        <v>6.9E7</v>
      </c>
      <c r="C606" s="1">
        <v>2.51501645E8</v>
      </c>
      <c r="F606" s="4">
        <v>1.82501645E8</v>
      </c>
      <c r="G606" s="4">
        <f t="array" ref="G606">IFERROR((C606-B606)/C606*100, "N/A")</f>
        <v>72.56479177</v>
      </c>
      <c r="J606" s="1"/>
      <c r="K606" s="1"/>
    </row>
    <row r="607" ht="14.25" customHeight="1">
      <c r="A607" s="1" t="s">
        <v>3375</v>
      </c>
      <c r="B607" s="1">
        <v>6.8E7</v>
      </c>
      <c r="C607" s="1">
        <v>3.5324232E7</v>
      </c>
      <c r="F607" s="4">
        <v>-3.2675768E7</v>
      </c>
      <c r="G607" s="4">
        <f t="array" ref="G607">IFERROR((C607-B607)/C607*100, "N/A")</f>
        <v>-92.50241591</v>
      </c>
      <c r="J607" s="1"/>
      <c r="K607" s="1"/>
    </row>
    <row r="608" ht="14.25" customHeight="1">
      <c r="A608" s="1" t="s">
        <v>3382</v>
      </c>
      <c r="B608" s="1">
        <v>6.8E7</v>
      </c>
      <c r="C608" s="1">
        <v>8.12575E7</v>
      </c>
      <c r="F608" s="4">
        <v>1.32575E7</v>
      </c>
      <c r="G608" s="4">
        <f t="array" ref="G608">IFERROR((C608-B608)/C608*100, "N/A")</f>
        <v>16.31541704</v>
      </c>
      <c r="J608" s="1"/>
      <c r="K608" s="1"/>
    </row>
    <row r="609" ht="14.25" customHeight="1">
      <c r="A609" s="1" t="s">
        <v>3386</v>
      </c>
      <c r="B609" s="1">
        <v>7.0E7</v>
      </c>
      <c r="C609" s="1">
        <v>617840.0</v>
      </c>
      <c r="F609" s="4">
        <v>-6.938216E7</v>
      </c>
      <c r="G609" s="4">
        <f t="array" ref="G609">IFERROR((C609-B609)/C609*100, "N/A")</f>
        <v>-11229.79412</v>
      </c>
      <c r="J609" s="1"/>
      <c r="K609" s="1"/>
    </row>
    <row r="610" ht="14.25" customHeight="1">
      <c r="A610" s="1" t="s">
        <v>3395</v>
      </c>
      <c r="B610" s="1">
        <v>6.5E7</v>
      </c>
      <c r="C610" s="1">
        <v>2.965559E7</v>
      </c>
      <c r="F610" s="4">
        <v>-3.534441E7</v>
      </c>
      <c r="G610" s="4">
        <f t="array" ref="G610">IFERROR((C610-B610)/C610*100, "N/A")</f>
        <v>-119.1829601</v>
      </c>
      <c r="J610" s="1"/>
      <c r="K610" s="1"/>
    </row>
    <row r="611" ht="14.25" customHeight="1">
      <c r="A611" s="1" t="s">
        <v>3398</v>
      </c>
      <c r="B611" s="1">
        <v>3.6E7</v>
      </c>
      <c r="C611" s="1">
        <v>4.5045037E7</v>
      </c>
      <c r="F611" s="4">
        <v>9045037.0</v>
      </c>
      <c r="G611" s="4">
        <f t="array" ref="G611">IFERROR((C611-B611)/C611*100, "N/A")</f>
        <v>20.07998573</v>
      </c>
      <c r="J611" s="1"/>
      <c r="K611" s="1"/>
    </row>
    <row r="612" ht="14.25" customHeight="1">
      <c r="A612" s="1" t="s">
        <v>3403</v>
      </c>
      <c r="B612" s="1">
        <v>6.8E7</v>
      </c>
      <c r="C612" s="1">
        <v>2.8965197E7</v>
      </c>
      <c r="F612" s="4">
        <v>-3.9034803E7</v>
      </c>
      <c r="G612" s="4">
        <f t="array" ref="G612">IFERROR((C612-B612)/C612*100, "N/A")</f>
        <v>-134.7645003</v>
      </c>
      <c r="J612" s="1"/>
      <c r="K612" s="1"/>
    </row>
    <row r="613" ht="14.25" customHeight="1">
      <c r="A613" s="1" t="s">
        <v>3407</v>
      </c>
      <c r="B613" s="1">
        <v>7.0E7</v>
      </c>
      <c r="C613" s="1">
        <v>3.9380442E7</v>
      </c>
      <c r="F613" s="4">
        <v>-3.0619558E7</v>
      </c>
      <c r="G613" s="4">
        <f t="array" ref="G613">IFERROR((C613-B613)/C613*100, "N/A")</f>
        <v>-77.75321059</v>
      </c>
      <c r="J613" s="1"/>
      <c r="K613" s="1"/>
    </row>
    <row r="614" ht="14.25" customHeight="1">
      <c r="A614" s="1" t="s">
        <v>3412</v>
      </c>
      <c r="B614" s="1">
        <v>6.9E7</v>
      </c>
      <c r="C614" s="1">
        <v>3.7516013E7</v>
      </c>
      <c r="F614" s="4">
        <v>-3.1483987E7</v>
      </c>
      <c r="G614" s="4">
        <f t="array" ref="G614">IFERROR((C614-B614)/C614*100, "N/A")</f>
        <v>-83.92146308</v>
      </c>
      <c r="J614" s="1"/>
      <c r="K614" s="1"/>
    </row>
    <row r="615" ht="14.25" customHeight="1">
      <c r="A615" s="1" t="s">
        <v>3415</v>
      </c>
      <c r="B615" s="1">
        <v>6.6E7</v>
      </c>
      <c r="C615" s="1">
        <v>8.7704396E7</v>
      </c>
      <c r="F615" s="4">
        <v>2.1704396E7</v>
      </c>
      <c r="G615" s="4">
        <f t="array" ref="G615">IFERROR((C615-B615)/C615*100, "N/A")</f>
        <v>24.74721564</v>
      </c>
      <c r="J615" s="1"/>
      <c r="K615" s="1"/>
    </row>
    <row r="616" ht="14.25" customHeight="1">
      <c r="A616" s="1" t="s">
        <v>3421</v>
      </c>
      <c r="B616" s="1">
        <v>6.6E7</v>
      </c>
      <c r="C616" s="1">
        <v>8.3892374E7</v>
      </c>
      <c r="F616" s="4">
        <v>1.7892374E7</v>
      </c>
      <c r="G616" s="4">
        <f t="array" ref="G616">IFERROR((C616-B616)/C616*100, "N/A")</f>
        <v>21.3277717</v>
      </c>
      <c r="J616" s="1"/>
      <c r="K616" s="1"/>
    </row>
    <row r="617" ht="14.25" customHeight="1">
      <c r="A617" s="1" t="s">
        <v>3426</v>
      </c>
      <c r="B617" s="1">
        <v>3.5E7</v>
      </c>
      <c r="C617" s="1">
        <v>5932060.0</v>
      </c>
      <c r="F617" s="4">
        <v>-2.906794E7</v>
      </c>
      <c r="G617" s="4">
        <f t="array" ref="G617">IFERROR((C617-B617)/C617*100, "N/A")</f>
        <v>-490.0142615</v>
      </c>
      <c r="J617" s="1"/>
      <c r="K617" s="1"/>
    </row>
    <row r="618" ht="14.25" customHeight="1">
      <c r="A618" s="1" t="s">
        <v>3431</v>
      </c>
      <c r="B618" s="1">
        <v>7.0E7</v>
      </c>
      <c r="C618" s="1">
        <v>2.16119491E8</v>
      </c>
      <c r="F618" s="4">
        <v>1.46119491E8</v>
      </c>
      <c r="G618" s="4">
        <f t="array" ref="G618">IFERROR((C618-B618)/C618*100, "N/A")</f>
        <v>67.61051043</v>
      </c>
      <c r="J618" s="1"/>
      <c r="K618" s="1"/>
    </row>
    <row r="619" ht="14.25" customHeight="1">
      <c r="A619" s="1" t="s">
        <v>3435</v>
      </c>
      <c r="B619" s="1">
        <v>6.6E7</v>
      </c>
      <c r="C619" s="1">
        <v>4.3568507E7</v>
      </c>
      <c r="F619" s="4">
        <v>-2.2431493E7</v>
      </c>
      <c r="G619" s="4">
        <f t="array" ref="G619">IFERROR((C619-B619)/C619*100, "N/A")</f>
        <v>-51.48556732</v>
      </c>
      <c r="J619" s="1"/>
      <c r="K619" s="1"/>
    </row>
    <row r="620" ht="14.25" customHeight="1">
      <c r="A620" s="1" t="s">
        <v>3438</v>
      </c>
      <c r="B620" s="1">
        <v>7.0E7</v>
      </c>
      <c r="C620" s="1">
        <v>1.82805123E8</v>
      </c>
      <c r="F620" s="4">
        <v>1.12805123E8</v>
      </c>
      <c r="G620" s="4">
        <f t="array" ref="G620">IFERROR((C620-B620)/C620*100, "N/A")</f>
        <v>61.70785651</v>
      </c>
      <c r="J620" s="1"/>
      <c r="K620" s="1"/>
    </row>
    <row r="621" ht="14.25" customHeight="1">
      <c r="A621" s="1" t="s">
        <v>3443</v>
      </c>
      <c r="B621" s="1">
        <v>5.9E7</v>
      </c>
      <c r="C621" s="1">
        <v>1.76387405E8</v>
      </c>
      <c r="F621" s="4">
        <v>1.17387405E8</v>
      </c>
      <c r="G621" s="4">
        <f t="array" ref="G621">IFERROR((C621-B621)/C621*100, "N/A")</f>
        <v>66.55089971</v>
      </c>
      <c r="J621" s="1"/>
      <c r="K621" s="1"/>
    </row>
    <row r="622" ht="14.25" customHeight="1">
      <c r="A622" s="1" t="s">
        <v>3447</v>
      </c>
      <c r="B622" s="1">
        <v>6.8E7</v>
      </c>
      <c r="C622" s="1">
        <v>3.3685268E7</v>
      </c>
      <c r="F622" s="4">
        <v>-3.4314732E7</v>
      </c>
      <c r="G622" s="4">
        <f t="array" ref="G622">IFERROR((C622-B622)/C622*100, "N/A")</f>
        <v>-101.8686626</v>
      </c>
      <c r="J622" s="1"/>
      <c r="K622" s="1"/>
    </row>
    <row r="623" ht="14.25" customHeight="1">
      <c r="A623" s="1" t="s">
        <v>3452</v>
      </c>
      <c r="B623" s="1">
        <v>6.5E7</v>
      </c>
      <c r="C623" s="1">
        <v>1.8220444E8</v>
      </c>
      <c r="F623" s="4">
        <v>1.1720444E8</v>
      </c>
      <c r="G623" s="4">
        <f t="array" ref="G623">IFERROR((C623-B623)/C623*100, "N/A")</f>
        <v>64.32578701</v>
      </c>
      <c r="J623" s="1"/>
      <c r="K623" s="1"/>
    </row>
    <row r="624" ht="14.25" customHeight="1">
      <c r="A624" s="1" t="s">
        <v>3455</v>
      </c>
      <c r="B624" s="1">
        <v>6.3E7</v>
      </c>
      <c r="C624" s="1">
        <v>1.71383253E8</v>
      </c>
      <c r="F624" s="4">
        <v>1.08383253E8</v>
      </c>
      <c r="G624" s="4">
        <f t="array" ref="G624">IFERROR((C624-B624)/C624*100, "N/A")</f>
        <v>63.24028229</v>
      </c>
      <c r="J624" s="1"/>
      <c r="K624" s="1"/>
    </row>
    <row r="625" ht="14.25" customHeight="1">
      <c r="A625" s="1" t="s">
        <v>3460</v>
      </c>
      <c r="B625" s="1">
        <v>6.2E7</v>
      </c>
      <c r="C625" s="1">
        <v>1.72071312E8</v>
      </c>
      <c r="F625" s="4">
        <v>1.10071312E8</v>
      </c>
      <c r="G625" s="4">
        <f t="array" ref="G625">IFERROR((C625-B625)/C625*100, "N/A")</f>
        <v>63.96842723</v>
      </c>
      <c r="J625" s="1"/>
      <c r="K625" s="1"/>
    </row>
    <row r="626" ht="14.25" customHeight="1">
      <c r="A626" s="1" t="s">
        <v>1249</v>
      </c>
      <c r="B626" s="1">
        <v>6.5E7</v>
      </c>
      <c r="C626" s="1">
        <v>1.19412921E8</v>
      </c>
      <c r="F626" s="4">
        <v>5.4412921E7</v>
      </c>
      <c r="G626" s="4">
        <f t="array" ref="G626">IFERROR((C626-B626)/C626*100, "N/A")</f>
        <v>45.56702955</v>
      </c>
      <c r="J626" s="1"/>
      <c r="K626" s="1"/>
    </row>
    <row r="627" ht="14.25" customHeight="1">
      <c r="A627" s="1" t="s">
        <v>3467</v>
      </c>
      <c r="B627" s="1">
        <v>6.0E7</v>
      </c>
      <c r="C627" s="1">
        <v>1.39225854E8</v>
      </c>
      <c r="F627" s="4">
        <v>7.9225854E7</v>
      </c>
      <c r="G627" s="4">
        <f t="array" ref="G627">IFERROR((C627-B627)/C627*100, "N/A")</f>
        <v>56.90455596</v>
      </c>
      <c r="J627" s="1"/>
      <c r="K627" s="1"/>
    </row>
    <row r="628" ht="14.25" customHeight="1">
      <c r="A628" s="1" t="s">
        <v>3474</v>
      </c>
      <c r="B628" s="1">
        <v>6.1E7</v>
      </c>
      <c r="C628" s="1">
        <v>1.4877546E8</v>
      </c>
      <c r="F628" s="4">
        <v>8.777546E7</v>
      </c>
      <c r="G628" s="4">
        <f t="array" ref="G628">IFERROR((C628-B628)/C628*100, "N/A")</f>
        <v>58.99861442</v>
      </c>
      <c r="J628" s="1"/>
      <c r="K628" s="1"/>
    </row>
    <row r="629" ht="14.25" customHeight="1">
      <c r="A629" s="1" t="s">
        <v>3478</v>
      </c>
      <c r="B629" s="1">
        <v>6.5E7</v>
      </c>
      <c r="C629" s="1">
        <v>1.15731542E8</v>
      </c>
      <c r="F629" s="4">
        <v>5.0731542E7</v>
      </c>
      <c r="G629" s="4">
        <f t="array" ref="G629">IFERROR((C629-B629)/C629*100, "N/A")</f>
        <v>43.83553621</v>
      </c>
      <c r="J629" s="1"/>
      <c r="K629" s="1"/>
    </row>
    <row r="630" ht="14.25" customHeight="1">
      <c r="A630" s="1" t="s">
        <v>3482</v>
      </c>
      <c r="B630" s="1">
        <v>6.5E7</v>
      </c>
      <c r="C630" s="1">
        <v>1.00468793E8</v>
      </c>
      <c r="F630" s="4">
        <v>3.5468793E7</v>
      </c>
      <c r="G630" s="4">
        <f t="array" ref="G630">IFERROR((C630-B630)/C630*100, "N/A")</f>
        <v>35.30329363</v>
      </c>
      <c r="J630" s="1"/>
      <c r="K630" s="1"/>
    </row>
    <row r="631" ht="14.25" customHeight="1">
      <c r="A631" s="1" t="s">
        <v>3486</v>
      </c>
      <c r="B631" s="1">
        <v>6.5E7</v>
      </c>
      <c r="C631" s="1">
        <v>9.3771072E7</v>
      </c>
      <c r="F631" s="4">
        <v>2.8771072E7</v>
      </c>
      <c r="G631" s="4">
        <f t="array" ref="G631">IFERROR((C631-B631)/C631*100, "N/A")</f>
        <v>30.68224708</v>
      </c>
      <c r="J631" s="1"/>
      <c r="K631" s="1"/>
    </row>
    <row r="632" ht="14.25" customHeight="1">
      <c r="A632" s="1" t="s">
        <v>3492</v>
      </c>
      <c r="B632" s="1">
        <v>6.5E7</v>
      </c>
      <c r="C632" s="1">
        <v>1.00448498E8</v>
      </c>
      <c r="F632" s="4">
        <v>3.5448498E7</v>
      </c>
      <c r="G632" s="4">
        <f t="array" ref="G632">IFERROR((C632-B632)/C632*100, "N/A")</f>
        <v>35.29022206</v>
      </c>
      <c r="J632" s="1"/>
      <c r="K632" s="1"/>
    </row>
    <row r="633" ht="14.25" customHeight="1">
      <c r="A633" s="1" t="s">
        <v>3496</v>
      </c>
      <c r="B633" s="1">
        <v>6.5E7</v>
      </c>
      <c r="C633" s="1">
        <v>1.1560398E8</v>
      </c>
      <c r="F633" s="4">
        <v>5.060398E7</v>
      </c>
      <c r="G633" s="4">
        <f t="array" ref="G633">IFERROR((C633-B633)/C633*100, "N/A")</f>
        <v>43.77356212</v>
      </c>
      <c r="J633" s="1"/>
      <c r="K633" s="1"/>
    </row>
    <row r="634" ht="14.25" customHeight="1">
      <c r="A634" s="1" t="s">
        <v>3504</v>
      </c>
      <c r="B634" s="1">
        <v>6.5E7</v>
      </c>
      <c r="C634" s="1">
        <v>9.0454043E7</v>
      </c>
      <c r="F634" s="4">
        <v>2.5454043E7</v>
      </c>
      <c r="G634" s="4">
        <f t="array" ref="G634">IFERROR((C634-B634)/C634*100, "N/A")</f>
        <v>28.14030435</v>
      </c>
      <c r="J634" s="1"/>
      <c r="K634" s="1"/>
    </row>
    <row r="635" ht="14.25" customHeight="1">
      <c r="A635" s="1" t="s">
        <v>3509</v>
      </c>
      <c r="B635" s="1">
        <v>7.0E7</v>
      </c>
      <c r="C635" s="1">
        <v>8.4049211E7</v>
      </c>
      <c r="F635" s="4">
        <v>1.4049211E7</v>
      </c>
      <c r="G635" s="4">
        <f t="array" ref="G635">IFERROR((C635-B635)/C635*100, "N/A")</f>
        <v>16.71545852</v>
      </c>
      <c r="J635" s="1"/>
      <c r="K635" s="1"/>
    </row>
    <row r="636" ht="14.25" customHeight="1">
      <c r="A636" s="1" t="s">
        <v>3514</v>
      </c>
      <c r="B636" s="1">
        <v>5.0E7</v>
      </c>
      <c r="C636" s="1">
        <v>7.045E7</v>
      </c>
      <c r="F636" s="4">
        <v>2.045E7</v>
      </c>
      <c r="G636" s="4">
        <f t="array" ref="G636">IFERROR((C636-B636)/C636*100, "N/A")</f>
        <v>29.02767921</v>
      </c>
      <c r="J636" s="1"/>
      <c r="K636" s="1"/>
    </row>
    <row r="637" ht="14.25" customHeight="1">
      <c r="A637" s="1" t="s">
        <v>3518</v>
      </c>
      <c r="B637" s="1">
        <v>6.0E7</v>
      </c>
      <c r="C637" s="1">
        <v>6.9688384E7</v>
      </c>
      <c r="F637" s="4">
        <v>9688384.0</v>
      </c>
      <c r="G637" s="4">
        <f t="array" ref="G637">IFERROR((C637-B637)/C637*100, "N/A")</f>
        <v>13.90243746</v>
      </c>
      <c r="J637" s="1"/>
      <c r="K637" s="1"/>
    </row>
    <row r="638" ht="14.25" customHeight="1">
      <c r="A638" s="1" t="s">
        <v>3523</v>
      </c>
      <c r="B638" s="1">
        <v>6.3E7</v>
      </c>
      <c r="C638" s="1">
        <v>7.0236496E7</v>
      </c>
      <c r="F638" s="4">
        <v>7236496.0</v>
      </c>
      <c r="G638" s="4">
        <f t="array" ref="G638">IFERROR((C638-B638)/C638*100, "N/A")</f>
        <v>10.30304245</v>
      </c>
      <c r="J638" s="1"/>
      <c r="K638" s="1"/>
    </row>
    <row r="639" ht="14.25" customHeight="1">
      <c r="A639" s="1" t="s">
        <v>3527</v>
      </c>
      <c r="B639" s="1">
        <v>6.5E7</v>
      </c>
      <c r="C639" s="1">
        <v>6.369576E7</v>
      </c>
      <c r="F639" s="4">
        <v>-1304240.0</v>
      </c>
      <c r="G639" s="4">
        <f t="array" ref="G639">IFERROR((C639-B639)/C639*100, "N/A")</f>
        <v>-2.04760882</v>
      </c>
      <c r="J639" s="1"/>
      <c r="K639" s="1"/>
    </row>
    <row r="640" ht="14.25" customHeight="1">
      <c r="A640" s="1" t="s">
        <v>3532</v>
      </c>
      <c r="B640" s="1">
        <v>6.5E7</v>
      </c>
      <c r="C640" s="1">
        <v>5.9617068E7</v>
      </c>
      <c r="F640" s="4">
        <v>-5382932.0</v>
      </c>
      <c r="G640" s="4">
        <f t="array" ref="G640">IFERROR((C640-B640)/C640*100, "N/A")</f>
        <v>-9.029179362</v>
      </c>
      <c r="J640" s="1"/>
      <c r="K640" s="1"/>
    </row>
    <row r="641" ht="14.25" customHeight="1">
      <c r="A641" s="1" t="s">
        <v>3537</v>
      </c>
      <c r="B641" s="1">
        <v>6.5E7</v>
      </c>
      <c r="C641" s="1">
        <v>5.563768E7</v>
      </c>
      <c r="F641" s="4">
        <v>-9362320.0</v>
      </c>
      <c r="G641" s="4">
        <f t="array" ref="G641">IFERROR((C641-B641)/C641*100, "N/A")</f>
        <v>-16.82730121</v>
      </c>
      <c r="J641" s="1"/>
      <c r="K641" s="1"/>
    </row>
    <row r="642" ht="14.25" customHeight="1">
      <c r="A642" s="1" t="s">
        <v>3542</v>
      </c>
      <c r="B642" s="1">
        <v>6.5E7</v>
      </c>
      <c r="C642" s="1">
        <v>8.5911262E7</v>
      </c>
      <c r="F642" s="4">
        <v>2.0911262E7</v>
      </c>
      <c r="G642" s="4">
        <f t="array" ref="G642">IFERROR((C642-B642)/C642*100, "N/A")</f>
        <v>24.3405364</v>
      </c>
      <c r="J642" s="1"/>
      <c r="K642" s="1"/>
    </row>
    <row r="643" ht="14.25" customHeight="1">
      <c r="A643" s="1" t="s">
        <v>3549</v>
      </c>
      <c r="B643" s="1">
        <v>5.01E7</v>
      </c>
      <c r="C643" s="1">
        <v>5.3846915E7</v>
      </c>
      <c r="F643" s="4">
        <v>3746915.0</v>
      </c>
      <c r="G643" s="4">
        <f t="array" ref="G643">IFERROR((C643-B643)/C643*100, "N/A")</f>
        <v>6.958458066</v>
      </c>
      <c r="J643" s="1"/>
      <c r="K643" s="1"/>
    </row>
    <row r="644" ht="14.25" customHeight="1">
      <c r="A644" s="1" t="s">
        <v>3553</v>
      </c>
      <c r="B644" s="1">
        <v>6.5E7</v>
      </c>
      <c r="C644" s="1">
        <v>5.4758461E7</v>
      </c>
      <c r="F644" s="4">
        <v>-1.0241539E7</v>
      </c>
      <c r="G644" s="4">
        <f t="array" ref="G644">IFERROR((C644-B644)/C644*100, "N/A")</f>
        <v>-18.70311695</v>
      </c>
      <c r="J644" s="1"/>
      <c r="K644" s="1"/>
    </row>
    <row r="645" ht="14.25" customHeight="1">
      <c r="A645" s="1" t="s">
        <v>3559</v>
      </c>
      <c r="B645" s="1">
        <v>6.5E7</v>
      </c>
      <c r="C645" s="1">
        <v>5.2397389E7</v>
      </c>
      <c r="F645" s="4">
        <v>-1.2602611E7</v>
      </c>
      <c r="G645" s="4">
        <f t="array" ref="G645">IFERROR((C645-B645)/C645*100, "N/A")</f>
        <v>-24.05198282</v>
      </c>
      <c r="J645" s="1"/>
      <c r="K645" s="1"/>
    </row>
    <row r="646" ht="14.25" customHeight="1">
      <c r="A646" s="1" t="s">
        <v>3564</v>
      </c>
      <c r="B646" s="1">
        <v>6.5E7</v>
      </c>
      <c r="C646" s="1">
        <v>3.8966057E7</v>
      </c>
      <c r="F646" s="4">
        <v>-2.6033943E7</v>
      </c>
      <c r="G646" s="4">
        <f t="array" ref="G646">IFERROR((C646-B646)/C646*100, "N/A")</f>
        <v>-66.81184858</v>
      </c>
      <c r="J646" s="1"/>
      <c r="K646" s="1"/>
    </row>
    <row r="647" ht="14.25" customHeight="1">
      <c r="A647" s="1" t="s">
        <v>3570</v>
      </c>
      <c r="B647" s="1">
        <v>6.5E7</v>
      </c>
      <c r="C647" s="1">
        <v>4.2345531E7</v>
      </c>
      <c r="F647" s="4">
        <v>-2.2654469E7</v>
      </c>
      <c r="G647" s="4">
        <f t="array" ref="G647">IFERROR((C647-B647)/C647*100, "N/A")</f>
        <v>-53.4990788</v>
      </c>
      <c r="J647" s="1"/>
      <c r="K647" s="1"/>
    </row>
    <row r="648" ht="14.25" customHeight="1">
      <c r="A648" s="1" t="s">
        <v>3573</v>
      </c>
      <c r="B648" s="1">
        <v>4.5E7</v>
      </c>
      <c r="C648" s="1">
        <v>3.606491E7</v>
      </c>
      <c r="F648" s="4">
        <v>-8935090.0</v>
      </c>
      <c r="G648" s="4">
        <f t="array" ref="G648">IFERROR((C648-B648)/C648*100, "N/A")</f>
        <v>-24.7750237</v>
      </c>
      <c r="J648" s="1"/>
      <c r="K648" s="1"/>
    </row>
    <row r="649" ht="14.25" customHeight="1">
      <c r="A649" s="1" t="s">
        <v>3576</v>
      </c>
      <c r="B649" s="1">
        <v>6.5E7</v>
      </c>
      <c r="C649" s="1">
        <v>3.3328051E7</v>
      </c>
      <c r="F649" s="4">
        <v>-3.1671949E7</v>
      </c>
      <c r="G649" s="4">
        <f t="array" ref="G649">IFERROR((C649-B649)/C649*100, "N/A")</f>
        <v>-95.03090655</v>
      </c>
      <c r="J649" s="1"/>
      <c r="K649" s="1"/>
    </row>
    <row r="650" ht="14.25" customHeight="1">
      <c r="A650" s="1" t="s">
        <v>3583</v>
      </c>
      <c r="B650" s="1">
        <v>6.5E7</v>
      </c>
      <c r="C650" s="1">
        <v>3.2598931E7</v>
      </c>
      <c r="F650" s="4">
        <v>-3.2401069E7</v>
      </c>
      <c r="G650" s="4">
        <f t="array" ref="G650">IFERROR((C650-B650)/C650*100, "N/A")</f>
        <v>-99.39304145</v>
      </c>
      <c r="J650" s="1"/>
      <c r="K650" s="1"/>
    </row>
    <row r="651" ht="14.25" customHeight="1">
      <c r="A651" s="1" t="s">
        <v>3588</v>
      </c>
      <c r="B651" s="1">
        <v>6.5E7</v>
      </c>
      <c r="C651" s="1">
        <v>2.804554E7</v>
      </c>
      <c r="F651" s="4">
        <v>-3.695446E7</v>
      </c>
      <c r="G651" s="4">
        <f t="array" ref="G651">IFERROR((C651-B651)/C651*100, "N/A")</f>
        <v>-131.7659065</v>
      </c>
      <c r="J651" s="1"/>
      <c r="K651" s="1"/>
    </row>
    <row r="652" ht="14.25" customHeight="1">
      <c r="A652" s="1" t="s">
        <v>3592</v>
      </c>
      <c r="B652" s="1">
        <v>6.3E7</v>
      </c>
      <c r="C652" s="1">
        <v>3.7023395E7</v>
      </c>
      <c r="F652" s="4">
        <v>-2.5976605E7</v>
      </c>
      <c r="G652" s="4">
        <f t="array" ref="G652">IFERROR((C652-B652)/C652*100, "N/A")</f>
        <v>-70.16267687</v>
      </c>
      <c r="J652" s="1"/>
      <c r="K652" s="1"/>
    </row>
    <row r="653" ht="14.25" customHeight="1">
      <c r="A653" s="1" t="s">
        <v>3597</v>
      </c>
      <c r="B653" s="1">
        <v>6.5E7</v>
      </c>
      <c r="C653" s="1">
        <v>4.3532294E7</v>
      </c>
      <c r="F653" s="4">
        <v>-2.1467706E7</v>
      </c>
      <c r="G653" s="4">
        <f t="array" ref="G653">IFERROR((C653-B653)/C653*100, "N/A")</f>
        <v>-49.31443769</v>
      </c>
      <c r="J653" s="1"/>
      <c r="K653" s="1"/>
    </row>
    <row r="654" ht="14.25" customHeight="1">
      <c r="A654" s="1" t="s">
        <v>3603</v>
      </c>
      <c r="B654" s="1">
        <v>7.0E7</v>
      </c>
      <c r="C654" s="1">
        <v>1.721808E7</v>
      </c>
      <c r="F654" s="4">
        <v>-5.278192E7</v>
      </c>
      <c r="G654" s="4">
        <f t="array" ref="G654">IFERROR((C654-B654)/C654*100, "N/A")</f>
        <v>-306.5493946</v>
      </c>
      <c r="J654" s="1"/>
      <c r="K654" s="1"/>
    </row>
    <row r="655" ht="14.25" customHeight="1">
      <c r="A655" s="1" t="s">
        <v>3606</v>
      </c>
      <c r="B655" s="1">
        <v>6.5E7</v>
      </c>
      <c r="C655" s="1">
        <v>1.0014234E7</v>
      </c>
      <c r="F655" s="4">
        <v>-5.4985766E7</v>
      </c>
      <c r="G655" s="4">
        <f t="array" ref="G655">IFERROR((C655-B655)/C655*100, "N/A")</f>
        <v>-549.0761051</v>
      </c>
      <c r="J655" s="1"/>
      <c r="K655" s="1"/>
    </row>
    <row r="656" ht="14.25" customHeight="1">
      <c r="A656" s="1" t="s">
        <v>3611</v>
      </c>
      <c r="B656" s="1">
        <v>6.5E7</v>
      </c>
      <c r="C656" s="1">
        <v>1.9059018E7</v>
      </c>
      <c r="F656" s="4">
        <v>-4.5940982E7</v>
      </c>
      <c r="G656" s="4">
        <f t="array" ref="G656">IFERROR((C656-B656)/C656*100, "N/A")</f>
        <v>-241.0459028</v>
      </c>
      <c r="J656" s="1"/>
      <c r="K656" s="1"/>
    </row>
    <row r="657" ht="14.25" customHeight="1">
      <c r="A657" s="1" t="s">
        <v>3618</v>
      </c>
      <c r="B657" s="1">
        <v>5.0E7</v>
      </c>
      <c r="C657" s="1">
        <v>1987287.0</v>
      </c>
      <c r="F657" s="4">
        <v>-4.8012713E7</v>
      </c>
      <c r="G657" s="4">
        <f t="array" ref="G657">IFERROR((C657-B657)/C657*100, "N/A")</f>
        <v>-2415.992909</v>
      </c>
      <c r="J657" s="1"/>
      <c r="K657" s="1"/>
    </row>
    <row r="658" ht="14.25" customHeight="1">
      <c r="A658" s="1" t="s">
        <v>3624</v>
      </c>
      <c r="B658" s="1">
        <v>4.3E7</v>
      </c>
      <c r="C658" s="1">
        <v>2.4407944E7</v>
      </c>
      <c r="F658" s="4">
        <v>-1.8592056E7</v>
      </c>
      <c r="G658" s="4">
        <f t="array" ref="G658">IFERROR((C658-B658)/C658*100, "N/A")</f>
        <v>-76.17215117</v>
      </c>
      <c r="J658" s="1"/>
      <c r="K658" s="1"/>
    </row>
    <row r="659" ht="14.25" customHeight="1">
      <c r="A659" s="1" t="s">
        <v>3628</v>
      </c>
      <c r="B659" s="1">
        <v>6.5E7</v>
      </c>
      <c r="C659" s="1">
        <v>1.3750556E7</v>
      </c>
      <c r="F659" s="4">
        <v>-5.1249444E7</v>
      </c>
      <c r="G659" s="4">
        <f t="array" ref="G659">IFERROR((C659-B659)/C659*100, "N/A")</f>
        <v>-372.7081581</v>
      </c>
      <c r="J659" s="1"/>
      <c r="K659" s="1"/>
    </row>
    <row r="660" ht="14.25" customHeight="1">
      <c r="A660" s="1" t="s">
        <v>3631</v>
      </c>
      <c r="B660" s="1">
        <v>6.4E7</v>
      </c>
      <c r="C660" s="1">
        <v>3.1054924E7</v>
      </c>
      <c r="F660" s="4">
        <v>-3.2945076E7</v>
      </c>
      <c r="G660" s="4">
        <f t="array" ref="G660">IFERROR((C660-B660)/C660*100, "N/A")</f>
        <v>-106.0864808</v>
      </c>
      <c r="J660" s="1"/>
      <c r="K660" s="1"/>
    </row>
    <row r="661" ht="14.25" customHeight="1">
      <c r="A661" s="1" t="s">
        <v>3637</v>
      </c>
      <c r="B661" s="1">
        <v>5.5E7</v>
      </c>
      <c r="C661" s="1">
        <v>4.324714E7</v>
      </c>
      <c r="F661" s="4">
        <v>-1.175286E7</v>
      </c>
      <c r="G661" s="4">
        <f t="array" ref="G661">IFERROR((C661-B661)/C661*100, "N/A")</f>
        <v>-27.17603985</v>
      </c>
      <c r="J661" s="1"/>
      <c r="K661" s="1"/>
    </row>
    <row r="662" ht="14.25" customHeight="1">
      <c r="A662" s="1" t="s">
        <v>3643</v>
      </c>
      <c r="B662" s="1">
        <v>5.0E7</v>
      </c>
      <c r="C662" s="1">
        <v>2208939.0</v>
      </c>
      <c r="F662" s="4">
        <v>-4.7791061E7</v>
      </c>
      <c r="G662" s="4">
        <f t="array" ref="G662">IFERROR((C662-B662)/C662*100, "N/A")</f>
        <v>-2163.530138</v>
      </c>
      <c r="J662" s="1"/>
      <c r="K662" s="1"/>
    </row>
    <row r="663" ht="14.25" customHeight="1">
      <c r="A663" s="1" t="s">
        <v>3650</v>
      </c>
      <c r="B663" s="1">
        <v>6.3E7</v>
      </c>
      <c r="C663" s="1">
        <v>2.13079163E8</v>
      </c>
      <c r="F663" s="4">
        <v>1.50079163E8</v>
      </c>
      <c r="G663" s="4">
        <f t="array" ref="G663">IFERROR((C663-B663)/C663*100, "N/A")</f>
        <v>70.43352381</v>
      </c>
      <c r="J663" s="1"/>
      <c r="K663" s="1"/>
    </row>
    <row r="664" ht="14.25" customHeight="1">
      <c r="A664" s="1" t="s">
        <v>3655</v>
      </c>
      <c r="B664" s="1">
        <v>6.5E7</v>
      </c>
      <c r="C664" s="1">
        <v>1.9548064E7</v>
      </c>
      <c r="F664" s="4">
        <v>-4.5451936E7</v>
      </c>
      <c r="G664" s="4">
        <f t="array" ref="G664">IFERROR((C664-B664)/C664*100, "N/A")</f>
        <v>-232.5137466</v>
      </c>
      <c r="J664" s="1"/>
      <c r="K664" s="1"/>
    </row>
    <row r="665" ht="14.25" customHeight="1">
      <c r="A665" s="1" t="s">
        <v>3660</v>
      </c>
      <c r="B665" s="1">
        <v>6.3E7</v>
      </c>
      <c r="C665" s="1">
        <v>3.56784E8</v>
      </c>
      <c r="F665" s="4">
        <v>2.93784E8</v>
      </c>
      <c r="G665" s="4">
        <f t="array" ref="G665">IFERROR((C665-B665)/C665*100, "N/A")</f>
        <v>82.3422575</v>
      </c>
      <c r="J665" s="1"/>
      <c r="K665" s="1"/>
    </row>
    <row r="666" ht="14.25" customHeight="1">
      <c r="A666" s="1" t="s">
        <v>3664</v>
      </c>
      <c r="B666" s="1">
        <v>6.3E7</v>
      </c>
      <c r="C666" s="1">
        <v>2.5052E7</v>
      </c>
      <c r="F666" s="4">
        <v>-3.7948E7</v>
      </c>
      <c r="G666" s="4">
        <f t="array" ref="G666">IFERROR((C666-B666)/C666*100, "N/A")</f>
        <v>-151.476928</v>
      </c>
      <c r="J666" s="1"/>
      <c r="K666" s="1"/>
    </row>
    <row r="667" ht="14.25" customHeight="1">
      <c r="A667" s="1" t="s">
        <v>3669</v>
      </c>
      <c r="B667" s="1">
        <v>6.2E7</v>
      </c>
      <c r="C667" s="1">
        <v>1.2201271E8</v>
      </c>
      <c r="F667" s="4">
        <v>6.001271E7</v>
      </c>
      <c r="G667" s="4">
        <f t="array" ref="G667">IFERROR((C667-B667)/C667*100, "N/A")</f>
        <v>49.18562173</v>
      </c>
      <c r="J667" s="1"/>
      <c r="K667" s="1"/>
    </row>
    <row r="668" ht="14.25" customHeight="1">
      <c r="A668" s="1" t="s">
        <v>3674</v>
      </c>
      <c r="B668" s="1">
        <v>6.5E7</v>
      </c>
      <c r="C668" s="1">
        <v>72413.0</v>
      </c>
      <c r="F668" s="4">
        <v>-6.4927587E7</v>
      </c>
      <c r="G668" s="4">
        <f t="array" ref="G668">IFERROR((C668-B668)/C668*100, "N/A")</f>
        <v>-89662.88788</v>
      </c>
      <c r="J668" s="1"/>
      <c r="K668" s="1"/>
    </row>
    <row r="669" ht="14.25" customHeight="1">
      <c r="A669" s="1" t="s">
        <v>3681</v>
      </c>
      <c r="B669" s="1">
        <v>6.4E7</v>
      </c>
      <c r="C669" s="1">
        <v>5.8255287E7</v>
      </c>
      <c r="F669" s="4">
        <v>-5744713.0</v>
      </c>
      <c r="G669" s="4">
        <f t="array" ref="G669">IFERROR((C669-B669)/C669*100, "N/A")</f>
        <v>-9.861273192</v>
      </c>
      <c r="J669" s="1"/>
      <c r="K669" s="1"/>
    </row>
    <row r="670" ht="14.25" customHeight="1">
      <c r="A670" s="1" t="s">
        <v>3686</v>
      </c>
      <c r="B670" s="1">
        <v>6.2E7</v>
      </c>
      <c r="C670" s="1">
        <v>7.708603E7</v>
      </c>
      <c r="F670" s="4">
        <v>1.508603E7</v>
      </c>
      <c r="G670" s="4">
        <f t="array" ref="G670">IFERROR((C670-B670)/C670*100, "N/A")</f>
        <v>19.5703813</v>
      </c>
      <c r="J670" s="1"/>
      <c r="K670" s="1"/>
    </row>
    <row r="671" ht="14.25" customHeight="1">
      <c r="A671" s="1" t="s">
        <v>3692</v>
      </c>
      <c r="B671" s="1">
        <v>6.2E7</v>
      </c>
      <c r="C671" s="1">
        <v>6.5E7</v>
      </c>
      <c r="F671" s="4">
        <v>3000000.0</v>
      </c>
      <c r="G671" s="4">
        <f t="array" ref="G671">IFERROR((C671-B671)/C671*100, "N/A")</f>
        <v>4.615384615</v>
      </c>
      <c r="J671" s="1"/>
      <c r="K671" s="1"/>
    </row>
    <row r="672" ht="14.25" customHeight="1">
      <c r="A672" s="1" t="s">
        <v>3697</v>
      </c>
      <c r="B672" s="1">
        <v>6.2E7</v>
      </c>
      <c r="C672" s="1">
        <v>3.2178777E7</v>
      </c>
      <c r="F672" s="4">
        <v>-2.9821223E7</v>
      </c>
      <c r="G672" s="4">
        <f t="array" ref="G672">IFERROR((C672-B672)/C672*100, "N/A")</f>
        <v>-92.67357488</v>
      </c>
      <c r="J672" s="1"/>
      <c r="K672" s="1"/>
    </row>
    <row r="673" ht="14.25" customHeight="1">
      <c r="A673" s="1" t="s">
        <v>3703</v>
      </c>
      <c r="B673" s="1">
        <v>4.2E7</v>
      </c>
      <c r="C673" s="1">
        <v>1.5738632E7</v>
      </c>
      <c r="F673" s="4">
        <v>-2.6261368E7</v>
      </c>
      <c r="G673" s="4">
        <f t="array" ref="G673">IFERROR((C673-B673)/C673*100, "N/A")</f>
        <v>-166.8592798</v>
      </c>
      <c r="J673" s="1"/>
      <c r="K673" s="1"/>
    </row>
    <row r="674" ht="14.25" customHeight="1">
      <c r="A674" s="1" t="s">
        <v>3707</v>
      </c>
      <c r="B674" s="1">
        <v>4.4E7</v>
      </c>
      <c r="C674" s="1">
        <v>5.4116191E7</v>
      </c>
      <c r="F674" s="4">
        <v>1.0116191E7</v>
      </c>
      <c r="G674" s="4">
        <f t="array" ref="G674">IFERROR((C674-B674)/C674*100, "N/A")</f>
        <v>18.69346459</v>
      </c>
      <c r="J674" s="1"/>
      <c r="K674" s="1"/>
    </row>
    <row r="675" ht="14.25" customHeight="1">
      <c r="A675" s="1" t="s">
        <v>3713</v>
      </c>
      <c r="B675" s="1">
        <v>6.1E7</v>
      </c>
      <c r="C675" s="1">
        <v>1.18153533E8</v>
      </c>
      <c r="F675" s="4">
        <v>5.7153533E7</v>
      </c>
      <c r="G675" s="4">
        <f t="array" ref="G675">IFERROR((C675-B675)/C675*100, "N/A")</f>
        <v>48.372259</v>
      </c>
      <c r="J675" s="1"/>
      <c r="K675" s="1"/>
    </row>
    <row r="676" ht="14.25" customHeight="1">
      <c r="A676" s="1" t="s">
        <v>3718</v>
      </c>
      <c r="B676" s="1">
        <v>6.3E7</v>
      </c>
      <c r="C676" s="1">
        <v>1.0801217E8</v>
      </c>
      <c r="F676" s="4">
        <v>4.501217E7</v>
      </c>
      <c r="G676" s="4">
        <f t="array" ref="G676">IFERROR((C676-B676)/C676*100, "N/A")</f>
        <v>41.67323923</v>
      </c>
      <c r="J676" s="1"/>
      <c r="K676" s="1"/>
    </row>
    <row r="677" ht="14.25" customHeight="1">
      <c r="A677" s="1">
        <v>300.0</v>
      </c>
      <c r="B677" s="1">
        <v>6.5E7</v>
      </c>
      <c r="C677" s="1">
        <v>2.1059259E8</v>
      </c>
      <c r="F677" s="4">
        <v>1.4559259E8</v>
      </c>
      <c r="G677" s="4">
        <f t="array" ref="G677">IFERROR((C677-B677)/C677*100, "N/A")</f>
        <v>69.13471647</v>
      </c>
      <c r="J677" s="1"/>
      <c r="K677" s="1"/>
    </row>
    <row r="678" ht="14.25" customHeight="1">
      <c r="A678" s="1" t="s">
        <v>3726</v>
      </c>
      <c r="B678" s="1">
        <v>8.0E7</v>
      </c>
      <c r="C678" s="1">
        <v>2.79167575E8</v>
      </c>
      <c r="F678" s="4">
        <v>1.99167575E8</v>
      </c>
      <c r="G678" s="4">
        <f t="array" ref="G678">IFERROR((C678-B678)/C678*100, "N/A")</f>
        <v>71.34337682</v>
      </c>
      <c r="J678" s="1"/>
      <c r="K678" s="1"/>
    </row>
    <row r="679" ht="14.25" customHeight="1">
      <c r="A679" s="1" t="s">
        <v>3730</v>
      </c>
      <c r="B679" s="1">
        <v>6.0E7</v>
      </c>
      <c r="C679" s="1">
        <v>1.43151473E8</v>
      </c>
      <c r="F679" s="4">
        <v>8.3151473E7</v>
      </c>
      <c r="G679" s="4">
        <f t="array" ref="G679">IFERROR((C679-B679)/C679*100, "N/A")</f>
        <v>58.08635514</v>
      </c>
      <c r="J679" s="1"/>
      <c r="K679" s="1"/>
    </row>
    <row r="680" ht="14.25" customHeight="1">
      <c r="A680" s="1" t="s">
        <v>3737</v>
      </c>
      <c r="B680" s="1">
        <v>6.0E7</v>
      </c>
      <c r="C680" s="1">
        <v>1.36801374E8</v>
      </c>
      <c r="F680" s="4">
        <v>7.6801374E7</v>
      </c>
      <c r="G680" s="4">
        <f t="array" ref="G680">IFERROR((C680-B680)/C680*100, "N/A")</f>
        <v>56.14079139</v>
      </c>
      <c r="J680" s="1"/>
      <c r="K680" s="1"/>
    </row>
    <row r="681" ht="14.25" customHeight="1">
      <c r="A681" s="1" t="s">
        <v>3741</v>
      </c>
      <c r="B681" s="1">
        <v>1.5E8</v>
      </c>
      <c r="C681" s="1">
        <v>1.35381507E8</v>
      </c>
      <c r="F681" s="4">
        <v>-1.4618493E7</v>
      </c>
      <c r="G681" s="4">
        <f t="array" ref="G681">IFERROR((C681-B681)/C681*100, "N/A")</f>
        <v>-10.79799843</v>
      </c>
      <c r="J681" s="1"/>
      <c r="K681" s="1"/>
    </row>
    <row r="682" ht="14.25" customHeight="1">
      <c r="A682" s="1" t="s">
        <v>3744</v>
      </c>
      <c r="B682" s="1">
        <v>6.1E7</v>
      </c>
      <c r="C682" s="1">
        <v>1.67735396E8</v>
      </c>
      <c r="F682" s="4">
        <v>1.06735396E8</v>
      </c>
      <c r="G682" s="4">
        <f t="array" ref="G682">IFERROR((C682-B682)/C682*100, "N/A")</f>
        <v>63.63319761</v>
      </c>
      <c r="J682" s="1"/>
      <c r="K682" s="1"/>
    </row>
    <row r="683" ht="14.25" customHeight="1">
      <c r="A683" s="1" t="s">
        <v>3749</v>
      </c>
      <c r="B683" s="1">
        <v>6.0E7</v>
      </c>
      <c r="C683" s="1">
        <v>1.2146896E8</v>
      </c>
      <c r="F683" s="4">
        <v>6.146896E7</v>
      </c>
      <c r="G683" s="4">
        <f t="array" ref="G683">IFERROR((C683-B683)/C683*100, "N/A")</f>
        <v>50.60466476</v>
      </c>
      <c r="J683" s="1"/>
      <c r="K683" s="1"/>
    </row>
    <row r="684" ht="14.25" customHeight="1">
      <c r="A684" s="1" t="s">
        <v>3754</v>
      </c>
      <c r="B684" s="1">
        <v>5.8E7</v>
      </c>
      <c r="C684" s="1">
        <v>1.06635996E8</v>
      </c>
      <c r="F684" s="4">
        <v>4.8635996E7</v>
      </c>
      <c r="G684" s="4">
        <f t="array" ref="G684">IFERROR((C684-B684)/C684*100, "N/A")</f>
        <v>45.60936065</v>
      </c>
      <c r="J684" s="1"/>
      <c r="K684" s="1"/>
    </row>
    <row r="685" ht="14.25" customHeight="1">
      <c r="A685" s="1" t="s">
        <v>3757</v>
      </c>
      <c r="B685" s="1">
        <v>9.5E7</v>
      </c>
      <c r="C685" s="1">
        <v>1.02678089E8</v>
      </c>
      <c r="F685" s="4">
        <v>7678089.0</v>
      </c>
      <c r="G685" s="4">
        <f t="array" ref="G685">IFERROR((C685-B685)/C685*100, "N/A")</f>
        <v>7.47782616</v>
      </c>
      <c r="J685" s="1"/>
      <c r="K685" s="1"/>
    </row>
    <row r="686" ht="14.25" customHeight="1">
      <c r="A686" s="1" t="s">
        <v>3762</v>
      </c>
      <c r="B686" s="1">
        <v>6.0E7</v>
      </c>
      <c r="C686" s="1">
        <v>1.2560336E8</v>
      </c>
      <c r="F686" s="4">
        <v>6.560336E7</v>
      </c>
      <c r="G686" s="4">
        <f t="array" ref="G686">IFERROR((C686-B686)/C686*100, "N/A")</f>
        <v>52.23057727</v>
      </c>
      <c r="J686" s="1"/>
      <c r="K686" s="1"/>
    </row>
    <row r="687" ht="14.25" customHeight="1">
      <c r="A687" s="1" t="s">
        <v>3767</v>
      </c>
      <c r="B687" s="1">
        <v>7.0E7</v>
      </c>
      <c r="C687" s="1">
        <v>1.012179E8</v>
      </c>
      <c r="F687" s="4">
        <v>3.12179E7</v>
      </c>
      <c r="G687" s="4">
        <f t="array" ref="G687">IFERROR((C687-B687)/C687*100, "N/A")</f>
        <v>30.84227197</v>
      </c>
      <c r="J687" s="1"/>
      <c r="K687" s="1"/>
    </row>
    <row r="688" ht="14.25" customHeight="1">
      <c r="A688" s="1" t="s">
        <v>3773</v>
      </c>
      <c r="B688" s="1">
        <v>6.0E7</v>
      </c>
      <c r="C688" s="1">
        <v>1.04148781E8</v>
      </c>
      <c r="F688" s="4">
        <v>4.4148781E7</v>
      </c>
      <c r="G688" s="4">
        <f t="array" ref="G688">IFERROR((C688-B688)/C688*100, "N/A")</f>
        <v>42.39010824</v>
      </c>
      <c r="J688" s="1"/>
      <c r="K688" s="1"/>
    </row>
    <row r="689" ht="14.25" customHeight="1">
      <c r="A689" s="1" t="s">
        <v>3777</v>
      </c>
      <c r="B689" s="1">
        <v>6.1E7</v>
      </c>
      <c r="C689" s="1">
        <v>7.55733E7</v>
      </c>
      <c r="F689" s="4">
        <v>1.45733E7</v>
      </c>
      <c r="G689" s="4">
        <f t="array" ref="G689">IFERROR((C689-B689)/C689*100, "N/A")</f>
        <v>19.28366235</v>
      </c>
      <c r="J689" s="1"/>
      <c r="K689" s="1"/>
    </row>
    <row r="690" ht="14.25" customHeight="1">
      <c r="A690" s="1" t="s">
        <v>3782</v>
      </c>
      <c r="B690" s="1">
        <v>6.0E7</v>
      </c>
      <c r="C690" s="1">
        <v>9.3375151E7</v>
      </c>
      <c r="F690" s="4">
        <v>3.3375151E7</v>
      </c>
      <c r="G690" s="4">
        <f t="array" ref="G690">IFERROR((C690-B690)/C690*100, "N/A")</f>
        <v>35.7430758</v>
      </c>
      <c r="J690" s="1"/>
      <c r="K690" s="1"/>
    </row>
    <row r="691" ht="14.25" customHeight="1">
      <c r="A691" s="1" t="s">
        <v>3787</v>
      </c>
      <c r="B691" s="1">
        <v>6.0E7</v>
      </c>
      <c r="C691" s="1">
        <v>1.06126012E8</v>
      </c>
      <c r="F691" s="4">
        <v>4.6126012E7</v>
      </c>
      <c r="G691" s="4">
        <f t="array" ref="G691">IFERROR((C691-B691)/C691*100, "N/A")</f>
        <v>43.46343665</v>
      </c>
      <c r="J691" s="1"/>
      <c r="K691" s="1"/>
    </row>
    <row r="692" ht="14.25" customHeight="1">
      <c r="A692" s="1" t="s">
        <v>3792</v>
      </c>
      <c r="B692" s="1">
        <v>6.0E7</v>
      </c>
      <c r="C692" s="1">
        <v>9.3307796E7</v>
      </c>
      <c r="F692" s="4">
        <v>3.3307796E7</v>
      </c>
      <c r="G692" s="4">
        <f t="array" ref="G692">IFERROR((C692-B692)/C692*100, "N/A")</f>
        <v>35.69669141</v>
      </c>
      <c r="J692" s="1"/>
      <c r="K692" s="1"/>
    </row>
    <row r="693" ht="14.25" customHeight="1">
      <c r="A693" s="1" t="s">
        <v>3796</v>
      </c>
      <c r="B693" s="1">
        <v>1.05E8</v>
      </c>
      <c r="C693" s="1">
        <v>9.0646554E7</v>
      </c>
      <c r="F693" s="4">
        <v>-1.4353446E7</v>
      </c>
      <c r="G693" s="4">
        <f t="array" ref="G693">IFERROR((C693-B693)/C693*100, "N/A")</f>
        <v>-15.8345192</v>
      </c>
      <c r="J693" s="1"/>
      <c r="K693" s="1"/>
    </row>
    <row r="694" ht="14.25" customHeight="1">
      <c r="A694" s="1" t="s">
        <v>3802</v>
      </c>
      <c r="B694" s="1">
        <v>6.0E7</v>
      </c>
      <c r="C694" s="1">
        <v>1.09176215E8</v>
      </c>
      <c r="F694" s="4">
        <v>4.9176215E7</v>
      </c>
      <c r="G694" s="4">
        <f t="array" ref="G694">IFERROR((C694-B694)/C694*100, "N/A")</f>
        <v>45.04297479</v>
      </c>
      <c r="J694" s="1"/>
      <c r="K694" s="1"/>
    </row>
    <row r="695" ht="14.25" customHeight="1">
      <c r="A695" s="1" t="s">
        <v>3806</v>
      </c>
      <c r="B695" s="1">
        <v>6.0E7</v>
      </c>
      <c r="C695" s="1">
        <v>8.2670733E7</v>
      </c>
      <c r="F695" s="4">
        <v>2.2670733E7</v>
      </c>
      <c r="G695" s="4">
        <f t="array" ref="G695">IFERROR((C695-B695)/C695*100, "N/A")</f>
        <v>27.42292487</v>
      </c>
      <c r="J695" s="1"/>
      <c r="K695" s="1"/>
    </row>
    <row r="696" ht="14.25" customHeight="1">
      <c r="A696" s="1" t="s">
        <v>3809</v>
      </c>
      <c r="B696" s="1">
        <v>6.0E7</v>
      </c>
      <c r="C696" s="1">
        <v>8.2569532E7</v>
      </c>
      <c r="F696" s="4">
        <v>2.2569532E7</v>
      </c>
      <c r="G696" s="4">
        <f t="array" ref="G696">IFERROR((C696-B696)/C696*100, "N/A")</f>
        <v>27.33397108</v>
      </c>
      <c r="J696" s="1"/>
      <c r="K696" s="1"/>
    </row>
    <row r="697" ht="14.25" customHeight="1">
      <c r="A697" s="1" t="s">
        <v>3815</v>
      </c>
      <c r="B697" s="1">
        <v>6.1E7</v>
      </c>
      <c r="C697" s="1">
        <v>8.1687587E7</v>
      </c>
      <c r="F697" s="4">
        <v>2.0687587E7</v>
      </c>
      <c r="G697" s="4">
        <f t="array" ref="G697">IFERROR((C697-B697)/C697*100, "N/A")</f>
        <v>25.32525168</v>
      </c>
      <c r="J697" s="1"/>
      <c r="K697" s="1"/>
    </row>
    <row r="698" ht="14.25" customHeight="1">
      <c r="A698" s="1" t="s">
        <v>3821</v>
      </c>
      <c r="B698" s="1">
        <v>6.0E7</v>
      </c>
      <c r="C698" s="1">
        <v>8.057401E7</v>
      </c>
      <c r="F698" s="4">
        <v>2.057401E7</v>
      </c>
      <c r="G698" s="4">
        <f t="array" ref="G698">IFERROR((C698-B698)/C698*100, "N/A")</f>
        <v>25.5343007</v>
      </c>
      <c r="J698" s="1"/>
      <c r="K698" s="1"/>
    </row>
    <row r="699" ht="14.25" customHeight="1">
      <c r="A699" s="1" t="s">
        <v>3824</v>
      </c>
      <c r="B699" s="1">
        <v>6.0E7</v>
      </c>
      <c r="C699" s="1">
        <v>7.5764085E7</v>
      </c>
      <c r="F699" s="4">
        <v>1.5764085E7</v>
      </c>
      <c r="G699" s="4">
        <f t="array" ref="G699">IFERROR((C699-B699)/C699*100, "N/A")</f>
        <v>20.80680444</v>
      </c>
      <c r="J699" s="1"/>
      <c r="K699" s="1"/>
    </row>
    <row r="700" ht="14.25" customHeight="1">
      <c r="A700" s="1" t="s">
        <v>3827</v>
      </c>
      <c r="B700" s="1">
        <v>5.8E7</v>
      </c>
      <c r="C700" s="1">
        <v>9.0356857E7</v>
      </c>
      <c r="F700" s="4">
        <v>3.2356857E7</v>
      </c>
      <c r="G700" s="4">
        <f t="array" ref="G700">IFERROR((C700-B700)/C700*100, "N/A")</f>
        <v>35.81007361</v>
      </c>
      <c r="J700" s="1"/>
      <c r="K700" s="1"/>
    </row>
    <row r="701" ht="14.25" customHeight="1">
      <c r="A701" s="1" t="s">
        <v>3831</v>
      </c>
      <c r="B701" s="1">
        <v>5.5E7</v>
      </c>
      <c r="C701" s="1">
        <v>7.5530832E7</v>
      </c>
      <c r="F701" s="4">
        <v>2.0530832E7</v>
      </c>
      <c r="G701" s="4">
        <f t="array" ref="G701">IFERROR((C701-B701)/C701*100, "N/A")</f>
        <v>27.18205461</v>
      </c>
      <c r="J701" s="1"/>
      <c r="K701" s="1"/>
    </row>
    <row r="702" ht="14.25" customHeight="1">
      <c r="A702" s="1" t="s">
        <v>3835</v>
      </c>
      <c r="B702" s="1">
        <v>6.0E7</v>
      </c>
      <c r="C702" s="1">
        <v>7.5370763E7</v>
      </c>
      <c r="F702" s="4">
        <v>1.5370763E7</v>
      </c>
      <c r="G702" s="4">
        <f t="array" ref="G702">IFERROR((C702-B702)/C702*100, "N/A")</f>
        <v>20.39353509</v>
      </c>
      <c r="J702" s="1"/>
      <c r="K702" s="1"/>
    </row>
    <row r="703" ht="14.25" customHeight="1">
      <c r="A703" s="1" t="s">
        <v>3840</v>
      </c>
      <c r="B703" s="1">
        <v>6.5E7</v>
      </c>
      <c r="C703" s="1">
        <v>1.00003492E8</v>
      </c>
      <c r="F703" s="4">
        <v>3.5003492E7</v>
      </c>
      <c r="G703" s="4">
        <f t="array" ref="G703">IFERROR((C703-B703)/C703*100, "N/A")</f>
        <v>35.00226972</v>
      </c>
      <c r="J703" s="1"/>
      <c r="K703" s="1"/>
    </row>
    <row r="704" ht="14.25" customHeight="1">
      <c r="A704" s="1" t="s">
        <v>3843</v>
      </c>
      <c r="B704" s="1">
        <v>6.0E7</v>
      </c>
      <c r="C704" s="1">
        <v>9.034167E7</v>
      </c>
      <c r="F704" s="4">
        <v>3.034167E7</v>
      </c>
      <c r="G704" s="4">
        <f t="array" ref="G704">IFERROR((C704-B704)/C704*100, "N/A")</f>
        <v>33.58546505</v>
      </c>
      <c r="J704" s="1"/>
      <c r="K704" s="1"/>
    </row>
    <row r="705" ht="14.25" customHeight="1">
      <c r="A705" s="1" t="s">
        <v>3847</v>
      </c>
      <c r="B705" s="1">
        <v>5.5E7</v>
      </c>
      <c r="C705" s="1">
        <v>7.4540762E7</v>
      </c>
      <c r="F705" s="4">
        <v>1.9540762E7</v>
      </c>
      <c r="G705" s="4">
        <f t="array" ref="G705">IFERROR((C705-B705)/C705*100, "N/A")</f>
        <v>26.21486751</v>
      </c>
      <c r="J705" s="1"/>
      <c r="K705" s="1"/>
    </row>
    <row r="706" ht="14.25" customHeight="1">
      <c r="A706" s="1" t="s">
        <v>3852</v>
      </c>
      <c r="B706" s="1">
        <v>6.0E7</v>
      </c>
      <c r="C706" s="1">
        <v>8.0033643E7</v>
      </c>
      <c r="F706" s="4">
        <v>2.0033643E7</v>
      </c>
      <c r="G706" s="4">
        <f t="array" ref="G706">IFERROR((C706-B706)/C706*100, "N/A")</f>
        <v>25.03152705</v>
      </c>
      <c r="J706" s="1"/>
      <c r="K706" s="1"/>
    </row>
    <row r="707" ht="14.25" customHeight="1">
      <c r="A707" s="1" t="s">
        <v>3855</v>
      </c>
      <c r="B707" s="1">
        <v>6.0E7</v>
      </c>
      <c r="C707" s="1">
        <v>7.3648142E7</v>
      </c>
      <c r="F707" s="4">
        <v>1.3648142E7</v>
      </c>
      <c r="G707" s="4">
        <f t="array" ref="G707">IFERROR((C707-B707)/C707*100, "N/A")</f>
        <v>18.53154965</v>
      </c>
      <c r="J707" s="1"/>
      <c r="K707" s="1"/>
    </row>
    <row r="708" ht="14.25" customHeight="1">
      <c r="A708" s="1" t="s">
        <v>3860</v>
      </c>
      <c r="B708" s="1">
        <v>6.0E7</v>
      </c>
      <c r="C708" s="1">
        <v>7.1844424E7</v>
      </c>
      <c r="F708" s="4">
        <v>1.1844424E7</v>
      </c>
      <c r="G708" s="4">
        <f t="array" ref="G708">IFERROR((C708-B708)/C708*100, "N/A")</f>
        <v>16.48621193</v>
      </c>
      <c r="J708" s="1"/>
      <c r="K708" s="1"/>
    </row>
    <row r="709" ht="14.25" customHeight="1">
      <c r="A709" s="1" t="s">
        <v>3867</v>
      </c>
      <c r="B709" s="1">
        <v>6.0E7</v>
      </c>
      <c r="C709" s="1">
        <v>7.5638743E7</v>
      </c>
      <c r="F709" s="4">
        <v>1.5638743E7</v>
      </c>
      <c r="G709" s="4">
        <f t="array" ref="G709">IFERROR((C709-B709)/C709*100, "N/A")</f>
        <v>20.67557231</v>
      </c>
      <c r="J709" s="1"/>
      <c r="K709" s="1"/>
    </row>
    <row r="710" ht="14.25" customHeight="1">
      <c r="A710" s="1" t="s">
        <v>3874</v>
      </c>
      <c r="B710" s="1">
        <v>6.0E7</v>
      </c>
      <c r="C710" s="1">
        <v>6.6734992E7</v>
      </c>
      <c r="F710" s="4">
        <v>6734992.0</v>
      </c>
      <c r="G710" s="4">
        <f t="array" ref="G710">IFERROR((C710-B710)/C710*100, "N/A")</f>
        <v>10.09214476</v>
      </c>
      <c r="J710" s="1"/>
      <c r="K710" s="1"/>
    </row>
    <row r="711" ht="14.25" customHeight="1">
      <c r="A711" s="1" t="s">
        <v>3879</v>
      </c>
      <c r="B711" s="1">
        <v>6.0E7</v>
      </c>
      <c r="C711" s="1">
        <v>7.5280058E7</v>
      </c>
      <c r="F711" s="4">
        <v>1.5280058E7</v>
      </c>
      <c r="G711" s="4">
        <f t="array" ref="G711">IFERROR((C711-B711)/C711*100, "N/A")</f>
        <v>20.2976172</v>
      </c>
      <c r="J711" s="1"/>
      <c r="K711" s="1"/>
    </row>
    <row r="712" ht="14.25" customHeight="1">
      <c r="A712" s="1" t="s">
        <v>3885</v>
      </c>
      <c r="B712" s="1">
        <v>4.8E7</v>
      </c>
      <c r="C712" s="1">
        <v>6.4505912E7</v>
      </c>
      <c r="F712" s="4">
        <v>1.6505912E7</v>
      </c>
      <c r="G712" s="4">
        <f t="array" ref="G712">IFERROR((C712-B712)/C712*100, "N/A")</f>
        <v>25.58821585</v>
      </c>
      <c r="J712" s="1"/>
      <c r="K712" s="1"/>
    </row>
    <row r="713" ht="14.25" customHeight="1">
      <c r="A713" s="1" t="s">
        <v>3889</v>
      </c>
      <c r="B713" s="1">
        <v>7.0E7</v>
      </c>
      <c r="C713" s="1">
        <v>7.7862546E7</v>
      </c>
      <c r="F713" s="4">
        <v>7862546.0</v>
      </c>
      <c r="G713" s="4">
        <f t="array" ref="G713">IFERROR((C713-B713)/C713*100, "N/A")</f>
        <v>10.09798215</v>
      </c>
      <c r="J713" s="1"/>
      <c r="K713" s="1"/>
    </row>
    <row r="714" ht="14.25" customHeight="1">
      <c r="A714" s="1" t="s">
        <v>3893</v>
      </c>
      <c r="B714" s="1">
        <v>5.0E7</v>
      </c>
      <c r="C714" s="1">
        <v>6.1112916E7</v>
      </c>
      <c r="F714" s="4">
        <v>1.1112916E7</v>
      </c>
      <c r="G714" s="4">
        <f t="array" ref="G714">IFERROR((C714-B714)/C714*100, "N/A")</f>
        <v>18.18423457</v>
      </c>
      <c r="J714" s="1"/>
      <c r="K714" s="1"/>
    </row>
    <row r="715" ht="14.25" customHeight="1">
      <c r="A715" s="1" t="s">
        <v>3896</v>
      </c>
      <c r="B715" s="1">
        <v>6.0E7</v>
      </c>
      <c r="C715" s="1">
        <v>8.8200225E7</v>
      </c>
      <c r="F715" s="4">
        <v>2.8200225E7</v>
      </c>
      <c r="G715" s="4">
        <f t="array" ref="G715">IFERROR((C715-B715)/C715*100, "N/A")</f>
        <v>31.97296265</v>
      </c>
      <c r="J715" s="1"/>
      <c r="K715" s="1"/>
    </row>
    <row r="716" ht="14.25" customHeight="1">
      <c r="A716" s="1" t="s">
        <v>3901</v>
      </c>
      <c r="B716" s="1">
        <v>6.0E7</v>
      </c>
      <c r="C716" s="1">
        <v>6.0573641E7</v>
      </c>
      <c r="F716" s="4">
        <v>573641.0</v>
      </c>
      <c r="G716" s="4">
        <f t="array" ref="G716">IFERROR((C716-B716)/C716*100, "N/A")</f>
        <v>0.9470142302</v>
      </c>
      <c r="J716" s="1"/>
      <c r="K716" s="1"/>
    </row>
    <row r="717" ht="14.25" customHeight="1">
      <c r="A717" s="1" t="s">
        <v>3907</v>
      </c>
      <c r="B717" s="1">
        <v>6.6E7</v>
      </c>
      <c r="C717" s="1">
        <v>5.9035104E7</v>
      </c>
      <c r="F717" s="4">
        <v>-6964896.0</v>
      </c>
      <c r="G717" s="4">
        <f t="array" ref="G717">IFERROR((C717-B717)/C717*100, "N/A")</f>
        <v>-11.79788893</v>
      </c>
      <c r="J717" s="1"/>
      <c r="K717" s="1"/>
    </row>
    <row r="718" ht="14.25" customHeight="1">
      <c r="A718" s="1" t="s">
        <v>3913</v>
      </c>
      <c r="B718" s="1">
        <v>6.0E7</v>
      </c>
      <c r="C718" s="1">
        <v>5.6702901E7</v>
      </c>
      <c r="F718" s="4">
        <v>-3297099.0</v>
      </c>
      <c r="G718" s="4">
        <f t="array" ref="G718">IFERROR((C718-B718)/C718*100, "N/A")</f>
        <v>-5.814691915</v>
      </c>
      <c r="J718" s="1"/>
      <c r="K718" s="1"/>
    </row>
    <row r="719" ht="14.25" customHeight="1">
      <c r="A719" s="1" t="s">
        <v>3917</v>
      </c>
      <c r="B719" s="1">
        <v>6.0E7</v>
      </c>
      <c r="C719" s="1">
        <v>5.5994557E7</v>
      </c>
      <c r="F719" s="4">
        <v>-4005443.0</v>
      </c>
      <c r="G719" s="4">
        <f t="array" ref="G719">IFERROR((C719-B719)/C719*100, "N/A")</f>
        <v>-7.153272058</v>
      </c>
      <c r="J719" s="1"/>
      <c r="K719" s="1"/>
    </row>
    <row r="720" ht="14.25" customHeight="1">
      <c r="A720" s="1" t="s">
        <v>3921</v>
      </c>
      <c r="B720" s="1">
        <v>6.0E7</v>
      </c>
      <c r="C720" s="1">
        <v>5.491056E7</v>
      </c>
      <c r="F720" s="4">
        <v>-5089440.0</v>
      </c>
      <c r="G720" s="4">
        <f t="array" ref="G720">IFERROR((C720-B720)/C720*100, "N/A")</f>
        <v>-9.268599701</v>
      </c>
      <c r="J720" s="1"/>
      <c r="K720" s="1"/>
    </row>
    <row r="721" ht="14.25" customHeight="1">
      <c r="A721" s="1" t="s">
        <v>3925</v>
      </c>
      <c r="B721" s="1">
        <v>6.0E7</v>
      </c>
      <c r="C721" s="1">
        <v>5.3789313E7</v>
      </c>
      <c r="F721" s="4">
        <v>-6210687.0</v>
      </c>
      <c r="G721" s="4">
        <f t="array" ref="G721">IFERROR((C721-B721)/C721*100, "N/A")</f>
        <v>-11.54632148</v>
      </c>
      <c r="J721" s="1"/>
      <c r="K721" s="1"/>
    </row>
    <row r="722" ht="14.25" customHeight="1">
      <c r="A722" s="1" t="s">
        <v>3929</v>
      </c>
      <c r="B722" s="1">
        <v>6.0E7</v>
      </c>
      <c r="C722" s="1">
        <v>5.1045801E7</v>
      </c>
      <c r="F722" s="4">
        <v>-8954199.0</v>
      </c>
      <c r="G722" s="4">
        <f t="array" ref="G722">IFERROR((C722-B722)/C722*100, "N/A")</f>
        <v>-17.54149964</v>
      </c>
      <c r="J722" s="1"/>
      <c r="K722" s="1"/>
    </row>
    <row r="723" ht="14.25" customHeight="1">
      <c r="A723" s="1" t="s">
        <v>3934</v>
      </c>
      <c r="B723" s="1">
        <v>6.0E7</v>
      </c>
      <c r="C723" s="1">
        <v>5.081875E7</v>
      </c>
      <c r="F723" s="4">
        <v>-9181250.0</v>
      </c>
      <c r="G723" s="4">
        <f t="array" ref="G723">IFERROR((C723-B723)/C723*100, "N/A")</f>
        <v>-18.06665847</v>
      </c>
      <c r="J723" s="1"/>
      <c r="K723" s="1"/>
    </row>
    <row r="724" ht="14.25" customHeight="1">
      <c r="A724" s="1" t="s">
        <v>3938</v>
      </c>
      <c r="B724" s="1">
        <v>6.0E7</v>
      </c>
      <c r="C724" s="1">
        <v>5.0189179E7</v>
      </c>
      <c r="F724" s="4">
        <v>-9810821.0</v>
      </c>
      <c r="G724" s="4">
        <f t="array" ref="G724">IFERROR((C724-B724)/C724*100, "N/A")</f>
        <v>-19.54768178</v>
      </c>
      <c r="J724" s="1"/>
      <c r="K724" s="1"/>
    </row>
    <row r="725" ht="14.25" customHeight="1">
      <c r="A725" s="1" t="s">
        <v>3943</v>
      </c>
      <c r="B725" s="1">
        <v>6.0E7</v>
      </c>
      <c r="C725" s="1">
        <v>5.0024083E7</v>
      </c>
      <c r="F725" s="4">
        <v>-9975917.0</v>
      </c>
      <c r="G725" s="4">
        <f t="array" ref="G725">IFERROR((C725-B725)/C725*100, "N/A")</f>
        <v>-19.94222863</v>
      </c>
      <c r="J725" s="1"/>
      <c r="K725" s="1"/>
    </row>
    <row r="726" ht="14.25" customHeight="1">
      <c r="A726" s="1" t="s">
        <v>3949</v>
      </c>
      <c r="B726" s="1">
        <v>6.0E7</v>
      </c>
      <c r="C726" s="1">
        <v>5.0549107E7</v>
      </c>
      <c r="F726" s="4">
        <v>-9450893.0</v>
      </c>
      <c r="G726" s="4">
        <f t="array" ref="G726">IFERROR((C726-B726)/C726*100, "N/A")</f>
        <v>-18.69645887</v>
      </c>
      <c r="J726" s="1"/>
      <c r="K726" s="1"/>
    </row>
    <row r="727" ht="14.25" customHeight="1">
      <c r="A727" s="1" t="s">
        <v>3955</v>
      </c>
      <c r="B727" s="1">
        <v>6.0E7</v>
      </c>
      <c r="C727" s="1">
        <v>5.6443482E7</v>
      </c>
      <c r="F727" s="4">
        <v>-3556518.0</v>
      </c>
      <c r="G727" s="4">
        <f t="array" ref="G727">IFERROR((C727-B727)/C727*100, "N/A")</f>
        <v>-6.301025156</v>
      </c>
      <c r="J727" s="1"/>
      <c r="K727" s="1"/>
    </row>
    <row r="728" ht="14.25" customHeight="1">
      <c r="A728" s="1" t="s">
        <v>3960</v>
      </c>
      <c r="B728" s="1">
        <v>6.0E7</v>
      </c>
      <c r="C728" s="1">
        <v>6.2401264E7</v>
      </c>
      <c r="F728" s="4">
        <v>2401264.0</v>
      </c>
      <c r="G728" s="4">
        <f t="array" ref="G728">IFERROR((C728-B728)/C728*100, "N/A")</f>
        <v>3.848101538</v>
      </c>
      <c r="J728" s="1"/>
      <c r="K728" s="1"/>
    </row>
    <row r="729" ht="14.25" customHeight="1">
      <c r="A729" s="1" t="s">
        <v>3965</v>
      </c>
      <c r="B729" s="1">
        <v>7.5E7</v>
      </c>
      <c r="C729" s="1">
        <v>4.774861E7</v>
      </c>
      <c r="F729" s="4">
        <v>-2.725139E7</v>
      </c>
      <c r="G729" s="4">
        <f t="array" ref="G729">IFERROR((C729-B729)/C729*100, "N/A")</f>
        <v>-57.0726352</v>
      </c>
      <c r="J729" s="1"/>
      <c r="K729" s="1"/>
    </row>
    <row r="730" ht="14.25" customHeight="1">
      <c r="A730" s="1" t="s">
        <v>3970</v>
      </c>
      <c r="B730" s="1">
        <v>6.1E7</v>
      </c>
      <c r="C730" s="1">
        <v>4.6975183E7</v>
      </c>
      <c r="F730" s="4">
        <v>-1.4024817E7</v>
      </c>
      <c r="G730" s="4">
        <f t="array" ref="G730">IFERROR((C730-B730)/C730*100, "N/A")</f>
        <v>-29.85580067</v>
      </c>
      <c r="J730" s="1"/>
      <c r="K730" s="1"/>
    </row>
    <row r="731" ht="14.25" customHeight="1">
      <c r="A731" s="1" t="s">
        <v>3977</v>
      </c>
      <c r="B731" s="1">
        <v>6.0E7</v>
      </c>
      <c r="C731" s="1">
        <v>5.0807639E7</v>
      </c>
      <c r="F731" s="4">
        <v>-9192361.0</v>
      </c>
      <c r="G731" s="4">
        <f t="array" ref="G731">IFERROR((C731-B731)/C731*100, "N/A")</f>
        <v>-18.09247818</v>
      </c>
      <c r="J731" s="1"/>
      <c r="K731" s="1"/>
    </row>
    <row r="732" ht="14.25" customHeight="1">
      <c r="A732" s="1" t="s">
        <v>3983</v>
      </c>
      <c r="B732" s="1">
        <v>4.8E7</v>
      </c>
      <c r="C732" s="1">
        <v>4.6611204E7</v>
      </c>
      <c r="F732" s="4">
        <v>-1388796.0</v>
      </c>
      <c r="G732" s="4">
        <f t="array" ref="G732">IFERROR((C732-B732)/C732*100, "N/A")</f>
        <v>-2.97953256</v>
      </c>
      <c r="J732" s="1"/>
      <c r="K732" s="1"/>
    </row>
    <row r="733" ht="14.25" customHeight="1">
      <c r="A733" s="1" t="s">
        <v>3987</v>
      </c>
      <c r="B733" s="1">
        <v>6.0E7</v>
      </c>
      <c r="C733" s="1">
        <v>2.57756197E8</v>
      </c>
      <c r="F733" s="4">
        <v>1.97756197E8</v>
      </c>
      <c r="G733" s="4">
        <f t="array" ref="G733">IFERROR((C733-B733)/C733*100, "N/A")</f>
        <v>76.72218915</v>
      </c>
      <c r="J733" s="1"/>
      <c r="K733" s="1"/>
    </row>
    <row r="734" ht="14.25" customHeight="1">
      <c r="A734" s="1" t="s">
        <v>3992</v>
      </c>
      <c r="B734" s="1">
        <v>4.5E7</v>
      </c>
      <c r="C734" s="1">
        <v>4.8472213E7</v>
      </c>
      <c r="F734" s="4">
        <v>3472213.0</v>
      </c>
      <c r="G734" s="4">
        <f t="array" ref="G734">IFERROR((C734-B734)/C734*100, "N/A")</f>
        <v>7.163306119</v>
      </c>
      <c r="J734" s="1"/>
      <c r="K734" s="1"/>
    </row>
    <row r="735" ht="14.25" customHeight="1">
      <c r="A735" s="1" t="s">
        <v>3997</v>
      </c>
      <c r="B735" s="1">
        <v>6.0E7</v>
      </c>
      <c r="C735" s="1">
        <v>4.3060566E7</v>
      </c>
      <c r="F735" s="4">
        <v>-1.6939434E7</v>
      </c>
      <c r="G735" s="4">
        <f t="array" ref="G735">IFERROR((C735-B735)/C735*100, "N/A")</f>
        <v>-39.33862365</v>
      </c>
      <c r="J735" s="1"/>
      <c r="K735" s="1"/>
    </row>
    <row r="736" ht="14.25" customHeight="1">
      <c r="A736" s="1" t="s">
        <v>4001</v>
      </c>
      <c r="B736" s="1">
        <v>6.0E7</v>
      </c>
      <c r="C736" s="1">
        <v>4.5996718E7</v>
      </c>
      <c r="F736" s="4">
        <v>-1.4003282E7</v>
      </c>
      <c r="G736" s="4">
        <f t="array" ref="G736">IFERROR((C736-B736)/C736*100, "N/A")</f>
        <v>-30.44408951</v>
      </c>
      <c r="J736" s="1"/>
      <c r="K736" s="1"/>
    </row>
    <row r="737" ht="14.25" customHeight="1">
      <c r="A737" s="1" t="s">
        <v>4007</v>
      </c>
      <c r="B737" s="1">
        <v>6.0E7</v>
      </c>
      <c r="C737" s="1">
        <v>4.3337279E7</v>
      </c>
      <c r="F737" s="4">
        <v>-1.6662721E7</v>
      </c>
      <c r="G737" s="4">
        <f t="array" ref="G737">IFERROR((C737-B737)/C737*100, "N/A")</f>
        <v>-38.44893215</v>
      </c>
      <c r="J737" s="1"/>
      <c r="K737" s="1"/>
    </row>
    <row r="738" ht="14.25" customHeight="1">
      <c r="A738" s="1" t="s">
        <v>4012</v>
      </c>
      <c r="B738" s="1">
        <v>6.0E7</v>
      </c>
      <c r="C738" s="1">
        <v>3.7479778E7</v>
      </c>
      <c r="F738" s="4">
        <v>-2.2520222E7</v>
      </c>
      <c r="G738" s="4">
        <f t="array" ref="G738">IFERROR((C738-B738)/C738*100, "N/A")</f>
        <v>-60.08632709</v>
      </c>
      <c r="J738" s="1"/>
      <c r="K738" s="1"/>
    </row>
    <row r="739" ht="14.25" customHeight="1">
      <c r="A739" s="1" t="s">
        <v>4017</v>
      </c>
      <c r="B739" s="1">
        <v>6.0E7</v>
      </c>
      <c r="C739" s="1">
        <v>4.055993E7</v>
      </c>
      <c r="F739" s="4">
        <v>-1.944007E7</v>
      </c>
      <c r="G739" s="4">
        <f t="array" ref="G739">IFERROR((C739-B739)/C739*100, "N/A")</f>
        <v>-47.92924938</v>
      </c>
      <c r="J739" s="1"/>
      <c r="K739" s="1"/>
    </row>
    <row r="740" ht="14.25" customHeight="1">
      <c r="A740" s="1" t="s">
        <v>4023</v>
      </c>
      <c r="B740" s="1">
        <v>6.5E7</v>
      </c>
      <c r="C740" s="1">
        <v>3.6830057E7</v>
      </c>
      <c r="F740" s="4">
        <v>-2.8169943E7</v>
      </c>
      <c r="G740" s="4">
        <f t="array" ref="G740">IFERROR((C740-B740)/C740*100, "N/A")</f>
        <v>-76.48628673</v>
      </c>
      <c r="J740" s="1"/>
      <c r="K740" s="1"/>
    </row>
    <row r="741" ht="14.25" customHeight="1">
      <c r="A741" s="1" t="s">
        <v>4029</v>
      </c>
      <c r="B741" s="1">
        <v>6.0E7</v>
      </c>
      <c r="C741" s="1">
        <v>3.627923E7</v>
      </c>
      <c r="F741" s="4">
        <v>-2.372077E7</v>
      </c>
      <c r="G741" s="4">
        <f t="array" ref="G741">IFERROR((C741-B741)/C741*100, "N/A")</f>
        <v>-65.38388494</v>
      </c>
      <c r="J741" s="1"/>
      <c r="K741" s="1"/>
    </row>
    <row r="742" ht="14.25" customHeight="1">
      <c r="A742" s="1" t="s">
        <v>4036</v>
      </c>
      <c r="B742" s="1">
        <v>7.0E7</v>
      </c>
      <c r="C742" s="1">
        <v>4.219406E7</v>
      </c>
      <c r="F742" s="4">
        <v>-2.780594E7</v>
      </c>
      <c r="G742" s="4">
        <f t="array" ref="G742">IFERROR((C742-B742)/C742*100, "N/A")</f>
        <v>-65.90012907</v>
      </c>
      <c r="J742" s="1"/>
      <c r="K742" s="1"/>
    </row>
    <row r="743" ht="14.25" customHeight="1">
      <c r="A743" s="1" t="s">
        <v>4040</v>
      </c>
      <c r="B743" s="1">
        <v>6.0E7</v>
      </c>
      <c r="C743" s="1">
        <v>4.3119879E7</v>
      </c>
      <c r="F743" s="4">
        <v>-1.6880121E7</v>
      </c>
      <c r="G743" s="4">
        <f t="array" ref="G743">IFERROR((C743-B743)/C743*100, "N/A")</f>
        <v>-39.14695818</v>
      </c>
      <c r="J743" s="1"/>
      <c r="K743" s="1"/>
    </row>
    <row r="744" ht="14.25" customHeight="1">
      <c r="A744" s="1" t="s">
        <v>4044</v>
      </c>
      <c r="B744" s="1">
        <v>6.0E7</v>
      </c>
      <c r="C744" s="1">
        <v>3.509619E7</v>
      </c>
      <c r="F744" s="4">
        <v>-2.490381E7</v>
      </c>
      <c r="G744" s="4">
        <f t="array" ref="G744">IFERROR((C744-B744)/C744*100, "N/A")</f>
        <v>-70.958728</v>
      </c>
      <c r="J744" s="1"/>
      <c r="K744" s="1"/>
    </row>
    <row r="745" ht="14.25" customHeight="1">
      <c r="A745" s="1" t="s">
        <v>4050</v>
      </c>
      <c r="B745" s="1">
        <v>8.0E7</v>
      </c>
      <c r="C745" s="1">
        <v>4.3290977E7</v>
      </c>
      <c r="F745" s="4">
        <v>-3.6709023E7</v>
      </c>
      <c r="G745" s="4">
        <f t="array" ref="G745">IFERROR((C745-B745)/C745*100, "N/A")</f>
        <v>-84.79601419</v>
      </c>
      <c r="J745" s="1"/>
      <c r="K745" s="1"/>
    </row>
    <row r="746" ht="14.25" customHeight="1">
      <c r="A746" s="1" t="s">
        <v>4054</v>
      </c>
      <c r="B746" s="1">
        <v>4.0E7</v>
      </c>
      <c r="C746" s="1">
        <v>3.3927476E7</v>
      </c>
      <c r="F746" s="4">
        <v>-6072524.0</v>
      </c>
      <c r="G746" s="4">
        <f t="array" ref="G746">IFERROR((C746-B746)/C746*100, "N/A")</f>
        <v>-17.89854335</v>
      </c>
      <c r="J746" s="1"/>
      <c r="K746" s="1"/>
    </row>
    <row r="747" ht="14.25" customHeight="1">
      <c r="A747" s="1" t="s">
        <v>4061</v>
      </c>
      <c r="B747" s="1">
        <v>6.0E7</v>
      </c>
      <c r="C747" s="1">
        <v>3.2122249E7</v>
      </c>
      <c r="F747" s="4">
        <v>-2.7877751E7</v>
      </c>
      <c r="G747" s="4">
        <f t="array" ref="G747">IFERROR((C747-B747)/C747*100, "N/A")</f>
        <v>-86.78642333</v>
      </c>
      <c r="J747" s="1"/>
      <c r="K747" s="1"/>
    </row>
    <row r="748" ht="14.25" customHeight="1">
      <c r="A748" s="1" t="s">
        <v>4066</v>
      </c>
      <c r="B748" s="1">
        <v>6.0E7</v>
      </c>
      <c r="C748" s="1">
        <v>4.0076438E7</v>
      </c>
      <c r="F748" s="4">
        <v>-1.9923562E7</v>
      </c>
      <c r="G748" s="4">
        <f t="array" ref="G748">IFERROR((C748-B748)/C748*100, "N/A")</f>
        <v>-49.71390421</v>
      </c>
      <c r="J748" s="1"/>
      <c r="K748" s="1"/>
    </row>
    <row r="749" ht="14.25" customHeight="1">
      <c r="A749" s="1" t="s">
        <v>4070</v>
      </c>
      <c r="B749" s="1">
        <v>6.0E7</v>
      </c>
      <c r="C749" s="1">
        <v>3.2940507E7</v>
      </c>
      <c r="F749" s="4">
        <v>-2.7059493E7</v>
      </c>
      <c r="G749" s="4">
        <f t="array" ref="G749">IFERROR((C749-B749)/C749*100, "N/A")</f>
        <v>-82.14655895</v>
      </c>
      <c r="J749" s="1"/>
      <c r="K749" s="1"/>
    </row>
    <row r="750" ht="14.25" customHeight="1">
      <c r="A750" s="1" t="s">
        <v>4074</v>
      </c>
      <c r="B750" s="1">
        <v>6.0E7</v>
      </c>
      <c r="C750" s="1">
        <v>3.1670931E7</v>
      </c>
      <c r="F750" s="4">
        <v>-2.8329069E7</v>
      </c>
      <c r="G750" s="4">
        <f t="array" ref="G750">IFERROR((C750-B750)/C750*100, "N/A")</f>
        <v>-89.44817252</v>
      </c>
      <c r="J750" s="1"/>
      <c r="K750" s="1"/>
    </row>
    <row r="751" ht="14.25" customHeight="1">
      <c r="A751" s="1" t="s">
        <v>4078</v>
      </c>
      <c r="B751" s="1">
        <v>6.0E7</v>
      </c>
      <c r="C751" s="1">
        <v>3.0695227E7</v>
      </c>
      <c r="F751" s="4">
        <v>-2.9304773E7</v>
      </c>
      <c r="G751" s="4">
        <f t="array" ref="G751">IFERROR((C751-B751)/C751*100, "N/A")</f>
        <v>-95.47012961</v>
      </c>
      <c r="J751" s="1"/>
      <c r="K751" s="1"/>
    </row>
    <row r="752" ht="14.25" customHeight="1">
      <c r="A752" s="1" t="s">
        <v>4082</v>
      </c>
      <c r="B752" s="1">
        <v>6.0E7</v>
      </c>
      <c r="C752" s="1">
        <v>3.2522352E7</v>
      </c>
      <c r="F752" s="4">
        <v>-2.7477648E7</v>
      </c>
      <c r="G752" s="4">
        <f t="array" ref="G752">IFERROR((C752-B752)/C752*100, "N/A")</f>
        <v>-84.48850194</v>
      </c>
      <c r="J752" s="1"/>
      <c r="K752" s="1"/>
    </row>
    <row r="753" ht="14.25" customHeight="1">
      <c r="A753" s="1" t="s">
        <v>4086</v>
      </c>
      <c r="B753" s="1">
        <v>8.7E7</v>
      </c>
      <c r="C753" s="1">
        <v>2.6082914E7</v>
      </c>
      <c r="F753" s="4">
        <v>-6.0917086E7</v>
      </c>
      <c r="G753" s="4">
        <f t="array" ref="G753">IFERROR((C753-B753)/C753*100, "N/A")</f>
        <v>-233.5516883</v>
      </c>
      <c r="J753" s="1"/>
      <c r="K753" s="1"/>
    </row>
    <row r="754" ht="14.25" customHeight="1">
      <c r="A754" s="1" t="s">
        <v>4092</v>
      </c>
      <c r="B754" s="1">
        <v>6.0E7</v>
      </c>
      <c r="C754" s="1">
        <v>2.9136626E7</v>
      </c>
      <c r="F754" s="4">
        <v>-3.0863374E7</v>
      </c>
      <c r="G754" s="4">
        <f t="array" ref="G754">IFERROR((C754-B754)/C754*100, "N/A")</f>
        <v>-105.9263828</v>
      </c>
      <c r="J754" s="1"/>
      <c r="K754" s="1"/>
    </row>
    <row r="755" ht="14.25" customHeight="1">
      <c r="A755" s="1" t="s">
        <v>4100</v>
      </c>
      <c r="B755" s="1">
        <v>6.0E7</v>
      </c>
      <c r="C755" s="1">
        <v>2.628832E7</v>
      </c>
      <c r="F755" s="4">
        <v>-3.371168E7</v>
      </c>
      <c r="G755" s="4">
        <f t="array" ref="G755">IFERROR((C755-B755)/C755*100, "N/A")</f>
        <v>-128.2382442</v>
      </c>
      <c r="J755" s="1"/>
      <c r="K755" s="1"/>
    </row>
    <row r="756" ht="14.25" customHeight="1">
      <c r="A756" s="1" t="s">
        <v>4106</v>
      </c>
      <c r="B756" s="1">
        <v>6.0E7</v>
      </c>
      <c r="C756" s="1">
        <v>2.661659E7</v>
      </c>
      <c r="F756" s="4">
        <v>-3.338341E7</v>
      </c>
      <c r="G756" s="4">
        <f t="array" ref="G756">IFERROR((C756-B756)/C756*100, "N/A")</f>
        <v>-125.4233168</v>
      </c>
      <c r="J756" s="1"/>
      <c r="K756" s="1"/>
    </row>
    <row r="757" ht="14.25" customHeight="1">
      <c r="A757" s="1" t="s">
        <v>146</v>
      </c>
      <c r="B757" s="1">
        <v>2.2E8</v>
      </c>
      <c r="C757" s="1">
        <v>6.23279547E8</v>
      </c>
      <c r="F757" s="4">
        <v>4.03279547E8</v>
      </c>
      <c r="G757" s="4">
        <f t="array" ref="G757">IFERROR((C757-B757)/C757*100, "N/A")</f>
        <v>64.70283662</v>
      </c>
      <c r="J757" s="1"/>
      <c r="K757" s="1"/>
    </row>
    <row r="758" ht="14.25" customHeight="1">
      <c r="A758" s="1" t="s">
        <v>4110</v>
      </c>
      <c r="B758" s="1">
        <v>6.0E7</v>
      </c>
      <c r="C758" s="1">
        <v>3.0063805E7</v>
      </c>
      <c r="F758" s="4">
        <v>-2.9936195E7</v>
      </c>
      <c r="G758" s="4">
        <f t="array" ref="G758">IFERROR((C758-B758)/C758*100, "N/A")</f>
        <v>-99.5755361</v>
      </c>
      <c r="J758" s="1"/>
      <c r="K758" s="1"/>
    </row>
    <row r="759" ht="14.25" customHeight="1">
      <c r="A759" s="1" t="s">
        <v>4115</v>
      </c>
      <c r="B759" s="1">
        <v>5.0E7</v>
      </c>
      <c r="C759" s="1">
        <v>2.2518325E7</v>
      </c>
      <c r="F759" s="4">
        <v>-2.7481675E7</v>
      </c>
      <c r="G759" s="4">
        <f t="array" ref="G759">IFERROR((C759-B759)/C759*100, "N/A")</f>
        <v>-122.0413819</v>
      </c>
      <c r="J759" s="1"/>
      <c r="K759" s="1"/>
    </row>
    <row r="760" ht="14.25" customHeight="1">
      <c r="A760" s="1" t="s">
        <v>4120</v>
      </c>
      <c r="B760" s="1">
        <v>6.0E7</v>
      </c>
      <c r="C760" s="1">
        <v>1.3082288E7</v>
      </c>
      <c r="F760" s="4">
        <v>-4.6917712E7</v>
      </c>
      <c r="G760" s="4">
        <f t="array" ref="G760">IFERROR((C760-B760)/C760*100, "N/A")</f>
        <v>-358.6353702</v>
      </c>
      <c r="J760" s="1"/>
      <c r="K760" s="1"/>
    </row>
    <row r="761" ht="14.25" customHeight="1">
      <c r="A761" s="1" t="s">
        <v>4126</v>
      </c>
      <c r="B761" s="1">
        <v>6.0E7</v>
      </c>
      <c r="C761" s="1">
        <v>1.8208078E7</v>
      </c>
      <c r="F761" s="4">
        <v>-4.1791922E7</v>
      </c>
      <c r="G761" s="4">
        <f t="array" ref="G761">IFERROR((C761-B761)/C761*100, "N/A")</f>
        <v>-229.5240717</v>
      </c>
      <c r="J761" s="1"/>
      <c r="K761" s="1"/>
    </row>
    <row r="762" ht="14.25" customHeight="1">
      <c r="A762" s="1" t="s">
        <v>4131</v>
      </c>
      <c r="B762" s="1">
        <v>6.5E7</v>
      </c>
      <c r="C762" s="1">
        <v>1.4218868E7</v>
      </c>
      <c r="F762" s="4">
        <v>-5.0781132E7</v>
      </c>
      <c r="G762" s="4">
        <f t="array" ref="G762">IFERROR((C762-B762)/C762*100, "N/A")</f>
        <v>-357.1390634</v>
      </c>
      <c r="J762" s="1"/>
      <c r="K762" s="1"/>
    </row>
    <row r="763" ht="14.25" customHeight="1">
      <c r="A763" s="1" t="s">
        <v>4138</v>
      </c>
      <c r="B763" s="1">
        <v>6.0E7</v>
      </c>
      <c r="C763" s="1">
        <v>22451.0</v>
      </c>
      <c r="F763" s="4">
        <v>-5.9977549E7</v>
      </c>
      <c r="G763" s="4">
        <f t="array" ref="G763">IFERROR((C763-B763)/C763*100, "N/A")</f>
        <v>-267148.6749</v>
      </c>
      <c r="J763" s="1"/>
      <c r="K763" s="1"/>
    </row>
    <row r="764" ht="14.25" customHeight="1">
      <c r="A764" s="1" t="s">
        <v>4145</v>
      </c>
      <c r="B764" s="1">
        <v>6.0E7</v>
      </c>
      <c r="C764" s="1">
        <v>3.1165421E7</v>
      </c>
      <c r="F764" s="4">
        <v>-2.8834579E7</v>
      </c>
      <c r="G764" s="4">
        <f t="array" ref="G764">IFERROR((C764-B764)/C764*100, "N/A")</f>
        <v>-92.52106365</v>
      </c>
      <c r="J764" s="1"/>
      <c r="K764" s="1"/>
    </row>
    <row r="765" ht="14.25" customHeight="1">
      <c r="A765" s="1" t="s">
        <v>4150</v>
      </c>
      <c r="B765" s="1">
        <v>6.0E7</v>
      </c>
      <c r="C765" s="1">
        <v>1.1802056E7</v>
      </c>
      <c r="F765" s="4">
        <v>-4.8197944E7</v>
      </c>
      <c r="G765" s="4">
        <f t="array" ref="G765">IFERROR((C765-B765)/C765*100, "N/A")</f>
        <v>-408.3859965</v>
      </c>
      <c r="J765" s="1"/>
      <c r="K765" s="1"/>
    </row>
    <row r="766" ht="14.25" customHeight="1">
      <c r="A766" s="1" t="s">
        <v>4157</v>
      </c>
      <c r="B766" s="1">
        <v>3.0E7</v>
      </c>
      <c r="C766" s="1">
        <v>2.5472967E7</v>
      </c>
      <c r="F766" s="4">
        <v>-4527033.0</v>
      </c>
      <c r="G766" s="4">
        <f t="array" ref="G766">IFERROR((C766-B766)/C766*100, "N/A")</f>
        <v>-17.7719109</v>
      </c>
      <c r="J766" s="1"/>
      <c r="K766" s="1"/>
    </row>
    <row r="767" ht="14.25" customHeight="1">
      <c r="A767" s="1" t="s">
        <v>4163</v>
      </c>
      <c r="B767" s="1">
        <v>5.5E7</v>
      </c>
      <c r="C767" s="1">
        <v>2.23625E7</v>
      </c>
      <c r="F767" s="4">
        <v>-3.26375E7</v>
      </c>
      <c r="G767" s="4">
        <f t="array" ref="G767">IFERROR((C767-B767)/C767*100, "N/A")</f>
        <v>-145.9474567</v>
      </c>
      <c r="J767" s="1"/>
      <c r="K767" s="1"/>
    </row>
    <row r="768" ht="14.25" customHeight="1">
      <c r="A768" s="1" t="s">
        <v>4167</v>
      </c>
      <c r="B768" s="1">
        <v>6.0E7</v>
      </c>
      <c r="C768" s="1">
        <v>1.7281832E7</v>
      </c>
      <c r="F768" s="4">
        <v>-4.2718168E7</v>
      </c>
      <c r="G768" s="4">
        <f t="array" ref="G768">IFERROR((C768-B768)/C768*100, "N/A")</f>
        <v>-247.1854141</v>
      </c>
      <c r="J768" s="1"/>
      <c r="K768" s="1"/>
    </row>
    <row r="769" ht="14.25" customHeight="1">
      <c r="A769" s="1" t="s">
        <v>4171</v>
      </c>
      <c r="B769" s="1">
        <v>6.0E7</v>
      </c>
      <c r="C769" s="1">
        <v>1.9781879E7</v>
      </c>
      <c r="F769" s="4">
        <v>-4.0218121E7</v>
      </c>
      <c r="G769" s="4">
        <f t="array" ref="G769">IFERROR((C769-B769)/C769*100, "N/A")</f>
        <v>-203.307891</v>
      </c>
      <c r="J769" s="1"/>
      <c r="K769" s="1"/>
    </row>
    <row r="770" ht="14.25" customHeight="1">
      <c r="A770" s="1" t="s">
        <v>4176</v>
      </c>
      <c r="B770" s="1">
        <v>6.0E7</v>
      </c>
      <c r="C770" s="1">
        <v>7605668.0</v>
      </c>
      <c r="F770" s="4">
        <v>-5.2394332E7</v>
      </c>
      <c r="G770" s="4">
        <f t="array" ref="G770">IFERROR((C770-B770)/C770*100, "N/A")</f>
        <v>-688.8853418</v>
      </c>
      <c r="J770" s="1"/>
      <c r="K770" s="1"/>
    </row>
    <row r="771" ht="14.25" customHeight="1">
      <c r="A771" s="1" t="s">
        <v>4183</v>
      </c>
      <c r="B771" s="1">
        <v>6.0E7</v>
      </c>
      <c r="C771" s="1">
        <v>4535117.0</v>
      </c>
      <c r="F771" s="4">
        <v>-5.5464883E7</v>
      </c>
      <c r="G771" s="4">
        <f t="array" ref="G771">IFERROR((C771-B771)/C771*100, "N/A")</f>
        <v>-1223.008866</v>
      </c>
      <c r="J771" s="1"/>
      <c r="K771" s="1"/>
    </row>
    <row r="772" ht="14.25" customHeight="1">
      <c r="A772" s="1" t="s">
        <v>4188</v>
      </c>
      <c r="B772" s="1">
        <v>3.5E7</v>
      </c>
      <c r="C772" s="1">
        <v>4426297.0</v>
      </c>
      <c r="F772" s="4">
        <v>-3.0573703E7</v>
      </c>
      <c r="G772" s="4">
        <f t="array" ref="G772">IFERROR((C772-B772)/C772*100, "N/A")</f>
        <v>-690.7286836</v>
      </c>
      <c r="J772" s="1"/>
      <c r="K772" s="1"/>
    </row>
    <row r="773" ht="14.25" customHeight="1">
      <c r="A773" s="1" t="s">
        <v>4192</v>
      </c>
      <c r="B773" s="1">
        <v>8.0E7</v>
      </c>
      <c r="C773" s="1">
        <v>1.0166502E7</v>
      </c>
      <c r="F773" s="4">
        <v>-6.9833498E7</v>
      </c>
      <c r="G773" s="4">
        <f t="array" ref="G773">IFERROR((C773-B773)/C773*100, "N/A")</f>
        <v>-686.8979911</v>
      </c>
      <c r="J773" s="1"/>
      <c r="K773" s="1"/>
    </row>
    <row r="774" ht="14.25" customHeight="1">
      <c r="A774" s="1" t="s">
        <v>4199</v>
      </c>
      <c r="B774" s="1">
        <v>5.8E7</v>
      </c>
      <c r="C774" s="1">
        <v>3.63024263E8</v>
      </c>
      <c r="F774" s="4">
        <v>3.05024263E8</v>
      </c>
      <c r="G774" s="4">
        <f t="array" ref="G774">IFERROR((C774-B774)/C774*100, "N/A")</f>
        <v>84.02310647</v>
      </c>
      <c r="J774" s="1"/>
      <c r="K774" s="1"/>
    </row>
    <row r="775" ht="14.25" customHeight="1">
      <c r="A775" s="1" t="s">
        <v>4206</v>
      </c>
      <c r="B775" s="1">
        <v>6.0E7</v>
      </c>
      <c r="C775" s="1">
        <v>1.2065985E7</v>
      </c>
      <c r="F775" s="4">
        <v>-4.7934015E7</v>
      </c>
      <c r="G775" s="4">
        <f t="array" ref="G775">IFERROR((C775-B775)/C775*100, "N/A")</f>
        <v>-397.2656604</v>
      </c>
      <c r="J775" s="1"/>
      <c r="K775" s="1"/>
    </row>
    <row r="776" ht="14.25" customHeight="1">
      <c r="A776" s="1" t="s">
        <v>4211</v>
      </c>
      <c r="B776" s="1">
        <v>5.88E7</v>
      </c>
      <c r="C776" s="1">
        <v>3.50123553E8</v>
      </c>
      <c r="F776" s="4">
        <v>2.91323553E8</v>
      </c>
      <c r="G776" s="4">
        <f t="array" ref="G776">IFERROR((C776-B776)/C776*100, "N/A")</f>
        <v>83.20592845</v>
      </c>
      <c r="J776" s="1"/>
      <c r="K776" s="1"/>
    </row>
    <row r="777" ht="14.25" customHeight="1">
      <c r="A777" s="1" t="s">
        <v>4217</v>
      </c>
      <c r="B777" s="1">
        <v>5.8E7</v>
      </c>
      <c r="C777" s="1">
        <v>8.002174E7</v>
      </c>
      <c r="F777" s="4">
        <v>2.202174E7</v>
      </c>
      <c r="G777" s="4">
        <f t="array" ref="G777">IFERROR((C777-B777)/C777*100, "N/A")</f>
        <v>27.51969652</v>
      </c>
      <c r="J777" s="1"/>
      <c r="K777" s="1"/>
    </row>
    <row r="778" ht="14.25" customHeight="1">
      <c r="A778" s="1" t="s">
        <v>4224</v>
      </c>
      <c r="B778" s="1">
        <v>5.8E7</v>
      </c>
      <c r="C778" s="1">
        <v>4.8291624E7</v>
      </c>
      <c r="F778" s="4">
        <v>-9708376.0</v>
      </c>
      <c r="G778" s="4">
        <f t="array" ref="G778">IFERROR((C778-B778)/C778*100, "N/A")</f>
        <v>-20.10364365</v>
      </c>
      <c r="J778" s="1"/>
      <c r="K778" s="1"/>
    </row>
    <row r="779" ht="14.25" customHeight="1">
      <c r="A779" s="1" t="s">
        <v>4228</v>
      </c>
      <c r="B779" s="1">
        <v>6.0E7</v>
      </c>
      <c r="C779" s="1">
        <v>3.5231365E7</v>
      </c>
      <c r="F779" s="4">
        <v>-2.4768635E7</v>
      </c>
      <c r="G779" s="4">
        <f t="array" ref="G779">IFERROR((C779-B779)/C779*100, "N/A")</f>
        <v>-70.30279695</v>
      </c>
      <c r="J779" s="1"/>
      <c r="K779" s="1"/>
    </row>
    <row r="780" ht="14.25" customHeight="1">
      <c r="A780" s="1" t="s">
        <v>4234</v>
      </c>
      <c r="B780" s="1">
        <v>6.3E7</v>
      </c>
      <c r="C780" s="1">
        <v>5.3715611E7</v>
      </c>
      <c r="F780" s="4">
        <v>-9284389.0</v>
      </c>
      <c r="G780" s="4">
        <f t="array" ref="G780">IFERROR((C780-B780)/C780*100, "N/A")</f>
        <v>-17.2843403</v>
      </c>
      <c r="J780" s="1"/>
      <c r="K780" s="1"/>
    </row>
    <row r="781" ht="14.25" customHeight="1">
      <c r="A781" s="1" t="s">
        <v>4240</v>
      </c>
      <c r="B781" s="1">
        <v>5.8E7</v>
      </c>
      <c r="C781" s="1">
        <v>3.1199215E7</v>
      </c>
      <c r="F781" s="4">
        <v>-2.6800785E7</v>
      </c>
      <c r="G781" s="4">
        <f t="array" ref="G781">IFERROR((C781-B781)/C781*100, "N/A")</f>
        <v>-85.90211324</v>
      </c>
      <c r="J781" s="1"/>
      <c r="K781" s="1"/>
    </row>
    <row r="782" ht="14.25" customHeight="1">
      <c r="A782" s="1" t="s">
        <v>4247</v>
      </c>
      <c r="B782" s="1">
        <v>5.8E7</v>
      </c>
      <c r="C782" s="1">
        <v>2.9580087E7</v>
      </c>
      <c r="F782" s="4">
        <v>-2.8419913E7</v>
      </c>
      <c r="G782" s="4">
        <f t="array" ref="G782">IFERROR((C782-B782)/C782*100, "N/A")</f>
        <v>-96.07785467</v>
      </c>
      <c r="J782" s="1"/>
      <c r="K782" s="1"/>
    </row>
    <row r="783" ht="14.25" customHeight="1">
      <c r="A783" s="1" t="s">
        <v>4252</v>
      </c>
      <c r="B783" s="1">
        <v>5.8E7</v>
      </c>
      <c r="C783" s="1">
        <v>4.4665963E7</v>
      </c>
      <c r="F783" s="4">
        <v>-1.3334037E7</v>
      </c>
      <c r="G783" s="4">
        <f t="array" ref="G783">IFERROR((C783-B783)/C783*100, "N/A")</f>
        <v>-29.85279193</v>
      </c>
      <c r="J783" s="1"/>
      <c r="K783" s="1"/>
    </row>
    <row r="784" ht="14.25" customHeight="1">
      <c r="A784" s="1" t="s">
        <v>4257</v>
      </c>
      <c r="B784" s="1">
        <v>6.0E7</v>
      </c>
      <c r="C784" s="1">
        <v>6.0128566E7</v>
      </c>
      <c r="F784" s="4">
        <v>128566.0</v>
      </c>
      <c r="G784" s="4">
        <f t="array" ref="G784">IFERROR((C784-B784)/C784*100, "N/A")</f>
        <v>0.2138185035</v>
      </c>
      <c r="J784" s="1"/>
      <c r="K784" s="1"/>
    </row>
    <row r="785" ht="14.25" customHeight="1">
      <c r="A785" s="1" t="s">
        <v>4262</v>
      </c>
      <c r="B785" s="1">
        <v>5.8E7</v>
      </c>
      <c r="C785" s="1">
        <v>4.9875589E7</v>
      </c>
      <c r="F785" s="4">
        <v>-8124411.0</v>
      </c>
      <c r="G785" s="4">
        <f t="array" ref="G785">IFERROR((C785-B785)/C785*100, "N/A")</f>
        <v>-16.2893535</v>
      </c>
      <c r="J785" s="1"/>
      <c r="K785" s="1"/>
    </row>
    <row r="786" ht="14.25" customHeight="1">
      <c r="A786" s="1" t="s">
        <v>4267</v>
      </c>
      <c r="B786" s="1">
        <v>5.7E7</v>
      </c>
      <c r="C786" s="1">
        <v>6.0984028E7</v>
      </c>
      <c r="F786" s="4">
        <v>3984028.0</v>
      </c>
      <c r="G786" s="4">
        <f t="array" ref="G786">IFERROR((C786-B786)/C786*100, "N/A")</f>
        <v>6.532903993</v>
      </c>
      <c r="J786" s="1"/>
      <c r="K786" s="1"/>
    </row>
    <row r="787" ht="14.25" customHeight="1">
      <c r="A787" s="1" t="s">
        <v>4271</v>
      </c>
      <c r="B787" s="1">
        <v>7.0E7</v>
      </c>
      <c r="C787" s="1">
        <v>3.6931089E7</v>
      </c>
      <c r="F787" s="4">
        <v>-3.3068911E7</v>
      </c>
      <c r="G787" s="4">
        <f t="array" ref="G787">IFERROR((C787-B787)/C787*100, "N/A")</f>
        <v>-89.54220386</v>
      </c>
      <c r="J787" s="1"/>
      <c r="K787" s="1"/>
    </row>
    <row r="788" ht="14.25" customHeight="1">
      <c r="A788" s="1" t="s">
        <v>4275</v>
      </c>
      <c r="B788" s="1">
        <v>5.7E7</v>
      </c>
      <c r="C788" s="1">
        <v>5.131735E7</v>
      </c>
      <c r="F788" s="4">
        <v>-5682650.0</v>
      </c>
      <c r="G788" s="4">
        <f t="array" ref="G788">IFERROR((C788-B788)/C788*100, "N/A")</f>
        <v>-11.0735453</v>
      </c>
      <c r="J788" s="1"/>
      <c r="K788" s="1"/>
    </row>
    <row r="789" ht="14.25" customHeight="1">
      <c r="A789" s="1" t="s">
        <v>4280</v>
      </c>
      <c r="B789" s="1">
        <v>5.8E7</v>
      </c>
      <c r="C789" s="1">
        <v>2.8328132E7</v>
      </c>
      <c r="F789" s="4">
        <v>-2.9671868E7</v>
      </c>
      <c r="G789" s="4">
        <f t="array" ref="G789">IFERROR((C789-B789)/C789*100, "N/A")</f>
        <v>-104.7434684</v>
      </c>
      <c r="J789" s="1"/>
      <c r="K789" s="1"/>
    </row>
    <row r="790" ht="14.25" customHeight="1">
      <c r="A790" s="1" t="s">
        <v>4286</v>
      </c>
      <c r="B790" s="1">
        <v>5.7E7</v>
      </c>
      <c r="C790" s="1">
        <v>5.1774002E7</v>
      </c>
      <c r="F790" s="4">
        <v>-5225998.0</v>
      </c>
      <c r="G790" s="4">
        <f t="array" ref="G790">IFERROR((C790-B790)/C790*100, "N/A")</f>
        <v>-10.09386526</v>
      </c>
      <c r="J790" s="1"/>
      <c r="K790" s="1"/>
    </row>
    <row r="791" ht="14.25" customHeight="1">
      <c r="A791" s="1" t="s">
        <v>4292</v>
      </c>
      <c r="B791" s="1">
        <v>5.7E7</v>
      </c>
      <c r="C791" s="1">
        <v>2.5528495E7</v>
      </c>
      <c r="F791" s="4">
        <v>-3.1471505E7</v>
      </c>
      <c r="G791" s="4">
        <f t="array" ref="G791">IFERROR((C791-B791)/C791*100, "N/A")</f>
        <v>-123.2799074</v>
      </c>
      <c r="J791" s="1"/>
      <c r="K791" s="1"/>
    </row>
    <row r="792" ht="14.25" customHeight="1">
      <c r="A792" s="1" t="s">
        <v>4298</v>
      </c>
      <c r="B792" s="1">
        <v>5.6E7</v>
      </c>
      <c r="C792" s="1">
        <v>1.1300688E8</v>
      </c>
      <c r="F792" s="4">
        <v>5.700688E7</v>
      </c>
      <c r="G792" s="4">
        <f t="array" ref="G792">IFERROR((C792-B792)/C792*100, "N/A")</f>
        <v>50.445495</v>
      </c>
      <c r="J792" s="1"/>
      <c r="K792" s="1"/>
    </row>
    <row r="793" ht="14.25" customHeight="1">
      <c r="A793" s="1" t="s">
        <v>4303</v>
      </c>
      <c r="B793" s="1">
        <v>5.6E7</v>
      </c>
      <c r="C793" s="1">
        <v>4.5860039E7</v>
      </c>
      <c r="F793" s="4">
        <v>-1.0139961E7</v>
      </c>
      <c r="G793" s="4">
        <f t="array" ref="G793">IFERROR((C793-B793)/C793*100, "N/A")</f>
        <v>-22.11066807</v>
      </c>
      <c r="J793" s="1"/>
      <c r="K793" s="1"/>
    </row>
    <row r="794" ht="14.25" customHeight="1">
      <c r="A794" s="1" t="s">
        <v>4309</v>
      </c>
      <c r="B794" s="1">
        <v>5.5E7</v>
      </c>
      <c r="C794" s="1">
        <v>3.29691196E8</v>
      </c>
      <c r="F794" s="4">
        <v>2.74691196E8</v>
      </c>
      <c r="G794" s="4">
        <f t="array" ref="G794">IFERROR((C794-B794)/C794*100, "N/A")</f>
        <v>83.31772256</v>
      </c>
      <c r="J794" s="1"/>
      <c r="K794" s="1"/>
    </row>
    <row r="795" ht="14.25" customHeight="1">
      <c r="A795" s="1" t="s">
        <v>4314</v>
      </c>
      <c r="B795" s="1">
        <v>6.0E7</v>
      </c>
      <c r="C795" s="1">
        <v>2.17326336E8</v>
      </c>
      <c r="F795" s="4">
        <v>1.57326336E8</v>
      </c>
      <c r="G795" s="4">
        <f t="array" ref="G795">IFERROR((C795-B795)/C795*100, "N/A")</f>
        <v>72.39174915</v>
      </c>
      <c r="J795" s="1"/>
      <c r="K795" s="1"/>
    </row>
    <row r="796" ht="14.25" customHeight="1">
      <c r="A796" s="1" t="s">
        <v>4319</v>
      </c>
      <c r="B796" s="1">
        <v>5.5E7</v>
      </c>
      <c r="C796" s="1">
        <v>1.6622504E8</v>
      </c>
      <c r="F796" s="4">
        <v>1.1122504E8</v>
      </c>
      <c r="G796" s="4">
        <f t="array" ref="G796">IFERROR((C796-B796)/C796*100, "N/A")</f>
        <v>66.9123256</v>
      </c>
      <c r="J796" s="1"/>
      <c r="K796" s="1"/>
    </row>
    <row r="797" ht="14.25" customHeight="1">
      <c r="A797" s="1" t="s">
        <v>4323</v>
      </c>
      <c r="B797" s="1">
        <v>5.5E7</v>
      </c>
      <c r="C797" s="1">
        <v>1.416E8</v>
      </c>
      <c r="F797" s="4">
        <v>8.66E7</v>
      </c>
      <c r="G797" s="4">
        <f t="array" ref="G797">IFERROR((C797-B797)/C797*100, "N/A")</f>
        <v>61.15819209</v>
      </c>
      <c r="J797" s="1"/>
      <c r="K797" s="1"/>
    </row>
    <row r="798" ht="14.25" customHeight="1">
      <c r="A798" s="1" t="s">
        <v>4328</v>
      </c>
      <c r="B798" s="1">
        <v>5.5E7</v>
      </c>
      <c r="C798" s="1">
        <v>1.34218018E8</v>
      </c>
      <c r="F798" s="4">
        <v>7.9218018E7</v>
      </c>
      <c r="G798" s="4">
        <f t="array" ref="G798">IFERROR((C798-B798)/C798*100, "N/A")</f>
        <v>59.02189526</v>
      </c>
      <c r="J798" s="1"/>
      <c r="K798" s="1"/>
    </row>
    <row r="799" ht="14.25" customHeight="1">
      <c r="A799" s="1" t="s">
        <v>4333</v>
      </c>
      <c r="B799" s="1">
        <v>5.4E7</v>
      </c>
      <c r="C799" s="1">
        <v>1.28769345E8</v>
      </c>
      <c r="F799" s="4">
        <v>7.4769345E7</v>
      </c>
      <c r="G799" s="4">
        <f t="array" ref="G799">IFERROR((C799-B799)/C799*100, "N/A")</f>
        <v>58.06455333</v>
      </c>
      <c r="J799" s="1"/>
      <c r="K799" s="1"/>
    </row>
    <row r="800" ht="14.25" customHeight="1">
      <c r="A800" s="1" t="s">
        <v>4336</v>
      </c>
      <c r="B800" s="1">
        <v>7.0E7</v>
      </c>
      <c r="C800" s="1">
        <v>1.77575142E8</v>
      </c>
      <c r="F800" s="4">
        <v>1.07575142E8</v>
      </c>
      <c r="G800" s="4">
        <f t="array" ref="G800">IFERROR((C800-B800)/C800*100, "N/A")</f>
        <v>60.58006813</v>
      </c>
      <c r="J800" s="1"/>
      <c r="K800" s="1"/>
    </row>
    <row r="801" ht="14.25" customHeight="1">
      <c r="A801" s="1" t="s">
        <v>4340</v>
      </c>
      <c r="B801" s="1">
        <v>5.5E7</v>
      </c>
      <c r="C801" s="1">
        <v>1.05263257E8</v>
      </c>
      <c r="F801" s="4">
        <v>5.0263257E7</v>
      </c>
      <c r="G801" s="4">
        <f t="array" ref="G801">IFERROR((C801-B801)/C801*100, "N/A")</f>
        <v>47.75004919</v>
      </c>
      <c r="J801" s="1"/>
      <c r="K801" s="1"/>
    </row>
    <row r="802" ht="14.25" customHeight="1">
      <c r="A802" s="1" t="s">
        <v>4346</v>
      </c>
      <c r="B802" s="1">
        <v>5.5E7</v>
      </c>
      <c r="C802" s="1">
        <v>1.04354205E8</v>
      </c>
      <c r="F802" s="4">
        <v>4.9354205E7</v>
      </c>
      <c r="G802" s="4">
        <f t="array" ref="G802">IFERROR((C802-B802)/C802*100, "N/A")</f>
        <v>47.2948886</v>
      </c>
      <c r="J802" s="1"/>
      <c r="K802" s="1"/>
    </row>
    <row r="803" ht="14.25" customHeight="1">
      <c r="A803" s="1" t="s">
        <v>4351</v>
      </c>
      <c r="B803" s="1">
        <v>5.5E7</v>
      </c>
      <c r="C803" s="1">
        <v>1.07100855E8</v>
      </c>
      <c r="F803" s="4">
        <v>5.2100855E7</v>
      </c>
      <c r="G803" s="4">
        <f t="array" ref="G803">IFERROR((C803-B803)/C803*100, "N/A")</f>
        <v>48.64653508</v>
      </c>
      <c r="J803" s="1"/>
      <c r="K803" s="1"/>
    </row>
    <row r="804" ht="14.25" customHeight="1">
      <c r="A804" s="1" t="s">
        <v>4356</v>
      </c>
      <c r="B804" s="1">
        <v>5.5E7</v>
      </c>
      <c r="C804" s="1">
        <v>9.8711404E7</v>
      </c>
      <c r="F804" s="4">
        <v>4.3711404E7</v>
      </c>
      <c r="G804" s="4">
        <f t="array" ref="G804">IFERROR((C804-B804)/C804*100, "N/A")</f>
        <v>44.28202034</v>
      </c>
      <c r="J804" s="1"/>
      <c r="K804" s="1"/>
    </row>
    <row r="805" ht="14.25" customHeight="1">
      <c r="A805" s="1" t="s">
        <v>4359</v>
      </c>
      <c r="B805" s="1">
        <v>5.0E7</v>
      </c>
      <c r="C805" s="1">
        <v>1.00328194E8</v>
      </c>
      <c r="F805" s="4">
        <v>5.0328194E7</v>
      </c>
      <c r="G805" s="4">
        <f t="array" ref="G805">IFERROR((C805-B805)/C805*100, "N/A")</f>
        <v>50.16356021</v>
      </c>
      <c r="J805" s="1"/>
      <c r="K805" s="1"/>
    </row>
    <row r="806" ht="14.25" customHeight="1">
      <c r="A806" s="1" t="s">
        <v>4363</v>
      </c>
      <c r="B806" s="1">
        <v>5.5E7</v>
      </c>
      <c r="C806" s="1">
        <v>1.01530738E8</v>
      </c>
      <c r="F806" s="4">
        <v>4.6530738E7</v>
      </c>
      <c r="G806" s="4">
        <f t="array" ref="G806">IFERROR((C806-B806)/C806*100, "N/A")</f>
        <v>45.82921282</v>
      </c>
      <c r="J806" s="1"/>
      <c r="K806" s="1"/>
    </row>
    <row r="807" ht="14.25" customHeight="1">
      <c r="A807" s="1" t="s">
        <v>4368</v>
      </c>
      <c r="B807" s="1">
        <v>5.5E7</v>
      </c>
      <c r="C807" s="1">
        <v>9.3815117E7</v>
      </c>
      <c r="F807" s="4">
        <v>3.8815117E7</v>
      </c>
      <c r="G807" s="4">
        <f t="array" ref="G807">IFERROR((C807-B807)/C807*100, "N/A")</f>
        <v>41.37405382</v>
      </c>
      <c r="J807" s="1"/>
      <c r="K807" s="1"/>
    </row>
    <row r="808" ht="14.25" customHeight="1">
      <c r="A808" s="1" t="s">
        <v>4372</v>
      </c>
      <c r="B808" s="1">
        <v>5.3E7</v>
      </c>
      <c r="C808" s="1">
        <v>9.14E7</v>
      </c>
      <c r="F808" s="4">
        <v>3.84E7</v>
      </c>
      <c r="G808" s="4">
        <f t="array" ref="G808">IFERROR((C808-B808)/C808*100, "N/A")</f>
        <v>42.0131291</v>
      </c>
      <c r="J808" s="1"/>
      <c r="K808" s="1"/>
    </row>
    <row r="809" ht="14.25" customHeight="1">
      <c r="A809" s="1" t="s">
        <v>4377</v>
      </c>
      <c r="B809" s="1">
        <v>5.5E7</v>
      </c>
      <c r="C809" s="1">
        <v>1.62586036E8</v>
      </c>
      <c r="F809" s="4">
        <v>1.07586036E8</v>
      </c>
      <c r="G809" s="4">
        <f t="array" ref="G809">IFERROR((C809-B809)/C809*100, "N/A")</f>
        <v>66.1717566</v>
      </c>
      <c r="J809" s="1"/>
      <c r="K809" s="1"/>
    </row>
    <row r="810" ht="14.25" customHeight="1">
      <c r="A810" s="1" t="s">
        <v>4382</v>
      </c>
      <c r="B810" s="1">
        <v>5.5E7</v>
      </c>
      <c r="C810" s="1">
        <v>8.9706988E7</v>
      </c>
      <c r="F810" s="4">
        <v>3.4706988E7</v>
      </c>
      <c r="G810" s="4">
        <f t="array" ref="G810">IFERROR((C810-B810)/C810*100, "N/A")</f>
        <v>38.68928026</v>
      </c>
      <c r="J810" s="1"/>
      <c r="K810" s="1"/>
    </row>
    <row r="811" ht="14.25" customHeight="1">
      <c r="A811" s="1" t="s">
        <v>4387</v>
      </c>
      <c r="B811" s="1">
        <v>5.5E7</v>
      </c>
      <c r="C811" s="1">
        <v>8.3E7</v>
      </c>
      <c r="F811" s="4">
        <v>2.8E7</v>
      </c>
      <c r="G811" s="4">
        <f t="array" ref="G811">IFERROR((C811-B811)/C811*100, "N/A")</f>
        <v>33.73493976</v>
      </c>
      <c r="J811" s="1"/>
      <c r="K811" s="1"/>
    </row>
    <row r="812" ht="14.25" customHeight="1">
      <c r="A812" s="1" t="s">
        <v>4391</v>
      </c>
      <c r="B812" s="1">
        <v>5.5E7</v>
      </c>
      <c r="C812" s="1">
        <v>7.8745923E7</v>
      </c>
      <c r="F812" s="4">
        <v>2.3745923E7</v>
      </c>
      <c r="G812" s="4">
        <f t="array" ref="G812">IFERROR((C812-B812)/C812*100, "N/A")</f>
        <v>30.15511419</v>
      </c>
      <c r="J812" s="1"/>
      <c r="K812" s="1"/>
    </row>
    <row r="813" ht="14.25" customHeight="1">
      <c r="A813" s="1" t="s">
        <v>4394</v>
      </c>
      <c r="B813" s="1">
        <v>3.0E7</v>
      </c>
      <c r="C813" s="1">
        <v>7.0098138E7</v>
      </c>
      <c r="F813" s="4">
        <v>4.0098138E7</v>
      </c>
      <c r="G813" s="4">
        <f t="array" ref="G813">IFERROR((C813-B813)/C813*100, "N/A")</f>
        <v>57.20285751</v>
      </c>
      <c r="J813" s="1"/>
      <c r="K813" s="1"/>
    </row>
    <row r="814" ht="14.25" customHeight="1">
      <c r="A814" s="1" t="s">
        <v>4399</v>
      </c>
      <c r="B814" s="1">
        <v>5.5E7</v>
      </c>
      <c r="C814" s="1">
        <v>6.636529E7</v>
      </c>
      <c r="F814" s="4">
        <v>1.136529E7</v>
      </c>
      <c r="G814" s="4">
        <f t="array" ref="G814">IFERROR((C814-B814)/C814*100, "N/A")</f>
        <v>17.12535273</v>
      </c>
      <c r="J814" s="1"/>
      <c r="K814" s="1"/>
    </row>
    <row r="815" ht="14.25" customHeight="1">
      <c r="A815" s="1" t="s">
        <v>4403</v>
      </c>
      <c r="B815" s="1">
        <v>3.0E7</v>
      </c>
      <c r="C815" s="1">
        <v>6.620792E7</v>
      </c>
      <c r="F815" s="4">
        <v>3.620792E7</v>
      </c>
      <c r="G815" s="4">
        <f t="array" ref="G815">IFERROR((C815-B815)/C815*100, "N/A")</f>
        <v>54.68820044</v>
      </c>
      <c r="J815" s="1"/>
      <c r="K815" s="1"/>
    </row>
    <row r="816" ht="14.25" customHeight="1">
      <c r="A816" s="1" t="s">
        <v>4407</v>
      </c>
      <c r="B816" s="1">
        <v>5.5E7</v>
      </c>
      <c r="C816" s="1">
        <v>6.3408614E7</v>
      </c>
      <c r="F816" s="4">
        <v>8408614.0</v>
      </c>
      <c r="G816" s="4">
        <f t="array" ref="G816">IFERROR((C816-B816)/C816*100, "N/A")</f>
        <v>13.26099637</v>
      </c>
      <c r="J816" s="1"/>
      <c r="K816" s="1"/>
    </row>
    <row r="817" ht="14.25" customHeight="1">
      <c r="A817" s="1" t="s">
        <v>4412</v>
      </c>
      <c r="B817" s="1">
        <v>5.5E7</v>
      </c>
      <c r="C817" s="1">
        <v>5.842265E7</v>
      </c>
      <c r="F817" s="4">
        <v>3422650.0</v>
      </c>
      <c r="G817" s="4">
        <f t="array" ref="G817">IFERROR((C817-B817)/C817*100, "N/A")</f>
        <v>5.858429907</v>
      </c>
      <c r="J817" s="1"/>
      <c r="K817" s="1"/>
    </row>
    <row r="818" ht="14.25" customHeight="1">
      <c r="A818" s="1" t="s">
        <v>4416</v>
      </c>
      <c r="B818" s="1">
        <v>5.5E7</v>
      </c>
      <c r="C818" s="1">
        <v>5.6932305E7</v>
      </c>
      <c r="F818" s="4">
        <v>1932305.0</v>
      </c>
      <c r="G818" s="4">
        <f t="array" ref="G818">IFERROR((C818-B818)/C818*100, "N/A")</f>
        <v>3.394039641</v>
      </c>
      <c r="J818" s="1"/>
      <c r="K818" s="1"/>
    </row>
    <row r="819" ht="14.25" customHeight="1">
      <c r="A819" s="1" t="s">
        <v>4422</v>
      </c>
      <c r="B819" s="1">
        <v>5.5E7</v>
      </c>
      <c r="C819" s="1">
        <v>6.875E7</v>
      </c>
      <c r="F819" s="4">
        <v>1.375E7</v>
      </c>
      <c r="G819" s="4">
        <f t="array" ref="G819">IFERROR((C819-B819)/C819*100, "N/A")</f>
        <v>20</v>
      </c>
      <c r="J819" s="1"/>
      <c r="K819" s="1"/>
    </row>
    <row r="820" ht="14.25" customHeight="1">
      <c r="A820" s="1" t="s">
        <v>4426</v>
      </c>
      <c r="B820" s="1">
        <v>5.5E7</v>
      </c>
      <c r="C820" s="1">
        <v>6.8218041E7</v>
      </c>
      <c r="F820" s="4">
        <v>1.3218041E7</v>
      </c>
      <c r="G820" s="4">
        <f t="array" ref="G820">IFERROR((C820-B820)/C820*100, "N/A")</f>
        <v>19.3761662</v>
      </c>
      <c r="J820" s="1"/>
      <c r="K820" s="1"/>
    </row>
    <row r="821" ht="14.25" customHeight="1">
      <c r="A821" s="1" t="s">
        <v>4431</v>
      </c>
      <c r="B821" s="1">
        <v>5.5E7</v>
      </c>
      <c r="C821" s="1">
        <v>2.5040293E7</v>
      </c>
      <c r="F821" s="4">
        <v>-2.9959707E7</v>
      </c>
      <c r="G821" s="4">
        <f t="array" ref="G821">IFERROR((C821-B821)/C821*100, "N/A")</f>
        <v>-119.6459922</v>
      </c>
      <c r="J821" s="1"/>
      <c r="K821" s="1"/>
    </row>
    <row r="822" ht="14.25" customHeight="1">
      <c r="A822" s="1" t="s">
        <v>4436</v>
      </c>
      <c r="B822" s="1">
        <v>5.5E7</v>
      </c>
      <c r="C822" s="1">
        <v>5.5747724E7</v>
      </c>
      <c r="F822" s="4">
        <v>747724.0</v>
      </c>
      <c r="G822" s="4">
        <f t="array" ref="G822">IFERROR((C822-B822)/C822*100, "N/A")</f>
        <v>1.341263726</v>
      </c>
      <c r="J822" s="1"/>
      <c r="K822" s="1"/>
    </row>
    <row r="823" ht="14.25" customHeight="1">
      <c r="A823" s="1" t="s">
        <v>4440</v>
      </c>
      <c r="B823" s="1">
        <v>5.0E7</v>
      </c>
      <c r="C823" s="1">
        <v>5.54736E7</v>
      </c>
      <c r="F823" s="4">
        <v>5473600.0</v>
      </c>
      <c r="G823" s="4">
        <f t="array" ref="G823">IFERROR((C823-B823)/C823*100, "N/A")</f>
        <v>9.867035851</v>
      </c>
      <c r="J823" s="1"/>
      <c r="K823" s="1"/>
    </row>
    <row r="824" ht="14.25" customHeight="1">
      <c r="A824" s="1" t="s">
        <v>4447</v>
      </c>
      <c r="B824" s="1">
        <v>5.5E7</v>
      </c>
      <c r="C824" s="1">
        <v>4.9994804E7</v>
      </c>
      <c r="F824" s="4">
        <v>-5005196.0</v>
      </c>
      <c r="G824" s="4">
        <f t="array" ref="G824">IFERROR((C824-B824)/C824*100, "N/A")</f>
        <v>-10.01143239</v>
      </c>
      <c r="J824" s="1"/>
      <c r="K824" s="1"/>
    </row>
    <row r="825" ht="14.25" customHeight="1">
      <c r="A825" s="1" t="s">
        <v>4455</v>
      </c>
      <c r="B825" s="1">
        <v>5.5E7</v>
      </c>
      <c r="C825" s="1">
        <v>4.1609593E7</v>
      </c>
      <c r="F825" s="4">
        <v>-1.3390407E7</v>
      </c>
      <c r="G825" s="4">
        <f t="array" ref="G825">IFERROR((C825-B825)/C825*100, "N/A")</f>
        <v>-32.18105738</v>
      </c>
      <c r="J825" s="1"/>
      <c r="K825" s="1"/>
    </row>
    <row r="826" ht="14.25" customHeight="1">
      <c r="A826" s="1" t="s">
        <v>4459</v>
      </c>
      <c r="B826" s="1">
        <v>5.5E7</v>
      </c>
      <c r="C826" s="1">
        <v>3.8553833E7</v>
      </c>
      <c r="F826" s="4">
        <v>-1.6446167E7</v>
      </c>
      <c r="G826" s="4">
        <f t="array" ref="G826">IFERROR((C826-B826)/C826*100, "N/A")</f>
        <v>-42.65767038</v>
      </c>
      <c r="J826" s="1"/>
      <c r="K826" s="1"/>
    </row>
    <row r="827" ht="14.25" customHeight="1">
      <c r="A827" s="1" t="s">
        <v>4465</v>
      </c>
      <c r="B827" s="1">
        <v>5.5E7</v>
      </c>
      <c r="C827" s="1">
        <v>7.6137505E7</v>
      </c>
      <c r="F827" s="4">
        <v>2.1137505E7</v>
      </c>
      <c r="G827" s="4">
        <f t="array" ref="G827">IFERROR((C827-B827)/C827*100, "N/A")</f>
        <v>27.76227695</v>
      </c>
      <c r="J827" s="1"/>
      <c r="K827" s="1"/>
    </row>
    <row r="828" ht="14.25" customHeight="1">
      <c r="A828" s="1" t="s">
        <v>4471</v>
      </c>
      <c r="B828" s="1">
        <v>6.8E7</v>
      </c>
      <c r="C828" s="1">
        <v>3.4350553E7</v>
      </c>
      <c r="F828" s="4">
        <v>-3.3649447E7</v>
      </c>
      <c r="G828" s="4">
        <f t="array" ref="G828">IFERROR((C828-B828)/C828*100, "N/A")</f>
        <v>-97.95896736</v>
      </c>
      <c r="J828" s="1"/>
      <c r="K828" s="1"/>
    </row>
    <row r="829" ht="14.25" customHeight="1">
      <c r="A829" s="1" t="s">
        <v>4476</v>
      </c>
      <c r="B829" s="1">
        <v>5.5E7</v>
      </c>
      <c r="C829" s="1">
        <v>3.4238611E7</v>
      </c>
      <c r="F829" s="4">
        <v>-2.0761389E7</v>
      </c>
      <c r="G829" s="4">
        <f t="array" ref="G829">IFERROR((C829-B829)/C829*100, "N/A")</f>
        <v>-60.63735763</v>
      </c>
      <c r="J829" s="1"/>
      <c r="K829" s="1"/>
    </row>
    <row r="830" ht="14.25" customHeight="1">
      <c r="A830" s="1" t="s">
        <v>4481</v>
      </c>
      <c r="B830" s="1">
        <v>5.5E7</v>
      </c>
      <c r="C830" s="1">
        <v>3.4098563E7</v>
      </c>
      <c r="F830" s="4">
        <v>-2.0901437E7</v>
      </c>
      <c r="G830" s="4">
        <f t="array" ref="G830">IFERROR((C830-B830)/C830*100, "N/A")</f>
        <v>-61.29711976</v>
      </c>
      <c r="J830" s="1"/>
      <c r="K830" s="1"/>
    </row>
    <row r="831" ht="14.25" customHeight="1">
      <c r="A831" s="1" t="s">
        <v>4485</v>
      </c>
      <c r="B831" s="1">
        <v>5.5E7</v>
      </c>
      <c r="C831" s="1">
        <v>3.3828318E7</v>
      </c>
      <c r="F831" s="4">
        <v>-2.1171682E7</v>
      </c>
      <c r="G831" s="4">
        <f t="array" ref="G831">IFERROR((C831-B831)/C831*100, "N/A")</f>
        <v>-62.58567748</v>
      </c>
      <c r="J831" s="1"/>
      <c r="K831" s="1"/>
    </row>
    <row r="832" ht="14.25" customHeight="1">
      <c r="A832" s="1" t="s">
        <v>4491</v>
      </c>
      <c r="B832" s="1">
        <v>5.5E7</v>
      </c>
      <c r="C832" s="1">
        <v>3.347285E7</v>
      </c>
      <c r="F832" s="4">
        <v>-2.152715E7</v>
      </c>
      <c r="G832" s="4">
        <f t="array" ref="G832">IFERROR((C832-B832)/C832*100, "N/A")</f>
        <v>-64.31227099</v>
      </c>
      <c r="J832" s="1"/>
      <c r="K832" s="1"/>
    </row>
    <row r="833" ht="14.25" customHeight="1">
      <c r="A833" s="1" t="s">
        <v>4495</v>
      </c>
      <c r="B833" s="1">
        <v>5.5E7</v>
      </c>
      <c r="C833" s="1">
        <v>3.1051126E7</v>
      </c>
      <c r="F833" s="4">
        <v>-2.3948874E7</v>
      </c>
      <c r="G833" s="4">
        <f t="array" ref="G833">IFERROR((C833-B833)/C833*100, "N/A")</f>
        <v>-77.12723204</v>
      </c>
      <c r="J833" s="1"/>
      <c r="K833" s="1"/>
    </row>
    <row r="834" ht="14.25" customHeight="1">
      <c r="A834" s="1" t="s">
        <v>4499</v>
      </c>
      <c r="B834" s="1">
        <v>5.5E7</v>
      </c>
      <c r="C834" s="1">
        <v>3.5707327E7</v>
      </c>
      <c r="F834" s="4">
        <v>-1.9292673E7</v>
      </c>
      <c r="G834" s="4">
        <f t="array" ref="G834">IFERROR((C834-B834)/C834*100, "N/A")</f>
        <v>-54.03001182</v>
      </c>
      <c r="J834" s="1"/>
      <c r="K834" s="1"/>
    </row>
    <row r="835" ht="14.25" customHeight="1">
      <c r="A835" s="1" t="s">
        <v>4502</v>
      </c>
      <c r="B835" s="1">
        <v>5.0E7</v>
      </c>
      <c r="C835" s="1">
        <v>2.0550712E7</v>
      </c>
      <c r="F835" s="4">
        <v>-2.9449288E7</v>
      </c>
      <c r="G835" s="4">
        <f t="array" ref="G835">IFERROR((C835-B835)/C835*100, "N/A")</f>
        <v>-143.3005727</v>
      </c>
      <c r="J835" s="1"/>
      <c r="K835" s="1"/>
    </row>
    <row r="836" ht="14.25" customHeight="1">
      <c r="A836" s="1" t="s">
        <v>4505</v>
      </c>
      <c r="B836" s="1">
        <v>5.5E7</v>
      </c>
      <c r="C836" s="1">
        <v>1.8573791E7</v>
      </c>
      <c r="F836" s="4">
        <v>-3.6426209E7</v>
      </c>
      <c r="G836" s="4">
        <f t="array" ref="G836">IFERROR((C836-B836)/C836*100, "N/A")</f>
        <v>-196.1161779</v>
      </c>
      <c r="J836" s="1"/>
      <c r="K836" s="1"/>
    </row>
    <row r="837" ht="14.25" customHeight="1">
      <c r="A837" s="1" t="s">
        <v>4510</v>
      </c>
      <c r="B837" s="1">
        <v>7.0E7</v>
      </c>
      <c r="C837" s="1">
        <v>5.1225796E7</v>
      </c>
      <c r="F837" s="4">
        <v>-1.8774204E7</v>
      </c>
      <c r="G837" s="4">
        <f t="array" ref="G837">IFERROR((C837-B837)/C837*100, "N/A")</f>
        <v>-36.64990194</v>
      </c>
      <c r="J837" s="1"/>
      <c r="K837" s="1"/>
    </row>
    <row r="838" ht="14.25" customHeight="1">
      <c r="A838" s="1" t="s">
        <v>4516</v>
      </c>
      <c r="B838" s="1">
        <v>5.5E7</v>
      </c>
      <c r="C838" s="1">
        <v>1.6264475E7</v>
      </c>
      <c r="F838" s="4">
        <v>-3.8735525E7</v>
      </c>
      <c r="G838" s="4">
        <f t="array" ref="G838">IFERROR((C838-B838)/C838*100, "N/A")</f>
        <v>-238.1603157</v>
      </c>
      <c r="J838" s="1"/>
      <c r="K838" s="1"/>
    </row>
    <row r="839" ht="14.25" customHeight="1">
      <c r="A839" s="1" t="s">
        <v>4520</v>
      </c>
      <c r="B839" s="1">
        <v>6.2E7</v>
      </c>
      <c r="C839" s="1">
        <v>2.5857987E7</v>
      </c>
      <c r="F839" s="4">
        <v>-3.6142013E7</v>
      </c>
      <c r="G839" s="4">
        <f t="array" ref="G839">IFERROR((C839-B839)/C839*100, "N/A")</f>
        <v>-139.7711779</v>
      </c>
      <c r="J839" s="1"/>
      <c r="K839" s="1"/>
    </row>
    <row r="840" ht="14.25" customHeight="1">
      <c r="A840" s="1" t="s">
        <v>4525</v>
      </c>
      <c r="B840" s="1">
        <v>5.6E7</v>
      </c>
      <c r="C840" s="1">
        <v>1.2870569E7</v>
      </c>
      <c r="F840" s="4">
        <v>-4.3129431E7</v>
      </c>
      <c r="G840" s="4">
        <f t="array" ref="G840">IFERROR((C840-B840)/C840*100, "N/A")</f>
        <v>-335.1011987</v>
      </c>
      <c r="J840" s="1"/>
      <c r="K840" s="1"/>
    </row>
    <row r="841" ht="14.25" customHeight="1">
      <c r="A841" s="1" t="s">
        <v>4532</v>
      </c>
      <c r="B841" s="1">
        <v>7.1E7</v>
      </c>
      <c r="C841" s="1">
        <v>1.1466088E7</v>
      </c>
      <c r="F841" s="4">
        <v>-5.9533912E7</v>
      </c>
      <c r="G841" s="4">
        <f t="array" ref="G841">IFERROR((C841-B841)/C841*100, "N/A")</f>
        <v>-519.2172954</v>
      </c>
      <c r="J841" s="1"/>
      <c r="K841" s="1"/>
    </row>
    <row r="842" ht="14.25" customHeight="1">
      <c r="A842" s="1" t="s">
        <v>4537</v>
      </c>
      <c r="B842" s="1">
        <v>5.5E7</v>
      </c>
      <c r="C842" s="1">
        <v>1.608861E7</v>
      </c>
      <c r="F842" s="4">
        <v>-3.891139E7</v>
      </c>
      <c r="G842" s="4">
        <f t="array" ref="G842">IFERROR((C842-B842)/C842*100, "N/A")</f>
        <v>-241.8567546</v>
      </c>
      <c r="J842" s="1"/>
      <c r="K842" s="1"/>
    </row>
    <row r="843" ht="14.25" customHeight="1">
      <c r="A843" s="1" t="s">
        <v>4541</v>
      </c>
      <c r="B843" s="1">
        <v>5.0E7</v>
      </c>
      <c r="C843" s="1">
        <v>5.1178893E7</v>
      </c>
      <c r="F843" s="4">
        <v>1178893.0</v>
      </c>
      <c r="G843" s="4">
        <f t="array" ref="G843">IFERROR((C843-B843)/C843*100, "N/A")</f>
        <v>2.303474989</v>
      </c>
      <c r="J843" s="1"/>
      <c r="K843" s="1"/>
    </row>
    <row r="844" ht="14.25" customHeight="1">
      <c r="A844" s="1" t="s">
        <v>4547</v>
      </c>
      <c r="B844" s="1">
        <v>5.7E7</v>
      </c>
      <c r="C844" s="1">
        <v>6768055.0</v>
      </c>
      <c r="F844" s="4">
        <v>-5.0231945E7</v>
      </c>
      <c r="G844" s="4">
        <f t="array" ref="G844">IFERROR((C844-B844)/C844*100, "N/A")</f>
        <v>-742.1917375</v>
      </c>
      <c r="J844" s="1"/>
      <c r="K844" s="1"/>
    </row>
    <row r="845" ht="14.25" customHeight="1">
      <c r="A845" s="1" t="s">
        <v>4552</v>
      </c>
      <c r="B845" s="1">
        <v>5.5E7</v>
      </c>
      <c r="C845" s="1">
        <v>3.9440655E7</v>
      </c>
      <c r="F845" s="4">
        <v>-1.5559345E7</v>
      </c>
      <c r="G845" s="4">
        <f t="array" ref="G845">IFERROR((C845-B845)/C845*100, "N/A")</f>
        <v>-39.45001674</v>
      </c>
      <c r="J845" s="1"/>
      <c r="K845" s="1"/>
    </row>
    <row r="846" ht="14.25" customHeight="1">
      <c r="A846" s="1" t="s">
        <v>4558</v>
      </c>
      <c r="B846" s="1">
        <v>4.7E7</v>
      </c>
      <c r="C846" s="1">
        <v>6167817.0</v>
      </c>
      <c r="F846" s="4">
        <v>-4.0832183E7</v>
      </c>
      <c r="G846" s="4">
        <f t="array" ref="G846">IFERROR((C846-B846)/C846*100, "N/A")</f>
        <v>-662.0200145</v>
      </c>
      <c r="J846" s="1"/>
      <c r="K846" s="1"/>
    </row>
    <row r="847" ht="14.25" customHeight="1">
      <c r="A847" s="1" t="s">
        <v>4565</v>
      </c>
      <c r="B847" s="1">
        <v>5.4E7</v>
      </c>
      <c r="C847" s="1">
        <v>8.1645152E7</v>
      </c>
      <c r="F847" s="4">
        <v>2.7645152E7</v>
      </c>
      <c r="G847" s="4">
        <f t="array" ref="G847">IFERROR((C847-B847)/C847*100, "N/A")</f>
        <v>33.86012681</v>
      </c>
      <c r="J847" s="1"/>
      <c r="K847" s="1"/>
    </row>
    <row r="848" ht="14.25" customHeight="1">
      <c r="A848" s="1" t="s">
        <v>4569</v>
      </c>
      <c r="B848" s="1">
        <v>5.5E7</v>
      </c>
      <c r="C848" s="1">
        <v>6.9951824E7</v>
      </c>
      <c r="F848" s="4">
        <v>1.4951824E7</v>
      </c>
      <c r="G848" s="4">
        <f t="array" ref="G848">IFERROR((C848-B848)/C848*100, "N/A")</f>
        <v>21.37445908</v>
      </c>
      <c r="J848" s="1"/>
      <c r="K848" s="1"/>
    </row>
    <row r="849" ht="14.25" customHeight="1">
      <c r="A849" s="1" t="s">
        <v>4573</v>
      </c>
      <c r="B849" s="1">
        <v>5.5E7</v>
      </c>
      <c r="C849" s="1">
        <v>9483821.0</v>
      </c>
      <c r="F849" s="4">
        <v>-4.5516179E7</v>
      </c>
      <c r="G849" s="4">
        <f t="array" ref="G849">IFERROR((C849-B849)/C849*100, "N/A")</f>
        <v>-479.9350283</v>
      </c>
      <c r="J849" s="1"/>
      <c r="K849" s="1"/>
    </row>
    <row r="850" ht="14.25" customHeight="1">
      <c r="A850" s="1" t="s">
        <v>4579</v>
      </c>
      <c r="B850" s="1">
        <v>5.4E7</v>
      </c>
      <c r="C850" s="1">
        <v>6.6676062E7</v>
      </c>
      <c r="F850" s="4">
        <v>1.2676062E7</v>
      </c>
      <c r="G850" s="4">
        <f t="array" ref="G850">IFERROR((C850-B850)/C850*100, "N/A")</f>
        <v>19.01141372</v>
      </c>
      <c r="J850" s="1"/>
      <c r="K850" s="1"/>
    </row>
    <row r="851" ht="14.25" customHeight="1">
      <c r="A851" s="1" t="s">
        <v>4582</v>
      </c>
      <c r="B851" s="1">
        <v>5.7E7</v>
      </c>
      <c r="C851" s="1">
        <v>2.6838389E7</v>
      </c>
      <c r="F851" s="4">
        <v>-3.0161611E7</v>
      </c>
      <c r="G851" s="4">
        <f t="array" ref="G851">IFERROR((C851-B851)/C851*100, "N/A")</f>
        <v>-112.3823453</v>
      </c>
      <c r="J851" s="1"/>
      <c r="K851" s="1"/>
    </row>
    <row r="852" ht="14.25" customHeight="1">
      <c r="A852" s="1" t="s">
        <v>4585</v>
      </c>
      <c r="B852" s="1">
        <v>5.4E7</v>
      </c>
      <c r="C852" s="1">
        <v>7.560432E7</v>
      </c>
      <c r="F852" s="4">
        <v>2.160432E7</v>
      </c>
      <c r="G852" s="4">
        <f t="array" ref="G852">IFERROR((C852-B852)/C852*100, "N/A")</f>
        <v>28.57550997</v>
      </c>
      <c r="J852" s="1"/>
      <c r="K852" s="1"/>
    </row>
    <row r="853" ht="14.25" customHeight="1">
      <c r="A853" s="1" t="s">
        <v>4592</v>
      </c>
      <c r="B853" s="1">
        <v>5.4E7</v>
      </c>
      <c r="C853" s="1">
        <v>1.082E8</v>
      </c>
      <c r="F853" s="4">
        <v>5.42E7</v>
      </c>
      <c r="G853" s="4">
        <f t="array" ref="G853">IFERROR((C853-B853)/C853*100, "N/A")</f>
        <v>50.09242144</v>
      </c>
      <c r="J853" s="1"/>
      <c r="K853" s="1"/>
    </row>
    <row r="854" ht="14.25" customHeight="1">
      <c r="A854" s="1" t="s">
        <v>4597</v>
      </c>
      <c r="B854" s="1">
        <v>5.4E7</v>
      </c>
      <c r="C854" s="1">
        <v>5660084.0</v>
      </c>
      <c r="F854" s="4">
        <v>-4.8339916E7</v>
      </c>
      <c r="G854" s="4">
        <f t="array" ref="G854">IFERROR((C854-B854)/C854*100, "N/A")</f>
        <v>-854.0494452</v>
      </c>
      <c r="J854" s="1"/>
      <c r="K854" s="1"/>
    </row>
    <row r="855" ht="14.25" customHeight="1">
      <c r="A855" s="1" t="s">
        <v>4603</v>
      </c>
      <c r="B855" s="1">
        <v>5.5E7</v>
      </c>
      <c r="C855" s="1">
        <v>7221458.0</v>
      </c>
      <c r="F855" s="4">
        <v>-4.7778542E7</v>
      </c>
      <c r="G855" s="4">
        <f t="array" ref="G855">IFERROR((C855-B855)/C855*100, "N/A")</f>
        <v>-661.6190526</v>
      </c>
      <c r="J855" s="1"/>
      <c r="K855" s="1"/>
    </row>
    <row r="856" ht="14.25" customHeight="1">
      <c r="A856" s="1" t="s">
        <v>4606</v>
      </c>
      <c r="B856" s="1">
        <v>4.6E7</v>
      </c>
      <c r="C856" s="1">
        <v>7.0327868E7</v>
      </c>
      <c r="F856" s="4">
        <v>2.4327868E7</v>
      </c>
      <c r="G856" s="4">
        <f t="array" ref="G856">IFERROR((C856-B856)/C856*100, "N/A")</f>
        <v>34.5920738</v>
      </c>
      <c r="J856" s="1"/>
      <c r="K856" s="1"/>
    </row>
    <row r="857" ht="14.25" customHeight="1">
      <c r="A857" s="1" t="s">
        <v>4609</v>
      </c>
      <c r="B857" s="1">
        <v>5.0E7</v>
      </c>
      <c r="C857" s="1">
        <v>5.829783E7</v>
      </c>
      <c r="F857" s="4">
        <v>8297830.0</v>
      </c>
      <c r="G857" s="4">
        <f t="array" ref="G857">IFERROR((C857-B857)/C857*100, "N/A")</f>
        <v>14.23351435</v>
      </c>
      <c r="J857" s="1"/>
      <c r="K857" s="1"/>
    </row>
    <row r="858" ht="14.25" customHeight="1">
      <c r="A858" s="1" t="s">
        <v>4614</v>
      </c>
      <c r="B858" s="1">
        <v>5.25E7</v>
      </c>
      <c r="C858" s="1">
        <v>5.7386369E7</v>
      </c>
      <c r="F858" s="4">
        <v>4886369.0</v>
      </c>
      <c r="G858" s="4">
        <f t="array" ref="G858">IFERROR((C858-B858)/C858*100, "N/A")</f>
        <v>8.514860036</v>
      </c>
      <c r="J858" s="1"/>
      <c r="K858" s="1"/>
    </row>
    <row r="859" ht="14.25" customHeight="1">
      <c r="A859" s="1" t="s">
        <v>4618</v>
      </c>
      <c r="B859" s="1">
        <v>5.3E7</v>
      </c>
      <c r="C859" s="1">
        <v>4.5207112E7</v>
      </c>
      <c r="F859" s="4">
        <v>-7792888.0</v>
      </c>
      <c r="G859" s="4">
        <f t="array" ref="G859">IFERROR((C859-B859)/C859*100, "N/A")</f>
        <v>-17.23819031</v>
      </c>
      <c r="J859" s="1"/>
      <c r="K859" s="1"/>
    </row>
    <row r="860" ht="14.25" customHeight="1">
      <c r="A860" s="1" t="s">
        <v>4623</v>
      </c>
      <c r="B860" s="1">
        <v>5.3E7</v>
      </c>
      <c r="C860" s="1">
        <v>6.2563543E7</v>
      </c>
      <c r="F860" s="4">
        <v>9563543.0</v>
      </c>
      <c r="G860" s="4">
        <f t="array" ref="G860">IFERROR((C860-B860)/C860*100, "N/A")</f>
        <v>15.28612758</v>
      </c>
      <c r="J860" s="1"/>
      <c r="K860" s="1"/>
    </row>
    <row r="861" ht="14.25" customHeight="1">
      <c r="A861" s="1" t="s">
        <v>4626</v>
      </c>
      <c r="B861" s="1">
        <v>9.0E7</v>
      </c>
      <c r="C861" s="1">
        <v>3.3574332E7</v>
      </c>
      <c r="F861" s="4">
        <v>-5.6425668E7</v>
      </c>
      <c r="G861" s="4">
        <f t="array" ref="G861">IFERROR((C861-B861)/C861*100, "N/A")</f>
        <v>-168.061923</v>
      </c>
      <c r="J861" s="1"/>
      <c r="K861" s="1"/>
    </row>
    <row r="862" ht="14.25" customHeight="1">
      <c r="A862" s="1" t="s">
        <v>4629</v>
      </c>
      <c r="B862" s="1">
        <v>5.0E7</v>
      </c>
      <c r="C862" s="1">
        <v>7.3343413E7</v>
      </c>
      <c r="F862" s="4">
        <v>2.3343413E7</v>
      </c>
      <c r="G862" s="4">
        <f t="array" ref="G862">IFERROR((C862-B862)/C862*100, "N/A")</f>
        <v>31.82755212</v>
      </c>
      <c r="J862" s="1"/>
      <c r="K862" s="1"/>
    </row>
    <row r="863" ht="14.25" customHeight="1">
      <c r="A863" s="1" t="s">
        <v>4633</v>
      </c>
      <c r="B863" s="1">
        <v>5.3E7</v>
      </c>
      <c r="C863" s="1">
        <v>2.5031037E7</v>
      </c>
      <c r="F863" s="4">
        <v>-2.7968963E7</v>
      </c>
      <c r="G863" s="4">
        <f t="array" ref="G863">IFERROR((C863-B863)/C863*100, "N/A")</f>
        <v>-111.7371326</v>
      </c>
      <c r="J863" s="1"/>
      <c r="K863" s="1"/>
    </row>
    <row r="864" ht="14.25" customHeight="1">
      <c r="A864" s="1" t="s">
        <v>4637</v>
      </c>
      <c r="B864" s="1">
        <v>5.5E7</v>
      </c>
      <c r="C864" s="1">
        <v>2.2843047E7</v>
      </c>
      <c r="F864" s="4">
        <v>-3.2156953E7</v>
      </c>
      <c r="G864" s="4">
        <f t="array" ref="G864">IFERROR((C864-B864)/C864*100, "N/A")</f>
        <v>-140.7734835</v>
      </c>
      <c r="J864" s="1"/>
      <c r="K864" s="1"/>
    </row>
    <row r="865" ht="14.25" customHeight="1">
      <c r="A865" s="1" t="s">
        <v>4644</v>
      </c>
      <c r="B865" s="1">
        <v>5.5E7</v>
      </c>
      <c r="C865" s="1">
        <v>5755286.0</v>
      </c>
      <c r="F865" s="4">
        <v>-4.9244714E7</v>
      </c>
      <c r="G865" s="4">
        <f t="array" ref="G865">IFERROR((C865-B865)/C865*100, "N/A")</f>
        <v>-855.6432122</v>
      </c>
      <c r="J865" s="1"/>
      <c r="K865" s="1"/>
    </row>
    <row r="866" ht="14.25" customHeight="1">
      <c r="A866" s="1" t="s">
        <v>4649</v>
      </c>
      <c r="B866" s="1">
        <v>5.2E7</v>
      </c>
      <c r="C866" s="1">
        <v>1.64435221E8</v>
      </c>
      <c r="F866" s="4">
        <v>1.12435221E8</v>
      </c>
      <c r="G866" s="4">
        <f t="array" ref="G866">IFERROR((C866-B866)/C866*100, "N/A")</f>
        <v>68.37660467</v>
      </c>
      <c r="J866" s="1"/>
      <c r="K866" s="1"/>
    </row>
    <row r="867" ht="14.25" customHeight="1">
      <c r="A867" s="1" t="s">
        <v>4652</v>
      </c>
      <c r="B867" s="1">
        <v>4.0E7</v>
      </c>
      <c r="C867" s="1">
        <v>9.5720716E7</v>
      </c>
      <c r="F867" s="4">
        <v>5.5720716E7</v>
      </c>
      <c r="G867" s="4">
        <f t="array" ref="G867">IFERROR((C867-B867)/C867*100, "N/A")</f>
        <v>58.21176264</v>
      </c>
      <c r="J867" s="1"/>
      <c r="K867" s="1"/>
    </row>
    <row r="868" ht="14.25" customHeight="1">
      <c r="A868" s="1" t="s">
        <v>4657</v>
      </c>
      <c r="B868" s="1">
        <v>5.2E7</v>
      </c>
      <c r="C868" s="1">
        <v>1.18683135E8</v>
      </c>
      <c r="F868" s="4">
        <v>6.6683135E7</v>
      </c>
      <c r="G868" s="4">
        <f t="array" ref="G868">IFERROR((C868-B868)/C868*100, "N/A")</f>
        <v>56.18585572</v>
      </c>
      <c r="J868" s="1"/>
      <c r="K868" s="1"/>
    </row>
    <row r="869" ht="14.25" customHeight="1">
      <c r="A869" s="1" t="s">
        <v>4662</v>
      </c>
      <c r="B869" s="1">
        <v>5.2E7</v>
      </c>
      <c r="C869" s="1">
        <v>1.4370421E8</v>
      </c>
      <c r="F869" s="4">
        <v>9.170421E7</v>
      </c>
      <c r="G869" s="4">
        <f t="array" ref="G869">IFERROR((C869-B869)/C869*100, "N/A")</f>
        <v>63.81456048</v>
      </c>
      <c r="J869" s="1"/>
      <c r="K869" s="1"/>
    </row>
    <row r="870" ht="14.25" customHeight="1">
      <c r="A870" s="1" t="s">
        <v>4666</v>
      </c>
      <c r="B870" s="1">
        <v>5.2E7</v>
      </c>
      <c r="C870" s="1">
        <v>1.10476776E8</v>
      </c>
      <c r="F870" s="4">
        <v>5.8476776E7</v>
      </c>
      <c r="G870" s="4">
        <f t="array" ref="G870">IFERROR((C870-B870)/C870*100, "N/A")</f>
        <v>52.93128395</v>
      </c>
      <c r="J870" s="1"/>
      <c r="K870" s="1"/>
    </row>
    <row r="871" ht="14.25" customHeight="1">
      <c r="A871" s="1" t="s">
        <v>4670</v>
      </c>
      <c r="B871" s="1">
        <v>5.0E7</v>
      </c>
      <c r="C871" s="1">
        <v>8.0270227E7</v>
      </c>
      <c r="F871" s="4">
        <v>3.0270227E7</v>
      </c>
      <c r="G871" s="4">
        <f t="array" ref="G871">IFERROR((C871-B871)/C871*100, "N/A")</f>
        <v>37.71040413</v>
      </c>
      <c r="J871" s="1"/>
      <c r="K871" s="1"/>
    </row>
    <row r="872" ht="14.25" customHeight="1">
      <c r="A872" s="1" t="s">
        <v>4677</v>
      </c>
      <c r="B872" s="1">
        <v>5.2E7</v>
      </c>
      <c r="C872" s="1">
        <v>3.6385763E7</v>
      </c>
      <c r="F872" s="4">
        <v>-1.5614237E7</v>
      </c>
      <c r="G872" s="4">
        <f t="array" ref="G872">IFERROR((C872-B872)/C872*100, "N/A")</f>
        <v>-42.91303992</v>
      </c>
      <c r="J872" s="1"/>
      <c r="K872" s="1"/>
    </row>
    <row r="873" ht="14.25" customHeight="1">
      <c r="A873" s="1" t="s">
        <v>4682</v>
      </c>
      <c r="B873" s="1">
        <v>5.2E7</v>
      </c>
      <c r="C873" s="1">
        <v>3.7035845E7</v>
      </c>
      <c r="F873" s="4">
        <v>-1.4964155E7</v>
      </c>
      <c r="G873" s="4">
        <f t="array" ref="G873">IFERROR((C873-B873)/C873*100, "N/A")</f>
        <v>-40.40451892</v>
      </c>
      <c r="J873" s="1"/>
      <c r="K873" s="1"/>
    </row>
    <row r="874" ht="14.25" customHeight="1">
      <c r="A874" s="1" t="s">
        <v>4687</v>
      </c>
      <c r="B874" s="1">
        <v>5.2E7</v>
      </c>
      <c r="C874" s="1">
        <v>3.4580635E7</v>
      </c>
      <c r="F874" s="4">
        <v>-1.7419365E7</v>
      </c>
      <c r="G874" s="4">
        <f t="array" ref="G874">IFERROR((C874-B874)/C874*100, "N/A")</f>
        <v>-50.37317851</v>
      </c>
      <c r="J874" s="1"/>
      <c r="K874" s="1"/>
    </row>
    <row r="875" ht="14.25" customHeight="1">
      <c r="A875" s="1" t="s">
        <v>4693</v>
      </c>
      <c r="B875" s="1">
        <v>5.2E7</v>
      </c>
      <c r="C875" s="1">
        <v>4.24383E7</v>
      </c>
      <c r="F875" s="4">
        <v>-9561700.0</v>
      </c>
      <c r="G875" s="4">
        <f t="array" ref="G875">IFERROR((C875-B875)/C875*100, "N/A")</f>
        <v>-22.53082711</v>
      </c>
      <c r="J875" s="1"/>
      <c r="K875" s="1"/>
    </row>
    <row r="876" ht="14.25" customHeight="1">
      <c r="A876" s="1" t="s">
        <v>4697</v>
      </c>
      <c r="B876" s="1">
        <v>5.2E7</v>
      </c>
      <c r="C876" s="1">
        <v>2.3324666E7</v>
      </c>
      <c r="F876" s="4">
        <v>-2.8675334E7</v>
      </c>
      <c r="G876" s="4">
        <f t="array" ref="G876">IFERROR((C876-B876)/C876*100, "N/A")</f>
        <v>-122.9399555</v>
      </c>
      <c r="J876" s="1"/>
      <c r="K876" s="1"/>
    </row>
    <row r="877" ht="14.25" customHeight="1">
      <c r="A877" s="1" t="s">
        <v>4704</v>
      </c>
      <c r="B877" s="1">
        <v>5.2E7</v>
      </c>
      <c r="C877" s="1">
        <v>2.3020488E7</v>
      </c>
      <c r="F877" s="4">
        <v>-2.8979512E7</v>
      </c>
      <c r="G877" s="4">
        <f t="array" ref="G877">IFERROR((C877-B877)/C877*100, "N/A")</f>
        <v>-125.8857414</v>
      </c>
      <c r="J877" s="1"/>
      <c r="K877" s="1"/>
    </row>
    <row r="878" ht="14.25" customHeight="1">
      <c r="A878" s="1" t="s">
        <v>4708</v>
      </c>
      <c r="B878" s="1">
        <v>5.1E7</v>
      </c>
      <c r="C878" s="1">
        <v>9.0567722E7</v>
      </c>
      <c r="F878" s="4">
        <v>3.9567722E7</v>
      </c>
      <c r="G878" s="4">
        <f t="array" ref="G878">IFERROR((C878-B878)/C878*100, "N/A")</f>
        <v>43.68854723</v>
      </c>
      <c r="J878" s="1"/>
      <c r="K878" s="1"/>
    </row>
    <row r="879" ht="14.25" customHeight="1">
      <c r="A879" s="1" t="s">
        <v>4714</v>
      </c>
      <c r="B879" s="1">
        <v>5.1E7</v>
      </c>
      <c r="C879" s="1">
        <v>7.2601713E7</v>
      </c>
      <c r="F879" s="4">
        <v>2.1601713E7</v>
      </c>
      <c r="G879" s="4">
        <f t="array" ref="G879">IFERROR((C879-B879)/C879*100, "N/A")</f>
        <v>29.75372358</v>
      </c>
      <c r="J879" s="1"/>
      <c r="K879" s="1"/>
    </row>
    <row r="880" ht="14.25" customHeight="1">
      <c r="A880" s="1" t="s">
        <v>4718</v>
      </c>
      <c r="B880" s="1">
        <v>5.0E7</v>
      </c>
      <c r="C880" s="1">
        <v>2.96623634E8</v>
      </c>
      <c r="F880" s="4">
        <v>2.46623634E8</v>
      </c>
      <c r="G880" s="4">
        <f t="array" ref="G880">IFERROR((C880-B880)/C880*100, "N/A")</f>
        <v>83.14362233</v>
      </c>
      <c r="J880" s="1"/>
      <c r="K880" s="1"/>
    </row>
    <row r="881" ht="14.25" customHeight="1">
      <c r="A881" s="1" t="s">
        <v>4721</v>
      </c>
      <c r="B881" s="1">
        <v>6.0E7</v>
      </c>
      <c r="C881" s="1">
        <v>2.67652016E8</v>
      </c>
      <c r="F881" s="4">
        <v>2.07652016E8</v>
      </c>
      <c r="G881" s="4">
        <f t="array" ref="G881">IFERROR((C881-B881)/C881*100, "N/A")</f>
        <v>77.58283278</v>
      </c>
      <c r="J881" s="1"/>
      <c r="K881" s="1"/>
    </row>
    <row r="882" ht="14.25" customHeight="1">
      <c r="A882" s="1" t="s">
        <v>4727</v>
      </c>
      <c r="B882" s="1">
        <v>5.02E7</v>
      </c>
      <c r="C882" s="1">
        <v>6.2453315E7</v>
      </c>
      <c r="F882" s="4">
        <v>1.2253315E7</v>
      </c>
      <c r="G882" s="4">
        <f t="array" ref="G882">IFERROR((C882-B882)/C882*100, "N/A")</f>
        <v>19.61995932</v>
      </c>
      <c r="J882" s="1"/>
      <c r="K882" s="1"/>
    </row>
    <row r="883" ht="14.25" customHeight="1">
      <c r="A883" s="1" t="s">
        <v>4732</v>
      </c>
      <c r="B883" s="1">
        <v>4.8E7</v>
      </c>
      <c r="C883" s="1">
        <v>1.655E8</v>
      </c>
      <c r="F883" s="4">
        <v>1.175E8</v>
      </c>
      <c r="G883" s="4">
        <f t="array" ref="G883">IFERROR((C883-B883)/C883*100, "N/A")</f>
        <v>70.99697885</v>
      </c>
      <c r="J883" s="1"/>
      <c r="K883" s="1"/>
    </row>
    <row r="884" ht="14.25" customHeight="1">
      <c r="A884" s="1" t="s">
        <v>4735</v>
      </c>
      <c r="B884" s="1">
        <v>5.0E7</v>
      </c>
      <c r="C884" s="1">
        <v>1.53620822E8</v>
      </c>
      <c r="F884" s="4">
        <v>1.03620822E8</v>
      </c>
      <c r="G884" s="4">
        <f t="array" ref="G884">IFERROR((C884-B884)/C884*100, "N/A")</f>
        <v>67.45232883</v>
      </c>
      <c r="J884" s="1"/>
      <c r="K884" s="1"/>
    </row>
    <row r="885" ht="14.25" customHeight="1">
      <c r="A885" s="1" t="s">
        <v>4739</v>
      </c>
      <c r="B885" s="1">
        <v>5.0E7</v>
      </c>
      <c r="C885" s="1">
        <v>2.1862868E8</v>
      </c>
      <c r="F885" s="4">
        <v>1.6862868E8</v>
      </c>
      <c r="G885" s="4">
        <f t="array" ref="G885">IFERROR((C885-B885)/C885*100, "N/A")</f>
        <v>77.13017341</v>
      </c>
      <c r="J885" s="1"/>
      <c r="K885" s="1"/>
    </row>
    <row r="886" ht="14.25" customHeight="1">
      <c r="A886" s="1" t="s">
        <v>4742</v>
      </c>
      <c r="B886" s="1">
        <v>5.0E7</v>
      </c>
      <c r="C886" s="1">
        <v>1.47637474E8</v>
      </c>
      <c r="F886" s="4">
        <v>9.7637474E7</v>
      </c>
      <c r="G886" s="4">
        <f t="array" ref="G886">IFERROR((C886-B886)/C886*100, "N/A")</f>
        <v>66.13325964</v>
      </c>
      <c r="J886" s="1"/>
      <c r="K886" s="1"/>
    </row>
    <row r="887" ht="14.25" customHeight="1">
      <c r="A887" s="1" t="s">
        <v>4747</v>
      </c>
      <c r="B887" s="1">
        <v>5.0E7</v>
      </c>
      <c r="C887" s="1">
        <v>1.35014968E8</v>
      </c>
      <c r="F887" s="4">
        <v>8.5014968E7</v>
      </c>
      <c r="G887" s="4">
        <f t="array" ref="G887">IFERROR((C887-B887)/C887*100, "N/A")</f>
        <v>62.96706895</v>
      </c>
      <c r="J887" s="1"/>
      <c r="K887" s="1"/>
    </row>
    <row r="888" ht="14.25" customHeight="1">
      <c r="A888" s="1" t="s">
        <v>4751</v>
      </c>
      <c r="B888" s="1">
        <v>5.0E7</v>
      </c>
      <c r="C888" s="1">
        <v>2175312.0</v>
      </c>
      <c r="F888" s="4">
        <v>-4.7824688E7</v>
      </c>
      <c r="G888" s="4">
        <f t="array" ref="G888">IFERROR((C888-B888)/C888*100, "N/A")</f>
        <v>-2198.520856</v>
      </c>
      <c r="J888" s="1"/>
      <c r="K888" s="1"/>
    </row>
    <row r="889" ht="14.25" customHeight="1">
      <c r="A889" s="1" t="s">
        <v>4754</v>
      </c>
      <c r="B889" s="1">
        <v>5.0E7</v>
      </c>
      <c r="C889" s="1">
        <v>1.2620332E8</v>
      </c>
      <c r="F889" s="4">
        <v>7.620332E7</v>
      </c>
      <c r="G889" s="4">
        <f t="array" ref="G889">IFERROR((C889-B889)/C889*100, "N/A")</f>
        <v>60.38139092</v>
      </c>
      <c r="J889" s="1"/>
      <c r="K889" s="1"/>
    </row>
    <row r="890" ht="14.25" customHeight="1">
      <c r="A890" s="1" t="s">
        <v>4757</v>
      </c>
      <c r="B890" s="1">
        <v>5.0E7</v>
      </c>
      <c r="C890" s="1">
        <v>1.26975169E8</v>
      </c>
      <c r="F890" s="4">
        <v>7.6975169E7</v>
      </c>
      <c r="G890" s="4">
        <f t="array" ref="G890">IFERROR((C890-B890)/C890*100, "N/A")</f>
        <v>60.62222213</v>
      </c>
      <c r="J890" s="1"/>
      <c r="K890" s="1"/>
    </row>
    <row r="891" ht="14.25" customHeight="1">
      <c r="A891" s="1" t="s">
        <v>4763</v>
      </c>
      <c r="B891" s="1">
        <v>5.2E7</v>
      </c>
      <c r="C891" s="1">
        <v>1.25548685E8</v>
      </c>
      <c r="F891" s="4">
        <v>7.3548685E7</v>
      </c>
      <c r="G891" s="4">
        <f t="array" ref="G891">IFERROR((C891-B891)/C891*100, "N/A")</f>
        <v>58.58180434</v>
      </c>
      <c r="J891" s="1"/>
      <c r="K891" s="1"/>
    </row>
    <row r="892" ht="14.25" customHeight="1">
      <c r="A892" s="1" t="s">
        <v>4767</v>
      </c>
      <c r="B892" s="1">
        <v>5.0E7</v>
      </c>
      <c r="C892" s="1">
        <v>1.0580752E8</v>
      </c>
      <c r="F892" s="4">
        <v>5.580752E7</v>
      </c>
      <c r="G892" s="4">
        <f t="array" ref="G892">IFERROR((C892-B892)/C892*100, "N/A")</f>
        <v>52.74437961</v>
      </c>
      <c r="J892" s="1"/>
      <c r="K892" s="1"/>
    </row>
    <row r="893" ht="14.25" customHeight="1">
      <c r="A893" s="1" t="s">
        <v>4771</v>
      </c>
      <c r="B893" s="1">
        <v>5.0E7</v>
      </c>
      <c r="C893" s="1">
        <v>1.91616238E8</v>
      </c>
      <c r="F893" s="4">
        <v>1.41616238E8</v>
      </c>
      <c r="G893" s="4">
        <f t="array" ref="G893">IFERROR((C893-B893)/C893*100, "N/A")</f>
        <v>73.90617803</v>
      </c>
      <c r="J893" s="1"/>
      <c r="K893" s="1"/>
    </row>
    <row r="894" ht="14.25" customHeight="1">
      <c r="A894" s="1" t="s">
        <v>4776</v>
      </c>
      <c r="B894" s="1">
        <v>6.0E7</v>
      </c>
      <c r="C894" s="1">
        <v>1.05264608E8</v>
      </c>
      <c r="F894" s="4">
        <v>4.5264608E7</v>
      </c>
      <c r="G894" s="4">
        <f t="array" ref="G894">IFERROR((C894-B894)/C894*100, "N/A")</f>
        <v>43.00078522</v>
      </c>
      <c r="J894" s="1"/>
      <c r="K894" s="1"/>
    </row>
    <row r="895" ht="14.25" customHeight="1">
      <c r="A895" s="1" t="s">
        <v>4780</v>
      </c>
      <c r="B895" s="1">
        <v>7.0E7</v>
      </c>
      <c r="C895" s="1">
        <v>9.7680195E7</v>
      </c>
      <c r="F895" s="4">
        <v>2.7680195E7</v>
      </c>
      <c r="G895" s="4">
        <f t="array" ref="G895">IFERROR((C895-B895)/C895*100, "N/A")</f>
        <v>28.3375714</v>
      </c>
      <c r="J895" s="1"/>
      <c r="K895" s="1"/>
    </row>
    <row r="896" ht="14.25" customHeight="1">
      <c r="A896" s="1" t="s">
        <v>4785</v>
      </c>
      <c r="B896" s="1">
        <v>5.0E7</v>
      </c>
      <c r="C896" s="1">
        <v>1.26088877E8</v>
      </c>
      <c r="F896" s="4">
        <v>7.6088877E7</v>
      </c>
      <c r="G896" s="4">
        <f t="array" ref="G896">IFERROR((C896-B896)/C896*100, "N/A")</f>
        <v>60.34543158</v>
      </c>
      <c r="J896" s="1"/>
      <c r="K896" s="1"/>
    </row>
    <row r="897" ht="14.25" customHeight="1">
      <c r="A897" s="1" t="s">
        <v>4789</v>
      </c>
      <c r="B897" s="1">
        <v>5.0E7</v>
      </c>
      <c r="C897" s="1">
        <v>9.1030827E7</v>
      </c>
      <c r="F897" s="4">
        <v>4.1030827E7</v>
      </c>
      <c r="G897" s="4">
        <f t="array" ref="G897">IFERROR((C897-B897)/C897*100, "N/A")</f>
        <v>45.07355184</v>
      </c>
      <c r="J897" s="1"/>
      <c r="K897" s="1"/>
    </row>
    <row r="898" ht="14.25" customHeight="1">
      <c r="A898" s="1" t="s">
        <v>4793</v>
      </c>
      <c r="B898" s="1">
        <v>5.0E7</v>
      </c>
      <c r="C898" s="1">
        <v>1.50315155E8</v>
      </c>
      <c r="F898" s="4">
        <v>1.00315155E8</v>
      </c>
      <c r="G898" s="4">
        <f t="array" ref="G898">IFERROR((C898-B898)/C898*100, "N/A")</f>
        <v>66.73655427</v>
      </c>
      <c r="J898" s="1"/>
      <c r="K898" s="1"/>
    </row>
    <row r="899" ht="14.25" customHeight="1">
      <c r="A899" s="1" t="s">
        <v>4797</v>
      </c>
      <c r="B899" s="1">
        <v>5.0E7</v>
      </c>
      <c r="C899" s="1">
        <v>1.27997349E8</v>
      </c>
      <c r="F899" s="4">
        <v>7.7997349E7</v>
      </c>
      <c r="G899" s="4">
        <f t="array" ref="G899">IFERROR((C899-B899)/C899*100, "N/A")</f>
        <v>60.93669096</v>
      </c>
      <c r="J899" s="1"/>
      <c r="K899" s="1"/>
    </row>
    <row r="900" ht="14.25" customHeight="1">
      <c r="A900" s="1" t="s">
        <v>4802</v>
      </c>
      <c r="B900" s="1">
        <v>4.5E7</v>
      </c>
      <c r="C900" s="1">
        <v>8.850464E7</v>
      </c>
      <c r="F900" s="4">
        <v>4.350464E7</v>
      </c>
      <c r="G900" s="4">
        <f t="array" ref="G900">IFERROR((C900-B900)/C900*100, "N/A")</f>
        <v>49.15520813</v>
      </c>
      <c r="J900" s="1"/>
      <c r="K900" s="1"/>
    </row>
    <row r="901" ht="14.25" customHeight="1">
      <c r="A901" s="1" t="s">
        <v>4807</v>
      </c>
      <c r="B901" s="1">
        <v>5.0E7</v>
      </c>
      <c r="C901" s="1">
        <v>8.1517441E7</v>
      </c>
      <c r="F901" s="4">
        <v>3.1517441E7</v>
      </c>
      <c r="G901" s="4">
        <f t="array" ref="G901">IFERROR((C901-B901)/C901*100, "N/A")</f>
        <v>38.66343277</v>
      </c>
      <c r="J901" s="1"/>
      <c r="K901" s="1"/>
    </row>
    <row r="902" ht="14.25" customHeight="1">
      <c r="A902" s="1" t="s">
        <v>4813</v>
      </c>
      <c r="B902" s="1">
        <v>5.0E7</v>
      </c>
      <c r="C902" s="1">
        <v>8.1022333E7</v>
      </c>
      <c r="F902" s="4">
        <v>3.1022333E7</v>
      </c>
      <c r="G902" s="4">
        <f t="array" ref="G902">IFERROR((C902-B902)/C902*100, "N/A")</f>
        <v>38.28861976</v>
      </c>
      <c r="J902" s="1"/>
      <c r="K902" s="1"/>
    </row>
    <row r="903" ht="14.25" customHeight="1">
      <c r="A903" s="1" t="s">
        <v>4817</v>
      </c>
      <c r="B903" s="1">
        <v>5.0E7</v>
      </c>
      <c r="C903" s="1">
        <v>7.9948113E7</v>
      </c>
      <c r="F903" s="4">
        <v>2.9948113E7</v>
      </c>
      <c r="G903" s="4">
        <f t="array" ref="G903">IFERROR((C903-B903)/C903*100, "N/A")</f>
        <v>37.45943697</v>
      </c>
      <c r="J903" s="1"/>
      <c r="K903" s="1"/>
    </row>
    <row r="904" ht="14.25" customHeight="1">
      <c r="A904" s="1" t="s">
        <v>4821</v>
      </c>
      <c r="B904" s="1">
        <v>5.0E7</v>
      </c>
      <c r="C904" s="1">
        <v>8.8658172E7</v>
      </c>
      <c r="F904" s="4">
        <v>3.8658172E7</v>
      </c>
      <c r="G904" s="4">
        <f t="array" ref="G904">IFERROR((C904-B904)/C904*100, "N/A")</f>
        <v>43.60361953</v>
      </c>
      <c r="J904" s="1"/>
      <c r="K904" s="1"/>
    </row>
    <row r="905" ht="14.25" customHeight="1">
      <c r="A905" s="1" t="s">
        <v>4824</v>
      </c>
      <c r="B905" s="1">
        <v>5.0E7</v>
      </c>
      <c r="C905" s="1">
        <v>8.4244877E7</v>
      </c>
      <c r="F905" s="4">
        <v>3.4244877E7</v>
      </c>
      <c r="G905" s="4">
        <f t="array" ref="G905">IFERROR((C905-B905)/C905*100, "N/A")</f>
        <v>40.64921004</v>
      </c>
      <c r="J905" s="1"/>
      <c r="K905" s="1"/>
    </row>
    <row r="906" ht="14.25" customHeight="1">
      <c r="A906" s="1" t="s">
        <v>4828</v>
      </c>
      <c r="B906" s="1">
        <v>3.5E7</v>
      </c>
      <c r="C906" s="1">
        <v>7.5367693E7</v>
      </c>
      <c r="F906" s="4">
        <v>4.0367693E7</v>
      </c>
      <c r="G906" s="4">
        <f t="array" ref="G906">IFERROR((C906-B906)/C906*100, "N/A")</f>
        <v>53.56100392</v>
      </c>
      <c r="J906" s="1"/>
      <c r="K906" s="1"/>
    </row>
    <row r="907" ht="14.25" customHeight="1">
      <c r="A907" s="1" t="s">
        <v>4834</v>
      </c>
      <c r="B907" s="1">
        <v>6.0E7</v>
      </c>
      <c r="C907" s="1">
        <v>7.3701902E7</v>
      </c>
      <c r="F907" s="4">
        <v>1.3701902E7</v>
      </c>
      <c r="G907" s="4">
        <f t="array" ref="G907">IFERROR((C907-B907)/C907*100, "N/A")</f>
        <v>18.59097476</v>
      </c>
      <c r="J907" s="1"/>
      <c r="K907" s="1"/>
    </row>
    <row r="908" ht="14.25" customHeight="1">
      <c r="A908" s="1" t="s">
        <v>4838</v>
      </c>
      <c r="B908" s="1">
        <v>5.0E7</v>
      </c>
      <c r="C908" s="1">
        <v>7.5605492E7</v>
      </c>
      <c r="F908" s="4">
        <v>2.5605492E7</v>
      </c>
      <c r="G908" s="4">
        <f t="array" ref="G908">IFERROR((C908-B908)/C908*100, "N/A")</f>
        <v>33.86723811</v>
      </c>
      <c r="J908" s="1"/>
      <c r="K908" s="1"/>
    </row>
    <row r="909" ht="14.25" customHeight="1">
      <c r="A909" s="1" t="s">
        <v>4841</v>
      </c>
      <c r="B909" s="1">
        <v>5.0E7</v>
      </c>
      <c r="C909" s="1">
        <v>6.7823573E7</v>
      </c>
      <c r="F909" s="4">
        <v>1.7823573E7</v>
      </c>
      <c r="G909" s="4">
        <f t="array" ref="G909">IFERROR((C909-B909)/C909*100, "N/A")</f>
        <v>26.27931884</v>
      </c>
      <c r="J909" s="1"/>
      <c r="K909" s="1"/>
    </row>
    <row r="910" ht="14.25" customHeight="1">
      <c r="A910" s="1" t="s">
        <v>4845</v>
      </c>
      <c r="B910" s="1">
        <v>5.0E7</v>
      </c>
      <c r="C910" s="1">
        <v>9.14394E7</v>
      </c>
      <c r="F910" s="4">
        <v>4.14394E7</v>
      </c>
      <c r="G910" s="4">
        <f t="array" ref="G910">IFERROR((C910-B910)/C910*100, "N/A")</f>
        <v>45.31897628</v>
      </c>
      <c r="J910" s="1"/>
      <c r="K910" s="1"/>
    </row>
    <row r="911" ht="14.25" customHeight="1">
      <c r="A911" s="1" t="s">
        <v>4850</v>
      </c>
      <c r="B911" s="1">
        <v>6.5E7</v>
      </c>
      <c r="C911" s="1">
        <v>6.7128202E7</v>
      </c>
      <c r="F911" s="4">
        <v>2128202.0</v>
      </c>
      <c r="G911" s="4">
        <f t="array" ref="G911">IFERROR((C911-B911)/C911*100, "N/A")</f>
        <v>3.17035454</v>
      </c>
      <c r="J911" s="1"/>
      <c r="K911" s="1"/>
    </row>
    <row r="912" ht="14.25" customHeight="1">
      <c r="A912" s="1" t="s">
        <v>4856</v>
      </c>
      <c r="B912" s="1">
        <v>5.4E7</v>
      </c>
      <c r="C912" s="1">
        <v>7.0496802E7</v>
      </c>
      <c r="F912" s="4">
        <v>1.6496802E7</v>
      </c>
      <c r="G912" s="4">
        <f t="array" ref="G912">IFERROR((C912-B912)/C912*100, "N/A")</f>
        <v>23.40078065</v>
      </c>
      <c r="J912" s="1"/>
      <c r="K912" s="1"/>
    </row>
    <row r="913" ht="14.25" customHeight="1">
      <c r="A913" s="1" t="s">
        <v>4860</v>
      </c>
      <c r="B913" s="1">
        <v>5.0E7</v>
      </c>
      <c r="C913" s="1">
        <v>6.047022E7</v>
      </c>
      <c r="F913" s="4">
        <v>1.047022E7</v>
      </c>
      <c r="G913" s="4">
        <f t="array" ref="G913">IFERROR((C913-B913)/C913*100, "N/A")</f>
        <v>17.31467159</v>
      </c>
      <c r="J913" s="1"/>
      <c r="K913" s="1"/>
    </row>
    <row r="914" ht="14.25" customHeight="1">
      <c r="A914" s="1" t="s">
        <v>4867</v>
      </c>
      <c r="B914" s="1">
        <v>5.0E7</v>
      </c>
      <c r="C914" s="1">
        <v>5.8336565E7</v>
      </c>
      <c r="F914" s="4">
        <v>8336565.0</v>
      </c>
      <c r="G914" s="4">
        <f t="array" ref="G914">IFERROR((C914-B914)/C914*100, "N/A")</f>
        <v>14.29046259</v>
      </c>
      <c r="J914" s="1"/>
      <c r="K914" s="1"/>
    </row>
    <row r="915" ht="14.25" customHeight="1">
      <c r="A915" s="1" t="s">
        <v>4871</v>
      </c>
      <c r="B915" s="1">
        <v>5.0E7</v>
      </c>
      <c r="C915" s="1">
        <v>6.6002004E7</v>
      </c>
      <c r="F915" s="4">
        <v>1.6002004E7</v>
      </c>
      <c r="G915" s="4">
        <f t="array" ref="G915">IFERROR((C915-B915)/C915*100, "N/A")</f>
        <v>24.24472445</v>
      </c>
      <c r="J915" s="1"/>
      <c r="K915" s="1"/>
    </row>
    <row r="916" ht="14.25" customHeight="1">
      <c r="A916" s="1" t="s">
        <v>4877</v>
      </c>
      <c r="B916" s="1">
        <v>5.0E7</v>
      </c>
      <c r="C916" s="1">
        <v>5.4997476E7</v>
      </c>
      <c r="F916" s="4">
        <v>4997476.0</v>
      </c>
      <c r="G916" s="4">
        <f t="array" ref="G916">IFERROR((C916-B916)/C916*100, "N/A")</f>
        <v>9.086736999</v>
      </c>
      <c r="J916" s="1"/>
      <c r="K916" s="1"/>
    </row>
    <row r="917" ht="14.25" customHeight="1">
      <c r="A917" s="1" t="s">
        <v>4883</v>
      </c>
      <c r="B917" s="1">
        <v>5.0E7</v>
      </c>
      <c r="C917" s="1">
        <v>5.568207E7</v>
      </c>
      <c r="F917" s="4">
        <v>5682070.0</v>
      </c>
      <c r="G917" s="4">
        <f t="array" ref="G917">IFERROR((C917-B917)/C917*100, "N/A")</f>
        <v>10.20448773</v>
      </c>
      <c r="J917" s="1"/>
      <c r="K917" s="1"/>
    </row>
    <row r="918" ht="14.25" customHeight="1">
      <c r="A918" s="1" t="s">
        <v>4888</v>
      </c>
      <c r="B918" s="1">
        <v>5.0E7</v>
      </c>
      <c r="C918" s="1">
        <v>5.2752475E7</v>
      </c>
      <c r="F918" s="4">
        <v>2752475.0</v>
      </c>
      <c r="G918" s="4">
        <f t="array" ref="G918">IFERROR((C918-B918)/C918*100, "N/A")</f>
        <v>5.217717273</v>
      </c>
      <c r="J918" s="1"/>
      <c r="K918" s="1"/>
    </row>
    <row r="919" ht="14.25" customHeight="1">
      <c r="A919" s="1" t="s">
        <v>4894</v>
      </c>
      <c r="B919" s="1">
        <v>6.0E7</v>
      </c>
      <c r="C919" s="1">
        <v>5.509283E7</v>
      </c>
      <c r="F919" s="4">
        <v>-4907170.0</v>
      </c>
      <c r="G919" s="4">
        <f t="array" ref="G919">IFERROR((C919-B919)/C919*100, "N/A")</f>
        <v>-8.907093718</v>
      </c>
      <c r="J919" s="1"/>
      <c r="K919" s="1"/>
    </row>
    <row r="920" ht="14.25" customHeight="1">
      <c r="A920" s="1" t="s">
        <v>4901</v>
      </c>
      <c r="B920" s="1">
        <v>5.0E7</v>
      </c>
      <c r="C920" s="1">
        <v>5.0815288E7</v>
      </c>
      <c r="F920" s="4">
        <v>815288.0</v>
      </c>
      <c r="G920" s="4">
        <f t="array" ref="G920">IFERROR((C920-B920)/C920*100, "N/A")</f>
        <v>1.604414797</v>
      </c>
      <c r="J920" s="1"/>
      <c r="K920" s="1"/>
    </row>
    <row r="921" ht="14.25" customHeight="1">
      <c r="A921" s="1" t="s">
        <v>4906</v>
      </c>
      <c r="B921" s="1">
        <v>5.0E7</v>
      </c>
      <c r="C921" s="1">
        <v>5.2822418E7</v>
      </c>
      <c r="F921" s="4">
        <v>2822418.0</v>
      </c>
      <c r="G921" s="4">
        <f t="array" ref="G921">IFERROR((C921-B921)/C921*100, "N/A")</f>
        <v>5.343219994</v>
      </c>
      <c r="J921" s="1"/>
      <c r="K921" s="1"/>
    </row>
    <row r="922" ht="14.25" customHeight="1">
      <c r="A922" s="1" t="s">
        <v>4912</v>
      </c>
      <c r="B922" s="1">
        <v>5.0E7</v>
      </c>
      <c r="C922" s="1">
        <v>5.0150619E7</v>
      </c>
      <c r="F922" s="4">
        <v>150619.0</v>
      </c>
      <c r="G922" s="4">
        <f t="array" ref="G922">IFERROR((C922-B922)/C922*100, "N/A")</f>
        <v>0.300333282</v>
      </c>
      <c r="J922" s="1"/>
      <c r="K922" s="1"/>
    </row>
    <row r="923" ht="14.25" customHeight="1">
      <c r="A923" s="1" t="s">
        <v>4917</v>
      </c>
      <c r="B923" s="1">
        <v>5.0E7</v>
      </c>
      <c r="C923" s="1">
        <v>4.874515E7</v>
      </c>
      <c r="F923" s="4">
        <v>-1254850.0</v>
      </c>
      <c r="G923" s="4">
        <f t="array" ref="G923">IFERROR((C923-B923)/C923*100, "N/A")</f>
        <v>-2.574307393</v>
      </c>
      <c r="J923" s="1"/>
      <c r="K923" s="1"/>
    </row>
    <row r="924" ht="14.25" customHeight="1">
      <c r="A924" s="1" t="s">
        <v>4921</v>
      </c>
      <c r="B924" s="1">
        <v>5.0E7</v>
      </c>
      <c r="C924" s="1">
        <v>5.0007168E7</v>
      </c>
      <c r="F924" s="4">
        <v>7168.0</v>
      </c>
      <c r="G924" s="4">
        <f t="array" ref="G924">IFERROR((C924-B924)/C924*100, "N/A")</f>
        <v>0.01433394509</v>
      </c>
      <c r="J924" s="1"/>
      <c r="K924" s="1"/>
    </row>
    <row r="925" ht="14.25" customHeight="1">
      <c r="A925" s="1" t="s">
        <v>4924</v>
      </c>
      <c r="B925" s="1">
        <v>5.0E7</v>
      </c>
      <c r="C925" s="1">
        <v>4.8154732E7</v>
      </c>
      <c r="F925" s="4">
        <v>-1845268.0</v>
      </c>
      <c r="G925" s="4">
        <f t="array" ref="G925">IFERROR((C925-B925)/C925*100, "N/A")</f>
        <v>-3.831955705</v>
      </c>
      <c r="J925" s="1"/>
      <c r="K925" s="1"/>
    </row>
    <row r="926" ht="14.25" customHeight="1">
      <c r="A926" s="1" t="s">
        <v>4927</v>
      </c>
      <c r="B926" s="1">
        <v>5.0E7</v>
      </c>
      <c r="C926" s="1">
        <v>4.8265581E7</v>
      </c>
      <c r="F926" s="4">
        <v>-1734419.0</v>
      </c>
      <c r="G926" s="4">
        <f t="array" ref="G926">IFERROR((C926-B926)/C926*100, "N/A")</f>
        <v>-3.593490359</v>
      </c>
      <c r="J926" s="1"/>
      <c r="K926" s="1"/>
    </row>
    <row r="927" ht="14.25" customHeight="1">
      <c r="A927" s="1" t="s">
        <v>4932</v>
      </c>
      <c r="B927" s="1">
        <v>5.0E7</v>
      </c>
      <c r="C927" s="1">
        <v>4.6982632E7</v>
      </c>
      <c r="F927" s="4">
        <v>-3017368.0</v>
      </c>
      <c r="G927" s="4">
        <f t="array" ref="G927">IFERROR((C927-B927)/C927*100, "N/A")</f>
        <v>-6.422305162</v>
      </c>
      <c r="J927" s="1"/>
      <c r="K927" s="1"/>
    </row>
    <row r="928" ht="14.25" customHeight="1">
      <c r="A928" s="1" t="s">
        <v>4938</v>
      </c>
      <c r="B928" s="1">
        <v>5.0E7</v>
      </c>
      <c r="C928" s="1">
        <v>4.4737059E7</v>
      </c>
      <c r="F928" s="4">
        <v>-5262941.0</v>
      </c>
      <c r="G928" s="4">
        <f t="array" ref="G928">IFERROR((C928-B928)/C928*100, "N/A")</f>
        <v>-11.76416402</v>
      </c>
      <c r="J928" s="1"/>
      <c r="K928" s="1"/>
    </row>
    <row r="929" ht="14.25" customHeight="1">
      <c r="A929" s="1" t="s">
        <v>4943</v>
      </c>
      <c r="B929" s="1">
        <v>5.0E7</v>
      </c>
      <c r="C929" s="1">
        <v>5.672408E7</v>
      </c>
      <c r="F929" s="4">
        <v>6724080.0</v>
      </c>
      <c r="G929" s="4">
        <f t="array" ref="G929">IFERROR((C929-B929)/C929*100, "N/A")</f>
        <v>11.85401332</v>
      </c>
      <c r="J929" s="1"/>
      <c r="K929" s="1"/>
    </row>
    <row r="930" ht="14.25" customHeight="1">
      <c r="A930" s="1" t="s">
        <v>4947</v>
      </c>
      <c r="B930" s="1">
        <v>5.0E7</v>
      </c>
      <c r="C930" s="1">
        <v>4.4484065E7</v>
      </c>
      <c r="F930" s="4">
        <v>-5515935.0</v>
      </c>
      <c r="G930" s="4">
        <f t="array" ref="G930">IFERROR((C930-B930)/C930*100, "N/A")</f>
        <v>-12.39979979</v>
      </c>
      <c r="J930" s="1"/>
      <c r="K930" s="1"/>
    </row>
    <row r="931" ht="14.25" customHeight="1">
      <c r="A931" s="1" t="s">
        <v>4952</v>
      </c>
      <c r="B931" s="1">
        <v>5.0E7</v>
      </c>
      <c r="C931" s="1">
        <v>4.7553512E7</v>
      </c>
      <c r="F931" s="4">
        <v>-2446488.0</v>
      </c>
      <c r="G931" s="4">
        <f t="array" ref="G931">IFERROR((C931-B931)/C931*100, "N/A")</f>
        <v>-5.14470519</v>
      </c>
      <c r="J931" s="1"/>
      <c r="K931" s="1"/>
    </row>
    <row r="932" ht="14.25" customHeight="1">
      <c r="A932" s="1" t="s">
        <v>4958</v>
      </c>
      <c r="B932" s="1">
        <v>5.5E7</v>
      </c>
      <c r="C932" s="1">
        <v>4.261E7</v>
      </c>
      <c r="F932" s="4">
        <v>-1.239E7</v>
      </c>
      <c r="G932" s="4">
        <f t="array" ref="G932">IFERROR((C932-B932)/C932*100, "N/A")</f>
        <v>-29.0776813</v>
      </c>
      <c r="J932" s="1"/>
      <c r="K932" s="1"/>
    </row>
    <row r="933" ht="14.25" customHeight="1">
      <c r="A933" s="1" t="s">
        <v>4963</v>
      </c>
      <c r="B933" s="1">
        <v>5.0E7</v>
      </c>
      <c r="C933" s="1">
        <v>4.1482207E7</v>
      </c>
      <c r="F933" s="4">
        <v>-8517793.0</v>
      </c>
      <c r="G933" s="4">
        <f t="array" ref="G933">IFERROR((C933-B933)/C933*100, "N/A")</f>
        <v>-20.53360613</v>
      </c>
      <c r="J933" s="1"/>
      <c r="K933" s="1"/>
    </row>
    <row r="934" ht="14.25" customHeight="1">
      <c r="A934" s="1" t="s">
        <v>4968</v>
      </c>
      <c r="B934" s="1">
        <v>5.0E7</v>
      </c>
      <c r="C934" s="1">
        <v>4.7105085E7</v>
      </c>
      <c r="F934" s="4">
        <v>-2894915.0</v>
      </c>
      <c r="G934" s="4">
        <f t="array" ref="G934">IFERROR((C934-B934)/C934*100, "N/A")</f>
        <v>-6.145652853</v>
      </c>
      <c r="J934" s="1"/>
      <c r="K934" s="1"/>
    </row>
    <row r="935" ht="14.25" customHeight="1">
      <c r="A935" s="1" t="s">
        <v>4971</v>
      </c>
      <c r="B935" s="1">
        <v>5.0E7</v>
      </c>
      <c r="C935" s="1">
        <v>4.1256277E7</v>
      </c>
      <c r="F935" s="4">
        <v>-8743723.0</v>
      </c>
      <c r="G935" s="4">
        <f t="array" ref="G935">IFERROR((C935-B935)/C935*100, "N/A")</f>
        <v>-21.19367921</v>
      </c>
      <c r="J935" s="1"/>
      <c r="K935" s="1"/>
    </row>
    <row r="936" ht="14.25" customHeight="1">
      <c r="A936" s="1" t="s">
        <v>4976</v>
      </c>
      <c r="B936" s="1">
        <v>4.5E7</v>
      </c>
      <c r="C936" s="1">
        <v>5.0740078E7</v>
      </c>
      <c r="F936" s="4">
        <v>5740078.0</v>
      </c>
      <c r="G936" s="4">
        <f t="array" ref="G936">IFERROR((C936-B936)/C936*100, "N/A")</f>
        <v>11.31271024</v>
      </c>
      <c r="J936" s="1"/>
      <c r="K936" s="1"/>
    </row>
    <row r="937" ht="14.25" customHeight="1">
      <c r="A937" s="1" t="s">
        <v>4981</v>
      </c>
      <c r="B937" s="1">
        <v>4.0E7</v>
      </c>
      <c r="C937" s="1">
        <v>4.020302E7</v>
      </c>
      <c r="F937" s="4">
        <v>203020.0</v>
      </c>
      <c r="G937" s="4">
        <f t="array" ref="G937">IFERROR((C937-B937)/C937*100, "N/A")</f>
        <v>0.5049869388</v>
      </c>
      <c r="J937" s="1"/>
      <c r="K937" s="1"/>
    </row>
    <row r="938" ht="14.25" customHeight="1">
      <c r="A938" s="1" t="s">
        <v>4986</v>
      </c>
      <c r="B938" s="1">
        <v>5.0E7</v>
      </c>
      <c r="C938" s="1">
        <v>4.0905277E7</v>
      </c>
      <c r="F938" s="4">
        <v>-9094723.0</v>
      </c>
      <c r="G938" s="4">
        <f t="array" ref="G938">IFERROR((C938-B938)/C938*100, "N/A")</f>
        <v>-22.23361793</v>
      </c>
      <c r="J938" s="1"/>
      <c r="K938" s="1"/>
    </row>
    <row r="939" ht="14.25" customHeight="1">
      <c r="A939" s="1" t="s">
        <v>4992</v>
      </c>
      <c r="B939" s="1">
        <v>5.0E7</v>
      </c>
      <c r="C939" s="1">
        <v>3.85905E7</v>
      </c>
      <c r="F939" s="4">
        <v>-1.14095E7</v>
      </c>
      <c r="G939" s="4">
        <f t="array" ref="G939">IFERROR((C939-B939)/C939*100, "N/A")</f>
        <v>-29.56556666</v>
      </c>
      <c r="J939" s="1"/>
      <c r="K939" s="1"/>
    </row>
    <row r="940" ht="14.25" customHeight="1">
      <c r="A940" s="1" t="s">
        <v>4997</v>
      </c>
      <c r="B940" s="1">
        <v>5.0E7</v>
      </c>
      <c r="C940" s="1">
        <v>3.9177541E7</v>
      </c>
      <c r="F940" s="4">
        <v>-1.0822459E7</v>
      </c>
      <c r="G940" s="4">
        <f t="array" ref="G940">IFERROR((C940-B940)/C940*100, "N/A")</f>
        <v>-27.62414058</v>
      </c>
      <c r="J940" s="1"/>
      <c r="K940" s="1"/>
    </row>
    <row r="941" ht="14.25" customHeight="1">
      <c r="A941" s="1" t="s">
        <v>5002</v>
      </c>
      <c r="B941" s="1">
        <v>5.0E7</v>
      </c>
      <c r="C941" s="1">
        <v>3.9778599E7</v>
      </c>
      <c r="F941" s="4">
        <v>-1.0221401E7</v>
      </c>
      <c r="G941" s="4">
        <f t="array" ref="G941">IFERROR((C941-B941)/C941*100, "N/A")</f>
        <v>-25.695729</v>
      </c>
      <c r="J941" s="1"/>
      <c r="K941" s="1"/>
    </row>
    <row r="942" ht="14.25" customHeight="1">
      <c r="A942" s="1" t="s">
        <v>5007</v>
      </c>
      <c r="B942" s="1">
        <v>5.0E7</v>
      </c>
      <c r="C942" s="1">
        <v>3.7486138E7</v>
      </c>
      <c r="F942" s="4">
        <v>-1.2513862E7</v>
      </c>
      <c r="G942" s="4">
        <f t="array" ref="G942">IFERROR((C942-B942)/C942*100, "N/A")</f>
        <v>-33.38263867</v>
      </c>
      <c r="J942" s="1"/>
      <c r="K942" s="1"/>
    </row>
    <row r="943" ht="14.25" customHeight="1">
      <c r="A943" s="1" t="s">
        <v>5010</v>
      </c>
      <c r="B943" s="1">
        <v>4.0E7</v>
      </c>
      <c r="C943" s="1">
        <v>3.8105077E7</v>
      </c>
      <c r="F943" s="4">
        <v>-1894923.0</v>
      </c>
      <c r="G943" s="4">
        <f t="array" ref="G943">IFERROR((C943-B943)/C943*100, "N/A")</f>
        <v>-4.972888521</v>
      </c>
      <c r="J943" s="1"/>
      <c r="K943" s="1"/>
    </row>
    <row r="944" ht="14.25" customHeight="1">
      <c r="A944" s="1" t="s">
        <v>5016</v>
      </c>
      <c r="B944" s="1">
        <v>5.0E7</v>
      </c>
      <c r="C944" s="1">
        <v>3.5168395E7</v>
      </c>
      <c r="F944" s="4">
        <v>-1.4831605E7</v>
      </c>
      <c r="G944" s="4">
        <f t="array" ref="G944">IFERROR((C944-B944)/C944*100, "N/A")</f>
        <v>-42.17310742</v>
      </c>
      <c r="J944" s="1"/>
      <c r="K944" s="1"/>
    </row>
    <row r="945" ht="14.25" customHeight="1">
      <c r="A945" s="1" t="s">
        <v>5021</v>
      </c>
      <c r="B945" s="1">
        <v>4.0E7</v>
      </c>
      <c r="C945" s="1">
        <v>3.28E7</v>
      </c>
      <c r="F945" s="4">
        <v>-7200000.0</v>
      </c>
      <c r="G945" s="4">
        <f t="array" ref="G945">IFERROR((C945-B945)/C945*100, "N/A")</f>
        <v>-21.95121951</v>
      </c>
      <c r="J945" s="1"/>
      <c r="K945" s="1"/>
    </row>
    <row r="946" ht="14.25" customHeight="1">
      <c r="A946" s="1" t="s">
        <v>5026</v>
      </c>
      <c r="B946" s="1">
        <v>5.0E7</v>
      </c>
      <c r="C946" s="1">
        <v>3.3643461E7</v>
      </c>
      <c r="F946" s="4">
        <v>-1.6356539E7</v>
      </c>
      <c r="G946" s="4">
        <f t="array" ref="G946">IFERROR((C946-B946)/C946*100, "N/A")</f>
        <v>-48.61729</v>
      </c>
      <c r="J946" s="1"/>
      <c r="K946" s="1"/>
    </row>
    <row r="947" ht="14.25" customHeight="1">
      <c r="A947" s="1" t="s">
        <v>5029</v>
      </c>
      <c r="B947" s="1">
        <v>5.0E7</v>
      </c>
      <c r="C947" s="1">
        <v>3.2741596E7</v>
      </c>
      <c r="F947" s="4">
        <v>-1.7258404E7</v>
      </c>
      <c r="G947" s="4">
        <f t="array" ref="G947">IFERROR((C947-B947)/C947*100, "N/A")</f>
        <v>-52.71094299</v>
      </c>
      <c r="J947" s="1"/>
      <c r="K947" s="1"/>
    </row>
    <row r="948" ht="14.25" customHeight="1">
      <c r="A948" s="1" t="s">
        <v>5035</v>
      </c>
      <c r="B948" s="1">
        <v>5.0E7</v>
      </c>
      <c r="C948" s="1">
        <v>3.1874869E7</v>
      </c>
      <c r="F948" s="4">
        <v>-1.8125131E7</v>
      </c>
      <c r="G948" s="4">
        <f t="array" ref="G948">IFERROR((C948-B948)/C948*100, "N/A")</f>
        <v>-56.86338978</v>
      </c>
      <c r="J948" s="1"/>
      <c r="K948" s="1"/>
    </row>
    <row r="949" ht="14.25" customHeight="1">
      <c r="A949" s="1" t="s">
        <v>5039</v>
      </c>
      <c r="B949" s="1">
        <v>5.0E7</v>
      </c>
      <c r="C949" s="1">
        <v>3.0306268E7</v>
      </c>
      <c r="F949" s="4">
        <v>-1.9693732E7</v>
      </c>
      <c r="G949" s="4">
        <f t="array" ref="G949">IFERROR((C949-B949)/C949*100, "N/A")</f>
        <v>-64.98237262</v>
      </c>
      <c r="J949" s="1"/>
      <c r="K949" s="1"/>
    </row>
    <row r="950" ht="14.25" customHeight="1">
      <c r="A950" s="1" t="s">
        <v>5045</v>
      </c>
      <c r="B950" s="1">
        <v>5.0E7</v>
      </c>
      <c r="C950" s="1">
        <v>2.7667947E7</v>
      </c>
      <c r="F950" s="4">
        <v>-2.2332053E7</v>
      </c>
      <c r="G950" s="4">
        <f t="array" ref="G950">IFERROR((C950-B950)/C950*100, "N/A")</f>
        <v>-80.71452862</v>
      </c>
      <c r="J950" s="1"/>
      <c r="K950" s="1"/>
    </row>
    <row r="951" ht="14.25" customHeight="1">
      <c r="A951" s="1" t="s">
        <v>5050</v>
      </c>
      <c r="B951" s="1">
        <v>5.0E7</v>
      </c>
      <c r="C951" s="1">
        <v>2.706716E7</v>
      </c>
      <c r="F951" s="4">
        <v>-2.293284E7</v>
      </c>
      <c r="G951" s="4">
        <f t="array" ref="G951">IFERROR((C951-B951)/C951*100, "N/A")</f>
        <v>-84.72569712</v>
      </c>
      <c r="J951" s="1"/>
      <c r="K951" s="1"/>
    </row>
    <row r="952" ht="14.25" customHeight="1">
      <c r="A952" s="1" t="s">
        <v>5056</v>
      </c>
      <c r="B952" s="1">
        <v>4.0E7</v>
      </c>
      <c r="C952" s="1">
        <v>2.6616999E7</v>
      </c>
      <c r="F952" s="4">
        <v>-1.3383001E7</v>
      </c>
      <c r="G952" s="4">
        <f t="array" ref="G952">IFERROR((C952-B952)/C952*100, "N/A")</f>
        <v>-50.27990195</v>
      </c>
      <c r="J952" s="1"/>
      <c r="K952" s="1"/>
    </row>
    <row r="953" ht="14.25" customHeight="1">
      <c r="A953" s="1" t="s">
        <v>5061</v>
      </c>
      <c r="B953" s="1">
        <v>5.0E7</v>
      </c>
      <c r="C953" s="1">
        <v>2.653612E7</v>
      </c>
      <c r="F953" s="4">
        <v>-2.346388E7</v>
      </c>
      <c r="G953" s="4">
        <f t="array" ref="G953">IFERROR((C953-B953)/C953*100, "N/A")</f>
        <v>-88.42242197</v>
      </c>
      <c r="J953" s="1"/>
      <c r="K953" s="1"/>
    </row>
    <row r="954" ht="14.25" customHeight="1">
      <c r="A954" s="1" t="s">
        <v>5066</v>
      </c>
      <c r="B954" s="1">
        <v>5.0E7</v>
      </c>
      <c r="C954" s="1">
        <v>2.6199517E7</v>
      </c>
      <c r="F954" s="4">
        <v>-2.3800483E7</v>
      </c>
      <c r="G954" s="4">
        <f t="array" ref="G954">IFERROR((C954-B954)/C954*100, "N/A")</f>
        <v>-90.84321287</v>
      </c>
      <c r="J954" s="1"/>
      <c r="K954" s="1"/>
    </row>
    <row r="955" ht="14.25" customHeight="1">
      <c r="A955" s="1" t="s">
        <v>5070</v>
      </c>
      <c r="B955" s="1">
        <v>5.0E7</v>
      </c>
      <c r="C955" s="1">
        <v>2.5450527E7</v>
      </c>
      <c r="F955" s="4">
        <v>-2.4549473E7</v>
      </c>
      <c r="G955" s="4">
        <f t="array" ref="G955">IFERROR((C955-B955)/C955*100, "N/A")</f>
        <v>-96.45958608</v>
      </c>
      <c r="J955" s="1"/>
      <c r="K955" s="1"/>
    </row>
    <row r="956" ht="14.25" customHeight="1">
      <c r="A956" s="1" t="s">
        <v>5074</v>
      </c>
      <c r="B956" s="1">
        <v>5.0E7</v>
      </c>
      <c r="C956" s="1">
        <v>2.540725E7</v>
      </c>
      <c r="F956" s="4">
        <v>-2.459275E7</v>
      </c>
      <c r="G956" s="4">
        <f t="array" ref="G956">IFERROR((C956-B956)/C956*100, "N/A")</f>
        <v>-96.79422212</v>
      </c>
      <c r="J956" s="1"/>
      <c r="K956" s="1"/>
    </row>
    <row r="957" ht="14.25" customHeight="1">
      <c r="A957" s="1" t="s">
        <v>5079</v>
      </c>
      <c r="B957" s="1">
        <v>7.0E7</v>
      </c>
      <c r="C957" s="1">
        <v>2.3159305E7</v>
      </c>
      <c r="F957" s="4">
        <v>-4.6840695E7</v>
      </c>
      <c r="G957" s="4">
        <f t="array" ref="G957">IFERROR((C957-B957)/C957*100, "N/A")</f>
        <v>-202.2543207</v>
      </c>
      <c r="J957" s="1"/>
      <c r="K957" s="1"/>
    </row>
    <row r="958" ht="14.25" customHeight="1">
      <c r="A958" s="1" t="s">
        <v>5084</v>
      </c>
      <c r="B958" s="1">
        <v>5.0E7</v>
      </c>
      <c r="C958" s="1">
        <v>2.4006726E7</v>
      </c>
      <c r="F958" s="4">
        <v>-2.5993274E7</v>
      </c>
      <c r="G958" s="4">
        <f t="array" ref="G958">IFERROR((C958-B958)/C958*100, "N/A")</f>
        <v>-108.2749643</v>
      </c>
      <c r="J958" s="1"/>
      <c r="K958" s="1"/>
    </row>
    <row r="959" ht="14.25" customHeight="1">
      <c r="A959" s="1" t="s">
        <v>5088</v>
      </c>
      <c r="B959" s="1">
        <v>5.0E7</v>
      </c>
      <c r="C959" s="1">
        <v>2.0389967E7</v>
      </c>
      <c r="F959" s="4">
        <v>-2.9610033E7</v>
      </c>
      <c r="G959" s="4">
        <f t="array" ref="G959">IFERROR((C959-B959)/C959*100, "N/A")</f>
        <v>-145.2186411</v>
      </c>
      <c r="J959" s="1"/>
      <c r="K959" s="1"/>
    </row>
    <row r="960" ht="14.25" customHeight="1">
      <c r="A960" s="1" t="s">
        <v>5094</v>
      </c>
      <c r="B960" s="1">
        <v>5.0E7</v>
      </c>
      <c r="C960" s="1">
        <v>1.959374E7</v>
      </c>
      <c r="F960" s="4">
        <v>-3.040626E7</v>
      </c>
      <c r="G960" s="4">
        <f t="array" ref="G960">IFERROR((C960-B960)/C960*100, "N/A")</f>
        <v>-155.1835433</v>
      </c>
      <c r="J960" s="1"/>
      <c r="K960" s="1"/>
    </row>
    <row r="961" ht="14.25" customHeight="1">
      <c r="A961" s="1" t="s">
        <v>5097</v>
      </c>
      <c r="B961" s="1">
        <v>4.0E7</v>
      </c>
      <c r="C961" s="1">
        <v>1.9118247E7</v>
      </c>
      <c r="F961" s="4">
        <v>-2.0881753E7</v>
      </c>
      <c r="G961" s="4">
        <f t="array" ref="G961">IFERROR((C961-B961)/C961*100, "N/A")</f>
        <v>-109.2242035</v>
      </c>
      <c r="J961" s="1"/>
      <c r="K961" s="1"/>
    </row>
    <row r="962" ht="14.25" customHeight="1">
      <c r="A962" s="1" t="s">
        <v>5101</v>
      </c>
      <c r="B962" s="1">
        <v>5.0E7</v>
      </c>
      <c r="C962" s="1">
        <v>2.6442251E7</v>
      </c>
      <c r="F962" s="4">
        <v>-2.3557749E7</v>
      </c>
      <c r="G962" s="4">
        <f t="array" ref="G962">IFERROR((C962-B962)/C962*100, "N/A")</f>
        <v>-89.0913145</v>
      </c>
      <c r="J962" s="1"/>
      <c r="K962" s="1"/>
    </row>
    <row r="963" ht="14.25" customHeight="1">
      <c r="A963" s="1" t="s">
        <v>5105</v>
      </c>
      <c r="B963" s="1">
        <v>2.5E7</v>
      </c>
      <c r="C963" s="1">
        <v>1.7114882E7</v>
      </c>
      <c r="F963" s="4">
        <v>-7885118.0</v>
      </c>
      <c r="G963" s="4">
        <f t="array" ref="G963">IFERROR((C963-B963)/C963*100, "N/A")</f>
        <v>-46.07170531</v>
      </c>
      <c r="J963" s="1"/>
      <c r="K963" s="1"/>
    </row>
    <row r="964" ht="14.25" customHeight="1">
      <c r="A964" s="1" t="s">
        <v>5110</v>
      </c>
      <c r="B964" s="1">
        <v>5.0E7</v>
      </c>
      <c r="C964" s="1">
        <v>1.8472363E7</v>
      </c>
      <c r="F964" s="4">
        <v>-3.1527637E7</v>
      </c>
      <c r="G964" s="4">
        <f t="array" ref="G964">IFERROR((C964-B964)/C964*100, "N/A")</f>
        <v>-170.6746289</v>
      </c>
      <c r="J964" s="1"/>
      <c r="K964" s="1"/>
    </row>
    <row r="965" ht="14.25" customHeight="1">
      <c r="A965" s="1" t="s">
        <v>5113</v>
      </c>
      <c r="B965" s="1">
        <v>3.9E8</v>
      </c>
      <c r="C965" s="1">
        <v>1.4131298E7</v>
      </c>
      <c r="F965" s="4">
        <v>-3.75868702E8</v>
      </c>
      <c r="G965" s="4">
        <f t="array" ref="G965">IFERROR((C965-B965)/C965*100, "N/A")</f>
        <v>-2659.831404</v>
      </c>
      <c r="J965" s="1"/>
      <c r="K965" s="1"/>
    </row>
    <row r="966" ht="14.25" customHeight="1">
      <c r="A966" s="1" t="s">
        <v>5120</v>
      </c>
      <c r="B966" s="1">
        <v>4.99E7</v>
      </c>
      <c r="C966" s="1">
        <v>2.155724E7</v>
      </c>
      <c r="F966" s="4">
        <v>-2.834276E7</v>
      </c>
      <c r="G966" s="4">
        <f t="array" ref="G966">IFERROR((C966-B966)/C966*100, "N/A")</f>
        <v>-131.4767568</v>
      </c>
      <c r="J966" s="1"/>
      <c r="K966" s="1"/>
    </row>
    <row r="967" ht="14.25" customHeight="1">
      <c r="A967" s="1" t="s">
        <v>5125</v>
      </c>
      <c r="B967" s="1">
        <v>5.5E7</v>
      </c>
      <c r="C967" s="1">
        <v>2.128344E7</v>
      </c>
      <c r="F967" s="4">
        <v>-3.371656E7</v>
      </c>
      <c r="G967" s="4">
        <f t="array" ref="G967">IFERROR((C967-B967)/C967*100, "N/A")</f>
        <v>-158.4168725</v>
      </c>
      <c r="J967" s="1"/>
      <c r="K967" s="1"/>
    </row>
    <row r="968" ht="14.25" customHeight="1">
      <c r="A968" s="1" t="s">
        <v>5130</v>
      </c>
      <c r="B968" s="1">
        <v>5.0E7</v>
      </c>
      <c r="C968" s="1">
        <v>1.0556196E7</v>
      </c>
      <c r="F968" s="4">
        <v>-3.9443804E7</v>
      </c>
      <c r="G968" s="4">
        <f t="array" ref="G968">IFERROR((C968-B968)/C968*100, "N/A")</f>
        <v>-373.6554721</v>
      </c>
      <c r="J968" s="1"/>
      <c r="K968" s="1"/>
    </row>
    <row r="969" ht="14.25" customHeight="1">
      <c r="A969" s="1" t="s">
        <v>5135</v>
      </c>
      <c r="B969" s="1">
        <v>5.0E7</v>
      </c>
      <c r="C969" s="1">
        <v>1.6671505E7</v>
      </c>
      <c r="F969" s="4">
        <v>-3.3328495E7</v>
      </c>
      <c r="G969" s="4">
        <f t="array" ref="G969">IFERROR((C969-B969)/C969*100, "N/A")</f>
        <v>-199.9129353</v>
      </c>
      <c r="J969" s="1"/>
      <c r="K969" s="1"/>
    </row>
    <row r="970" ht="14.25" customHeight="1">
      <c r="A970" s="1" t="s">
        <v>5142</v>
      </c>
      <c r="B970" s="1">
        <v>5.0E7</v>
      </c>
      <c r="C970" s="1">
        <v>1.04E7</v>
      </c>
      <c r="F970" s="4">
        <v>-3.96E7</v>
      </c>
      <c r="G970" s="4">
        <f t="array" ref="G970">IFERROR((C970-B970)/C970*100, "N/A")</f>
        <v>-380.7692308</v>
      </c>
      <c r="J970" s="1"/>
      <c r="K970" s="1"/>
    </row>
    <row r="971" ht="14.25" customHeight="1">
      <c r="A971" s="1" t="s">
        <v>5145</v>
      </c>
      <c r="B971" s="1">
        <v>2.2E7</v>
      </c>
      <c r="C971" s="1">
        <v>9528092.0</v>
      </c>
      <c r="F971" s="4">
        <v>-1.2471908E7</v>
      </c>
      <c r="G971" s="4">
        <f t="array" ref="G971">IFERROR((C971-B971)/C971*100, "N/A")</f>
        <v>-130.8961752</v>
      </c>
      <c r="J971" s="1"/>
      <c r="K971" s="1"/>
    </row>
    <row r="972" ht="14.25" customHeight="1">
      <c r="A972" s="1" t="s">
        <v>5148</v>
      </c>
      <c r="B972" s="1">
        <v>5.0E7</v>
      </c>
      <c r="C972" s="1">
        <v>1.0137232E7</v>
      </c>
      <c r="F972" s="4">
        <v>-3.9862768E7</v>
      </c>
      <c r="G972" s="4">
        <f t="array" ref="G972">IFERROR((C972-B972)/C972*100, "N/A")</f>
        <v>-393.2312884</v>
      </c>
      <c r="J972" s="1"/>
      <c r="K972" s="1"/>
    </row>
    <row r="973" ht="14.25" customHeight="1">
      <c r="A973" s="1" t="s">
        <v>5154</v>
      </c>
      <c r="B973" s="1">
        <v>5.0E7</v>
      </c>
      <c r="C973" s="1">
        <v>9795017.0</v>
      </c>
      <c r="F973" s="4">
        <v>-4.0204983E7</v>
      </c>
      <c r="G973" s="4">
        <f t="array" ref="G973">IFERROR((C973-B973)/C973*100, "N/A")</f>
        <v>-410.4636368</v>
      </c>
      <c r="J973" s="1"/>
      <c r="K973" s="1"/>
    </row>
    <row r="974" ht="14.25" customHeight="1">
      <c r="A974" s="1" t="s">
        <v>5157</v>
      </c>
      <c r="B974" s="1">
        <v>5.0E7</v>
      </c>
      <c r="C974" s="1">
        <v>2.0488579E7</v>
      </c>
      <c r="F974" s="4">
        <v>-2.9511421E7</v>
      </c>
      <c r="G974" s="4">
        <f t="array" ref="G974">IFERROR((C974-B974)/C974*100, "N/A")</f>
        <v>-144.0383982</v>
      </c>
      <c r="J974" s="1"/>
      <c r="K974" s="1"/>
    </row>
    <row r="975" ht="14.25" customHeight="1">
      <c r="A975" s="1" t="s">
        <v>5161</v>
      </c>
      <c r="B975" s="1">
        <v>6.0E7</v>
      </c>
      <c r="C975" s="1">
        <v>1.9445217E7</v>
      </c>
      <c r="F975" s="4">
        <v>-4.0554783E7</v>
      </c>
      <c r="G975" s="4">
        <f t="array" ref="G975">IFERROR((C975-B975)/C975*100, "N/A")</f>
        <v>-208.5591691</v>
      </c>
      <c r="J975" s="1"/>
      <c r="K975" s="1"/>
    </row>
    <row r="976" ht="14.25" customHeight="1">
      <c r="A976" s="1" t="s">
        <v>5168</v>
      </c>
      <c r="B976" s="1">
        <v>5.5E7</v>
      </c>
      <c r="C976" s="1">
        <v>8355815.0</v>
      </c>
      <c r="F976" s="4">
        <v>-4.6644185E7</v>
      </c>
      <c r="G976" s="4">
        <f t="array" ref="G976">IFERROR((C976-B976)/C976*100, "N/A")</f>
        <v>-558.2242426</v>
      </c>
      <c r="J976" s="1"/>
      <c r="K976" s="1"/>
    </row>
    <row r="977" ht="14.25" customHeight="1">
      <c r="A977" s="1" t="s">
        <v>5171</v>
      </c>
      <c r="B977" s="1">
        <v>5.0E7</v>
      </c>
      <c r="C977" s="1">
        <v>2.8837115E7</v>
      </c>
      <c r="F977" s="4">
        <v>-2.1162885E7</v>
      </c>
      <c r="G977" s="4">
        <f t="array" ref="G977">IFERROR((C977-B977)/C977*100, "N/A")</f>
        <v>-73.38766378</v>
      </c>
      <c r="J977" s="1"/>
      <c r="K977" s="1"/>
    </row>
    <row r="978" ht="14.25" customHeight="1">
      <c r="A978" s="1" t="s">
        <v>5175</v>
      </c>
      <c r="B978" s="1">
        <v>5.0E7</v>
      </c>
      <c r="C978" s="1">
        <v>6471394.0</v>
      </c>
      <c r="F978" s="4">
        <v>-4.3528606E7</v>
      </c>
      <c r="G978" s="4">
        <f t="array" ref="G978">IFERROR((C978-B978)/C978*100, "N/A")</f>
        <v>-672.6310591</v>
      </c>
      <c r="J978" s="1"/>
      <c r="K978" s="1"/>
    </row>
    <row r="979" ht="14.25" customHeight="1">
      <c r="A979" s="1" t="s">
        <v>5180</v>
      </c>
      <c r="B979" s="1">
        <v>5.0E7</v>
      </c>
      <c r="C979" s="1">
        <v>6291602.0</v>
      </c>
      <c r="F979" s="4">
        <v>-4.3708398E7</v>
      </c>
      <c r="G979" s="4">
        <f t="array" ref="G979">IFERROR((C979-B979)/C979*100, "N/A")</f>
        <v>-694.7101549</v>
      </c>
      <c r="J979" s="1"/>
      <c r="K979" s="1"/>
    </row>
    <row r="980" ht="14.25" customHeight="1">
      <c r="A980" s="1" t="s">
        <v>5185</v>
      </c>
      <c r="B980" s="1">
        <v>5.0E7</v>
      </c>
      <c r="C980" s="1">
        <v>1.0706786E7</v>
      </c>
      <c r="F980" s="4">
        <v>-3.9293214E7</v>
      </c>
      <c r="G980" s="4">
        <f t="array" ref="G980">IFERROR((C980-B980)/C980*100, "N/A")</f>
        <v>-366.9935497</v>
      </c>
      <c r="J980" s="1"/>
      <c r="K980" s="1"/>
    </row>
    <row r="981" ht="14.25" customHeight="1">
      <c r="A981" s="1" t="s">
        <v>5188</v>
      </c>
      <c r="B981" s="1">
        <v>1.8E7</v>
      </c>
      <c r="C981" s="1">
        <v>8742261.0</v>
      </c>
      <c r="F981" s="4">
        <v>-9257739.0</v>
      </c>
      <c r="G981" s="4">
        <f t="array" ref="G981">IFERROR((C981-B981)/C981*100, "N/A")</f>
        <v>-105.8963922</v>
      </c>
      <c r="J981" s="1"/>
      <c r="K981" s="1"/>
    </row>
    <row r="982" ht="14.25" customHeight="1">
      <c r="A982" s="1" t="s">
        <v>5194</v>
      </c>
      <c r="B982" s="1">
        <v>4.9E7</v>
      </c>
      <c r="C982" s="1">
        <v>4.3905746E7</v>
      </c>
      <c r="F982" s="4">
        <v>-5094254.0</v>
      </c>
      <c r="G982" s="4">
        <f t="array" ref="G982">IFERROR((C982-B982)/C982*100, "N/A")</f>
        <v>-11.60270458</v>
      </c>
      <c r="J982" s="1"/>
      <c r="K982" s="1"/>
    </row>
    <row r="983" ht="14.25" customHeight="1">
      <c r="A983" s="1" t="s">
        <v>5197</v>
      </c>
      <c r="B983" s="1">
        <v>4.0E7</v>
      </c>
      <c r="C983" s="1">
        <v>2.1413502E7</v>
      </c>
      <c r="F983" s="4">
        <v>-1.8586498E7</v>
      </c>
      <c r="G983" s="4">
        <f t="array" ref="G983">IFERROR((C983-B983)/C983*100, "N/A")</f>
        <v>-86.79803051</v>
      </c>
      <c r="J983" s="1"/>
      <c r="K983" s="1"/>
    </row>
    <row r="984" ht="14.25" customHeight="1">
      <c r="A984" s="1" t="s">
        <v>5203</v>
      </c>
      <c r="B984" s="1">
        <v>4.8E7</v>
      </c>
      <c r="C984" s="1">
        <v>1.24107476E8</v>
      </c>
      <c r="F984" s="4">
        <v>7.6107476E7</v>
      </c>
      <c r="G984" s="4">
        <f t="array" ref="G984">IFERROR((C984-B984)/C984*100, "N/A")</f>
        <v>61.32384483</v>
      </c>
      <c r="J984" s="1"/>
      <c r="K984" s="1"/>
    </row>
    <row r="985" ht="14.25" customHeight="1">
      <c r="A985" s="1" t="s">
        <v>5208</v>
      </c>
      <c r="B985" s="1">
        <v>4.8E7</v>
      </c>
      <c r="C985" s="1">
        <v>1.97171806E8</v>
      </c>
      <c r="F985" s="4">
        <v>1.49171806E8</v>
      </c>
      <c r="G985" s="4">
        <f t="array" ref="G985">IFERROR((C985-B985)/C985*100, "N/A")</f>
        <v>75.65574867</v>
      </c>
      <c r="J985" s="1"/>
      <c r="K985" s="1"/>
    </row>
    <row r="986" ht="14.25" customHeight="1">
      <c r="A986" s="1" t="s">
        <v>5212</v>
      </c>
      <c r="B986" s="1">
        <v>4.9E7</v>
      </c>
      <c r="C986" s="1">
        <v>3.1569268E7</v>
      </c>
      <c r="F986" s="4">
        <v>-1.7430732E7</v>
      </c>
      <c r="G986" s="4">
        <f t="array" ref="G986">IFERROR((C986-B986)/C986*100, "N/A")</f>
        <v>-55.2142419</v>
      </c>
      <c r="J986" s="1"/>
      <c r="K986" s="1"/>
    </row>
    <row r="987" ht="14.25" customHeight="1">
      <c r="A987" s="1" t="s">
        <v>5216</v>
      </c>
      <c r="B987" s="1">
        <v>4.8E7</v>
      </c>
      <c r="C987" s="1">
        <v>6.648809E7</v>
      </c>
      <c r="F987" s="4">
        <v>1.848809E7</v>
      </c>
      <c r="G987" s="4">
        <f t="array" ref="G987">IFERROR((C987-B987)/C987*100, "N/A")</f>
        <v>27.8066192</v>
      </c>
      <c r="J987" s="1"/>
      <c r="K987" s="1"/>
    </row>
    <row r="988" ht="14.25" customHeight="1">
      <c r="A988" s="1" t="s">
        <v>5220</v>
      </c>
      <c r="B988" s="1">
        <v>4.8E7</v>
      </c>
      <c r="C988" s="1">
        <v>9.5308367E7</v>
      </c>
      <c r="F988" s="4">
        <v>4.7308367E7</v>
      </c>
      <c r="G988" s="4">
        <f t="array" ref="G988">IFERROR((C988-B988)/C988*100, "N/A")</f>
        <v>49.6371604</v>
      </c>
      <c r="J988" s="1"/>
      <c r="K988" s="1"/>
    </row>
    <row r="989" ht="14.25" customHeight="1">
      <c r="A989" s="1" t="s">
        <v>5225</v>
      </c>
      <c r="B989" s="1">
        <v>4.8E7</v>
      </c>
      <c r="C989" s="1">
        <v>6.0652036E7</v>
      </c>
      <c r="F989" s="4">
        <v>1.2652036E7</v>
      </c>
      <c r="G989" s="4">
        <f t="array" ref="G989">IFERROR((C989-B989)/C989*100, "N/A")</f>
        <v>20.8600351</v>
      </c>
      <c r="J989" s="1"/>
      <c r="K989" s="1"/>
    </row>
    <row r="990" ht="14.25" customHeight="1">
      <c r="A990" s="1" t="s">
        <v>5230</v>
      </c>
      <c r="B990" s="1">
        <v>5.0E7</v>
      </c>
      <c r="C990" s="1">
        <v>1206135.0</v>
      </c>
      <c r="F990" s="4">
        <v>-4.8793865E7</v>
      </c>
      <c r="G990" s="4">
        <f t="array" ref="G990">IFERROR((C990-B990)/C990*100, "N/A")</f>
        <v>-4045.472936</v>
      </c>
      <c r="J990" s="1"/>
      <c r="K990" s="1"/>
    </row>
    <row r="991" ht="14.25" customHeight="1">
      <c r="A991" s="1" t="s">
        <v>5236</v>
      </c>
      <c r="B991" s="1">
        <v>4.8E7</v>
      </c>
      <c r="C991" s="1">
        <v>5.6607223E7</v>
      </c>
      <c r="F991" s="4">
        <v>8607223.0</v>
      </c>
      <c r="G991" s="4">
        <f t="array" ref="G991">IFERROR((C991-B991)/C991*100, "N/A")</f>
        <v>15.20516737</v>
      </c>
      <c r="J991" s="1"/>
      <c r="K991" s="1"/>
    </row>
    <row r="992" ht="14.25" customHeight="1">
      <c r="A992" s="1" t="s">
        <v>5242</v>
      </c>
      <c r="B992" s="1">
        <v>4.8E7</v>
      </c>
      <c r="C992" s="1">
        <v>5.017319E7</v>
      </c>
      <c r="F992" s="4">
        <v>2173190.0</v>
      </c>
      <c r="G992" s="4">
        <f t="array" ref="G992">IFERROR((C992-B992)/C992*100, "N/A")</f>
        <v>4.331376976</v>
      </c>
      <c r="J992" s="1"/>
      <c r="K992" s="1"/>
    </row>
    <row r="993" ht="14.25" customHeight="1">
      <c r="A993" s="1" t="s">
        <v>5246</v>
      </c>
      <c r="B993" s="1">
        <v>4.8E7</v>
      </c>
      <c r="C993" s="1">
        <v>4.7095453E7</v>
      </c>
      <c r="F993" s="4">
        <v>-904547.0</v>
      </c>
      <c r="G993" s="4">
        <f t="array" ref="G993">IFERROR((C993-B993)/C993*100, "N/A")</f>
        <v>-1.920667373</v>
      </c>
      <c r="J993" s="1"/>
      <c r="K993" s="1"/>
    </row>
    <row r="994" ht="14.25" customHeight="1">
      <c r="A994" s="1" t="s">
        <v>5250</v>
      </c>
      <c r="B994" s="1">
        <v>4.8E7</v>
      </c>
      <c r="C994" s="1">
        <v>3.7879996E7</v>
      </c>
      <c r="F994" s="4">
        <v>-1.0120004E7</v>
      </c>
      <c r="G994" s="4">
        <f t="array" ref="G994">IFERROR((C994-B994)/C994*100, "N/A")</f>
        <v>-26.71595847</v>
      </c>
      <c r="J994" s="1"/>
      <c r="K994" s="1"/>
    </row>
    <row r="995" ht="14.25" customHeight="1">
      <c r="A995" s="1" t="s">
        <v>5255</v>
      </c>
      <c r="B995" s="1">
        <v>5.8E7</v>
      </c>
      <c r="C995" s="1">
        <v>2.59E7</v>
      </c>
      <c r="F995" s="4">
        <v>-3.21E7</v>
      </c>
      <c r="G995" s="4">
        <f t="array" ref="G995">IFERROR((C995-B995)/C995*100, "N/A")</f>
        <v>-123.9382239</v>
      </c>
      <c r="J995" s="1"/>
      <c r="K995" s="1"/>
    </row>
    <row r="996" ht="14.25" customHeight="1">
      <c r="A996" s="1" t="s">
        <v>5260</v>
      </c>
      <c r="B996" s="1">
        <v>5.5E7</v>
      </c>
      <c r="C996" s="1">
        <v>5.3574088E7</v>
      </c>
      <c r="F996" s="4">
        <v>-1425912.0</v>
      </c>
      <c r="G996" s="4">
        <f t="array" ref="G996">IFERROR((C996-B996)/C996*100, "N/A")</f>
        <v>-2.661570273</v>
      </c>
      <c r="J996" s="1"/>
      <c r="K996" s="1"/>
    </row>
    <row r="997" ht="14.25" customHeight="1">
      <c r="A997" s="1" t="s">
        <v>5266</v>
      </c>
      <c r="B997" s="1">
        <v>4.8E7</v>
      </c>
      <c r="C997" s="1">
        <v>8.925334E7</v>
      </c>
      <c r="F997" s="4">
        <v>4.125334E7</v>
      </c>
      <c r="G997" s="4">
        <f t="array" ref="G997">IFERROR((C997-B997)/C997*100, "N/A")</f>
        <v>46.22049998</v>
      </c>
      <c r="J997" s="1"/>
      <c r="K997" s="1"/>
    </row>
    <row r="998" ht="14.25" customHeight="1">
      <c r="A998" s="1" t="s">
        <v>5270</v>
      </c>
      <c r="B998" s="1">
        <v>4.8E7</v>
      </c>
      <c r="C998" s="1">
        <v>3.7339525E7</v>
      </c>
      <c r="F998" s="4">
        <v>-1.0660475E7</v>
      </c>
      <c r="G998" s="4">
        <f t="array" ref="G998">IFERROR((C998-B998)/C998*100, "N/A")</f>
        <v>-28.55010877</v>
      </c>
      <c r="J998" s="1"/>
      <c r="K998" s="1"/>
    </row>
    <row r="999" ht="14.25" customHeight="1">
      <c r="A999" s="1" t="s">
        <v>5274</v>
      </c>
      <c r="B999" s="1">
        <v>4.7E7</v>
      </c>
      <c r="C999" s="1">
        <v>6.0154431E7</v>
      </c>
      <c r="F999" s="4">
        <v>1.3154431E7</v>
      </c>
      <c r="G999" s="4">
        <f t="array" ref="G999">IFERROR((C999-B999)/C999*100, "N/A")</f>
        <v>21.86776731</v>
      </c>
      <c r="J999" s="1"/>
      <c r="K999" s="1"/>
    </row>
    <row r="1000" ht="14.25" customHeight="1">
      <c r="A1000" s="1" t="s">
        <v>5279</v>
      </c>
      <c r="B1000" s="1">
        <v>1.0E8</v>
      </c>
      <c r="C1000" s="1">
        <v>1.03738726E8</v>
      </c>
      <c r="F1000" s="4">
        <v>3738726.0</v>
      </c>
      <c r="G1000" s="4">
        <f t="array" ref="G1000">IFERROR((C1000-B1000)/C1000*100, "N/A")</f>
        <v>3.603982952</v>
      </c>
      <c r="J1000" s="1"/>
      <c r="K1000" s="1"/>
    </row>
    <row r="1001" ht="14.25" customHeight="1">
      <c r="A1001" s="1" t="s">
        <v>5284</v>
      </c>
      <c r="B1001" s="1">
        <v>4.8E7</v>
      </c>
      <c r="C1001" s="1">
        <v>6.9304264E7</v>
      </c>
      <c r="F1001" s="4">
        <v>2.1304264E7</v>
      </c>
      <c r="G1001" s="4">
        <f t="array" ref="G1001">IFERROR((C1001-B1001)/C1001*100, "N/A")</f>
        <v>30.74019226</v>
      </c>
      <c r="J1001" s="1"/>
      <c r="K1001" s="1"/>
    </row>
    <row r="1002" ht="14.25" customHeight="1">
      <c r="A1002" s="1" t="s">
        <v>5290</v>
      </c>
      <c r="B1002" s="1">
        <v>4.8E7</v>
      </c>
      <c r="C1002" s="1">
        <v>2.9781453E7</v>
      </c>
      <c r="F1002" s="4">
        <v>-1.8218547E7</v>
      </c>
      <c r="G1002" s="4">
        <f t="array" ref="G1002">IFERROR((C1002-B1002)/C1002*100, "N/A")</f>
        <v>-61.17413747</v>
      </c>
      <c r="J1002" s="1"/>
      <c r="K1002" s="1"/>
    </row>
    <row r="1003" ht="14.25" customHeight="1">
      <c r="A1003" s="1" t="s">
        <v>5296</v>
      </c>
      <c r="B1003" s="1">
        <v>4.7E7</v>
      </c>
      <c r="C1003" s="1">
        <v>1.5519841E7</v>
      </c>
      <c r="F1003" s="4">
        <v>-3.1480159E7</v>
      </c>
      <c r="G1003" s="4">
        <f t="array" ref="G1003">IFERROR((C1003-B1003)/C1003*100, "N/A")</f>
        <v>-202.8381541</v>
      </c>
      <c r="J1003" s="1"/>
      <c r="K1003" s="1"/>
    </row>
    <row r="1004" ht="14.25" customHeight="1">
      <c r="A1004" s="1" t="s">
        <v>5300</v>
      </c>
      <c r="B1004" s="1">
        <v>4.7E7</v>
      </c>
      <c r="C1004" s="1">
        <v>5600000.0</v>
      </c>
      <c r="F1004" s="4">
        <v>-4.14E7</v>
      </c>
      <c r="G1004" s="4">
        <f t="array" ref="G1004">IFERROR((C1004-B1004)/C1004*100, "N/A")</f>
        <v>-739.2857143</v>
      </c>
      <c r="J1004" s="1"/>
      <c r="K1004" s="1"/>
    </row>
    <row r="1005" ht="14.25" customHeight="1">
      <c r="A1005" s="1" t="s">
        <v>5306</v>
      </c>
      <c r="B1005" s="1">
        <v>4.6E7</v>
      </c>
      <c r="C1005" s="1">
        <v>1.26805112E8</v>
      </c>
      <c r="F1005" s="4">
        <v>8.0805112E7</v>
      </c>
      <c r="G1005" s="4">
        <f t="array" ref="G1005">IFERROR((C1005-B1005)/C1005*100, "N/A")</f>
        <v>63.72385997</v>
      </c>
      <c r="J1005" s="1"/>
      <c r="K1005" s="1"/>
    </row>
    <row r="1006" ht="14.25" customHeight="1">
      <c r="A1006" s="1" t="s">
        <v>5309</v>
      </c>
      <c r="B1006" s="1">
        <v>4.8E7</v>
      </c>
      <c r="C1006" s="1">
        <v>9.3607673E7</v>
      </c>
      <c r="F1006" s="4">
        <v>4.5607673E7</v>
      </c>
      <c r="G1006" s="4">
        <f t="array" ref="G1006">IFERROR((C1006-B1006)/C1006*100, "N/A")</f>
        <v>48.7221523</v>
      </c>
      <c r="J1006" s="1"/>
      <c r="K1006" s="1"/>
    </row>
    <row r="1007" ht="14.25" customHeight="1">
      <c r="A1007" s="1" t="s">
        <v>5312</v>
      </c>
      <c r="B1007" s="1">
        <v>4.6E7</v>
      </c>
      <c r="C1007" s="1">
        <v>6.7263182E7</v>
      </c>
      <c r="F1007" s="4">
        <v>2.1263182E7</v>
      </c>
      <c r="G1007" s="4">
        <f t="array" ref="G1007">IFERROR((C1007-B1007)/C1007*100, "N/A")</f>
        <v>31.61191809</v>
      </c>
      <c r="J1007" s="1"/>
      <c r="K1007" s="1"/>
    </row>
    <row r="1008" ht="14.25" customHeight="1">
      <c r="A1008" s="1" t="s">
        <v>5316</v>
      </c>
      <c r="B1008" s="1">
        <v>4.5E7</v>
      </c>
      <c r="C1008" s="1">
        <v>9.2001027E7</v>
      </c>
      <c r="F1008" s="4">
        <v>4.7001027E7</v>
      </c>
      <c r="G1008" s="4">
        <f t="array" ref="G1008">IFERROR((C1008-B1008)/C1008*100, "N/A")</f>
        <v>51.08750253</v>
      </c>
      <c r="J1008" s="1"/>
      <c r="K1008" s="1"/>
    </row>
    <row r="1009" ht="14.25" customHeight="1">
      <c r="A1009" s="1" t="s">
        <v>5320</v>
      </c>
      <c r="B1009" s="1">
        <v>4.7E7</v>
      </c>
      <c r="C1009" s="1">
        <v>1.0539414E7</v>
      </c>
      <c r="F1009" s="4">
        <v>-3.6460586E7</v>
      </c>
      <c r="G1009" s="4">
        <f t="array" ref="G1009">IFERROR((C1009-B1009)/C1009*100, "N/A")</f>
        <v>-345.9450971</v>
      </c>
      <c r="J1009" s="1"/>
      <c r="K1009" s="1"/>
    </row>
    <row r="1010" ht="14.25" customHeight="1">
      <c r="A1010" s="1" t="s">
        <v>5326</v>
      </c>
      <c r="B1010" s="1">
        <v>4.6E7</v>
      </c>
      <c r="C1010" s="1">
        <v>5.8918501E7</v>
      </c>
      <c r="F1010" s="4">
        <v>1.2918501E7</v>
      </c>
      <c r="G1010" s="4">
        <f t="array" ref="G1010">IFERROR((C1010-B1010)/C1010*100, "N/A")</f>
        <v>21.92605172</v>
      </c>
      <c r="J1010" s="1"/>
      <c r="K1010" s="1"/>
    </row>
    <row r="1011" ht="14.25" customHeight="1">
      <c r="A1011" s="1" t="s">
        <v>5330</v>
      </c>
      <c r="B1011" s="1">
        <v>4.5E7</v>
      </c>
      <c r="C1011" s="1">
        <v>1.8139538E8</v>
      </c>
      <c r="F1011" s="4">
        <v>1.3639538E8</v>
      </c>
      <c r="G1011" s="4">
        <f t="array" ref="G1011">IFERROR((C1011-B1011)/C1011*100, "N/A")</f>
        <v>75.19231195</v>
      </c>
      <c r="J1011" s="1"/>
      <c r="K1011" s="1"/>
    </row>
    <row r="1012" ht="14.25" customHeight="1">
      <c r="A1012" s="1" t="s">
        <v>5335</v>
      </c>
      <c r="B1012" s="1">
        <v>4.5E7</v>
      </c>
      <c r="C1012" s="1">
        <v>1.30512915E8</v>
      </c>
      <c r="F1012" s="4">
        <v>8.5512915E7</v>
      </c>
      <c r="G1012" s="4">
        <f t="array" ref="G1012">IFERROR((C1012-B1012)/C1012*100, "N/A")</f>
        <v>65.52065365</v>
      </c>
      <c r="J1012" s="1"/>
      <c r="K1012" s="1"/>
    </row>
    <row r="1013" ht="14.25" customHeight="1">
      <c r="A1013" s="1" t="s">
        <v>5338</v>
      </c>
      <c r="B1013" s="1">
        <v>4.5E7</v>
      </c>
      <c r="C1013" s="1">
        <v>1.39852971E8</v>
      </c>
      <c r="F1013" s="4">
        <v>9.4852971E7</v>
      </c>
      <c r="G1013" s="4">
        <f t="array" ref="G1013">IFERROR((C1013-B1013)/C1013*100, "N/A")</f>
        <v>67.82335071</v>
      </c>
      <c r="J1013" s="1"/>
      <c r="K1013" s="1"/>
    </row>
    <row r="1014" ht="14.25" customHeight="1">
      <c r="A1014" s="1" t="s">
        <v>5343</v>
      </c>
      <c r="B1014" s="1">
        <v>4.8E7</v>
      </c>
      <c r="C1014" s="1">
        <v>1.10000082E8</v>
      </c>
      <c r="F1014" s="4">
        <v>6.2000082E7</v>
      </c>
      <c r="G1014" s="4">
        <f t="array" ref="G1014">IFERROR((C1014-B1014)/C1014*100, "N/A")</f>
        <v>56.36366889</v>
      </c>
      <c r="J1014" s="1"/>
      <c r="K1014" s="1"/>
    </row>
    <row r="1015" ht="14.25" customHeight="1">
      <c r="A1015" s="1" t="s">
        <v>5349</v>
      </c>
      <c r="B1015" s="1">
        <v>4.5E7</v>
      </c>
      <c r="C1015" s="1">
        <v>1.06807667E8</v>
      </c>
      <c r="F1015" s="4">
        <v>6.1807667E7</v>
      </c>
      <c r="G1015" s="4">
        <f t="array" ref="G1015">IFERROR((C1015-B1015)/C1015*100, "N/A")</f>
        <v>57.86819311</v>
      </c>
      <c r="J1015" s="1"/>
      <c r="K1015" s="1"/>
    </row>
    <row r="1016" ht="14.25" customHeight="1">
      <c r="A1016" s="1" t="s">
        <v>5356</v>
      </c>
      <c r="B1016" s="1">
        <v>4.5E7</v>
      </c>
      <c r="C1016" s="1">
        <v>1.0170206E8</v>
      </c>
      <c r="F1016" s="4">
        <v>5.670206E7</v>
      </c>
      <c r="G1016" s="4">
        <f t="array" ref="G1016">IFERROR((C1016-B1016)/C1016*100, "N/A")</f>
        <v>55.75310864</v>
      </c>
      <c r="J1016" s="1"/>
      <c r="K1016" s="1"/>
    </row>
    <row r="1017" ht="14.25" customHeight="1">
      <c r="A1017" s="1" t="s">
        <v>5361</v>
      </c>
      <c r="B1017" s="1">
        <v>4.0E7</v>
      </c>
      <c r="C1017" s="1">
        <v>9.5149435E7</v>
      </c>
      <c r="F1017" s="4">
        <v>5.5149435E7</v>
      </c>
      <c r="G1017" s="4">
        <f t="array" ref="G1017">IFERROR((C1017-B1017)/C1017*100, "N/A")</f>
        <v>57.9608644</v>
      </c>
      <c r="J1017" s="1"/>
      <c r="K1017" s="1"/>
    </row>
    <row r="1018" ht="14.25" customHeight="1">
      <c r="A1018" s="1" t="s">
        <v>5364</v>
      </c>
      <c r="B1018" s="1">
        <v>4.5E7</v>
      </c>
      <c r="C1018" s="1">
        <v>1.00768056E8</v>
      </c>
      <c r="F1018" s="4">
        <v>5.5768056E7</v>
      </c>
      <c r="G1018" s="4">
        <f t="array" ref="G1018">IFERROR((C1018-B1018)/C1018*100, "N/A")</f>
        <v>55.34299084</v>
      </c>
      <c r="J1018" s="1"/>
      <c r="K1018" s="1"/>
    </row>
    <row r="1019" ht="14.25" customHeight="1">
      <c r="A1019" s="1" t="s">
        <v>5367</v>
      </c>
      <c r="B1019" s="1">
        <v>4.5E7</v>
      </c>
      <c r="C1019" s="1">
        <v>9.2115211E7</v>
      </c>
      <c r="F1019" s="4">
        <v>4.7115211E7</v>
      </c>
      <c r="G1019" s="4">
        <f t="array" ref="G1019">IFERROR((C1019-B1019)/C1019*100, "N/A")</f>
        <v>51.1481334</v>
      </c>
      <c r="J1019" s="1"/>
      <c r="K1019" s="1"/>
    </row>
    <row r="1020" ht="14.25" customHeight="1">
      <c r="A1020" s="1" t="s">
        <v>5371</v>
      </c>
      <c r="B1020" s="1">
        <v>4.5E7</v>
      </c>
      <c r="C1020" s="1">
        <v>9.3452056E7</v>
      </c>
      <c r="F1020" s="4">
        <v>4.8452056E7</v>
      </c>
      <c r="G1020" s="4">
        <f t="array" ref="G1020">IFERROR((C1020-B1020)/C1020*100, "N/A")</f>
        <v>51.84696632</v>
      </c>
      <c r="J1020" s="1"/>
      <c r="K1020" s="1"/>
    </row>
    <row r="1021" ht="14.25" customHeight="1">
      <c r="A1021" s="1" t="s">
        <v>5375</v>
      </c>
      <c r="B1021" s="1">
        <v>4.5E7</v>
      </c>
      <c r="C1021" s="1">
        <v>8.3287363E7</v>
      </c>
      <c r="F1021" s="4">
        <v>3.8287363E7</v>
      </c>
      <c r="G1021" s="4">
        <f t="array" ref="G1021">IFERROR((C1021-B1021)/C1021*100, "N/A")</f>
        <v>45.97019478</v>
      </c>
      <c r="J1021" s="1"/>
      <c r="K1021" s="1"/>
    </row>
    <row r="1022" ht="14.25" customHeight="1">
      <c r="A1022" s="1" t="s">
        <v>5379</v>
      </c>
      <c r="B1022" s="1">
        <v>6.0E7</v>
      </c>
      <c r="C1022" s="1">
        <v>8.2931301E7</v>
      </c>
      <c r="F1022" s="4">
        <v>2.2931301E7</v>
      </c>
      <c r="G1022" s="4">
        <f t="array" ref="G1022">IFERROR((C1022-B1022)/C1022*100, "N/A")</f>
        <v>27.65096016</v>
      </c>
      <c r="J1022" s="1"/>
      <c r="K1022" s="1"/>
    </row>
    <row r="1023" ht="14.25" customHeight="1">
      <c r="A1023" s="1" t="s">
        <v>5384</v>
      </c>
      <c r="B1023" s="1">
        <v>4.6E7</v>
      </c>
      <c r="C1023" s="1">
        <v>6.0962878E7</v>
      </c>
      <c r="F1023" s="4">
        <v>1.4962878E7</v>
      </c>
      <c r="G1023" s="4">
        <f t="array" ref="G1023">IFERROR((C1023-B1023)/C1023*100, "N/A")</f>
        <v>24.54424478</v>
      </c>
      <c r="J1023" s="1"/>
      <c r="K1023" s="1"/>
    </row>
    <row r="1024" ht="14.25" customHeight="1">
      <c r="A1024" s="1" t="s">
        <v>5387</v>
      </c>
      <c r="B1024" s="1">
        <v>4.5E7</v>
      </c>
      <c r="C1024" s="1">
        <v>7.6261036E7</v>
      </c>
      <c r="F1024" s="4">
        <v>3.1261036E7</v>
      </c>
      <c r="G1024" s="4">
        <f t="array" ref="G1024">IFERROR((C1024-B1024)/C1024*100, "N/A")</f>
        <v>40.99214703</v>
      </c>
      <c r="J1024" s="1"/>
      <c r="K1024" s="1"/>
    </row>
    <row r="1025" ht="14.25" customHeight="1">
      <c r="A1025" s="1" t="s">
        <v>5391</v>
      </c>
      <c r="B1025" s="1">
        <v>4.5E7</v>
      </c>
      <c r="C1025" s="1">
        <v>7.1423726E7</v>
      </c>
      <c r="F1025" s="4">
        <v>2.6423726E7</v>
      </c>
      <c r="G1025" s="4">
        <f t="array" ref="G1025">IFERROR((C1025-B1025)/C1025*100, "N/A")</f>
        <v>36.99572604</v>
      </c>
      <c r="J1025" s="1"/>
      <c r="K1025" s="1"/>
    </row>
    <row r="1026" ht="14.25" customHeight="1">
      <c r="A1026" s="1" t="s">
        <v>5396</v>
      </c>
      <c r="B1026" s="1">
        <v>4.5E7</v>
      </c>
      <c r="C1026" s="1">
        <v>7.127742E7</v>
      </c>
      <c r="F1026" s="4">
        <v>2.627742E7</v>
      </c>
      <c r="G1026" s="4">
        <f t="array" ref="G1026">IFERROR((C1026-B1026)/C1026*100, "N/A")</f>
        <v>36.86640173</v>
      </c>
      <c r="J1026" s="1"/>
      <c r="K1026" s="1"/>
    </row>
    <row r="1027" ht="14.25" customHeight="1">
      <c r="A1027" s="1" t="s">
        <v>5399</v>
      </c>
      <c r="B1027" s="1">
        <v>4.5E7</v>
      </c>
      <c r="C1027" s="1">
        <v>8.8625922E7</v>
      </c>
      <c r="F1027" s="4">
        <v>4.3625922E7</v>
      </c>
      <c r="G1027" s="4">
        <f t="array" ref="G1027">IFERROR((C1027-B1027)/C1027*100, "N/A")</f>
        <v>49.22478775</v>
      </c>
      <c r="J1027" s="1"/>
      <c r="K1027" s="1"/>
    </row>
    <row r="1028" ht="14.25" customHeight="1">
      <c r="A1028" s="1" t="s">
        <v>5405</v>
      </c>
      <c r="B1028" s="1">
        <v>4.5E7</v>
      </c>
      <c r="C1028" s="1">
        <v>7.0001065E7</v>
      </c>
      <c r="F1028" s="4">
        <v>2.5001065E7</v>
      </c>
      <c r="G1028" s="4">
        <f t="array" ref="G1028">IFERROR((C1028-B1028)/C1028*100, "N/A")</f>
        <v>35.71526376</v>
      </c>
      <c r="J1028" s="1"/>
      <c r="K1028" s="1"/>
    </row>
    <row r="1029" ht="14.25" customHeight="1">
      <c r="A1029" s="1" t="s">
        <v>5411</v>
      </c>
      <c r="B1029" s="1">
        <v>3.0E7</v>
      </c>
      <c r="C1029" s="1">
        <v>6.7253092E7</v>
      </c>
      <c r="F1029" s="4">
        <v>3.7253092E7</v>
      </c>
      <c r="G1029" s="4">
        <f t="array" ref="G1029">IFERROR((C1029-B1029)/C1029*100, "N/A")</f>
        <v>55.39238553</v>
      </c>
      <c r="J1029" s="1"/>
      <c r="K1029" s="1"/>
    </row>
    <row r="1030" ht="14.25" customHeight="1">
      <c r="A1030" s="1" t="s">
        <v>5416</v>
      </c>
      <c r="B1030" s="1">
        <v>4.5E7</v>
      </c>
      <c r="C1030" s="1">
        <v>6.6790248E7</v>
      </c>
      <c r="F1030" s="4">
        <v>2.1790248E7</v>
      </c>
      <c r="G1030" s="4">
        <f t="array" ref="G1030">IFERROR((C1030-B1030)/C1030*100, "N/A")</f>
        <v>32.62489458</v>
      </c>
      <c r="J1030" s="1"/>
      <c r="K1030" s="1"/>
    </row>
    <row r="1031" ht="14.25" customHeight="1">
      <c r="A1031" s="1" t="s">
        <v>5422</v>
      </c>
      <c r="B1031" s="1">
        <v>4.5E7</v>
      </c>
      <c r="C1031" s="1">
        <v>6.5557989E7</v>
      </c>
      <c r="F1031" s="4">
        <v>2.0557989E7</v>
      </c>
      <c r="G1031" s="4">
        <f t="array" ref="G1031">IFERROR((C1031-B1031)/C1031*100, "N/A")</f>
        <v>31.3584802</v>
      </c>
      <c r="J1031" s="1"/>
      <c r="K1031" s="1"/>
    </row>
    <row r="1032" ht="14.25" customHeight="1">
      <c r="A1032" s="1" t="s">
        <v>5428</v>
      </c>
      <c r="B1032" s="1">
        <v>4.5E7</v>
      </c>
      <c r="C1032" s="1">
        <v>6.0786269E7</v>
      </c>
      <c r="F1032" s="4">
        <v>1.5786269E7</v>
      </c>
      <c r="G1032" s="4">
        <f t="array" ref="G1032">IFERROR((C1032-B1032)/C1032*100, "N/A")</f>
        <v>25.97012329</v>
      </c>
      <c r="J1032" s="1"/>
      <c r="K1032" s="1"/>
    </row>
    <row r="1033" ht="14.25" customHeight="1">
      <c r="A1033" s="1" t="s">
        <v>5435</v>
      </c>
      <c r="B1033" s="1">
        <v>4.5E7</v>
      </c>
      <c r="C1033" s="1">
        <v>5.9365105E7</v>
      </c>
      <c r="F1033" s="4">
        <v>1.4365105E7</v>
      </c>
      <c r="G1033" s="4">
        <f t="array" ref="G1033">IFERROR((C1033-B1033)/C1033*100, "N/A")</f>
        <v>24.1978937</v>
      </c>
      <c r="J1033" s="1"/>
      <c r="K1033" s="1"/>
    </row>
    <row r="1034" ht="14.25" customHeight="1">
      <c r="A1034" s="1" t="s">
        <v>5439</v>
      </c>
      <c r="B1034" s="1">
        <v>1.2E8</v>
      </c>
      <c r="C1034" s="1">
        <v>1.62792677E8</v>
      </c>
      <c r="F1034" s="4">
        <v>4.2792677E7</v>
      </c>
      <c r="G1034" s="4">
        <f t="array" ref="G1034">IFERROR((C1034-B1034)/C1034*100, "N/A")</f>
        <v>26.28661055</v>
      </c>
      <c r="J1034" s="1"/>
      <c r="K1034" s="1"/>
    </row>
    <row r="1035" ht="14.25" customHeight="1">
      <c r="A1035" s="1" t="s">
        <v>5443</v>
      </c>
      <c r="B1035" s="1">
        <v>3.5E7</v>
      </c>
      <c r="C1035" s="1">
        <v>3.1598308E7</v>
      </c>
      <c r="F1035" s="4">
        <v>-3401692.0</v>
      </c>
      <c r="G1035" s="4">
        <f t="array" ref="G1035">IFERROR((C1035-B1035)/C1035*100, "N/A")</f>
        <v>-10.76542453</v>
      </c>
      <c r="J1035" s="1"/>
      <c r="K1035" s="1"/>
    </row>
    <row r="1036" ht="14.25" customHeight="1">
      <c r="A1036" s="1" t="s">
        <v>5447</v>
      </c>
      <c r="B1036" s="1">
        <v>4.5E7</v>
      </c>
      <c r="C1036" s="1">
        <v>5.7362581E7</v>
      </c>
      <c r="F1036" s="4">
        <v>1.2362581E7</v>
      </c>
      <c r="G1036" s="4">
        <f t="array" ref="G1036">IFERROR((C1036-B1036)/C1036*100, "N/A")</f>
        <v>21.55164706</v>
      </c>
      <c r="J1036" s="1"/>
      <c r="K1036" s="1"/>
    </row>
    <row r="1037" ht="14.25" customHeight="1">
      <c r="A1037" s="1" t="s">
        <v>5454</v>
      </c>
      <c r="B1037" s="1">
        <v>4.5E7</v>
      </c>
      <c r="C1037" s="1">
        <v>5.3854588E7</v>
      </c>
      <c r="F1037" s="4">
        <v>8854588.0</v>
      </c>
      <c r="G1037" s="4">
        <f t="array" ref="G1037">IFERROR((C1037-B1037)/C1037*100, "N/A")</f>
        <v>16.44165953</v>
      </c>
      <c r="J1037" s="1"/>
      <c r="K1037" s="1"/>
    </row>
    <row r="1038" ht="14.25" customHeight="1">
      <c r="A1038" s="1" t="s">
        <v>5458</v>
      </c>
      <c r="B1038" s="1">
        <v>4.5E7</v>
      </c>
      <c r="C1038" s="1">
        <v>5.2580895E7</v>
      </c>
      <c r="F1038" s="4">
        <v>7580895.0</v>
      </c>
      <c r="G1038" s="4">
        <f t="array" ref="G1038">IFERROR((C1038-B1038)/C1038*100, "N/A")</f>
        <v>14.41758456</v>
      </c>
      <c r="J1038" s="1"/>
      <c r="K1038" s="1"/>
    </row>
    <row r="1039" ht="14.25" customHeight="1">
      <c r="A1039" s="1" t="s">
        <v>5463</v>
      </c>
      <c r="B1039" s="1">
        <v>5.0E7</v>
      </c>
      <c r="C1039" s="1">
        <v>5.1019112E7</v>
      </c>
      <c r="F1039" s="4">
        <v>1019112.0</v>
      </c>
      <c r="G1039" s="4">
        <f t="array" ref="G1039">IFERROR((C1039-B1039)/C1039*100, "N/A")</f>
        <v>1.997510266</v>
      </c>
      <c r="J1039" s="1"/>
      <c r="K1039" s="1"/>
    </row>
    <row r="1040" ht="14.25" customHeight="1">
      <c r="A1040" s="1" t="s">
        <v>5467</v>
      </c>
      <c r="B1040" s="1">
        <v>2.6E7</v>
      </c>
      <c r="C1040" s="1">
        <v>4.8114556E7</v>
      </c>
      <c r="F1040" s="4">
        <v>2.2114556E7</v>
      </c>
      <c r="G1040" s="4">
        <f t="array" ref="G1040">IFERROR((C1040-B1040)/C1040*100, "N/A")</f>
        <v>45.96229881</v>
      </c>
      <c r="J1040" s="1"/>
      <c r="K1040" s="1"/>
    </row>
    <row r="1041" ht="14.25" customHeight="1">
      <c r="A1041" s="1" t="s">
        <v>5472</v>
      </c>
      <c r="B1041" s="1">
        <v>4.5E7</v>
      </c>
      <c r="C1041" s="1">
        <v>5.0648679E7</v>
      </c>
      <c r="F1041" s="4">
        <v>5648679.0</v>
      </c>
      <c r="G1041" s="4">
        <f t="array" ref="G1041">IFERROR((C1041-B1041)/C1041*100, "N/A")</f>
        <v>11.15266797</v>
      </c>
      <c r="J1041" s="1"/>
      <c r="K1041" s="1"/>
    </row>
    <row r="1042" ht="14.25" customHeight="1">
      <c r="A1042" s="1" t="s">
        <v>5476</v>
      </c>
      <c r="B1042" s="1">
        <v>4.0E7</v>
      </c>
      <c r="C1042" s="1">
        <v>4.6280507E7</v>
      </c>
      <c r="F1042" s="4">
        <v>6280507.0</v>
      </c>
      <c r="G1042" s="4">
        <f t="array" ref="G1042">IFERROR((C1042-B1042)/C1042*100, "N/A")</f>
        <v>13.57052333</v>
      </c>
      <c r="J1042" s="1"/>
      <c r="K1042" s="1"/>
    </row>
    <row r="1043" ht="14.25" customHeight="1">
      <c r="A1043" s="1" t="s">
        <v>5480</v>
      </c>
      <c r="B1043" s="1">
        <v>4.5E7</v>
      </c>
      <c r="C1043" s="1">
        <v>3.8360195E7</v>
      </c>
      <c r="F1043" s="4">
        <v>-6639805.0</v>
      </c>
      <c r="G1043" s="4">
        <f t="array" ref="G1043">IFERROR((C1043-B1043)/C1043*100, "N/A")</f>
        <v>-17.30910127</v>
      </c>
      <c r="J1043" s="1"/>
      <c r="K1043" s="1"/>
    </row>
    <row r="1044" ht="14.25" customHeight="1">
      <c r="A1044" s="1" t="s">
        <v>5483</v>
      </c>
      <c r="B1044" s="1">
        <v>4.5E7</v>
      </c>
      <c r="C1044" s="1">
        <v>4.6815748E7</v>
      </c>
      <c r="F1044" s="4">
        <v>1815748.0</v>
      </c>
      <c r="G1044" s="4">
        <f t="array" ref="G1044">IFERROR((C1044-B1044)/C1044*100, "N/A")</f>
        <v>3.878498321</v>
      </c>
      <c r="J1044" s="1"/>
      <c r="K1044" s="1"/>
    </row>
    <row r="1045" ht="14.25" customHeight="1">
      <c r="A1045" s="1" t="s">
        <v>5487</v>
      </c>
      <c r="B1045" s="1">
        <v>4.5E7</v>
      </c>
      <c r="C1045" s="1">
        <v>3.5617599E7</v>
      </c>
      <c r="F1045" s="4">
        <v>-9382401.0</v>
      </c>
      <c r="G1045" s="4">
        <f t="array" ref="G1045">IFERROR((C1045-B1045)/C1045*100, "N/A")</f>
        <v>-26.3420367</v>
      </c>
      <c r="J1045" s="1"/>
      <c r="K1045" s="1"/>
    </row>
    <row r="1046" ht="14.25" customHeight="1">
      <c r="A1046" s="1" t="s">
        <v>5492</v>
      </c>
      <c r="B1046" s="1">
        <v>4.5E7</v>
      </c>
      <c r="C1046" s="1">
        <v>4.730755E7</v>
      </c>
      <c r="F1046" s="4">
        <v>2307550.0</v>
      </c>
      <c r="G1046" s="4">
        <f t="array" ref="G1046">IFERROR((C1046-B1046)/C1046*100, "N/A")</f>
        <v>4.87776264</v>
      </c>
      <c r="J1046" s="1"/>
      <c r="K1046" s="1"/>
    </row>
    <row r="1047" ht="14.25" customHeight="1">
      <c r="A1047" s="1" t="s">
        <v>5499</v>
      </c>
      <c r="B1047" s="1">
        <v>2.5E7</v>
      </c>
      <c r="C1047" s="1">
        <v>3.200362E7</v>
      </c>
      <c r="F1047" s="4">
        <v>7003620.0</v>
      </c>
      <c r="G1047" s="4">
        <f t="array" ref="G1047">IFERROR((C1047-B1047)/C1047*100, "N/A")</f>
        <v>21.88383689</v>
      </c>
      <c r="J1047" s="1"/>
      <c r="K1047" s="1"/>
    </row>
    <row r="1048" ht="14.25" customHeight="1">
      <c r="A1048" s="1" t="s">
        <v>5505</v>
      </c>
      <c r="B1048" s="1">
        <v>3.5E7</v>
      </c>
      <c r="C1048" s="1">
        <v>2.797241E7</v>
      </c>
      <c r="F1048" s="4">
        <v>-7027590.0</v>
      </c>
      <c r="G1048" s="4">
        <f t="array" ref="G1048">IFERROR((C1048-B1048)/C1048*100, "N/A")</f>
        <v>-25.12329113</v>
      </c>
      <c r="J1048" s="1"/>
      <c r="K1048" s="1"/>
    </row>
    <row r="1049" ht="14.25" customHeight="1">
      <c r="A1049" s="1" t="s">
        <v>5511</v>
      </c>
      <c r="B1049" s="1">
        <v>5.0E7</v>
      </c>
      <c r="C1049" s="1">
        <v>2.8133159E7</v>
      </c>
      <c r="F1049" s="4">
        <v>-2.1866841E7</v>
      </c>
      <c r="G1049" s="4">
        <f t="array" ref="G1049">IFERROR((C1049-B1049)/C1049*100, "N/A")</f>
        <v>-77.7262198</v>
      </c>
      <c r="J1049" s="1"/>
      <c r="K1049" s="1"/>
    </row>
    <row r="1050" ht="14.25" customHeight="1">
      <c r="A1050" s="1" t="s">
        <v>5515</v>
      </c>
      <c r="B1050" s="1">
        <v>4.0E7</v>
      </c>
      <c r="C1050" s="1">
        <v>2.74E7</v>
      </c>
      <c r="F1050" s="4">
        <v>-1.26E7</v>
      </c>
      <c r="G1050" s="4">
        <f t="array" ref="G1050">IFERROR((C1050-B1050)/C1050*100, "N/A")</f>
        <v>-45.98540146</v>
      </c>
      <c r="J1050" s="1"/>
      <c r="K1050" s="1"/>
    </row>
    <row r="1051" ht="14.25" customHeight="1">
      <c r="A1051" s="1" t="s">
        <v>5520</v>
      </c>
      <c r="B1051" s="1">
        <v>4.5E7</v>
      </c>
      <c r="C1051" s="1">
        <v>2.4343673E7</v>
      </c>
      <c r="F1051" s="4">
        <v>-2.0656327E7</v>
      </c>
      <c r="G1051" s="4">
        <f t="array" ref="G1051">IFERROR((C1051-B1051)/C1051*100, "N/A")</f>
        <v>-84.85295953</v>
      </c>
      <c r="J1051" s="1"/>
      <c r="K1051" s="1"/>
    </row>
    <row r="1052" ht="14.25" customHeight="1">
      <c r="A1052" s="1" t="s">
        <v>5526</v>
      </c>
      <c r="B1052" s="1">
        <v>3.5E7</v>
      </c>
      <c r="C1052" s="1">
        <v>2.2877808E7</v>
      </c>
      <c r="F1052" s="4">
        <v>-1.2122192E7</v>
      </c>
      <c r="G1052" s="4">
        <f t="array" ref="G1052">IFERROR((C1052-B1052)/C1052*100, "N/A")</f>
        <v>-52.98668474</v>
      </c>
      <c r="J1052" s="1"/>
      <c r="K1052" s="1"/>
    </row>
    <row r="1053" ht="14.25" customHeight="1">
      <c r="A1053" s="1" t="s">
        <v>5530</v>
      </c>
      <c r="B1053" s="1">
        <v>5.2E7</v>
      </c>
      <c r="C1053" s="1">
        <v>3.6883539E7</v>
      </c>
      <c r="F1053" s="4">
        <v>-1.5116461E7</v>
      </c>
      <c r="G1053" s="4">
        <f t="array" ref="G1053">IFERROR((C1053-B1053)/C1053*100, "N/A")</f>
        <v>-40.98430197</v>
      </c>
      <c r="J1053" s="1"/>
      <c r="K1053" s="1"/>
    </row>
    <row r="1054" ht="14.25" customHeight="1">
      <c r="A1054" s="1" t="s">
        <v>5534</v>
      </c>
      <c r="B1054" s="1">
        <v>7.0E7</v>
      </c>
      <c r="C1054" s="1">
        <v>2.2531698E7</v>
      </c>
      <c r="F1054" s="4">
        <v>-4.7468302E7</v>
      </c>
      <c r="G1054" s="4">
        <f t="array" ref="G1054">IFERROR((C1054-B1054)/C1054*100, "N/A")</f>
        <v>-210.6734344</v>
      </c>
      <c r="J1054" s="1"/>
      <c r="K1054" s="1"/>
    </row>
    <row r="1055" ht="14.25" customHeight="1">
      <c r="A1055" s="1" t="s">
        <v>5539</v>
      </c>
      <c r="B1055" s="1">
        <v>4.5E7</v>
      </c>
      <c r="C1055" s="1">
        <v>2.0400913E7</v>
      </c>
      <c r="F1055" s="4">
        <v>-2.4599087E7</v>
      </c>
      <c r="G1055" s="4">
        <f t="array" ref="G1055">IFERROR((C1055-B1055)/C1055*100, "N/A")</f>
        <v>-120.5783633</v>
      </c>
      <c r="J1055" s="1"/>
      <c r="K1055" s="1"/>
    </row>
    <row r="1056" ht="14.25" customHeight="1">
      <c r="A1056" s="1" t="s">
        <v>5543</v>
      </c>
      <c r="B1056" s="1">
        <v>4.5E7</v>
      </c>
      <c r="C1056" s="1">
        <v>2.0101861E7</v>
      </c>
      <c r="F1056" s="4">
        <v>-2.4898139E7</v>
      </c>
      <c r="G1056" s="4">
        <f t="array" ref="G1056">IFERROR((C1056-B1056)/C1056*100, "N/A")</f>
        <v>-123.8598705</v>
      </c>
      <c r="J1056" s="1"/>
      <c r="K1056" s="1"/>
    </row>
    <row r="1057" ht="14.25" customHeight="1">
      <c r="A1057" s="1" t="s">
        <v>5549</v>
      </c>
      <c r="B1057" s="1">
        <v>4.5E7</v>
      </c>
      <c r="C1057" s="1">
        <v>2.5200412E7</v>
      </c>
      <c r="F1057" s="4">
        <v>-1.9799588E7</v>
      </c>
      <c r="G1057" s="4">
        <f t="array" ref="G1057">IFERROR((C1057-B1057)/C1057*100, "N/A")</f>
        <v>-78.56850912</v>
      </c>
      <c r="J1057" s="1"/>
      <c r="K1057" s="1"/>
    </row>
    <row r="1058" ht="14.25" customHeight="1">
      <c r="A1058" s="1" t="s">
        <v>5556</v>
      </c>
      <c r="B1058" s="1">
        <v>4.5E7</v>
      </c>
      <c r="C1058" s="1">
        <v>1.971993E7</v>
      </c>
      <c r="F1058" s="4">
        <v>-2.528007E7</v>
      </c>
      <c r="G1058" s="4">
        <f t="array" ref="G1058">IFERROR((C1058-B1058)/C1058*100, "N/A")</f>
        <v>-128.1955362</v>
      </c>
      <c r="J1058" s="1"/>
      <c r="K1058" s="1"/>
    </row>
    <row r="1059" ht="14.25" customHeight="1">
      <c r="A1059" s="1" t="s">
        <v>5563</v>
      </c>
      <c r="B1059" s="1">
        <v>4.5E7</v>
      </c>
      <c r="C1059" s="1">
        <v>1.9377727E7</v>
      </c>
      <c r="F1059" s="4">
        <v>-2.5622273E7</v>
      </c>
      <c r="G1059" s="4">
        <f t="array" ref="G1059">IFERROR((C1059-B1059)/C1059*100, "N/A")</f>
        <v>-132.2253792</v>
      </c>
      <c r="J1059" s="1"/>
      <c r="K1059" s="1"/>
    </row>
    <row r="1060" ht="14.25" customHeight="1">
      <c r="A1060" s="1" t="s">
        <v>2384</v>
      </c>
      <c r="B1060" s="1">
        <v>3.5E7</v>
      </c>
      <c r="C1060" s="1">
        <v>1.3401683E7</v>
      </c>
      <c r="F1060" s="4">
        <v>-2.1598317E7</v>
      </c>
      <c r="G1060" s="4">
        <f t="array" ref="G1060">IFERROR((C1060-B1060)/C1060*100, "N/A")</f>
        <v>-161.1612288</v>
      </c>
      <c r="J1060" s="1"/>
      <c r="K1060" s="1"/>
    </row>
    <row r="1061" ht="14.25" customHeight="1">
      <c r="A1061" s="1" t="s">
        <v>5568</v>
      </c>
      <c r="B1061" s="1">
        <v>4.5E7</v>
      </c>
      <c r="C1061" s="1">
        <v>1.7300889E7</v>
      </c>
      <c r="F1061" s="4">
        <v>-2.7699111E7</v>
      </c>
      <c r="G1061" s="4">
        <f t="array" ref="G1061">IFERROR((C1061-B1061)/C1061*100, "N/A")</f>
        <v>-160.102241</v>
      </c>
      <c r="J1061" s="1"/>
      <c r="K1061" s="1"/>
    </row>
    <row r="1062" ht="14.25" customHeight="1">
      <c r="A1062" s="1" t="s">
        <v>5573</v>
      </c>
      <c r="B1062" s="1">
        <v>5.7E7</v>
      </c>
      <c r="C1062" s="1">
        <v>1.5527125E7</v>
      </c>
      <c r="F1062" s="4">
        <v>-4.1472875E7</v>
      </c>
      <c r="G1062" s="4">
        <f t="array" ref="G1062">IFERROR((C1062-B1062)/C1062*100, "N/A")</f>
        <v>-267.0995113</v>
      </c>
      <c r="J1062" s="1"/>
      <c r="K1062" s="1"/>
    </row>
    <row r="1063" ht="14.25" customHeight="1">
      <c r="A1063" s="1" t="s">
        <v>5577</v>
      </c>
      <c r="B1063" s="1">
        <v>5.0E7</v>
      </c>
      <c r="C1063" s="1">
        <v>1.356096E7</v>
      </c>
      <c r="F1063" s="4">
        <v>-3.643904E7</v>
      </c>
      <c r="G1063" s="4">
        <f t="array" ref="G1063">IFERROR((C1063-B1063)/C1063*100, "N/A")</f>
        <v>-268.7054604</v>
      </c>
      <c r="J1063" s="1"/>
      <c r="K1063" s="1"/>
    </row>
    <row r="1064" ht="14.25" customHeight="1">
      <c r="A1064" s="1" t="s">
        <v>5581</v>
      </c>
      <c r="B1064" s="1">
        <v>4.5E7</v>
      </c>
      <c r="C1064" s="1">
        <v>1.5523168E7</v>
      </c>
      <c r="F1064" s="4">
        <v>-2.9476832E7</v>
      </c>
      <c r="G1064" s="4">
        <f t="array" ref="G1064">IFERROR((C1064-B1064)/C1064*100, "N/A")</f>
        <v>-189.8892803</v>
      </c>
      <c r="J1064" s="1"/>
      <c r="K1064" s="1"/>
    </row>
    <row r="1065" ht="14.25" customHeight="1">
      <c r="A1065" s="1" t="s">
        <v>5584</v>
      </c>
      <c r="B1065" s="1">
        <v>4.5E7</v>
      </c>
      <c r="C1065" s="1">
        <v>1.1146409E7</v>
      </c>
      <c r="F1065" s="4">
        <v>-3.3853591E7</v>
      </c>
      <c r="G1065" s="4">
        <f t="array" ref="G1065">IFERROR((C1065-B1065)/C1065*100, "N/A")</f>
        <v>-303.7174663</v>
      </c>
      <c r="J1065" s="1"/>
      <c r="K1065" s="1"/>
    </row>
    <row r="1066" ht="14.25" customHeight="1">
      <c r="A1066" s="1" t="s">
        <v>5587</v>
      </c>
      <c r="B1066" s="1">
        <v>4.5E7</v>
      </c>
      <c r="C1066" s="1">
        <v>7916887.0</v>
      </c>
      <c r="F1066" s="4">
        <v>-3.7083113E7</v>
      </c>
      <c r="G1066" s="4">
        <f t="array" ref="G1066">IFERROR((C1066-B1066)/C1066*100, "N/A")</f>
        <v>-468.405233</v>
      </c>
      <c r="J1066" s="1"/>
      <c r="K1066" s="1"/>
    </row>
    <row r="1067" ht="14.25" customHeight="1">
      <c r="A1067" s="1" t="s">
        <v>5593</v>
      </c>
      <c r="B1067" s="1">
        <v>4.5E7</v>
      </c>
      <c r="C1067" s="1">
        <v>6565495.0</v>
      </c>
      <c r="F1067" s="4">
        <v>-3.8434505E7</v>
      </c>
      <c r="G1067" s="4">
        <f t="array" ref="G1067">IFERROR((C1067-B1067)/C1067*100, "N/A")</f>
        <v>-585.4014815</v>
      </c>
      <c r="J1067" s="1"/>
      <c r="K1067" s="1"/>
    </row>
    <row r="1068" ht="14.25" customHeight="1">
      <c r="A1068" s="1" t="s">
        <v>5599</v>
      </c>
      <c r="B1068" s="1">
        <v>4.0E7</v>
      </c>
      <c r="C1068" s="1">
        <v>1.527968E7</v>
      </c>
      <c r="F1068" s="4">
        <v>-2.472032E7</v>
      </c>
      <c r="G1068" s="4">
        <f t="array" ref="G1068">IFERROR((C1068-B1068)/C1068*100, "N/A")</f>
        <v>-161.7855871</v>
      </c>
      <c r="J1068" s="1"/>
      <c r="K1068" s="1"/>
    </row>
    <row r="1069" ht="14.25" customHeight="1">
      <c r="A1069" s="1" t="s">
        <v>5604</v>
      </c>
      <c r="B1069" s="1">
        <v>4.0E7</v>
      </c>
      <c r="C1069" s="1">
        <v>7262288.0</v>
      </c>
      <c r="F1069" s="4">
        <v>-3.2737712E7</v>
      </c>
      <c r="G1069" s="4">
        <f t="array" ref="G1069">IFERROR((C1069-B1069)/C1069*100, "N/A")</f>
        <v>-450.7906048</v>
      </c>
      <c r="J1069" s="1"/>
      <c r="K1069" s="1"/>
    </row>
    <row r="1070" ht="14.25" customHeight="1">
      <c r="A1070" s="1" t="s">
        <v>5609</v>
      </c>
      <c r="B1070" s="1">
        <v>4.5E7</v>
      </c>
      <c r="C1070" s="1">
        <v>4584886.0</v>
      </c>
      <c r="F1070" s="4">
        <v>-4.0415114E7</v>
      </c>
      <c r="G1070" s="4">
        <f t="array" ref="G1070">IFERROR((C1070-B1070)/C1070*100, "N/A")</f>
        <v>-881.4856902</v>
      </c>
      <c r="J1070" s="1"/>
      <c r="K1070" s="1"/>
    </row>
    <row r="1071" ht="14.25" customHeight="1">
      <c r="A1071" s="1" t="s">
        <v>5616</v>
      </c>
      <c r="B1071" s="1">
        <v>4.5E7</v>
      </c>
      <c r="C1071" s="1">
        <v>2154540.0</v>
      </c>
      <c r="F1071" s="4">
        <v>-4.284546E7</v>
      </c>
      <c r="G1071" s="4">
        <f t="array" ref="G1071">IFERROR((C1071-B1071)/C1071*100, "N/A")</f>
        <v>-1988.612883</v>
      </c>
      <c r="J1071" s="1"/>
      <c r="K1071" s="1"/>
    </row>
    <row r="1072" ht="14.25" customHeight="1">
      <c r="A1072" s="1" t="s">
        <v>5621</v>
      </c>
      <c r="B1072" s="1">
        <v>4.5E7</v>
      </c>
      <c r="C1072" s="1">
        <v>8129455.0</v>
      </c>
      <c r="F1072" s="4">
        <v>-3.6870545E7</v>
      </c>
      <c r="G1072" s="4">
        <f t="array" ref="G1072">IFERROR((C1072-B1072)/C1072*100, "N/A")</f>
        <v>-453.5426422</v>
      </c>
      <c r="J1072" s="1"/>
      <c r="K1072" s="1"/>
    </row>
    <row r="1073" ht="14.25" customHeight="1">
      <c r="A1073" s="1" t="s">
        <v>5628</v>
      </c>
      <c r="B1073" s="1">
        <v>4.45E7</v>
      </c>
      <c r="C1073" s="1">
        <v>1.36019448E8</v>
      </c>
      <c r="F1073" s="4">
        <v>9.1519448E7</v>
      </c>
      <c r="G1073" s="4">
        <f t="array" ref="G1073">IFERROR((C1073-B1073)/C1073*100, "N/A")</f>
        <v>67.28409014</v>
      </c>
      <c r="J1073" s="1"/>
      <c r="K1073" s="1"/>
    </row>
    <row r="1074" ht="14.25" customHeight="1">
      <c r="A1074" s="1" t="s">
        <v>5633</v>
      </c>
      <c r="B1074" s="1">
        <v>4.4E7</v>
      </c>
      <c r="C1074" s="1">
        <v>1.8387576E8</v>
      </c>
      <c r="F1074" s="4">
        <v>1.3987576E8</v>
      </c>
      <c r="G1074" s="4">
        <f t="array" ref="G1074">IFERROR((C1074-B1074)/C1074*100, "N/A")</f>
        <v>76.07079911</v>
      </c>
      <c r="J1074" s="1"/>
      <c r="K1074" s="1"/>
    </row>
    <row r="1075" ht="14.25" customHeight="1">
      <c r="A1075" s="1" t="s">
        <v>5638</v>
      </c>
      <c r="B1075" s="1">
        <v>4.0E7</v>
      </c>
      <c r="C1075" s="1">
        <v>6.7061228E7</v>
      </c>
      <c r="F1075" s="4">
        <v>2.7061228E7</v>
      </c>
      <c r="G1075" s="4">
        <f t="array" ref="G1075">IFERROR((C1075-B1075)/C1075*100, "N/A")</f>
        <v>40.3530159</v>
      </c>
      <c r="J1075" s="1"/>
      <c r="K1075" s="1"/>
    </row>
    <row r="1076" ht="14.25" customHeight="1">
      <c r="A1076" s="1" t="s">
        <v>5641</v>
      </c>
      <c r="B1076" s="1">
        <v>4.4E7</v>
      </c>
      <c r="C1076" s="1">
        <v>5.3300852E7</v>
      </c>
      <c r="F1076" s="4">
        <v>9300852.0</v>
      </c>
      <c r="G1076" s="4">
        <f t="array" ref="G1076">IFERROR((C1076-B1076)/C1076*100, "N/A")</f>
        <v>17.44972482</v>
      </c>
      <c r="J1076" s="1"/>
      <c r="K1076" s="1"/>
    </row>
    <row r="1077" ht="14.25" customHeight="1">
      <c r="A1077" s="1" t="s">
        <v>5644</v>
      </c>
      <c r="B1077" s="1">
        <v>4.4E7</v>
      </c>
      <c r="C1077" s="1">
        <v>1.50415432E8</v>
      </c>
      <c r="F1077" s="4">
        <v>1.06415432E8</v>
      </c>
      <c r="G1077" s="4">
        <f t="array" ref="G1077">IFERROR((C1077-B1077)/C1077*100, "N/A")</f>
        <v>70.74768233</v>
      </c>
      <c r="J1077" s="1"/>
      <c r="K1077" s="1"/>
    </row>
    <row r="1078" ht="14.25" customHeight="1">
      <c r="A1078" s="1" t="s">
        <v>5650</v>
      </c>
      <c r="B1078" s="1">
        <v>4.4E7</v>
      </c>
      <c r="C1078" s="1">
        <v>4.4834712E7</v>
      </c>
      <c r="F1078" s="4">
        <v>834712.0</v>
      </c>
      <c r="G1078" s="4">
        <f t="array" ref="G1078">IFERROR((C1078-B1078)/C1078*100, "N/A")</f>
        <v>1.861753902</v>
      </c>
      <c r="J1078" s="1"/>
      <c r="K1078" s="1"/>
    </row>
    <row r="1079" ht="14.25" customHeight="1">
      <c r="A1079" s="1" t="s">
        <v>5654</v>
      </c>
      <c r="B1079" s="1">
        <v>2600000.0</v>
      </c>
      <c r="C1079" s="1">
        <v>8.43E7</v>
      </c>
      <c r="F1079" s="4">
        <v>8.17E7</v>
      </c>
      <c r="G1079" s="4">
        <f t="array" ref="G1079">IFERROR((C1079-B1079)/C1079*100, "N/A")</f>
        <v>96.91577699</v>
      </c>
      <c r="J1079" s="1"/>
      <c r="K1079" s="1"/>
    </row>
    <row r="1080" ht="14.25" customHeight="1">
      <c r="A1080" s="1" t="s">
        <v>5663</v>
      </c>
      <c r="B1080" s="1">
        <v>4.4E7</v>
      </c>
      <c r="C1080" s="1">
        <v>1500000.0</v>
      </c>
      <c r="F1080" s="4">
        <v>-4.25E7</v>
      </c>
      <c r="G1080" s="4">
        <f t="array" ref="G1080">IFERROR((C1080-B1080)/C1080*100, "N/A")</f>
        <v>-2833.333333</v>
      </c>
      <c r="J1080" s="1"/>
      <c r="K1080" s="1"/>
    </row>
    <row r="1081" ht="14.25" customHeight="1">
      <c r="A1081" s="1" t="s">
        <v>5668</v>
      </c>
      <c r="B1081" s="1">
        <v>5.0E7</v>
      </c>
      <c r="C1081" s="1">
        <v>6.2318875E7</v>
      </c>
      <c r="F1081" s="4">
        <v>1.2318875E7</v>
      </c>
      <c r="G1081" s="4">
        <f t="array" ref="G1081">IFERROR((C1081-B1081)/C1081*100, "N/A")</f>
        <v>19.76748617</v>
      </c>
      <c r="J1081" s="1"/>
      <c r="K1081" s="1"/>
    </row>
    <row r="1082" ht="14.25" customHeight="1">
      <c r="A1082" s="1" t="s">
        <v>5672</v>
      </c>
      <c r="B1082" s="1">
        <v>4.0E7</v>
      </c>
      <c r="C1082" s="1">
        <v>5773519.0</v>
      </c>
      <c r="F1082" s="4">
        <v>-3.4226481E7</v>
      </c>
      <c r="G1082" s="4">
        <f t="array" ref="G1082">IFERROR((C1082-B1082)/C1082*100, "N/A")</f>
        <v>-592.8183661</v>
      </c>
      <c r="J1082" s="1"/>
      <c r="K1082" s="1"/>
    </row>
    <row r="1083" ht="14.25" customHeight="1">
      <c r="A1083" s="1" t="s">
        <v>5677</v>
      </c>
      <c r="B1083" s="1">
        <v>4.3E7</v>
      </c>
      <c r="C1083" s="1">
        <v>5.1768623E7</v>
      </c>
      <c r="F1083" s="4">
        <v>8768623.0</v>
      </c>
      <c r="G1083" s="4">
        <f t="array" ref="G1083">IFERROR((C1083-B1083)/C1083*100, "N/A")</f>
        <v>16.93810361</v>
      </c>
      <c r="J1083" s="1"/>
      <c r="K1083" s="1"/>
    </row>
    <row r="1084" ht="14.25" customHeight="1">
      <c r="A1084" s="1" t="s">
        <v>5682</v>
      </c>
      <c r="B1084" s="1">
        <v>4.3E7</v>
      </c>
      <c r="C1084" s="1">
        <v>3.7035515E7</v>
      </c>
      <c r="F1084" s="4">
        <v>-5964485.0</v>
      </c>
      <c r="G1084" s="4">
        <f t="array" ref="G1084">IFERROR((C1084-B1084)/C1084*100, "N/A")</f>
        <v>-16.10477133</v>
      </c>
      <c r="J1084" s="1"/>
      <c r="K1084" s="1"/>
    </row>
    <row r="1085" ht="14.25" customHeight="1">
      <c r="A1085" s="1" t="s">
        <v>5685</v>
      </c>
      <c r="B1085" s="1">
        <v>4.5E7</v>
      </c>
      <c r="C1085" s="1">
        <v>2.4520892E7</v>
      </c>
      <c r="F1085" s="4">
        <v>-2.0479108E7</v>
      </c>
      <c r="G1085" s="4">
        <f t="array" ref="G1085">IFERROR((C1085-B1085)/C1085*100, "N/A")</f>
        <v>-83.51697809</v>
      </c>
      <c r="J1085" s="1"/>
      <c r="K1085" s="1"/>
    </row>
    <row r="1086" ht="14.25" customHeight="1">
      <c r="A1086" s="1" t="s">
        <v>5689</v>
      </c>
      <c r="B1086" s="1">
        <v>4.3E7</v>
      </c>
      <c r="C1086" s="1">
        <v>2.4430272E7</v>
      </c>
      <c r="F1086" s="4">
        <v>-1.8569728E7</v>
      </c>
      <c r="G1086" s="4">
        <f t="array" ref="G1086">IFERROR((C1086-B1086)/C1086*100, "N/A")</f>
        <v>-76.01113897</v>
      </c>
      <c r="J1086" s="1"/>
      <c r="K1086" s="1"/>
    </row>
    <row r="1087" ht="14.25" customHeight="1">
      <c r="A1087" s="1" t="s">
        <v>5695</v>
      </c>
      <c r="B1087" s="1">
        <v>4.2E7</v>
      </c>
      <c r="C1087" s="1">
        <v>1.583484E8</v>
      </c>
      <c r="F1087" s="4">
        <v>1.163484E8</v>
      </c>
      <c r="G1087" s="4">
        <f t="array" ref="G1087">IFERROR((C1087-B1087)/C1087*100, "N/A")</f>
        <v>73.47620816</v>
      </c>
      <c r="J1087" s="1"/>
      <c r="K1087" s="1"/>
    </row>
    <row r="1088" ht="14.25" customHeight="1">
      <c r="A1088" s="1" t="s">
        <v>5700</v>
      </c>
      <c r="B1088" s="1">
        <v>4.4E7</v>
      </c>
      <c r="C1088" s="1">
        <v>3.113695E7</v>
      </c>
      <c r="F1088" s="4">
        <v>-1.286305E7</v>
      </c>
      <c r="G1088" s="4">
        <f t="array" ref="G1088">IFERROR((C1088-B1088)/C1088*100, "N/A")</f>
        <v>-41.31120742</v>
      </c>
      <c r="J1088" s="1"/>
      <c r="K1088" s="1"/>
    </row>
    <row r="1089" ht="14.25" customHeight="1">
      <c r="A1089" s="1" t="s">
        <v>5706</v>
      </c>
      <c r="B1089" s="1">
        <v>4.0E7</v>
      </c>
      <c r="C1089" s="1">
        <v>2.9113588E7</v>
      </c>
      <c r="F1089" s="4">
        <v>-1.0886412E7</v>
      </c>
      <c r="G1089" s="4">
        <f t="array" ref="G1089">IFERROR((C1089-B1089)/C1089*100, "N/A")</f>
        <v>-37.39289022</v>
      </c>
      <c r="J1089" s="1"/>
      <c r="K1089" s="1"/>
    </row>
    <row r="1090" ht="14.25" customHeight="1">
      <c r="A1090" s="1" t="s">
        <v>5709</v>
      </c>
      <c r="B1090" s="1">
        <v>4.2E7</v>
      </c>
      <c r="C1090" s="1">
        <v>1.38447667E8</v>
      </c>
      <c r="F1090" s="4">
        <v>9.6447667E7</v>
      </c>
      <c r="G1090" s="4">
        <f t="array" ref="G1090">IFERROR((C1090-B1090)/C1090*100, "N/A")</f>
        <v>69.66362748</v>
      </c>
      <c r="J1090" s="1"/>
      <c r="K1090" s="1"/>
    </row>
    <row r="1091" ht="14.25" customHeight="1">
      <c r="A1091" s="1" t="s">
        <v>5713</v>
      </c>
      <c r="B1091" s="1">
        <v>4.2E7</v>
      </c>
      <c r="C1091" s="1">
        <v>1.1600608E8</v>
      </c>
      <c r="F1091" s="4">
        <v>7.400608E7</v>
      </c>
      <c r="G1091" s="4">
        <f t="array" ref="G1091">IFERROR((C1091-B1091)/C1091*100, "N/A")</f>
        <v>63.79500109</v>
      </c>
      <c r="J1091" s="1"/>
      <c r="K1091" s="1"/>
    </row>
    <row r="1092" ht="14.25" customHeight="1">
      <c r="A1092" s="1" t="s">
        <v>5718</v>
      </c>
      <c r="B1092" s="1">
        <v>4.5E7</v>
      </c>
      <c r="C1092" s="1">
        <v>1.06793915E8</v>
      </c>
      <c r="F1092" s="4">
        <v>6.1793915E7</v>
      </c>
      <c r="G1092" s="4">
        <f t="array" ref="G1092">IFERROR((C1092-B1092)/C1092*100, "N/A")</f>
        <v>57.86276774</v>
      </c>
      <c r="J1092" s="1"/>
      <c r="K1092" s="1"/>
    </row>
    <row r="1093" ht="14.25" customHeight="1">
      <c r="A1093" s="1" t="s">
        <v>5723</v>
      </c>
      <c r="B1093" s="1">
        <v>4.2E7</v>
      </c>
      <c r="C1093" s="1">
        <v>8.7856565E7</v>
      </c>
      <c r="F1093" s="4">
        <v>4.5856565E7</v>
      </c>
      <c r="G1093" s="4">
        <f t="array" ref="G1093">IFERROR((C1093-B1093)/C1093*100, "N/A")</f>
        <v>52.19480753</v>
      </c>
      <c r="J1093" s="1"/>
      <c r="K1093" s="1"/>
    </row>
    <row r="1094" ht="14.25" customHeight="1">
      <c r="A1094" s="1" t="s">
        <v>5728</v>
      </c>
      <c r="B1094" s="1">
        <v>4.0E7</v>
      </c>
      <c r="C1094" s="1">
        <v>7.01E7</v>
      </c>
      <c r="F1094" s="4">
        <v>3.01E7</v>
      </c>
      <c r="G1094" s="4">
        <f t="array" ref="G1094">IFERROR((C1094-B1094)/C1094*100, "N/A")</f>
        <v>42.93865906</v>
      </c>
      <c r="J1094" s="1"/>
      <c r="K1094" s="1"/>
    </row>
    <row r="1095" ht="14.25" customHeight="1">
      <c r="A1095" s="1" t="s">
        <v>5732</v>
      </c>
      <c r="B1095" s="1">
        <v>4.3E7</v>
      </c>
      <c r="C1095" s="1">
        <v>1.59578352E8</v>
      </c>
      <c r="F1095" s="4">
        <v>1.16578352E8</v>
      </c>
      <c r="G1095" s="4">
        <f t="array" ref="G1095">IFERROR((C1095-B1095)/C1095*100, "N/A")</f>
        <v>73.05398918</v>
      </c>
      <c r="J1095" s="1"/>
      <c r="K1095" s="1"/>
    </row>
    <row r="1096" ht="14.25" customHeight="1">
      <c r="A1096" s="1" t="s">
        <v>5737</v>
      </c>
      <c r="B1096" s="1">
        <v>3.1115E7</v>
      </c>
      <c r="C1096" s="1">
        <v>5.775E7</v>
      </c>
      <c r="F1096" s="4">
        <v>2.6635E7</v>
      </c>
      <c r="G1096" s="4">
        <f t="array" ref="G1096">IFERROR((C1096-B1096)/C1096*100, "N/A")</f>
        <v>46.12121212</v>
      </c>
      <c r="J1096" s="1"/>
      <c r="K1096" s="1"/>
    </row>
    <row r="1097" ht="14.25" customHeight="1">
      <c r="A1097" s="1" t="s">
        <v>5743</v>
      </c>
      <c r="B1097" s="1">
        <v>4.2E7</v>
      </c>
      <c r="C1097" s="1">
        <v>4.5290318E7</v>
      </c>
      <c r="F1097" s="4">
        <v>3290318.0</v>
      </c>
      <c r="G1097" s="4">
        <f t="array" ref="G1097">IFERROR((C1097-B1097)/C1097*100, "N/A")</f>
        <v>7.264947886</v>
      </c>
      <c r="J1097" s="1"/>
      <c r="K1097" s="1"/>
    </row>
    <row r="1098" ht="14.25" customHeight="1">
      <c r="A1098" s="1" t="s">
        <v>5748</v>
      </c>
      <c r="B1098" s="1">
        <v>4.2E7</v>
      </c>
      <c r="C1098" s="1">
        <v>4.1543207E7</v>
      </c>
      <c r="F1098" s="4">
        <v>-456793.0</v>
      </c>
      <c r="G1098" s="4">
        <f t="array" ref="G1098">IFERROR((C1098-B1098)/C1098*100, "N/A")</f>
        <v>-1.099561235</v>
      </c>
      <c r="J1098" s="1"/>
      <c r="K1098" s="1"/>
    </row>
    <row r="1099" ht="14.25" customHeight="1">
      <c r="A1099" s="1" t="s">
        <v>5752</v>
      </c>
      <c r="B1099" s="1">
        <v>4.2E7</v>
      </c>
      <c r="C1099" s="1">
        <v>4.1252428E7</v>
      </c>
      <c r="F1099" s="4">
        <v>-747572.0</v>
      </c>
      <c r="G1099" s="4">
        <f t="array" ref="G1099">IFERROR((C1099-B1099)/C1099*100, "N/A")</f>
        <v>-1.812189091</v>
      </c>
      <c r="J1099" s="1"/>
      <c r="K1099" s="1"/>
    </row>
    <row r="1100" ht="14.25" customHeight="1">
      <c r="A1100" s="1" t="s">
        <v>5757</v>
      </c>
      <c r="B1100" s="1">
        <v>3.2E7</v>
      </c>
      <c r="C1100" s="1">
        <v>3.5228696E7</v>
      </c>
      <c r="F1100" s="4">
        <v>3228696.0</v>
      </c>
      <c r="G1100" s="4">
        <f t="array" ref="G1100">IFERROR((C1100-B1100)/C1100*100, "N/A")</f>
        <v>9.164960293</v>
      </c>
      <c r="J1100" s="1"/>
      <c r="K1100" s="1"/>
    </row>
    <row r="1101" ht="14.25" customHeight="1">
      <c r="A1101" s="1" t="s">
        <v>5762</v>
      </c>
      <c r="B1101" s="1">
        <v>4.2E7</v>
      </c>
      <c r="C1101" s="1">
        <v>5.999276E7</v>
      </c>
      <c r="F1101" s="4">
        <v>1.799276E7</v>
      </c>
      <c r="G1101" s="4">
        <f t="array" ref="G1101">IFERROR((C1101-B1101)/C1101*100, "N/A")</f>
        <v>29.99155231</v>
      </c>
      <c r="J1101" s="1"/>
      <c r="K1101" s="1"/>
    </row>
    <row r="1102" ht="14.25" customHeight="1">
      <c r="A1102" s="1" t="s">
        <v>5768</v>
      </c>
      <c r="B1102" s="1">
        <v>3.2E7</v>
      </c>
      <c r="C1102" s="1">
        <v>3.4667015E7</v>
      </c>
      <c r="F1102" s="4">
        <v>2667015.0</v>
      </c>
      <c r="G1102" s="4">
        <f t="array" ref="G1102">IFERROR((C1102-B1102)/C1102*100, "N/A")</f>
        <v>7.693235198</v>
      </c>
      <c r="J1102" s="1"/>
      <c r="K1102" s="1"/>
    </row>
    <row r="1103" ht="14.25" customHeight="1">
      <c r="A1103" s="1" t="s">
        <v>5774</v>
      </c>
      <c r="B1103" s="1">
        <v>4.2E7</v>
      </c>
      <c r="C1103" s="1">
        <v>3.7652565E7</v>
      </c>
      <c r="F1103" s="4">
        <v>-4347435.0</v>
      </c>
      <c r="G1103" s="4">
        <f t="array" ref="G1103">IFERROR((C1103-B1103)/C1103*100, "N/A")</f>
        <v>-11.5461855</v>
      </c>
      <c r="J1103" s="1"/>
      <c r="K1103" s="1"/>
    </row>
    <row r="1104" ht="14.25" customHeight="1">
      <c r="A1104" s="1" t="s">
        <v>5778</v>
      </c>
      <c r="B1104" s="1">
        <v>4.2E7</v>
      </c>
      <c r="C1104" s="1">
        <v>2.4375436E7</v>
      </c>
      <c r="F1104" s="4">
        <v>-1.7624564E7</v>
      </c>
      <c r="G1104" s="4">
        <f t="array" ref="G1104">IFERROR((C1104-B1104)/C1104*100, "N/A")</f>
        <v>-72.30461026</v>
      </c>
      <c r="J1104" s="1"/>
      <c r="K1104" s="1"/>
    </row>
    <row r="1105" ht="14.25" customHeight="1">
      <c r="A1105" s="1" t="s">
        <v>5782</v>
      </c>
      <c r="B1105" s="1">
        <v>4.2E7</v>
      </c>
      <c r="C1105" s="1">
        <v>2.0915465E7</v>
      </c>
      <c r="F1105" s="4">
        <v>-2.1084535E7</v>
      </c>
      <c r="G1105" s="4">
        <f t="array" ref="G1105">IFERROR((C1105-B1105)/C1105*100, "N/A")</f>
        <v>-100.8083492</v>
      </c>
      <c r="J1105" s="1"/>
      <c r="K1105" s="1"/>
    </row>
    <row r="1106" ht="14.25" customHeight="1">
      <c r="A1106" s="1" t="s">
        <v>5786</v>
      </c>
      <c r="B1106" s="1">
        <v>5.0E7</v>
      </c>
      <c r="C1106" s="1">
        <v>2.4127895E7</v>
      </c>
      <c r="F1106" s="4">
        <v>-2.5872105E7</v>
      </c>
      <c r="G1106" s="4">
        <f t="array" ref="G1106">IFERROR((C1106-B1106)/C1106*100, "N/A")</f>
        <v>-107.2290185</v>
      </c>
      <c r="J1106" s="1"/>
      <c r="K1106" s="1"/>
    </row>
    <row r="1107" ht="14.25" customHeight="1">
      <c r="A1107" s="1" t="s">
        <v>5791</v>
      </c>
      <c r="B1107" s="1">
        <v>3.1E7</v>
      </c>
      <c r="C1107" s="1">
        <v>84961.0</v>
      </c>
      <c r="F1107" s="4">
        <v>-3.0915039E7</v>
      </c>
      <c r="G1107" s="4">
        <f t="array" ref="G1107">IFERROR((C1107-B1107)/C1107*100, "N/A")</f>
        <v>-36387.32948</v>
      </c>
      <c r="J1107" s="1"/>
      <c r="K1107" s="1"/>
    </row>
    <row r="1108" ht="14.25" customHeight="1">
      <c r="A1108" s="1" t="s">
        <v>5797</v>
      </c>
      <c r="B1108" s="1">
        <v>4.0E7</v>
      </c>
      <c r="C1108" s="1">
        <v>2.6404753E7</v>
      </c>
      <c r="F1108" s="4">
        <v>-1.3595247E7</v>
      </c>
      <c r="G1108" s="4">
        <f t="array" ref="G1108">IFERROR((C1108-B1108)/C1108*100, "N/A")</f>
        <v>-51.48787796</v>
      </c>
      <c r="J1108" s="1"/>
      <c r="K1108" s="1"/>
    </row>
    <row r="1109" ht="14.25" customHeight="1">
      <c r="A1109" s="1" t="s">
        <v>5802</v>
      </c>
      <c r="B1109" s="1">
        <v>4.4E7</v>
      </c>
      <c r="C1109" s="1">
        <v>6105175.0</v>
      </c>
      <c r="F1109" s="4">
        <v>-3.7894825E7</v>
      </c>
      <c r="G1109" s="4">
        <f t="array" ref="G1109">IFERROR((C1109-B1109)/C1109*100, "N/A")</f>
        <v>-620.7000618</v>
      </c>
      <c r="J1109" s="1"/>
      <c r="K1109" s="1"/>
    </row>
    <row r="1110" ht="14.25" customHeight="1">
      <c r="A1110" s="1" t="s">
        <v>5808</v>
      </c>
      <c r="B1110" s="1">
        <v>4.5E7</v>
      </c>
      <c r="C1110" s="1">
        <v>5664251.0</v>
      </c>
      <c r="F1110" s="4">
        <v>-3.9335749E7</v>
      </c>
      <c r="G1110" s="4">
        <f t="array" ref="G1110">IFERROR((C1110-B1110)/C1110*100, "N/A")</f>
        <v>-694.4563191</v>
      </c>
      <c r="J1110" s="1"/>
      <c r="K1110" s="1"/>
    </row>
    <row r="1111" ht="14.25" customHeight="1">
      <c r="A1111" s="1" t="s">
        <v>5814</v>
      </c>
      <c r="B1111" s="1">
        <v>2.7E7</v>
      </c>
      <c r="C1111" s="1">
        <v>1260917.0</v>
      </c>
      <c r="F1111" s="4">
        <v>-2.5739083E7</v>
      </c>
      <c r="G1111" s="4">
        <f t="array" ref="G1111">IFERROR((C1111-B1111)/C1111*100, "N/A")</f>
        <v>-2041.298753</v>
      </c>
      <c r="J1111" s="1"/>
      <c r="K1111" s="1"/>
    </row>
    <row r="1112" ht="14.25" customHeight="1">
      <c r="A1112" s="1" t="s">
        <v>5818</v>
      </c>
      <c r="B1112" s="1">
        <v>4.1E7</v>
      </c>
      <c r="C1112" s="1">
        <v>1.16724075E8</v>
      </c>
      <c r="F1112" s="4">
        <v>7.5724075E7</v>
      </c>
      <c r="G1112" s="4">
        <f t="array" ref="G1112">IFERROR((C1112-B1112)/C1112*100, "N/A")</f>
        <v>64.87442715</v>
      </c>
      <c r="J1112" s="1"/>
      <c r="K1112" s="1"/>
    </row>
    <row r="1113" ht="14.25" customHeight="1">
      <c r="A1113" s="1" t="s">
        <v>5823</v>
      </c>
      <c r="B1113" s="1">
        <v>6.5E7</v>
      </c>
      <c r="C1113" s="1">
        <v>5.6083966E7</v>
      </c>
      <c r="F1113" s="4">
        <v>-8916034.0</v>
      </c>
      <c r="G1113" s="4">
        <f t="array" ref="G1113">IFERROR((C1113-B1113)/C1113*100, "N/A")</f>
        <v>-15.89765246</v>
      </c>
      <c r="J1113" s="1"/>
      <c r="K1113" s="1"/>
    </row>
    <row r="1114" ht="14.25" customHeight="1">
      <c r="A1114" s="1" t="s">
        <v>5828</v>
      </c>
      <c r="B1114" s="1">
        <v>4.1E7</v>
      </c>
      <c r="C1114" s="1">
        <v>2.2108977E7</v>
      </c>
      <c r="F1114" s="4">
        <v>-1.8891023E7</v>
      </c>
      <c r="G1114" s="4">
        <f t="array" ref="G1114">IFERROR((C1114-B1114)/C1114*100, "N/A")</f>
        <v>-85.44503439</v>
      </c>
      <c r="J1114" s="1"/>
      <c r="K1114" s="1"/>
    </row>
    <row r="1115" ht="14.25" customHeight="1">
      <c r="A1115" s="1" t="s">
        <v>5834</v>
      </c>
      <c r="B1115" s="1">
        <v>4.0E7</v>
      </c>
      <c r="C1115" s="1">
        <v>2.93501675E8</v>
      </c>
      <c r="F1115" s="4">
        <v>2.53501675E8</v>
      </c>
      <c r="G1115" s="4">
        <f t="array" ref="G1115">IFERROR((C1115-B1115)/C1115*100, "N/A")</f>
        <v>86.37145768</v>
      </c>
      <c r="J1115" s="1"/>
      <c r="K1115" s="1"/>
    </row>
    <row r="1116" ht="14.25" customHeight="1">
      <c r="A1116" s="1" t="s">
        <v>5838</v>
      </c>
      <c r="B1116" s="1">
        <v>4.2E7</v>
      </c>
      <c r="C1116" s="1">
        <v>1.8600911E7</v>
      </c>
      <c r="F1116" s="4">
        <v>-2.3399089E7</v>
      </c>
      <c r="G1116" s="4">
        <f t="array" ref="G1116">IFERROR((C1116-B1116)/C1116*100, "N/A")</f>
        <v>-125.7953925</v>
      </c>
      <c r="J1116" s="1"/>
      <c r="K1116" s="1"/>
    </row>
    <row r="1117" ht="14.25" customHeight="1">
      <c r="A1117" s="1" t="s">
        <v>5843</v>
      </c>
      <c r="B1117" s="1">
        <v>4.1E7</v>
      </c>
      <c r="C1117" s="1">
        <v>7204138.0</v>
      </c>
      <c r="F1117" s="4">
        <v>-3.3795862E7</v>
      </c>
      <c r="G1117" s="4">
        <f t="array" ref="G1117">IFERROR((C1117-B1117)/C1117*100, "N/A")</f>
        <v>-469.1173601</v>
      </c>
      <c r="J1117" s="1"/>
      <c r="K1117" s="1"/>
    </row>
    <row r="1118" ht="14.25" customHeight="1">
      <c r="A1118" s="1" t="s">
        <v>5848</v>
      </c>
      <c r="B1118" s="1">
        <v>8000000.0</v>
      </c>
      <c r="C1118" s="1">
        <v>9.08E7</v>
      </c>
      <c r="F1118" s="4">
        <v>8.28E7</v>
      </c>
      <c r="G1118" s="4">
        <f t="array" ref="G1118">IFERROR((C1118-B1118)/C1118*100, "N/A")</f>
        <v>91.18942731</v>
      </c>
      <c r="J1118" s="1"/>
      <c r="K1118" s="1"/>
    </row>
    <row r="1119" ht="14.25" customHeight="1">
      <c r="A1119" s="1" t="s">
        <v>5854</v>
      </c>
      <c r="B1119" s="1">
        <v>4.0E7</v>
      </c>
      <c r="C1119" s="1">
        <v>1.50117807E8</v>
      </c>
      <c r="F1119" s="4">
        <v>1.10117807E8</v>
      </c>
      <c r="G1119" s="4">
        <f t="array" ref="G1119">IFERROR((C1119-B1119)/C1119*100, "N/A")</f>
        <v>73.35426036</v>
      </c>
      <c r="J1119" s="1"/>
      <c r="K1119" s="1"/>
    </row>
    <row r="1120" ht="14.25" customHeight="1">
      <c r="A1120" s="1" t="s">
        <v>5858</v>
      </c>
      <c r="B1120" s="1">
        <v>4.0E7</v>
      </c>
      <c r="C1120" s="1">
        <v>1.63947053E8</v>
      </c>
      <c r="F1120" s="4">
        <v>1.23947053E8</v>
      </c>
      <c r="G1120" s="4">
        <f t="array" ref="G1120">IFERROR((C1120-B1120)/C1120*100, "N/A")</f>
        <v>75.60187922</v>
      </c>
      <c r="J1120" s="1"/>
      <c r="K1120" s="1"/>
    </row>
    <row r="1121" ht="14.25" customHeight="1">
      <c r="A1121" s="1" t="s">
        <v>5862</v>
      </c>
      <c r="B1121" s="1">
        <v>7.0E7</v>
      </c>
      <c r="C1121" s="1">
        <v>1.16735231E8</v>
      </c>
      <c r="F1121" s="4">
        <v>4.6735231E7</v>
      </c>
      <c r="G1121" s="4">
        <f t="array" ref="G1121">IFERROR((C1121-B1121)/C1121*100, "N/A")</f>
        <v>40.03524095</v>
      </c>
      <c r="J1121" s="1"/>
      <c r="K1121" s="1"/>
    </row>
    <row r="1122" ht="14.25" customHeight="1">
      <c r="A1122" s="1" t="s">
        <v>5867</v>
      </c>
      <c r="B1122" s="1">
        <v>4.0E7</v>
      </c>
      <c r="C1122" s="1">
        <v>1.185E8</v>
      </c>
      <c r="F1122" s="4">
        <v>7.85E7</v>
      </c>
      <c r="G1122" s="4">
        <f t="array" ref="G1122">IFERROR((C1122-B1122)/C1122*100, "N/A")</f>
        <v>66.24472574</v>
      </c>
      <c r="J1122" s="1"/>
      <c r="K1122" s="1"/>
    </row>
    <row r="1123" ht="14.25" customHeight="1">
      <c r="A1123" s="1" t="s">
        <v>5873</v>
      </c>
      <c r="B1123" s="1">
        <v>4.0E7</v>
      </c>
      <c r="C1123" s="1">
        <v>1.26546825E8</v>
      </c>
      <c r="F1123" s="4">
        <v>8.6546825E7</v>
      </c>
      <c r="G1123" s="4">
        <f t="array" ref="G1123">IFERROR((C1123-B1123)/C1123*100, "N/A")</f>
        <v>68.39114691</v>
      </c>
      <c r="J1123" s="1"/>
      <c r="K1123" s="1"/>
    </row>
    <row r="1124" ht="14.25" customHeight="1">
      <c r="A1124" s="1" t="s">
        <v>5877</v>
      </c>
      <c r="B1124" s="1">
        <v>4.0E7</v>
      </c>
      <c r="C1124" s="1">
        <v>1.66147885E8</v>
      </c>
      <c r="F1124" s="4">
        <v>1.26147885E8</v>
      </c>
      <c r="G1124" s="4">
        <f t="array" ref="G1124">IFERROR((C1124-B1124)/C1124*100, "N/A")</f>
        <v>75.92506218</v>
      </c>
      <c r="J1124" s="1"/>
      <c r="K1124" s="1"/>
    </row>
    <row r="1125" ht="14.25" customHeight="1">
      <c r="A1125" s="1" t="s">
        <v>5880</v>
      </c>
      <c r="B1125" s="1">
        <v>3.8E7</v>
      </c>
      <c r="C1125" s="1">
        <v>1.11760631E8</v>
      </c>
      <c r="F1125" s="4">
        <v>7.3760631E7</v>
      </c>
      <c r="G1125" s="4">
        <f t="array" ref="G1125">IFERROR((C1125-B1125)/C1125*100, "N/A")</f>
        <v>65.99876033</v>
      </c>
      <c r="J1125" s="1"/>
      <c r="K1125" s="1"/>
    </row>
    <row r="1126" ht="14.25" customHeight="1">
      <c r="A1126" s="1" t="s">
        <v>5883</v>
      </c>
      <c r="B1126" s="1">
        <v>4.0E7</v>
      </c>
      <c r="C1126" s="1">
        <v>1.08706165E8</v>
      </c>
      <c r="F1126" s="4">
        <v>6.8706165E7</v>
      </c>
      <c r="G1126" s="4">
        <f t="array" ref="G1126">IFERROR((C1126-B1126)/C1126*100, "N/A")</f>
        <v>63.20355888</v>
      </c>
      <c r="J1126" s="1"/>
      <c r="K1126" s="1"/>
    </row>
    <row r="1127" ht="14.25" customHeight="1">
      <c r="A1127" s="1" t="s">
        <v>5886</v>
      </c>
      <c r="B1127" s="1">
        <v>4.0E7</v>
      </c>
      <c r="C1127" s="1">
        <v>1.38614544E8</v>
      </c>
      <c r="F1127" s="4">
        <v>9.8614544E7</v>
      </c>
      <c r="G1127" s="4">
        <f t="array" ref="G1127">IFERROR((C1127-B1127)/C1127*100, "N/A")</f>
        <v>71.14299925</v>
      </c>
      <c r="J1127" s="1"/>
      <c r="K1127" s="1"/>
    </row>
    <row r="1128" ht="14.25" customHeight="1">
      <c r="A1128" s="1" t="s">
        <v>5889</v>
      </c>
      <c r="B1128" s="1">
        <v>4.0E7</v>
      </c>
      <c r="C1128" s="1">
        <v>1.25069696E8</v>
      </c>
      <c r="F1128" s="4">
        <v>8.5069696E7</v>
      </c>
      <c r="G1128" s="4">
        <f t="array" ref="G1128">IFERROR((C1128-B1128)/C1128*100, "N/A")</f>
        <v>68.01783223</v>
      </c>
      <c r="J1128" s="1"/>
      <c r="K1128" s="1"/>
    </row>
    <row r="1129" ht="14.25" customHeight="1">
      <c r="A1129" s="1" t="s">
        <v>5896</v>
      </c>
      <c r="B1129" s="1">
        <v>4.0E7</v>
      </c>
      <c r="C1129" s="1">
        <v>1.07458785E8</v>
      </c>
      <c r="F1129" s="4">
        <v>6.7458785E7</v>
      </c>
      <c r="G1129" s="4">
        <f t="array" ref="G1129">IFERROR((C1129-B1129)/C1129*100, "N/A")</f>
        <v>62.77642633</v>
      </c>
      <c r="J1129" s="1"/>
      <c r="K1129" s="1"/>
    </row>
    <row r="1130" ht="14.25" customHeight="1">
      <c r="A1130" s="1" t="s">
        <v>5902</v>
      </c>
      <c r="B1130" s="1">
        <v>4.0E7</v>
      </c>
      <c r="C1130" s="1">
        <v>1.02310175E8</v>
      </c>
      <c r="F1130" s="4">
        <v>6.2310175E7</v>
      </c>
      <c r="G1130" s="4">
        <f t="array" ref="G1130">IFERROR((C1130-B1130)/C1130*100, "N/A")</f>
        <v>60.9032044</v>
      </c>
      <c r="J1130" s="1"/>
      <c r="K1130" s="1"/>
    </row>
    <row r="1131" ht="14.25" customHeight="1">
      <c r="A1131" s="1" t="s">
        <v>5906</v>
      </c>
      <c r="B1131" s="1">
        <v>4.0E7</v>
      </c>
      <c r="C1131" s="1">
        <v>9.6917897E7</v>
      </c>
      <c r="F1131" s="4">
        <v>5.6917897E7</v>
      </c>
      <c r="G1131" s="4">
        <f t="array" ref="G1131">IFERROR((C1131-B1131)/C1131*100, "N/A")</f>
        <v>58.727953</v>
      </c>
      <c r="J1131" s="1"/>
      <c r="K1131" s="1"/>
    </row>
    <row r="1132" ht="14.25" customHeight="1">
      <c r="A1132" s="1" t="s">
        <v>5912</v>
      </c>
      <c r="B1132" s="1">
        <v>4.0E7</v>
      </c>
      <c r="C1132" s="1">
        <v>9.3952276E7</v>
      </c>
      <c r="F1132" s="4">
        <v>5.3952276E7</v>
      </c>
      <c r="G1132" s="4">
        <f t="array" ref="G1132">IFERROR((C1132-B1132)/C1132*100, "N/A")</f>
        <v>57.42519319</v>
      </c>
      <c r="J1132" s="1"/>
      <c r="K1132" s="1"/>
    </row>
    <row r="1133" ht="14.25" customHeight="1">
      <c r="A1133" s="1" t="s">
        <v>5918</v>
      </c>
      <c r="B1133" s="1">
        <v>4.5E7</v>
      </c>
      <c r="C1133" s="1">
        <v>9.0703745E7</v>
      </c>
      <c r="F1133" s="4">
        <v>4.5703745E7</v>
      </c>
      <c r="G1133" s="4">
        <f t="array" ref="G1133">IFERROR((C1133-B1133)/C1133*100, "N/A")</f>
        <v>50.38793602</v>
      </c>
      <c r="J1133" s="1"/>
      <c r="K1133" s="1"/>
    </row>
    <row r="1134" ht="14.25" customHeight="1">
      <c r="A1134" s="1" t="s">
        <v>5923</v>
      </c>
      <c r="B1134" s="1">
        <v>4.0E7</v>
      </c>
      <c r="C1134" s="1">
        <v>8.9138076E7</v>
      </c>
      <c r="F1134" s="4">
        <v>4.9138076E7</v>
      </c>
      <c r="G1134" s="4">
        <f t="array" ref="G1134">IFERROR((C1134-B1134)/C1134*100, "N/A")</f>
        <v>55.12579832</v>
      </c>
      <c r="J1134" s="1"/>
      <c r="K1134" s="1"/>
    </row>
    <row r="1135" ht="14.25" customHeight="1">
      <c r="A1135" s="1" t="s">
        <v>5929</v>
      </c>
      <c r="B1135" s="1">
        <v>4.0E7</v>
      </c>
      <c r="C1135" s="1">
        <v>8.7666629E7</v>
      </c>
      <c r="F1135" s="4">
        <v>4.7666629E7</v>
      </c>
      <c r="G1135" s="4">
        <f t="array" ref="G1135">IFERROR((C1135-B1135)/C1135*100, "N/A")</f>
        <v>54.37260397</v>
      </c>
      <c r="J1135" s="1"/>
      <c r="K1135" s="1"/>
    </row>
    <row r="1136" ht="14.25" customHeight="1">
      <c r="A1136" s="1" t="s">
        <v>5934</v>
      </c>
      <c r="B1136" s="1">
        <v>4.0E7</v>
      </c>
      <c r="C1136" s="1">
        <v>9.0353764E7</v>
      </c>
      <c r="F1136" s="4">
        <v>5.0353764E7</v>
      </c>
      <c r="G1136" s="4">
        <f t="array" ref="G1136">IFERROR((C1136-B1136)/C1136*100, "N/A")</f>
        <v>55.72956983</v>
      </c>
      <c r="J1136" s="1"/>
      <c r="K1136" s="1"/>
    </row>
    <row r="1137" ht="14.25" customHeight="1">
      <c r="A1137" s="1" t="s">
        <v>5937</v>
      </c>
      <c r="B1137" s="1">
        <v>4.0E7</v>
      </c>
      <c r="C1137" s="1">
        <v>8.252279E7</v>
      </c>
      <c r="F1137" s="4">
        <v>4.252279E7</v>
      </c>
      <c r="G1137" s="4">
        <f t="array" ref="G1137">IFERROR((C1137-B1137)/C1137*100, "N/A")</f>
        <v>51.52854139</v>
      </c>
      <c r="J1137" s="1"/>
      <c r="K1137" s="1"/>
    </row>
    <row r="1138" ht="14.25" customHeight="1">
      <c r="A1138" s="1" t="s">
        <v>5941</v>
      </c>
      <c r="B1138" s="1">
        <v>4.0E7</v>
      </c>
      <c r="C1138" s="1">
        <v>9.4125426E7</v>
      </c>
      <c r="F1138" s="4">
        <v>5.4125426E7</v>
      </c>
      <c r="G1138" s="4">
        <f t="array" ref="G1138">IFERROR((C1138-B1138)/C1138*100, "N/A")</f>
        <v>57.50351239</v>
      </c>
      <c r="J1138" s="1"/>
      <c r="K1138" s="1"/>
    </row>
    <row r="1139" ht="14.25" customHeight="1">
      <c r="A1139" s="1">
        <v>42.0</v>
      </c>
      <c r="B1139" s="1">
        <v>4.0E7</v>
      </c>
      <c r="C1139" s="1">
        <v>9.5001343E7</v>
      </c>
      <c r="F1139" s="4">
        <v>5.5001343E7</v>
      </c>
      <c r="G1139" s="4">
        <f t="array" ref="G1139">IFERROR((C1139-B1139)/C1139*100, "N/A")</f>
        <v>57.89533207</v>
      </c>
      <c r="J1139" s="1"/>
      <c r="K1139" s="1"/>
    </row>
    <row r="1140" ht="14.25" customHeight="1">
      <c r="A1140" s="1" t="s">
        <v>5948</v>
      </c>
      <c r="B1140" s="1">
        <v>4.0E7</v>
      </c>
      <c r="C1140" s="1">
        <v>8.1292135E7</v>
      </c>
      <c r="F1140" s="4">
        <v>4.1292135E7</v>
      </c>
      <c r="G1140" s="4">
        <f t="array" ref="G1140">IFERROR((C1140-B1140)/C1140*100, "N/A")</f>
        <v>50.79474786</v>
      </c>
      <c r="J1140" s="1"/>
      <c r="K1140" s="1"/>
    </row>
    <row r="1141" ht="14.25" customHeight="1">
      <c r="A1141" s="1" t="s">
        <v>5951</v>
      </c>
      <c r="B1141" s="1">
        <v>3.5E7</v>
      </c>
      <c r="C1141" s="1">
        <v>8.620801E7</v>
      </c>
      <c r="F1141" s="4">
        <v>5.120801E7</v>
      </c>
      <c r="G1141" s="4">
        <f t="array" ref="G1141">IFERROR((C1141-B1141)/C1141*100, "N/A")</f>
        <v>59.40052438</v>
      </c>
      <c r="J1141" s="1"/>
      <c r="K1141" s="1"/>
    </row>
    <row r="1142" ht="14.25" customHeight="1">
      <c r="A1142" s="1" t="s">
        <v>5954</v>
      </c>
      <c r="B1142" s="1">
        <v>4.0E7</v>
      </c>
      <c r="C1142" s="1">
        <v>8.1593527E7</v>
      </c>
      <c r="F1142" s="4">
        <v>4.1593527E7</v>
      </c>
      <c r="G1142" s="4">
        <f t="array" ref="G1142">IFERROR((C1142-B1142)/C1142*100, "N/A")</f>
        <v>50.97650332</v>
      </c>
      <c r="J1142" s="1"/>
      <c r="K1142" s="1"/>
    </row>
    <row r="1143" ht="14.25" customHeight="1">
      <c r="A1143" s="1" t="s">
        <v>5958</v>
      </c>
      <c r="B1143" s="1">
        <v>3.5E7</v>
      </c>
      <c r="C1143" s="1">
        <v>7.5274748E7</v>
      </c>
      <c r="F1143" s="4">
        <v>4.0274748E7</v>
      </c>
      <c r="G1143" s="4">
        <f t="array" ref="G1143">IFERROR((C1143-B1143)/C1143*100, "N/A")</f>
        <v>53.50366367</v>
      </c>
      <c r="J1143" s="1"/>
      <c r="K1143" s="1"/>
    </row>
    <row r="1144" ht="14.25" customHeight="1">
      <c r="A1144" s="1" t="s">
        <v>5961</v>
      </c>
      <c r="B1144" s="1">
        <v>4.0E7</v>
      </c>
      <c r="C1144" s="1">
        <v>9.083503E7</v>
      </c>
      <c r="F1144" s="4">
        <v>5.083503E7</v>
      </c>
      <c r="G1144" s="4">
        <f t="array" ref="G1144">IFERROR((C1144-B1144)/C1144*100, "N/A")</f>
        <v>55.96412529</v>
      </c>
      <c r="J1144" s="1"/>
      <c r="K1144" s="1"/>
    </row>
    <row r="1145" ht="14.25" customHeight="1">
      <c r="A1145" s="1" t="s">
        <v>5965</v>
      </c>
      <c r="B1145" s="1">
        <v>4.0E7</v>
      </c>
      <c r="C1145" s="1">
        <v>7.2455275E7</v>
      </c>
      <c r="F1145" s="4">
        <v>3.2455275E7</v>
      </c>
      <c r="G1145" s="4">
        <f t="array" ref="G1145">IFERROR((C1145-B1145)/C1145*100, "N/A")</f>
        <v>44.79352953</v>
      </c>
      <c r="J1145" s="1"/>
      <c r="K1145" s="1"/>
    </row>
    <row r="1146" ht="14.25" customHeight="1">
      <c r="A1146" s="1" t="s">
        <v>5971</v>
      </c>
      <c r="B1146" s="1">
        <v>4.0E7</v>
      </c>
      <c r="C1146" s="1">
        <v>7.5305995E7</v>
      </c>
      <c r="F1146" s="4">
        <v>3.5305995E7</v>
      </c>
      <c r="G1146" s="4">
        <f t="array" ref="G1146">IFERROR((C1146-B1146)/C1146*100, "N/A")</f>
        <v>46.88337894</v>
      </c>
      <c r="J1146" s="1"/>
      <c r="K1146" s="1"/>
    </row>
    <row r="1147" ht="14.25" customHeight="1">
      <c r="A1147" s="1" t="s">
        <v>5975</v>
      </c>
      <c r="B1147" s="1">
        <v>4.0E7</v>
      </c>
      <c r="C1147" s="1">
        <v>7.4098862E7</v>
      </c>
      <c r="F1147" s="4">
        <v>3.4098862E7</v>
      </c>
      <c r="G1147" s="4">
        <f t="array" ref="G1147">IFERROR((C1147-B1147)/C1147*100, "N/A")</f>
        <v>46.01806435</v>
      </c>
      <c r="J1147" s="1"/>
      <c r="K1147" s="1"/>
    </row>
    <row r="1148" ht="14.25" customHeight="1">
      <c r="A1148" s="1" t="s">
        <v>5980</v>
      </c>
      <c r="B1148" s="1">
        <v>4.0E7</v>
      </c>
      <c r="C1148" s="1">
        <v>7.2266306E7</v>
      </c>
      <c r="F1148" s="4">
        <v>3.2266306E7</v>
      </c>
      <c r="G1148" s="4">
        <f t="array" ref="G1148">IFERROR((C1148-B1148)/C1148*100, "N/A")</f>
        <v>44.64917025</v>
      </c>
      <c r="J1148" s="1"/>
      <c r="K1148" s="1"/>
    </row>
    <row r="1149" ht="14.25" customHeight="1">
      <c r="A1149" s="1" t="s">
        <v>5983</v>
      </c>
      <c r="B1149" s="1">
        <v>4.0E7</v>
      </c>
      <c r="C1149" s="1">
        <v>7.134701E7</v>
      </c>
      <c r="F1149" s="4">
        <v>3.134701E7</v>
      </c>
      <c r="G1149" s="4">
        <f t="array" ref="G1149">IFERROR((C1149-B1149)/C1149*100, "N/A")</f>
        <v>43.93598274</v>
      </c>
      <c r="J1149" s="1"/>
      <c r="K1149" s="1"/>
    </row>
    <row r="1150" ht="14.25" customHeight="1">
      <c r="A1150" s="1" t="s">
        <v>5987</v>
      </c>
      <c r="B1150" s="1">
        <v>4.0E7</v>
      </c>
      <c r="C1150" s="1">
        <v>7.0836296E7</v>
      </c>
      <c r="F1150" s="4">
        <v>3.0836296E7</v>
      </c>
      <c r="G1150" s="4">
        <f t="array" ref="G1150">IFERROR((C1150-B1150)/C1150*100, "N/A")</f>
        <v>43.5317736</v>
      </c>
      <c r="J1150" s="1"/>
      <c r="K1150" s="1"/>
    </row>
    <row r="1151" ht="14.25" customHeight="1">
      <c r="A1151" s="1" t="s">
        <v>5991</v>
      </c>
      <c r="B1151" s="1">
        <v>4.0E7</v>
      </c>
      <c r="C1151" s="1">
        <v>7.0405498E7</v>
      </c>
      <c r="F1151" s="4">
        <v>3.0405498E7</v>
      </c>
      <c r="G1151" s="4">
        <f t="array" ref="G1151">IFERROR((C1151-B1151)/C1151*100, "N/A")</f>
        <v>43.18625514</v>
      </c>
      <c r="J1151" s="1"/>
      <c r="K1151" s="1"/>
    </row>
    <row r="1152" ht="14.25" customHeight="1">
      <c r="A1152" s="1" t="s">
        <v>5998</v>
      </c>
      <c r="B1152" s="1">
        <v>4.0E7</v>
      </c>
      <c r="C1152" s="1">
        <v>7.0163652E7</v>
      </c>
      <c r="F1152" s="4">
        <v>3.0163652E7</v>
      </c>
      <c r="G1152" s="4">
        <f t="array" ref="G1152">IFERROR((C1152-B1152)/C1152*100, "N/A")</f>
        <v>42.99042473</v>
      </c>
      <c r="J1152" s="1"/>
      <c r="K1152" s="1"/>
    </row>
    <row r="1153" ht="14.25" customHeight="1">
      <c r="A1153" s="1" t="s">
        <v>6003</v>
      </c>
      <c r="B1153" s="1">
        <v>3.4E7</v>
      </c>
      <c r="C1153" s="1">
        <v>6.6808615E7</v>
      </c>
      <c r="F1153" s="4">
        <v>3.2808615E7</v>
      </c>
      <c r="G1153" s="4">
        <f t="array" ref="G1153">IFERROR((C1153-B1153)/C1153*100, "N/A")</f>
        <v>49.10835975</v>
      </c>
      <c r="J1153" s="1"/>
      <c r="K1153" s="1"/>
    </row>
    <row r="1154" ht="14.25" customHeight="1">
      <c r="A1154" s="1" t="s">
        <v>3496</v>
      </c>
      <c r="B1154" s="1">
        <v>6.5E7</v>
      </c>
      <c r="C1154" s="1">
        <v>1.1560398E8</v>
      </c>
      <c r="F1154" s="4">
        <v>5.060398E7</v>
      </c>
      <c r="G1154" s="4">
        <f t="array" ref="G1154">IFERROR((C1154-B1154)/C1154*100, "N/A")</f>
        <v>43.77356212</v>
      </c>
      <c r="J1154" s="1"/>
      <c r="K1154" s="1"/>
    </row>
    <row r="1155" ht="14.25" customHeight="1">
      <c r="A1155" s="1" t="s">
        <v>6007</v>
      </c>
      <c r="B1155" s="1">
        <v>2.0E7</v>
      </c>
      <c r="C1155" s="1">
        <v>6.4149837E7</v>
      </c>
      <c r="F1155" s="4">
        <v>4.4149837E7</v>
      </c>
      <c r="G1155" s="4">
        <f t="array" ref="G1155">IFERROR((C1155-B1155)/C1155*100, "N/A")</f>
        <v>68.82299171</v>
      </c>
      <c r="J1155" s="1"/>
      <c r="K1155" s="1"/>
    </row>
    <row r="1156" ht="14.25" customHeight="1">
      <c r="A1156" s="1" t="s">
        <v>6013</v>
      </c>
      <c r="B1156" s="1">
        <v>4.0E7</v>
      </c>
      <c r="C1156" s="1">
        <v>8.3906114E7</v>
      </c>
      <c r="F1156" s="4">
        <v>4.3906114E7</v>
      </c>
      <c r="G1156" s="4">
        <f t="array" ref="G1156">IFERROR((C1156-B1156)/C1156*100, "N/A")</f>
        <v>52.32766947</v>
      </c>
      <c r="J1156" s="1"/>
      <c r="K1156" s="1"/>
    </row>
    <row r="1157" ht="14.25" customHeight="1">
      <c r="A1157" s="1" t="s">
        <v>6018</v>
      </c>
      <c r="B1157" s="1">
        <v>4.0E7</v>
      </c>
      <c r="C1157" s="1">
        <v>6.6466372E7</v>
      </c>
      <c r="F1157" s="4">
        <v>2.6466372E7</v>
      </c>
      <c r="G1157" s="4">
        <f t="array" ref="G1157">IFERROR((C1157-B1157)/C1157*100, "N/A")</f>
        <v>39.81919158</v>
      </c>
      <c r="J1157" s="1"/>
      <c r="K1157" s="1"/>
    </row>
    <row r="1158" ht="14.25" customHeight="1">
      <c r="A1158" s="1" t="s">
        <v>6025</v>
      </c>
      <c r="B1158" s="1">
        <v>4.0E7</v>
      </c>
      <c r="C1158" s="1">
        <v>7.2306065E7</v>
      </c>
      <c r="F1158" s="4">
        <v>3.2306065E7</v>
      </c>
      <c r="G1158" s="4">
        <f t="array" ref="G1158">IFERROR((C1158-B1158)/C1158*100, "N/A")</f>
        <v>44.67960606</v>
      </c>
      <c r="J1158" s="1"/>
      <c r="K1158" s="1"/>
    </row>
    <row r="1159" ht="14.25" customHeight="1">
      <c r="A1159" s="1" t="s">
        <v>6029</v>
      </c>
      <c r="B1159" s="1">
        <v>4.0E7</v>
      </c>
      <c r="C1159" s="1">
        <v>5.9068786E7</v>
      </c>
      <c r="F1159" s="4">
        <v>1.9068786E7</v>
      </c>
      <c r="G1159" s="4">
        <f t="array" ref="G1159">IFERROR((C1159-B1159)/C1159*100, "N/A")</f>
        <v>32.28233944</v>
      </c>
      <c r="J1159" s="1"/>
      <c r="K1159" s="1"/>
    </row>
    <row r="1160" ht="14.25" customHeight="1">
      <c r="A1160" s="1" t="s">
        <v>6034</v>
      </c>
      <c r="B1160" s="1">
        <v>5.0E7</v>
      </c>
      <c r="C1160" s="1">
        <v>5.7887882E7</v>
      </c>
      <c r="F1160" s="4">
        <v>7887882.0</v>
      </c>
      <c r="G1160" s="4">
        <f t="array" ref="G1160">IFERROR((C1160-B1160)/C1160*100, "N/A")</f>
        <v>13.62613681</v>
      </c>
      <c r="J1160" s="1"/>
      <c r="K1160" s="1"/>
    </row>
    <row r="1161" ht="14.25" customHeight="1">
      <c r="A1161" s="1" t="s">
        <v>6038</v>
      </c>
      <c r="B1161" s="1">
        <v>4.0E7</v>
      </c>
      <c r="C1161" s="1">
        <v>5.3955614E7</v>
      </c>
      <c r="F1161" s="4">
        <v>1.3955614E7</v>
      </c>
      <c r="G1161" s="4">
        <f t="array" ref="G1161">IFERROR((C1161-B1161)/C1161*100, "N/A")</f>
        <v>25.86498969</v>
      </c>
      <c r="J1161" s="1"/>
      <c r="K1161" s="1"/>
    </row>
    <row r="1162" ht="14.25" customHeight="1">
      <c r="A1162" s="1" t="s">
        <v>6042</v>
      </c>
      <c r="B1162" s="1">
        <v>4.0E7</v>
      </c>
      <c r="C1162" s="1">
        <v>5.4967359E7</v>
      </c>
      <c r="F1162" s="4">
        <v>1.4967359E7</v>
      </c>
      <c r="G1162" s="4">
        <f t="array" ref="G1162">IFERROR((C1162-B1162)/C1162*100, "N/A")</f>
        <v>27.22953999</v>
      </c>
      <c r="J1162" s="1"/>
      <c r="K1162" s="1"/>
    </row>
    <row r="1163" ht="14.25" customHeight="1">
      <c r="A1163" s="1" t="s">
        <v>6046</v>
      </c>
      <c r="B1163" s="1">
        <v>3.5E7</v>
      </c>
      <c r="C1163" s="1">
        <v>5.4228104E7</v>
      </c>
      <c r="F1163" s="4">
        <v>1.9228104E7</v>
      </c>
      <c r="G1163" s="4">
        <f t="array" ref="G1163">IFERROR((C1163-B1163)/C1163*100, "N/A")</f>
        <v>35.45782091</v>
      </c>
      <c r="J1163" s="1"/>
      <c r="K1163" s="1"/>
    </row>
    <row r="1164" ht="14.25" customHeight="1">
      <c r="A1164" s="1" t="s">
        <v>6051</v>
      </c>
      <c r="B1164" s="1">
        <v>4.0E7</v>
      </c>
      <c r="C1164" s="1">
        <v>5.7981889E7</v>
      </c>
      <c r="F1164" s="4">
        <v>1.7981889E7</v>
      </c>
      <c r="G1164" s="4">
        <f t="array" ref="G1164">IFERROR((C1164-B1164)/C1164*100, "N/A")</f>
        <v>31.01294095</v>
      </c>
      <c r="J1164" s="1"/>
      <c r="K1164" s="1"/>
    </row>
    <row r="1165" ht="14.25" customHeight="1">
      <c r="A1165" s="1" t="s">
        <v>6055</v>
      </c>
      <c r="B1165" s="1">
        <v>3.0E7</v>
      </c>
      <c r="C1165" s="1">
        <v>6.1094903E7</v>
      </c>
      <c r="F1165" s="4">
        <v>3.1094903E7</v>
      </c>
      <c r="G1165" s="4">
        <f t="array" ref="G1165">IFERROR((C1165-B1165)/C1165*100, "N/A")</f>
        <v>50.89606739</v>
      </c>
      <c r="J1165" s="1"/>
      <c r="K1165" s="1"/>
    </row>
    <row r="1166" ht="14.25" customHeight="1">
      <c r="A1166" s="1" t="s">
        <v>6059</v>
      </c>
      <c r="B1166" s="1">
        <v>4.0E7</v>
      </c>
      <c r="C1166" s="1">
        <v>5.3082743E7</v>
      </c>
      <c r="F1166" s="4">
        <v>1.3082743E7</v>
      </c>
      <c r="G1166" s="4">
        <f t="array" ref="G1166">IFERROR((C1166-B1166)/C1166*100, "N/A")</f>
        <v>24.64594379</v>
      </c>
      <c r="J1166" s="1"/>
      <c r="K1166" s="1"/>
    </row>
    <row r="1167" ht="14.25" customHeight="1">
      <c r="A1167" s="1" t="s">
        <v>6062</v>
      </c>
      <c r="B1167" s="1">
        <v>4.2E7</v>
      </c>
      <c r="C1167" s="1">
        <v>5.4414716E7</v>
      </c>
      <c r="F1167" s="4">
        <v>1.2414716E7</v>
      </c>
      <c r="G1167" s="4">
        <f t="array" ref="G1167">IFERROR((C1167-B1167)/C1167*100, "N/A")</f>
        <v>22.81499733</v>
      </c>
      <c r="J1167" s="1"/>
      <c r="K1167" s="1"/>
    </row>
    <row r="1168" ht="14.25" customHeight="1">
      <c r="A1168" s="1" t="s">
        <v>6067</v>
      </c>
      <c r="B1168" s="1">
        <v>4.0E7</v>
      </c>
      <c r="C1168" s="1">
        <v>5.7011847E7</v>
      </c>
      <c r="F1168" s="4">
        <v>1.7011847E7</v>
      </c>
      <c r="G1168" s="4">
        <f t="array" ref="G1168">IFERROR((C1168-B1168)/C1168*100, "N/A")</f>
        <v>29.83914378</v>
      </c>
      <c r="J1168" s="1"/>
      <c r="K1168" s="1"/>
    </row>
    <row r="1169" ht="14.25" customHeight="1">
      <c r="A1169" s="1" t="s">
        <v>6072</v>
      </c>
      <c r="B1169" s="1">
        <v>4.0E7</v>
      </c>
      <c r="C1169" s="1">
        <v>5.0859889E7</v>
      </c>
      <c r="F1169" s="4">
        <v>1.0859889E7</v>
      </c>
      <c r="G1169" s="4">
        <f t="array" ref="G1169">IFERROR((C1169-B1169)/C1169*100, "N/A")</f>
        <v>21.35256135</v>
      </c>
      <c r="J1169" s="1"/>
      <c r="K1169" s="1"/>
    </row>
    <row r="1170" ht="14.25" customHeight="1">
      <c r="A1170" s="1" t="s">
        <v>6079</v>
      </c>
      <c r="B1170" s="1">
        <v>3.0E7</v>
      </c>
      <c r="C1170" s="1">
        <v>5.1185897E7</v>
      </c>
      <c r="F1170" s="4">
        <v>2.1185897E7</v>
      </c>
      <c r="G1170" s="4">
        <f t="array" ref="G1170">IFERROR((C1170-B1170)/C1170*100, "N/A")</f>
        <v>41.39010595</v>
      </c>
      <c r="J1170" s="1"/>
      <c r="K1170" s="1"/>
    </row>
    <row r="1171" ht="14.25" customHeight="1">
      <c r="A1171" s="1" t="s">
        <v>6083</v>
      </c>
      <c r="B1171" s="1">
        <v>4.0E7</v>
      </c>
      <c r="C1171" s="1">
        <v>5.2000688E7</v>
      </c>
      <c r="F1171" s="4">
        <v>1.2000688E7</v>
      </c>
      <c r="G1171" s="4">
        <f t="array" ref="G1171">IFERROR((C1171-B1171)/C1171*100, "N/A")</f>
        <v>23.07794081</v>
      </c>
      <c r="J1171" s="1"/>
      <c r="K1171" s="1"/>
    </row>
    <row r="1172" ht="14.25" customHeight="1">
      <c r="A1172" s="1" t="s">
        <v>6087</v>
      </c>
      <c r="B1172" s="1">
        <v>4.0E7</v>
      </c>
      <c r="C1172" s="1">
        <v>4.9851591E7</v>
      </c>
      <c r="F1172" s="4">
        <v>9851591.0</v>
      </c>
      <c r="G1172" s="4">
        <f t="array" ref="G1172">IFERROR((C1172-B1172)/C1172*100, "N/A")</f>
        <v>19.76183869</v>
      </c>
      <c r="J1172" s="1"/>
      <c r="K1172" s="1"/>
    </row>
    <row r="1173" ht="14.25" customHeight="1">
      <c r="A1173" s="1" t="s">
        <v>6092</v>
      </c>
      <c r="B1173" s="1">
        <v>4.0E7</v>
      </c>
      <c r="C1173" s="1">
        <v>4.7781388E7</v>
      </c>
      <c r="F1173" s="4">
        <v>7781388.0</v>
      </c>
      <c r="G1173" s="4">
        <f t="array" ref="G1173">IFERROR((C1173-B1173)/C1173*100, "N/A")</f>
        <v>16.28539548</v>
      </c>
      <c r="J1173" s="1"/>
      <c r="K1173" s="1"/>
    </row>
    <row r="1174" ht="14.25" customHeight="1">
      <c r="A1174" s="1" t="s">
        <v>6096</v>
      </c>
      <c r="B1174" s="1">
        <v>4.0E7</v>
      </c>
      <c r="C1174" s="1">
        <v>5.2320979E7</v>
      </c>
      <c r="F1174" s="4">
        <v>1.2320979E7</v>
      </c>
      <c r="G1174" s="4">
        <f t="array" ref="G1174">IFERROR((C1174-B1174)/C1174*100, "N/A")</f>
        <v>23.54883115</v>
      </c>
      <c r="J1174" s="1"/>
      <c r="K1174" s="1"/>
    </row>
    <row r="1175" ht="14.25" customHeight="1">
      <c r="A1175" s="1" t="s">
        <v>6100</v>
      </c>
      <c r="B1175" s="1">
        <v>4.3E7</v>
      </c>
      <c r="C1175" s="1">
        <v>4.7806295E7</v>
      </c>
      <c r="F1175" s="4">
        <v>4806295.0</v>
      </c>
      <c r="G1175" s="4">
        <f t="array" ref="G1175">IFERROR((C1175-B1175)/C1175*100, "N/A")</f>
        <v>10.05368644</v>
      </c>
      <c r="J1175" s="1"/>
      <c r="K1175" s="1"/>
    </row>
    <row r="1176" ht="14.25" customHeight="1">
      <c r="A1176" s="1" t="s">
        <v>6107</v>
      </c>
      <c r="B1176" s="1">
        <v>2.5E7</v>
      </c>
      <c r="C1176" s="1">
        <v>5.185345E7</v>
      </c>
      <c r="F1176" s="4">
        <v>2.685345E7</v>
      </c>
      <c r="G1176" s="4">
        <f t="array" ref="G1176">IFERROR((C1176-B1176)/C1176*100, "N/A")</f>
        <v>51.78720027</v>
      </c>
      <c r="J1176" s="1"/>
      <c r="K1176" s="1"/>
    </row>
    <row r="1177" ht="14.25" customHeight="1">
      <c r="A1177" s="1" t="s">
        <v>6111</v>
      </c>
      <c r="B1177" s="1">
        <v>4.0E7</v>
      </c>
      <c r="C1177" s="1">
        <v>4.6012734E7</v>
      </c>
      <c r="F1177" s="4">
        <v>6012734.0</v>
      </c>
      <c r="G1177" s="4">
        <f t="array" ref="G1177">IFERROR((C1177-B1177)/C1177*100, "N/A")</f>
        <v>13.06754343</v>
      </c>
      <c r="J1177" s="1"/>
      <c r="K1177" s="1"/>
    </row>
    <row r="1178" ht="14.25" customHeight="1">
      <c r="A1178" s="1" t="s">
        <v>6116</v>
      </c>
      <c r="B1178" s="1">
        <v>4.0E7</v>
      </c>
      <c r="C1178" s="1">
        <v>4.7034272E7</v>
      </c>
      <c r="F1178" s="4">
        <v>7034272.0</v>
      </c>
      <c r="G1178" s="4">
        <f t="array" ref="G1178">IFERROR((C1178-B1178)/C1178*100, "N/A")</f>
        <v>14.95563065</v>
      </c>
      <c r="J1178" s="1"/>
      <c r="K1178" s="1"/>
    </row>
    <row r="1179" ht="14.25" customHeight="1">
      <c r="A1179" s="1" t="s">
        <v>6123</v>
      </c>
      <c r="B1179" s="1">
        <v>4.0E7</v>
      </c>
      <c r="C1179" s="1">
        <v>4.5856732E7</v>
      </c>
      <c r="F1179" s="4">
        <v>5856732.0</v>
      </c>
      <c r="G1179" s="4">
        <f t="array" ref="G1179">IFERROR((C1179-B1179)/C1179*100, "N/A")</f>
        <v>12.77180415</v>
      </c>
      <c r="J1179" s="1"/>
      <c r="K1179" s="1"/>
    </row>
    <row r="1180" ht="14.25" customHeight="1">
      <c r="A1180" s="1" t="s">
        <v>6126</v>
      </c>
      <c r="B1180" s="1">
        <v>4.0E7</v>
      </c>
      <c r="C1180" s="1">
        <v>5.9588068E7</v>
      </c>
      <c r="F1180" s="4">
        <v>1.9588068E7</v>
      </c>
      <c r="G1180" s="4">
        <f t="array" ref="G1180">IFERROR((C1180-B1180)/C1180*100, "N/A")</f>
        <v>32.87246702</v>
      </c>
      <c r="J1180" s="1"/>
      <c r="K1180" s="1"/>
    </row>
    <row r="1181" ht="14.25" customHeight="1">
      <c r="A1181" s="1" t="s">
        <v>6129</v>
      </c>
      <c r="B1181" s="1">
        <v>3.6E7</v>
      </c>
      <c r="C1181" s="1">
        <v>4.4175394E7</v>
      </c>
      <c r="F1181" s="4">
        <v>8175394.0</v>
      </c>
      <c r="G1181" s="4">
        <f t="array" ref="G1181">IFERROR((C1181-B1181)/C1181*100, "N/A")</f>
        <v>18.50666912</v>
      </c>
      <c r="J1181" s="1"/>
      <c r="K1181" s="1"/>
    </row>
    <row r="1182" ht="14.25" customHeight="1">
      <c r="A1182" s="1" t="s">
        <v>6133</v>
      </c>
      <c r="B1182" s="1">
        <v>4.0E7</v>
      </c>
      <c r="C1182" s="1">
        <v>4.5500797E7</v>
      </c>
      <c r="F1182" s="4">
        <v>5500797.0</v>
      </c>
      <c r="G1182" s="4">
        <f t="array" ref="G1182">IFERROR((C1182-B1182)/C1182*100, "N/A")</f>
        <v>12.08945197</v>
      </c>
      <c r="J1182" s="1"/>
      <c r="K1182" s="1"/>
    </row>
    <row r="1183" ht="14.25" customHeight="1">
      <c r="A1183" s="1" t="s">
        <v>6140</v>
      </c>
      <c r="B1183" s="1">
        <v>4.0E7</v>
      </c>
      <c r="C1183" s="1">
        <v>4.1797066E7</v>
      </c>
      <c r="F1183" s="4">
        <v>1797066.0</v>
      </c>
      <c r="G1183" s="4">
        <f t="array" ref="G1183">IFERROR((C1183-B1183)/C1183*100, "N/A")</f>
        <v>4.299502745</v>
      </c>
      <c r="J1183" s="1"/>
      <c r="K1183" s="1"/>
    </row>
    <row r="1184" ht="14.25" customHeight="1">
      <c r="A1184" s="1" t="s">
        <v>6146</v>
      </c>
      <c r="B1184" s="1">
        <v>4.0E7</v>
      </c>
      <c r="C1184" s="1">
        <v>3.8087756E7</v>
      </c>
      <c r="F1184" s="4">
        <v>-1912244.0</v>
      </c>
      <c r="G1184" s="4">
        <f t="array" ref="G1184">IFERROR((C1184-B1184)/C1184*100, "N/A")</f>
        <v>-5.020626576</v>
      </c>
      <c r="J1184" s="1"/>
      <c r="K1184" s="1"/>
    </row>
    <row r="1185" ht="14.25" customHeight="1">
      <c r="A1185" s="1" t="s">
        <v>6152</v>
      </c>
      <c r="B1185" s="1">
        <v>4.0E7</v>
      </c>
      <c r="C1185" s="1">
        <v>3.7752931E7</v>
      </c>
      <c r="F1185" s="4">
        <v>-2247069.0</v>
      </c>
      <c r="G1185" s="4">
        <f t="array" ref="G1185">IFERROR((C1185-B1185)/C1185*100, "N/A")</f>
        <v>-5.952038532</v>
      </c>
      <c r="J1185" s="1"/>
      <c r="K1185" s="1"/>
    </row>
    <row r="1186" ht="14.25" customHeight="1">
      <c r="A1186" s="1" t="s">
        <v>6156</v>
      </c>
      <c r="B1186" s="1">
        <v>4.0E7</v>
      </c>
      <c r="C1186" s="1">
        <v>3.7371385E7</v>
      </c>
      <c r="F1186" s="4">
        <v>-2628615.0</v>
      </c>
      <c r="G1186" s="4">
        <f t="array" ref="G1186">IFERROR((C1186-B1186)/C1186*100, "N/A")</f>
        <v>-7.033763935</v>
      </c>
      <c r="J1186" s="1"/>
      <c r="K1186" s="1"/>
    </row>
    <row r="1187" ht="14.25" customHeight="1">
      <c r="A1187" s="1" t="s">
        <v>6162</v>
      </c>
      <c r="B1187" s="1">
        <v>4.0E7</v>
      </c>
      <c r="C1187" s="1">
        <v>3.7101011E7</v>
      </c>
      <c r="F1187" s="4">
        <v>-2898989.0</v>
      </c>
      <c r="G1187" s="4">
        <f t="array" ref="G1187">IFERROR((C1187-B1187)/C1187*100, "N/A")</f>
        <v>-7.813773592</v>
      </c>
      <c r="J1187" s="1"/>
      <c r="K1187" s="1"/>
    </row>
    <row r="1188" ht="14.25" customHeight="1">
      <c r="A1188" s="1" t="s">
        <v>6167</v>
      </c>
      <c r="B1188" s="1">
        <v>4.0E7</v>
      </c>
      <c r="C1188" s="1">
        <v>3.8176892E7</v>
      </c>
      <c r="F1188" s="4">
        <v>-1823108.0</v>
      </c>
      <c r="G1188" s="4">
        <f t="array" ref="G1188">IFERROR((C1188-B1188)/C1188*100, "N/A")</f>
        <v>-4.775422787</v>
      </c>
      <c r="J1188" s="1"/>
      <c r="K1188" s="1"/>
    </row>
    <row r="1189" ht="14.25" customHeight="1">
      <c r="A1189" s="1" t="s">
        <v>6172</v>
      </c>
      <c r="B1189" s="1">
        <v>4.0E7</v>
      </c>
      <c r="C1189" s="1">
        <v>3.6283504E7</v>
      </c>
      <c r="F1189" s="4">
        <v>-3716496.0</v>
      </c>
      <c r="G1189" s="4">
        <f t="array" ref="G1189">IFERROR((C1189-B1189)/C1189*100, "N/A")</f>
        <v>-10.24293574</v>
      </c>
      <c r="J1189" s="1"/>
      <c r="K1189" s="1"/>
    </row>
    <row r="1190" ht="14.25" customHeight="1">
      <c r="A1190" s="1" t="s">
        <v>6176</v>
      </c>
      <c r="B1190" s="1">
        <v>3.8E7</v>
      </c>
      <c r="C1190" s="1">
        <v>3.5183792E7</v>
      </c>
      <c r="F1190" s="4">
        <v>-2816208.0</v>
      </c>
      <c r="G1190" s="4">
        <f t="array" ref="G1190">IFERROR((C1190-B1190)/C1190*100, "N/A")</f>
        <v>-8.004276515</v>
      </c>
      <c r="J1190" s="1"/>
      <c r="K1190" s="1"/>
    </row>
    <row r="1191" ht="14.25" customHeight="1">
      <c r="A1191" s="1" t="s">
        <v>6180</v>
      </c>
      <c r="B1191" s="1">
        <v>4.0E7</v>
      </c>
      <c r="C1191" s="1">
        <v>3.8543473E7</v>
      </c>
      <c r="F1191" s="4">
        <v>-1456527.0</v>
      </c>
      <c r="G1191" s="4">
        <f t="array" ref="G1191">IFERROR((C1191-B1191)/C1191*100, "N/A")</f>
        <v>-3.778919974</v>
      </c>
      <c r="J1191" s="1"/>
      <c r="K1191" s="1"/>
    </row>
    <row r="1192" ht="14.25" customHeight="1">
      <c r="A1192" s="1" t="s">
        <v>6185</v>
      </c>
      <c r="B1192" s="1">
        <v>6.0E7</v>
      </c>
      <c r="C1192" s="1">
        <v>3.6037909E7</v>
      </c>
      <c r="F1192" s="4">
        <v>-2.3962091E7</v>
      </c>
      <c r="G1192" s="4">
        <f t="array" ref="G1192">IFERROR((C1192-B1192)/C1192*100, "N/A")</f>
        <v>-66.49134665</v>
      </c>
      <c r="J1192" s="1"/>
      <c r="K1192" s="1"/>
    </row>
    <row r="1193" ht="14.25" customHeight="1">
      <c r="A1193" s="1" t="s">
        <v>6190</v>
      </c>
      <c r="B1193" s="1">
        <v>4.0E7</v>
      </c>
      <c r="C1193" s="1">
        <v>4.2575718E7</v>
      </c>
      <c r="F1193" s="4">
        <v>2575718.0</v>
      </c>
      <c r="G1193" s="4">
        <f t="array" ref="G1193">IFERROR((C1193-B1193)/C1193*100, "N/A")</f>
        <v>6.049734734</v>
      </c>
      <c r="J1193" s="1"/>
      <c r="K1193" s="1"/>
    </row>
    <row r="1194" ht="14.25" customHeight="1">
      <c r="A1194" s="1" t="s">
        <v>6196</v>
      </c>
      <c r="B1194" s="1">
        <v>4.0E7</v>
      </c>
      <c r="C1194" s="1">
        <v>3.3864342E7</v>
      </c>
      <c r="F1194" s="4">
        <v>-6135658.0</v>
      </c>
      <c r="G1194" s="4">
        <f t="array" ref="G1194">IFERROR((C1194-B1194)/C1194*100, "N/A")</f>
        <v>-18.11834407</v>
      </c>
      <c r="J1194" s="1"/>
      <c r="K1194" s="1"/>
    </row>
    <row r="1195" ht="14.25" customHeight="1">
      <c r="A1195" s="1" t="s">
        <v>6199</v>
      </c>
      <c r="B1195" s="1">
        <v>4.0E7</v>
      </c>
      <c r="C1195" s="1">
        <v>3.3508922E7</v>
      </c>
      <c r="F1195" s="4">
        <v>-6491078.0</v>
      </c>
      <c r="G1195" s="4">
        <f t="array" ref="G1195">IFERROR((C1195-B1195)/C1195*100, "N/A")</f>
        <v>-19.37119314</v>
      </c>
      <c r="J1195" s="1"/>
      <c r="K1195" s="1"/>
    </row>
    <row r="1196" ht="14.25" customHeight="1">
      <c r="A1196" s="1" t="s">
        <v>6203</v>
      </c>
      <c r="B1196" s="1">
        <v>3.0E7</v>
      </c>
      <c r="C1196" s="1">
        <v>4.2071069E7</v>
      </c>
      <c r="F1196" s="4">
        <v>1.2071069E7</v>
      </c>
      <c r="G1196" s="4">
        <f t="array" ref="G1196">IFERROR((C1196-B1196)/C1196*100, "N/A")</f>
        <v>28.69209004</v>
      </c>
      <c r="J1196" s="1"/>
      <c r="K1196" s="1"/>
    </row>
    <row r="1197" ht="14.25" customHeight="1">
      <c r="A1197" s="1" t="s">
        <v>6209</v>
      </c>
      <c r="B1197" s="1">
        <v>4.0E7</v>
      </c>
      <c r="C1197" s="1">
        <v>3.285364E7</v>
      </c>
      <c r="F1197" s="4">
        <v>-7146360.0</v>
      </c>
      <c r="G1197" s="4">
        <f t="array" ref="G1197">IFERROR((C1197-B1197)/C1197*100, "N/A")</f>
        <v>-21.75211027</v>
      </c>
      <c r="J1197" s="1"/>
      <c r="K1197" s="1"/>
    </row>
    <row r="1198" ht="14.25" customHeight="1">
      <c r="A1198" s="1" t="s">
        <v>6213</v>
      </c>
      <c r="B1198" s="1">
        <v>4.0E7</v>
      </c>
      <c r="C1198" s="1">
        <v>4.2615685E7</v>
      </c>
      <c r="F1198" s="4">
        <v>2615685.0</v>
      </c>
      <c r="G1198" s="4">
        <f t="array" ref="G1198">IFERROR((C1198-B1198)/C1198*100, "N/A")</f>
        <v>6.137845725</v>
      </c>
      <c r="J1198" s="1"/>
      <c r="K1198" s="1"/>
    </row>
    <row r="1199" ht="14.25" customHeight="1">
      <c r="A1199" s="1" t="s">
        <v>6217</v>
      </c>
      <c r="B1199" s="1">
        <v>2.5E7</v>
      </c>
      <c r="C1199" s="1">
        <v>3.2055248E7</v>
      </c>
      <c r="F1199" s="4">
        <v>7055248.0</v>
      </c>
      <c r="G1199" s="4">
        <f t="array" ref="G1199">IFERROR((C1199-B1199)/C1199*100, "N/A")</f>
        <v>22.00965034</v>
      </c>
      <c r="J1199" s="1"/>
      <c r="K1199" s="1"/>
    </row>
    <row r="1200" ht="14.25" customHeight="1">
      <c r="A1200" s="1" t="s">
        <v>6222</v>
      </c>
      <c r="B1200" s="1">
        <v>4.0E7</v>
      </c>
      <c r="C1200" s="1">
        <v>3.1836745E7</v>
      </c>
      <c r="F1200" s="4">
        <v>-8163255.0</v>
      </c>
      <c r="G1200" s="4">
        <f t="array" ref="G1200">IFERROR((C1200-B1200)/C1200*100, "N/A")</f>
        <v>-25.64098497</v>
      </c>
      <c r="J1200" s="1"/>
      <c r="K1200" s="1"/>
    </row>
    <row r="1201" ht="14.25" customHeight="1">
      <c r="A1201" s="1" t="s">
        <v>6228</v>
      </c>
      <c r="B1201" s="1">
        <v>4.0E7</v>
      </c>
      <c r="C1201" s="1">
        <v>3.0993544E7</v>
      </c>
      <c r="F1201" s="4">
        <v>-9006456.0</v>
      </c>
      <c r="G1201" s="4">
        <f t="array" ref="G1201">IFERROR((C1201-B1201)/C1201*100, "N/A")</f>
        <v>-29.05913567</v>
      </c>
      <c r="J1201" s="1"/>
      <c r="K1201" s="1"/>
    </row>
    <row r="1202" ht="14.25" customHeight="1">
      <c r="A1202" s="1" t="s">
        <v>6234</v>
      </c>
      <c r="B1202" s="1">
        <v>4.0E7</v>
      </c>
      <c r="C1202" s="1">
        <v>3.098185E7</v>
      </c>
      <c r="F1202" s="4">
        <v>-9018150.0</v>
      </c>
      <c r="G1202" s="4">
        <f t="array" ref="G1202">IFERROR((C1202-B1202)/C1202*100, "N/A")</f>
        <v>-29.10784863</v>
      </c>
      <c r="J1202" s="1"/>
      <c r="K1202" s="1"/>
    </row>
    <row r="1203" ht="14.25" customHeight="1">
      <c r="A1203" s="1" t="s">
        <v>6239</v>
      </c>
      <c r="B1203" s="1">
        <v>4.0E7</v>
      </c>
      <c r="C1203" s="1">
        <v>3.0199105E7</v>
      </c>
      <c r="F1203" s="4">
        <v>-9800895.0</v>
      </c>
      <c r="G1203" s="4">
        <f t="array" ref="G1203">IFERROR((C1203-B1203)/C1203*100, "N/A")</f>
        <v>-32.45425651</v>
      </c>
      <c r="J1203" s="1"/>
      <c r="K1203" s="1"/>
    </row>
    <row r="1204" ht="14.25" customHeight="1">
      <c r="A1204" s="1" t="s">
        <v>6243</v>
      </c>
      <c r="B1204" s="1">
        <v>4.0E7</v>
      </c>
      <c r="C1204" s="1">
        <v>2.9077547E7</v>
      </c>
      <c r="F1204" s="4">
        <v>-1.0922453E7</v>
      </c>
      <c r="G1204" s="4">
        <f t="array" ref="G1204">IFERROR((C1204-B1204)/C1204*100, "N/A")</f>
        <v>-37.56318578</v>
      </c>
      <c r="J1204" s="1"/>
      <c r="K1204" s="1"/>
    </row>
    <row r="1205" ht="14.25" customHeight="1">
      <c r="A1205" s="1" t="s">
        <v>6248</v>
      </c>
      <c r="B1205" s="1">
        <v>4.0E7</v>
      </c>
      <c r="C1205" s="1">
        <v>2.9374178E7</v>
      </c>
      <c r="F1205" s="4">
        <v>-1.0625822E7</v>
      </c>
      <c r="G1205" s="4">
        <f t="array" ref="G1205">IFERROR((C1205-B1205)/C1205*100, "N/A")</f>
        <v>-36.17402332</v>
      </c>
      <c r="J1205" s="1"/>
      <c r="K1205" s="1"/>
    </row>
    <row r="1206" ht="14.25" customHeight="1">
      <c r="A1206" s="1" t="s">
        <v>6254</v>
      </c>
      <c r="B1206" s="1">
        <v>4.0E7</v>
      </c>
      <c r="C1206" s="1">
        <v>2.8535768E7</v>
      </c>
      <c r="F1206" s="4">
        <v>-1.1464232E7</v>
      </c>
      <c r="G1206" s="4">
        <f t="array" ref="G1206">IFERROR((C1206-B1206)/C1206*100, "N/A")</f>
        <v>-40.17495517</v>
      </c>
      <c r="J1206" s="1"/>
      <c r="K1206" s="1"/>
    </row>
    <row r="1207" ht="14.25" customHeight="1">
      <c r="A1207" s="1" t="s">
        <v>6260</v>
      </c>
      <c r="B1207" s="1">
        <v>4.0E7</v>
      </c>
      <c r="C1207" s="1">
        <v>2.7663982E7</v>
      </c>
      <c r="F1207" s="4">
        <v>-1.2336018E7</v>
      </c>
      <c r="G1207" s="4">
        <f t="array" ref="G1207">IFERROR((C1207-B1207)/C1207*100, "N/A")</f>
        <v>-44.59234394</v>
      </c>
      <c r="J1207" s="1"/>
      <c r="K1207" s="1"/>
    </row>
    <row r="1208" ht="14.25" customHeight="1">
      <c r="A1208" s="1" t="s">
        <v>6264</v>
      </c>
      <c r="B1208" s="1">
        <v>4.0E7</v>
      </c>
      <c r="C1208" s="1">
        <v>2.7053815E7</v>
      </c>
      <c r="F1208" s="4">
        <v>-1.2946185E7</v>
      </c>
      <c r="G1208" s="4">
        <f t="array" ref="G1208">IFERROR((C1208-B1208)/C1208*100, "N/A")</f>
        <v>-47.85345431</v>
      </c>
      <c r="J1208" s="1"/>
      <c r="K1208" s="1"/>
    </row>
    <row r="1209" ht="14.25" customHeight="1">
      <c r="A1209" s="1" t="s">
        <v>6270</v>
      </c>
      <c r="B1209" s="1">
        <v>3.5E7</v>
      </c>
      <c r="C1209" s="1">
        <v>2.6814957E7</v>
      </c>
      <c r="F1209" s="4">
        <v>-8185043.0</v>
      </c>
      <c r="G1209" s="4">
        <f t="array" ref="G1209">IFERROR((C1209-B1209)/C1209*100, "N/A")</f>
        <v>-30.52416978</v>
      </c>
      <c r="J1209" s="1"/>
      <c r="K1209" s="1"/>
    </row>
    <row r="1210" ht="14.25" customHeight="1">
      <c r="A1210" s="1" t="s">
        <v>6274</v>
      </c>
      <c r="B1210" s="1">
        <v>4.0E7</v>
      </c>
      <c r="C1210" s="1">
        <v>2.5178165E7</v>
      </c>
      <c r="F1210" s="4">
        <v>-1.4821835E7</v>
      </c>
      <c r="G1210" s="4">
        <f t="array" ref="G1210">IFERROR((C1210-B1210)/C1210*100, "N/A")</f>
        <v>-58.86781265</v>
      </c>
      <c r="J1210" s="1"/>
      <c r="K1210" s="1"/>
    </row>
    <row r="1211" ht="14.25" customHeight="1">
      <c r="A1211" s="1" t="s">
        <v>6277</v>
      </c>
      <c r="B1211" s="1">
        <v>4.0E7</v>
      </c>
      <c r="C1211" s="1">
        <v>2.5117498E7</v>
      </c>
      <c r="F1211" s="4">
        <v>-1.4882502E7</v>
      </c>
      <c r="G1211" s="4">
        <f t="array" ref="G1211">IFERROR((C1211-B1211)/C1211*100, "N/A")</f>
        <v>-59.25153055</v>
      </c>
      <c r="J1211" s="1"/>
      <c r="K1211" s="1"/>
    </row>
    <row r="1212" ht="14.25" customHeight="1">
      <c r="A1212" s="1" t="s">
        <v>6283</v>
      </c>
      <c r="B1212" s="1">
        <v>500000.0</v>
      </c>
      <c r="C1212" s="1">
        <v>32645.0</v>
      </c>
      <c r="F1212" s="4">
        <v>-467355.0</v>
      </c>
      <c r="G1212" s="4">
        <f t="array" ref="G1212">IFERROR((C1212-B1212)/C1212*100, "N/A")</f>
        <v>-1431.628121</v>
      </c>
      <c r="J1212" s="1"/>
      <c r="K1212" s="1"/>
    </row>
    <row r="1213" ht="14.25" customHeight="1">
      <c r="A1213" s="1" t="s">
        <v>6287</v>
      </c>
      <c r="B1213" s="1">
        <v>4.0E7</v>
      </c>
      <c r="C1213" s="1">
        <v>2.4332324E7</v>
      </c>
      <c r="F1213" s="4">
        <v>-1.5667676E7</v>
      </c>
      <c r="G1213" s="4">
        <f t="array" ref="G1213">IFERROR((C1213-B1213)/C1213*100, "N/A")</f>
        <v>-64.39038047</v>
      </c>
      <c r="J1213" s="1"/>
      <c r="K1213" s="1"/>
    </row>
    <row r="1214" ht="14.25" customHeight="1">
      <c r="A1214" s="1" t="s">
        <v>6292</v>
      </c>
      <c r="B1214" s="1">
        <v>4.0E7</v>
      </c>
      <c r="C1214" s="1">
        <v>3.6665854E7</v>
      </c>
      <c r="F1214" s="4">
        <v>-3334146.0</v>
      </c>
      <c r="G1214" s="4">
        <f t="array" ref="G1214">IFERROR((C1214-B1214)/C1214*100, "N/A")</f>
        <v>-9.093326996</v>
      </c>
      <c r="J1214" s="1"/>
      <c r="K1214" s="1"/>
    </row>
    <row r="1215" ht="14.25" customHeight="1">
      <c r="A1215" s="1" t="s">
        <v>6298</v>
      </c>
      <c r="B1215" s="1">
        <v>4.0E7</v>
      </c>
      <c r="C1215" s="1">
        <v>2.2717758E7</v>
      </c>
      <c r="F1215" s="4">
        <v>-1.7282242E7</v>
      </c>
      <c r="G1215" s="4">
        <f t="array" ref="G1215">IFERROR((C1215-B1215)/C1215*100, "N/A")</f>
        <v>-76.07371291</v>
      </c>
      <c r="J1215" s="1"/>
      <c r="K1215" s="1"/>
    </row>
    <row r="1216" ht="14.25" customHeight="1">
      <c r="A1216" s="1" t="s">
        <v>6303</v>
      </c>
      <c r="B1216" s="1">
        <v>6.0E7</v>
      </c>
      <c r="C1216" s="1">
        <v>2.2433915E7</v>
      </c>
      <c r="F1216" s="4">
        <v>-3.7566085E7</v>
      </c>
      <c r="G1216" s="4">
        <f t="array" ref="G1216">IFERROR((C1216-B1216)/C1216*100, "N/A")</f>
        <v>-167.4522035</v>
      </c>
      <c r="J1216" s="1"/>
      <c r="K1216" s="1"/>
    </row>
    <row r="1217" ht="14.25" customHeight="1">
      <c r="A1217" s="1" t="s">
        <v>6308</v>
      </c>
      <c r="B1217" s="1">
        <v>6.0E7</v>
      </c>
      <c r="C1217" s="1">
        <v>2.2326247E7</v>
      </c>
      <c r="F1217" s="4">
        <v>-3.7673753E7</v>
      </c>
      <c r="G1217" s="4">
        <f t="array" ref="G1217">IFERROR((C1217-B1217)/C1217*100, "N/A")</f>
        <v>-168.7419878</v>
      </c>
      <c r="J1217" s="1"/>
      <c r="K1217" s="1"/>
    </row>
    <row r="1218" ht="14.25" customHeight="1">
      <c r="A1218" s="1" t="s">
        <v>6314</v>
      </c>
      <c r="B1218" s="1">
        <v>4.0E7</v>
      </c>
      <c r="C1218" s="1">
        <v>2.1176322E7</v>
      </c>
      <c r="F1218" s="4">
        <v>-1.8823678E7</v>
      </c>
      <c r="G1218" s="4">
        <f t="array" ref="G1218">IFERROR((C1218-B1218)/C1218*100, "N/A")</f>
        <v>-88.89021427</v>
      </c>
      <c r="J1218" s="1"/>
      <c r="K1218" s="1"/>
    </row>
    <row r="1219" ht="14.25" customHeight="1">
      <c r="A1219" s="1" t="s">
        <v>6318</v>
      </c>
      <c r="B1219" s="1">
        <v>4.0E7</v>
      </c>
      <c r="C1219" s="1">
        <v>2.03E7</v>
      </c>
      <c r="F1219" s="4">
        <v>-1.97E7</v>
      </c>
      <c r="G1219" s="4">
        <f t="array" ref="G1219">IFERROR((C1219-B1219)/C1219*100, "N/A")</f>
        <v>-97.04433498</v>
      </c>
      <c r="J1219" s="1"/>
      <c r="K1219" s="1"/>
    </row>
    <row r="1220" ht="14.25" customHeight="1">
      <c r="A1220" s="1" t="s">
        <v>6321</v>
      </c>
      <c r="B1220" s="1">
        <v>4.5E7</v>
      </c>
      <c r="C1220" s="1">
        <v>2.0302961E7</v>
      </c>
      <c r="F1220" s="4">
        <v>-2.4697039E7</v>
      </c>
      <c r="G1220" s="4">
        <f t="array" ref="G1220">IFERROR((C1220-B1220)/C1220*100, "N/A")</f>
        <v>-121.6425476</v>
      </c>
      <c r="J1220" s="1"/>
      <c r="K1220" s="1"/>
    </row>
    <row r="1221" ht="14.25" customHeight="1">
      <c r="A1221" s="1" t="s">
        <v>6328</v>
      </c>
      <c r="B1221" s="1">
        <v>4.0E7</v>
      </c>
      <c r="C1221" s="1">
        <v>1.5962471E7</v>
      </c>
      <c r="F1221" s="4">
        <v>-2.4037529E7</v>
      </c>
      <c r="G1221" s="4">
        <f t="array" ref="G1221">IFERROR((C1221-B1221)/C1221*100, "N/A")</f>
        <v>-150.5877693</v>
      </c>
      <c r="J1221" s="1"/>
      <c r="K1221" s="1"/>
    </row>
    <row r="1222" ht="14.25" customHeight="1">
      <c r="A1222" s="1" t="s">
        <v>6331</v>
      </c>
      <c r="B1222" s="1">
        <v>4.0E7</v>
      </c>
      <c r="C1222" s="1">
        <v>1.4942422E7</v>
      </c>
      <c r="F1222" s="4">
        <v>-2.5057578E7</v>
      </c>
      <c r="G1222" s="4">
        <f t="array" ref="G1222">IFERROR((C1222-B1222)/C1222*100, "N/A")</f>
        <v>-167.6942199</v>
      </c>
      <c r="J1222" s="1"/>
      <c r="K1222" s="1"/>
    </row>
    <row r="1223" ht="14.25" customHeight="1">
      <c r="A1223" s="1" t="s">
        <v>6335</v>
      </c>
      <c r="B1223" s="1">
        <v>4.0E7</v>
      </c>
      <c r="C1223" s="1">
        <v>1.4967182E7</v>
      </c>
      <c r="F1223" s="4">
        <v>-2.5032818E7</v>
      </c>
      <c r="G1223" s="4">
        <f t="array" ref="G1223">IFERROR((C1223-B1223)/C1223*100, "N/A")</f>
        <v>-167.251377</v>
      </c>
      <c r="J1223" s="1"/>
      <c r="K1223" s="1"/>
    </row>
    <row r="1224" ht="14.25" customHeight="1">
      <c r="A1224" s="1" t="s">
        <v>6340</v>
      </c>
      <c r="B1224" s="1">
        <v>4.5E7</v>
      </c>
      <c r="C1224" s="1">
        <v>1.8996755E7</v>
      </c>
      <c r="F1224" s="4">
        <v>-2.6003245E7</v>
      </c>
      <c r="G1224" s="4">
        <f t="array" ref="G1224">IFERROR((C1224-B1224)/C1224*100, "N/A")</f>
        <v>-136.8825623</v>
      </c>
      <c r="J1224" s="1"/>
      <c r="K1224" s="1"/>
    </row>
    <row r="1225" ht="14.25" customHeight="1">
      <c r="A1225" s="1" t="s">
        <v>6346</v>
      </c>
      <c r="B1225" s="1">
        <v>5.1E7</v>
      </c>
      <c r="C1225" s="1">
        <v>1.4375181E7</v>
      </c>
      <c r="F1225" s="4">
        <v>-3.6624819E7</v>
      </c>
      <c r="G1225" s="4">
        <f t="array" ref="G1225">IFERROR((C1225-B1225)/C1225*100, "N/A")</f>
        <v>-254.7781416</v>
      </c>
      <c r="J1225" s="1"/>
      <c r="K1225" s="1"/>
    </row>
    <row r="1226" ht="14.25" customHeight="1">
      <c r="A1226" s="1" t="s">
        <v>6352</v>
      </c>
      <c r="B1226" s="1">
        <v>4.0E7</v>
      </c>
      <c r="C1226" s="1">
        <v>2.0999103E7</v>
      </c>
      <c r="F1226" s="4">
        <v>-1.9000897E7</v>
      </c>
      <c r="G1226" s="4">
        <f t="array" ref="G1226">IFERROR((C1226-B1226)/C1226*100, "N/A")</f>
        <v>-90.48432688</v>
      </c>
      <c r="J1226" s="1"/>
      <c r="K1226" s="1"/>
    </row>
    <row r="1227" ht="14.25" customHeight="1">
      <c r="A1227" s="1" t="s">
        <v>6356</v>
      </c>
      <c r="B1227" s="1">
        <v>4.0E7</v>
      </c>
      <c r="C1227" s="1">
        <v>1.4448589E7</v>
      </c>
      <c r="F1227" s="4">
        <v>-2.5551411E7</v>
      </c>
      <c r="G1227" s="4">
        <f t="array" ref="G1227">IFERROR((C1227-B1227)/C1227*100, "N/A")</f>
        <v>-176.843642</v>
      </c>
      <c r="J1227" s="1"/>
      <c r="K1227" s="1"/>
    </row>
    <row r="1228" ht="14.25" customHeight="1">
      <c r="A1228" s="1" t="s">
        <v>6360</v>
      </c>
      <c r="B1228" s="1">
        <v>4.0E7</v>
      </c>
      <c r="C1228" s="1">
        <v>1.4358033E7</v>
      </c>
      <c r="F1228" s="4">
        <v>-2.5641967E7</v>
      </c>
      <c r="G1228" s="4">
        <f t="array" ref="G1228">IFERROR((C1228-B1228)/C1228*100, "N/A")</f>
        <v>-178.5896926</v>
      </c>
      <c r="J1228" s="1"/>
      <c r="K1228" s="1"/>
    </row>
    <row r="1229" ht="14.25" customHeight="1">
      <c r="A1229" s="1" t="s">
        <v>6366</v>
      </c>
      <c r="B1229" s="1">
        <v>7.7E7</v>
      </c>
      <c r="C1229" s="1">
        <v>3.3201661E7</v>
      </c>
      <c r="F1229" s="4">
        <v>-4.3798339E7</v>
      </c>
      <c r="G1229" s="4">
        <f t="array" ref="G1229">IFERROR((C1229-B1229)/C1229*100, "N/A")</f>
        <v>-131.9161081</v>
      </c>
      <c r="J1229" s="1"/>
      <c r="K1229" s="1"/>
    </row>
    <row r="1230" ht="14.25" customHeight="1">
      <c r="A1230" s="1" t="s">
        <v>6372</v>
      </c>
      <c r="B1230" s="1">
        <v>3.0E7</v>
      </c>
      <c r="C1230" s="1">
        <v>1.4018364E7</v>
      </c>
      <c r="F1230" s="4">
        <v>-1.5981636E7</v>
      </c>
      <c r="G1230" s="4">
        <f t="array" ref="G1230">IFERROR((C1230-B1230)/C1230*100, "N/A")</f>
        <v>-114.0050009</v>
      </c>
      <c r="J1230" s="1"/>
      <c r="K1230" s="1"/>
    </row>
    <row r="1231" ht="14.25" customHeight="1">
      <c r="A1231" s="1" t="s">
        <v>6380</v>
      </c>
      <c r="B1231" s="1">
        <v>6.0E7</v>
      </c>
      <c r="C1231" s="1">
        <v>1.3395939E7</v>
      </c>
      <c r="F1231" s="4">
        <v>-4.6604061E7</v>
      </c>
      <c r="G1231" s="4">
        <f t="array" ref="G1231">IFERROR((C1231-B1231)/C1231*100, "N/A")</f>
        <v>-347.8969335</v>
      </c>
      <c r="J1231" s="1"/>
      <c r="K1231" s="1"/>
    </row>
    <row r="1232" ht="14.25" customHeight="1">
      <c r="A1232" s="1" t="s">
        <v>6383</v>
      </c>
      <c r="B1232" s="1">
        <v>4.0E7</v>
      </c>
      <c r="C1232" s="1">
        <v>2.0113965E7</v>
      </c>
      <c r="F1232" s="4">
        <v>-1.9886035E7</v>
      </c>
      <c r="G1232" s="4">
        <f t="array" ref="G1232">IFERROR((C1232-B1232)/C1232*100, "N/A")</f>
        <v>-98.86680722</v>
      </c>
      <c r="J1232" s="1"/>
      <c r="K1232" s="1"/>
    </row>
    <row r="1233" ht="14.25" customHeight="1">
      <c r="A1233" s="1" t="s">
        <v>6389</v>
      </c>
      <c r="B1233" s="1">
        <v>4.0E7</v>
      </c>
      <c r="C1233" s="1">
        <v>1.3376506E7</v>
      </c>
      <c r="F1233" s="4">
        <v>-2.6623494E7</v>
      </c>
      <c r="G1233" s="4">
        <f t="array" ref="G1233">IFERROR((C1233-B1233)/C1233*100, "N/A")</f>
        <v>-199.0317501</v>
      </c>
      <c r="J1233" s="1"/>
      <c r="K1233" s="1"/>
    </row>
    <row r="1234" ht="14.25" customHeight="1">
      <c r="A1234" s="1" t="s">
        <v>6394</v>
      </c>
      <c r="B1234" s="1">
        <v>4.2E7</v>
      </c>
      <c r="C1234" s="1">
        <v>1.3208023E7</v>
      </c>
      <c r="F1234" s="4">
        <v>-2.8791977E7</v>
      </c>
      <c r="G1234" s="4">
        <f t="array" ref="G1234">IFERROR((C1234-B1234)/C1234*100, "N/A")</f>
        <v>-217.9885438</v>
      </c>
      <c r="J1234" s="1"/>
      <c r="K1234" s="1"/>
    </row>
    <row r="1235" ht="14.25" customHeight="1">
      <c r="A1235" s="1" t="s">
        <v>6399</v>
      </c>
      <c r="B1235" s="1">
        <v>4.0E7</v>
      </c>
      <c r="C1235" s="1">
        <v>1.383813E7</v>
      </c>
      <c r="F1235" s="4">
        <v>-2.616187E7</v>
      </c>
      <c r="G1235" s="4">
        <f t="array" ref="G1235">IFERROR((C1235-B1235)/C1235*100, "N/A")</f>
        <v>-189.0563971</v>
      </c>
      <c r="J1235" s="1"/>
      <c r="K1235" s="1"/>
    </row>
    <row r="1236" ht="14.25" customHeight="1">
      <c r="A1236" s="1" t="s">
        <v>5672</v>
      </c>
      <c r="B1236" s="1">
        <v>4.0E7</v>
      </c>
      <c r="C1236" s="1">
        <v>5773519.0</v>
      </c>
      <c r="F1236" s="4">
        <v>-3.4226481E7</v>
      </c>
      <c r="G1236" s="4">
        <f t="array" ref="G1236">IFERROR((C1236-B1236)/C1236*100, "N/A")</f>
        <v>-592.8183661</v>
      </c>
      <c r="J1236" s="1"/>
      <c r="K1236" s="1"/>
    </row>
    <row r="1237" ht="14.25" customHeight="1">
      <c r="A1237" s="1" t="s">
        <v>6402</v>
      </c>
      <c r="B1237" s="1">
        <v>4.0E7</v>
      </c>
      <c r="C1237" s="1">
        <v>9652000.0</v>
      </c>
      <c r="F1237" s="4">
        <v>-3.0348E7</v>
      </c>
      <c r="G1237" s="4">
        <f t="array" ref="G1237">IFERROR((C1237-B1237)/C1237*100, "N/A")</f>
        <v>-314.4218815</v>
      </c>
      <c r="J1237" s="1"/>
      <c r="K1237" s="1"/>
    </row>
    <row r="1238" ht="14.25" customHeight="1">
      <c r="A1238" s="1" t="s">
        <v>6406</v>
      </c>
      <c r="B1238" s="1">
        <v>3.6E7</v>
      </c>
      <c r="C1238" s="1">
        <v>7000000.0</v>
      </c>
      <c r="F1238" s="4">
        <v>-2.9E7</v>
      </c>
      <c r="G1238" s="4">
        <f t="array" ref="G1238">IFERROR((C1238-B1238)/C1238*100, "N/A")</f>
        <v>-414.2857143</v>
      </c>
      <c r="J1238" s="1"/>
      <c r="K1238" s="1"/>
    </row>
    <row r="1239" ht="14.25" customHeight="1">
      <c r="A1239" s="1" t="s">
        <v>6411</v>
      </c>
      <c r="B1239" s="1">
        <v>2.4E7</v>
      </c>
      <c r="C1239" s="1">
        <v>1.043122E7</v>
      </c>
      <c r="F1239" s="4">
        <v>-1.356878E7</v>
      </c>
      <c r="G1239" s="4">
        <f t="array" ref="G1239">IFERROR((C1239-B1239)/C1239*100, "N/A")</f>
        <v>-130.0785527</v>
      </c>
      <c r="J1239" s="1"/>
      <c r="K1239" s="1"/>
    </row>
    <row r="1240" ht="14.25" customHeight="1">
      <c r="A1240" s="1" t="s">
        <v>6415</v>
      </c>
      <c r="B1240" s="1">
        <v>3.3E7</v>
      </c>
      <c r="C1240" s="1">
        <v>1.0326062E7</v>
      </c>
      <c r="F1240" s="4">
        <v>-2.2673938E7</v>
      </c>
      <c r="G1240" s="4">
        <f t="array" ref="G1240">IFERROR((C1240-B1240)/C1240*100, "N/A")</f>
        <v>-219.5797197</v>
      </c>
      <c r="J1240" s="1"/>
      <c r="K1240" s="1"/>
    </row>
    <row r="1241" ht="14.25" customHeight="1">
      <c r="A1241" s="1" t="s">
        <v>6420</v>
      </c>
      <c r="B1241" s="1">
        <v>4.0E7</v>
      </c>
      <c r="C1241" s="1">
        <v>6114237.0</v>
      </c>
      <c r="F1241" s="4">
        <v>-3.3885763E7</v>
      </c>
      <c r="G1241" s="4">
        <f t="array" ref="G1241">IFERROR((C1241-B1241)/C1241*100, "N/A")</f>
        <v>-554.2108198</v>
      </c>
      <c r="J1241" s="1"/>
      <c r="K1241" s="1"/>
    </row>
    <row r="1242" ht="14.25" customHeight="1">
      <c r="A1242" s="1" t="s">
        <v>6424</v>
      </c>
      <c r="B1242" s="1">
        <v>4.0E7</v>
      </c>
      <c r="C1242" s="1">
        <v>4835968.0</v>
      </c>
      <c r="F1242" s="4">
        <v>-3.5164032E7</v>
      </c>
      <c r="G1242" s="4">
        <f t="array" ref="G1242">IFERROR((C1242-B1242)/C1242*100, "N/A")</f>
        <v>-727.1353326</v>
      </c>
      <c r="J1242" s="1"/>
      <c r="K1242" s="1"/>
    </row>
    <row r="1243" ht="14.25" customHeight="1">
      <c r="A1243" s="1" t="s">
        <v>6429</v>
      </c>
      <c r="B1243" s="1">
        <v>4.0E7</v>
      </c>
      <c r="C1243" s="1">
        <v>4777007.0</v>
      </c>
      <c r="F1243" s="4">
        <v>-3.5222993E7</v>
      </c>
      <c r="G1243" s="4">
        <f t="array" ref="G1243">IFERROR((C1243-B1243)/C1243*100, "N/A")</f>
        <v>-737.3443874</v>
      </c>
      <c r="J1243" s="1"/>
      <c r="K1243" s="1"/>
    </row>
    <row r="1244" ht="14.25" customHeight="1">
      <c r="A1244" s="1" t="s">
        <v>6435</v>
      </c>
      <c r="B1244" s="1">
        <v>2.6E7</v>
      </c>
      <c r="C1244" s="1">
        <v>3675072.0</v>
      </c>
      <c r="F1244" s="4">
        <v>-2.2324928E7</v>
      </c>
      <c r="G1244" s="4">
        <f t="array" ref="G1244">IFERROR((C1244-B1244)/C1244*100, "N/A")</f>
        <v>-607.4691326</v>
      </c>
      <c r="J1244" s="1"/>
      <c r="K1244" s="1"/>
    </row>
    <row r="1245" ht="14.25" customHeight="1">
      <c r="A1245" s="1" t="s">
        <v>6439</v>
      </c>
      <c r="B1245" s="1">
        <v>4.0E7</v>
      </c>
      <c r="C1245" s="1">
        <v>1.8438149E7</v>
      </c>
      <c r="F1245" s="4">
        <v>-2.1561851E7</v>
      </c>
      <c r="G1245" s="4">
        <f t="array" ref="G1245">IFERROR((C1245-B1245)/C1245*100, "N/A")</f>
        <v>-116.9415162</v>
      </c>
      <c r="J1245" s="1"/>
      <c r="K1245" s="1"/>
    </row>
    <row r="1246" ht="14.25" customHeight="1">
      <c r="A1246" s="1" t="s">
        <v>6446</v>
      </c>
      <c r="B1246" s="1">
        <v>4.0E7</v>
      </c>
      <c r="C1246" s="1">
        <v>511920.0</v>
      </c>
      <c r="F1246" s="4">
        <v>-3.948808E7</v>
      </c>
      <c r="G1246" s="4">
        <f t="array" ref="G1246">IFERROR((C1246-B1246)/C1246*100, "N/A")</f>
        <v>-7713.720894</v>
      </c>
      <c r="J1246" s="1"/>
      <c r="K1246" s="1"/>
    </row>
    <row r="1247" ht="14.25" customHeight="1">
      <c r="A1247" s="1" t="s">
        <v>6451</v>
      </c>
      <c r="B1247" s="1">
        <v>4.0E7</v>
      </c>
      <c r="C1247" s="1">
        <v>1.0640645E7</v>
      </c>
      <c r="F1247" s="4">
        <v>-2.9359355E7</v>
      </c>
      <c r="G1247" s="4">
        <f t="array" ref="G1247">IFERROR((C1247-B1247)/C1247*100, "N/A")</f>
        <v>-275.9170614</v>
      </c>
      <c r="J1247" s="1"/>
      <c r="K1247" s="1"/>
    </row>
    <row r="1248" ht="14.25" customHeight="1">
      <c r="A1248" s="1" t="s">
        <v>6456</v>
      </c>
      <c r="B1248" s="1">
        <v>4.0E7</v>
      </c>
      <c r="C1248" s="1">
        <v>652526.0</v>
      </c>
      <c r="F1248" s="4">
        <v>-3.9347474E7</v>
      </c>
      <c r="G1248" s="4">
        <f t="array" ref="G1248">IFERROR((C1248-B1248)/C1248*100, "N/A")</f>
        <v>-6030.023938</v>
      </c>
      <c r="J1248" s="1"/>
      <c r="K1248" s="1"/>
    </row>
    <row r="1249" ht="14.25" customHeight="1">
      <c r="A1249" s="1" t="s">
        <v>6461</v>
      </c>
      <c r="B1249" s="1">
        <v>2.0E7</v>
      </c>
      <c r="C1249" s="1">
        <v>8.0050171E7</v>
      </c>
      <c r="F1249" s="4">
        <v>6.0050171E7</v>
      </c>
      <c r="G1249" s="4">
        <f t="array" ref="G1249">IFERROR((C1249-B1249)/C1249*100, "N/A")</f>
        <v>75.01566861</v>
      </c>
      <c r="J1249" s="1"/>
      <c r="K1249" s="1"/>
    </row>
    <row r="1250" ht="14.25" customHeight="1">
      <c r="A1250" s="1" t="s">
        <v>6466</v>
      </c>
      <c r="B1250" s="1">
        <v>2.0E7</v>
      </c>
      <c r="C1250" s="1">
        <v>7564000.0</v>
      </c>
      <c r="F1250" s="4">
        <v>-1.2436E7</v>
      </c>
      <c r="G1250" s="4">
        <f t="array" ref="G1250">IFERROR((C1250-B1250)/C1250*100, "N/A")</f>
        <v>-164.4103649</v>
      </c>
      <c r="J1250" s="1"/>
      <c r="K1250" s="1"/>
    </row>
    <row r="1251" ht="14.25" customHeight="1">
      <c r="A1251" s="1" t="s">
        <v>6470</v>
      </c>
      <c r="B1251" s="1">
        <v>2.5E7</v>
      </c>
      <c r="C1251" s="1">
        <v>876671.0</v>
      </c>
      <c r="F1251" s="4">
        <v>-2.4123329E7</v>
      </c>
      <c r="G1251" s="4">
        <f t="array" ref="G1251">IFERROR((C1251-B1251)/C1251*100, "N/A")</f>
        <v>-2751.696931</v>
      </c>
      <c r="J1251" s="1"/>
      <c r="K1251" s="1"/>
    </row>
    <row r="1252" ht="14.25" customHeight="1">
      <c r="A1252" s="1" t="s">
        <v>6477</v>
      </c>
      <c r="B1252" s="1">
        <v>3.0E7</v>
      </c>
      <c r="C1252" s="1">
        <v>2869369.0</v>
      </c>
      <c r="F1252" s="4">
        <v>-2.7130631E7</v>
      </c>
      <c r="G1252" s="4">
        <f t="array" ref="G1252">IFERROR((C1252-B1252)/C1252*100, "N/A")</f>
        <v>-945.5260373</v>
      </c>
      <c r="J1252" s="1"/>
      <c r="K1252" s="1"/>
    </row>
    <row r="1253" ht="14.25" customHeight="1">
      <c r="A1253" s="1" t="s">
        <v>6482</v>
      </c>
      <c r="B1253" s="1">
        <v>4.0E7</v>
      </c>
      <c r="C1253" s="1">
        <v>128978.0</v>
      </c>
      <c r="F1253" s="4">
        <v>-3.9871022E7</v>
      </c>
      <c r="G1253" s="4">
        <f t="array" ref="G1253">IFERROR((C1253-B1253)/C1253*100, "N/A")</f>
        <v>-30913.04098</v>
      </c>
      <c r="J1253" s="1"/>
      <c r="K1253" s="1"/>
    </row>
    <row r="1254" ht="14.25" customHeight="1">
      <c r="A1254" s="1" t="s">
        <v>6487</v>
      </c>
      <c r="B1254" s="1">
        <v>2.5E7</v>
      </c>
      <c r="C1254" s="1">
        <v>77231.0</v>
      </c>
      <c r="F1254" s="4">
        <v>-2.4922769E7</v>
      </c>
      <c r="G1254" s="4">
        <f t="array" ref="G1254">IFERROR((C1254-B1254)/C1254*100, "N/A")</f>
        <v>-32270.4212</v>
      </c>
      <c r="J1254" s="1"/>
      <c r="K1254" s="1"/>
    </row>
    <row r="1255" ht="14.25" customHeight="1">
      <c r="A1255" s="1" t="s">
        <v>6493</v>
      </c>
      <c r="B1255" s="1">
        <v>3.92E7</v>
      </c>
      <c r="C1255" s="1">
        <v>4563029.0</v>
      </c>
      <c r="F1255" s="4">
        <v>-3.4636971E7</v>
      </c>
      <c r="G1255" s="4">
        <f t="array" ref="G1255">IFERROR((C1255-B1255)/C1255*100, "N/A")</f>
        <v>-759.0784762</v>
      </c>
      <c r="J1255" s="1"/>
      <c r="K1255" s="1"/>
    </row>
    <row r="1256" ht="14.25" customHeight="1">
      <c r="A1256" s="1" t="s">
        <v>6498</v>
      </c>
      <c r="B1256" s="1">
        <v>2.3E7</v>
      </c>
      <c r="C1256" s="1">
        <v>5.0693162E7</v>
      </c>
      <c r="F1256" s="4">
        <v>2.7693162E7</v>
      </c>
      <c r="G1256" s="4">
        <f t="array" ref="G1256">IFERROR((C1256-B1256)/C1256*100, "N/A")</f>
        <v>54.62898921</v>
      </c>
      <c r="J1256" s="1"/>
      <c r="K1256" s="1"/>
    </row>
    <row r="1257" ht="14.25" customHeight="1">
      <c r="A1257" s="1" t="s">
        <v>6502</v>
      </c>
      <c r="B1257" s="1">
        <v>3.9E7</v>
      </c>
      <c r="C1257" s="1">
        <v>6.3411478E7</v>
      </c>
      <c r="F1257" s="4">
        <v>2.4411478E7</v>
      </c>
      <c r="G1257" s="4">
        <f t="array" ref="G1257">IFERROR((C1257-B1257)/C1257*100, "N/A")</f>
        <v>38.49693899</v>
      </c>
      <c r="J1257" s="1"/>
      <c r="K1257" s="1"/>
    </row>
    <row r="1258" ht="14.25" customHeight="1">
      <c r="A1258" s="1" t="s">
        <v>644</v>
      </c>
      <c r="B1258" s="1">
        <v>3.8E7</v>
      </c>
      <c r="C1258" s="1">
        <v>1.4451231E8</v>
      </c>
      <c r="F1258" s="4">
        <v>1.0651231E8</v>
      </c>
      <c r="G1258" s="4">
        <f t="array" ref="G1258">IFERROR((C1258-B1258)/C1258*100, "N/A")</f>
        <v>73.70466225</v>
      </c>
      <c r="J1258" s="1"/>
      <c r="K1258" s="1"/>
    </row>
    <row r="1259" ht="14.25" customHeight="1">
      <c r="A1259" s="1" t="s">
        <v>6509</v>
      </c>
      <c r="B1259" s="1">
        <v>3.9E7</v>
      </c>
      <c r="C1259" s="1">
        <v>3.5287788E7</v>
      </c>
      <c r="F1259" s="4">
        <v>-3712212.0</v>
      </c>
      <c r="G1259" s="4">
        <f t="array" ref="G1259">IFERROR((C1259-B1259)/C1259*100, "N/A")</f>
        <v>-10.51982062</v>
      </c>
      <c r="J1259" s="1"/>
      <c r="K1259" s="1"/>
    </row>
    <row r="1260" ht="14.25" customHeight="1">
      <c r="A1260" s="1" t="s">
        <v>6514</v>
      </c>
      <c r="B1260" s="1">
        <v>4.0E7</v>
      </c>
      <c r="C1260" s="1">
        <v>2.5335935E7</v>
      </c>
      <c r="F1260" s="4">
        <v>-1.4664065E7</v>
      </c>
      <c r="G1260" s="4">
        <f t="array" ref="G1260">IFERROR((C1260-B1260)/C1260*100, "N/A")</f>
        <v>-57.87852313</v>
      </c>
      <c r="J1260" s="1"/>
      <c r="K1260" s="1"/>
    </row>
    <row r="1261" ht="14.25" customHeight="1">
      <c r="A1261" s="1" t="s">
        <v>6519</v>
      </c>
      <c r="B1261" s="1">
        <v>3.9E7</v>
      </c>
      <c r="C1261" s="1">
        <v>5881504.0</v>
      </c>
      <c r="F1261" s="4">
        <v>-3.3118496E7</v>
      </c>
      <c r="G1261" s="4">
        <f t="array" ref="G1261">IFERROR((C1261-B1261)/C1261*100, "N/A")</f>
        <v>-563.095698</v>
      </c>
      <c r="J1261" s="1"/>
      <c r="K1261" s="1"/>
    </row>
    <row r="1262" ht="14.25" customHeight="1">
      <c r="A1262" s="1" t="s">
        <v>6523</v>
      </c>
      <c r="B1262" s="1">
        <v>3.9E7</v>
      </c>
      <c r="C1262" s="1">
        <v>6.0E7</v>
      </c>
      <c r="F1262" s="4">
        <v>2.1E7</v>
      </c>
      <c r="G1262" s="4">
        <f t="array" ref="G1262">IFERROR((C1262-B1262)/C1262*100, "N/A")</f>
        <v>35</v>
      </c>
      <c r="J1262" s="1"/>
      <c r="K1262" s="1"/>
    </row>
    <row r="1263" ht="14.25" customHeight="1">
      <c r="A1263" s="1" t="s">
        <v>6527</v>
      </c>
      <c r="B1263" s="1">
        <v>4.0E7</v>
      </c>
      <c r="C1263" s="1">
        <v>2.9802761E7</v>
      </c>
      <c r="F1263" s="4">
        <v>-1.0197239E7</v>
      </c>
      <c r="G1263" s="4">
        <f t="array" ref="G1263">IFERROR((C1263-B1263)/C1263*100, "N/A")</f>
        <v>-34.21575269</v>
      </c>
      <c r="J1263" s="1"/>
      <c r="K1263" s="1"/>
    </row>
    <row r="1264" ht="14.25" customHeight="1">
      <c r="A1264" s="1" t="s">
        <v>6531</v>
      </c>
      <c r="B1264" s="1">
        <v>5.53632E8</v>
      </c>
      <c r="C1264" s="1">
        <v>626809.0</v>
      </c>
      <c r="F1264" s="4">
        <v>-5.53005191E8</v>
      </c>
      <c r="G1264" s="4">
        <f t="array" ref="G1264">IFERROR((C1264-B1264)/C1264*100, "N/A")</f>
        <v>-88225.47076</v>
      </c>
      <c r="J1264" s="1"/>
      <c r="K1264" s="1"/>
    </row>
    <row r="1265" ht="14.25" customHeight="1">
      <c r="A1265" s="1" t="s">
        <v>6535</v>
      </c>
      <c r="B1265" s="1">
        <v>3.8E7</v>
      </c>
      <c r="C1265" s="1">
        <v>1.27214072E8</v>
      </c>
      <c r="F1265" s="4">
        <v>8.9214072E7</v>
      </c>
      <c r="G1265" s="4">
        <f t="array" ref="G1265">IFERROR((C1265-B1265)/C1265*100, "N/A")</f>
        <v>70.12909075</v>
      </c>
      <c r="J1265" s="1"/>
      <c r="K1265" s="1"/>
    </row>
    <row r="1266" ht="14.25" customHeight="1">
      <c r="A1266" s="1" t="s">
        <v>6539</v>
      </c>
      <c r="B1266" s="1">
        <v>3.8E7</v>
      </c>
      <c r="C1266" s="1">
        <v>8.8915214E7</v>
      </c>
      <c r="F1266" s="4">
        <v>5.0915214E7</v>
      </c>
      <c r="G1266" s="4">
        <f t="array" ref="G1266">IFERROR((C1266-B1266)/C1266*100, "N/A")</f>
        <v>57.26265698</v>
      </c>
      <c r="J1266" s="1"/>
      <c r="K1266" s="1"/>
    </row>
    <row r="1267" ht="14.25" customHeight="1">
      <c r="A1267" s="1" t="s">
        <v>6544</v>
      </c>
      <c r="B1267" s="1">
        <v>3.9E7</v>
      </c>
      <c r="C1267" s="1">
        <v>3.04E7</v>
      </c>
      <c r="F1267" s="4">
        <v>-8600000.0</v>
      </c>
      <c r="G1267" s="4">
        <f t="array" ref="G1267">IFERROR((C1267-B1267)/C1267*100, "N/A")</f>
        <v>-28.28947368</v>
      </c>
      <c r="J1267" s="1"/>
      <c r="K1267" s="1"/>
    </row>
    <row r="1268" ht="14.25" customHeight="1">
      <c r="A1268" s="1" t="s">
        <v>6549</v>
      </c>
      <c r="B1268" s="1">
        <v>3.8E7</v>
      </c>
      <c r="C1268" s="1">
        <v>8.5570368E7</v>
      </c>
      <c r="F1268" s="4">
        <v>4.7570368E7</v>
      </c>
      <c r="G1268" s="4">
        <f t="array" ref="G1268">IFERROR((C1268-B1268)/C1268*100, "N/A")</f>
        <v>55.59210403</v>
      </c>
      <c r="J1268" s="1"/>
      <c r="K1268" s="1"/>
    </row>
    <row r="1269" ht="14.25" customHeight="1">
      <c r="A1269" s="1" t="s">
        <v>6554</v>
      </c>
      <c r="B1269" s="1">
        <v>3.5E7</v>
      </c>
      <c r="C1269" s="1">
        <v>7.5668868E7</v>
      </c>
      <c r="F1269" s="4">
        <v>4.0668868E7</v>
      </c>
      <c r="G1269" s="4">
        <f t="array" ref="G1269">IFERROR((C1269-B1269)/C1269*100, "N/A")</f>
        <v>53.74583904</v>
      </c>
      <c r="J1269" s="1"/>
      <c r="K1269" s="1"/>
    </row>
    <row r="1270" ht="14.25" customHeight="1">
      <c r="A1270" s="1" t="s">
        <v>6558</v>
      </c>
      <c r="B1270" s="1">
        <v>3.86E7</v>
      </c>
      <c r="C1270" s="1">
        <v>6594136.0</v>
      </c>
      <c r="F1270" s="4">
        <v>-3.2005864E7</v>
      </c>
      <c r="G1270" s="4">
        <f t="array" ref="G1270">IFERROR((C1270-B1270)/C1270*100, "N/A")</f>
        <v>-485.368576</v>
      </c>
      <c r="J1270" s="1"/>
      <c r="K1270" s="1"/>
    </row>
    <row r="1271" ht="14.25" customHeight="1">
      <c r="A1271" s="1" t="s">
        <v>6564</v>
      </c>
      <c r="B1271" s="1">
        <v>3.8E7</v>
      </c>
      <c r="C1271" s="1">
        <v>5.8700247E7</v>
      </c>
      <c r="F1271" s="4">
        <v>2.0700247E7</v>
      </c>
      <c r="G1271" s="4">
        <f t="array" ref="G1271">IFERROR((C1271-B1271)/C1271*100, "N/A")</f>
        <v>35.26432691</v>
      </c>
      <c r="J1271" s="1"/>
      <c r="K1271" s="1"/>
    </row>
    <row r="1272" ht="14.25" customHeight="1">
      <c r="A1272" s="1" t="s">
        <v>6568</v>
      </c>
      <c r="B1272" s="1">
        <v>3.8E7</v>
      </c>
      <c r="C1272" s="1">
        <v>5.0668906E7</v>
      </c>
      <c r="F1272" s="4">
        <v>1.2668906E7</v>
      </c>
      <c r="G1272" s="4">
        <f t="array" ref="G1272">IFERROR((C1272-B1272)/C1272*100, "N/A")</f>
        <v>25.00331466</v>
      </c>
      <c r="J1272" s="1"/>
      <c r="K1272" s="1"/>
    </row>
    <row r="1273" ht="14.25" customHeight="1">
      <c r="A1273" s="1" t="s">
        <v>6571</v>
      </c>
      <c r="B1273" s="1">
        <v>3.8E7</v>
      </c>
      <c r="C1273" s="1">
        <v>3.9177215E7</v>
      </c>
      <c r="F1273" s="4">
        <v>1177215.0</v>
      </c>
      <c r="G1273" s="4">
        <f t="array" ref="G1273">IFERROR((C1273-B1273)/C1273*100, "N/A")</f>
        <v>3.004846057</v>
      </c>
      <c r="J1273" s="1"/>
      <c r="K1273" s="1"/>
    </row>
    <row r="1274" ht="14.25" customHeight="1">
      <c r="A1274" s="1" t="s">
        <v>6576</v>
      </c>
      <c r="B1274" s="1">
        <v>3.5E7</v>
      </c>
      <c r="C1274" s="1">
        <v>4.0334024E7</v>
      </c>
      <c r="F1274" s="4">
        <v>5334024.0</v>
      </c>
      <c r="G1274" s="4">
        <f t="array" ref="G1274">IFERROR((C1274-B1274)/C1274*100, "N/A")</f>
        <v>13.22462643</v>
      </c>
      <c r="J1274" s="1"/>
      <c r="K1274" s="1"/>
    </row>
    <row r="1275" ht="14.25" customHeight="1">
      <c r="A1275" s="1" t="s">
        <v>6579</v>
      </c>
      <c r="B1275" s="1">
        <v>3.0E7</v>
      </c>
      <c r="C1275" s="1">
        <v>7.103819E7</v>
      </c>
      <c r="F1275" s="4">
        <v>4.103819E7</v>
      </c>
      <c r="G1275" s="4">
        <f t="array" ref="G1275">IFERROR((C1275-B1275)/C1275*100, "N/A")</f>
        <v>57.76919429</v>
      </c>
      <c r="J1275" s="1"/>
      <c r="K1275" s="1"/>
    </row>
    <row r="1276" ht="14.25" customHeight="1">
      <c r="A1276" s="1" t="s">
        <v>6586</v>
      </c>
      <c r="B1276" s="1">
        <v>3.8E7</v>
      </c>
      <c r="C1276" s="1">
        <v>2.4044532E7</v>
      </c>
      <c r="F1276" s="4">
        <v>-1.3955468E7</v>
      </c>
      <c r="G1276" s="4">
        <f t="array" ref="G1276">IFERROR((C1276-B1276)/C1276*100, "N/A")</f>
        <v>-58.04008995</v>
      </c>
      <c r="J1276" s="1"/>
      <c r="K1276" s="1"/>
    </row>
    <row r="1277" ht="14.25" customHeight="1">
      <c r="A1277" s="1" t="s">
        <v>6591</v>
      </c>
      <c r="B1277" s="1">
        <v>3.8E7</v>
      </c>
      <c r="C1277" s="1">
        <v>2.2770864E7</v>
      </c>
      <c r="F1277" s="4">
        <v>-1.5229136E7</v>
      </c>
      <c r="G1277" s="4">
        <f t="array" ref="G1277">IFERROR((C1277-B1277)/C1277*100, "N/A")</f>
        <v>-66.87992164</v>
      </c>
      <c r="J1277" s="1"/>
      <c r="K1277" s="1"/>
    </row>
    <row r="1278" ht="14.25" customHeight="1">
      <c r="A1278" s="1" t="s">
        <v>6594</v>
      </c>
      <c r="B1278" s="1">
        <v>3.8E7</v>
      </c>
      <c r="C1278" s="1">
        <v>1.8653746E7</v>
      </c>
      <c r="F1278" s="4">
        <v>-1.9346254E7</v>
      </c>
      <c r="G1278" s="4">
        <f t="array" ref="G1278">IFERROR((C1278-B1278)/C1278*100, "N/A")</f>
        <v>-103.712434</v>
      </c>
      <c r="J1278" s="1"/>
      <c r="K1278" s="1"/>
    </row>
    <row r="1279" ht="14.25" customHeight="1">
      <c r="A1279" s="1" t="s">
        <v>6597</v>
      </c>
      <c r="B1279" s="1">
        <v>3.8E7</v>
      </c>
      <c r="C1279" s="1">
        <v>1.7305211E7</v>
      </c>
      <c r="F1279" s="4">
        <v>-2.0694789E7</v>
      </c>
      <c r="G1279" s="4">
        <f t="array" ref="G1279">IFERROR((C1279-B1279)/C1279*100, "N/A")</f>
        <v>-119.5870365</v>
      </c>
      <c r="J1279" s="1"/>
      <c r="K1279" s="1"/>
    </row>
    <row r="1280" ht="14.25" customHeight="1">
      <c r="A1280" s="1" t="s">
        <v>6601</v>
      </c>
      <c r="B1280" s="1">
        <v>5.7E7</v>
      </c>
      <c r="C1280" s="1">
        <v>1.6991902E7</v>
      </c>
      <c r="F1280" s="4">
        <v>-4.0008098E7</v>
      </c>
      <c r="G1280" s="4">
        <f t="array" ref="G1280">IFERROR((C1280-B1280)/C1280*100, "N/A")</f>
        <v>-235.4539121</v>
      </c>
      <c r="J1280" s="1"/>
      <c r="K1280" s="1"/>
    </row>
    <row r="1281" ht="14.25" customHeight="1">
      <c r="A1281" s="1" t="s">
        <v>6608</v>
      </c>
      <c r="B1281" s="1">
        <v>1.0E7</v>
      </c>
      <c r="C1281" s="1">
        <v>4.7536959E7</v>
      </c>
      <c r="F1281" s="4">
        <v>3.7536959E7</v>
      </c>
      <c r="G1281" s="4">
        <f t="array" ref="G1281">IFERROR((C1281-B1281)/C1281*100, "N/A")</f>
        <v>78.96373641</v>
      </c>
      <c r="J1281" s="1"/>
      <c r="K1281" s="1"/>
    </row>
    <row r="1282" ht="14.25" customHeight="1">
      <c r="A1282" s="1" t="s">
        <v>6612</v>
      </c>
      <c r="B1282" s="1">
        <v>3.8E7</v>
      </c>
      <c r="C1282" s="1">
        <v>1.03E7</v>
      </c>
      <c r="F1282" s="4">
        <v>-2.77E7</v>
      </c>
      <c r="G1282" s="4">
        <f t="array" ref="G1282">IFERROR((C1282-B1282)/C1282*100, "N/A")</f>
        <v>-268.9320388</v>
      </c>
      <c r="J1282" s="1"/>
      <c r="K1282" s="1"/>
    </row>
    <row r="1283" ht="14.25" customHeight="1">
      <c r="A1283" s="1" t="s">
        <v>6617</v>
      </c>
      <c r="B1283" s="1">
        <v>1.5E7</v>
      </c>
      <c r="C1283" s="1">
        <v>1.3782838E7</v>
      </c>
      <c r="F1283" s="4">
        <v>-1217162.0</v>
      </c>
      <c r="G1283" s="4">
        <f t="array" ref="G1283">IFERROR((C1283-B1283)/C1283*100, "N/A")</f>
        <v>-8.830996925</v>
      </c>
      <c r="J1283" s="1"/>
      <c r="K1283" s="1"/>
    </row>
    <row r="1284" ht="14.25" customHeight="1">
      <c r="A1284" s="1" t="s">
        <v>6623</v>
      </c>
      <c r="B1284" s="1">
        <v>3.8E7</v>
      </c>
      <c r="C1284" s="1">
        <v>4.199779E7</v>
      </c>
      <c r="F1284" s="4">
        <v>3997790.0</v>
      </c>
      <c r="G1284" s="4">
        <f t="array" ref="G1284">IFERROR((C1284-B1284)/C1284*100, "N/A")</f>
        <v>9.519048502</v>
      </c>
      <c r="J1284" s="1"/>
      <c r="K1284" s="1"/>
    </row>
    <row r="1285" ht="14.25" customHeight="1">
      <c r="A1285" s="1" t="s">
        <v>6628</v>
      </c>
      <c r="B1285" s="1">
        <v>3.7E7</v>
      </c>
      <c r="C1285" s="1">
        <v>6482195.0</v>
      </c>
      <c r="F1285" s="4">
        <v>-3.0517805E7</v>
      </c>
      <c r="G1285" s="4">
        <f t="array" ref="G1285">IFERROR((C1285-B1285)/C1285*100, "N/A")</f>
        <v>-470.7943066</v>
      </c>
      <c r="J1285" s="1"/>
      <c r="K1285" s="1"/>
    </row>
    <row r="1286" ht="14.25" customHeight="1">
      <c r="A1286" s="1" t="s">
        <v>6635</v>
      </c>
      <c r="B1286" s="1">
        <v>3.8E7</v>
      </c>
      <c r="C1286" s="1">
        <v>623374.0</v>
      </c>
      <c r="F1286" s="4">
        <v>-3.7376626E7</v>
      </c>
      <c r="G1286" s="4">
        <f t="array" ref="G1286">IFERROR((C1286-B1286)/C1286*100, "N/A")</f>
        <v>-5995.858987</v>
      </c>
      <c r="J1286" s="1"/>
      <c r="K1286" s="1"/>
    </row>
    <row r="1287" ht="14.25" customHeight="1">
      <c r="A1287" s="1" t="s">
        <v>6641</v>
      </c>
      <c r="B1287" s="1">
        <v>5.5E7</v>
      </c>
      <c r="C1287" s="1">
        <v>7871693.0</v>
      </c>
      <c r="F1287" s="4">
        <v>-4.7128307E7</v>
      </c>
      <c r="G1287" s="4">
        <f t="array" ref="G1287">IFERROR((C1287-B1287)/C1287*100, "N/A")</f>
        <v>-598.7061106</v>
      </c>
      <c r="J1287" s="1"/>
      <c r="K1287" s="1"/>
    </row>
    <row r="1288" ht="14.25" customHeight="1">
      <c r="A1288" s="1" t="s">
        <v>6647</v>
      </c>
      <c r="B1288" s="1">
        <v>3.2E7</v>
      </c>
      <c r="C1288" s="1">
        <v>1.6377274E7</v>
      </c>
      <c r="F1288" s="4">
        <v>-1.5622726E7</v>
      </c>
      <c r="G1288" s="4">
        <f t="array" ref="G1288">IFERROR((C1288-B1288)/C1288*100, "N/A")</f>
        <v>-95.3927131</v>
      </c>
      <c r="J1288" s="1"/>
      <c r="K1288" s="1"/>
    </row>
    <row r="1289" ht="14.25" customHeight="1">
      <c r="A1289" s="1" t="s">
        <v>6653</v>
      </c>
      <c r="B1289" s="1">
        <v>4.0E7</v>
      </c>
      <c r="C1289" s="1">
        <v>9589875.0</v>
      </c>
      <c r="F1289" s="4">
        <v>-3.0410125E7</v>
      </c>
      <c r="G1289" s="4">
        <f t="array" ref="G1289">IFERROR((C1289-B1289)/C1289*100, "N/A")</f>
        <v>-317.1065838</v>
      </c>
      <c r="J1289" s="1"/>
      <c r="K1289" s="1"/>
    </row>
    <row r="1290" ht="14.25" customHeight="1">
      <c r="A1290" s="1" t="s">
        <v>6657</v>
      </c>
      <c r="B1290" s="1">
        <v>3.8E7</v>
      </c>
      <c r="C1290" s="1">
        <v>3.4912982E7</v>
      </c>
      <c r="F1290" s="4">
        <v>-3087018.0</v>
      </c>
      <c r="G1290" s="4">
        <f t="array" ref="G1290">IFERROR((C1290-B1290)/C1290*100, "N/A")</f>
        <v>-8.842034748</v>
      </c>
      <c r="J1290" s="1"/>
      <c r="K1290" s="1"/>
    </row>
    <row r="1291" ht="14.25" customHeight="1">
      <c r="A1291" s="1" t="s">
        <v>6663</v>
      </c>
      <c r="B1291" s="1">
        <v>3.5E7</v>
      </c>
      <c r="C1291" s="1">
        <v>1.09712885E8</v>
      </c>
      <c r="F1291" s="4">
        <v>7.4712885E7</v>
      </c>
      <c r="G1291" s="4">
        <f t="array" ref="G1291">IFERROR((C1291-B1291)/C1291*100, "N/A")</f>
        <v>68.09855105</v>
      </c>
      <c r="J1291" s="1"/>
      <c r="K1291" s="1"/>
    </row>
    <row r="1292" ht="14.25" customHeight="1">
      <c r="A1292" s="1" t="s">
        <v>6668</v>
      </c>
      <c r="B1292" s="1">
        <v>3.7E7</v>
      </c>
      <c r="C1292" s="1">
        <v>9.2173235E7</v>
      </c>
      <c r="F1292" s="4">
        <v>5.5173235E7</v>
      </c>
      <c r="G1292" s="4">
        <f t="array" ref="G1292">IFERROR((C1292-B1292)/C1292*100, "N/A")</f>
        <v>59.85819528</v>
      </c>
      <c r="J1292" s="1"/>
      <c r="K1292" s="1"/>
    </row>
    <row r="1293" ht="14.25" customHeight="1">
      <c r="A1293" s="1" t="s">
        <v>6673</v>
      </c>
      <c r="B1293" s="1">
        <v>4.0E7</v>
      </c>
      <c r="C1293" s="1">
        <v>4.1102171E7</v>
      </c>
      <c r="F1293" s="4">
        <v>1102171.0</v>
      </c>
      <c r="G1293" s="4">
        <f t="array" ref="G1293">IFERROR((C1293-B1293)/C1293*100, "N/A")</f>
        <v>2.68153962</v>
      </c>
      <c r="J1293" s="1"/>
      <c r="K1293" s="1"/>
    </row>
    <row r="1294" ht="14.25" customHeight="1">
      <c r="A1294" s="1" t="s">
        <v>6677</v>
      </c>
      <c r="B1294" s="1">
        <v>3.7E7</v>
      </c>
      <c r="C1294" s="1">
        <v>6.0338891E7</v>
      </c>
      <c r="F1294" s="4">
        <v>2.3338891E7</v>
      </c>
      <c r="G1294" s="4">
        <f t="array" ref="G1294">IFERROR((C1294-B1294)/C1294*100, "N/A")</f>
        <v>38.67968173</v>
      </c>
      <c r="J1294" s="1"/>
      <c r="K1294" s="1"/>
    </row>
    <row r="1295" ht="14.25" customHeight="1">
      <c r="A1295" s="1" t="s">
        <v>6681</v>
      </c>
      <c r="B1295" s="1">
        <v>3.7E7</v>
      </c>
      <c r="C1295" s="1">
        <v>4.8006503E7</v>
      </c>
      <c r="F1295" s="4">
        <v>1.1006503E7</v>
      </c>
      <c r="G1295" s="4">
        <f t="array" ref="G1295">IFERROR((C1295-B1295)/C1295*100, "N/A")</f>
        <v>22.92710844</v>
      </c>
      <c r="J1295" s="1"/>
      <c r="K1295" s="1"/>
    </row>
    <row r="1296" ht="14.25" customHeight="1">
      <c r="A1296" s="1" t="s">
        <v>6686</v>
      </c>
      <c r="B1296" s="1">
        <v>3.8E7</v>
      </c>
      <c r="C1296" s="1">
        <v>2.6903709E7</v>
      </c>
      <c r="F1296" s="4">
        <v>-1.1096291E7</v>
      </c>
      <c r="G1296" s="4">
        <f t="array" ref="G1296">IFERROR((C1296-B1296)/C1296*100, "N/A")</f>
        <v>-41.24446559</v>
      </c>
      <c r="J1296" s="1"/>
      <c r="K1296" s="1"/>
    </row>
    <row r="1297" ht="14.25" customHeight="1">
      <c r="A1297" s="1" t="s">
        <v>6691</v>
      </c>
      <c r="B1297" s="1">
        <v>3.7E7</v>
      </c>
      <c r="C1297" s="1">
        <v>2.2450975E7</v>
      </c>
      <c r="F1297" s="4">
        <v>-1.4549025E7</v>
      </c>
      <c r="G1297" s="4">
        <f t="array" ref="G1297">IFERROR((C1297-B1297)/C1297*100, "N/A")</f>
        <v>-64.80353303</v>
      </c>
      <c r="J1297" s="1"/>
      <c r="K1297" s="1"/>
    </row>
    <row r="1298" ht="14.25" customHeight="1">
      <c r="A1298" s="1" t="s">
        <v>6698</v>
      </c>
      <c r="B1298" s="1">
        <v>3.7E7</v>
      </c>
      <c r="C1298" s="1">
        <v>4.4867349E7</v>
      </c>
      <c r="F1298" s="4">
        <v>7867349.0</v>
      </c>
      <c r="G1298" s="4">
        <f t="array" ref="G1298">IFERROR((C1298-B1298)/C1298*100, "N/A")</f>
        <v>17.53468653</v>
      </c>
      <c r="J1298" s="1"/>
      <c r="K1298" s="1"/>
    </row>
    <row r="1299" ht="14.25" customHeight="1">
      <c r="A1299" s="1" t="s">
        <v>6702</v>
      </c>
      <c r="B1299" s="1">
        <v>3.8E7</v>
      </c>
      <c r="C1299" s="1">
        <v>4.6813366E7</v>
      </c>
      <c r="F1299" s="4">
        <v>8813366.0</v>
      </c>
      <c r="G1299" s="4">
        <f t="array" ref="G1299">IFERROR((C1299-B1299)/C1299*100, "N/A")</f>
        <v>18.82660179</v>
      </c>
      <c r="J1299" s="1"/>
      <c r="K1299" s="1"/>
    </row>
    <row r="1300" ht="14.25" customHeight="1">
      <c r="A1300" s="1" t="s">
        <v>6706</v>
      </c>
      <c r="B1300" s="1">
        <v>3.7E7</v>
      </c>
      <c r="C1300" s="1">
        <v>7.227969E7</v>
      </c>
      <c r="F1300" s="4">
        <v>3.527969E7</v>
      </c>
      <c r="G1300" s="4">
        <f t="array" ref="G1300">IFERROR((C1300-B1300)/C1300*100, "N/A")</f>
        <v>48.80996308</v>
      </c>
      <c r="J1300" s="1"/>
      <c r="K1300" s="1"/>
    </row>
    <row r="1301" ht="14.25" customHeight="1">
      <c r="A1301" s="1" t="s">
        <v>6711</v>
      </c>
      <c r="B1301" s="1">
        <v>3.7E7</v>
      </c>
      <c r="C1301" s="1">
        <v>1.91449475E8</v>
      </c>
      <c r="F1301" s="4">
        <v>1.54449475E8</v>
      </c>
      <c r="G1301" s="4">
        <f t="array" ref="G1301">IFERROR((C1301-B1301)/C1301*100, "N/A")</f>
        <v>80.67375217</v>
      </c>
      <c r="J1301" s="1"/>
      <c r="K1301" s="1"/>
    </row>
    <row r="1302" ht="14.25" customHeight="1">
      <c r="A1302" s="1" t="s">
        <v>6714</v>
      </c>
      <c r="B1302" s="1">
        <v>3.6E7</v>
      </c>
      <c r="C1302" s="1">
        <v>7.1026631E7</v>
      </c>
      <c r="F1302" s="4">
        <v>3.5026631E7</v>
      </c>
      <c r="G1302" s="4">
        <f t="array" ref="G1302">IFERROR((C1302-B1302)/C1302*100, "N/A")</f>
        <v>49.31478589</v>
      </c>
      <c r="J1302" s="1"/>
      <c r="K1302" s="1"/>
    </row>
    <row r="1303" ht="14.25" customHeight="1">
      <c r="A1303" s="1" t="s">
        <v>6718</v>
      </c>
      <c r="B1303" s="1">
        <v>6.5E7</v>
      </c>
      <c r="C1303" s="1">
        <v>6.820819E7</v>
      </c>
      <c r="F1303" s="4">
        <v>3208190.0</v>
      </c>
      <c r="G1303" s="4">
        <f t="array" ref="G1303">IFERROR((C1303-B1303)/C1303*100, "N/A")</f>
        <v>4.703526072</v>
      </c>
      <c r="J1303" s="1"/>
      <c r="K1303" s="1"/>
    </row>
    <row r="1304" ht="14.25" customHeight="1">
      <c r="A1304" s="1" t="s">
        <v>6722</v>
      </c>
      <c r="B1304" s="1">
        <v>3.7E7</v>
      </c>
      <c r="C1304" s="1">
        <v>1.50368971E8</v>
      </c>
      <c r="F1304" s="4">
        <v>1.13368971E8</v>
      </c>
      <c r="G1304" s="4">
        <f t="array" ref="G1304">IFERROR((C1304-B1304)/C1304*100, "N/A")</f>
        <v>75.39385968</v>
      </c>
      <c r="J1304" s="1"/>
      <c r="K1304" s="1"/>
    </row>
    <row r="1305" ht="14.25" customHeight="1">
      <c r="A1305" s="1" t="s">
        <v>6727</v>
      </c>
      <c r="B1305" s="1">
        <v>3.6E7</v>
      </c>
      <c r="C1305" s="1">
        <v>5.0129186E7</v>
      </c>
      <c r="F1305" s="4">
        <v>1.4129186E7</v>
      </c>
      <c r="G1305" s="4">
        <f t="array" ref="G1305">IFERROR((C1305-B1305)/C1305*100, "N/A")</f>
        <v>28.18554843</v>
      </c>
      <c r="J1305" s="1"/>
      <c r="K1305" s="1"/>
    </row>
    <row r="1306" ht="14.25" customHeight="1">
      <c r="A1306" s="1" t="s">
        <v>6731</v>
      </c>
      <c r="B1306" s="1">
        <v>3.6E7</v>
      </c>
      <c r="C1306" s="1">
        <v>5.55E7</v>
      </c>
      <c r="F1306" s="4">
        <v>1.95E7</v>
      </c>
      <c r="G1306" s="4">
        <f t="array" ref="G1306">IFERROR((C1306-B1306)/C1306*100, "N/A")</f>
        <v>35.13513514</v>
      </c>
      <c r="J1306" s="1"/>
      <c r="K1306" s="1"/>
    </row>
    <row r="1307" ht="14.25" customHeight="1">
      <c r="A1307" s="1" t="s">
        <v>6738</v>
      </c>
      <c r="B1307" s="1">
        <v>3.6E7</v>
      </c>
      <c r="C1307" s="1">
        <v>5.0213619E7</v>
      </c>
      <c r="F1307" s="4">
        <v>1.4213619E7</v>
      </c>
      <c r="G1307" s="4">
        <f t="array" ref="G1307">IFERROR((C1307-B1307)/C1307*100, "N/A")</f>
        <v>28.30630272</v>
      </c>
      <c r="J1307" s="1"/>
      <c r="K1307" s="1"/>
    </row>
    <row r="1308" ht="14.25" customHeight="1">
      <c r="A1308" s="1" t="s">
        <v>6743</v>
      </c>
      <c r="B1308" s="1">
        <v>3.6E7</v>
      </c>
      <c r="C1308" s="1">
        <v>4.2019483E7</v>
      </c>
      <c r="F1308" s="4">
        <v>6019483.0</v>
      </c>
      <c r="G1308" s="4">
        <f t="array" ref="G1308">IFERROR((C1308-B1308)/C1308*100, "N/A")</f>
        <v>14.32545707</v>
      </c>
      <c r="J1308" s="1"/>
      <c r="K1308" s="1"/>
    </row>
    <row r="1309" ht="14.25" customHeight="1">
      <c r="A1309" s="1" t="s">
        <v>6747</v>
      </c>
      <c r="B1309" s="1">
        <v>3.4E7</v>
      </c>
      <c r="C1309" s="1">
        <v>2.3360779E7</v>
      </c>
      <c r="F1309" s="4">
        <v>-1.0639221E7</v>
      </c>
      <c r="G1309" s="4">
        <f t="array" ref="G1309">IFERROR((C1309-B1309)/C1309*100, "N/A")</f>
        <v>-45.54309169</v>
      </c>
      <c r="J1309" s="1"/>
      <c r="K1309" s="1"/>
    </row>
    <row r="1310" ht="14.25" customHeight="1">
      <c r="A1310" s="1" t="s">
        <v>6751</v>
      </c>
      <c r="B1310" s="1">
        <v>3.6E7</v>
      </c>
      <c r="C1310" s="1">
        <v>2.6183197E7</v>
      </c>
      <c r="F1310" s="4">
        <v>-9816803.0</v>
      </c>
      <c r="G1310" s="4">
        <f t="array" ref="G1310">IFERROR((C1310-B1310)/C1310*100, "N/A")</f>
        <v>-37.49275919</v>
      </c>
      <c r="J1310" s="1"/>
      <c r="K1310" s="1"/>
    </row>
    <row r="1311" ht="14.25" customHeight="1">
      <c r="A1311" s="1" t="s">
        <v>6754</v>
      </c>
      <c r="B1311" s="1">
        <v>3.7E7</v>
      </c>
      <c r="C1311" s="1">
        <v>2.0991497E7</v>
      </c>
      <c r="F1311" s="4">
        <v>-1.6008503E7</v>
      </c>
      <c r="G1311" s="4">
        <f t="array" ref="G1311">IFERROR((C1311-B1311)/C1311*100, "N/A")</f>
        <v>-76.26184545</v>
      </c>
      <c r="J1311" s="1"/>
      <c r="K1311" s="1"/>
    </row>
    <row r="1312" ht="14.25" customHeight="1">
      <c r="A1312" s="1" t="s">
        <v>6757</v>
      </c>
      <c r="B1312" s="1">
        <v>3.6E7</v>
      </c>
      <c r="C1312" s="1">
        <v>1.3052741E7</v>
      </c>
      <c r="F1312" s="4">
        <v>-2.2947259E7</v>
      </c>
      <c r="G1312" s="4">
        <f t="array" ref="G1312">IFERROR((C1312-B1312)/C1312*100, "N/A")</f>
        <v>-175.8041395</v>
      </c>
      <c r="J1312" s="1"/>
      <c r="K1312" s="1"/>
    </row>
    <row r="1313" ht="14.25" customHeight="1">
      <c r="A1313" s="1" t="s">
        <v>6761</v>
      </c>
      <c r="B1313" s="1">
        <v>3.6E7</v>
      </c>
      <c r="C1313" s="1">
        <v>1.4378353E7</v>
      </c>
      <c r="F1313" s="4">
        <v>-2.1621647E7</v>
      </c>
      <c r="G1313" s="4">
        <f t="array" ref="G1313">IFERROR((C1313-B1313)/C1313*100, "N/A")</f>
        <v>-150.3763818</v>
      </c>
      <c r="J1313" s="1"/>
      <c r="K1313" s="1"/>
    </row>
    <row r="1314" ht="14.25" customHeight="1">
      <c r="A1314" s="1" t="s">
        <v>6765</v>
      </c>
      <c r="B1314" s="1">
        <v>3.7E7</v>
      </c>
      <c r="C1314" s="1">
        <v>3.3037754E7</v>
      </c>
      <c r="F1314" s="4">
        <v>-3962246.0</v>
      </c>
      <c r="G1314" s="4">
        <f t="array" ref="G1314">IFERROR((C1314-B1314)/C1314*100, "N/A")</f>
        <v>-11.99308524</v>
      </c>
      <c r="J1314" s="1"/>
      <c r="K1314" s="1"/>
    </row>
    <row r="1315" ht="14.25" customHeight="1">
      <c r="A1315" s="1" t="s">
        <v>6769</v>
      </c>
      <c r="B1315" s="1">
        <v>3.6E7</v>
      </c>
      <c r="C1315" s="1">
        <v>1.2339633E7</v>
      </c>
      <c r="F1315" s="4">
        <v>-2.3660367E7</v>
      </c>
      <c r="G1315" s="4">
        <f t="array" ref="G1315">IFERROR((C1315-B1315)/C1315*100, "N/A")</f>
        <v>-191.7428744</v>
      </c>
      <c r="J1315" s="1"/>
      <c r="K1315" s="1"/>
    </row>
    <row r="1316" ht="14.25" customHeight="1">
      <c r="A1316" s="1" t="s">
        <v>6774</v>
      </c>
      <c r="B1316" s="1">
        <v>3.6E7</v>
      </c>
      <c r="C1316" s="1">
        <v>2954405.0</v>
      </c>
      <c r="F1316" s="4">
        <v>-3.3045595E7</v>
      </c>
      <c r="G1316" s="4">
        <f t="array" ref="G1316">IFERROR((C1316-B1316)/C1316*100, "N/A")</f>
        <v>-1118.519465</v>
      </c>
      <c r="J1316" s="1"/>
      <c r="K1316" s="1"/>
    </row>
    <row r="1317" ht="14.25" customHeight="1">
      <c r="A1317" s="1" t="s">
        <v>6778</v>
      </c>
      <c r="B1317" s="1">
        <v>3.7E7</v>
      </c>
      <c r="C1317" s="1">
        <v>3.0105968E7</v>
      </c>
      <c r="F1317" s="4">
        <v>-6894032.0</v>
      </c>
      <c r="G1317" s="4">
        <f t="array" ref="G1317">IFERROR((C1317-B1317)/C1317*100, "N/A")</f>
        <v>-22.89922051</v>
      </c>
      <c r="J1317" s="1"/>
      <c r="K1317" s="1"/>
    </row>
    <row r="1318" ht="14.25" customHeight="1">
      <c r="A1318" s="1" t="s">
        <v>6784</v>
      </c>
      <c r="B1318" s="1">
        <v>3.52E7</v>
      </c>
      <c r="C1318" s="1">
        <v>3.7788228E7</v>
      </c>
      <c r="F1318" s="4">
        <v>2588228.0</v>
      </c>
      <c r="G1318" s="4">
        <f t="array" ref="G1318">IFERROR((C1318-B1318)/C1318*100, "N/A")</f>
        <v>6.849297088</v>
      </c>
      <c r="J1318" s="1"/>
      <c r="K1318" s="1"/>
    </row>
    <row r="1319" ht="14.25" customHeight="1">
      <c r="A1319" s="1" t="s">
        <v>6787</v>
      </c>
      <c r="B1319" s="1">
        <v>3.5E7</v>
      </c>
      <c r="C1319" s="1">
        <v>2.77313371E8</v>
      </c>
      <c r="F1319" s="4">
        <v>2.42313371E8</v>
      </c>
      <c r="G1319" s="4">
        <f t="array" ref="G1319">IFERROR((C1319-B1319)/C1319*100, "N/A")</f>
        <v>87.37889923</v>
      </c>
      <c r="J1319" s="1"/>
      <c r="K1319" s="1"/>
    </row>
    <row r="1320" ht="14.25" customHeight="1">
      <c r="A1320" s="1" t="s">
        <v>6791</v>
      </c>
      <c r="B1320" s="1">
        <v>3.6E7</v>
      </c>
      <c r="C1320" s="1">
        <v>2126511.0</v>
      </c>
      <c r="F1320" s="4">
        <v>-3.3873489E7</v>
      </c>
      <c r="G1320" s="4">
        <f t="array" ref="G1320">IFERROR((C1320-B1320)/C1320*100, "N/A")</f>
        <v>-1592.913886</v>
      </c>
      <c r="J1320" s="1"/>
      <c r="K1320" s="1"/>
    </row>
    <row r="1321" ht="14.25" customHeight="1">
      <c r="A1321" s="1" t="s">
        <v>6798</v>
      </c>
      <c r="B1321" s="1">
        <v>3.3E7</v>
      </c>
      <c r="C1321" s="1">
        <v>2.05399422E8</v>
      </c>
      <c r="F1321" s="4">
        <v>1.72399422E8</v>
      </c>
      <c r="G1321" s="4">
        <f t="array" ref="G1321">IFERROR((C1321-B1321)/C1321*100, "N/A")</f>
        <v>83.93374252</v>
      </c>
      <c r="J1321" s="1"/>
      <c r="K1321" s="1"/>
    </row>
    <row r="1322" ht="14.25" customHeight="1">
      <c r="A1322" s="1" t="s">
        <v>6801</v>
      </c>
      <c r="B1322" s="1">
        <v>3.5E7</v>
      </c>
      <c r="C1322" s="1">
        <v>2.51188924E8</v>
      </c>
      <c r="F1322" s="4">
        <v>2.16188924E8</v>
      </c>
      <c r="G1322" s="4">
        <f t="array" ref="G1322">IFERROR((C1322-B1322)/C1322*100, "N/A")</f>
        <v>86.06626461</v>
      </c>
      <c r="J1322" s="1"/>
      <c r="K1322" s="1"/>
    </row>
    <row r="1323" ht="14.25" customHeight="1">
      <c r="A1323" s="1" t="s">
        <v>6805</v>
      </c>
      <c r="B1323" s="1">
        <v>3.6E7</v>
      </c>
      <c r="C1323" s="1">
        <v>1068392.0</v>
      </c>
      <c r="F1323" s="4">
        <v>-3.4931608E7</v>
      </c>
      <c r="G1323" s="4">
        <f t="array" ref="G1323">IFERROR((C1323-B1323)/C1323*100, "N/A")</f>
        <v>-3269.549753</v>
      </c>
      <c r="J1323" s="1"/>
      <c r="K1323" s="1"/>
    </row>
    <row r="1324" ht="14.25" customHeight="1">
      <c r="A1324" s="1" t="s">
        <v>6810</v>
      </c>
      <c r="B1324" s="1">
        <v>3.5E7</v>
      </c>
      <c r="C1324" s="1">
        <v>1.44731527E8</v>
      </c>
      <c r="F1324" s="4">
        <v>1.09731527E8</v>
      </c>
      <c r="G1324" s="4">
        <f t="array" ref="G1324">IFERROR((C1324-B1324)/C1324*100, "N/A")</f>
        <v>75.81729377</v>
      </c>
      <c r="J1324" s="1"/>
      <c r="K1324" s="1"/>
    </row>
    <row r="1325" ht="14.25" customHeight="1">
      <c r="A1325" s="1" t="s">
        <v>6813</v>
      </c>
      <c r="B1325" s="1">
        <v>2.9E7</v>
      </c>
      <c r="C1325" s="1">
        <v>2.55950375E8</v>
      </c>
      <c r="F1325" s="4">
        <v>2.26950375E8</v>
      </c>
      <c r="G1325" s="4">
        <f t="array" ref="G1325">IFERROR((C1325-B1325)/C1325*100, "N/A")</f>
        <v>88.66967864</v>
      </c>
      <c r="J1325" s="1"/>
      <c r="K1325" s="1"/>
    </row>
    <row r="1326" ht="14.25" customHeight="1">
      <c r="A1326" s="1" t="s">
        <v>6818</v>
      </c>
      <c r="B1326" s="1">
        <v>3.5E7</v>
      </c>
      <c r="C1326" s="1">
        <v>1.12692062E8</v>
      </c>
      <c r="F1326" s="4">
        <v>7.7692062E7</v>
      </c>
      <c r="G1326" s="4">
        <f t="array" ref="G1326">IFERROR((C1326-B1326)/C1326*100, "N/A")</f>
        <v>68.94191181</v>
      </c>
      <c r="J1326" s="1"/>
      <c r="K1326" s="1"/>
    </row>
    <row r="1327" ht="14.25" customHeight="1">
      <c r="A1327" s="1" t="s">
        <v>6821</v>
      </c>
      <c r="B1327" s="1">
        <v>3.5E7</v>
      </c>
      <c r="C1327" s="1">
        <v>1.17528646E8</v>
      </c>
      <c r="F1327" s="4">
        <v>8.2528646E7</v>
      </c>
      <c r="G1327" s="4">
        <f t="array" ref="G1327">IFERROR((C1327-B1327)/C1327*100, "N/A")</f>
        <v>70.22002619</v>
      </c>
      <c r="J1327" s="1"/>
      <c r="K1327" s="1"/>
    </row>
    <row r="1328" ht="14.25" customHeight="1">
      <c r="A1328" s="1" t="s">
        <v>6825</v>
      </c>
      <c r="B1328" s="1">
        <v>3.8E7</v>
      </c>
      <c r="C1328" s="1">
        <v>1.71031347E8</v>
      </c>
      <c r="F1328" s="4">
        <v>1.33031347E8</v>
      </c>
      <c r="G1328" s="4">
        <f t="array" ref="G1328">IFERROR((C1328-B1328)/C1328*100, "N/A")</f>
        <v>77.78185072</v>
      </c>
      <c r="J1328" s="1"/>
      <c r="K1328" s="1"/>
    </row>
    <row r="1329" ht="14.25" customHeight="1">
      <c r="A1329" s="1" t="s">
        <v>6829</v>
      </c>
      <c r="B1329" s="1">
        <v>3.5E7</v>
      </c>
      <c r="C1329" s="1">
        <v>1.24732962E8</v>
      </c>
      <c r="F1329" s="4">
        <v>8.9732962E7</v>
      </c>
      <c r="G1329" s="4">
        <f t="array" ref="G1329">IFERROR((C1329-B1329)/C1329*100, "N/A")</f>
        <v>71.94005543</v>
      </c>
      <c r="J1329" s="1"/>
      <c r="K1329" s="1"/>
    </row>
    <row r="1330" ht="14.25" customHeight="1">
      <c r="A1330" s="1" t="s">
        <v>6834</v>
      </c>
      <c r="B1330" s="1">
        <v>3.5E7</v>
      </c>
      <c r="C1330" s="1">
        <v>8.23E7</v>
      </c>
      <c r="F1330" s="4">
        <v>4.73E7</v>
      </c>
      <c r="G1330" s="4">
        <f t="array" ref="G1330">IFERROR((C1330-B1330)/C1330*100, "N/A")</f>
        <v>57.472661</v>
      </c>
      <c r="J1330" s="1"/>
      <c r="K1330" s="1"/>
    </row>
    <row r="1331" ht="14.25" customHeight="1">
      <c r="A1331" s="1" t="s">
        <v>6839</v>
      </c>
      <c r="B1331" s="1">
        <v>3.5E7</v>
      </c>
      <c r="C1331" s="1">
        <v>1.34455175E8</v>
      </c>
      <c r="F1331" s="4">
        <v>9.9455175E7</v>
      </c>
      <c r="G1331" s="4">
        <f t="array" ref="G1331">IFERROR((C1331-B1331)/C1331*100, "N/A")</f>
        <v>73.96901979</v>
      </c>
      <c r="J1331" s="1"/>
      <c r="K1331" s="1"/>
    </row>
    <row r="1332" ht="14.25" customHeight="1">
      <c r="A1332" s="1" t="s">
        <v>6842</v>
      </c>
      <c r="B1332" s="1">
        <v>3.5E7</v>
      </c>
      <c r="C1332" s="1">
        <v>7.91E7</v>
      </c>
      <c r="F1332" s="4">
        <v>4.41E7</v>
      </c>
      <c r="G1332" s="4">
        <f t="array" ref="G1332">IFERROR((C1332-B1332)/C1332*100, "N/A")</f>
        <v>55.75221239</v>
      </c>
      <c r="J1332" s="1"/>
      <c r="K1332" s="1"/>
    </row>
    <row r="1333" ht="14.25" customHeight="1">
      <c r="A1333" s="1">
        <v>21.0</v>
      </c>
      <c r="B1333" s="1">
        <v>3.5E7</v>
      </c>
      <c r="C1333" s="1">
        <v>8.1159365E7</v>
      </c>
      <c r="F1333" s="4">
        <v>4.6159365E7</v>
      </c>
      <c r="G1333" s="4">
        <f t="array" ref="G1333">IFERROR((C1333-B1333)/C1333*100, "N/A")</f>
        <v>56.87497062</v>
      </c>
      <c r="J1333" s="1"/>
      <c r="K1333" s="1"/>
    </row>
    <row r="1334" ht="14.25" customHeight="1">
      <c r="A1334" s="1" t="s">
        <v>6848</v>
      </c>
      <c r="B1334" s="1">
        <v>3.5E7</v>
      </c>
      <c r="C1334" s="1">
        <v>1.1000826E8</v>
      </c>
      <c r="F1334" s="4">
        <v>7.500826E7</v>
      </c>
      <c r="G1334" s="4">
        <f t="array" ref="G1334">IFERROR((C1334-B1334)/C1334*100, "N/A")</f>
        <v>68.18420726</v>
      </c>
      <c r="J1334" s="1"/>
      <c r="K1334" s="1"/>
    </row>
    <row r="1335" ht="14.25" customHeight="1">
      <c r="A1335" s="1" t="s">
        <v>6854</v>
      </c>
      <c r="B1335" s="1">
        <v>3.5E7</v>
      </c>
      <c r="C1335" s="1">
        <v>6.7962333E7</v>
      </c>
      <c r="F1335" s="4">
        <v>3.2962333E7</v>
      </c>
      <c r="G1335" s="4">
        <f t="array" ref="G1335">IFERROR((C1335-B1335)/C1335*100, "N/A")</f>
        <v>48.50088504</v>
      </c>
      <c r="J1335" s="1"/>
      <c r="K1335" s="1"/>
    </row>
    <row r="1336" ht="14.25" customHeight="1">
      <c r="A1336" s="1" t="s">
        <v>6859</v>
      </c>
      <c r="B1336" s="1">
        <v>2.7E7</v>
      </c>
      <c r="C1336" s="1">
        <v>7.865143E7</v>
      </c>
      <c r="F1336" s="4">
        <v>5.165143E7</v>
      </c>
      <c r="G1336" s="4">
        <f t="array" ref="G1336">IFERROR((C1336-B1336)/C1336*100, "N/A")</f>
        <v>65.6713171</v>
      </c>
      <c r="J1336" s="1"/>
      <c r="K1336" s="1"/>
    </row>
    <row r="1337" ht="14.25" customHeight="1">
      <c r="A1337" s="1" t="s">
        <v>6863</v>
      </c>
      <c r="B1337" s="1">
        <v>3.5E7</v>
      </c>
      <c r="C1337" s="1">
        <v>6.4604977E7</v>
      </c>
      <c r="F1337" s="4">
        <v>2.9604977E7</v>
      </c>
      <c r="G1337" s="4">
        <f t="array" ref="G1337">IFERROR((C1337-B1337)/C1337*100, "N/A")</f>
        <v>45.82460729</v>
      </c>
      <c r="J1337" s="1"/>
      <c r="K1337" s="1"/>
    </row>
    <row r="1338" ht="14.25" customHeight="1">
      <c r="A1338" s="1" t="s">
        <v>6867</v>
      </c>
      <c r="B1338" s="1">
        <v>3.5E7</v>
      </c>
      <c r="C1338" s="1">
        <v>6.3939454E7</v>
      </c>
      <c r="F1338" s="4">
        <v>2.8939454E7</v>
      </c>
      <c r="G1338" s="4">
        <f t="array" ref="G1338">IFERROR((C1338-B1338)/C1338*100, "N/A")</f>
        <v>45.26071493</v>
      </c>
      <c r="J1338" s="1"/>
      <c r="K1338" s="1"/>
    </row>
    <row r="1339" ht="14.25" customHeight="1">
      <c r="A1339" s="1" t="s">
        <v>6871</v>
      </c>
      <c r="B1339" s="1">
        <v>3.5E7</v>
      </c>
      <c r="C1339" s="1">
        <v>6.3826569E7</v>
      </c>
      <c r="F1339" s="4">
        <v>2.8826569E7</v>
      </c>
      <c r="G1339" s="4">
        <f t="array" ref="G1339">IFERROR((C1339-B1339)/C1339*100, "N/A")</f>
        <v>45.16390189</v>
      </c>
      <c r="J1339" s="1"/>
      <c r="K1339" s="1"/>
    </row>
    <row r="1340" ht="14.25" customHeight="1">
      <c r="A1340" s="1" t="s">
        <v>6875</v>
      </c>
      <c r="B1340" s="1">
        <v>3.5E7</v>
      </c>
      <c r="C1340" s="1">
        <v>6.0054449E7</v>
      </c>
      <c r="F1340" s="4">
        <v>2.5054449E7</v>
      </c>
      <c r="G1340" s="4">
        <f t="array" ref="G1340">IFERROR((C1340-B1340)/C1340*100, "N/A")</f>
        <v>41.7195552</v>
      </c>
      <c r="J1340" s="1"/>
      <c r="K1340" s="1"/>
    </row>
    <row r="1341" ht="14.25" customHeight="1">
      <c r="A1341" s="1" t="s">
        <v>6881</v>
      </c>
      <c r="B1341" s="1">
        <v>1800000.0</v>
      </c>
      <c r="C1341" s="1">
        <v>2.6505E7</v>
      </c>
      <c r="F1341" s="4">
        <v>2.4705E7</v>
      </c>
      <c r="G1341" s="4">
        <f t="array" ref="G1341">IFERROR((C1341-B1341)/C1341*100, "N/A")</f>
        <v>93.20882852</v>
      </c>
      <c r="J1341" s="1"/>
      <c r="K1341" s="1"/>
    </row>
    <row r="1342" ht="14.25" customHeight="1">
      <c r="A1342" s="1" t="s">
        <v>6887</v>
      </c>
      <c r="B1342" s="1">
        <v>3.3E7</v>
      </c>
      <c r="C1342" s="1">
        <v>6.1280963E7</v>
      </c>
      <c r="F1342" s="4">
        <v>2.8280963E7</v>
      </c>
      <c r="G1342" s="4">
        <f t="array" ref="G1342">IFERROR((C1342-B1342)/C1342*100, "N/A")</f>
        <v>46.14967131</v>
      </c>
      <c r="J1342" s="1"/>
      <c r="K1342" s="1"/>
    </row>
    <row r="1343" ht="14.25" customHeight="1">
      <c r="A1343" s="1" t="s">
        <v>6890</v>
      </c>
      <c r="B1343" s="1">
        <v>3.5E7</v>
      </c>
      <c r="C1343" s="1">
        <v>5.6876365E7</v>
      </c>
      <c r="F1343" s="4">
        <v>2.1876365E7</v>
      </c>
      <c r="G1343" s="4">
        <f t="array" ref="G1343">IFERROR((C1343-B1343)/C1343*100, "N/A")</f>
        <v>38.46301535</v>
      </c>
      <c r="J1343" s="1"/>
      <c r="K1343" s="1"/>
    </row>
    <row r="1344" ht="14.25" customHeight="1">
      <c r="A1344" s="1" t="s">
        <v>6895</v>
      </c>
      <c r="B1344" s="1">
        <v>3.5E7</v>
      </c>
      <c r="C1344" s="1">
        <v>5.9699513E7</v>
      </c>
      <c r="F1344" s="4">
        <v>2.4699513E7</v>
      </c>
      <c r="G1344" s="4">
        <f t="array" ref="G1344">IFERROR((C1344-B1344)/C1344*100, "N/A")</f>
        <v>41.37305609</v>
      </c>
      <c r="J1344" s="1"/>
      <c r="K1344" s="1"/>
    </row>
    <row r="1345" ht="14.25" customHeight="1">
      <c r="A1345" s="1" t="s">
        <v>6901</v>
      </c>
      <c r="B1345" s="1">
        <v>3.4E7</v>
      </c>
      <c r="C1345" s="1">
        <v>5.4132596E7</v>
      </c>
      <c r="F1345" s="4">
        <v>2.0132596E7</v>
      </c>
      <c r="G1345" s="4">
        <f t="array" ref="G1345">IFERROR((C1345-B1345)/C1345*100, "N/A")</f>
        <v>37.19126273</v>
      </c>
      <c r="J1345" s="1"/>
      <c r="K1345" s="1"/>
    </row>
    <row r="1346" ht="14.25" customHeight="1">
      <c r="A1346" s="1" t="s">
        <v>6905</v>
      </c>
      <c r="B1346" s="1">
        <v>3.5E7</v>
      </c>
      <c r="C1346" s="1">
        <v>5.2277485E7</v>
      </c>
      <c r="F1346" s="4">
        <v>1.7277485E7</v>
      </c>
      <c r="G1346" s="4">
        <f t="array" ref="G1346">IFERROR((C1346-B1346)/C1346*100, "N/A")</f>
        <v>33.04957191</v>
      </c>
      <c r="J1346" s="1"/>
      <c r="K1346" s="1"/>
    </row>
    <row r="1347" ht="14.25" customHeight="1">
      <c r="A1347" s="1" t="s">
        <v>6908</v>
      </c>
      <c r="B1347" s="1">
        <v>3.5E7</v>
      </c>
      <c r="C1347" s="1">
        <v>5.5802754E7</v>
      </c>
      <c r="F1347" s="4">
        <v>2.0802754E7</v>
      </c>
      <c r="G1347" s="4">
        <f t="array" ref="G1347">IFERROR((C1347-B1347)/C1347*100, "N/A")</f>
        <v>37.27908124</v>
      </c>
      <c r="J1347" s="1"/>
      <c r="K1347" s="1"/>
    </row>
    <row r="1348" ht="14.25" customHeight="1">
      <c r="A1348" s="1" t="s">
        <v>6912</v>
      </c>
      <c r="B1348" s="1">
        <v>3.5E7</v>
      </c>
      <c r="C1348" s="1">
        <v>5.5291815E7</v>
      </c>
      <c r="F1348" s="4">
        <v>2.0291815E7</v>
      </c>
      <c r="G1348" s="4">
        <f t="array" ref="G1348">IFERROR((C1348-B1348)/C1348*100, "N/A")</f>
        <v>36.6994916</v>
      </c>
      <c r="J1348" s="1"/>
      <c r="K1348" s="1"/>
    </row>
    <row r="1349" ht="14.25" customHeight="1">
      <c r="A1349" s="1" t="s">
        <v>6916</v>
      </c>
      <c r="B1349" s="1">
        <v>3.5E7</v>
      </c>
      <c r="C1349" s="1">
        <v>8.3299761E7</v>
      </c>
      <c r="F1349" s="4">
        <v>4.8299761E7</v>
      </c>
      <c r="G1349" s="4">
        <f t="array" ref="G1349">IFERROR((C1349-B1349)/C1349*100, "N/A")</f>
        <v>57.98307272</v>
      </c>
      <c r="J1349" s="1"/>
      <c r="K1349" s="1"/>
    </row>
    <row r="1350" ht="14.25" customHeight="1">
      <c r="A1350" s="1" t="s">
        <v>6920</v>
      </c>
      <c r="B1350" s="1">
        <v>3.3E7</v>
      </c>
      <c r="C1350" s="1">
        <v>4.8169908E7</v>
      </c>
      <c r="F1350" s="4">
        <v>1.5169908E7</v>
      </c>
      <c r="G1350" s="4">
        <f t="array" ref="G1350">IFERROR((C1350-B1350)/C1350*100, "N/A")</f>
        <v>31.49249943</v>
      </c>
      <c r="J1350" s="1"/>
      <c r="K1350" s="1"/>
    </row>
    <row r="1351" ht="14.25" customHeight="1">
      <c r="A1351" s="1" t="s">
        <v>6924</v>
      </c>
      <c r="B1351" s="1">
        <v>3.5E7</v>
      </c>
      <c r="C1351" s="1">
        <v>6.7523385E7</v>
      </c>
      <c r="F1351" s="4">
        <v>3.2523385E7</v>
      </c>
      <c r="G1351" s="4">
        <f t="array" ref="G1351">IFERROR((C1351-B1351)/C1351*100, "N/A")</f>
        <v>48.16610571</v>
      </c>
      <c r="J1351" s="1"/>
      <c r="K1351" s="1"/>
    </row>
    <row r="1352" ht="14.25" customHeight="1">
      <c r="A1352" s="1" t="s">
        <v>6929</v>
      </c>
      <c r="B1352" s="1">
        <v>3.5E7</v>
      </c>
      <c r="C1352" s="1">
        <v>4.9474048E7</v>
      </c>
      <c r="F1352" s="4">
        <v>1.4474048E7</v>
      </c>
      <c r="G1352" s="4">
        <f t="array" ref="G1352">IFERROR((C1352-B1352)/C1352*100, "N/A")</f>
        <v>29.25583934</v>
      </c>
      <c r="J1352" s="1"/>
      <c r="K1352" s="1"/>
    </row>
    <row r="1353" ht="14.25" customHeight="1">
      <c r="A1353" s="1" t="s">
        <v>6933</v>
      </c>
      <c r="B1353" s="1">
        <v>3.5E7</v>
      </c>
      <c r="C1353" s="1">
        <v>4.5802315E7</v>
      </c>
      <c r="F1353" s="4">
        <v>1.0802315E7</v>
      </c>
      <c r="G1353" s="4">
        <f t="array" ref="G1353">IFERROR((C1353-B1353)/C1353*100, "N/A")</f>
        <v>23.58464851</v>
      </c>
      <c r="J1353" s="1"/>
      <c r="K1353" s="1"/>
    </row>
    <row r="1354" ht="14.25" customHeight="1">
      <c r="A1354" s="1" t="s">
        <v>6938</v>
      </c>
      <c r="B1354" s="1">
        <v>3.5E7</v>
      </c>
      <c r="C1354" s="1">
        <v>4.3792641E7</v>
      </c>
      <c r="F1354" s="4">
        <v>8792641.0</v>
      </c>
      <c r="G1354" s="4">
        <f t="array" ref="G1354">IFERROR((C1354-B1354)/C1354*100, "N/A")</f>
        <v>20.07789619</v>
      </c>
      <c r="J1354" s="1"/>
      <c r="K1354" s="1"/>
    </row>
    <row r="1355" ht="14.25" customHeight="1">
      <c r="A1355" s="1" t="s">
        <v>6942</v>
      </c>
      <c r="B1355" s="1">
        <v>3.3E7</v>
      </c>
      <c r="C1355" s="1">
        <v>5.7651794E7</v>
      </c>
      <c r="F1355" s="4">
        <v>2.4651794E7</v>
      </c>
      <c r="G1355" s="4">
        <f t="array" ref="G1355">IFERROR((C1355-B1355)/C1355*100, "N/A")</f>
        <v>42.7598038</v>
      </c>
      <c r="J1355" s="1"/>
      <c r="K1355" s="1"/>
    </row>
    <row r="1356" ht="14.25" customHeight="1">
      <c r="A1356" s="1" t="s">
        <v>6946</v>
      </c>
      <c r="B1356" s="1">
        <v>3.0E7</v>
      </c>
      <c r="C1356" s="1">
        <v>4.3894863E7</v>
      </c>
      <c r="F1356" s="4">
        <v>1.3894863E7</v>
      </c>
      <c r="G1356" s="4">
        <f t="array" ref="G1356">IFERROR((C1356-B1356)/C1356*100, "N/A")</f>
        <v>31.65487269</v>
      </c>
      <c r="J1356" s="1"/>
      <c r="K1356" s="1"/>
    </row>
    <row r="1357" ht="14.25" customHeight="1">
      <c r="A1357" s="1" t="s">
        <v>6950</v>
      </c>
      <c r="B1357" s="1">
        <v>3.5E7</v>
      </c>
      <c r="C1357" s="1">
        <v>4.1954997E7</v>
      </c>
      <c r="F1357" s="4">
        <v>6954997.0</v>
      </c>
      <c r="G1357" s="4">
        <f t="array" ref="G1357">IFERROR((C1357-B1357)/C1357*100, "N/A")</f>
        <v>16.57727922</v>
      </c>
      <c r="J1357" s="1"/>
      <c r="K1357" s="1"/>
    </row>
    <row r="1358" ht="14.25" customHeight="1">
      <c r="A1358" s="1" t="s">
        <v>6953</v>
      </c>
      <c r="B1358" s="1">
        <v>3.3E7</v>
      </c>
      <c r="C1358" s="1">
        <v>3.9532308E7</v>
      </c>
      <c r="F1358" s="4">
        <v>6532308.0</v>
      </c>
      <c r="G1358" s="4">
        <f t="array" ref="G1358">IFERROR((C1358-B1358)/C1358*100, "N/A")</f>
        <v>16.52397325</v>
      </c>
      <c r="J1358" s="1"/>
      <c r="K1358" s="1"/>
    </row>
    <row r="1359" ht="14.25" customHeight="1">
      <c r="A1359" s="1" t="s">
        <v>6958</v>
      </c>
      <c r="B1359" s="1">
        <v>1.07E7</v>
      </c>
      <c r="C1359" s="1">
        <v>7.66E7</v>
      </c>
      <c r="F1359" s="4">
        <v>6.59E7</v>
      </c>
      <c r="G1359" s="4">
        <f t="array" ref="G1359">IFERROR((C1359-B1359)/C1359*100, "N/A")</f>
        <v>86.03133159</v>
      </c>
      <c r="J1359" s="1"/>
      <c r="K1359" s="1"/>
    </row>
    <row r="1360" ht="14.25" customHeight="1">
      <c r="A1360" s="1" t="s">
        <v>6964</v>
      </c>
      <c r="B1360" s="1">
        <v>3.5E7</v>
      </c>
      <c r="C1360" s="1">
        <v>3.9692139E7</v>
      </c>
      <c r="F1360" s="4">
        <v>4692139.0</v>
      </c>
      <c r="G1360" s="4">
        <f t="array" ref="G1360">IFERROR((C1360-B1360)/C1360*100, "N/A")</f>
        <v>11.82133067</v>
      </c>
      <c r="J1360" s="1"/>
      <c r="K1360" s="1"/>
    </row>
    <row r="1361" ht="14.25" customHeight="1">
      <c r="A1361" s="1" t="s">
        <v>6967</v>
      </c>
      <c r="B1361" s="1">
        <v>3.5E7</v>
      </c>
      <c r="C1361" s="1">
        <v>4.0687294E7</v>
      </c>
      <c r="F1361" s="4">
        <v>5687294.0</v>
      </c>
      <c r="G1361" s="4">
        <f t="array" ref="G1361">IFERROR((C1361-B1361)/C1361*100, "N/A")</f>
        <v>13.9780591</v>
      </c>
      <c r="J1361" s="1"/>
      <c r="K1361" s="1"/>
    </row>
    <row r="1362" ht="14.25" customHeight="1">
      <c r="A1362" s="1" t="s">
        <v>6972</v>
      </c>
      <c r="B1362" s="1">
        <v>4.0E7</v>
      </c>
      <c r="C1362" s="1">
        <v>3.7553932E7</v>
      </c>
      <c r="F1362" s="4">
        <v>-2446068.0</v>
      </c>
      <c r="G1362" s="4">
        <f t="array" ref="G1362">IFERROR((C1362-B1362)/C1362*100, "N/A")</f>
        <v>-6.513480399</v>
      </c>
      <c r="J1362" s="1"/>
      <c r="K1362" s="1"/>
    </row>
    <row r="1363" ht="14.25" customHeight="1">
      <c r="A1363" s="1" t="s">
        <v>6976</v>
      </c>
      <c r="B1363" s="1">
        <v>3.5E7</v>
      </c>
      <c r="C1363" s="1">
        <v>3.7481242E7</v>
      </c>
      <c r="F1363" s="4">
        <v>2481242.0</v>
      </c>
      <c r="G1363" s="4">
        <f t="array" ref="G1363">IFERROR((C1363-B1363)/C1363*100, "N/A")</f>
        <v>6.619956724</v>
      </c>
      <c r="J1363" s="1"/>
      <c r="K1363" s="1"/>
    </row>
    <row r="1364" ht="14.25" customHeight="1">
      <c r="A1364" s="1" t="s">
        <v>6983</v>
      </c>
      <c r="B1364" s="1">
        <v>3.5E7</v>
      </c>
      <c r="C1364" s="1">
        <v>3.9026186E7</v>
      </c>
      <c r="F1364" s="4">
        <v>4026186.0</v>
      </c>
      <c r="G1364" s="4">
        <f t="array" ref="G1364">IFERROR((C1364-B1364)/C1364*100, "N/A")</f>
        <v>10.31662689</v>
      </c>
      <c r="J1364" s="1"/>
      <c r="K1364" s="1"/>
    </row>
    <row r="1365" ht="14.25" customHeight="1">
      <c r="A1365" s="1" t="s">
        <v>6990</v>
      </c>
      <c r="B1365" s="1">
        <v>5.0E7</v>
      </c>
      <c r="C1365" s="1">
        <v>3.3422806E7</v>
      </c>
      <c r="F1365" s="4">
        <v>-1.6577194E7</v>
      </c>
      <c r="G1365" s="4">
        <f t="array" ref="G1365">IFERROR((C1365-B1365)/C1365*100, "N/A")</f>
        <v>-49.59845083</v>
      </c>
      <c r="J1365" s="1"/>
      <c r="K1365" s="1"/>
    </row>
    <row r="1366" ht="14.25" customHeight="1">
      <c r="A1366" s="1" t="s">
        <v>6994</v>
      </c>
      <c r="B1366" s="1">
        <v>3.5E7</v>
      </c>
      <c r="C1366" s="1">
        <v>3.3423521E7</v>
      </c>
      <c r="F1366" s="4">
        <v>-1576479.0</v>
      </c>
      <c r="G1366" s="4">
        <f t="array" ref="G1366">IFERROR((C1366-B1366)/C1366*100, "N/A")</f>
        <v>-4.716675421</v>
      </c>
      <c r="J1366" s="1"/>
      <c r="K1366" s="1"/>
    </row>
    <row r="1367" ht="14.25" customHeight="1">
      <c r="A1367" s="1" t="s">
        <v>6998</v>
      </c>
      <c r="B1367" s="1">
        <v>3.5E7</v>
      </c>
      <c r="C1367" s="1">
        <v>3.2519322E7</v>
      </c>
      <c r="F1367" s="4">
        <v>-2480678.0</v>
      </c>
      <c r="G1367" s="4">
        <f t="array" ref="G1367">IFERROR((C1367-B1367)/C1367*100, "N/A")</f>
        <v>-7.628320172</v>
      </c>
      <c r="J1367" s="1"/>
      <c r="K1367" s="1"/>
    </row>
    <row r="1368" ht="14.25" customHeight="1">
      <c r="A1368" s="1" t="s">
        <v>5443</v>
      </c>
      <c r="B1368" s="1">
        <v>3.5E7</v>
      </c>
      <c r="C1368" s="1">
        <v>3.1598308E7</v>
      </c>
      <c r="F1368" s="4">
        <v>-3401692.0</v>
      </c>
      <c r="G1368" s="4">
        <f t="array" ref="G1368">IFERROR((C1368-B1368)/C1368*100, "N/A")</f>
        <v>-10.76542453</v>
      </c>
      <c r="J1368" s="1"/>
      <c r="K1368" s="1"/>
    </row>
    <row r="1369" ht="14.25" customHeight="1">
      <c r="A1369" s="1" t="s">
        <v>7004</v>
      </c>
      <c r="B1369" s="1">
        <v>3.0E7</v>
      </c>
      <c r="C1369" s="1">
        <v>3.7617947E7</v>
      </c>
      <c r="F1369" s="4">
        <v>7617947.0</v>
      </c>
      <c r="G1369" s="4">
        <f t="array" ref="G1369">IFERROR((C1369-B1369)/C1369*100, "N/A")</f>
        <v>20.25083134</v>
      </c>
      <c r="J1369" s="1"/>
      <c r="K1369" s="1"/>
    </row>
    <row r="1370" ht="14.25" customHeight="1">
      <c r="A1370" s="1" t="s">
        <v>7010</v>
      </c>
      <c r="B1370" s="1">
        <v>3.0E7</v>
      </c>
      <c r="C1370" s="1">
        <v>3.2048809E7</v>
      </c>
      <c r="F1370" s="4">
        <v>2048809.0</v>
      </c>
      <c r="G1370" s="4">
        <f t="array" ref="G1370">IFERROR((C1370-B1370)/C1370*100, "N/A")</f>
        <v>6.392777342</v>
      </c>
      <c r="J1370" s="1"/>
      <c r="K1370" s="1"/>
    </row>
    <row r="1371" ht="14.25" customHeight="1">
      <c r="A1371" s="1" t="s">
        <v>7015</v>
      </c>
      <c r="B1371" s="1">
        <v>2.7E7</v>
      </c>
      <c r="C1371" s="1">
        <v>3.3987757E7</v>
      </c>
      <c r="F1371" s="4">
        <v>6987757.0</v>
      </c>
      <c r="G1371" s="4">
        <f t="array" ref="G1371">IFERROR((C1371-B1371)/C1371*100, "N/A")</f>
        <v>20.55962975</v>
      </c>
      <c r="J1371" s="1"/>
      <c r="K1371" s="1"/>
    </row>
    <row r="1372" ht="14.25" customHeight="1">
      <c r="A1372" s="1" t="s">
        <v>7019</v>
      </c>
      <c r="B1372" s="1">
        <v>3.5E7</v>
      </c>
      <c r="C1372" s="1">
        <v>3.730495E7</v>
      </c>
      <c r="F1372" s="4">
        <v>2304950.0</v>
      </c>
      <c r="G1372" s="4">
        <f t="array" ref="G1372">IFERROR((C1372-B1372)/C1372*100, "N/A")</f>
        <v>6.178670659</v>
      </c>
      <c r="J1372" s="1"/>
      <c r="K1372" s="1"/>
    </row>
    <row r="1373" ht="14.25" customHeight="1">
      <c r="A1373" s="1" t="s">
        <v>7024</v>
      </c>
      <c r="B1373" s="1">
        <v>3.5E7</v>
      </c>
      <c r="C1373" s="1">
        <v>3.0691439E7</v>
      </c>
      <c r="F1373" s="4">
        <v>-4308561.0</v>
      </c>
      <c r="G1373" s="4">
        <f t="array" ref="G1373">IFERROR((C1373-B1373)/C1373*100, "N/A")</f>
        <v>-14.03831538</v>
      </c>
      <c r="J1373" s="1"/>
      <c r="K1373" s="1"/>
    </row>
    <row r="1374" ht="14.25" customHeight="1">
      <c r="A1374" s="1" t="s">
        <v>7028</v>
      </c>
      <c r="B1374" s="1">
        <v>3.5E7</v>
      </c>
      <c r="C1374" s="1">
        <v>3.0307804E7</v>
      </c>
      <c r="F1374" s="4">
        <v>-4692196.0</v>
      </c>
      <c r="G1374" s="4">
        <f t="array" ref="G1374">IFERROR((C1374-B1374)/C1374*100, "N/A")</f>
        <v>-15.48180792</v>
      </c>
      <c r="J1374" s="1"/>
      <c r="K1374" s="1"/>
    </row>
    <row r="1375" ht="14.25" customHeight="1">
      <c r="A1375" s="1" t="s">
        <v>7032</v>
      </c>
      <c r="B1375" s="1">
        <v>3.5E7</v>
      </c>
      <c r="C1375" s="1">
        <v>3.0669413E7</v>
      </c>
      <c r="F1375" s="4">
        <v>-4330587.0</v>
      </c>
      <c r="G1375" s="4">
        <f t="array" ref="G1375">IFERROR((C1375-B1375)/C1375*100, "N/A")</f>
        <v>-14.12021482</v>
      </c>
      <c r="J1375" s="1"/>
      <c r="K1375" s="1"/>
    </row>
    <row r="1376" ht="14.25" customHeight="1">
      <c r="A1376" s="1" t="s">
        <v>7036</v>
      </c>
      <c r="B1376" s="1">
        <v>3.5E7</v>
      </c>
      <c r="C1376" s="1">
        <v>2.8687835E7</v>
      </c>
      <c r="F1376" s="4">
        <v>-6312165.0</v>
      </c>
      <c r="G1376" s="4">
        <f t="array" ref="G1376">IFERROR((C1376-B1376)/C1376*100, "N/A")</f>
        <v>-22.0029326</v>
      </c>
      <c r="J1376" s="1"/>
      <c r="K1376" s="1"/>
    </row>
    <row r="1377" ht="14.25" customHeight="1">
      <c r="A1377" s="1" t="s">
        <v>7042</v>
      </c>
      <c r="B1377" s="1">
        <v>3.5E7</v>
      </c>
      <c r="C1377" s="1">
        <v>2.6494611E7</v>
      </c>
      <c r="F1377" s="4">
        <v>-8505389.0</v>
      </c>
      <c r="G1377" s="4">
        <f t="array" ref="G1377">IFERROR((C1377-B1377)/C1377*100, "N/A")</f>
        <v>-32.10233583</v>
      </c>
      <c r="J1377" s="1"/>
      <c r="K1377" s="1"/>
    </row>
    <row r="1378" ht="14.25" customHeight="1">
      <c r="A1378" s="1" t="s">
        <v>7048</v>
      </c>
      <c r="B1378" s="1">
        <v>3.5E7</v>
      </c>
      <c r="C1378" s="1">
        <v>2.5266129E7</v>
      </c>
      <c r="F1378" s="4">
        <v>-9733871.0</v>
      </c>
      <c r="G1378" s="4">
        <f t="array" ref="G1378">IFERROR((C1378-B1378)/C1378*100, "N/A")</f>
        <v>-38.52537522</v>
      </c>
      <c r="J1378" s="1"/>
      <c r="K1378" s="1"/>
    </row>
    <row r="1379" ht="14.25" customHeight="1">
      <c r="A1379" s="1" t="s">
        <v>7051</v>
      </c>
      <c r="B1379" s="1">
        <v>3.5E7</v>
      </c>
      <c r="C1379" s="1">
        <v>2.5863915E7</v>
      </c>
      <c r="F1379" s="4">
        <v>-9136085.0</v>
      </c>
      <c r="G1379" s="4">
        <f t="array" ref="G1379">IFERROR((C1379-B1379)/C1379*100, "N/A")</f>
        <v>-35.32367393</v>
      </c>
      <c r="J1379" s="1"/>
      <c r="K1379" s="1"/>
    </row>
    <row r="1380" ht="14.25" customHeight="1">
      <c r="A1380" s="1" t="s">
        <v>7056</v>
      </c>
      <c r="B1380" s="1">
        <v>3.0E7</v>
      </c>
      <c r="C1380" s="1">
        <v>2.5078937E7</v>
      </c>
      <c r="F1380" s="4">
        <v>-4921063.0</v>
      </c>
      <c r="G1380" s="4">
        <f t="array" ref="G1380">IFERROR((C1380-B1380)/C1380*100, "N/A")</f>
        <v>-19.622295</v>
      </c>
      <c r="J1380" s="1"/>
      <c r="K1380" s="1"/>
    </row>
    <row r="1381" ht="14.25" customHeight="1">
      <c r="A1381" s="1" t="s">
        <v>7061</v>
      </c>
      <c r="B1381" s="1">
        <v>3.5E7</v>
      </c>
      <c r="C1381" s="1">
        <v>2.899545E7</v>
      </c>
      <c r="F1381" s="4">
        <v>-6004550.0</v>
      </c>
      <c r="G1381" s="4">
        <f t="array" ref="G1381">IFERROR((C1381-B1381)/C1381*100, "N/A")</f>
        <v>-20.70859393</v>
      </c>
      <c r="J1381" s="1"/>
      <c r="K1381" s="1"/>
    </row>
    <row r="1382" ht="14.25" customHeight="1">
      <c r="A1382" s="1" t="s">
        <v>7066</v>
      </c>
      <c r="B1382" s="1">
        <v>3.5E7</v>
      </c>
      <c r="C1382" s="1">
        <v>2.42765E7</v>
      </c>
      <c r="F1382" s="4">
        <v>-1.07235E7</v>
      </c>
      <c r="G1382" s="4">
        <f t="array" ref="G1382">IFERROR((C1382-B1382)/C1382*100, "N/A")</f>
        <v>-44.17234774</v>
      </c>
      <c r="J1382" s="1"/>
      <c r="K1382" s="1"/>
    </row>
    <row r="1383" ht="14.25" customHeight="1">
      <c r="A1383" s="1" t="s">
        <v>7071</v>
      </c>
      <c r="B1383" s="1">
        <v>3.0E7</v>
      </c>
      <c r="C1383" s="1">
        <v>2.0981633E7</v>
      </c>
      <c r="F1383" s="4">
        <v>-9018367.0</v>
      </c>
      <c r="G1383" s="4">
        <f t="array" ref="G1383">IFERROR((C1383-B1383)/C1383*100, "N/A")</f>
        <v>-42.98219781</v>
      </c>
      <c r="J1383" s="1"/>
      <c r="K1383" s="1"/>
    </row>
    <row r="1384" ht="14.25" customHeight="1">
      <c r="A1384" s="1" t="s">
        <v>7076</v>
      </c>
      <c r="B1384" s="1">
        <v>3.5E7</v>
      </c>
      <c r="C1384" s="1">
        <v>2.2913677E7</v>
      </c>
      <c r="F1384" s="4">
        <v>-1.2086323E7</v>
      </c>
      <c r="G1384" s="4">
        <f t="array" ref="G1384">IFERROR((C1384-B1384)/C1384*100, "N/A")</f>
        <v>-52.74719985</v>
      </c>
      <c r="J1384" s="1"/>
      <c r="K1384" s="1"/>
    </row>
    <row r="1385" ht="14.25" customHeight="1">
      <c r="A1385" s="1" t="s">
        <v>7081</v>
      </c>
      <c r="B1385" s="1">
        <v>3.5E7</v>
      </c>
      <c r="C1385" s="1">
        <v>3.4531832E7</v>
      </c>
      <c r="F1385" s="4">
        <v>-468168.0</v>
      </c>
      <c r="G1385" s="4">
        <f t="array" ref="G1385">IFERROR((C1385-B1385)/C1385*100, "N/A")</f>
        <v>-1.355757783</v>
      </c>
      <c r="J1385" s="1"/>
      <c r="K1385" s="1"/>
    </row>
    <row r="1386" ht="14.25" customHeight="1">
      <c r="A1386" s="1" t="s">
        <v>7084</v>
      </c>
      <c r="B1386" s="1">
        <v>3.5E7</v>
      </c>
      <c r="C1386" s="1">
        <v>2.8064226E7</v>
      </c>
      <c r="F1386" s="4">
        <v>-6935774.0</v>
      </c>
      <c r="G1386" s="4">
        <f t="array" ref="G1386">IFERROR((C1386-B1386)/C1386*100, "N/A")</f>
        <v>-24.71393296</v>
      </c>
      <c r="J1386" s="1"/>
      <c r="K1386" s="1"/>
    </row>
    <row r="1387" ht="14.25" customHeight="1">
      <c r="A1387" s="1" t="s">
        <v>7091</v>
      </c>
      <c r="B1387" s="1">
        <v>3.5E7</v>
      </c>
      <c r="C1387" s="1">
        <v>1.9447478E7</v>
      </c>
      <c r="F1387" s="4">
        <v>-1.5552522E7</v>
      </c>
      <c r="G1387" s="4">
        <f t="array" ref="G1387">IFERROR((C1387-B1387)/C1387*100, "N/A")</f>
        <v>-79.97192232</v>
      </c>
      <c r="J1387" s="1"/>
      <c r="K1387" s="1"/>
    </row>
    <row r="1388" ht="14.25" customHeight="1">
      <c r="A1388" s="1" t="s">
        <v>7096</v>
      </c>
      <c r="B1388" s="1">
        <v>5.5E7</v>
      </c>
      <c r="C1388" s="1">
        <v>1.9389454E7</v>
      </c>
      <c r="F1388" s="4">
        <v>-3.5610546E7</v>
      </c>
      <c r="G1388" s="4">
        <f t="array" ref="G1388">IFERROR((C1388-B1388)/C1388*100, "N/A")</f>
        <v>-183.6593542</v>
      </c>
      <c r="J1388" s="1"/>
      <c r="K1388" s="1"/>
    </row>
    <row r="1389" ht="14.25" customHeight="1">
      <c r="A1389" s="1" t="s">
        <v>7101</v>
      </c>
      <c r="B1389" s="1">
        <v>3.5E7</v>
      </c>
      <c r="C1389" s="1">
        <v>2.5871834E7</v>
      </c>
      <c r="F1389" s="4">
        <v>-9128166.0</v>
      </c>
      <c r="G1389" s="4">
        <f t="array" ref="G1389">IFERROR((C1389-B1389)/C1389*100, "N/A")</f>
        <v>-35.28225328</v>
      </c>
      <c r="J1389" s="1"/>
      <c r="K1389" s="1"/>
    </row>
    <row r="1390" ht="14.25" customHeight="1">
      <c r="A1390" s="1" t="s">
        <v>7108</v>
      </c>
      <c r="B1390" s="1">
        <v>3.5E7</v>
      </c>
      <c r="C1390" s="1">
        <v>1.9692608E7</v>
      </c>
      <c r="F1390" s="4">
        <v>-1.5307392E7</v>
      </c>
      <c r="G1390" s="4">
        <f t="array" ref="G1390">IFERROR((C1390-B1390)/C1390*100, "N/A")</f>
        <v>-77.73166459</v>
      </c>
      <c r="J1390" s="1"/>
      <c r="K1390" s="1"/>
    </row>
    <row r="1391" ht="14.25" customHeight="1">
      <c r="A1391" s="1" t="s">
        <v>7113</v>
      </c>
      <c r="B1391" s="1">
        <v>3.5E7</v>
      </c>
      <c r="C1391" s="1">
        <v>1.9294901E7</v>
      </c>
      <c r="F1391" s="4">
        <v>-1.5705099E7</v>
      </c>
      <c r="G1391" s="4">
        <f t="array" ref="G1391">IFERROR((C1391-B1391)/C1391*100, "N/A")</f>
        <v>-81.39507427</v>
      </c>
      <c r="J1391" s="1"/>
      <c r="K1391" s="1"/>
    </row>
    <row r="1392" ht="14.25" customHeight="1">
      <c r="A1392" s="1" t="s">
        <v>7119</v>
      </c>
      <c r="B1392" s="1">
        <v>3.5E7</v>
      </c>
      <c r="C1392" s="1">
        <v>2.0275446E7</v>
      </c>
      <c r="F1392" s="4">
        <v>-1.4724554E7</v>
      </c>
      <c r="G1392" s="4">
        <f t="array" ref="G1392">IFERROR((C1392-B1392)/C1392*100, "N/A")</f>
        <v>-72.62258991</v>
      </c>
      <c r="J1392" s="1"/>
      <c r="K1392" s="1"/>
    </row>
    <row r="1393" ht="14.25" customHeight="1">
      <c r="A1393" s="1" t="s">
        <v>7122</v>
      </c>
      <c r="B1393" s="1">
        <v>3.5E7</v>
      </c>
      <c r="C1393" s="1">
        <v>3.4507079E7</v>
      </c>
      <c r="F1393" s="4">
        <v>-492921.0</v>
      </c>
      <c r="G1393" s="4">
        <f t="array" ref="G1393">IFERROR((C1393-B1393)/C1393*100, "N/A")</f>
        <v>-1.428463418</v>
      </c>
      <c r="J1393" s="1"/>
      <c r="K1393" s="1"/>
    </row>
    <row r="1394" ht="14.25" customHeight="1">
      <c r="A1394" s="1" t="s">
        <v>7128</v>
      </c>
      <c r="B1394" s="1">
        <v>3.5E7</v>
      </c>
      <c r="C1394" s="1">
        <v>1.8306166E7</v>
      </c>
      <c r="F1394" s="4">
        <v>-1.6693834E7</v>
      </c>
      <c r="G1394" s="4">
        <f t="array" ref="G1394">IFERROR((C1394-B1394)/C1394*100, "N/A")</f>
        <v>-91.19241025</v>
      </c>
      <c r="J1394" s="1"/>
      <c r="K1394" s="1"/>
    </row>
    <row r="1395" ht="14.25" customHeight="1">
      <c r="A1395" s="1" t="s">
        <v>7133</v>
      </c>
      <c r="B1395" s="1">
        <v>3.5E7</v>
      </c>
      <c r="C1395" s="1">
        <v>1.7609982E7</v>
      </c>
      <c r="F1395" s="4">
        <v>-1.7390018E7</v>
      </c>
      <c r="G1395" s="4">
        <f t="array" ref="G1395">IFERROR((C1395-B1395)/C1395*100, "N/A")</f>
        <v>-98.75091298</v>
      </c>
      <c r="J1395" s="1"/>
      <c r="K1395" s="1"/>
    </row>
    <row r="1396" ht="14.25" customHeight="1">
      <c r="A1396" s="1" t="s">
        <v>7137</v>
      </c>
      <c r="B1396" s="1">
        <v>3.1E7</v>
      </c>
      <c r="C1396" s="1">
        <v>1.6831505E7</v>
      </c>
      <c r="F1396" s="4">
        <v>-1.4168495E7</v>
      </c>
      <c r="G1396" s="4">
        <f t="array" ref="G1396">IFERROR((C1396-B1396)/C1396*100, "N/A")</f>
        <v>-84.17842017</v>
      </c>
      <c r="J1396" s="1"/>
      <c r="K1396" s="1"/>
    </row>
    <row r="1397" ht="14.25" customHeight="1">
      <c r="A1397" s="1" t="s">
        <v>7141</v>
      </c>
      <c r="B1397" s="1">
        <v>3.5E7</v>
      </c>
      <c r="C1397" s="1">
        <v>1.7596256E7</v>
      </c>
      <c r="F1397" s="4">
        <v>-1.7403744E7</v>
      </c>
      <c r="G1397" s="4">
        <f t="array" ref="G1397">IFERROR((C1397-B1397)/C1397*100, "N/A")</f>
        <v>-98.90594908</v>
      </c>
      <c r="J1397" s="1"/>
      <c r="K1397" s="1"/>
    </row>
    <row r="1398" ht="14.25" customHeight="1">
      <c r="A1398" s="1" t="s">
        <v>7146</v>
      </c>
      <c r="B1398" s="1">
        <v>3.5E7</v>
      </c>
      <c r="C1398" s="1">
        <v>1.499807E7</v>
      </c>
      <c r="F1398" s="4">
        <v>-2.000193E7</v>
      </c>
      <c r="G1398" s="4">
        <f t="array" ref="G1398">IFERROR((C1398-B1398)/C1398*100, "N/A")</f>
        <v>-133.3633594</v>
      </c>
      <c r="J1398" s="1"/>
      <c r="K1398" s="1"/>
    </row>
    <row r="1399" ht="14.25" customHeight="1">
      <c r="A1399" s="1" t="s">
        <v>7150</v>
      </c>
      <c r="B1399" s="1">
        <v>3.5E7</v>
      </c>
      <c r="C1399" s="1">
        <v>1.4587732E7</v>
      </c>
      <c r="F1399" s="4">
        <v>-2.0412268E7</v>
      </c>
      <c r="G1399" s="4">
        <f t="array" ref="G1399">IFERROR((C1399-B1399)/C1399*100, "N/A")</f>
        <v>-139.9276323</v>
      </c>
      <c r="J1399" s="1"/>
      <c r="K1399" s="1"/>
    </row>
    <row r="1400" ht="14.25" customHeight="1">
      <c r="A1400" s="1" t="s">
        <v>7156</v>
      </c>
      <c r="B1400" s="1">
        <v>3.5E7</v>
      </c>
      <c r="C1400" s="1">
        <v>1.8317151E7</v>
      </c>
      <c r="F1400" s="4">
        <v>-1.6682849E7</v>
      </c>
      <c r="G1400" s="4">
        <f t="array" ref="G1400">IFERROR((C1400-B1400)/C1400*100, "N/A")</f>
        <v>-91.07775003</v>
      </c>
      <c r="J1400" s="1"/>
      <c r="K1400" s="1"/>
    </row>
    <row r="1401" ht="14.25" customHeight="1">
      <c r="A1401" s="1" t="s">
        <v>7161</v>
      </c>
      <c r="B1401" s="1">
        <v>3.5E7</v>
      </c>
      <c r="C1401" s="1">
        <v>1.1405825E7</v>
      </c>
      <c r="F1401" s="4">
        <v>-2.3594175E7</v>
      </c>
      <c r="G1401" s="4">
        <f t="array" ref="G1401">IFERROR((C1401-B1401)/C1401*100, "N/A")</f>
        <v>-206.8607488</v>
      </c>
      <c r="J1401" s="1"/>
      <c r="K1401" s="1"/>
    </row>
    <row r="1402" ht="14.25" customHeight="1">
      <c r="A1402" s="1" t="s">
        <v>7165</v>
      </c>
      <c r="B1402" s="1">
        <v>3.5E7</v>
      </c>
      <c r="C1402" s="1">
        <v>1.3264986E7</v>
      </c>
      <c r="F1402" s="4">
        <v>-2.1735014E7</v>
      </c>
      <c r="G1402" s="4">
        <f t="array" ref="G1402">IFERROR((C1402-B1402)/C1402*100, "N/A")</f>
        <v>-163.8525212</v>
      </c>
      <c r="J1402" s="1"/>
      <c r="K1402" s="1"/>
    </row>
    <row r="1403" ht="14.25" customHeight="1">
      <c r="A1403" s="1" t="s">
        <v>7170</v>
      </c>
      <c r="B1403" s="1">
        <v>3.5E7</v>
      </c>
      <c r="C1403" s="1">
        <v>1.0991381E7</v>
      </c>
      <c r="F1403" s="4">
        <v>-2.4008619E7</v>
      </c>
      <c r="G1403" s="4">
        <f t="array" ref="G1403">IFERROR((C1403-B1403)/C1403*100, "N/A")</f>
        <v>-218.4313236</v>
      </c>
      <c r="J1403" s="1"/>
      <c r="K1403" s="1"/>
    </row>
    <row r="1404" ht="14.25" customHeight="1">
      <c r="A1404" s="1" t="s">
        <v>7174</v>
      </c>
      <c r="B1404" s="1">
        <v>3.5E7</v>
      </c>
      <c r="C1404" s="1">
        <v>1.0268846E7</v>
      </c>
      <c r="F1404" s="4">
        <v>-2.4731154E7</v>
      </c>
      <c r="G1404" s="4">
        <f t="array" ref="G1404">IFERROR((C1404-B1404)/C1404*100, "N/A")</f>
        <v>-240.8367406</v>
      </c>
      <c r="J1404" s="1"/>
      <c r="K1404" s="1"/>
    </row>
    <row r="1405" ht="14.25" customHeight="1">
      <c r="A1405" s="1" t="s">
        <v>7179</v>
      </c>
      <c r="B1405" s="1">
        <v>3.2E7</v>
      </c>
      <c r="C1405" s="1">
        <v>1.3303319E7</v>
      </c>
      <c r="F1405" s="4">
        <v>-1.8696681E7</v>
      </c>
      <c r="G1405" s="4">
        <f t="array" ref="G1405">IFERROR((C1405-B1405)/C1405*100, "N/A")</f>
        <v>-140.5414769</v>
      </c>
      <c r="J1405" s="1"/>
      <c r="K1405" s="1"/>
    </row>
    <row r="1406" ht="14.25" customHeight="1">
      <c r="A1406" s="1" t="s">
        <v>7183</v>
      </c>
      <c r="B1406" s="1">
        <v>3.5E7</v>
      </c>
      <c r="C1406" s="1">
        <v>1.0076136E7</v>
      </c>
      <c r="F1406" s="4">
        <v>-2.4923864E7</v>
      </c>
      <c r="G1406" s="4">
        <f t="array" ref="G1406">IFERROR((C1406-B1406)/C1406*100, "N/A")</f>
        <v>-247.3553751</v>
      </c>
      <c r="J1406" s="1"/>
      <c r="K1406" s="1"/>
    </row>
    <row r="1407" ht="14.25" customHeight="1">
      <c r="A1407" s="1" t="s">
        <v>7190</v>
      </c>
      <c r="B1407" s="1">
        <v>3.5E7</v>
      </c>
      <c r="C1407" s="1">
        <v>1.0499968E7</v>
      </c>
      <c r="F1407" s="4">
        <v>-2.4500032E7</v>
      </c>
      <c r="G1407" s="4">
        <f t="array" ref="G1407">IFERROR((C1407-B1407)/C1407*100, "N/A")</f>
        <v>-233.3343492</v>
      </c>
      <c r="J1407" s="1"/>
      <c r="K1407" s="1"/>
    </row>
    <row r="1408" ht="14.25" customHeight="1">
      <c r="A1408" s="1" t="s">
        <v>7194</v>
      </c>
      <c r="B1408" s="1">
        <v>3.8E7</v>
      </c>
      <c r="C1408" s="1">
        <v>7659747.0</v>
      </c>
      <c r="F1408" s="4">
        <v>-3.0340253E7</v>
      </c>
      <c r="G1408" s="4">
        <f t="array" ref="G1408">IFERROR((C1408-B1408)/C1408*100, "N/A")</f>
        <v>-396.0999365</v>
      </c>
      <c r="J1408" s="1"/>
      <c r="K1408" s="1"/>
    </row>
    <row r="1409" ht="14.25" customHeight="1">
      <c r="A1409" s="1" t="s">
        <v>7199</v>
      </c>
      <c r="B1409" s="1">
        <v>3.5E7</v>
      </c>
      <c r="C1409" s="1">
        <v>7948159.0</v>
      </c>
      <c r="F1409" s="4">
        <v>-2.7051841E7</v>
      </c>
      <c r="G1409" s="4">
        <f t="array" ref="G1409">IFERROR((C1409-B1409)/C1409*100, "N/A")</f>
        <v>-340.353546</v>
      </c>
      <c r="J1409" s="1"/>
      <c r="K1409" s="1"/>
    </row>
    <row r="1410" ht="14.25" customHeight="1">
      <c r="A1410" s="1" t="s">
        <v>7203</v>
      </c>
      <c r="B1410" s="1">
        <v>3.5E7</v>
      </c>
      <c r="C1410" s="1">
        <v>1.1631245E7</v>
      </c>
      <c r="F1410" s="4">
        <v>-2.3368755E7</v>
      </c>
      <c r="G1410" s="4">
        <f t="array" ref="G1410">IFERROR((C1410-B1410)/C1410*100, "N/A")</f>
        <v>-200.9136167</v>
      </c>
      <c r="J1410" s="1"/>
      <c r="K1410" s="1"/>
    </row>
    <row r="1411" ht="14.25" customHeight="1">
      <c r="A1411" s="1" t="s">
        <v>7207</v>
      </c>
      <c r="B1411" s="1">
        <v>3.5E7</v>
      </c>
      <c r="C1411" s="1">
        <v>1.0137502E7</v>
      </c>
      <c r="F1411" s="4">
        <v>-2.4862498E7</v>
      </c>
      <c r="G1411" s="4">
        <f t="array" ref="G1411">IFERROR((C1411-B1411)/C1411*100, "N/A")</f>
        <v>-245.2527062</v>
      </c>
      <c r="J1411" s="1"/>
      <c r="K1411" s="1"/>
    </row>
    <row r="1412" ht="14.25" customHeight="1">
      <c r="A1412" s="1" t="s">
        <v>7214</v>
      </c>
      <c r="B1412" s="1">
        <v>3.5E7</v>
      </c>
      <c r="C1412" s="1">
        <v>6448817.0</v>
      </c>
      <c r="F1412" s="4">
        <v>-2.8551183E7</v>
      </c>
      <c r="G1412" s="4">
        <f t="array" ref="G1412">IFERROR((C1412-B1412)/C1412*100, "N/A")</f>
        <v>-442.7352024</v>
      </c>
      <c r="J1412" s="1"/>
      <c r="K1412" s="1"/>
    </row>
    <row r="1413" ht="14.25" customHeight="1">
      <c r="A1413" s="1" t="s">
        <v>7220</v>
      </c>
      <c r="B1413" s="1">
        <v>3.5E7</v>
      </c>
      <c r="C1413" s="1">
        <v>7458269.0</v>
      </c>
      <c r="F1413" s="4">
        <v>-2.7541731E7</v>
      </c>
      <c r="G1413" s="4">
        <f t="array" ref="G1413">IFERROR((C1413-B1413)/C1413*100, "N/A")</f>
        <v>-369.2777909</v>
      </c>
      <c r="J1413" s="1"/>
      <c r="K1413" s="1"/>
    </row>
    <row r="1414" ht="14.25" customHeight="1">
      <c r="A1414" s="1" t="s">
        <v>7223</v>
      </c>
      <c r="B1414" s="1">
        <v>3.5E7</v>
      </c>
      <c r="C1414" s="1">
        <v>4651977.0</v>
      </c>
      <c r="F1414" s="4">
        <v>-3.0348023E7</v>
      </c>
      <c r="G1414" s="4">
        <f t="array" ref="G1414">IFERROR((C1414-B1414)/C1414*100, "N/A")</f>
        <v>-652.3682942</v>
      </c>
      <c r="J1414" s="1"/>
      <c r="K1414" s="1"/>
    </row>
    <row r="1415" ht="14.25" customHeight="1">
      <c r="A1415" s="1" t="s">
        <v>7226</v>
      </c>
      <c r="B1415" s="1">
        <v>3.5E7</v>
      </c>
      <c r="C1415" s="1">
        <v>4496583.0</v>
      </c>
      <c r="F1415" s="4">
        <v>-3.0503417E7</v>
      </c>
      <c r="G1415" s="4">
        <f t="array" ref="G1415">IFERROR((C1415-B1415)/C1415*100, "N/A")</f>
        <v>-678.3688192</v>
      </c>
      <c r="J1415" s="1"/>
      <c r="K1415" s="1"/>
    </row>
    <row r="1416" ht="14.25" customHeight="1">
      <c r="A1416" s="1" t="s">
        <v>7230</v>
      </c>
      <c r="B1416" s="1">
        <v>3.5E7</v>
      </c>
      <c r="C1416" s="1">
        <v>2221994.0</v>
      </c>
      <c r="F1416" s="4">
        <v>-3.2778006E7</v>
      </c>
      <c r="G1416" s="4">
        <f t="array" ref="G1416">IFERROR((C1416-B1416)/C1416*100, "N/A")</f>
        <v>-1475.161769</v>
      </c>
      <c r="J1416" s="1"/>
      <c r="K1416" s="1"/>
    </row>
    <row r="1417" ht="14.25" customHeight="1">
      <c r="A1417" s="1" t="s">
        <v>7234</v>
      </c>
      <c r="B1417" s="1">
        <v>3.5E7</v>
      </c>
      <c r="C1417" s="1">
        <v>6592103.0</v>
      </c>
      <c r="F1417" s="4">
        <v>-2.8407897E7</v>
      </c>
      <c r="G1417" s="4">
        <f t="array" ref="G1417">IFERROR((C1417-B1417)/C1417*100, "N/A")</f>
        <v>-430.938306</v>
      </c>
      <c r="J1417" s="1"/>
      <c r="K1417" s="1"/>
    </row>
    <row r="1418" ht="14.25" customHeight="1">
      <c r="A1418" s="1" t="s">
        <v>7238</v>
      </c>
      <c r="B1418" s="1">
        <v>3.5E7</v>
      </c>
      <c r="C1418" s="1">
        <v>630779.0</v>
      </c>
      <c r="F1418" s="4">
        <v>-3.4369221E7</v>
      </c>
      <c r="G1418" s="4">
        <f t="array" ref="G1418">IFERROR((C1418-B1418)/C1418*100, "N/A")</f>
        <v>-5448.694551</v>
      </c>
      <c r="J1418" s="1"/>
      <c r="K1418" s="1"/>
    </row>
    <row r="1419" ht="14.25" customHeight="1">
      <c r="A1419" s="1" t="s">
        <v>7245</v>
      </c>
      <c r="B1419" s="1">
        <v>3.4E7</v>
      </c>
      <c r="C1419" s="1">
        <v>1.02413606E8</v>
      </c>
      <c r="F1419" s="4">
        <v>6.8413606E7</v>
      </c>
      <c r="G1419" s="4">
        <f t="array" ref="G1419">IFERROR((C1419-B1419)/C1419*100, "N/A")</f>
        <v>66.80128615</v>
      </c>
      <c r="J1419" s="1"/>
      <c r="K1419" s="1"/>
    </row>
    <row r="1420" ht="14.25" customHeight="1">
      <c r="A1420" s="1" t="s">
        <v>7251</v>
      </c>
      <c r="B1420" s="1">
        <v>3.5E7</v>
      </c>
      <c r="C1420" s="1">
        <v>1.0214013E7</v>
      </c>
      <c r="F1420" s="4">
        <v>-2.4785987E7</v>
      </c>
      <c r="G1420" s="4">
        <f t="array" ref="G1420">IFERROR((C1420-B1420)/C1420*100, "N/A")</f>
        <v>-242.6664916</v>
      </c>
      <c r="J1420" s="1"/>
      <c r="K1420" s="1"/>
    </row>
    <row r="1421" ht="14.25" customHeight="1">
      <c r="A1421" s="1" t="s">
        <v>7256</v>
      </c>
      <c r="B1421" s="1">
        <v>3.0E7</v>
      </c>
      <c r="C1421" s="1">
        <v>3.2E7</v>
      </c>
      <c r="F1421" s="4">
        <v>2000000.0</v>
      </c>
      <c r="G1421" s="4">
        <f t="array" ref="G1421">IFERROR((C1421-B1421)/C1421*100, "N/A")</f>
        <v>6.25</v>
      </c>
      <c r="J1421" s="1"/>
      <c r="K1421" s="1"/>
    </row>
    <row r="1422" ht="14.25" customHeight="1">
      <c r="A1422" s="1" t="s">
        <v>7259</v>
      </c>
      <c r="B1422" s="1">
        <v>3.5E7</v>
      </c>
      <c r="C1422" s="1">
        <v>1.0139254E7</v>
      </c>
      <c r="F1422" s="4">
        <v>-2.4860746E7</v>
      </c>
      <c r="G1422" s="4">
        <f t="array" ref="G1422">IFERROR((C1422-B1422)/C1422*100, "N/A")</f>
        <v>-245.1930487</v>
      </c>
      <c r="J1422" s="1"/>
      <c r="K1422" s="1"/>
    </row>
    <row r="1423" ht="14.25" customHeight="1">
      <c r="A1423" s="1" t="s">
        <v>7264</v>
      </c>
      <c r="B1423" s="1">
        <v>3.4E7</v>
      </c>
      <c r="C1423" s="1">
        <v>1.122794E7</v>
      </c>
      <c r="F1423" s="4">
        <v>-2.277206E7</v>
      </c>
      <c r="G1423" s="4">
        <f t="array" ref="G1423">IFERROR((C1423-B1423)/C1423*100, "N/A")</f>
        <v>-202.8160108</v>
      </c>
      <c r="J1423" s="1"/>
      <c r="K1423" s="1"/>
    </row>
    <row r="1424" ht="14.25" customHeight="1">
      <c r="A1424" s="1" t="s">
        <v>7270</v>
      </c>
      <c r="B1424" s="1">
        <v>3.5E7</v>
      </c>
      <c r="C1424" s="1">
        <v>183125.0</v>
      </c>
      <c r="F1424" s="4">
        <v>-3.4816875E7</v>
      </c>
      <c r="G1424" s="4">
        <f t="array" ref="G1424">IFERROR((C1424-B1424)/C1424*100, "N/A")</f>
        <v>-19012.62799</v>
      </c>
      <c r="J1424" s="1"/>
      <c r="K1424" s="1"/>
    </row>
    <row r="1425" ht="14.25" customHeight="1">
      <c r="A1425" s="1" t="s">
        <v>7275</v>
      </c>
      <c r="B1425" s="1">
        <v>3.4E7</v>
      </c>
      <c r="C1425" s="1">
        <v>1.5081783E7</v>
      </c>
      <c r="F1425" s="4">
        <v>-1.8918217E7</v>
      </c>
      <c r="G1425" s="4">
        <f t="array" ref="G1425">IFERROR((C1425-B1425)/C1425*100, "N/A")</f>
        <v>-125.4375361</v>
      </c>
      <c r="J1425" s="1"/>
      <c r="K1425" s="1"/>
    </row>
    <row r="1426" ht="14.25" customHeight="1">
      <c r="A1426" s="1" t="s">
        <v>7283</v>
      </c>
      <c r="B1426" s="1">
        <v>3.4E7</v>
      </c>
      <c r="C1426" s="1">
        <v>3.7432299E7</v>
      </c>
      <c r="F1426" s="4">
        <v>3432299.0</v>
      </c>
      <c r="G1426" s="4">
        <f t="array" ref="G1426">IFERROR((C1426-B1426)/C1426*100, "N/A")</f>
        <v>9.169351313</v>
      </c>
      <c r="J1426" s="1"/>
      <c r="K1426" s="1"/>
    </row>
    <row r="1427" ht="14.25" customHeight="1">
      <c r="A1427" s="1" t="s">
        <v>7290</v>
      </c>
      <c r="B1427" s="1">
        <v>3.4E7</v>
      </c>
      <c r="C1427" s="1">
        <v>1.0654581E7</v>
      </c>
      <c r="F1427" s="4">
        <v>-2.3345419E7</v>
      </c>
      <c r="G1427" s="4">
        <f t="array" ref="G1427">IFERROR((C1427-B1427)/C1427*100, "N/A")</f>
        <v>-219.1115634</v>
      </c>
      <c r="J1427" s="1"/>
      <c r="K1427" s="1"/>
    </row>
    <row r="1428" ht="14.25" customHeight="1">
      <c r="A1428" s="1" t="s">
        <v>7294</v>
      </c>
      <c r="B1428" s="1">
        <v>3.4E7</v>
      </c>
      <c r="C1428" s="1">
        <v>6543194.0</v>
      </c>
      <c r="F1428" s="4">
        <v>-2.7456806E7</v>
      </c>
      <c r="G1428" s="4">
        <f t="array" ref="G1428">IFERROR((C1428-B1428)/C1428*100, "N/A")</f>
        <v>-419.6239023</v>
      </c>
      <c r="J1428" s="1"/>
      <c r="K1428" s="1"/>
    </row>
    <row r="1429" ht="14.25" customHeight="1">
      <c r="A1429" s="1" t="s">
        <v>7299</v>
      </c>
      <c r="B1429" s="1">
        <v>3.5E7</v>
      </c>
      <c r="C1429" s="1">
        <v>1.3101142E7</v>
      </c>
      <c r="F1429" s="4">
        <v>-2.1898858E7</v>
      </c>
      <c r="G1429" s="4">
        <f t="array" ref="G1429">IFERROR((C1429-B1429)/C1429*100, "N/A")</f>
        <v>-167.1522834</v>
      </c>
      <c r="J1429" s="1"/>
      <c r="K1429" s="1"/>
    </row>
    <row r="1430" ht="14.25" customHeight="1">
      <c r="A1430" s="1" t="s">
        <v>7302</v>
      </c>
      <c r="B1430" s="1">
        <v>3.5E7</v>
      </c>
      <c r="C1430" s="1">
        <v>8324748.0</v>
      </c>
      <c r="F1430" s="4">
        <v>-2.6675252E7</v>
      </c>
      <c r="G1430" s="4">
        <f t="array" ref="G1430">IFERROR((C1430-B1430)/C1430*100, "N/A")</f>
        <v>-320.433147</v>
      </c>
      <c r="J1430" s="1"/>
      <c r="K1430" s="1"/>
    </row>
    <row r="1431" ht="14.25" customHeight="1">
      <c r="A1431" s="1" t="s">
        <v>7308</v>
      </c>
      <c r="B1431" s="1">
        <v>4.0E7</v>
      </c>
      <c r="C1431" s="1">
        <v>1.41340178E8</v>
      </c>
      <c r="F1431" s="4">
        <v>1.01340178E8</v>
      </c>
      <c r="G1431" s="4">
        <f t="array" ref="G1431">IFERROR((C1431-B1431)/C1431*100, "N/A")</f>
        <v>71.69948378</v>
      </c>
      <c r="J1431" s="1"/>
      <c r="K1431" s="1"/>
    </row>
    <row r="1432" ht="14.25" customHeight="1">
      <c r="A1432" s="1" t="s">
        <v>7311</v>
      </c>
      <c r="B1432" s="1">
        <v>3.3E7</v>
      </c>
      <c r="C1432" s="1">
        <v>5.1758599E7</v>
      </c>
      <c r="F1432" s="4">
        <v>1.8758599E7</v>
      </c>
      <c r="G1432" s="4">
        <f t="array" ref="G1432">IFERROR((C1432-B1432)/C1432*100, "N/A")</f>
        <v>36.24247828</v>
      </c>
      <c r="J1432" s="1"/>
      <c r="K1432" s="1"/>
    </row>
    <row r="1433" ht="14.25" customHeight="1">
      <c r="A1433" s="1" t="s">
        <v>7314</v>
      </c>
      <c r="B1433" s="1">
        <v>3.0E7</v>
      </c>
      <c r="C1433" s="1">
        <v>1.17559438E8</v>
      </c>
      <c r="F1433" s="4">
        <v>8.7559438E7</v>
      </c>
      <c r="G1433" s="4">
        <f t="array" ref="G1433">IFERROR((C1433-B1433)/C1433*100, "N/A")</f>
        <v>74.48099403</v>
      </c>
      <c r="J1433" s="1"/>
      <c r="K1433" s="1"/>
    </row>
    <row r="1434" ht="14.25" customHeight="1">
      <c r="A1434" s="1" t="s">
        <v>7319</v>
      </c>
      <c r="B1434" s="1">
        <v>3.0E7</v>
      </c>
      <c r="C1434" s="1">
        <v>2.1426805E7</v>
      </c>
      <c r="F1434" s="4">
        <v>-8573195.0</v>
      </c>
      <c r="G1434" s="4">
        <f t="array" ref="G1434">IFERROR((C1434-B1434)/C1434*100, "N/A")</f>
        <v>-40.01154162</v>
      </c>
      <c r="J1434" s="1"/>
      <c r="K1434" s="1"/>
    </row>
    <row r="1435" ht="14.25" customHeight="1">
      <c r="A1435" s="1" t="s">
        <v>7325</v>
      </c>
      <c r="B1435" s="1">
        <v>3.3E7</v>
      </c>
      <c r="C1435" s="1">
        <v>3.5057332E7</v>
      </c>
      <c r="F1435" s="4">
        <v>2057332.0</v>
      </c>
      <c r="G1435" s="4">
        <f t="array" ref="G1435">IFERROR((C1435-B1435)/C1435*100, "N/A")</f>
        <v>5.868478525</v>
      </c>
      <c r="J1435" s="1"/>
      <c r="K1435" s="1"/>
    </row>
    <row r="1436" ht="14.25" customHeight="1">
      <c r="A1436" s="1" t="s">
        <v>7331</v>
      </c>
      <c r="B1436" s="1">
        <v>3.3E7</v>
      </c>
      <c r="C1436" s="1">
        <v>3.4014398E7</v>
      </c>
      <c r="F1436" s="4">
        <v>1014398.0</v>
      </c>
      <c r="G1436" s="4">
        <f t="array" ref="G1436">IFERROR((C1436-B1436)/C1436*100, "N/A")</f>
        <v>2.98226063</v>
      </c>
      <c r="J1436" s="1"/>
      <c r="K1436" s="1"/>
    </row>
    <row r="1437" ht="14.25" customHeight="1">
      <c r="A1437" s="1" t="s">
        <v>7337</v>
      </c>
      <c r="B1437" s="1">
        <v>3.3E7</v>
      </c>
      <c r="C1437" s="1">
        <v>2.892772E7</v>
      </c>
      <c r="F1437" s="4">
        <v>-4072280.0</v>
      </c>
      <c r="G1437" s="4">
        <f t="array" ref="G1437">IFERROR((C1437-B1437)/C1437*100, "N/A")</f>
        <v>-14.07743161</v>
      </c>
      <c r="J1437" s="1"/>
      <c r="K1437" s="1"/>
    </row>
    <row r="1438" ht="14.25" customHeight="1">
      <c r="A1438" s="1" t="s">
        <v>7343</v>
      </c>
      <c r="B1438" s="1">
        <v>3.3E7</v>
      </c>
      <c r="C1438" s="1">
        <v>3.3682273E7</v>
      </c>
      <c r="F1438" s="4">
        <v>682273.0</v>
      </c>
      <c r="G1438" s="4">
        <f t="array" ref="G1438">IFERROR((C1438-B1438)/C1438*100, "N/A")</f>
        <v>2.025614483</v>
      </c>
      <c r="J1438" s="1"/>
      <c r="K1438" s="1"/>
    </row>
    <row r="1439" ht="14.25" customHeight="1">
      <c r="A1439" s="1" t="s">
        <v>7349</v>
      </c>
      <c r="B1439" s="1">
        <v>1.0E7</v>
      </c>
      <c r="C1439" s="1">
        <v>4280577.0</v>
      </c>
      <c r="F1439" s="4">
        <v>-5719423.0</v>
      </c>
      <c r="G1439" s="4">
        <f t="array" ref="G1439">IFERROR((C1439-B1439)/C1439*100, "N/A")</f>
        <v>-133.6133657</v>
      </c>
      <c r="J1439" s="1"/>
      <c r="K1439" s="1"/>
    </row>
    <row r="1440" ht="14.25" customHeight="1">
      <c r="A1440" s="1" t="s">
        <v>7353</v>
      </c>
      <c r="B1440" s="1">
        <v>3.0E7</v>
      </c>
      <c r="C1440" s="1">
        <v>1.7120019E7</v>
      </c>
      <c r="F1440" s="4">
        <v>-1.2879981E7</v>
      </c>
      <c r="G1440" s="4">
        <f t="array" ref="G1440">IFERROR((C1440-B1440)/C1440*100, "N/A")</f>
        <v>-75.23345038</v>
      </c>
      <c r="J1440" s="1"/>
      <c r="K1440" s="1"/>
    </row>
    <row r="1441" ht="14.25" customHeight="1">
      <c r="A1441" s="1" t="s">
        <v>7357</v>
      </c>
      <c r="B1441" s="1">
        <v>3.8E7</v>
      </c>
      <c r="C1441" s="1">
        <v>8406264.0</v>
      </c>
      <c r="F1441" s="4">
        <v>-2.9593736E7</v>
      </c>
      <c r="G1441" s="4">
        <f t="array" ref="G1441">IFERROR((C1441-B1441)/C1441*100, "N/A")</f>
        <v>-352.0438568</v>
      </c>
      <c r="J1441" s="1"/>
      <c r="K1441" s="1"/>
    </row>
    <row r="1442" ht="14.25" customHeight="1">
      <c r="A1442" s="1" t="s">
        <v>7361</v>
      </c>
      <c r="B1442" s="1">
        <v>3.25E7</v>
      </c>
      <c r="C1442" s="1">
        <v>3.09125409E8</v>
      </c>
      <c r="F1442" s="4">
        <v>2.76625409E8</v>
      </c>
      <c r="G1442" s="4">
        <f t="array" ref="G1442">IFERROR((C1442-B1442)/C1442*100, "N/A")</f>
        <v>89.48646761</v>
      </c>
      <c r="J1442" s="1"/>
      <c r="K1442" s="1"/>
    </row>
    <row r="1443" ht="14.25" customHeight="1">
      <c r="A1443" s="1" t="s">
        <v>7366</v>
      </c>
      <c r="B1443" s="1">
        <v>3.0E7</v>
      </c>
      <c r="C1443" s="1">
        <v>1.0955425E7</v>
      </c>
      <c r="F1443" s="4">
        <v>-1.9044575E7</v>
      </c>
      <c r="G1443" s="4">
        <f t="array" ref="G1443">IFERROR((C1443-B1443)/C1443*100, "N/A")</f>
        <v>-173.8369347</v>
      </c>
      <c r="J1443" s="1"/>
      <c r="K1443" s="1"/>
    </row>
    <row r="1444" ht="14.25" customHeight="1">
      <c r="A1444" s="1" t="s">
        <v>7370</v>
      </c>
      <c r="B1444" s="1">
        <v>3.2E7</v>
      </c>
      <c r="C1444" s="1">
        <v>3.4180954E7</v>
      </c>
      <c r="F1444" s="4">
        <v>2180954.0</v>
      </c>
      <c r="G1444" s="4">
        <f t="array" ref="G1444">IFERROR((C1444-B1444)/C1444*100, "N/A")</f>
        <v>6.380611846</v>
      </c>
      <c r="J1444" s="1"/>
      <c r="K1444" s="1"/>
    </row>
    <row r="1445" ht="14.25" customHeight="1">
      <c r="A1445" s="1" t="s">
        <v>7375</v>
      </c>
      <c r="B1445" s="1">
        <v>3.3E7</v>
      </c>
      <c r="C1445" s="1">
        <v>1.73381405E8</v>
      </c>
      <c r="F1445" s="4">
        <v>1.40381405E8</v>
      </c>
      <c r="G1445" s="4">
        <f t="array" ref="G1445">IFERROR((C1445-B1445)/C1445*100, "N/A")</f>
        <v>80.96681706</v>
      </c>
      <c r="J1445" s="1"/>
      <c r="K1445" s="1"/>
    </row>
    <row r="1446" ht="14.25" customHeight="1">
      <c r="A1446" s="1" t="s">
        <v>7378</v>
      </c>
      <c r="B1446" s="1">
        <v>3.2E7</v>
      </c>
      <c r="C1446" s="1">
        <v>1.04632573E8</v>
      </c>
      <c r="F1446" s="4">
        <v>7.2632573E7</v>
      </c>
      <c r="G1446" s="4">
        <f t="array" ref="G1446">IFERROR((C1446-B1446)/C1446*100, "N/A")</f>
        <v>69.41678955</v>
      </c>
      <c r="J1446" s="1"/>
      <c r="K1446" s="1"/>
    </row>
    <row r="1447" ht="14.25" customHeight="1">
      <c r="A1447" s="1" t="s">
        <v>7383</v>
      </c>
      <c r="B1447" s="1">
        <v>3.5E7</v>
      </c>
      <c r="C1447" s="1">
        <v>8.1150692E7</v>
      </c>
      <c r="F1447" s="4">
        <v>4.6150692E7</v>
      </c>
      <c r="G1447" s="4">
        <f t="array" ref="G1447">IFERROR((C1447-B1447)/C1447*100, "N/A")</f>
        <v>56.87036162</v>
      </c>
      <c r="J1447" s="1"/>
      <c r="K1447" s="1"/>
    </row>
    <row r="1448" ht="14.25" customHeight="1">
      <c r="A1448" s="1" t="s">
        <v>7387</v>
      </c>
      <c r="B1448" s="1">
        <v>3.2E7</v>
      </c>
      <c r="C1448" s="1">
        <v>6.0328558E7</v>
      </c>
      <c r="F1448" s="4">
        <v>2.8328558E7</v>
      </c>
      <c r="G1448" s="4">
        <f t="array" ref="G1448">IFERROR((C1448-B1448)/C1448*100, "N/A")</f>
        <v>46.95712767</v>
      </c>
      <c r="J1448" s="1"/>
      <c r="K1448" s="1"/>
    </row>
    <row r="1449" ht="14.25" customHeight="1">
      <c r="A1449" s="1" t="s">
        <v>7392</v>
      </c>
      <c r="B1449" s="1">
        <v>3.2E7</v>
      </c>
      <c r="C1449" s="1">
        <v>8.0197993E7</v>
      </c>
      <c r="F1449" s="4">
        <v>4.8197993E7</v>
      </c>
      <c r="G1449" s="4">
        <f t="array" ref="G1449">IFERROR((C1449-B1449)/C1449*100, "N/A")</f>
        <v>60.0987521</v>
      </c>
      <c r="J1449" s="1"/>
      <c r="K1449" s="1"/>
    </row>
    <row r="1450" ht="14.25" customHeight="1">
      <c r="A1450" s="1" t="s">
        <v>7397</v>
      </c>
      <c r="B1450" s="1">
        <v>3.25E7</v>
      </c>
      <c r="C1450" s="1">
        <v>1.69076745E8</v>
      </c>
      <c r="F1450" s="4">
        <v>1.36576745E8</v>
      </c>
      <c r="G1450" s="4">
        <f t="array" ref="G1450">IFERROR((C1450-B1450)/C1450*100, "N/A")</f>
        <v>80.77795974</v>
      </c>
      <c r="J1450" s="1"/>
      <c r="K1450" s="1"/>
    </row>
    <row r="1451" ht="14.25" customHeight="1">
      <c r="A1451" s="1" t="s">
        <v>7402</v>
      </c>
      <c r="B1451" s="1">
        <v>3.2E7</v>
      </c>
      <c r="C1451" s="1">
        <v>1.01470202E8</v>
      </c>
      <c r="F1451" s="4">
        <v>6.9470202E7</v>
      </c>
      <c r="G1451" s="4">
        <f t="array" ref="G1451">IFERROR((C1451-B1451)/C1451*100, "N/A")</f>
        <v>68.46364808</v>
      </c>
      <c r="J1451" s="1"/>
      <c r="K1451" s="1"/>
    </row>
    <row r="1452" ht="14.25" customHeight="1">
      <c r="A1452" s="1" t="s">
        <v>7406</v>
      </c>
      <c r="B1452" s="1">
        <v>2.9E7</v>
      </c>
      <c r="C1452" s="1">
        <v>5.0041732E7</v>
      </c>
      <c r="F1452" s="4">
        <v>2.1041732E7</v>
      </c>
      <c r="G1452" s="4">
        <f t="array" ref="G1452">IFERROR((C1452-B1452)/C1452*100, "N/A")</f>
        <v>42.04836875</v>
      </c>
      <c r="J1452" s="1"/>
      <c r="K1452" s="1"/>
    </row>
    <row r="1453" ht="14.25" customHeight="1">
      <c r="A1453" s="1" t="s">
        <v>7409</v>
      </c>
      <c r="B1453" s="1">
        <v>3.2E7</v>
      </c>
      <c r="C1453" s="1">
        <v>4.8814909E7</v>
      </c>
      <c r="F1453" s="4">
        <v>1.6814909E7</v>
      </c>
      <c r="G1453" s="4">
        <f t="array" ref="G1453">IFERROR((C1453-B1453)/C1453*100, "N/A")</f>
        <v>34.44625698</v>
      </c>
      <c r="J1453" s="1"/>
      <c r="K1453" s="1"/>
    </row>
    <row r="1454" ht="14.25" customHeight="1">
      <c r="A1454" s="1" t="s">
        <v>7413</v>
      </c>
      <c r="B1454" s="1">
        <v>2.0E7</v>
      </c>
      <c r="C1454" s="1">
        <v>5.774472E7</v>
      </c>
      <c r="F1454" s="4">
        <v>3.774472E7</v>
      </c>
      <c r="G1454" s="4">
        <f t="array" ref="G1454">IFERROR((C1454-B1454)/C1454*100, "N/A")</f>
        <v>65.36479872</v>
      </c>
      <c r="J1454" s="1"/>
      <c r="K1454" s="1"/>
    </row>
    <row r="1455" ht="14.25" customHeight="1">
      <c r="A1455" s="1" t="s">
        <v>7417</v>
      </c>
      <c r="B1455" s="1">
        <v>3.5E7</v>
      </c>
      <c r="C1455" s="1">
        <v>2.1784432E7</v>
      </c>
      <c r="F1455" s="4">
        <v>-1.3215568E7</v>
      </c>
      <c r="G1455" s="4">
        <f t="array" ref="G1455">IFERROR((C1455-B1455)/C1455*100, "N/A")</f>
        <v>-60.6651943</v>
      </c>
      <c r="J1455" s="1"/>
      <c r="K1455" s="1"/>
    </row>
    <row r="1456" ht="14.25" customHeight="1">
      <c r="A1456" s="1" t="s">
        <v>7420</v>
      </c>
      <c r="B1456" s="1">
        <v>3.2E7</v>
      </c>
      <c r="C1456" s="1">
        <v>3.7911876E7</v>
      </c>
      <c r="F1456" s="4">
        <v>5911876.0</v>
      </c>
      <c r="G1456" s="4">
        <f t="array" ref="G1456">IFERROR((C1456-B1456)/C1456*100, "N/A")</f>
        <v>15.5937311</v>
      </c>
      <c r="J1456" s="1"/>
      <c r="K1456" s="1"/>
    </row>
    <row r="1457" ht="14.25" customHeight="1">
      <c r="A1457" s="1" t="s">
        <v>7424</v>
      </c>
      <c r="B1457" s="1">
        <v>3.2E7</v>
      </c>
      <c r="C1457" s="1">
        <v>5.4696902E7</v>
      </c>
      <c r="F1457" s="4">
        <v>2.2696902E7</v>
      </c>
      <c r="G1457" s="4">
        <f t="array" ref="G1457">IFERROR((C1457-B1457)/C1457*100, "N/A")</f>
        <v>41.49577247</v>
      </c>
      <c r="J1457" s="1"/>
      <c r="K1457" s="1"/>
    </row>
    <row r="1458" ht="14.25" customHeight="1">
      <c r="A1458" s="1" t="s">
        <v>7429</v>
      </c>
      <c r="B1458" s="1">
        <v>3.2E7</v>
      </c>
      <c r="C1458" s="1">
        <v>3.6733909E7</v>
      </c>
      <c r="F1458" s="4">
        <v>4733909.0</v>
      </c>
      <c r="G1458" s="4">
        <f t="array" ref="G1458">IFERROR((C1458-B1458)/C1458*100, "N/A")</f>
        <v>12.88702762</v>
      </c>
      <c r="J1458" s="1"/>
      <c r="K1458" s="1"/>
    </row>
    <row r="1459" ht="14.25" customHeight="1">
      <c r="A1459" s="1" t="s">
        <v>7435</v>
      </c>
      <c r="B1459" s="1">
        <v>3.2E7</v>
      </c>
      <c r="C1459" s="1">
        <v>3.5063732E7</v>
      </c>
      <c r="F1459" s="4">
        <v>3063732.0</v>
      </c>
      <c r="G1459" s="4">
        <f t="array" ref="G1459">IFERROR((C1459-B1459)/C1459*100, "N/A")</f>
        <v>8.737609562</v>
      </c>
      <c r="J1459" s="1"/>
      <c r="K1459" s="1"/>
    </row>
    <row r="1460" ht="14.25" customHeight="1">
      <c r="A1460" s="1" t="s">
        <v>7439</v>
      </c>
      <c r="B1460" s="1">
        <v>3.3E7</v>
      </c>
      <c r="C1460" s="1">
        <v>99462.0</v>
      </c>
      <c r="F1460" s="4">
        <v>-3.2900538E7</v>
      </c>
      <c r="G1460" s="4">
        <f t="array" ref="G1460">IFERROR((C1460-B1460)/C1460*100, "N/A")</f>
        <v>-33078.50033</v>
      </c>
      <c r="J1460" s="1"/>
      <c r="K1460" s="1"/>
    </row>
    <row r="1461" ht="14.25" customHeight="1">
      <c r="A1461" s="1" t="s">
        <v>7445</v>
      </c>
      <c r="B1461" s="1">
        <v>3.2E7</v>
      </c>
      <c r="C1461" s="1">
        <v>3.2701088E7</v>
      </c>
      <c r="F1461" s="4">
        <v>701088.0</v>
      </c>
      <c r="G1461" s="4">
        <f t="array" ref="G1461">IFERROR((C1461-B1461)/C1461*100, "N/A")</f>
        <v>2.143928667</v>
      </c>
      <c r="J1461" s="1"/>
      <c r="K1461" s="1"/>
    </row>
    <row r="1462" ht="14.25" customHeight="1">
      <c r="A1462" s="1" t="s">
        <v>7451</v>
      </c>
      <c r="B1462" s="1">
        <v>3.2E7</v>
      </c>
      <c r="C1462" s="1">
        <v>3.1493782E7</v>
      </c>
      <c r="F1462" s="4">
        <v>-506218.0</v>
      </c>
      <c r="G1462" s="4">
        <f t="array" ref="G1462">IFERROR((C1462-B1462)/C1462*100, "N/A")</f>
        <v>-1.607358557</v>
      </c>
      <c r="J1462" s="1"/>
      <c r="K1462" s="1"/>
    </row>
    <row r="1463" ht="14.25" customHeight="1">
      <c r="A1463" s="1" t="s">
        <v>7455</v>
      </c>
      <c r="B1463" s="1">
        <v>3.2E7</v>
      </c>
      <c r="C1463" s="1">
        <v>4.30956E7</v>
      </c>
      <c r="F1463" s="4">
        <v>1.10956E7</v>
      </c>
      <c r="G1463" s="4">
        <f t="array" ref="G1463">IFERROR((C1463-B1463)/C1463*100, "N/A")</f>
        <v>25.74647992</v>
      </c>
      <c r="J1463" s="1"/>
      <c r="K1463" s="1"/>
    </row>
    <row r="1464" ht="14.25" customHeight="1">
      <c r="A1464" s="1" t="s">
        <v>7458</v>
      </c>
      <c r="B1464" s="1">
        <v>3.2E7</v>
      </c>
      <c r="C1464" s="1">
        <v>1.8636537E7</v>
      </c>
      <c r="F1464" s="4">
        <v>-1.3363463E7</v>
      </c>
      <c r="G1464" s="4">
        <f t="array" ref="G1464">IFERROR((C1464-B1464)/C1464*100, "N/A")</f>
        <v>-71.70571979</v>
      </c>
      <c r="J1464" s="1"/>
      <c r="K1464" s="1"/>
    </row>
    <row r="1465" ht="14.25" customHeight="1">
      <c r="A1465" s="1" t="s">
        <v>7464</v>
      </c>
      <c r="B1465" s="1">
        <v>2.8E7</v>
      </c>
      <c r="C1465" s="1">
        <v>1.7848322E7</v>
      </c>
      <c r="F1465" s="4">
        <v>-1.0151678E7</v>
      </c>
      <c r="G1465" s="4">
        <f t="array" ref="G1465">IFERROR((C1465-B1465)/C1465*100, "N/A")</f>
        <v>-56.87749246</v>
      </c>
      <c r="J1465" s="1"/>
      <c r="K1465" s="1"/>
    </row>
    <row r="1466" ht="14.25" customHeight="1">
      <c r="A1466" s="1" t="s">
        <v>7470</v>
      </c>
      <c r="B1466" s="1">
        <v>5.5E7</v>
      </c>
      <c r="C1466" s="1">
        <v>1.664021E7</v>
      </c>
      <c r="F1466" s="4">
        <v>-3.835979E7</v>
      </c>
      <c r="G1466" s="4">
        <f t="array" ref="G1466">IFERROR((C1466-B1466)/C1466*100, "N/A")</f>
        <v>-230.5246749</v>
      </c>
      <c r="J1466" s="1"/>
      <c r="K1466" s="1"/>
    </row>
    <row r="1467" ht="14.25" customHeight="1">
      <c r="A1467" s="1" t="s">
        <v>7476</v>
      </c>
      <c r="B1467" s="1">
        <v>3.2E7</v>
      </c>
      <c r="C1467" s="1">
        <v>1.376313E7</v>
      </c>
      <c r="F1467" s="4">
        <v>-1.823687E7</v>
      </c>
      <c r="G1467" s="4">
        <f t="array" ref="G1467">IFERROR((C1467-B1467)/C1467*100, "N/A")</f>
        <v>-132.5052513</v>
      </c>
      <c r="J1467" s="1"/>
      <c r="K1467" s="1"/>
    </row>
    <row r="1468" ht="14.25" customHeight="1">
      <c r="A1468" s="1" t="s">
        <v>7480</v>
      </c>
      <c r="B1468" s="1">
        <v>3.5E7</v>
      </c>
      <c r="C1468" s="1">
        <v>1.0956379E7</v>
      </c>
      <c r="F1468" s="4">
        <v>-2.4043621E7</v>
      </c>
      <c r="G1468" s="4">
        <f t="array" ref="G1468">IFERROR((C1468-B1468)/C1468*100, "N/A")</f>
        <v>-219.4486061</v>
      </c>
      <c r="J1468" s="1"/>
      <c r="K1468" s="1"/>
    </row>
    <row r="1469" ht="14.25" customHeight="1">
      <c r="A1469" s="1" t="s">
        <v>7485</v>
      </c>
      <c r="B1469" s="1">
        <v>3.0E7</v>
      </c>
      <c r="C1469" s="1">
        <v>4357000.0</v>
      </c>
      <c r="F1469" s="4">
        <v>-2.5643E7</v>
      </c>
      <c r="G1469" s="4">
        <f t="array" ref="G1469">IFERROR((C1469-B1469)/C1469*100, "N/A")</f>
        <v>-588.5471655</v>
      </c>
      <c r="J1469" s="1"/>
      <c r="K1469" s="1"/>
    </row>
    <row r="1470" ht="14.25" customHeight="1">
      <c r="A1470" s="1" t="s">
        <v>7491</v>
      </c>
      <c r="B1470" s="1">
        <v>3.0E7</v>
      </c>
      <c r="C1470" s="1">
        <v>2.2525921E7</v>
      </c>
      <c r="F1470" s="4">
        <v>-7474079.0</v>
      </c>
      <c r="G1470" s="4">
        <f t="array" ref="G1470">IFERROR((C1470-B1470)/C1470*100, "N/A")</f>
        <v>-33.17990416</v>
      </c>
      <c r="J1470" s="1"/>
      <c r="K1470" s="1"/>
    </row>
    <row r="1471" ht="14.25" customHeight="1">
      <c r="A1471" s="1" t="s">
        <v>7494</v>
      </c>
      <c r="B1471" s="1">
        <v>3.2E7</v>
      </c>
      <c r="C1471" s="1">
        <v>3562749.0</v>
      </c>
      <c r="F1471" s="4">
        <v>-2.8437251E7</v>
      </c>
      <c r="G1471" s="4">
        <f t="array" ref="G1471">IFERROR((C1471-B1471)/C1471*100, "N/A")</f>
        <v>-798.1828358</v>
      </c>
      <c r="J1471" s="1"/>
      <c r="K1471" s="1"/>
    </row>
    <row r="1472" ht="14.25" customHeight="1">
      <c r="A1472" s="1" t="s">
        <v>7500</v>
      </c>
      <c r="B1472" s="1">
        <v>3.2E7</v>
      </c>
      <c r="C1472" s="1">
        <v>2899970.0</v>
      </c>
      <c r="F1472" s="4">
        <v>-2.910003E7</v>
      </c>
      <c r="G1472" s="4">
        <f t="array" ref="G1472">IFERROR((C1472-B1472)/C1472*100, "N/A")</f>
        <v>-1003.459691</v>
      </c>
      <c r="J1472" s="1"/>
      <c r="K1472" s="1"/>
    </row>
    <row r="1473" ht="14.25" customHeight="1">
      <c r="A1473" s="1" t="s">
        <v>7503</v>
      </c>
      <c r="B1473" s="1">
        <v>3.2E7</v>
      </c>
      <c r="C1473" s="1">
        <v>1304837.0</v>
      </c>
      <c r="F1473" s="4">
        <v>-3.0695163E7</v>
      </c>
      <c r="G1473" s="4">
        <f t="array" ref="G1473">IFERROR((C1473-B1473)/C1473*100, "N/A")</f>
        <v>-2352.413596</v>
      </c>
      <c r="J1473" s="1"/>
      <c r="K1473" s="1"/>
    </row>
    <row r="1474" ht="14.25" customHeight="1">
      <c r="A1474" s="1" t="s">
        <v>7506</v>
      </c>
      <c r="B1474" s="1">
        <v>3.15E7</v>
      </c>
      <c r="C1474" s="1">
        <v>7.88E7</v>
      </c>
      <c r="F1474" s="4">
        <v>4.73E7</v>
      </c>
      <c r="G1474" s="4">
        <f t="array" ref="G1474">IFERROR((C1474-B1474)/C1474*100, "N/A")</f>
        <v>60.02538071</v>
      </c>
      <c r="J1474" s="1"/>
      <c r="K1474" s="1"/>
    </row>
    <row r="1475" ht="14.25" customHeight="1">
      <c r="A1475" s="1" t="s">
        <v>7510</v>
      </c>
      <c r="B1475" s="1">
        <v>3.2E7</v>
      </c>
      <c r="C1475" s="1">
        <v>1.7797316E7</v>
      </c>
      <c r="F1475" s="4">
        <v>-1.4202684E7</v>
      </c>
      <c r="G1475" s="4">
        <f t="array" ref="G1475">IFERROR((C1475-B1475)/C1475*100, "N/A")</f>
        <v>-79.80239268</v>
      </c>
      <c r="J1475" s="1"/>
      <c r="K1475" s="1"/>
    </row>
    <row r="1476" ht="14.25" customHeight="1">
      <c r="A1476" s="1" t="s">
        <v>7513</v>
      </c>
      <c r="B1476" s="1">
        <v>6500000.0</v>
      </c>
      <c r="C1476" s="1">
        <v>8.2528097E7</v>
      </c>
      <c r="F1476" s="4">
        <v>7.6028097E7</v>
      </c>
      <c r="G1476" s="4">
        <f t="array" ref="G1476">IFERROR((C1476-B1476)/C1476*100, "N/A")</f>
        <v>92.12389448</v>
      </c>
      <c r="J1476" s="1"/>
      <c r="K1476" s="1"/>
    </row>
    <row r="1477" ht="14.25" customHeight="1">
      <c r="A1477" s="1" t="s">
        <v>7519</v>
      </c>
      <c r="B1477" s="1">
        <v>3.15E7</v>
      </c>
      <c r="C1477" s="1">
        <v>1.4268533E7</v>
      </c>
      <c r="F1477" s="4">
        <v>-1.7231467E7</v>
      </c>
      <c r="G1477" s="4">
        <f t="array" ref="G1477">IFERROR((C1477-B1477)/C1477*100, "N/A")</f>
        <v>-120.7655125</v>
      </c>
      <c r="J1477" s="1"/>
      <c r="K1477" s="1"/>
    </row>
    <row r="1478" ht="14.25" customHeight="1">
      <c r="A1478" s="1" t="s">
        <v>7524</v>
      </c>
      <c r="B1478" s="1">
        <v>3.1E7</v>
      </c>
      <c r="C1478" s="1">
        <v>8.71E7</v>
      </c>
      <c r="F1478" s="4">
        <v>5.61E7</v>
      </c>
      <c r="G1478" s="4">
        <f t="array" ref="G1478">IFERROR((C1478-B1478)/C1478*100, "N/A")</f>
        <v>64.4087256</v>
      </c>
      <c r="J1478" s="1"/>
      <c r="K1478" s="1"/>
    </row>
    <row r="1479" ht="14.25" customHeight="1">
      <c r="A1479" s="1" t="s">
        <v>7527</v>
      </c>
      <c r="B1479" s="1">
        <v>3.1E7</v>
      </c>
      <c r="C1479" s="1">
        <v>9.3749203E7</v>
      </c>
      <c r="F1479" s="4">
        <v>6.2749203E7</v>
      </c>
      <c r="G1479" s="4">
        <f t="array" ref="G1479">IFERROR((C1479-B1479)/C1479*100, "N/A")</f>
        <v>66.93305222</v>
      </c>
      <c r="J1479" s="1"/>
      <c r="K1479" s="1"/>
    </row>
    <row r="1480" ht="14.25" customHeight="1">
      <c r="A1480" s="1" t="s">
        <v>7531</v>
      </c>
      <c r="B1480" s="1">
        <v>3.4E7</v>
      </c>
      <c r="C1480" s="1">
        <v>6.27E7</v>
      </c>
      <c r="F1480" s="4">
        <v>2.87E7</v>
      </c>
      <c r="G1480" s="4">
        <f t="array" ref="G1480">IFERROR((C1480-B1480)/C1480*100, "N/A")</f>
        <v>45.77352472</v>
      </c>
      <c r="J1480" s="1"/>
      <c r="K1480" s="1"/>
    </row>
    <row r="1481" ht="14.25" customHeight="1">
      <c r="A1481" s="1" t="s">
        <v>7535</v>
      </c>
      <c r="B1481" s="1">
        <v>2.5E7</v>
      </c>
      <c r="C1481" s="1">
        <v>5.9073773E7</v>
      </c>
      <c r="F1481" s="4">
        <v>3.4073773E7</v>
      </c>
      <c r="G1481" s="4">
        <f t="array" ref="G1481">IFERROR((C1481-B1481)/C1481*100, "N/A")</f>
        <v>57.6800351</v>
      </c>
      <c r="J1481" s="1"/>
      <c r="K1481" s="1"/>
    </row>
    <row r="1482" ht="14.25" customHeight="1">
      <c r="A1482" s="1" t="s">
        <v>7539</v>
      </c>
      <c r="B1482" s="1">
        <v>3.1E7</v>
      </c>
      <c r="C1482" s="1">
        <v>2.4185781E7</v>
      </c>
      <c r="F1482" s="4">
        <v>-6814219.0</v>
      </c>
      <c r="G1482" s="4">
        <f t="array" ref="G1482">IFERROR((C1482-B1482)/C1482*100, "N/A")</f>
        <v>-28.17448401</v>
      </c>
      <c r="J1482" s="1"/>
      <c r="K1482" s="1"/>
    </row>
    <row r="1483" ht="14.25" customHeight="1">
      <c r="A1483" s="1" t="s">
        <v>7544</v>
      </c>
      <c r="B1483" s="1">
        <v>3.1E7</v>
      </c>
      <c r="C1483" s="1">
        <v>5.3133888E7</v>
      </c>
      <c r="F1483" s="4">
        <v>2.2133888E7</v>
      </c>
      <c r="G1483" s="4">
        <f t="array" ref="G1483">IFERROR((C1483-B1483)/C1483*100, "N/A")</f>
        <v>41.65681984</v>
      </c>
      <c r="J1483" s="1"/>
      <c r="K1483" s="1"/>
    </row>
    <row r="1484" ht="14.25" customHeight="1">
      <c r="A1484" s="1" t="s">
        <v>7550</v>
      </c>
      <c r="B1484" s="1">
        <v>3.1E7</v>
      </c>
      <c r="C1484" s="1">
        <v>4.4983704E7</v>
      </c>
      <c r="F1484" s="4">
        <v>1.3983704E7</v>
      </c>
      <c r="G1484" s="4">
        <f t="array" ref="G1484">IFERROR((C1484-B1484)/C1484*100, "N/A")</f>
        <v>31.08615511</v>
      </c>
      <c r="J1484" s="1"/>
      <c r="K1484" s="1"/>
    </row>
    <row r="1485" ht="14.25" customHeight="1">
      <c r="A1485" s="1" t="s">
        <v>933</v>
      </c>
      <c r="B1485" s="1">
        <v>1.44E8</v>
      </c>
      <c r="C1485" s="1">
        <v>1.18099659E8</v>
      </c>
      <c r="F1485" s="4">
        <v>-2.5900341E7</v>
      </c>
      <c r="G1485" s="4">
        <f t="array" ref="G1485">IFERROR((C1485-B1485)/C1485*100, "N/A")</f>
        <v>-21.93091938</v>
      </c>
      <c r="J1485" s="1"/>
      <c r="K1485" s="1"/>
    </row>
    <row r="1486" ht="14.25" customHeight="1">
      <c r="A1486" s="1" t="s">
        <v>7555</v>
      </c>
      <c r="B1486" s="1">
        <v>3.1E7</v>
      </c>
      <c r="C1486" s="1">
        <v>5.8879132E7</v>
      </c>
      <c r="F1486" s="4">
        <v>2.7879132E7</v>
      </c>
      <c r="G1486" s="4">
        <f t="array" ref="G1486">IFERROR((C1486-B1486)/C1486*100, "N/A")</f>
        <v>47.34976732</v>
      </c>
      <c r="J1486" s="1"/>
      <c r="K1486" s="1"/>
    </row>
    <row r="1487" ht="14.25" customHeight="1">
      <c r="A1487" s="1" t="s">
        <v>7559</v>
      </c>
      <c r="B1487" s="1">
        <v>3.025E7</v>
      </c>
      <c r="C1487" s="1">
        <v>7.2077E7</v>
      </c>
      <c r="F1487" s="4">
        <v>4.1827E7</v>
      </c>
      <c r="G1487" s="4">
        <f t="array" ref="G1487">IFERROR((C1487-B1487)/C1487*100, "N/A")</f>
        <v>58.03099463</v>
      </c>
      <c r="J1487" s="1"/>
      <c r="K1487" s="1"/>
    </row>
    <row r="1488" ht="14.25" customHeight="1">
      <c r="A1488" s="1" t="s">
        <v>7562</v>
      </c>
      <c r="B1488" s="1">
        <v>4.5E7</v>
      </c>
      <c r="C1488" s="1">
        <v>1.70684505E8</v>
      </c>
      <c r="F1488" s="4">
        <v>1.25684505E8</v>
      </c>
      <c r="G1488" s="4">
        <f t="array" ref="G1488">IFERROR((C1488-B1488)/C1488*100, "N/A")</f>
        <v>73.63556815</v>
      </c>
      <c r="J1488" s="1"/>
      <c r="K1488" s="1"/>
    </row>
    <row r="1489" ht="14.25" customHeight="1">
      <c r="A1489" s="1" t="s">
        <v>7568</v>
      </c>
      <c r="B1489" s="1">
        <v>3.42E7</v>
      </c>
      <c r="C1489" s="1">
        <v>1.63479795E8</v>
      </c>
      <c r="F1489" s="4">
        <v>1.29279795E8</v>
      </c>
      <c r="G1489" s="4">
        <f t="array" ref="G1489">IFERROR((C1489-B1489)/C1489*100, "N/A")</f>
        <v>79.07998355</v>
      </c>
      <c r="J1489" s="1"/>
      <c r="K1489" s="1"/>
    </row>
    <row r="1490" ht="14.25" customHeight="1">
      <c r="A1490" s="1" t="s">
        <v>7573</v>
      </c>
      <c r="B1490" s="1">
        <v>3.0E7</v>
      </c>
      <c r="C1490" s="1">
        <v>1.4509682E8</v>
      </c>
      <c r="F1490" s="4">
        <v>1.1509682E8</v>
      </c>
      <c r="G1490" s="4">
        <f t="array" ref="G1490">IFERROR((C1490-B1490)/C1490*100, "N/A")</f>
        <v>79.32415059</v>
      </c>
      <c r="J1490" s="1"/>
      <c r="K1490" s="1"/>
    </row>
    <row r="1491" ht="14.25" customHeight="1">
      <c r="A1491" s="1" t="s">
        <v>7576</v>
      </c>
      <c r="B1491" s="1">
        <v>3.0E7</v>
      </c>
      <c r="C1491" s="1">
        <v>1.91796233E8</v>
      </c>
      <c r="F1491" s="4">
        <v>1.61796233E8</v>
      </c>
      <c r="G1491" s="4">
        <f t="array" ref="G1491">IFERROR((C1491-B1491)/C1491*100, "N/A")</f>
        <v>84.35839978</v>
      </c>
      <c r="J1491" s="1"/>
      <c r="K1491" s="1"/>
    </row>
    <row r="1492" ht="14.25" customHeight="1">
      <c r="A1492" s="1" t="s">
        <v>7579</v>
      </c>
      <c r="B1492" s="1">
        <v>2.5E7</v>
      </c>
      <c r="C1492" s="1">
        <v>1.21248145E8</v>
      </c>
      <c r="F1492" s="4">
        <v>9.6248145E7</v>
      </c>
      <c r="G1492" s="4">
        <f t="array" ref="G1492">IFERROR((C1492-B1492)/C1492*100, "N/A")</f>
        <v>79.38112785</v>
      </c>
      <c r="J1492" s="1"/>
      <c r="K1492" s="1"/>
    </row>
    <row r="1493" ht="14.25" customHeight="1">
      <c r="A1493" s="1" t="s">
        <v>7583</v>
      </c>
      <c r="B1493" s="1">
        <v>3.0E7</v>
      </c>
      <c r="C1493" s="1">
        <v>1.2501403E8</v>
      </c>
      <c r="F1493" s="4">
        <v>9.501403E7</v>
      </c>
      <c r="G1493" s="4">
        <f t="array" ref="G1493">IFERROR((C1493-B1493)/C1493*100, "N/A")</f>
        <v>76.00269346</v>
      </c>
      <c r="J1493" s="1"/>
      <c r="K1493" s="1"/>
    </row>
    <row r="1494" ht="14.25" customHeight="1">
      <c r="A1494" s="1" t="s">
        <v>7589</v>
      </c>
      <c r="B1494" s="1">
        <v>3.1E7</v>
      </c>
      <c r="C1494" s="1">
        <v>1.1854694E7</v>
      </c>
      <c r="F1494" s="4">
        <v>-1.9145306E7</v>
      </c>
      <c r="G1494" s="4">
        <f t="array" ref="G1494">IFERROR((C1494-B1494)/C1494*100, "N/A")</f>
        <v>-161.4997907</v>
      </c>
      <c r="J1494" s="1"/>
      <c r="K1494" s="1"/>
    </row>
    <row r="1495" ht="14.25" customHeight="1">
      <c r="A1495" s="1" t="s">
        <v>7592</v>
      </c>
      <c r="B1495" s="1">
        <v>3.0E7</v>
      </c>
      <c r="C1495" s="1">
        <v>1.15648585E8</v>
      </c>
      <c r="F1495" s="4">
        <v>8.5648585E7</v>
      </c>
      <c r="G1495" s="4">
        <f t="array" ref="G1495">IFERROR((C1495-B1495)/C1495*100, "N/A")</f>
        <v>74.05934539</v>
      </c>
      <c r="J1495" s="1"/>
      <c r="K1495" s="1"/>
    </row>
    <row r="1496" ht="14.25" customHeight="1">
      <c r="A1496" s="1" t="s">
        <v>7595</v>
      </c>
      <c r="B1496" s="1">
        <v>3.0E7</v>
      </c>
      <c r="C1496" s="1">
        <v>1.22012643E8</v>
      </c>
      <c r="F1496" s="4">
        <v>9.2012643E7</v>
      </c>
      <c r="G1496" s="4">
        <f t="array" ref="G1496">IFERROR((C1496-B1496)/C1496*100, "N/A")</f>
        <v>75.41238411</v>
      </c>
      <c r="J1496" s="1"/>
      <c r="K1496" s="1"/>
    </row>
    <row r="1497" ht="14.25" customHeight="1">
      <c r="A1497" s="1" t="s">
        <v>7598</v>
      </c>
      <c r="B1497" s="1">
        <v>3.0E7</v>
      </c>
      <c r="C1497" s="1">
        <v>1.1663131E8</v>
      </c>
      <c r="F1497" s="4">
        <v>8.663131E7</v>
      </c>
      <c r="G1497" s="4">
        <f t="array" ref="G1497">IFERROR((C1497-B1497)/C1497*100, "N/A")</f>
        <v>74.27791903</v>
      </c>
      <c r="J1497" s="1"/>
      <c r="K1497" s="1"/>
    </row>
    <row r="1498" ht="14.25" customHeight="1">
      <c r="A1498" s="1" t="s">
        <v>7601</v>
      </c>
      <c r="B1498" s="1">
        <v>2.0E7</v>
      </c>
      <c r="C1498" s="1">
        <v>1.14324072E8</v>
      </c>
      <c r="F1498" s="4">
        <v>9.4324072E7</v>
      </c>
      <c r="G1498" s="4">
        <f t="array" ref="G1498">IFERROR((C1498-B1498)/C1498*100, "N/A")</f>
        <v>82.50587155</v>
      </c>
      <c r="J1498" s="1"/>
      <c r="K1498" s="1"/>
    </row>
    <row r="1499" ht="14.25" customHeight="1">
      <c r="A1499" s="1" t="s">
        <v>7604</v>
      </c>
      <c r="B1499" s="1">
        <v>3.8E7</v>
      </c>
      <c r="C1499" s="1">
        <v>1.13502246E8</v>
      </c>
      <c r="F1499" s="4">
        <v>7.5502246E7</v>
      </c>
      <c r="G1499" s="4">
        <f t="array" ref="G1499">IFERROR((C1499-B1499)/C1499*100, "N/A")</f>
        <v>66.5204863</v>
      </c>
      <c r="J1499" s="1"/>
      <c r="K1499" s="1"/>
    </row>
    <row r="1500" ht="14.25" customHeight="1">
      <c r="A1500" s="1" t="s">
        <v>7608</v>
      </c>
      <c r="B1500" s="1">
        <v>3.0E7</v>
      </c>
      <c r="C1500" s="1">
        <v>1.0836E8</v>
      </c>
      <c r="F1500" s="4">
        <v>7.836E7</v>
      </c>
      <c r="G1500" s="4">
        <f t="array" ref="G1500">IFERROR((C1500-B1500)/C1500*100, "N/A")</f>
        <v>72.3145072</v>
      </c>
      <c r="J1500" s="1"/>
      <c r="K1500" s="1"/>
    </row>
    <row r="1501" ht="14.25" customHeight="1">
      <c r="A1501" s="1" t="s">
        <v>7611</v>
      </c>
      <c r="B1501" s="1">
        <v>3.7E7</v>
      </c>
      <c r="C1501" s="1">
        <v>1.08244774E8</v>
      </c>
      <c r="F1501" s="4">
        <v>7.1244774E7</v>
      </c>
      <c r="G1501" s="4">
        <f t="array" ref="G1501">IFERROR((C1501-B1501)/C1501*100, "N/A")</f>
        <v>65.81821123</v>
      </c>
      <c r="J1501" s="1"/>
      <c r="K1501" s="1"/>
    </row>
    <row r="1502" ht="14.25" customHeight="1">
      <c r="A1502" s="1" t="s">
        <v>7615</v>
      </c>
      <c r="B1502" s="1">
        <v>2.6E7</v>
      </c>
      <c r="C1502" s="1">
        <v>1.05444419E8</v>
      </c>
      <c r="F1502" s="4">
        <v>7.9444419E7</v>
      </c>
      <c r="G1502" s="4">
        <f t="array" ref="G1502">IFERROR((C1502-B1502)/C1502*100, "N/A")</f>
        <v>75.3424598</v>
      </c>
      <c r="J1502" s="1"/>
      <c r="K1502" s="1"/>
    </row>
    <row r="1503" ht="14.25" customHeight="1">
      <c r="A1503" s="1" t="s">
        <v>7618</v>
      </c>
      <c r="B1503" s="1">
        <v>3.3E7</v>
      </c>
      <c r="C1503" s="1">
        <v>1.0012534E8</v>
      </c>
      <c r="F1503" s="4">
        <v>6.712534E7</v>
      </c>
      <c r="G1503" s="4">
        <f t="array" ref="G1503">IFERROR((C1503-B1503)/C1503*100, "N/A")</f>
        <v>67.04131042</v>
      </c>
      <c r="J1503" s="1"/>
      <c r="K1503" s="1"/>
    </row>
    <row r="1504" ht="14.25" customHeight="1">
      <c r="A1504" s="1" t="s">
        <v>7621</v>
      </c>
      <c r="B1504" s="1">
        <v>3.0E7</v>
      </c>
      <c r="C1504" s="1">
        <v>1.15646235E8</v>
      </c>
      <c r="F1504" s="4">
        <v>8.5646235E7</v>
      </c>
      <c r="G1504" s="4">
        <f t="array" ref="G1504">IFERROR((C1504-B1504)/C1504*100, "N/A")</f>
        <v>74.05881826</v>
      </c>
      <c r="J1504" s="1"/>
      <c r="K1504" s="1"/>
    </row>
    <row r="1505" ht="14.25" customHeight="1">
      <c r="A1505" s="1" t="s">
        <v>7626</v>
      </c>
      <c r="B1505" s="1">
        <v>3.0E7</v>
      </c>
      <c r="C1505" s="1">
        <v>8.5416609E7</v>
      </c>
      <c r="F1505" s="4">
        <v>5.5416609E7</v>
      </c>
      <c r="G1505" s="4">
        <f t="array" ref="G1505">IFERROR((C1505-B1505)/C1505*100, "N/A")</f>
        <v>64.87802507</v>
      </c>
      <c r="J1505" s="1"/>
      <c r="K1505" s="1"/>
    </row>
    <row r="1506" ht="14.25" customHeight="1">
      <c r="A1506" s="1" t="s">
        <v>7630</v>
      </c>
      <c r="B1506" s="1">
        <v>2.5E7</v>
      </c>
      <c r="C1506" s="1">
        <v>9.0135191E7</v>
      </c>
      <c r="F1506" s="4">
        <v>6.5135191E7</v>
      </c>
      <c r="G1506" s="4">
        <f t="array" ref="G1506">IFERROR((C1506-B1506)/C1506*100, "N/A")</f>
        <v>72.26388526</v>
      </c>
      <c r="J1506" s="1"/>
      <c r="K1506" s="1"/>
    </row>
    <row r="1507" ht="14.25" customHeight="1">
      <c r="A1507" s="1" t="s">
        <v>7635</v>
      </c>
      <c r="B1507" s="1">
        <v>3.0E7</v>
      </c>
      <c r="C1507" s="1">
        <v>1.00422786E8</v>
      </c>
      <c r="F1507" s="4">
        <v>7.0422786E7</v>
      </c>
      <c r="G1507" s="4">
        <f t="array" ref="G1507">IFERROR((C1507-B1507)/C1507*100, "N/A")</f>
        <v>70.12630181</v>
      </c>
      <c r="J1507" s="1"/>
      <c r="K1507" s="1"/>
    </row>
    <row r="1508" ht="14.25" customHeight="1">
      <c r="A1508" s="1" t="s">
        <v>7639</v>
      </c>
      <c r="B1508" s="1">
        <v>3.0E7</v>
      </c>
      <c r="C1508" s="1">
        <v>1.06694016E8</v>
      </c>
      <c r="F1508" s="4">
        <v>7.6694016E7</v>
      </c>
      <c r="G1508" s="4">
        <f t="array" ref="G1508">IFERROR((C1508-B1508)/C1508*100, "N/A")</f>
        <v>71.8822094</v>
      </c>
      <c r="J1508" s="1"/>
      <c r="K1508" s="1"/>
    </row>
    <row r="1509" ht="14.25" customHeight="1">
      <c r="A1509" s="1" t="s">
        <v>7642</v>
      </c>
      <c r="B1509" s="1">
        <v>2.9E7</v>
      </c>
      <c r="C1509" s="1">
        <v>64286.0</v>
      </c>
      <c r="F1509" s="4">
        <v>-2.8935714E7</v>
      </c>
      <c r="G1509" s="4">
        <f t="array" ref="G1509">IFERROR((C1509-B1509)/C1509*100, "N/A")</f>
        <v>-45010.91062</v>
      </c>
      <c r="J1509" s="1"/>
      <c r="K1509" s="1"/>
    </row>
    <row r="1510" ht="14.25" customHeight="1">
      <c r="A1510" s="1" t="s">
        <v>7645</v>
      </c>
      <c r="B1510" s="1">
        <v>3.0E7</v>
      </c>
      <c r="C1510" s="1">
        <v>7.6806312E7</v>
      </c>
      <c r="F1510" s="4">
        <v>4.6806312E7</v>
      </c>
      <c r="G1510" s="4">
        <f t="array" ref="G1510">IFERROR((C1510-B1510)/C1510*100, "N/A")</f>
        <v>60.94071019</v>
      </c>
      <c r="J1510" s="1"/>
      <c r="K1510" s="1"/>
    </row>
    <row r="1511" ht="14.25" customHeight="1">
      <c r="A1511" s="1" t="s">
        <v>7650</v>
      </c>
      <c r="B1511" s="1">
        <v>3.0E7</v>
      </c>
      <c r="C1511" s="1">
        <v>7.9566871E7</v>
      </c>
      <c r="F1511" s="4">
        <v>4.9566871E7</v>
      </c>
      <c r="G1511" s="4">
        <f t="array" ref="G1511">IFERROR((C1511-B1511)/C1511*100, "N/A")</f>
        <v>62.29586557</v>
      </c>
      <c r="J1511" s="1"/>
      <c r="K1511" s="1"/>
    </row>
    <row r="1512" ht="14.25" customHeight="1">
      <c r="A1512" s="1" t="s">
        <v>7655</v>
      </c>
      <c r="B1512" s="1">
        <v>3.0E7</v>
      </c>
      <c r="C1512" s="1">
        <v>7.6501438E7</v>
      </c>
      <c r="F1512" s="4">
        <v>4.6501438E7</v>
      </c>
      <c r="G1512" s="4">
        <f t="array" ref="G1512">IFERROR((C1512-B1512)/C1512*100, "N/A")</f>
        <v>60.78505086</v>
      </c>
      <c r="J1512" s="1"/>
      <c r="K1512" s="1"/>
    </row>
    <row r="1513" ht="14.25" customHeight="1">
      <c r="A1513" s="1" t="s">
        <v>7659</v>
      </c>
      <c r="B1513" s="1">
        <v>3.0E7</v>
      </c>
      <c r="C1513" s="1">
        <v>7.4787599E7</v>
      </c>
      <c r="F1513" s="4">
        <v>4.4787599E7</v>
      </c>
      <c r="G1513" s="4">
        <f t="array" ref="G1513">IFERROR((C1513-B1513)/C1513*100, "N/A")</f>
        <v>59.88639774</v>
      </c>
      <c r="J1513" s="1"/>
      <c r="K1513" s="1"/>
    </row>
    <row r="1514" ht="14.25" customHeight="1">
      <c r="A1514" s="1" t="s">
        <v>7663</v>
      </c>
      <c r="B1514" s="1">
        <v>3.0E7</v>
      </c>
      <c r="C1514" s="1">
        <v>6.6528842E7</v>
      </c>
      <c r="F1514" s="4">
        <v>3.6528842E7</v>
      </c>
      <c r="G1514" s="4">
        <f t="array" ref="G1514">IFERROR((C1514-B1514)/C1514*100, "N/A")</f>
        <v>54.90677562</v>
      </c>
      <c r="J1514" s="1"/>
      <c r="K1514" s="1"/>
    </row>
    <row r="1515" ht="14.25" customHeight="1">
      <c r="A1515" s="1" t="s">
        <v>7667</v>
      </c>
      <c r="B1515" s="1">
        <v>2.5E7</v>
      </c>
      <c r="C1515" s="1">
        <v>8.381346E7</v>
      </c>
      <c r="F1515" s="4">
        <v>5.881346E7</v>
      </c>
      <c r="G1515" s="4">
        <f t="array" ref="G1515">IFERROR((C1515-B1515)/C1515*100, "N/A")</f>
        <v>70.17185545</v>
      </c>
      <c r="J1515" s="1"/>
      <c r="K1515" s="1"/>
    </row>
    <row r="1516" ht="14.25" customHeight="1">
      <c r="A1516" s="1" t="s">
        <v>7672</v>
      </c>
      <c r="B1516" s="1">
        <v>3.0E7</v>
      </c>
      <c r="C1516" s="1">
        <v>6.5010106E7</v>
      </c>
      <c r="F1516" s="4">
        <v>3.5010106E7</v>
      </c>
      <c r="G1516" s="4">
        <f t="array" ref="G1516">IFERROR((C1516-B1516)/C1516*100, "N/A")</f>
        <v>53.85332859</v>
      </c>
      <c r="J1516" s="1"/>
      <c r="K1516" s="1"/>
    </row>
    <row r="1517" ht="14.25" customHeight="1">
      <c r="A1517" s="1" t="s">
        <v>7678</v>
      </c>
      <c r="B1517" s="1">
        <v>3.5E7</v>
      </c>
      <c r="C1517" s="1">
        <v>6.6359959E7</v>
      </c>
      <c r="F1517" s="4">
        <v>3.1359959E7</v>
      </c>
      <c r="G1517" s="4">
        <f t="array" ref="G1517">IFERROR((C1517-B1517)/C1517*100, "N/A")</f>
        <v>47.25735138</v>
      </c>
      <c r="J1517" s="1"/>
      <c r="K1517" s="1"/>
    </row>
    <row r="1518" ht="14.25" customHeight="1">
      <c r="A1518" s="1" t="s">
        <v>7686</v>
      </c>
      <c r="B1518" s="1">
        <v>3.0E7</v>
      </c>
      <c r="C1518" s="1">
        <v>6.6468315E7</v>
      </c>
      <c r="F1518" s="4">
        <v>3.6468315E7</v>
      </c>
      <c r="G1518" s="4">
        <f t="array" ref="G1518">IFERROR((C1518-B1518)/C1518*100, "N/A")</f>
        <v>54.86571308</v>
      </c>
      <c r="J1518" s="1"/>
      <c r="K1518" s="1"/>
    </row>
    <row r="1519" ht="14.25" customHeight="1">
      <c r="A1519" s="1" t="s">
        <v>7690</v>
      </c>
      <c r="B1519" s="1">
        <v>3.0E7</v>
      </c>
      <c r="C1519" s="1">
        <v>6.4172251E7</v>
      </c>
      <c r="F1519" s="4">
        <v>3.4172251E7</v>
      </c>
      <c r="G1519" s="4">
        <f t="array" ref="G1519">IFERROR((C1519-B1519)/C1519*100, "N/A")</f>
        <v>53.25082176</v>
      </c>
      <c r="J1519" s="1"/>
      <c r="K1519" s="1"/>
    </row>
    <row r="1520" ht="14.25" customHeight="1">
      <c r="A1520" s="1" t="s">
        <v>7694</v>
      </c>
      <c r="B1520" s="1">
        <v>3.0E7</v>
      </c>
      <c r="C1520" s="1">
        <v>6.66E7</v>
      </c>
      <c r="F1520" s="4">
        <v>3.66E7</v>
      </c>
      <c r="G1520" s="4">
        <f t="array" ref="G1520">IFERROR((C1520-B1520)/C1520*100, "N/A")</f>
        <v>54.95495495</v>
      </c>
      <c r="J1520" s="1"/>
      <c r="K1520" s="1"/>
    </row>
    <row r="1521" ht="14.25" customHeight="1">
      <c r="A1521" s="1" t="s">
        <v>7698</v>
      </c>
      <c r="B1521" s="1">
        <v>3.0E7</v>
      </c>
      <c r="C1521" s="1">
        <v>6.3536011E7</v>
      </c>
      <c r="F1521" s="4">
        <v>3.3536011E7</v>
      </c>
      <c r="G1521" s="4">
        <f t="array" ref="G1521">IFERROR((C1521-B1521)/C1521*100, "N/A")</f>
        <v>52.78268256</v>
      </c>
      <c r="J1521" s="1"/>
      <c r="K1521" s="1"/>
    </row>
    <row r="1522" ht="14.25" customHeight="1">
      <c r="A1522" s="1" t="s">
        <v>7702</v>
      </c>
      <c r="B1522" s="1">
        <v>3.0E7</v>
      </c>
      <c r="C1522" s="1">
        <v>6.2877175E7</v>
      </c>
      <c r="F1522" s="4">
        <v>3.2877175E7</v>
      </c>
      <c r="G1522" s="4">
        <f t="array" ref="G1522">IFERROR((C1522-B1522)/C1522*100, "N/A")</f>
        <v>52.28793278</v>
      </c>
      <c r="J1522" s="1"/>
      <c r="K1522" s="1"/>
    </row>
    <row r="1523" ht="14.25" customHeight="1">
      <c r="A1523" s="1" t="s">
        <v>7706</v>
      </c>
      <c r="B1523" s="1">
        <v>4.5E7</v>
      </c>
      <c r="C1523" s="1">
        <v>7.4484168E7</v>
      </c>
      <c r="F1523" s="4">
        <v>2.9484168E7</v>
      </c>
      <c r="G1523" s="4">
        <f t="array" ref="G1523">IFERROR((C1523-B1523)/C1523*100, "N/A")</f>
        <v>39.58447653</v>
      </c>
      <c r="J1523" s="1"/>
      <c r="K1523" s="1"/>
    </row>
    <row r="1524" ht="14.25" customHeight="1">
      <c r="A1524" s="1" t="s">
        <v>7712</v>
      </c>
      <c r="B1524" s="1">
        <v>3.0E7</v>
      </c>
      <c r="C1524" s="1">
        <v>6.026934E7</v>
      </c>
      <c r="F1524" s="4">
        <v>3.026934E7</v>
      </c>
      <c r="G1524" s="4">
        <f t="array" ref="G1524">IFERROR((C1524-B1524)/C1524*100, "N/A")</f>
        <v>50.22344695</v>
      </c>
      <c r="J1524" s="1"/>
      <c r="K1524" s="1"/>
    </row>
    <row r="1525" ht="14.25" customHeight="1">
      <c r="A1525" s="1" t="s">
        <v>7716</v>
      </c>
      <c r="B1525" s="1">
        <v>3.0E7</v>
      </c>
      <c r="C1525" s="1">
        <v>6.003378E7</v>
      </c>
      <c r="F1525" s="4">
        <v>3.003378E7</v>
      </c>
      <c r="G1525" s="4">
        <f t="array" ref="G1525">IFERROR((C1525-B1525)/C1525*100, "N/A")</f>
        <v>50.02813416</v>
      </c>
      <c r="J1525" s="1"/>
      <c r="K1525" s="1"/>
    </row>
    <row r="1526" ht="14.25" customHeight="1">
      <c r="A1526" s="1" t="s">
        <v>7720</v>
      </c>
      <c r="B1526" s="1">
        <v>3.0E7</v>
      </c>
      <c r="C1526" s="1">
        <v>5.871551E7</v>
      </c>
      <c r="F1526" s="4">
        <v>2.871551E7</v>
      </c>
      <c r="G1526" s="4">
        <f t="array" ref="G1526">IFERROR((C1526-B1526)/C1526*100, "N/A")</f>
        <v>48.90617488</v>
      </c>
      <c r="J1526" s="1"/>
      <c r="K1526" s="1"/>
    </row>
    <row r="1527" ht="14.25" customHeight="1">
      <c r="A1527" s="1" t="s">
        <v>7723</v>
      </c>
      <c r="B1527" s="1">
        <v>1.9E7</v>
      </c>
      <c r="C1527" s="1">
        <v>5.8156435E7</v>
      </c>
      <c r="F1527" s="4">
        <v>3.9156435E7</v>
      </c>
      <c r="G1527" s="4">
        <f t="array" ref="G1527">IFERROR((C1527-B1527)/C1527*100, "N/A")</f>
        <v>67.32949673</v>
      </c>
      <c r="J1527" s="1"/>
      <c r="K1527" s="1"/>
    </row>
    <row r="1528" ht="14.25" customHeight="1">
      <c r="A1528" s="1" t="s">
        <v>7729</v>
      </c>
      <c r="B1528" s="1">
        <v>3.7E7</v>
      </c>
      <c r="C1528" s="1">
        <v>5.6044241E7</v>
      </c>
      <c r="F1528" s="4">
        <v>1.9044241E7</v>
      </c>
      <c r="G1528" s="4">
        <f t="array" ref="G1528">IFERROR((C1528-B1528)/C1528*100, "N/A")</f>
        <v>33.98072783</v>
      </c>
      <c r="J1528" s="1"/>
      <c r="K1528" s="1"/>
    </row>
    <row r="1529" ht="14.25" customHeight="1">
      <c r="A1529" s="1" t="s">
        <v>7733</v>
      </c>
      <c r="B1529" s="1">
        <v>1.7E7</v>
      </c>
      <c r="C1529" s="1">
        <v>5.6816662E7</v>
      </c>
      <c r="F1529" s="4">
        <v>3.9816662E7</v>
      </c>
      <c r="G1529" s="4">
        <f t="array" ref="G1529">IFERROR((C1529-B1529)/C1529*100, "N/A")</f>
        <v>70.07919965</v>
      </c>
      <c r="J1529" s="1"/>
      <c r="K1529" s="1"/>
    </row>
    <row r="1530" ht="14.25" customHeight="1">
      <c r="A1530" s="1" t="s">
        <v>7739</v>
      </c>
      <c r="B1530" s="1">
        <v>4.2E7</v>
      </c>
      <c r="C1530" s="1">
        <v>6.423877E7</v>
      </c>
      <c r="F1530" s="4">
        <v>2.223877E7</v>
      </c>
      <c r="G1530" s="4">
        <f t="array" ref="G1530">IFERROR((C1530-B1530)/C1530*100, "N/A")</f>
        <v>34.6189225</v>
      </c>
      <c r="J1530" s="1"/>
      <c r="K1530" s="1"/>
    </row>
    <row r="1531" ht="14.25" customHeight="1">
      <c r="A1531" s="1" t="s">
        <v>7743</v>
      </c>
      <c r="B1531" s="1">
        <v>3.0E7</v>
      </c>
      <c r="C1531" s="1">
        <v>5.293713E7</v>
      </c>
      <c r="F1531" s="4">
        <v>2.293713E7</v>
      </c>
      <c r="G1531" s="4">
        <f t="array" ref="G1531">IFERROR((C1531-B1531)/C1531*100, "N/A")</f>
        <v>43.32900178</v>
      </c>
      <c r="J1531" s="1"/>
      <c r="K1531" s="1"/>
    </row>
    <row r="1532" ht="14.25" customHeight="1">
      <c r="A1532" s="1" t="s">
        <v>7746</v>
      </c>
      <c r="B1532" s="1">
        <v>5.5E7</v>
      </c>
      <c r="C1532" s="1">
        <v>5.2799004E7</v>
      </c>
      <c r="F1532" s="4">
        <v>-2200996.0</v>
      </c>
      <c r="G1532" s="4">
        <f t="array" ref="G1532">IFERROR((C1532-B1532)/C1532*100, "N/A")</f>
        <v>-4.168631666</v>
      </c>
      <c r="J1532" s="1"/>
      <c r="K1532" s="1"/>
    </row>
    <row r="1533" ht="14.25" customHeight="1">
      <c r="A1533" s="1" t="s">
        <v>7752</v>
      </c>
      <c r="B1533" s="1">
        <v>2.78E7</v>
      </c>
      <c r="C1533" s="1">
        <v>5.5210049E7</v>
      </c>
      <c r="F1533" s="4">
        <v>2.7410049E7</v>
      </c>
      <c r="G1533" s="4">
        <f t="array" ref="G1533">IFERROR((C1533-B1533)/C1533*100, "N/A")</f>
        <v>49.6468478</v>
      </c>
      <c r="J1533" s="1"/>
      <c r="K1533" s="1"/>
    </row>
    <row r="1534" ht="14.25" customHeight="1">
      <c r="A1534" s="1" t="s">
        <v>7755</v>
      </c>
      <c r="B1534" s="1">
        <v>3.0E7</v>
      </c>
      <c r="C1534" s="1">
        <v>5.1432423E7</v>
      </c>
      <c r="F1534" s="4">
        <v>2.1432423E7</v>
      </c>
      <c r="G1534" s="4">
        <f t="array" ref="G1534">IFERROR((C1534-B1534)/C1534*100, "N/A")</f>
        <v>41.67103502</v>
      </c>
      <c r="J1534" s="1"/>
      <c r="K1534" s="1"/>
    </row>
    <row r="1535" ht="14.25" customHeight="1">
      <c r="A1535" s="1" t="s">
        <v>7761</v>
      </c>
      <c r="B1535" s="1">
        <v>3.0E7</v>
      </c>
      <c r="C1535" s="1">
        <v>5.11094E7</v>
      </c>
      <c r="F1535" s="4">
        <v>2.11094E7</v>
      </c>
      <c r="G1535" s="4">
        <f t="array" ref="G1535">IFERROR((C1535-B1535)/C1535*100, "N/A")</f>
        <v>41.30238273</v>
      </c>
      <c r="J1535" s="1"/>
      <c r="K1535" s="1"/>
    </row>
    <row r="1536" ht="14.25" customHeight="1">
      <c r="A1536" s="1" t="s">
        <v>7765</v>
      </c>
      <c r="B1536" s="1">
        <v>3.0E7</v>
      </c>
      <c r="C1536" s="1">
        <v>5.03E7</v>
      </c>
      <c r="F1536" s="4">
        <v>2.03E7</v>
      </c>
      <c r="G1536" s="4">
        <f t="array" ref="G1536">IFERROR((C1536-B1536)/C1536*100, "N/A")</f>
        <v>40.35785288</v>
      </c>
      <c r="J1536" s="1"/>
      <c r="K1536" s="1"/>
    </row>
    <row r="1537" ht="14.25" customHeight="1">
      <c r="A1537" s="1" t="s">
        <v>7771</v>
      </c>
      <c r="B1537" s="1">
        <v>3.0E7</v>
      </c>
      <c r="C1537" s="1">
        <v>5.6068547E7</v>
      </c>
      <c r="F1537" s="4">
        <v>2.6068547E7</v>
      </c>
      <c r="G1537" s="4">
        <f t="array" ref="G1537">IFERROR((C1537-B1537)/C1537*100, "N/A")</f>
        <v>46.49406556</v>
      </c>
      <c r="J1537" s="1"/>
      <c r="K1537" s="1"/>
    </row>
    <row r="1538" ht="14.25" customHeight="1">
      <c r="A1538" s="1" t="s">
        <v>7778</v>
      </c>
      <c r="B1538" s="1">
        <v>3.0E7</v>
      </c>
      <c r="C1538" s="1">
        <v>5.3680848E7</v>
      </c>
      <c r="F1538" s="4">
        <v>2.3680848E7</v>
      </c>
      <c r="G1538" s="4">
        <f t="array" ref="G1538">IFERROR((C1538-B1538)/C1538*100, "N/A")</f>
        <v>44.11414663</v>
      </c>
      <c r="J1538" s="1"/>
      <c r="K1538" s="1"/>
    </row>
    <row r="1539" ht="14.25" customHeight="1">
      <c r="A1539" s="1" t="s">
        <v>7782</v>
      </c>
      <c r="B1539" s="1">
        <v>3.0E7</v>
      </c>
      <c r="C1539" s="1">
        <v>5.0921738E7</v>
      </c>
      <c r="F1539" s="4">
        <v>2.0921738E7</v>
      </c>
      <c r="G1539" s="4">
        <f t="array" ref="G1539">IFERROR((C1539-B1539)/C1539*100, "N/A")</f>
        <v>41.08606427</v>
      </c>
      <c r="J1539" s="1"/>
      <c r="K1539" s="1"/>
    </row>
    <row r="1540" ht="14.25" customHeight="1">
      <c r="A1540" s="1" t="s">
        <v>7787</v>
      </c>
      <c r="B1540" s="1">
        <v>3.0E7</v>
      </c>
      <c r="C1540" s="1">
        <v>5.302156E7</v>
      </c>
      <c r="F1540" s="4">
        <v>2.302156E7</v>
      </c>
      <c r="G1540" s="4">
        <f t="array" ref="G1540">IFERROR((C1540-B1540)/C1540*100, "N/A")</f>
        <v>43.41924304</v>
      </c>
      <c r="J1540" s="1"/>
      <c r="K1540" s="1"/>
    </row>
    <row r="1541" ht="14.25" customHeight="1">
      <c r="A1541" s="1" t="s">
        <v>7792</v>
      </c>
      <c r="B1541" s="1">
        <v>3.0E7</v>
      </c>
      <c r="C1541" s="1">
        <v>4.5645204E7</v>
      </c>
      <c r="F1541" s="4">
        <v>1.5645204E7</v>
      </c>
      <c r="G1541" s="4">
        <f t="array" ref="G1541">IFERROR((C1541-B1541)/C1541*100, "N/A")</f>
        <v>34.27567987</v>
      </c>
      <c r="J1541" s="1"/>
      <c r="K1541" s="1"/>
    </row>
    <row r="1542" ht="14.25" customHeight="1">
      <c r="A1542" s="1" t="s">
        <v>7797</v>
      </c>
      <c r="B1542" s="1">
        <v>4.0E7</v>
      </c>
      <c r="C1542" s="1">
        <v>5.3337608E7</v>
      </c>
      <c r="F1542" s="4">
        <v>1.3337608E7</v>
      </c>
      <c r="G1542" s="4">
        <f t="array" ref="G1542">IFERROR((C1542-B1542)/C1542*100, "N/A")</f>
        <v>25.00601077</v>
      </c>
      <c r="J1542" s="1"/>
      <c r="K1542" s="1"/>
    </row>
    <row r="1543" ht="14.25" customHeight="1">
      <c r="A1543" s="1" t="s">
        <v>7801</v>
      </c>
      <c r="B1543" s="1">
        <v>3.0E7</v>
      </c>
      <c r="C1543" s="1">
        <v>4.6875468E7</v>
      </c>
      <c r="F1543" s="4">
        <v>1.6875468E7</v>
      </c>
      <c r="G1543" s="4">
        <f t="array" ref="G1543">IFERROR((C1543-B1543)/C1543*100, "N/A")</f>
        <v>36.00063897</v>
      </c>
      <c r="J1543" s="1"/>
      <c r="K1543" s="1"/>
    </row>
    <row r="1544" ht="14.25" customHeight="1">
      <c r="A1544" s="1" t="s">
        <v>7806</v>
      </c>
      <c r="B1544" s="1">
        <v>3.0E7</v>
      </c>
      <c r="C1544" s="1">
        <v>5.2418902E7</v>
      </c>
      <c r="F1544" s="4">
        <v>2.2418902E7</v>
      </c>
      <c r="G1544" s="4">
        <f t="array" ref="G1544">IFERROR((C1544-B1544)/C1544*100, "N/A")</f>
        <v>42.76873636</v>
      </c>
      <c r="J1544" s="1"/>
      <c r="K1544" s="1"/>
    </row>
    <row r="1545" ht="14.25" customHeight="1">
      <c r="A1545" s="1" t="s">
        <v>7810</v>
      </c>
      <c r="B1545" s="1">
        <v>3.0E7</v>
      </c>
      <c r="C1545" s="1">
        <v>4.205734E7</v>
      </c>
      <c r="F1545" s="4">
        <v>1.205734E7</v>
      </c>
      <c r="G1545" s="4">
        <f t="array" ref="G1545">IFERROR((C1545-B1545)/C1545*100, "N/A")</f>
        <v>28.66881263</v>
      </c>
      <c r="J1545" s="1"/>
      <c r="K1545" s="1"/>
    </row>
    <row r="1546" ht="14.25" customHeight="1">
      <c r="A1546" s="1" t="s">
        <v>7814</v>
      </c>
      <c r="B1546" s="1">
        <v>2.5E7</v>
      </c>
      <c r="C1546" s="1">
        <v>4.2478175E7</v>
      </c>
      <c r="F1546" s="4">
        <v>1.7478175E7</v>
      </c>
      <c r="G1546" s="4">
        <f t="array" ref="G1546">IFERROR((C1546-B1546)/C1546*100, "N/A")</f>
        <v>41.14624746</v>
      </c>
      <c r="J1546" s="1"/>
      <c r="K1546" s="1"/>
    </row>
    <row r="1547" ht="14.25" customHeight="1">
      <c r="A1547" s="1" t="s">
        <v>7818</v>
      </c>
      <c r="B1547" s="1">
        <v>3.0E7</v>
      </c>
      <c r="C1547" s="1">
        <v>4.140747E7</v>
      </c>
      <c r="F1547" s="4">
        <v>1.140747E7</v>
      </c>
      <c r="G1547" s="4">
        <f t="array" ref="G1547">IFERROR((C1547-B1547)/C1547*100, "N/A")</f>
        <v>27.54930451</v>
      </c>
      <c r="J1547" s="1"/>
      <c r="K1547" s="1"/>
    </row>
    <row r="1548" ht="14.25" customHeight="1">
      <c r="A1548" s="1" t="s">
        <v>7822</v>
      </c>
      <c r="B1548" s="1">
        <v>3.0E7</v>
      </c>
      <c r="C1548" s="1">
        <v>4.238552E7</v>
      </c>
      <c r="F1548" s="4">
        <v>1.238552E7</v>
      </c>
      <c r="G1548" s="4">
        <f t="array" ref="G1548">IFERROR((C1548-B1548)/C1548*100, "N/A")</f>
        <v>29.22111136</v>
      </c>
      <c r="J1548" s="1"/>
      <c r="K1548" s="1"/>
    </row>
    <row r="1549" ht="14.25" customHeight="1">
      <c r="A1549" s="1" t="s">
        <v>7826</v>
      </c>
      <c r="B1549" s="1">
        <v>3.0E7</v>
      </c>
      <c r="C1549" s="1">
        <v>4.011842E7</v>
      </c>
      <c r="F1549" s="4">
        <v>1.011842E7</v>
      </c>
      <c r="G1549" s="4">
        <f t="array" ref="G1549">IFERROR((C1549-B1549)/C1549*100, "N/A")</f>
        <v>25.2213821</v>
      </c>
      <c r="J1549" s="1"/>
      <c r="K1549" s="1"/>
    </row>
    <row r="1550" ht="14.25" customHeight="1">
      <c r="A1550" s="1" t="s">
        <v>7830</v>
      </c>
      <c r="B1550" s="1">
        <v>3.8E7</v>
      </c>
      <c r="C1550" s="1">
        <v>4.0137776E7</v>
      </c>
      <c r="F1550" s="4">
        <v>2137776.0</v>
      </c>
      <c r="G1550" s="4">
        <f t="array" ref="G1550">IFERROR((C1550-B1550)/C1550*100, "N/A")</f>
        <v>5.326094799</v>
      </c>
      <c r="J1550" s="1"/>
      <c r="K1550" s="1"/>
    </row>
    <row r="1551" ht="14.25" customHeight="1">
      <c r="A1551" s="1" t="s">
        <v>7835</v>
      </c>
      <c r="B1551" s="1">
        <v>3.2E7</v>
      </c>
      <c r="C1551" s="1">
        <v>3.9568996E7</v>
      </c>
      <c r="F1551" s="4">
        <v>7568996.0</v>
      </c>
      <c r="G1551" s="4">
        <f t="array" ref="G1551">IFERROR((C1551-B1551)/C1551*100, "N/A")</f>
        <v>19.12860261</v>
      </c>
      <c r="J1551" s="1"/>
      <c r="K1551" s="1"/>
    </row>
    <row r="1552" ht="14.25" customHeight="1">
      <c r="A1552" s="1" t="s">
        <v>7841</v>
      </c>
      <c r="B1552" s="1">
        <v>3.0E7</v>
      </c>
      <c r="C1552" s="1">
        <v>4.2043633E7</v>
      </c>
      <c r="F1552" s="4">
        <v>1.2043633E7</v>
      </c>
      <c r="G1552" s="4">
        <f t="array" ref="G1552">IFERROR((C1552-B1552)/C1552*100, "N/A")</f>
        <v>28.64555734</v>
      </c>
      <c r="J1552" s="1"/>
      <c r="K1552" s="1"/>
    </row>
    <row r="1553" ht="14.25" customHeight="1">
      <c r="A1553" s="1" t="s">
        <v>7845</v>
      </c>
      <c r="B1553" s="1">
        <v>3.0E7</v>
      </c>
      <c r="C1553" s="1">
        <v>3.8232624E7</v>
      </c>
      <c r="F1553" s="4">
        <v>8232624.0</v>
      </c>
      <c r="G1553" s="4">
        <f t="array" ref="G1553">IFERROR((C1553-B1553)/C1553*100, "N/A")</f>
        <v>21.53298188</v>
      </c>
      <c r="J1553" s="1"/>
      <c r="K1553" s="1"/>
    </row>
    <row r="1554" ht="14.25" customHeight="1">
      <c r="A1554" s="1" t="s">
        <v>7849</v>
      </c>
      <c r="B1554" s="1">
        <v>3.0E7</v>
      </c>
      <c r="C1554" s="1">
        <v>3.8413606E7</v>
      </c>
      <c r="F1554" s="4">
        <v>8413606.0</v>
      </c>
      <c r="G1554" s="4">
        <f t="array" ref="G1554">IFERROR((C1554-B1554)/C1554*100, "N/A")</f>
        <v>21.90267167</v>
      </c>
      <c r="J1554" s="1"/>
      <c r="K1554" s="1"/>
    </row>
    <row r="1555" ht="14.25" customHeight="1">
      <c r="A1555" s="1" t="s">
        <v>7853</v>
      </c>
      <c r="B1555" s="1">
        <v>2.7E7</v>
      </c>
      <c r="C1555" s="1">
        <v>3.8122105E7</v>
      </c>
      <c r="F1555" s="4">
        <v>1.1122105E7</v>
      </c>
      <c r="G1555" s="4">
        <f t="array" ref="G1555">IFERROR((C1555-B1555)/C1555*100, "N/A")</f>
        <v>29.17494981</v>
      </c>
      <c r="J1555" s="1"/>
      <c r="K1555" s="1"/>
    </row>
    <row r="1556" ht="14.25" customHeight="1">
      <c r="A1556" s="1" t="s">
        <v>7858</v>
      </c>
      <c r="B1556" s="1">
        <v>2.5E7</v>
      </c>
      <c r="C1556" s="1">
        <v>3.8747385E7</v>
      </c>
      <c r="F1556" s="4">
        <v>1.3747385E7</v>
      </c>
      <c r="G1556" s="4">
        <f t="array" ref="G1556">IFERROR((C1556-B1556)/C1556*100, "N/A")</f>
        <v>35.47951688</v>
      </c>
      <c r="J1556" s="1"/>
      <c r="K1556" s="1"/>
    </row>
    <row r="1557" ht="14.25" customHeight="1">
      <c r="A1557" s="1" t="s">
        <v>7863</v>
      </c>
      <c r="B1557" s="1">
        <v>3.0E7</v>
      </c>
      <c r="C1557" s="1">
        <v>4.0247512E7</v>
      </c>
      <c r="F1557" s="4">
        <v>1.0247512E7</v>
      </c>
      <c r="G1557" s="4">
        <f t="array" ref="G1557">IFERROR((C1557-B1557)/C1557*100, "N/A")</f>
        <v>25.46123099</v>
      </c>
      <c r="J1557" s="1"/>
      <c r="K1557" s="1"/>
    </row>
    <row r="1558" ht="14.25" customHeight="1">
      <c r="A1558" s="1" t="s">
        <v>7870</v>
      </c>
      <c r="B1558" s="1">
        <v>3.0E7</v>
      </c>
      <c r="C1558" s="1">
        <v>3.5927406E7</v>
      </c>
      <c r="F1558" s="4">
        <v>5927406.0</v>
      </c>
      <c r="G1558" s="4">
        <f t="array" ref="G1558">IFERROR((C1558-B1558)/C1558*100, "N/A")</f>
        <v>16.49828546</v>
      </c>
      <c r="J1558" s="1"/>
      <c r="K1558" s="1"/>
    </row>
    <row r="1559" ht="14.25" customHeight="1">
      <c r="A1559" s="1" t="s">
        <v>7873</v>
      </c>
      <c r="B1559" s="1">
        <v>3.0E7</v>
      </c>
      <c r="C1559" s="1">
        <v>3.5565975E7</v>
      </c>
      <c r="F1559" s="4">
        <v>5565975.0</v>
      </c>
      <c r="G1559" s="4">
        <f t="array" ref="G1559">IFERROR((C1559-B1559)/C1559*100, "N/A")</f>
        <v>15.64971859</v>
      </c>
      <c r="J1559" s="1"/>
      <c r="K1559" s="1"/>
    </row>
    <row r="1560" ht="14.25" customHeight="1">
      <c r="A1560" s="1" t="s">
        <v>7877</v>
      </c>
      <c r="B1560" s="1">
        <v>3.0E7</v>
      </c>
      <c r="C1560" s="1">
        <v>3.5266619E7</v>
      </c>
      <c r="F1560" s="4">
        <v>5266619.0</v>
      </c>
      <c r="G1560" s="4">
        <f t="array" ref="G1560">IFERROR((C1560-B1560)/C1560*100, "N/A")</f>
        <v>14.93372245</v>
      </c>
      <c r="J1560" s="1"/>
      <c r="K1560" s="1"/>
    </row>
    <row r="1561" ht="14.25" customHeight="1">
      <c r="A1561" s="1" t="s">
        <v>7881</v>
      </c>
      <c r="B1561" s="1">
        <v>3.0E7</v>
      </c>
      <c r="C1561" s="1">
        <v>3.4703228E7</v>
      </c>
      <c r="F1561" s="4">
        <v>4703228.0</v>
      </c>
      <c r="G1561" s="4">
        <f t="array" ref="G1561">IFERROR((C1561-B1561)/C1561*100, "N/A")</f>
        <v>13.55271043</v>
      </c>
      <c r="J1561" s="1"/>
      <c r="K1561" s="1"/>
    </row>
    <row r="1562" ht="14.25" customHeight="1">
      <c r="A1562" s="1" t="s">
        <v>7887</v>
      </c>
      <c r="B1562" s="1">
        <v>3.0E7</v>
      </c>
      <c r="C1562" s="1">
        <v>3.8432823E7</v>
      </c>
      <c r="F1562" s="4">
        <v>8432823.0</v>
      </c>
      <c r="G1562" s="4">
        <f t="array" ref="G1562">IFERROR((C1562-B1562)/C1562*100, "N/A")</f>
        <v>21.94172153</v>
      </c>
      <c r="J1562" s="1"/>
      <c r="K1562" s="1"/>
    </row>
    <row r="1563" ht="14.25" customHeight="1">
      <c r="A1563" s="1" t="s">
        <v>7892</v>
      </c>
      <c r="B1563" s="1">
        <v>4.5E7</v>
      </c>
      <c r="C1563" s="1">
        <v>3.2095318E7</v>
      </c>
      <c r="F1563" s="4">
        <v>-1.2904682E7</v>
      </c>
      <c r="G1563" s="4">
        <f t="array" ref="G1563">IFERROR((C1563-B1563)/C1563*100, "N/A")</f>
        <v>-40.20736607</v>
      </c>
      <c r="J1563" s="1"/>
      <c r="K1563" s="1"/>
    </row>
    <row r="1564" ht="14.25" customHeight="1">
      <c r="A1564" s="1">
        <v>9.0</v>
      </c>
      <c r="B1564" s="1">
        <v>3.0E7</v>
      </c>
      <c r="C1564" s="1">
        <v>3.1743332E7</v>
      </c>
      <c r="F1564" s="4">
        <v>1743332.0</v>
      </c>
      <c r="G1564" s="4">
        <f t="array" ref="G1564">IFERROR((C1564-B1564)/C1564*100, "N/A")</f>
        <v>5.491962848</v>
      </c>
      <c r="J1564" s="1"/>
      <c r="K1564" s="1"/>
    </row>
    <row r="1565" ht="14.25" customHeight="1">
      <c r="A1565" s="1" t="s">
        <v>7901</v>
      </c>
      <c r="B1565" s="1">
        <v>3.0E7</v>
      </c>
      <c r="C1565" s="1">
        <v>3.215441E7</v>
      </c>
      <c r="F1565" s="4">
        <v>2154410.0</v>
      </c>
      <c r="G1565" s="4">
        <f t="array" ref="G1565">IFERROR((C1565-B1565)/C1565*100, "N/A")</f>
        <v>6.700200688</v>
      </c>
      <c r="J1565" s="1"/>
      <c r="K1565" s="1"/>
    </row>
    <row r="1566" ht="14.25" customHeight="1">
      <c r="A1566" s="1" t="s">
        <v>7906</v>
      </c>
      <c r="B1566" s="1">
        <v>3.0E7</v>
      </c>
      <c r="C1566" s="1">
        <v>2.6687172E7</v>
      </c>
      <c r="F1566" s="4">
        <v>-3312828.0</v>
      </c>
      <c r="G1566" s="4">
        <f t="array" ref="G1566">IFERROR((C1566-B1566)/C1566*100, "N/A")</f>
        <v>-12.41355959</v>
      </c>
      <c r="J1566" s="1"/>
      <c r="K1566" s="1"/>
    </row>
    <row r="1567" ht="14.25" customHeight="1">
      <c r="A1567" s="1" t="s">
        <v>7912</v>
      </c>
      <c r="B1567" s="1">
        <v>1.9E7</v>
      </c>
      <c r="C1567" s="1">
        <v>2.6096584E7</v>
      </c>
      <c r="F1567" s="4">
        <v>7096584.0</v>
      </c>
      <c r="G1567" s="4">
        <f t="array" ref="G1567">IFERROR((C1567-B1567)/C1567*100, "N/A")</f>
        <v>27.19353613</v>
      </c>
      <c r="J1567" s="1"/>
      <c r="K1567" s="1"/>
    </row>
    <row r="1568" ht="14.25" customHeight="1">
      <c r="A1568" s="1" t="s">
        <v>7917</v>
      </c>
      <c r="B1568" s="1">
        <v>3.0E7</v>
      </c>
      <c r="C1568" s="1">
        <v>2.6525834E7</v>
      </c>
      <c r="F1568" s="4">
        <v>-3474166.0</v>
      </c>
      <c r="G1568" s="4">
        <f t="array" ref="G1568">IFERROR((C1568-B1568)/C1568*100, "N/A")</f>
        <v>-13.09729225</v>
      </c>
      <c r="J1568" s="1"/>
      <c r="K1568" s="1"/>
    </row>
    <row r="1569" ht="14.25" customHeight="1">
      <c r="A1569" s="1" t="s">
        <v>7922</v>
      </c>
      <c r="B1569" s="1">
        <v>3.0E7</v>
      </c>
      <c r="C1569" s="1">
        <v>3.051394E7</v>
      </c>
      <c r="F1569" s="4">
        <v>513940.0</v>
      </c>
      <c r="G1569" s="4">
        <f t="array" ref="G1569">IFERROR((C1569-B1569)/C1569*100, "N/A")</f>
        <v>1.684279382</v>
      </c>
      <c r="J1569" s="1"/>
      <c r="K1569" s="1"/>
    </row>
    <row r="1570" ht="14.25" customHeight="1">
      <c r="A1570" s="1" t="s">
        <v>7928</v>
      </c>
      <c r="B1570" s="1">
        <v>3.0E7</v>
      </c>
      <c r="C1570" s="1">
        <v>2.320944E7</v>
      </c>
      <c r="F1570" s="4">
        <v>-6790560.0</v>
      </c>
      <c r="G1570" s="4">
        <f t="array" ref="G1570">IFERROR((C1570-B1570)/C1570*100, "N/A")</f>
        <v>-29.25775029</v>
      </c>
      <c r="J1570" s="1"/>
      <c r="K1570" s="1"/>
    </row>
    <row r="1571" ht="14.25" customHeight="1">
      <c r="A1571" s="1" t="s">
        <v>7932</v>
      </c>
      <c r="B1571" s="1">
        <v>3.0E7</v>
      </c>
      <c r="C1571" s="1">
        <v>2.4048E7</v>
      </c>
      <c r="F1571" s="4">
        <v>-5952000.0</v>
      </c>
      <c r="G1571" s="4">
        <f t="array" ref="G1571">IFERROR((C1571-B1571)/C1571*100, "N/A")</f>
        <v>-24.750499</v>
      </c>
      <c r="J1571" s="1"/>
      <c r="K1571" s="1"/>
    </row>
    <row r="1572" ht="14.25" customHeight="1">
      <c r="A1572" s="1" t="s">
        <v>7935</v>
      </c>
      <c r="B1572" s="1">
        <v>3.0E7</v>
      </c>
      <c r="C1572" s="1">
        <v>2.2526144E7</v>
      </c>
      <c r="F1572" s="4">
        <v>-7473856.0</v>
      </c>
      <c r="G1572" s="4">
        <f t="array" ref="G1572">IFERROR((C1572-B1572)/C1572*100, "N/A")</f>
        <v>-33.17858574</v>
      </c>
      <c r="J1572" s="1"/>
      <c r="K1572" s="1"/>
    </row>
    <row r="1573" ht="14.25" customHeight="1">
      <c r="A1573" s="1" t="s">
        <v>7938</v>
      </c>
      <c r="B1573" s="1">
        <v>3.0E7</v>
      </c>
      <c r="C1573" s="1">
        <v>3.0523568E7</v>
      </c>
      <c r="F1573" s="4">
        <v>523568.0</v>
      </c>
      <c r="G1573" s="4">
        <f t="array" ref="G1573">IFERROR((C1573-B1573)/C1573*100, "N/A")</f>
        <v>1.715290952</v>
      </c>
      <c r="J1573" s="1"/>
      <c r="K1573" s="1"/>
    </row>
    <row r="1574" ht="14.25" customHeight="1">
      <c r="A1574" s="1" t="s">
        <v>7942</v>
      </c>
      <c r="B1574" s="1">
        <v>3.0E7</v>
      </c>
      <c r="C1574" s="1">
        <v>2.3070045E7</v>
      </c>
      <c r="F1574" s="4">
        <v>-6929955.0</v>
      </c>
      <c r="G1574" s="4">
        <f t="array" ref="G1574">IFERROR((C1574-B1574)/C1574*100, "N/A")</f>
        <v>-30.03875805</v>
      </c>
      <c r="J1574" s="1"/>
      <c r="K1574" s="1"/>
    </row>
    <row r="1575" ht="14.25" customHeight="1">
      <c r="A1575" s="1" t="s">
        <v>7947</v>
      </c>
      <c r="B1575" s="1">
        <v>3.5E7</v>
      </c>
      <c r="C1575" s="1">
        <v>2.0422207E7</v>
      </c>
      <c r="F1575" s="4">
        <v>-1.4577793E7</v>
      </c>
      <c r="G1575" s="4">
        <f t="array" ref="G1575">IFERROR((C1575-B1575)/C1575*100, "N/A")</f>
        <v>-71.38206463</v>
      </c>
      <c r="J1575" s="1"/>
      <c r="K1575" s="1"/>
    </row>
    <row r="1576" ht="14.25" customHeight="1">
      <c r="A1576" s="1" t="s">
        <v>7951</v>
      </c>
      <c r="B1576" s="1">
        <v>3.0E7</v>
      </c>
      <c r="C1576" s="1">
        <v>2.864477E7</v>
      </c>
      <c r="F1576" s="4">
        <v>-1355230.0</v>
      </c>
      <c r="G1576" s="4">
        <f t="array" ref="G1576">IFERROR((C1576-B1576)/C1576*100, "N/A")</f>
        <v>-4.731160348</v>
      </c>
      <c r="J1576" s="1"/>
      <c r="K1576" s="1"/>
    </row>
    <row r="1577" ht="14.25" customHeight="1">
      <c r="A1577" s="1" t="s">
        <v>7956</v>
      </c>
      <c r="B1577" s="1">
        <v>3.0E7</v>
      </c>
      <c r="C1577" s="1">
        <v>2.1800302E7</v>
      </c>
      <c r="F1577" s="4">
        <v>-8199698.0</v>
      </c>
      <c r="G1577" s="4">
        <f t="array" ref="G1577">IFERROR((C1577-B1577)/C1577*100, "N/A")</f>
        <v>-37.61277252</v>
      </c>
      <c r="J1577" s="1"/>
      <c r="K1577" s="1"/>
    </row>
    <row r="1578" ht="14.25" customHeight="1">
      <c r="A1578" s="1" t="s">
        <v>7960</v>
      </c>
      <c r="B1578" s="1">
        <v>3.5E7</v>
      </c>
      <c r="C1578" s="1">
        <v>2.1129348E7</v>
      </c>
      <c r="F1578" s="4">
        <v>-1.3870652E7</v>
      </c>
      <c r="G1578" s="4">
        <f t="array" ref="G1578">IFERROR((C1578-B1578)/C1578*100, "N/A")</f>
        <v>-65.64637962</v>
      </c>
      <c r="J1578" s="1"/>
      <c r="K1578" s="1"/>
    </row>
    <row r="1579" ht="14.25" customHeight="1">
      <c r="A1579" s="1" t="s">
        <v>7966</v>
      </c>
      <c r="B1579" s="1">
        <v>3.0E7</v>
      </c>
      <c r="C1579" s="1">
        <v>1.8500966E7</v>
      </c>
      <c r="F1579" s="4">
        <v>-1.1499034E7</v>
      </c>
      <c r="G1579" s="4">
        <f t="array" ref="G1579">IFERROR((C1579-B1579)/C1579*100, "N/A")</f>
        <v>-62.15369511</v>
      </c>
      <c r="J1579" s="1"/>
      <c r="K1579" s="1"/>
    </row>
    <row r="1580" ht="14.25" customHeight="1">
      <c r="A1580" s="1" t="s">
        <v>7971</v>
      </c>
      <c r="B1580" s="1">
        <v>2.0E7</v>
      </c>
      <c r="C1580" s="1">
        <v>1.9976073E7</v>
      </c>
      <c r="F1580" s="4">
        <v>-23927.0</v>
      </c>
      <c r="G1580" s="4">
        <f t="array" ref="G1580">IFERROR((C1580-B1580)/C1580*100, "N/A")</f>
        <v>-0.1197782968</v>
      </c>
      <c r="J1580" s="1"/>
      <c r="K1580" s="1"/>
    </row>
    <row r="1581" ht="14.25" customHeight="1">
      <c r="A1581" s="1" t="s">
        <v>7976</v>
      </c>
      <c r="B1581" s="1">
        <v>3.0E7</v>
      </c>
      <c r="C1581" s="1">
        <v>1.8967571E7</v>
      </c>
      <c r="F1581" s="4">
        <v>-1.1032429E7</v>
      </c>
      <c r="G1581" s="4">
        <f t="array" ref="G1581">IFERROR((C1581-B1581)/C1581*100, "N/A")</f>
        <v>-58.16469067</v>
      </c>
      <c r="J1581" s="1"/>
      <c r="K1581" s="1"/>
    </row>
    <row r="1582" ht="14.25" customHeight="1">
      <c r="A1582" s="1" t="s">
        <v>7980</v>
      </c>
      <c r="B1582" s="1">
        <v>2.5E7</v>
      </c>
      <c r="C1582" s="1">
        <v>1.71E7</v>
      </c>
      <c r="F1582" s="4">
        <v>-7900000.0</v>
      </c>
      <c r="G1582" s="4">
        <f t="array" ref="G1582">IFERROR((C1582-B1582)/C1582*100, "N/A")</f>
        <v>-46.19883041</v>
      </c>
      <c r="J1582" s="1"/>
      <c r="K1582" s="1"/>
    </row>
    <row r="1583" ht="14.25" customHeight="1">
      <c r="A1583" s="1" t="s">
        <v>7986</v>
      </c>
      <c r="B1583" s="1">
        <v>3.0E7</v>
      </c>
      <c r="C1583" s="1">
        <v>1.7266505E7</v>
      </c>
      <c r="F1583" s="4">
        <v>-1.2733495E7</v>
      </c>
      <c r="G1583" s="4">
        <f t="array" ref="G1583">IFERROR((C1583-B1583)/C1583*100, "N/A")</f>
        <v>-73.74680053</v>
      </c>
      <c r="J1583" s="1"/>
      <c r="K1583" s="1"/>
    </row>
    <row r="1584" ht="14.25" customHeight="1">
      <c r="A1584" s="1" t="s">
        <v>7991</v>
      </c>
      <c r="B1584" s="1">
        <v>3.0E7</v>
      </c>
      <c r="C1584" s="1">
        <v>3.2357532E7</v>
      </c>
      <c r="F1584" s="4">
        <v>2357532.0</v>
      </c>
      <c r="G1584" s="4">
        <f t="array" ref="G1584">IFERROR((C1584-B1584)/C1584*100, "N/A")</f>
        <v>7.285883237</v>
      </c>
      <c r="J1584" s="1"/>
      <c r="K1584" s="1"/>
    </row>
    <row r="1585" ht="14.25" customHeight="1">
      <c r="A1585" s="1" t="s">
        <v>7994</v>
      </c>
      <c r="B1585" s="1">
        <v>3.0E7</v>
      </c>
      <c r="C1585" s="1">
        <v>1.6930884E7</v>
      </c>
      <c r="F1585" s="4">
        <v>-1.3069116E7</v>
      </c>
      <c r="G1585" s="4">
        <f t="array" ref="G1585">IFERROR((C1585-B1585)/C1585*100, "N/A")</f>
        <v>-77.19098424</v>
      </c>
      <c r="J1585" s="1"/>
      <c r="K1585" s="1"/>
    </row>
    <row r="1586" ht="14.25" customHeight="1">
      <c r="A1586" s="1" t="s">
        <v>7998</v>
      </c>
      <c r="B1586" s="1">
        <v>3.5E7</v>
      </c>
      <c r="C1586" s="1">
        <v>1.8324242E7</v>
      </c>
      <c r="F1586" s="4">
        <v>-1.6675758E7</v>
      </c>
      <c r="G1586" s="4">
        <f t="array" ref="G1586">IFERROR((C1586-B1586)/C1586*100, "N/A")</f>
        <v>-91.00380796</v>
      </c>
      <c r="J1586" s="1"/>
      <c r="K1586" s="1"/>
    </row>
    <row r="1587" ht="14.25" customHeight="1">
      <c r="A1587" s="1" t="s">
        <v>8001</v>
      </c>
      <c r="B1587" s="1">
        <v>4.0E7</v>
      </c>
      <c r="C1587" s="1">
        <v>1.6323969E7</v>
      </c>
      <c r="F1587" s="4">
        <v>-2.3676031E7</v>
      </c>
      <c r="G1587" s="4">
        <f t="array" ref="G1587">IFERROR((C1587-B1587)/C1587*100, "N/A")</f>
        <v>-145.0384462</v>
      </c>
      <c r="J1587" s="1"/>
      <c r="K1587" s="1"/>
    </row>
    <row r="1588" ht="14.25" customHeight="1">
      <c r="A1588" s="1" t="s">
        <v>8005</v>
      </c>
      <c r="B1588" s="1">
        <v>2.6E7</v>
      </c>
      <c r="C1588" s="1">
        <v>1.6999046E7</v>
      </c>
      <c r="F1588" s="4">
        <v>-9000954.0</v>
      </c>
      <c r="G1588" s="4">
        <f t="array" ref="G1588">IFERROR((C1588-B1588)/C1588*100, "N/A")</f>
        <v>-52.94975965</v>
      </c>
      <c r="J1588" s="1"/>
      <c r="K1588" s="1"/>
    </row>
    <row r="1589" ht="14.25" customHeight="1">
      <c r="A1589" s="1" t="s">
        <v>8012</v>
      </c>
      <c r="B1589" s="1">
        <v>3.5E7</v>
      </c>
      <c r="C1589" s="1">
        <v>1.6295774E7</v>
      </c>
      <c r="F1589" s="4">
        <v>-1.8704226E7</v>
      </c>
      <c r="G1589" s="4">
        <f t="array" ref="G1589">IFERROR((C1589-B1589)/C1589*100, "N/A")</f>
        <v>-114.779611</v>
      </c>
      <c r="J1589" s="1"/>
      <c r="K1589" s="1"/>
    </row>
    <row r="1590" ht="14.25" customHeight="1">
      <c r="A1590" s="1" t="s">
        <v>8017</v>
      </c>
      <c r="B1590" s="1">
        <v>3.0E7</v>
      </c>
      <c r="C1590" s="1">
        <v>1.5709385E7</v>
      </c>
      <c r="F1590" s="4">
        <v>-1.4290615E7</v>
      </c>
      <c r="G1590" s="4">
        <f t="array" ref="G1590">IFERROR((C1590-B1590)/C1590*100, "N/A")</f>
        <v>-90.96864709</v>
      </c>
      <c r="J1590" s="1"/>
      <c r="K1590" s="1"/>
    </row>
    <row r="1591" ht="14.25" customHeight="1">
      <c r="A1591" s="1" t="s">
        <v>8021</v>
      </c>
      <c r="B1591" s="1">
        <v>3.0E7</v>
      </c>
      <c r="C1591" s="1">
        <v>1.4888028E7</v>
      </c>
      <c r="F1591" s="4">
        <v>-1.5111972E7</v>
      </c>
      <c r="G1591" s="4">
        <f t="array" ref="G1591">IFERROR((C1591-B1591)/C1591*100, "N/A")</f>
        <v>-101.5041885</v>
      </c>
      <c r="J1591" s="1"/>
      <c r="K1591" s="1"/>
    </row>
    <row r="1592" ht="14.25" customHeight="1">
      <c r="A1592" s="1" t="s">
        <v>8026</v>
      </c>
      <c r="B1592" s="1">
        <v>3.0E7</v>
      </c>
      <c r="C1592" s="1">
        <v>1.4208384E7</v>
      </c>
      <c r="F1592" s="4">
        <v>-1.5791616E7</v>
      </c>
      <c r="G1592" s="4">
        <f t="array" ref="G1592">IFERROR((C1592-B1592)/C1592*100, "N/A")</f>
        <v>-111.1429421</v>
      </c>
      <c r="J1592" s="1"/>
      <c r="K1592" s="1"/>
    </row>
    <row r="1593" ht="14.25" customHeight="1">
      <c r="A1593" s="1" t="s">
        <v>8031</v>
      </c>
      <c r="B1593" s="1">
        <v>3.0E7</v>
      </c>
      <c r="C1593" s="1">
        <v>1.2831121E7</v>
      </c>
      <c r="F1593" s="4">
        <v>-1.7168879E7</v>
      </c>
      <c r="G1593" s="4">
        <f t="array" ref="G1593">IFERROR((C1593-B1593)/C1593*100, "N/A")</f>
        <v>-133.8065396</v>
      </c>
      <c r="J1593" s="1"/>
      <c r="K1593" s="1"/>
    </row>
    <row r="1594" ht="14.25" customHeight="1">
      <c r="A1594" s="1" t="s">
        <v>8038</v>
      </c>
      <c r="B1594" s="1">
        <v>3.0E7</v>
      </c>
      <c r="C1594" s="1">
        <v>1.8298649E7</v>
      </c>
      <c r="F1594" s="4">
        <v>-1.1701351E7</v>
      </c>
      <c r="G1594" s="4">
        <f t="array" ref="G1594">IFERROR((C1594-B1594)/C1594*100, "N/A")</f>
        <v>-63.9465296</v>
      </c>
      <c r="J1594" s="1"/>
      <c r="K1594" s="1"/>
    </row>
    <row r="1595" ht="14.25" customHeight="1">
      <c r="A1595" s="1" t="s">
        <v>8044</v>
      </c>
      <c r="B1595" s="1">
        <v>3.0E7</v>
      </c>
      <c r="C1595" s="1">
        <v>1.2712093E7</v>
      </c>
      <c r="F1595" s="4">
        <v>-1.7287907E7</v>
      </c>
      <c r="G1595" s="4">
        <f t="array" ref="G1595">IFERROR((C1595-B1595)/C1595*100, "N/A")</f>
        <v>-135.9957562</v>
      </c>
      <c r="J1595" s="1"/>
      <c r="K1595" s="1"/>
    </row>
    <row r="1596" ht="14.25" customHeight="1">
      <c r="A1596" s="1" t="s">
        <v>8049</v>
      </c>
      <c r="B1596" s="1">
        <v>3.0E7</v>
      </c>
      <c r="C1596" s="1">
        <v>1.1576087E7</v>
      </c>
      <c r="F1596" s="4">
        <v>-1.8423913E7</v>
      </c>
      <c r="G1596" s="4">
        <f t="array" ref="G1596">IFERROR((C1596-B1596)/C1596*100, "N/A")</f>
        <v>-159.1549286</v>
      </c>
      <c r="J1596" s="1"/>
      <c r="K1596" s="1"/>
    </row>
    <row r="1597" ht="14.25" customHeight="1">
      <c r="A1597" s="1" t="s">
        <v>8052</v>
      </c>
      <c r="B1597" s="1">
        <v>3.0E7</v>
      </c>
      <c r="C1597" s="1">
        <v>1.19E7</v>
      </c>
      <c r="F1597" s="4">
        <v>-1.81E7</v>
      </c>
      <c r="G1597" s="4">
        <f t="array" ref="G1597">IFERROR((C1597-B1597)/C1597*100, "N/A")</f>
        <v>-152.1008403</v>
      </c>
      <c r="J1597" s="1"/>
      <c r="K1597" s="1"/>
    </row>
    <row r="1598" ht="14.25" customHeight="1">
      <c r="A1598" s="1" t="s">
        <v>8055</v>
      </c>
      <c r="B1598" s="1">
        <v>4.5E7</v>
      </c>
      <c r="C1598" s="1">
        <v>9353573.0</v>
      </c>
      <c r="F1598" s="4">
        <v>-3.5646427E7</v>
      </c>
      <c r="G1598" s="4">
        <f t="array" ref="G1598">IFERROR((C1598-B1598)/C1598*100, "N/A")</f>
        <v>-381.0995755</v>
      </c>
      <c r="J1598" s="1"/>
      <c r="K1598" s="1"/>
    </row>
    <row r="1599" ht="14.25" customHeight="1">
      <c r="A1599" s="1" t="s">
        <v>8060</v>
      </c>
      <c r="B1599" s="1">
        <v>4.5E7</v>
      </c>
      <c r="C1599" s="1">
        <v>1.202667E7</v>
      </c>
      <c r="F1599" s="4">
        <v>-3.297333E7</v>
      </c>
      <c r="G1599" s="4">
        <f t="array" ref="G1599">IFERROR((C1599-B1599)/C1599*100, "N/A")</f>
        <v>-274.1684107</v>
      </c>
      <c r="J1599" s="1"/>
      <c r="K1599" s="1"/>
    </row>
    <row r="1600" ht="14.25" customHeight="1">
      <c r="A1600" s="1" t="s">
        <v>8067</v>
      </c>
      <c r="B1600" s="1">
        <v>2.5E7</v>
      </c>
      <c r="C1600" s="1">
        <v>1.4334645E7</v>
      </c>
      <c r="F1600" s="4">
        <v>-1.0665355E7</v>
      </c>
      <c r="G1600" s="4">
        <f t="array" ref="G1600">IFERROR((C1600-B1600)/C1600*100, "N/A")</f>
        <v>-74.40264478</v>
      </c>
      <c r="J1600" s="1"/>
      <c r="K1600" s="1"/>
    </row>
    <row r="1601" ht="14.25" customHeight="1">
      <c r="A1601" s="1" t="s">
        <v>8072</v>
      </c>
      <c r="B1601" s="1">
        <v>2.3E7</v>
      </c>
      <c r="C1601" s="1">
        <v>1.2189514E7</v>
      </c>
      <c r="F1601" s="4">
        <v>-1.0810486E7</v>
      </c>
      <c r="G1601" s="4">
        <f t="array" ref="G1601">IFERROR((C1601-B1601)/C1601*100, "N/A")</f>
        <v>-88.68676799</v>
      </c>
      <c r="J1601" s="1"/>
      <c r="K1601" s="1"/>
    </row>
    <row r="1602" ht="14.25" customHeight="1">
      <c r="A1602" s="1" t="s">
        <v>8078</v>
      </c>
      <c r="B1602" s="1">
        <v>3.0E7</v>
      </c>
      <c r="C1602" s="1">
        <v>1.0134754E7</v>
      </c>
      <c r="F1602" s="4">
        <v>-1.9865246E7</v>
      </c>
      <c r="G1602" s="4">
        <f t="array" ref="G1602">IFERROR((C1602-B1602)/C1602*100, "N/A")</f>
        <v>-196.0111316</v>
      </c>
      <c r="J1602" s="1"/>
      <c r="K1602" s="1"/>
    </row>
    <row r="1603" ht="14.25" customHeight="1">
      <c r="A1603" s="1" t="s">
        <v>8082</v>
      </c>
      <c r="B1603" s="1">
        <v>3.0E7</v>
      </c>
      <c r="C1603" s="1">
        <v>8535575.0</v>
      </c>
      <c r="F1603" s="4">
        <v>-2.1464425E7</v>
      </c>
      <c r="G1603" s="4">
        <f t="array" ref="G1603">IFERROR((C1603-B1603)/C1603*100, "N/A")</f>
        <v>-251.4701704</v>
      </c>
      <c r="J1603" s="1"/>
      <c r="K1603" s="1"/>
    </row>
    <row r="1604" ht="14.25" customHeight="1">
      <c r="A1604" s="1" t="s">
        <v>8086</v>
      </c>
      <c r="B1604" s="1">
        <v>4.0E7</v>
      </c>
      <c r="C1604" s="1">
        <v>7689458.0</v>
      </c>
      <c r="F1604" s="4">
        <v>-3.2310542E7</v>
      </c>
      <c r="G1604" s="4">
        <f t="array" ref="G1604">IFERROR((C1604-B1604)/C1604*100, "N/A")</f>
        <v>-420.1927106</v>
      </c>
      <c r="J1604" s="1"/>
      <c r="K1604" s="1"/>
    </row>
    <row r="1605" ht="14.25" customHeight="1">
      <c r="A1605" s="1" t="s">
        <v>8090</v>
      </c>
      <c r="B1605" s="1">
        <v>3.0E7</v>
      </c>
      <c r="C1605" s="1">
        <v>1.9316646E7</v>
      </c>
      <c r="F1605" s="4">
        <v>-1.0683354E7</v>
      </c>
      <c r="G1605" s="4">
        <f t="array" ref="G1605">IFERROR((C1605-B1605)/C1605*100, "N/A")</f>
        <v>-55.30646469</v>
      </c>
      <c r="J1605" s="1"/>
      <c r="K1605" s="1"/>
    </row>
    <row r="1606" ht="14.25" customHeight="1">
      <c r="A1606" s="1" t="s">
        <v>8093</v>
      </c>
      <c r="B1606" s="1">
        <v>3.0E7</v>
      </c>
      <c r="C1606" s="1">
        <v>1.0965209E7</v>
      </c>
      <c r="F1606" s="4">
        <v>-1.9034791E7</v>
      </c>
      <c r="G1606" s="4">
        <f t="array" ref="G1606">IFERROR((C1606-B1606)/C1606*100, "N/A")</f>
        <v>-173.5925964</v>
      </c>
      <c r="J1606" s="1"/>
      <c r="K1606" s="1"/>
    </row>
    <row r="1607" ht="14.25" customHeight="1">
      <c r="A1607" s="1" t="s">
        <v>8098</v>
      </c>
      <c r="B1607" s="1">
        <v>1.8E7</v>
      </c>
      <c r="C1607" s="1">
        <v>2.683E7</v>
      </c>
      <c r="F1607" s="4">
        <v>8830000.0</v>
      </c>
      <c r="G1607" s="4">
        <f t="array" ref="G1607">IFERROR((C1607-B1607)/C1607*100, "N/A")</f>
        <v>32.91092061</v>
      </c>
      <c r="J1607" s="1"/>
      <c r="K1607" s="1"/>
    </row>
    <row r="1608" ht="14.25" customHeight="1">
      <c r="A1608" s="1" t="s">
        <v>8102</v>
      </c>
      <c r="B1608" s="1">
        <v>3.0E7</v>
      </c>
      <c r="C1608" s="1">
        <v>5300000.0</v>
      </c>
      <c r="F1608" s="4">
        <v>-2.47E7</v>
      </c>
      <c r="G1608" s="4">
        <f t="array" ref="G1608">IFERROR((C1608-B1608)/C1608*100, "N/A")</f>
        <v>-466.0377358</v>
      </c>
      <c r="J1608" s="1"/>
      <c r="K1608" s="1"/>
    </row>
    <row r="1609" ht="14.25" customHeight="1">
      <c r="A1609" s="1" t="s">
        <v>8107</v>
      </c>
      <c r="B1609" s="1">
        <v>3.0E7</v>
      </c>
      <c r="C1609" s="1">
        <v>1.0880926E7</v>
      </c>
      <c r="F1609" s="4">
        <v>-1.9119074E7</v>
      </c>
      <c r="G1609" s="4">
        <f t="array" ref="G1609">IFERROR((C1609-B1609)/C1609*100, "N/A")</f>
        <v>-175.7118282</v>
      </c>
      <c r="J1609" s="1"/>
      <c r="K1609" s="1"/>
    </row>
    <row r="1610" ht="14.25" customHeight="1">
      <c r="A1610" s="1" t="s">
        <v>8112</v>
      </c>
      <c r="B1610" s="1">
        <v>1.8E7</v>
      </c>
      <c r="C1610" s="1">
        <v>3752725.0</v>
      </c>
      <c r="F1610" s="4">
        <v>-1.4247275E7</v>
      </c>
      <c r="G1610" s="4">
        <f t="array" ref="G1610">IFERROR((C1610-B1610)/C1610*100, "N/A")</f>
        <v>-379.6514533</v>
      </c>
      <c r="J1610" s="1"/>
      <c r="K1610" s="1"/>
    </row>
    <row r="1611" ht="14.25" customHeight="1">
      <c r="A1611" s="1" t="s">
        <v>8115</v>
      </c>
      <c r="B1611" s="1">
        <v>2.5E7</v>
      </c>
      <c r="C1611" s="1">
        <v>3517797.0</v>
      </c>
      <c r="F1611" s="4">
        <v>-2.1482203E7</v>
      </c>
      <c r="G1611" s="4">
        <f t="array" ref="G1611">IFERROR((C1611-B1611)/C1611*100, "N/A")</f>
        <v>-610.6720484</v>
      </c>
      <c r="J1611" s="1"/>
      <c r="K1611" s="1"/>
    </row>
    <row r="1612" ht="14.25" customHeight="1">
      <c r="A1612" s="1" t="s">
        <v>8120</v>
      </c>
      <c r="B1612" s="1">
        <v>3.0E7</v>
      </c>
      <c r="C1612" s="1">
        <v>2975649.0</v>
      </c>
      <c r="F1612" s="4">
        <v>-2.7024351E7</v>
      </c>
      <c r="G1612" s="4">
        <f t="array" ref="G1612">IFERROR((C1612-B1612)/C1612*100, "N/A")</f>
        <v>-908.1834249</v>
      </c>
      <c r="J1612" s="1"/>
      <c r="K1612" s="1"/>
    </row>
    <row r="1613" ht="14.25" customHeight="1">
      <c r="A1613" s="1" t="s">
        <v>8126</v>
      </c>
      <c r="B1613" s="1">
        <v>6.0E7</v>
      </c>
      <c r="C1613" s="1">
        <v>668171.0</v>
      </c>
      <c r="F1613" s="4">
        <v>-5.9331829E7</v>
      </c>
      <c r="G1613" s="4">
        <f t="array" ref="G1613">IFERROR((C1613-B1613)/C1613*100, "N/A")</f>
        <v>-8879.737223</v>
      </c>
      <c r="J1613" s="1"/>
      <c r="K1613" s="1"/>
    </row>
    <row r="1614" ht="14.25" customHeight="1">
      <c r="A1614" s="1" t="s">
        <v>8132</v>
      </c>
      <c r="B1614" s="1">
        <v>2.1E7</v>
      </c>
      <c r="C1614" s="1">
        <v>480314.0</v>
      </c>
      <c r="F1614" s="4">
        <v>-2.0519686E7</v>
      </c>
      <c r="G1614" s="4">
        <f t="array" ref="G1614">IFERROR((C1614-B1614)/C1614*100, "N/A")</f>
        <v>-4272.139892</v>
      </c>
      <c r="J1614" s="1"/>
      <c r="K1614" s="1"/>
    </row>
    <row r="1615" ht="14.25" customHeight="1">
      <c r="A1615" s="1" t="s">
        <v>8138</v>
      </c>
      <c r="B1615" s="1">
        <v>3.0E7</v>
      </c>
      <c r="C1615" s="1">
        <v>3904982.0</v>
      </c>
      <c r="F1615" s="4">
        <v>-2.6095018E7</v>
      </c>
      <c r="G1615" s="4">
        <f t="array" ref="G1615">IFERROR((C1615-B1615)/C1615*100, "N/A")</f>
        <v>-668.2493799</v>
      </c>
      <c r="J1615" s="1"/>
      <c r="K1615" s="1"/>
    </row>
    <row r="1616" ht="14.25" customHeight="1">
      <c r="A1616" s="1">
        <v>1911.0</v>
      </c>
      <c r="B1616" s="1">
        <v>1.8E7</v>
      </c>
      <c r="C1616" s="1">
        <v>127437.0</v>
      </c>
      <c r="F1616" s="4">
        <v>-1.7872563E7</v>
      </c>
      <c r="G1616" s="4">
        <f t="array" ref="G1616">IFERROR((C1616-B1616)/C1616*100, "N/A")</f>
        <v>-14024.62629</v>
      </c>
      <c r="J1616" s="1"/>
      <c r="K1616" s="1"/>
    </row>
    <row r="1617" ht="14.25" customHeight="1">
      <c r="A1617" s="1" t="s">
        <v>8146</v>
      </c>
      <c r="B1617" s="1">
        <v>3.0E7</v>
      </c>
      <c r="C1617" s="1">
        <v>537580.0</v>
      </c>
      <c r="F1617" s="4">
        <v>-2.946242E7</v>
      </c>
      <c r="G1617" s="4">
        <f t="array" ref="G1617">IFERROR((C1617-B1617)/C1617*100, "N/A")</f>
        <v>-5480.564753</v>
      </c>
      <c r="J1617" s="1"/>
      <c r="K1617" s="1"/>
    </row>
    <row r="1618" ht="14.25" customHeight="1">
      <c r="A1618" s="1" t="s">
        <v>8152</v>
      </c>
      <c r="B1618" s="1">
        <v>2.9E7</v>
      </c>
      <c r="C1618" s="1">
        <v>1.8343638E8</v>
      </c>
      <c r="F1618" s="4">
        <v>1.5443638E8</v>
      </c>
      <c r="G1618" s="4">
        <f t="array" ref="G1618">IFERROR((C1618-B1618)/C1618*100, "N/A")</f>
        <v>84.19070416</v>
      </c>
      <c r="J1618" s="1"/>
      <c r="K1618" s="1"/>
    </row>
    <row r="1619" ht="14.25" customHeight="1">
      <c r="A1619" s="1" t="s">
        <v>8157</v>
      </c>
      <c r="B1619" s="1">
        <v>2.8E7</v>
      </c>
      <c r="C1619" s="1">
        <v>1.19518352E8</v>
      </c>
      <c r="F1619" s="4">
        <v>9.1518352E7</v>
      </c>
      <c r="G1619" s="4">
        <f t="array" ref="G1619">IFERROR((C1619-B1619)/C1619*100, "N/A")</f>
        <v>76.57263547</v>
      </c>
      <c r="J1619" s="1"/>
      <c r="K1619" s="1"/>
    </row>
    <row r="1620" ht="14.25" customHeight="1">
      <c r="A1620" s="1" t="s">
        <v>8164</v>
      </c>
      <c r="B1620" s="1">
        <v>3.0E7</v>
      </c>
      <c r="C1620" s="1">
        <v>3.7036404E7</v>
      </c>
      <c r="F1620" s="4">
        <v>7036404.0</v>
      </c>
      <c r="G1620" s="4">
        <f t="array" ref="G1620">IFERROR((C1620-B1620)/C1620*100, "N/A")</f>
        <v>18.99861552</v>
      </c>
      <c r="J1620" s="1"/>
      <c r="K1620" s="1"/>
    </row>
    <row r="1621" ht="14.25" customHeight="1">
      <c r="A1621" s="1" t="s">
        <v>8167</v>
      </c>
      <c r="B1621" s="1">
        <v>2.9E7</v>
      </c>
      <c r="C1621" s="1">
        <v>2.2359293E7</v>
      </c>
      <c r="F1621" s="4">
        <v>-6640707.0</v>
      </c>
      <c r="G1621" s="4">
        <f t="array" ref="G1621">IFERROR((C1621-B1621)/C1621*100, "N/A")</f>
        <v>-29.69998649</v>
      </c>
      <c r="J1621" s="1"/>
      <c r="K1621" s="1"/>
    </row>
    <row r="1622" ht="14.25" customHeight="1">
      <c r="A1622" s="1" t="s">
        <v>8172</v>
      </c>
      <c r="B1622" s="1">
        <v>3.5E7</v>
      </c>
      <c r="C1622" s="1">
        <v>1.8593156E7</v>
      </c>
      <c r="F1622" s="4">
        <v>-1.6406844E7</v>
      </c>
      <c r="G1622" s="4">
        <f t="array" ref="G1622">IFERROR((C1622-B1622)/C1622*100, "N/A")</f>
        <v>-88.24130772</v>
      </c>
      <c r="J1622" s="1"/>
      <c r="K1622" s="1"/>
    </row>
    <row r="1623" ht="14.25" customHeight="1">
      <c r="A1623" s="1" t="s">
        <v>8175</v>
      </c>
      <c r="B1623" s="1">
        <v>2.9E7</v>
      </c>
      <c r="C1623" s="1">
        <v>1.6930185E7</v>
      </c>
      <c r="F1623" s="4">
        <v>-1.2069815E7</v>
      </c>
      <c r="G1623" s="4">
        <f t="array" ref="G1623">IFERROR((C1623-B1623)/C1623*100, "N/A")</f>
        <v>-71.29168996</v>
      </c>
      <c r="J1623" s="1"/>
      <c r="K1623" s="1"/>
    </row>
    <row r="1624" ht="14.25" customHeight="1">
      <c r="A1624" s="1" t="s">
        <v>8179</v>
      </c>
      <c r="B1624" s="1">
        <v>2.9E7</v>
      </c>
      <c r="C1624" s="1">
        <v>6.3034755E7</v>
      </c>
      <c r="F1624" s="4">
        <v>3.4034755E7</v>
      </c>
      <c r="G1624" s="4">
        <f t="array" ref="G1624">IFERROR((C1624-B1624)/C1624*100, "N/A")</f>
        <v>53.99363415</v>
      </c>
      <c r="J1624" s="1"/>
      <c r="K1624" s="1"/>
    </row>
    <row r="1625" ht="14.25" customHeight="1">
      <c r="A1625" s="1" t="s">
        <v>8183</v>
      </c>
      <c r="B1625" s="1">
        <v>2.9E7</v>
      </c>
      <c r="C1625" s="1">
        <v>5899797.0</v>
      </c>
      <c r="F1625" s="4">
        <v>-2.3100203E7</v>
      </c>
      <c r="G1625" s="4">
        <f t="array" ref="G1625">IFERROR((C1625-B1625)/C1625*100, "N/A")</f>
        <v>-391.5423361</v>
      </c>
      <c r="J1625" s="1"/>
      <c r="K1625" s="1"/>
    </row>
    <row r="1626" ht="14.25" customHeight="1">
      <c r="A1626" s="1" t="s">
        <v>8186</v>
      </c>
      <c r="B1626" s="1">
        <v>2.8E7</v>
      </c>
      <c r="C1626" s="1">
        <v>4554569.0</v>
      </c>
      <c r="F1626" s="4">
        <v>-2.3445431E7</v>
      </c>
      <c r="G1626" s="4">
        <f t="array" ref="G1626">IFERROR((C1626-B1626)/C1626*100, "N/A")</f>
        <v>-514.7672809</v>
      </c>
      <c r="J1626" s="1"/>
      <c r="K1626" s="1"/>
    </row>
    <row r="1627" ht="14.25" customHeight="1">
      <c r="A1627" s="1" t="s">
        <v>8190</v>
      </c>
      <c r="B1627" s="1">
        <v>1.2E7</v>
      </c>
      <c r="C1627" s="1">
        <v>1.701619E7</v>
      </c>
      <c r="F1627" s="4">
        <v>5016190.0</v>
      </c>
      <c r="G1627" s="4">
        <f t="array" ref="G1627">IFERROR((C1627-B1627)/C1627*100, "N/A")</f>
        <v>29.47892566</v>
      </c>
      <c r="J1627" s="1"/>
      <c r="K1627" s="1"/>
    </row>
    <row r="1628" ht="14.25" customHeight="1">
      <c r="A1628" s="1" t="s">
        <v>8196</v>
      </c>
      <c r="B1628" s="1">
        <v>2.9E7</v>
      </c>
      <c r="C1628" s="1">
        <v>6301131.0</v>
      </c>
      <c r="F1628" s="4">
        <v>-2.2698869E7</v>
      </c>
      <c r="G1628" s="4">
        <f t="array" ref="G1628">IFERROR((C1628-B1628)/C1628*100, "N/A")</f>
        <v>-360.2348372</v>
      </c>
      <c r="J1628" s="1"/>
      <c r="K1628" s="1"/>
    </row>
    <row r="1629" ht="14.25" customHeight="1">
      <c r="A1629" s="1" t="s">
        <v>8201</v>
      </c>
      <c r="B1629" s="1">
        <v>2.8E7</v>
      </c>
      <c r="C1629" s="1">
        <v>2.17350219E8</v>
      </c>
      <c r="F1629" s="4">
        <v>1.89350219E8</v>
      </c>
      <c r="G1629" s="4">
        <f t="array" ref="G1629">IFERROR((C1629-B1629)/C1629*100, "N/A")</f>
        <v>87.11756532</v>
      </c>
      <c r="J1629" s="1"/>
      <c r="K1629" s="1"/>
    </row>
    <row r="1630" ht="14.25" customHeight="1">
      <c r="A1630" s="1" t="s">
        <v>8205</v>
      </c>
      <c r="B1630" s="1">
        <v>2.8E7</v>
      </c>
      <c r="C1630" s="1">
        <v>1.6102927E8</v>
      </c>
      <c r="F1630" s="4">
        <v>1.3302927E8</v>
      </c>
      <c r="G1630" s="4">
        <f t="array" ref="G1630">IFERROR((C1630-B1630)/C1630*100, "N/A")</f>
        <v>82.61185684</v>
      </c>
      <c r="J1630" s="1"/>
      <c r="K1630" s="1"/>
    </row>
    <row r="1631" ht="14.25" customHeight="1">
      <c r="A1631" s="1" t="s">
        <v>8211</v>
      </c>
      <c r="B1631" s="1">
        <v>2.8E7</v>
      </c>
      <c r="C1631" s="1">
        <v>1.79870271E8</v>
      </c>
      <c r="F1631" s="4">
        <v>1.51870271E8</v>
      </c>
      <c r="G1631" s="4">
        <f t="array" ref="G1631">IFERROR((C1631-B1631)/C1631*100, "N/A")</f>
        <v>84.43322521</v>
      </c>
      <c r="J1631" s="1"/>
      <c r="K1631" s="1"/>
    </row>
    <row r="1632" ht="14.25" customHeight="1">
      <c r="A1632" s="1" t="s">
        <v>8216</v>
      </c>
      <c r="B1632" s="1">
        <v>2.4E7</v>
      </c>
      <c r="C1632" s="1">
        <v>1.00491683E8</v>
      </c>
      <c r="F1632" s="4">
        <v>7.6491683E7</v>
      </c>
      <c r="G1632" s="4">
        <f t="array" ref="G1632">IFERROR((C1632-B1632)/C1632*100, "N/A")</f>
        <v>76.11742655</v>
      </c>
      <c r="J1632" s="1"/>
      <c r="K1632" s="1"/>
    </row>
    <row r="1633" ht="14.25" customHeight="1">
      <c r="A1633" s="1" t="s">
        <v>8220</v>
      </c>
      <c r="B1633" s="1">
        <v>6.0E7</v>
      </c>
      <c r="C1633" s="1">
        <v>7.4058698E7</v>
      </c>
      <c r="F1633" s="4">
        <v>1.4058698E7</v>
      </c>
      <c r="G1633" s="4">
        <f t="array" ref="G1633">IFERROR((C1633-B1633)/C1633*100, "N/A")</f>
        <v>18.98318277</v>
      </c>
      <c r="J1633" s="1"/>
      <c r="K1633" s="1"/>
    </row>
    <row r="1634" ht="14.25" customHeight="1">
      <c r="A1634" s="1" t="s">
        <v>8223</v>
      </c>
      <c r="B1634" s="1">
        <v>2.9E7</v>
      </c>
      <c r="C1634" s="1">
        <v>5.5845943E7</v>
      </c>
      <c r="F1634" s="4">
        <v>2.6845943E7</v>
      </c>
      <c r="G1634" s="4">
        <f t="array" ref="G1634">IFERROR((C1634-B1634)/C1634*100, "N/A")</f>
        <v>48.07142929</v>
      </c>
      <c r="J1634" s="1"/>
      <c r="K1634" s="1"/>
    </row>
    <row r="1635" ht="14.25" customHeight="1">
      <c r="A1635" s="1" t="s">
        <v>8227</v>
      </c>
      <c r="B1635" s="1">
        <v>2.8E7</v>
      </c>
      <c r="C1635" s="1">
        <v>8.1350242E7</v>
      </c>
      <c r="F1635" s="4">
        <v>5.3350242E7</v>
      </c>
      <c r="G1635" s="4">
        <f t="array" ref="G1635">IFERROR((C1635-B1635)/C1635*100, "N/A")</f>
        <v>65.58092599</v>
      </c>
      <c r="J1635" s="1"/>
      <c r="K1635" s="1"/>
    </row>
    <row r="1636" ht="14.25" customHeight="1">
      <c r="A1636" s="1" t="s">
        <v>8232</v>
      </c>
      <c r="B1636" s="1">
        <v>2.8E7</v>
      </c>
      <c r="C1636" s="1">
        <v>6.72663E7</v>
      </c>
      <c r="F1636" s="4">
        <v>3.92663E7</v>
      </c>
      <c r="G1636" s="4">
        <f t="array" ref="G1636">IFERROR((C1636-B1636)/C1636*100, "N/A")</f>
        <v>58.37440145</v>
      </c>
      <c r="J1636" s="1"/>
      <c r="K1636" s="1"/>
    </row>
    <row r="1637" ht="14.25" customHeight="1">
      <c r="A1637" s="1" t="s">
        <v>8235</v>
      </c>
      <c r="B1637" s="1">
        <v>2.8E7</v>
      </c>
      <c r="C1637" s="1">
        <v>7.0235322E7</v>
      </c>
      <c r="F1637" s="4">
        <v>4.2235322E7</v>
      </c>
      <c r="G1637" s="4">
        <f t="array" ref="G1637">IFERROR((C1637-B1637)/C1637*100, "N/A")</f>
        <v>60.13401918</v>
      </c>
      <c r="J1637" s="1"/>
      <c r="K1637" s="1"/>
    </row>
    <row r="1638" ht="14.25" customHeight="1">
      <c r="A1638" s="1" t="s">
        <v>8239</v>
      </c>
      <c r="B1638" s="1">
        <v>3.0E7</v>
      </c>
      <c r="C1638" s="1">
        <v>7443007.0</v>
      </c>
      <c r="F1638" s="4">
        <v>-2.2556993E7</v>
      </c>
      <c r="G1638" s="4">
        <f t="array" ref="G1638">IFERROR((C1638-B1638)/C1638*100, "N/A")</f>
        <v>-303.0629019</v>
      </c>
      <c r="J1638" s="1"/>
      <c r="K1638" s="1"/>
    </row>
    <row r="1639" ht="14.25" customHeight="1">
      <c r="A1639" s="1" t="s">
        <v>8244</v>
      </c>
      <c r="B1639" s="1">
        <v>2.8E7</v>
      </c>
      <c r="C1639" s="1">
        <v>6.4371181E7</v>
      </c>
      <c r="F1639" s="4">
        <v>3.6371181E7</v>
      </c>
      <c r="G1639" s="4">
        <f t="array" ref="G1639">IFERROR((C1639-B1639)/C1639*100, "N/A")</f>
        <v>56.5022739</v>
      </c>
      <c r="J1639" s="1"/>
      <c r="K1639" s="1"/>
    </row>
    <row r="1640" ht="14.25" customHeight="1">
      <c r="A1640" s="1" t="s">
        <v>8249</v>
      </c>
      <c r="B1640" s="1">
        <v>2.6E7</v>
      </c>
      <c r="C1640" s="1">
        <v>5.8885635E7</v>
      </c>
      <c r="F1640" s="4">
        <v>3.2885635E7</v>
      </c>
      <c r="G1640" s="4">
        <f t="array" ref="G1640">IFERROR((C1640-B1640)/C1640*100, "N/A")</f>
        <v>55.84661692</v>
      </c>
      <c r="J1640" s="1"/>
      <c r="K1640" s="1"/>
    </row>
    <row r="1641" ht="14.25" customHeight="1">
      <c r="A1641" s="1" t="s">
        <v>8252</v>
      </c>
      <c r="B1641" s="1">
        <v>3.5E7</v>
      </c>
      <c r="C1641" s="1">
        <v>6.0400856E7</v>
      </c>
      <c r="F1641" s="4">
        <v>2.5400856E7</v>
      </c>
      <c r="G1641" s="4">
        <f t="array" ref="G1641">IFERROR((C1641-B1641)/C1641*100, "N/A")</f>
        <v>42.05380136</v>
      </c>
      <c r="J1641" s="1"/>
      <c r="K1641" s="1"/>
    </row>
    <row r="1642" ht="14.25" customHeight="1">
      <c r="A1642" s="1" t="s">
        <v>8256</v>
      </c>
      <c r="B1642" s="1">
        <v>2.1E7</v>
      </c>
      <c r="C1642" s="1">
        <v>5.2353636E7</v>
      </c>
      <c r="F1642" s="4">
        <v>3.1353636E7</v>
      </c>
      <c r="G1642" s="4">
        <f t="array" ref="G1642">IFERROR((C1642-B1642)/C1642*100, "N/A")</f>
        <v>59.88817281</v>
      </c>
      <c r="J1642" s="1"/>
      <c r="K1642" s="1"/>
    </row>
    <row r="1643" ht="14.25" customHeight="1">
      <c r="A1643" s="1" t="s">
        <v>8259</v>
      </c>
      <c r="B1643" s="1">
        <v>3.0E7</v>
      </c>
      <c r="C1643" s="1">
        <v>5.1475962E7</v>
      </c>
      <c r="F1643" s="4">
        <v>2.1475962E7</v>
      </c>
      <c r="G1643" s="4">
        <f t="array" ref="G1643">IFERROR((C1643-B1643)/C1643*100, "N/A")</f>
        <v>41.72037037</v>
      </c>
      <c r="J1643" s="1"/>
      <c r="K1643" s="1"/>
    </row>
    <row r="1644" ht="14.25" customHeight="1">
      <c r="A1644" s="1" t="s">
        <v>8263</v>
      </c>
      <c r="B1644" s="1">
        <v>2.8E7</v>
      </c>
      <c r="C1644" s="1">
        <v>6.3910583E7</v>
      </c>
      <c r="F1644" s="4">
        <v>3.5910583E7</v>
      </c>
      <c r="G1644" s="4">
        <f t="array" ref="G1644">IFERROR((C1644-B1644)/C1644*100, "N/A")</f>
        <v>56.18878958</v>
      </c>
      <c r="J1644" s="1"/>
      <c r="K1644" s="1"/>
    </row>
    <row r="1645" ht="14.25" customHeight="1">
      <c r="A1645" s="1" t="s">
        <v>8266</v>
      </c>
      <c r="B1645" s="1">
        <v>2.8E7</v>
      </c>
      <c r="C1645" s="1">
        <v>6.23E7</v>
      </c>
      <c r="F1645" s="4">
        <v>3.43E7</v>
      </c>
      <c r="G1645" s="4">
        <f t="array" ref="G1645">IFERROR((C1645-B1645)/C1645*100, "N/A")</f>
        <v>55.05617978</v>
      </c>
      <c r="J1645" s="1"/>
      <c r="K1645" s="1"/>
    </row>
    <row r="1646" ht="14.25" customHeight="1">
      <c r="A1646" s="1" t="s">
        <v>8270</v>
      </c>
      <c r="B1646" s="1">
        <v>2.8E7</v>
      </c>
      <c r="C1646" s="1">
        <v>4.9968653E7</v>
      </c>
      <c r="F1646" s="4">
        <v>2.1968653E7</v>
      </c>
      <c r="G1646" s="4">
        <f t="array" ref="G1646">IFERROR((C1646-B1646)/C1646*100, "N/A")</f>
        <v>43.96486934</v>
      </c>
      <c r="J1646" s="1"/>
      <c r="K1646" s="1"/>
    </row>
    <row r="1647" ht="14.25" customHeight="1">
      <c r="A1647" s="1" t="s">
        <v>8276</v>
      </c>
      <c r="B1647" s="1">
        <v>2.7E7</v>
      </c>
      <c r="C1647" s="1">
        <v>4.445E7</v>
      </c>
      <c r="F1647" s="4">
        <v>1.745E7</v>
      </c>
      <c r="G1647" s="4">
        <f t="array" ref="G1647">IFERROR((C1647-B1647)/C1647*100, "N/A")</f>
        <v>39.2575928</v>
      </c>
      <c r="J1647" s="1"/>
      <c r="K1647" s="1"/>
    </row>
    <row r="1648" ht="14.25" customHeight="1">
      <c r="A1648" s="1" t="s">
        <v>8281</v>
      </c>
      <c r="B1648" s="1">
        <v>2.8E7</v>
      </c>
      <c r="C1648" s="1">
        <v>4.5162741E7</v>
      </c>
      <c r="F1648" s="4">
        <v>1.7162741E7</v>
      </c>
      <c r="G1648" s="4">
        <f t="array" ref="G1648">IFERROR((C1648-B1648)/C1648*100, "N/A")</f>
        <v>38.00199151</v>
      </c>
      <c r="J1648" s="1"/>
      <c r="K1648" s="1"/>
    </row>
    <row r="1649" ht="14.25" customHeight="1">
      <c r="A1649" s="1" t="s">
        <v>8284</v>
      </c>
      <c r="B1649" s="1">
        <v>2.8E7</v>
      </c>
      <c r="C1649" s="1">
        <v>7.134693E7</v>
      </c>
      <c r="F1649" s="4">
        <v>4.334693E7</v>
      </c>
      <c r="G1649" s="4">
        <f t="array" ref="G1649">IFERROR((C1649-B1649)/C1649*100, "N/A")</f>
        <v>60.75514391</v>
      </c>
      <c r="J1649" s="1"/>
      <c r="K1649" s="1"/>
    </row>
    <row r="1650" ht="14.25" customHeight="1">
      <c r="A1650" s="1" t="s">
        <v>8291</v>
      </c>
      <c r="B1650" s="1">
        <v>2.8E7</v>
      </c>
      <c r="C1650" s="1">
        <v>3.9514713E7</v>
      </c>
      <c r="F1650" s="4">
        <v>1.1514713E7</v>
      </c>
      <c r="G1650" s="4">
        <f t="array" ref="G1650">IFERROR((C1650-B1650)/C1650*100, "N/A")</f>
        <v>29.14031794</v>
      </c>
      <c r="J1650" s="1"/>
      <c r="K1650" s="1"/>
    </row>
    <row r="1651" ht="14.25" customHeight="1">
      <c r="A1651" s="1" t="s">
        <v>8296</v>
      </c>
      <c r="B1651" s="1">
        <v>2.8E7</v>
      </c>
      <c r="C1651" s="1">
        <v>4.3097652E7</v>
      </c>
      <c r="F1651" s="4">
        <v>1.5097652E7</v>
      </c>
      <c r="G1651" s="4">
        <f t="array" ref="G1651">IFERROR((C1651-B1651)/C1651*100, "N/A")</f>
        <v>35.03126342</v>
      </c>
      <c r="J1651" s="1"/>
      <c r="K1651" s="1"/>
    </row>
    <row r="1652" ht="14.25" customHeight="1">
      <c r="A1652" s="1" t="s">
        <v>8300</v>
      </c>
      <c r="B1652" s="1">
        <v>3.0E7</v>
      </c>
      <c r="C1652" s="1">
        <v>4.8043505E7</v>
      </c>
      <c r="F1652" s="4">
        <v>1.8043505E7</v>
      </c>
      <c r="G1652" s="4">
        <f t="array" ref="G1652">IFERROR((C1652-B1652)/C1652*100, "N/A")</f>
        <v>37.55659584</v>
      </c>
      <c r="J1652" s="1"/>
      <c r="K1652" s="1"/>
    </row>
    <row r="1653" ht="14.25" customHeight="1">
      <c r="A1653" s="1" t="s">
        <v>8305</v>
      </c>
      <c r="B1653" s="1">
        <v>2.8E7</v>
      </c>
      <c r="C1653" s="1">
        <v>3.7053924E7</v>
      </c>
      <c r="F1653" s="4">
        <v>9053924.0</v>
      </c>
      <c r="G1653" s="4">
        <f t="array" ref="G1653">IFERROR((C1653-B1653)/C1653*100, "N/A")</f>
        <v>24.43445396</v>
      </c>
      <c r="J1653" s="1"/>
      <c r="K1653" s="1"/>
    </row>
    <row r="1654" ht="14.25" customHeight="1">
      <c r="A1654" s="1" t="s">
        <v>8310</v>
      </c>
      <c r="B1654" s="1">
        <v>2.8E7</v>
      </c>
      <c r="C1654" s="1">
        <v>3.3000377E7</v>
      </c>
      <c r="F1654" s="4">
        <v>5000377.0</v>
      </c>
      <c r="G1654" s="4">
        <f t="array" ref="G1654">IFERROR((C1654-B1654)/C1654*100, "N/A")</f>
        <v>15.15248447</v>
      </c>
      <c r="J1654" s="1"/>
      <c r="K1654" s="1"/>
    </row>
    <row r="1655" ht="14.25" customHeight="1">
      <c r="A1655" s="1" t="s">
        <v>8316</v>
      </c>
      <c r="B1655" s="1">
        <v>2.8E7</v>
      </c>
      <c r="C1655" s="1">
        <v>6.6950483E7</v>
      </c>
      <c r="F1655" s="4">
        <v>3.8950483E7</v>
      </c>
      <c r="G1655" s="4">
        <f t="array" ref="G1655">IFERROR((C1655-B1655)/C1655*100, "N/A")</f>
        <v>58.1780463</v>
      </c>
      <c r="J1655" s="1"/>
      <c r="K1655" s="1"/>
    </row>
    <row r="1656" ht="14.25" customHeight="1">
      <c r="A1656" s="1" t="s">
        <v>8319</v>
      </c>
      <c r="B1656" s="1">
        <v>2.8E7</v>
      </c>
      <c r="C1656" s="1">
        <v>3.8372662E7</v>
      </c>
      <c r="F1656" s="4">
        <v>1.0372662E7</v>
      </c>
      <c r="G1656" s="4">
        <f t="array" ref="G1656">IFERROR((C1656-B1656)/C1656*100, "N/A")</f>
        <v>27.031385</v>
      </c>
      <c r="J1656" s="1"/>
      <c r="K1656" s="1"/>
    </row>
    <row r="1657" ht="14.25" customHeight="1">
      <c r="A1657" s="1" t="s">
        <v>8324</v>
      </c>
      <c r="B1657" s="1">
        <v>2.8E7</v>
      </c>
      <c r="C1657" s="1">
        <v>2.7E7</v>
      </c>
      <c r="F1657" s="4">
        <v>-1000000.0</v>
      </c>
      <c r="G1657" s="4">
        <f t="array" ref="G1657">IFERROR((C1657-B1657)/C1657*100, "N/A")</f>
        <v>-3.703703704</v>
      </c>
      <c r="J1657" s="1"/>
      <c r="K1657" s="1"/>
    </row>
    <row r="1658" ht="14.25" customHeight="1">
      <c r="A1658" s="1" t="s">
        <v>8328</v>
      </c>
      <c r="B1658" s="1">
        <v>2.8E7</v>
      </c>
      <c r="C1658" s="1">
        <v>3.16E7</v>
      </c>
      <c r="F1658" s="4">
        <v>3600000.0</v>
      </c>
      <c r="G1658" s="4">
        <f t="array" ref="G1658">IFERROR((C1658-B1658)/C1658*100, "N/A")</f>
        <v>11.39240506</v>
      </c>
      <c r="J1658" s="1"/>
      <c r="K1658" s="1"/>
    </row>
    <row r="1659" ht="14.25" customHeight="1">
      <c r="A1659" s="1" t="s">
        <v>8332</v>
      </c>
      <c r="B1659" s="1">
        <v>2.8E7</v>
      </c>
      <c r="C1659" s="1">
        <v>3.0688364E7</v>
      </c>
      <c r="F1659" s="4">
        <v>2688364.0</v>
      </c>
      <c r="G1659" s="4">
        <f t="array" ref="G1659">IFERROR((C1659-B1659)/C1659*100, "N/A")</f>
        <v>8.760206311</v>
      </c>
      <c r="J1659" s="1"/>
      <c r="K1659" s="1"/>
    </row>
    <row r="1660" ht="14.25" customHeight="1">
      <c r="A1660" s="1" t="s">
        <v>8338</v>
      </c>
      <c r="B1660" s="1">
        <v>2.1E7</v>
      </c>
      <c r="C1660" s="1">
        <v>2.8563179E7</v>
      </c>
      <c r="F1660" s="4">
        <v>7563179.0</v>
      </c>
      <c r="G1660" s="4">
        <f t="array" ref="G1660">IFERROR((C1660-B1660)/C1660*100, "N/A")</f>
        <v>26.47877185</v>
      </c>
      <c r="J1660" s="1"/>
      <c r="K1660" s="1"/>
    </row>
    <row r="1661" ht="14.25" customHeight="1">
      <c r="A1661" s="1" t="s">
        <v>8344</v>
      </c>
      <c r="B1661" s="1">
        <v>2.8E7</v>
      </c>
      <c r="C1661" s="1">
        <v>1.6779636E7</v>
      </c>
      <c r="F1661" s="4">
        <v>-1.1220364E7</v>
      </c>
      <c r="G1661" s="4">
        <f t="array" ref="G1661">IFERROR((C1661-B1661)/C1661*100, "N/A")</f>
        <v>-66.86893566</v>
      </c>
      <c r="J1661" s="1"/>
      <c r="K1661" s="1"/>
    </row>
    <row r="1662" ht="14.25" customHeight="1">
      <c r="A1662" s="1" t="s">
        <v>8349</v>
      </c>
      <c r="B1662" s="1">
        <v>2.8E7</v>
      </c>
      <c r="C1662" s="1">
        <v>1.7324744E7</v>
      </c>
      <c r="F1662" s="4">
        <v>-1.0675256E7</v>
      </c>
      <c r="G1662" s="4">
        <f t="array" ref="G1662">IFERROR((C1662-B1662)/C1662*100, "N/A")</f>
        <v>-61.61854975</v>
      </c>
      <c r="J1662" s="1"/>
      <c r="K1662" s="1"/>
    </row>
    <row r="1663" ht="14.25" customHeight="1">
      <c r="A1663" s="1" t="s">
        <v>8353</v>
      </c>
      <c r="B1663" s="1">
        <v>2.8E7</v>
      </c>
      <c r="C1663" s="1">
        <v>8888143.0</v>
      </c>
      <c r="F1663" s="4">
        <v>-1.9111857E7</v>
      </c>
      <c r="G1663" s="4">
        <f t="array" ref="G1663">IFERROR((C1663-B1663)/C1663*100, "N/A")</f>
        <v>-215.0264347</v>
      </c>
      <c r="J1663" s="1"/>
      <c r="K1663" s="1"/>
    </row>
    <row r="1664" ht="14.25" customHeight="1">
      <c r="A1664" s="1" t="s">
        <v>8358</v>
      </c>
      <c r="B1664" s="1">
        <v>2.8E7</v>
      </c>
      <c r="C1664" s="1">
        <v>2.4268828E7</v>
      </c>
      <c r="F1664" s="4">
        <v>-3731172.0</v>
      </c>
      <c r="G1664" s="4">
        <f t="array" ref="G1664">IFERROR((C1664-B1664)/C1664*100, "N/A")</f>
        <v>-15.37433946</v>
      </c>
      <c r="J1664" s="1"/>
      <c r="K1664" s="1"/>
    </row>
    <row r="1665" ht="14.25" customHeight="1">
      <c r="A1665" s="1" t="s">
        <v>8364</v>
      </c>
      <c r="B1665" s="1">
        <v>2.8E7</v>
      </c>
      <c r="C1665" s="1">
        <v>8119205.0</v>
      </c>
      <c r="F1665" s="4">
        <v>-1.9880795E7</v>
      </c>
      <c r="G1665" s="4">
        <f t="array" ref="G1665">IFERROR((C1665-B1665)/C1665*100, "N/A")</f>
        <v>-244.8613503</v>
      </c>
      <c r="J1665" s="1"/>
      <c r="K1665" s="1"/>
    </row>
    <row r="1666" ht="14.25" customHeight="1">
      <c r="A1666" s="1" t="s">
        <v>8369</v>
      </c>
      <c r="B1666" s="1">
        <v>2.8E7</v>
      </c>
      <c r="C1666" s="1">
        <v>8434601.0</v>
      </c>
      <c r="F1666" s="4">
        <v>-1.9565399E7</v>
      </c>
      <c r="G1666" s="4">
        <f t="array" ref="G1666">IFERROR((C1666-B1666)/C1666*100, "N/A")</f>
        <v>-231.9659104</v>
      </c>
      <c r="J1666" s="1"/>
      <c r="K1666" s="1"/>
    </row>
    <row r="1667" ht="14.25" customHeight="1">
      <c r="A1667" s="1" t="s">
        <v>8372</v>
      </c>
      <c r="B1667" s="1">
        <v>2.8E7</v>
      </c>
      <c r="C1667" s="1">
        <v>6998324.0</v>
      </c>
      <c r="F1667" s="4">
        <v>-2.1001676E7</v>
      </c>
      <c r="G1667" s="4">
        <f t="array" ref="G1667">IFERROR((C1667-B1667)/C1667*100, "N/A")</f>
        <v>-300.0957944</v>
      </c>
      <c r="J1667" s="1"/>
      <c r="K1667" s="1"/>
    </row>
    <row r="1668" ht="14.25" customHeight="1">
      <c r="A1668" s="1" t="s">
        <v>8376</v>
      </c>
      <c r="B1668" s="1">
        <v>2.8E7</v>
      </c>
      <c r="C1668" s="1">
        <v>1.0907291E7</v>
      </c>
      <c r="F1668" s="4">
        <v>-1.7092709E7</v>
      </c>
      <c r="G1668" s="4">
        <f t="array" ref="G1668">IFERROR((C1668-B1668)/C1668*100, "N/A")</f>
        <v>-156.7090215</v>
      </c>
      <c r="J1668" s="1"/>
      <c r="K1668" s="1"/>
    </row>
    <row r="1669" ht="14.25" customHeight="1">
      <c r="A1669" s="1" t="s">
        <v>8381</v>
      </c>
      <c r="B1669" s="1">
        <v>2.8E7</v>
      </c>
      <c r="C1669" s="1">
        <v>5532301.0</v>
      </c>
      <c r="F1669" s="4">
        <v>-2.2467699E7</v>
      </c>
      <c r="G1669" s="4">
        <f t="array" ref="G1669">IFERROR((C1669-B1669)/C1669*100, "N/A")</f>
        <v>-406.118521</v>
      </c>
      <c r="J1669" s="1"/>
      <c r="K1669" s="1"/>
    </row>
    <row r="1670" ht="14.25" customHeight="1">
      <c r="A1670" s="1" t="s">
        <v>8388</v>
      </c>
      <c r="B1670" s="1">
        <v>2.7E7</v>
      </c>
      <c r="C1670" s="1">
        <v>2775593.0</v>
      </c>
      <c r="F1670" s="4">
        <v>-2.4224407E7</v>
      </c>
      <c r="G1670" s="4">
        <f t="array" ref="G1670">IFERROR((C1670-B1670)/C1670*100, "N/A")</f>
        <v>-872.7650992</v>
      </c>
      <c r="J1670" s="1"/>
      <c r="K1670" s="1"/>
    </row>
    <row r="1671" ht="14.25" customHeight="1">
      <c r="A1671" s="1" t="s">
        <v>8394</v>
      </c>
      <c r="B1671" s="1">
        <v>2.8E7</v>
      </c>
      <c r="C1671" s="1">
        <v>2.8751715E7</v>
      </c>
      <c r="F1671" s="4">
        <v>751715.0</v>
      </c>
      <c r="G1671" s="4">
        <f t="array" ref="G1671">IFERROR((C1671-B1671)/C1671*100, "N/A")</f>
        <v>2.614504909</v>
      </c>
      <c r="J1671" s="1"/>
      <c r="K1671" s="1"/>
    </row>
    <row r="1672" ht="14.25" customHeight="1">
      <c r="A1672" s="1" t="s">
        <v>8399</v>
      </c>
      <c r="B1672" s="1">
        <v>2.8E7</v>
      </c>
      <c r="C1672" s="1">
        <v>2.0285518E7</v>
      </c>
      <c r="F1672" s="4">
        <v>-7714482.0</v>
      </c>
      <c r="G1672" s="4">
        <f t="array" ref="G1672">IFERROR((C1672-B1672)/C1672*100, "N/A")</f>
        <v>-38.0295046</v>
      </c>
      <c r="J1672" s="1"/>
      <c r="K1672" s="1"/>
    </row>
    <row r="1673" ht="14.25" customHeight="1">
      <c r="A1673" s="1" t="s">
        <v>8402</v>
      </c>
      <c r="B1673" s="1">
        <v>2.75E7</v>
      </c>
      <c r="C1673" s="1">
        <v>6.79E7</v>
      </c>
      <c r="F1673" s="4">
        <v>4.04E7</v>
      </c>
      <c r="G1673" s="4">
        <f t="array" ref="G1673">IFERROR((C1673-B1673)/C1673*100, "N/A")</f>
        <v>59.49926362</v>
      </c>
      <c r="J1673" s="1"/>
      <c r="K1673" s="1"/>
    </row>
    <row r="1674" ht="14.25" customHeight="1">
      <c r="A1674" s="1" t="s">
        <v>8408</v>
      </c>
      <c r="B1674" s="1">
        <v>3.0E7</v>
      </c>
      <c r="C1674" s="1">
        <v>1.48734225E8</v>
      </c>
      <c r="F1674" s="4">
        <v>1.18734225E8</v>
      </c>
      <c r="G1674" s="4">
        <f t="array" ref="G1674">IFERROR((C1674-B1674)/C1674*100, "N/A")</f>
        <v>79.82979371</v>
      </c>
      <c r="J1674" s="1"/>
      <c r="K1674" s="1"/>
    </row>
    <row r="1675" ht="14.25" customHeight="1">
      <c r="A1675" s="1" t="s">
        <v>8412</v>
      </c>
      <c r="B1675" s="1">
        <v>3.0E7</v>
      </c>
      <c r="C1675" s="1">
        <v>4.9185998E7</v>
      </c>
      <c r="F1675" s="4">
        <v>1.9185998E7</v>
      </c>
      <c r="G1675" s="4">
        <f t="array" ref="G1675">IFERROR((C1675-B1675)/C1675*100, "N/A")</f>
        <v>39.00703204</v>
      </c>
      <c r="J1675" s="1"/>
      <c r="K1675" s="1"/>
    </row>
    <row r="1676" ht="14.25" customHeight="1">
      <c r="A1676" s="1" t="s">
        <v>8418</v>
      </c>
      <c r="B1676" s="1">
        <v>3.5E7</v>
      </c>
      <c r="C1676" s="1">
        <v>4.2168445E7</v>
      </c>
      <c r="F1676" s="4">
        <v>7168445.0</v>
      </c>
      <c r="G1676" s="4">
        <f t="array" ref="G1676">IFERROR((C1676-B1676)/C1676*100, "N/A")</f>
        <v>16.99954788</v>
      </c>
      <c r="J1676" s="1"/>
      <c r="K1676" s="1"/>
    </row>
    <row r="1677" ht="14.25" customHeight="1">
      <c r="A1677" s="1" t="s">
        <v>8422</v>
      </c>
      <c r="B1677" s="1">
        <v>1.6E7</v>
      </c>
      <c r="C1677" s="1">
        <v>2.64E7</v>
      </c>
      <c r="F1677" s="4">
        <v>1.04E7</v>
      </c>
      <c r="G1677" s="4">
        <f t="array" ref="G1677">IFERROR((C1677-B1677)/C1677*100, "N/A")</f>
        <v>39.39393939</v>
      </c>
      <c r="J1677" s="1"/>
      <c r="K1677" s="1"/>
    </row>
    <row r="1678" ht="14.25" customHeight="1">
      <c r="A1678" s="1" t="s">
        <v>8427</v>
      </c>
      <c r="B1678" s="1">
        <v>1.5E7</v>
      </c>
      <c r="C1678" s="1">
        <v>1.750867E7</v>
      </c>
      <c r="F1678" s="4">
        <v>2508670.0</v>
      </c>
      <c r="G1678" s="4">
        <f t="array" ref="G1678">IFERROR((C1678-B1678)/C1678*100, "N/A")</f>
        <v>14.32815856</v>
      </c>
      <c r="J1678" s="1"/>
      <c r="K1678" s="1"/>
    </row>
    <row r="1679" ht="14.25" customHeight="1">
      <c r="A1679" s="1" t="s">
        <v>8433</v>
      </c>
      <c r="B1679" s="1">
        <v>2.75E7</v>
      </c>
      <c r="C1679" s="1">
        <v>9664316.0</v>
      </c>
      <c r="F1679" s="4">
        <v>-1.7835684E7</v>
      </c>
      <c r="G1679" s="4">
        <f t="array" ref="G1679">IFERROR((C1679-B1679)/C1679*100, "N/A")</f>
        <v>-184.5519538</v>
      </c>
      <c r="J1679" s="1"/>
      <c r="K1679" s="1"/>
    </row>
    <row r="1680" ht="14.25" customHeight="1">
      <c r="A1680" s="1" t="s">
        <v>8437</v>
      </c>
      <c r="B1680" s="1">
        <v>3.0E7</v>
      </c>
      <c r="C1680" s="1">
        <v>7.4888996E7</v>
      </c>
      <c r="F1680" s="4">
        <v>4.4888996E7</v>
      </c>
      <c r="G1680" s="4">
        <f t="array" ref="G1680">IFERROR((C1680-B1680)/C1680*100, "N/A")</f>
        <v>59.94071011</v>
      </c>
      <c r="J1680" s="1"/>
      <c r="K1680" s="1"/>
    </row>
    <row r="1681" ht="14.25" customHeight="1">
      <c r="A1681" s="1" t="s">
        <v>8441</v>
      </c>
      <c r="B1681" s="1">
        <v>2.7E7</v>
      </c>
      <c r="C1681" s="1">
        <v>6.9586544E7</v>
      </c>
      <c r="F1681" s="4">
        <v>4.2586544E7</v>
      </c>
      <c r="G1681" s="4">
        <f t="array" ref="G1681">IFERROR((C1681-B1681)/C1681*100, "N/A")</f>
        <v>61.1993951</v>
      </c>
      <c r="J1681" s="1"/>
      <c r="K1681" s="1"/>
    </row>
    <row r="1682" ht="14.25" customHeight="1">
      <c r="A1682" s="1" t="s">
        <v>532</v>
      </c>
      <c r="B1682" s="1">
        <v>1.75E8</v>
      </c>
      <c r="C1682" s="1">
        <v>3.62645141E8</v>
      </c>
      <c r="F1682" s="4">
        <v>1.87645141E8</v>
      </c>
      <c r="G1682" s="4">
        <f t="array" ref="G1682">IFERROR((C1682-B1682)/C1682*100, "N/A")</f>
        <v>51.74345932</v>
      </c>
      <c r="J1682" s="1"/>
      <c r="K1682" s="1"/>
    </row>
    <row r="1683" ht="14.25" customHeight="1">
      <c r="A1683" s="1" t="s">
        <v>8445</v>
      </c>
      <c r="B1683" s="1">
        <v>2.7E7</v>
      </c>
      <c r="C1683" s="1">
        <v>6.049156E7</v>
      </c>
      <c r="F1683" s="4">
        <v>3.349156E7</v>
      </c>
      <c r="G1683" s="4">
        <f t="array" ref="G1683">IFERROR((C1683-B1683)/C1683*100, "N/A")</f>
        <v>55.36567415</v>
      </c>
      <c r="J1683" s="1"/>
      <c r="K1683" s="1"/>
    </row>
    <row r="1684" ht="14.25" customHeight="1">
      <c r="A1684" s="1" t="s">
        <v>8449</v>
      </c>
      <c r="B1684" s="1">
        <v>2.7E7</v>
      </c>
      <c r="C1684" s="1">
        <v>5.42E7</v>
      </c>
      <c r="F1684" s="4">
        <v>2.72E7</v>
      </c>
      <c r="G1684" s="4">
        <f t="array" ref="G1684">IFERROR((C1684-B1684)/C1684*100, "N/A")</f>
        <v>50.18450185</v>
      </c>
      <c r="J1684" s="1"/>
      <c r="K1684" s="1"/>
    </row>
    <row r="1685" ht="14.25" customHeight="1">
      <c r="A1685" s="1" t="s">
        <v>8456</v>
      </c>
      <c r="B1685" s="1">
        <v>2.5E7</v>
      </c>
      <c r="C1685" s="1">
        <v>3.0920167E7</v>
      </c>
      <c r="F1685" s="4">
        <v>5920167.0</v>
      </c>
      <c r="G1685" s="4">
        <f t="array" ref="G1685">IFERROR((C1685-B1685)/C1685*100, "N/A")</f>
        <v>19.14662039</v>
      </c>
      <c r="J1685" s="1"/>
      <c r="K1685" s="1"/>
    </row>
    <row r="1686" ht="14.25" customHeight="1">
      <c r="A1686" s="1" t="s">
        <v>8461</v>
      </c>
      <c r="B1686" s="1">
        <v>3.0E7</v>
      </c>
      <c r="C1686" s="1">
        <v>4.0566655E7</v>
      </c>
      <c r="F1686" s="4">
        <v>1.0566655E7</v>
      </c>
      <c r="G1686" s="4">
        <f t="array" ref="G1686">IFERROR((C1686-B1686)/C1686*100, "N/A")</f>
        <v>26.04763691</v>
      </c>
      <c r="J1686" s="1"/>
      <c r="K1686" s="1"/>
    </row>
    <row r="1687" ht="14.25" customHeight="1">
      <c r="A1687" s="1" t="s">
        <v>8467</v>
      </c>
      <c r="B1687" s="1">
        <v>2.7E7</v>
      </c>
      <c r="C1687" s="1">
        <v>3.1768374E7</v>
      </c>
      <c r="F1687" s="4">
        <v>4768374.0</v>
      </c>
      <c r="G1687" s="4">
        <f t="array" ref="G1687">IFERROR((C1687-B1687)/C1687*100, "N/A")</f>
        <v>15.00981448</v>
      </c>
      <c r="J1687" s="1"/>
      <c r="K1687" s="1"/>
    </row>
    <row r="1688" ht="14.25" customHeight="1">
      <c r="A1688" s="1" t="s">
        <v>8471</v>
      </c>
      <c r="B1688" s="1">
        <v>2.7E7</v>
      </c>
      <c r="C1688" s="1">
        <v>2.2494487E7</v>
      </c>
      <c r="F1688" s="4">
        <v>-4505513.0</v>
      </c>
      <c r="G1688" s="4">
        <f t="array" ref="G1688">IFERROR((C1688-B1688)/C1688*100, "N/A")</f>
        <v>-20.02940987</v>
      </c>
      <c r="J1688" s="1"/>
      <c r="K1688" s="1"/>
    </row>
    <row r="1689" ht="14.25" customHeight="1">
      <c r="A1689" s="1" t="s">
        <v>8475</v>
      </c>
      <c r="B1689" s="1">
        <v>2.7E7</v>
      </c>
      <c r="C1689" s="1">
        <v>2.15E7</v>
      </c>
      <c r="F1689" s="4">
        <v>-5500000.0</v>
      </c>
      <c r="G1689" s="4">
        <f t="array" ref="G1689">IFERROR((C1689-B1689)/C1689*100, "N/A")</f>
        <v>-25.58139535</v>
      </c>
      <c r="J1689" s="1"/>
      <c r="K1689" s="1"/>
    </row>
    <row r="1690" ht="14.25" customHeight="1">
      <c r="A1690" s="1" t="s">
        <v>8478</v>
      </c>
      <c r="B1690" s="1">
        <v>3.0E7</v>
      </c>
      <c r="C1690" s="1">
        <v>4463292.0</v>
      </c>
      <c r="F1690" s="4">
        <v>-2.5536708E7</v>
      </c>
      <c r="G1690" s="4">
        <f t="array" ref="G1690">IFERROR((C1690-B1690)/C1690*100, "N/A")</f>
        <v>-572.1496151</v>
      </c>
      <c r="J1690" s="1"/>
      <c r="K1690" s="1"/>
    </row>
    <row r="1691" ht="14.25" customHeight="1">
      <c r="A1691" s="1" t="s">
        <v>8481</v>
      </c>
      <c r="B1691" s="1">
        <v>2.7E7</v>
      </c>
      <c r="C1691" s="1">
        <v>1.4337579E7</v>
      </c>
      <c r="F1691" s="4">
        <v>-1.2662421E7</v>
      </c>
      <c r="G1691" s="4">
        <f t="array" ref="G1691">IFERROR((C1691-B1691)/C1691*100, "N/A")</f>
        <v>-88.31631198</v>
      </c>
      <c r="J1691" s="1"/>
      <c r="K1691" s="1"/>
    </row>
    <row r="1692" ht="14.25" customHeight="1">
      <c r="A1692" s="1" t="s">
        <v>8486</v>
      </c>
      <c r="B1692" s="1">
        <v>1.35E7</v>
      </c>
      <c r="C1692" s="1">
        <v>1.3823741E7</v>
      </c>
      <c r="F1692" s="4">
        <v>323741.0</v>
      </c>
      <c r="G1692" s="4">
        <f t="array" ref="G1692">IFERROR((C1692-B1692)/C1692*100, "N/A")</f>
        <v>2.341920324</v>
      </c>
      <c r="J1692" s="1"/>
      <c r="K1692" s="1"/>
    </row>
    <row r="1693" ht="14.25" customHeight="1">
      <c r="A1693" s="1" t="s">
        <v>8490</v>
      </c>
      <c r="B1693" s="1">
        <v>2.7E7</v>
      </c>
      <c r="C1693" s="1">
        <v>1.0297897E7</v>
      </c>
      <c r="F1693" s="4">
        <v>-1.6702103E7</v>
      </c>
      <c r="G1693" s="4">
        <f t="array" ref="G1693">IFERROR((C1693-B1693)/C1693*100, "N/A")</f>
        <v>-162.1894548</v>
      </c>
      <c r="J1693" s="1"/>
      <c r="K1693" s="1"/>
    </row>
    <row r="1694" ht="14.25" customHeight="1">
      <c r="A1694" s="1" t="s">
        <v>8495</v>
      </c>
      <c r="B1694" s="1">
        <v>2.7E7</v>
      </c>
      <c r="C1694" s="1">
        <v>1.3248477E7</v>
      </c>
      <c r="F1694" s="4">
        <v>-1.3751523E7</v>
      </c>
      <c r="G1694" s="4">
        <f t="array" ref="G1694">IFERROR((C1694-B1694)/C1694*100, "N/A")</f>
        <v>-103.79701</v>
      </c>
      <c r="J1694" s="1"/>
      <c r="K1694" s="1"/>
    </row>
    <row r="1695" ht="14.25" customHeight="1">
      <c r="A1695" s="1" t="s">
        <v>8500</v>
      </c>
      <c r="B1695" s="1">
        <v>2.7E7</v>
      </c>
      <c r="C1695" s="1">
        <v>8712564.0</v>
      </c>
      <c r="F1695" s="4">
        <v>-1.8287436E7</v>
      </c>
      <c r="G1695" s="4">
        <f t="array" ref="G1695">IFERROR((C1695-B1695)/C1695*100, "N/A")</f>
        <v>-209.8972932</v>
      </c>
      <c r="J1695" s="1"/>
      <c r="K1695" s="1"/>
    </row>
    <row r="1696" ht="14.25" customHeight="1">
      <c r="A1696" s="1" t="s">
        <v>8505</v>
      </c>
      <c r="B1696" s="1">
        <v>2.7E7</v>
      </c>
      <c r="C1696" s="1">
        <v>7486906.0</v>
      </c>
      <c r="F1696" s="4">
        <v>-1.9513094E7</v>
      </c>
      <c r="G1696" s="4">
        <f t="array" ref="G1696">IFERROR((C1696-B1696)/C1696*100, "N/A")</f>
        <v>-260.6296112</v>
      </c>
      <c r="J1696" s="1"/>
      <c r="K1696" s="1"/>
    </row>
    <row r="1697" ht="14.25" customHeight="1">
      <c r="A1697" s="1" t="s">
        <v>8508</v>
      </c>
      <c r="B1697" s="1">
        <v>2.7E7</v>
      </c>
      <c r="C1697" s="1">
        <v>3.8536376E7</v>
      </c>
      <c r="F1697" s="4">
        <v>1.1536376E7</v>
      </c>
      <c r="G1697" s="4">
        <f t="array" ref="G1697">IFERROR((C1697-B1697)/C1697*100, "N/A")</f>
        <v>29.93632821</v>
      </c>
      <c r="J1697" s="1"/>
      <c r="K1697" s="1"/>
    </row>
    <row r="1698" ht="14.25" customHeight="1">
      <c r="A1698" s="1" t="s">
        <v>8512</v>
      </c>
      <c r="B1698" s="1">
        <v>2.7E7</v>
      </c>
      <c r="C1698" s="1">
        <v>4.1008532E7</v>
      </c>
      <c r="F1698" s="4">
        <v>1.4008532E7</v>
      </c>
      <c r="G1698" s="4">
        <f t="array" ref="G1698">IFERROR((C1698-B1698)/C1698*100, "N/A")</f>
        <v>34.1600426</v>
      </c>
      <c r="J1698" s="1"/>
      <c r="K1698" s="1"/>
    </row>
    <row r="1699" ht="14.25" customHeight="1">
      <c r="A1699" s="1" t="s">
        <v>8515</v>
      </c>
      <c r="B1699" s="1">
        <v>2.8E7</v>
      </c>
      <c r="C1699" s="1">
        <v>5204007.0</v>
      </c>
      <c r="F1699" s="4">
        <v>-2.2795993E7</v>
      </c>
      <c r="G1699" s="4">
        <f t="array" ref="G1699">IFERROR((C1699-B1699)/C1699*100, "N/A")</f>
        <v>-438.0469319</v>
      </c>
      <c r="J1699" s="1"/>
      <c r="K1699" s="1"/>
    </row>
    <row r="1700" ht="14.25" customHeight="1">
      <c r="A1700" s="1" t="s">
        <v>8520</v>
      </c>
      <c r="B1700" s="1">
        <v>1.5E7</v>
      </c>
      <c r="C1700" s="1">
        <v>4485485.0</v>
      </c>
      <c r="F1700" s="4">
        <v>-1.0514515E7</v>
      </c>
      <c r="G1700" s="4">
        <f t="array" ref="G1700">IFERROR((C1700-B1700)/C1700*100, "N/A")</f>
        <v>-234.4119978</v>
      </c>
      <c r="J1700" s="1"/>
      <c r="K1700" s="1"/>
    </row>
    <row r="1701" ht="14.25" customHeight="1">
      <c r="A1701" s="1" t="s">
        <v>8524</v>
      </c>
      <c r="B1701" s="1">
        <v>2.7E7</v>
      </c>
      <c r="C1701" s="1">
        <v>4476235.0</v>
      </c>
      <c r="F1701" s="4">
        <v>-2.2523765E7</v>
      </c>
      <c r="G1701" s="4">
        <f t="array" ref="G1701">IFERROR((C1701-B1701)/C1701*100, "N/A")</f>
        <v>-503.1854896</v>
      </c>
      <c r="J1701" s="1"/>
      <c r="K1701" s="1"/>
    </row>
    <row r="1702" ht="14.25" customHeight="1">
      <c r="A1702" s="1" t="s">
        <v>8528</v>
      </c>
      <c r="B1702" s="1">
        <v>2.5E7</v>
      </c>
      <c r="C1702" s="1">
        <v>1089365.0</v>
      </c>
      <c r="F1702" s="4">
        <v>-2.3910635E7</v>
      </c>
      <c r="G1702" s="4">
        <f t="array" ref="G1702">IFERROR((C1702-B1702)/C1702*100, "N/A")</f>
        <v>-2194.914928</v>
      </c>
      <c r="J1702" s="1"/>
      <c r="K1702" s="1"/>
    </row>
    <row r="1703" ht="14.25" customHeight="1">
      <c r="A1703" s="1" t="s">
        <v>8531</v>
      </c>
      <c r="B1703" s="1">
        <v>2.3E7</v>
      </c>
      <c r="C1703" s="1">
        <v>763044.0</v>
      </c>
      <c r="F1703" s="4">
        <v>-2.2236956E7</v>
      </c>
      <c r="G1703" s="4">
        <f t="array" ref="G1703">IFERROR((C1703-B1703)/C1703*100, "N/A")</f>
        <v>-2914.242953</v>
      </c>
      <c r="J1703" s="1"/>
      <c r="K1703" s="1"/>
    </row>
    <row r="1704" ht="14.25" customHeight="1">
      <c r="A1704" s="1" t="s">
        <v>8535</v>
      </c>
      <c r="B1704" s="1">
        <v>2.6E7</v>
      </c>
      <c r="C1704" s="1">
        <v>2.0819129E7</v>
      </c>
      <c r="F1704" s="4">
        <v>-5180871.0</v>
      </c>
      <c r="G1704" s="4">
        <f t="array" ref="G1704">IFERROR((C1704-B1704)/C1704*100, "N/A")</f>
        <v>-24.88514769</v>
      </c>
      <c r="J1704" s="1"/>
      <c r="K1704" s="1"/>
    </row>
    <row r="1705" ht="14.25" customHeight="1">
      <c r="A1705" s="1" t="s">
        <v>8539</v>
      </c>
      <c r="B1705" s="1">
        <v>2.6E7</v>
      </c>
      <c r="C1705" s="1">
        <v>1.10222438E8</v>
      </c>
      <c r="F1705" s="4">
        <v>8.4222438E7</v>
      </c>
      <c r="G1705" s="4">
        <f t="array" ref="G1705">IFERROR((C1705-B1705)/C1705*100, "N/A")</f>
        <v>76.4113365</v>
      </c>
      <c r="J1705" s="1"/>
      <c r="K1705" s="1"/>
    </row>
    <row r="1706" ht="14.25" customHeight="1">
      <c r="A1706" s="1" t="s">
        <v>8544</v>
      </c>
      <c r="B1706" s="1">
        <v>2.6E7</v>
      </c>
      <c r="C1706" s="1">
        <v>1.09243478E8</v>
      </c>
      <c r="F1706" s="4">
        <v>8.3243478E7</v>
      </c>
      <c r="G1706" s="4">
        <f t="array" ref="G1706">IFERROR((C1706-B1706)/C1706*100, "N/A")</f>
        <v>76.19995218</v>
      </c>
      <c r="J1706" s="1"/>
      <c r="K1706" s="1"/>
    </row>
    <row r="1707" ht="14.25" customHeight="1">
      <c r="A1707" s="1" t="s">
        <v>8548</v>
      </c>
      <c r="B1707" s="1">
        <v>2.5E7</v>
      </c>
      <c r="C1707" s="1">
        <v>1.00241322E8</v>
      </c>
      <c r="F1707" s="4">
        <v>7.5241322E7</v>
      </c>
      <c r="G1707" s="4">
        <f t="array" ref="G1707">IFERROR((C1707-B1707)/C1707*100, "N/A")</f>
        <v>75.06018526</v>
      </c>
      <c r="J1707" s="1"/>
      <c r="K1707" s="1"/>
    </row>
    <row r="1708" ht="14.25" customHeight="1">
      <c r="A1708" s="1" t="s">
        <v>8554</v>
      </c>
      <c r="B1708" s="1">
        <v>2.8E7</v>
      </c>
      <c r="C1708" s="1">
        <v>2.5977365E7</v>
      </c>
      <c r="F1708" s="4">
        <v>-2022635.0</v>
      </c>
      <c r="G1708" s="4">
        <f t="array" ref="G1708">IFERROR((C1708-B1708)/C1708*100, "N/A")</f>
        <v>-7.786143822</v>
      </c>
      <c r="J1708" s="1"/>
      <c r="K1708" s="1"/>
    </row>
    <row r="1709" ht="14.25" customHeight="1">
      <c r="A1709" s="1" t="s">
        <v>8559</v>
      </c>
      <c r="B1709" s="1">
        <v>2.6E7</v>
      </c>
      <c r="C1709" s="1">
        <v>9.1457688E7</v>
      </c>
      <c r="F1709" s="4">
        <v>6.5457688E7</v>
      </c>
      <c r="G1709" s="4">
        <f t="array" ref="G1709">IFERROR((C1709-B1709)/C1709*100, "N/A")</f>
        <v>71.57155339</v>
      </c>
      <c r="J1709" s="1"/>
      <c r="K1709" s="1"/>
    </row>
    <row r="1710" ht="14.25" customHeight="1">
      <c r="A1710" s="1" t="s">
        <v>8562</v>
      </c>
      <c r="B1710" s="1">
        <v>2.7E7</v>
      </c>
      <c r="C1710" s="1">
        <v>8.734138E7</v>
      </c>
      <c r="F1710" s="4">
        <v>6.034138E7</v>
      </c>
      <c r="G1710" s="4">
        <f t="array" ref="G1710">IFERROR((C1710-B1710)/C1710*100, "N/A")</f>
        <v>69.08681773</v>
      </c>
      <c r="J1710" s="1"/>
      <c r="K1710" s="1"/>
    </row>
    <row r="1711" ht="14.25" customHeight="1">
      <c r="A1711" s="1" t="s">
        <v>8565</v>
      </c>
      <c r="B1711" s="1">
        <v>2.6E7</v>
      </c>
      <c r="C1711" s="1">
        <v>6.5703412E7</v>
      </c>
      <c r="F1711" s="4">
        <v>3.9703412E7</v>
      </c>
      <c r="G1711" s="4">
        <f t="array" ref="G1711">IFERROR((C1711-B1711)/C1711*100, "N/A")</f>
        <v>60.42823469</v>
      </c>
      <c r="J1711" s="1"/>
      <c r="K1711" s="1"/>
    </row>
    <row r="1712" ht="14.25" customHeight="1">
      <c r="A1712" s="1" t="s">
        <v>8569</v>
      </c>
      <c r="B1712" s="1">
        <v>2.2E7</v>
      </c>
      <c r="C1712" s="1">
        <v>5.832868E7</v>
      </c>
      <c r="F1712" s="4">
        <v>3.632868E7</v>
      </c>
      <c r="G1712" s="4">
        <f t="array" ref="G1712">IFERROR((C1712-B1712)/C1712*100, "N/A")</f>
        <v>62.28270552</v>
      </c>
      <c r="J1712" s="1"/>
      <c r="K1712" s="1"/>
    </row>
    <row r="1713" ht="14.25" customHeight="1">
      <c r="A1713" s="1" t="s">
        <v>8572</v>
      </c>
      <c r="B1713" s="1">
        <v>2.6E7</v>
      </c>
      <c r="C1713" s="1">
        <v>6.149E7</v>
      </c>
      <c r="F1713" s="4">
        <v>3.549E7</v>
      </c>
      <c r="G1713" s="4">
        <f t="array" ref="G1713">IFERROR((C1713-B1713)/C1713*100, "N/A")</f>
        <v>57.7167019</v>
      </c>
      <c r="J1713" s="1"/>
      <c r="K1713" s="1"/>
    </row>
    <row r="1714" ht="14.25" customHeight="1">
      <c r="A1714" s="1" t="s">
        <v>8575</v>
      </c>
      <c r="B1714" s="1">
        <v>2.6E7</v>
      </c>
      <c r="C1714" s="1">
        <v>5.08E7</v>
      </c>
      <c r="F1714" s="4">
        <v>2.48E7</v>
      </c>
      <c r="G1714" s="4">
        <f t="array" ref="G1714">IFERROR((C1714-B1714)/C1714*100, "N/A")</f>
        <v>48.81889764</v>
      </c>
      <c r="J1714" s="1"/>
      <c r="K1714" s="1"/>
    </row>
    <row r="1715" ht="14.25" customHeight="1">
      <c r="A1715" s="1" t="s">
        <v>8581</v>
      </c>
      <c r="B1715" s="1">
        <v>2.6E7</v>
      </c>
      <c r="C1715" s="1">
        <v>5.7859105E7</v>
      </c>
      <c r="F1715" s="4">
        <v>3.1859105E7</v>
      </c>
      <c r="G1715" s="4">
        <f t="array" ref="G1715">IFERROR((C1715-B1715)/C1715*100, "N/A")</f>
        <v>55.06325236</v>
      </c>
      <c r="J1715" s="1"/>
      <c r="K1715" s="1"/>
    </row>
    <row r="1716" ht="14.25" customHeight="1">
      <c r="A1716" s="1" t="s">
        <v>8587</v>
      </c>
      <c r="B1716" s="1">
        <v>2.6E7</v>
      </c>
      <c r="C1716" s="1">
        <v>4.6455802E7</v>
      </c>
      <c r="F1716" s="4">
        <v>2.0455802E7</v>
      </c>
      <c r="G1716" s="4">
        <f t="array" ref="G1716">IFERROR((C1716-B1716)/C1716*100, "N/A")</f>
        <v>44.03282501</v>
      </c>
      <c r="J1716" s="1"/>
      <c r="K1716" s="1"/>
    </row>
    <row r="1717" ht="14.25" customHeight="1">
      <c r="A1717" s="1" t="s">
        <v>8592</v>
      </c>
      <c r="B1717" s="1">
        <v>2.6E7</v>
      </c>
      <c r="C1717" s="1">
        <v>4.5506619E7</v>
      </c>
      <c r="F1717" s="4">
        <v>1.9506619E7</v>
      </c>
      <c r="G1717" s="4">
        <f t="array" ref="G1717">IFERROR((C1717-B1717)/C1717*100, "N/A")</f>
        <v>42.86545436</v>
      </c>
      <c r="J1717" s="1"/>
      <c r="K1717" s="1"/>
    </row>
    <row r="1718" ht="14.25" customHeight="1">
      <c r="A1718" s="1" t="s">
        <v>8596</v>
      </c>
      <c r="B1718" s="1">
        <v>2.6E7</v>
      </c>
      <c r="C1718" s="1">
        <v>4.016808E7</v>
      </c>
      <c r="F1718" s="4">
        <v>1.416808E7</v>
      </c>
      <c r="G1718" s="4">
        <f t="array" ref="G1718">IFERROR((C1718-B1718)/C1718*100, "N/A")</f>
        <v>35.27198711</v>
      </c>
      <c r="J1718" s="1"/>
      <c r="K1718" s="1"/>
    </row>
    <row r="1719" ht="14.25" customHeight="1">
      <c r="A1719" s="1" t="s">
        <v>8600</v>
      </c>
      <c r="B1719" s="1">
        <v>2.6E7</v>
      </c>
      <c r="C1719" s="1">
        <v>4.9874933E7</v>
      </c>
      <c r="F1719" s="4">
        <v>2.3874933E7</v>
      </c>
      <c r="G1719" s="4">
        <f t="array" ref="G1719">IFERROR((C1719-B1719)/C1719*100, "N/A")</f>
        <v>47.86960416</v>
      </c>
      <c r="J1719" s="1"/>
      <c r="K1719" s="1"/>
    </row>
    <row r="1720" ht="14.25" customHeight="1">
      <c r="A1720" s="1" t="s">
        <v>8604</v>
      </c>
      <c r="B1720" s="1">
        <v>2.6E7</v>
      </c>
      <c r="C1720" s="1">
        <v>4.5489752E7</v>
      </c>
      <c r="F1720" s="4">
        <v>1.9489752E7</v>
      </c>
      <c r="G1720" s="4">
        <f t="array" ref="G1720">IFERROR((C1720-B1720)/C1720*100, "N/A")</f>
        <v>42.84426963</v>
      </c>
      <c r="J1720" s="1"/>
      <c r="K1720" s="1"/>
    </row>
    <row r="1721" ht="14.25" customHeight="1">
      <c r="A1721" s="1" t="s">
        <v>8607</v>
      </c>
      <c r="B1721" s="1">
        <v>2.6E7</v>
      </c>
      <c r="C1721" s="1">
        <v>3.6985501E7</v>
      </c>
      <c r="F1721" s="4">
        <v>1.0985501E7</v>
      </c>
      <c r="G1721" s="4">
        <f t="array" ref="G1721">IFERROR((C1721-B1721)/C1721*100, "N/A")</f>
        <v>29.70218248</v>
      </c>
      <c r="J1721" s="1"/>
      <c r="K1721" s="1"/>
    </row>
    <row r="1722" ht="14.25" customHeight="1">
      <c r="A1722" s="1" t="s">
        <v>8613</v>
      </c>
      <c r="B1722" s="1">
        <v>2.6E7</v>
      </c>
      <c r="C1722" s="1">
        <v>3.32E7</v>
      </c>
      <c r="F1722" s="4">
        <v>7200000.0</v>
      </c>
      <c r="G1722" s="4">
        <f t="array" ref="G1722">IFERROR((C1722-B1722)/C1722*100, "N/A")</f>
        <v>21.68674699</v>
      </c>
      <c r="J1722" s="1"/>
      <c r="K1722" s="1"/>
    </row>
    <row r="1723" ht="14.25" customHeight="1">
      <c r="A1723" s="1" t="s">
        <v>8619</v>
      </c>
      <c r="B1723" s="1">
        <v>2.6E7</v>
      </c>
      <c r="C1723" s="1">
        <v>2.8501651E7</v>
      </c>
      <c r="F1723" s="4">
        <v>2501651.0</v>
      </c>
      <c r="G1723" s="4">
        <f t="array" ref="G1723">IFERROR((C1723-B1723)/C1723*100, "N/A")</f>
        <v>8.777214345</v>
      </c>
      <c r="J1723" s="1"/>
      <c r="K1723" s="1"/>
    </row>
    <row r="1724" ht="14.25" customHeight="1">
      <c r="A1724" s="1" t="s">
        <v>8623</v>
      </c>
      <c r="B1724" s="1">
        <v>2.6E7</v>
      </c>
      <c r="C1724" s="1">
        <v>2.3222861E7</v>
      </c>
      <c r="F1724" s="4">
        <v>-2777139.0</v>
      </c>
      <c r="G1724" s="4">
        <f t="array" ref="G1724">IFERROR((C1724-B1724)/C1724*100, "N/A")</f>
        <v>-11.95864282</v>
      </c>
      <c r="J1724" s="1"/>
      <c r="K1724" s="1"/>
    </row>
    <row r="1725" ht="14.25" customHeight="1">
      <c r="A1725" s="1" t="s">
        <v>8628</v>
      </c>
      <c r="B1725" s="1">
        <v>5.6E7</v>
      </c>
      <c r="C1725" s="1">
        <v>5.4540525E7</v>
      </c>
      <c r="F1725" s="4">
        <v>-1459475.0</v>
      </c>
      <c r="G1725" s="4">
        <f t="array" ref="G1725">IFERROR((C1725-B1725)/C1725*100, "N/A")</f>
        <v>-2.675946005</v>
      </c>
      <c r="J1725" s="1"/>
      <c r="K1725" s="1"/>
    </row>
    <row r="1726" ht="14.25" customHeight="1">
      <c r="A1726" s="1" t="s">
        <v>8633</v>
      </c>
      <c r="B1726" s="1">
        <v>4.2E7</v>
      </c>
      <c r="C1726" s="1">
        <v>1.6252765E7</v>
      </c>
      <c r="F1726" s="4">
        <v>-2.5747235E7</v>
      </c>
      <c r="G1726" s="4">
        <f t="array" ref="G1726">IFERROR((C1726-B1726)/C1726*100, "N/A")</f>
        <v>-158.4175677</v>
      </c>
      <c r="J1726" s="1"/>
      <c r="K1726" s="1"/>
    </row>
    <row r="1727" ht="14.25" customHeight="1">
      <c r="A1727" s="1" t="s">
        <v>8638</v>
      </c>
      <c r="B1727" s="1">
        <v>2.6E7</v>
      </c>
      <c r="C1727" s="1">
        <v>1.6005978E7</v>
      </c>
      <c r="F1727" s="4">
        <v>-9994022.0</v>
      </c>
      <c r="G1727" s="4">
        <f t="array" ref="G1727">IFERROR((C1727-B1727)/C1727*100, "N/A")</f>
        <v>-62.43930861</v>
      </c>
      <c r="J1727" s="1"/>
      <c r="K1727" s="1"/>
    </row>
    <row r="1728" ht="14.25" customHeight="1">
      <c r="A1728" s="1" t="s">
        <v>8643</v>
      </c>
      <c r="B1728" s="1">
        <v>2.6E7</v>
      </c>
      <c r="C1728" s="1">
        <v>1.4469428E7</v>
      </c>
      <c r="F1728" s="4">
        <v>-1.1530572E7</v>
      </c>
      <c r="G1728" s="4">
        <f t="array" ref="G1728">IFERROR((C1728-B1728)/C1728*100, "N/A")</f>
        <v>-79.68920402</v>
      </c>
      <c r="J1728" s="1"/>
      <c r="K1728" s="1"/>
    </row>
    <row r="1729" ht="14.25" customHeight="1">
      <c r="A1729" s="1" t="s">
        <v>8647</v>
      </c>
      <c r="B1729" s="1">
        <v>2.6E7</v>
      </c>
      <c r="C1729" s="1">
        <v>1.3829734E7</v>
      </c>
      <c r="F1729" s="4">
        <v>-1.2170266E7</v>
      </c>
      <c r="G1729" s="4">
        <f t="array" ref="G1729">IFERROR((C1729-B1729)/C1729*100, "N/A")</f>
        <v>-88.00072366</v>
      </c>
      <c r="J1729" s="1"/>
      <c r="K1729" s="1"/>
    </row>
    <row r="1730" ht="14.25" customHeight="1">
      <c r="A1730" s="1" t="s">
        <v>8653</v>
      </c>
      <c r="B1730" s="1">
        <v>2.2E7</v>
      </c>
      <c r="C1730" s="1">
        <v>1075288.0</v>
      </c>
      <c r="F1730" s="4">
        <v>-2.0924712E7</v>
      </c>
      <c r="G1730" s="4">
        <f t="array" ref="G1730">IFERROR((C1730-B1730)/C1730*100, "N/A")</f>
        <v>-1945.9635</v>
      </c>
      <c r="J1730" s="1"/>
      <c r="K1730" s="1"/>
    </row>
    <row r="1731" ht="14.25" customHeight="1">
      <c r="A1731" s="1" t="s">
        <v>8656</v>
      </c>
      <c r="B1731" s="1">
        <v>2.6E7</v>
      </c>
      <c r="C1731" s="1">
        <v>7496522.0</v>
      </c>
      <c r="F1731" s="4">
        <v>-1.8503478E7</v>
      </c>
      <c r="G1731" s="4">
        <f t="array" ref="G1731">IFERROR((C1731-B1731)/C1731*100, "N/A")</f>
        <v>-246.8275021</v>
      </c>
      <c r="J1731" s="1"/>
      <c r="K1731" s="1"/>
    </row>
    <row r="1732" ht="14.25" customHeight="1">
      <c r="A1732" s="1" t="s">
        <v>8661</v>
      </c>
      <c r="B1732" s="1">
        <v>2.553E7</v>
      </c>
      <c r="C1732" s="1">
        <v>2.0047715E7</v>
      </c>
      <c r="F1732" s="4">
        <v>-5482285.0</v>
      </c>
      <c r="G1732" s="4">
        <f t="array" ref="G1732">IFERROR((C1732-B1732)/C1732*100, "N/A")</f>
        <v>-27.34618384</v>
      </c>
      <c r="J1732" s="1"/>
      <c r="K1732" s="1"/>
    </row>
    <row r="1733" ht="14.25" customHeight="1">
      <c r="A1733" s="1" t="s">
        <v>8668</v>
      </c>
      <c r="B1733" s="1">
        <v>2.6E7</v>
      </c>
      <c r="C1733" s="1">
        <v>1.227681E7</v>
      </c>
      <c r="F1733" s="4">
        <v>-1.372319E7</v>
      </c>
      <c r="G1733" s="4">
        <f t="array" ref="G1733">IFERROR((C1733-B1733)/C1733*100, "N/A")</f>
        <v>-111.7813992</v>
      </c>
      <c r="J1733" s="1"/>
      <c r="K1733" s="1"/>
    </row>
    <row r="1734" ht="14.25" customHeight="1">
      <c r="A1734" s="1" t="s">
        <v>8673</v>
      </c>
      <c r="B1734" s="1">
        <v>1.5E7</v>
      </c>
      <c r="C1734" s="1">
        <v>3.3565375E7</v>
      </c>
      <c r="F1734" s="4">
        <v>1.8565375E7</v>
      </c>
      <c r="G1734" s="4">
        <f t="array" ref="G1734">IFERROR((C1734-B1734)/C1734*100, "N/A")</f>
        <v>55.31109067</v>
      </c>
      <c r="J1734" s="1"/>
      <c r="K1734" s="1"/>
    </row>
    <row r="1735" ht="14.25" customHeight="1">
      <c r="A1735" s="1" t="s">
        <v>8677</v>
      </c>
      <c r="B1735" s="1">
        <v>3.0E7</v>
      </c>
      <c r="C1735" s="1">
        <v>499263.0</v>
      </c>
      <c r="F1735" s="4">
        <v>-2.9500737E7</v>
      </c>
      <c r="G1735" s="4">
        <f t="array" ref="G1735">IFERROR((C1735-B1735)/C1735*100, "N/A")</f>
        <v>-5908.857055</v>
      </c>
      <c r="J1735" s="1"/>
      <c r="K1735" s="1"/>
    </row>
    <row r="1736" ht="14.25" customHeight="1">
      <c r="A1736" s="1" t="s">
        <v>8684</v>
      </c>
      <c r="B1736" s="1">
        <v>2.5E7</v>
      </c>
      <c r="C1736" s="1">
        <v>2.192E8</v>
      </c>
      <c r="F1736" s="4">
        <v>1.942E8</v>
      </c>
      <c r="G1736" s="4">
        <f t="array" ref="G1736">IFERROR((C1736-B1736)/C1736*100, "N/A")</f>
        <v>88.59489051</v>
      </c>
      <c r="J1736" s="1"/>
      <c r="K1736" s="1"/>
    </row>
    <row r="1737" ht="14.25" customHeight="1">
      <c r="A1737" s="1" t="s">
        <v>8689</v>
      </c>
      <c r="B1737" s="1">
        <v>2.5E7</v>
      </c>
      <c r="C1737" s="1">
        <v>1.72825435E8</v>
      </c>
      <c r="F1737" s="4">
        <v>1.47825435E8</v>
      </c>
      <c r="G1737" s="4">
        <f t="array" ref="G1737">IFERROR((C1737-B1737)/C1737*100, "N/A")</f>
        <v>85.53453663</v>
      </c>
      <c r="J1737" s="1"/>
      <c r="K1737" s="1"/>
    </row>
    <row r="1738" ht="14.25" customHeight="1">
      <c r="A1738" s="1" t="s">
        <v>8692</v>
      </c>
      <c r="B1738" s="1">
        <v>3.3E7</v>
      </c>
      <c r="C1738" s="1">
        <v>1.48085755E8</v>
      </c>
      <c r="F1738" s="4">
        <v>1.15085755E8</v>
      </c>
      <c r="G1738" s="4">
        <f t="array" ref="G1738">IFERROR((C1738-B1738)/C1738*100, "N/A")</f>
        <v>77.71561485</v>
      </c>
      <c r="J1738" s="1"/>
      <c r="K1738" s="1"/>
    </row>
    <row r="1739" ht="14.25" customHeight="1">
      <c r="A1739" s="1" t="s">
        <v>8697</v>
      </c>
      <c r="B1739" s="1">
        <v>2.51E7</v>
      </c>
      <c r="C1739" s="1">
        <v>2.55175E7</v>
      </c>
      <c r="F1739" s="4">
        <v>417500.0</v>
      </c>
      <c r="G1739" s="4">
        <f t="array" ref="G1739">IFERROR((C1739-B1739)/C1739*100, "N/A")</f>
        <v>1.636132066</v>
      </c>
      <c r="J1739" s="1"/>
      <c r="K1739" s="1"/>
    </row>
    <row r="1740" ht="14.25" customHeight="1">
      <c r="A1740" s="1" t="s">
        <v>8700</v>
      </c>
      <c r="B1740" s="1">
        <v>2.5E7</v>
      </c>
      <c r="C1740" s="1">
        <v>1.45000989E8</v>
      </c>
      <c r="F1740" s="4">
        <v>1.20000989E8</v>
      </c>
      <c r="G1740" s="4">
        <f t="array" ref="G1740">IFERROR((C1740-B1740)/C1740*100, "N/A")</f>
        <v>82.75873829</v>
      </c>
      <c r="J1740" s="1"/>
      <c r="K1740" s="1"/>
    </row>
    <row r="1741" ht="14.25" customHeight="1">
      <c r="A1741" s="1" t="s">
        <v>8704</v>
      </c>
      <c r="B1741" s="1">
        <v>2.6E7</v>
      </c>
      <c r="C1741" s="1">
        <v>2.6761283E7</v>
      </c>
      <c r="F1741" s="4">
        <v>761283.0</v>
      </c>
      <c r="G1741" s="4">
        <f t="array" ref="G1741">IFERROR((C1741-B1741)/C1741*100, "N/A")</f>
        <v>2.844717871</v>
      </c>
      <c r="J1741" s="1"/>
      <c r="K1741" s="1"/>
    </row>
    <row r="1742" ht="14.25" customHeight="1">
      <c r="A1742" s="1" t="s">
        <v>8708</v>
      </c>
      <c r="B1742" s="1">
        <v>2.5E7</v>
      </c>
      <c r="C1742" s="1">
        <v>1.2194572E8</v>
      </c>
      <c r="F1742" s="4">
        <v>9.694572E7</v>
      </c>
      <c r="G1742" s="4">
        <f t="array" ref="G1742">IFERROR((C1742-B1742)/C1742*100, "N/A")</f>
        <v>79.49907549</v>
      </c>
      <c r="J1742" s="1"/>
      <c r="K1742" s="1"/>
    </row>
    <row r="1743" ht="14.25" customHeight="1">
      <c r="A1743" s="1" t="s">
        <v>8713</v>
      </c>
      <c r="B1743" s="1">
        <v>2.2E7</v>
      </c>
      <c r="C1743" s="1">
        <v>9.6067179E7</v>
      </c>
      <c r="F1743" s="4">
        <v>7.4067179E7</v>
      </c>
      <c r="G1743" s="4">
        <f t="array" ref="G1743">IFERROR((C1743-B1743)/C1743*100, "N/A")</f>
        <v>77.09935877</v>
      </c>
      <c r="J1743" s="1"/>
      <c r="K1743" s="1"/>
    </row>
    <row r="1744" ht="14.25" customHeight="1">
      <c r="A1744" s="1" t="s">
        <v>8718</v>
      </c>
      <c r="B1744" s="1">
        <v>2.5E7</v>
      </c>
      <c r="C1744" s="1">
        <v>1.69705587E8</v>
      </c>
      <c r="F1744" s="4">
        <v>1.44705587E8</v>
      </c>
      <c r="G1744" s="4">
        <f t="array" ref="G1744">IFERROR((C1744-B1744)/C1744*100, "N/A")</f>
        <v>85.26860521</v>
      </c>
      <c r="J1744" s="1"/>
      <c r="K1744" s="1"/>
    </row>
    <row r="1745" ht="14.25" customHeight="1">
      <c r="A1745" s="1" t="s">
        <v>8721</v>
      </c>
      <c r="B1745" s="1">
        <v>2.8E7</v>
      </c>
      <c r="C1745" s="1">
        <v>3254172.0</v>
      </c>
      <c r="F1745" s="4">
        <v>-2.4745828E7</v>
      </c>
      <c r="G1745" s="4">
        <f t="array" ref="G1745">IFERROR((C1745-B1745)/C1745*100, "N/A")</f>
        <v>-760.4339291</v>
      </c>
      <c r="J1745" s="1"/>
      <c r="K1745" s="1"/>
    </row>
    <row r="1746" ht="14.25" customHeight="1">
      <c r="A1746" s="1" t="s">
        <v>8725</v>
      </c>
      <c r="B1746" s="1">
        <v>8.0E7</v>
      </c>
      <c r="C1746" s="1">
        <v>8.4185387E7</v>
      </c>
      <c r="F1746" s="4">
        <v>4185387.0</v>
      </c>
      <c r="G1746" s="4">
        <f t="array" ref="G1746">IFERROR((C1746-B1746)/C1746*100, "N/A")</f>
        <v>4.97163124</v>
      </c>
      <c r="J1746" s="1"/>
      <c r="K1746" s="1"/>
    </row>
    <row r="1747" ht="14.25" customHeight="1">
      <c r="A1747" s="1" t="s">
        <v>8729</v>
      </c>
      <c r="B1747" s="1">
        <v>3.0E7</v>
      </c>
      <c r="C1747" s="1">
        <v>8.2163317E7</v>
      </c>
      <c r="F1747" s="4">
        <v>5.2163317E7</v>
      </c>
      <c r="G1747" s="4">
        <f t="array" ref="G1747">IFERROR((C1747-B1747)/C1747*100, "N/A")</f>
        <v>63.48735531</v>
      </c>
      <c r="J1747" s="1"/>
      <c r="K1747" s="1"/>
    </row>
    <row r="1748" ht="14.25" customHeight="1">
      <c r="A1748" s="1" t="s">
        <v>8734</v>
      </c>
      <c r="B1748" s="1">
        <v>3.0E7</v>
      </c>
      <c r="C1748" s="1">
        <v>8.0920948E7</v>
      </c>
      <c r="F1748" s="4">
        <v>5.0920948E7</v>
      </c>
      <c r="G1748" s="4">
        <f t="array" ref="G1748">IFERROR((C1748-B1748)/C1748*100, "N/A")</f>
        <v>62.92678133</v>
      </c>
      <c r="J1748" s="1"/>
      <c r="K1748" s="1"/>
    </row>
    <row r="1749" ht="14.25" customHeight="1">
      <c r="A1749" s="1" t="s">
        <v>8737</v>
      </c>
      <c r="B1749" s="1">
        <v>2.5E7</v>
      </c>
      <c r="C1749" s="1">
        <v>8.0034302E7</v>
      </c>
      <c r="F1749" s="4">
        <v>5.5034302E7</v>
      </c>
      <c r="G1749" s="4">
        <f t="array" ref="G1749">IFERROR((C1749-B1749)/C1749*100, "N/A")</f>
        <v>68.76339348</v>
      </c>
      <c r="J1749" s="1"/>
      <c r="K1749" s="1"/>
    </row>
    <row r="1750" ht="14.25" customHeight="1">
      <c r="A1750" s="1" t="s">
        <v>8743</v>
      </c>
      <c r="B1750" s="1">
        <v>2.5E7</v>
      </c>
      <c r="C1750" s="1">
        <v>7.8656813E7</v>
      </c>
      <c r="F1750" s="4">
        <v>5.3656813E7</v>
      </c>
      <c r="G1750" s="4">
        <f t="array" ref="G1750">IFERROR((C1750-B1750)/C1750*100, "N/A")</f>
        <v>68.21635781</v>
      </c>
      <c r="J1750" s="1"/>
      <c r="K1750" s="1"/>
    </row>
    <row r="1751" ht="14.25" customHeight="1">
      <c r="A1751" s="1" t="s">
        <v>8749</v>
      </c>
      <c r="B1751" s="1">
        <v>2.5E7</v>
      </c>
      <c r="C1751" s="1">
        <v>7.6270454E7</v>
      </c>
      <c r="F1751" s="4">
        <v>5.1270454E7</v>
      </c>
      <c r="G1751" s="4">
        <f t="array" ref="G1751">IFERROR((C1751-B1751)/C1751*100, "N/A")</f>
        <v>67.22190745</v>
      </c>
      <c r="J1751" s="1"/>
      <c r="K1751" s="1"/>
    </row>
    <row r="1752" ht="14.25" customHeight="1">
      <c r="A1752" s="1" t="s">
        <v>8753</v>
      </c>
      <c r="B1752" s="1">
        <v>2.5E7</v>
      </c>
      <c r="C1752" s="1">
        <v>7.4273505E7</v>
      </c>
      <c r="F1752" s="4">
        <v>4.9273505E7</v>
      </c>
      <c r="G1752" s="4">
        <f t="array" ref="G1752">IFERROR((C1752-B1752)/C1752*100, "N/A")</f>
        <v>66.34062173</v>
      </c>
      <c r="J1752" s="1"/>
      <c r="K1752" s="1"/>
    </row>
    <row r="1753" ht="14.25" customHeight="1">
      <c r="A1753" s="1" t="s">
        <v>8757</v>
      </c>
      <c r="B1753" s="1">
        <v>2.5E7</v>
      </c>
      <c r="C1753" s="1">
        <v>1.3414153E8</v>
      </c>
      <c r="F1753" s="4">
        <v>1.0914153E8</v>
      </c>
      <c r="G1753" s="4">
        <f t="array" ref="G1753">IFERROR((C1753-B1753)/C1753*100, "N/A")</f>
        <v>81.3629679</v>
      </c>
      <c r="J1753" s="1"/>
      <c r="K1753" s="1"/>
    </row>
    <row r="1754" ht="14.25" customHeight="1">
      <c r="A1754" s="1" t="s">
        <v>8762</v>
      </c>
      <c r="B1754" s="1">
        <v>2.6E7</v>
      </c>
      <c r="C1754" s="1">
        <v>7.1500556E7</v>
      </c>
      <c r="F1754" s="4">
        <v>4.5500556E7</v>
      </c>
      <c r="G1754" s="4">
        <f t="array" ref="G1754">IFERROR((C1754-B1754)/C1754*100, "N/A")</f>
        <v>63.63664641</v>
      </c>
      <c r="J1754" s="1"/>
      <c r="K1754" s="1"/>
    </row>
    <row r="1755" ht="14.25" customHeight="1">
      <c r="A1755" s="1" t="s">
        <v>8765</v>
      </c>
      <c r="B1755" s="1">
        <v>2.5E7</v>
      </c>
      <c r="C1755" s="1">
        <v>7.130976E7</v>
      </c>
      <c r="F1755" s="4">
        <v>4.630976E7</v>
      </c>
      <c r="G1755" s="4">
        <f t="array" ref="G1755">IFERROR((C1755-B1755)/C1755*100, "N/A")</f>
        <v>64.9416854</v>
      </c>
      <c r="J1755" s="1"/>
      <c r="K1755" s="1"/>
    </row>
    <row r="1756" ht="14.25" customHeight="1">
      <c r="A1756" s="1" t="s">
        <v>8771</v>
      </c>
      <c r="B1756" s="1">
        <v>4.5E7</v>
      </c>
      <c r="C1756" s="1">
        <v>8.9808372E7</v>
      </c>
      <c r="F1756" s="4">
        <v>4.4808372E7</v>
      </c>
      <c r="G1756" s="4">
        <f t="array" ref="G1756">IFERROR((C1756-B1756)/C1756*100, "N/A")</f>
        <v>49.89331284</v>
      </c>
      <c r="J1756" s="1"/>
      <c r="K1756" s="1"/>
    </row>
    <row r="1757" ht="14.25" customHeight="1">
      <c r="A1757" s="1" t="s">
        <v>8775</v>
      </c>
      <c r="B1757" s="1">
        <v>2.5E7</v>
      </c>
      <c r="C1757" s="1">
        <v>7.7264926E7</v>
      </c>
      <c r="F1757" s="4">
        <v>5.2264926E7</v>
      </c>
      <c r="G1757" s="4">
        <f t="array" ref="G1757">IFERROR((C1757-B1757)/C1757*100, "N/A")</f>
        <v>67.64379222</v>
      </c>
      <c r="J1757" s="1"/>
      <c r="K1757" s="1"/>
    </row>
    <row r="1758" ht="14.25" customHeight="1">
      <c r="A1758" s="1" t="s">
        <v>8779</v>
      </c>
      <c r="B1758" s="1">
        <v>2.5E7</v>
      </c>
      <c r="C1758" s="1">
        <v>7.0625986E7</v>
      </c>
      <c r="F1758" s="4">
        <v>4.5625986E7</v>
      </c>
      <c r="G1758" s="4">
        <f t="array" ref="G1758">IFERROR((C1758-B1758)/C1758*100, "N/A")</f>
        <v>64.6022641</v>
      </c>
      <c r="J1758" s="1"/>
      <c r="K1758" s="1"/>
    </row>
    <row r="1759" ht="14.25" customHeight="1">
      <c r="A1759" s="1" t="s">
        <v>8783</v>
      </c>
      <c r="B1759" s="1">
        <v>2.5E7</v>
      </c>
      <c r="C1759" s="1">
        <v>5.6505065E7</v>
      </c>
      <c r="F1759" s="4">
        <v>3.1505065E7</v>
      </c>
      <c r="G1759" s="4">
        <f t="array" ref="G1759">IFERROR((C1759-B1759)/C1759*100, "N/A")</f>
        <v>55.75617867</v>
      </c>
      <c r="J1759" s="1"/>
      <c r="K1759" s="1"/>
    </row>
    <row r="1760" ht="14.25" customHeight="1">
      <c r="A1760" s="1" t="s">
        <v>8788</v>
      </c>
      <c r="B1760" s="1">
        <v>2.5E7</v>
      </c>
      <c r="C1760" s="1">
        <v>5.5973336E7</v>
      </c>
      <c r="F1760" s="4">
        <v>3.0973336E7</v>
      </c>
      <c r="G1760" s="4">
        <f t="array" ref="G1760">IFERROR((C1760-B1760)/C1760*100, "N/A")</f>
        <v>55.33587635</v>
      </c>
      <c r="J1760" s="1"/>
      <c r="K1760" s="1"/>
    </row>
    <row r="1761" ht="14.25" customHeight="1">
      <c r="A1761" s="1" t="s">
        <v>8791</v>
      </c>
      <c r="B1761" s="1">
        <v>2.5E7</v>
      </c>
      <c r="C1761" s="1">
        <v>5.4098051E7</v>
      </c>
      <c r="F1761" s="4">
        <v>2.9098051E7</v>
      </c>
      <c r="G1761" s="4">
        <f t="array" ref="G1761">IFERROR((C1761-B1761)/C1761*100, "N/A")</f>
        <v>53.78761427</v>
      </c>
      <c r="J1761" s="1"/>
      <c r="K1761" s="1"/>
    </row>
    <row r="1762" ht="14.25" customHeight="1">
      <c r="A1762" s="1" t="s">
        <v>8796</v>
      </c>
      <c r="B1762" s="1">
        <v>2.5E7</v>
      </c>
      <c r="C1762" s="1">
        <v>6.0443237E7</v>
      </c>
      <c r="F1762" s="4">
        <v>3.5443237E7</v>
      </c>
      <c r="G1762" s="4">
        <f t="array" ref="G1762">IFERROR((C1762-B1762)/C1762*100, "N/A")</f>
        <v>58.63887965</v>
      </c>
      <c r="J1762" s="1"/>
      <c r="K1762" s="1"/>
    </row>
    <row r="1763" ht="14.25" customHeight="1">
      <c r="A1763" s="1" t="s">
        <v>8802</v>
      </c>
      <c r="B1763" s="1">
        <v>1.7E7</v>
      </c>
      <c r="C1763" s="1">
        <v>8.2234139E7</v>
      </c>
      <c r="F1763" s="4">
        <v>6.5234139E7</v>
      </c>
      <c r="G1763" s="4">
        <f t="array" ref="G1763">IFERROR((C1763-B1763)/C1763*100, "N/A")</f>
        <v>79.32732049</v>
      </c>
      <c r="J1763" s="1"/>
      <c r="K1763" s="1"/>
    </row>
    <row r="1764" ht="14.25" customHeight="1">
      <c r="A1764" s="1" t="s">
        <v>8805</v>
      </c>
      <c r="B1764" s="1">
        <v>2.5E7</v>
      </c>
      <c r="C1764" s="1">
        <v>5.1676606E7</v>
      </c>
      <c r="F1764" s="4">
        <v>2.6676606E7</v>
      </c>
      <c r="G1764" s="4">
        <f t="array" ref="G1764">IFERROR((C1764-B1764)/C1764*100, "N/A")</f>
        <v>51.62220986</v>
      </c>
      <c r="J1764" s="1"/>
      <c r="K1764" s="1"/>
    </row>
    <row r="1765" ht="14.25" customHeight="1">
      <c r="A1765" s="1" t="s">
        <v>8810</v>
      </c>
      <c r="B1765" s="1">
        <v>2.5E7</v>
      </c>
      <c r="C1765" s="1">
        <v>5.252833E7</v>
      </c>
      <c r="F1765" s="4">
        <v>2.752833E7</v>
      </c>
      <c r="G1765" s="4">
        <f t="array" ref="G1765">IFERROR((C1765-B1765)/C1765*100, "N/A")</f>
        <v>52.40663467</v>
      </c>
      <c r="J1765" s="1"/>
      <c r="K1765" s="1"/>
    </row>
    <row r="1766" ht="14.25" customHeight="1">
      <c r="A1766" s="1" t="s">
        <v>8815</v>
      </c>
      <c r="B1766" s="1">
        <v>2.5E7</v>
      </c>
      <c r="C1766" s="1">
        <v>5.1533608E7</v>
      </c>
      <c r="F1766" s="4">
        <v>2.6533608E7</v>
      </c>
      <c r="G1766" s="4">
        <f t="array" ref="G1766">IFERROR((C1766-B1766)/C1766*100, "N/A")</f>
        <v>51.48796878</v>
      </c>
      <c r="J1766" s="1"/>
      <c r="K1766" s="1"/>
    </row>
    <row r="1767" ht="14.25" customHeight="1">
      <c r="A1767" s="1" t="s">
        <v>8819</v>
      </c>
      <c r="B1767" s="1">
        <v>3.0E7</v>
      </c>
      <c r="C1767" s="1">
        <v>5.1097664E7</v>
      </c>
      <c r="F1767" s="4">
        <v>2.1097664E7</v>
      </c>
      <c r="G1767" s="4">
        <f t="array" ref="G1767">IFERROR((C1767-B1767)/C1767*100, "N/A")</f>
        <v>41.28890119</v>
      </c>
      <c r="J1767" s="1"/>
      <c r="K1767" s="1"/>
    </row>
    <row r="1768" ht="14.25" customHeight="1">
      <c r="A1768" s="1" t="s">
        <v>8822</v>
      </c>
      <c r="B1768" s="1">
        <v>2.6E7</v>
      </c>
      <c r="C1768" s="1">
        <v>8.4136909E7</v>
      </c>
      <c r="F1768" s="4">
        <v>5.8136909E7</v>
      </c>
      <c r="G1768" s="4">
        <f t="array" ref="G1768">IFERROR((C1768-B1768)/C1768*100, "N/A")</f>
        <v>69.09798528</v>
      </c>
      <c r="J1768" s="1"/>
      <c r="K1768" s="1"/>
    </row>
    <row r="1769" ht="14.25" customHeight="1">
      <c r="A1769" s="1" t="s">
        <v>8826</v>
      </c>
      <c r="B1769" s="1">
        <v>2.5E7</v>
      </c>
      <c r="C1769" s="1">
        <v>4.6836394E7</v>
      </c>
      <c r="F1769" s="4">
        <v>2.1836394E7</v>
      </c>
      <c r="G1769" s="4">
        <f t="array" ref="G1769">IFERROR((C1769-B1769)/C1769*100, "N/A")</f>
        <v>46.62270541</v>
      </c>
      <c r="J1769" s="1"/>
      <c r="K1769" s="1"/>
    </row>
    <row r="1770" ht="14.25" customHeight="1">
      <c r="A1770" s="1" t="s">
        <v>8829</v>
      </c>
      <c r="B1770" s="1">
        <v>2.6E7</v>
      </c>
      <c r="C1770" s="1">
        <v>4.7285499E7</v>
      </c>
      <c r="F1770" s="4">
        <v>2.1285499E7</v>
      </c>
      <c r="G1770" s="4">
        <f t="array" ref="G1770">IFERROR((C1770-B1770)/C1770*100, "N/A")</f>
        <v>45.0148554</v>
      </c>
      <c r="J1770" s="1"/>
      <c r="K1770" s="1"/>
    </row>
    <row r="1771" ht="14.25" customHeight="1">
      <c r="A1771" s="1" t="s">
        <v>8834</v>
      </c>
      <c r="B1771" s="1">
        <v>2.5E7</v>
      </c>
      <c r="C1771" s="1">
        <v>4.71244E7</v>
      </c>
      <c r="F1771" s="4">
        <v>2.21244E7</v>
      </c>
      <c r="G1771" s="4">
        <f t="array" ref="G1771">IFERROR((C1771-B1771)/C1771*100, "N/A")</f>
        <v>46.94892667</v>
      </c>
      <c r="J1771" s="1"/>
      <c r="K1771" s="1"/>
    </row>
    <row r="1772" ht="14.25" customHeight="1">
      <c r="A1772" s="1" t="s">
        <v>8837</v>
      </c>
      <c r="B1772" s="1">
        <v>2.5E7</v>
      </c>
      <c r="C1772" s="1">
        <v>4.47E7</v>
      </c>
      <c r="F1772" s="4">
        <v>1.97E7</v>
      </c>
      <c r="G1772" s="4">
        <f t="array" ref="G1772">IFERROR((C1772-B1772)/C1772*100, "N/A")</f>
        <v>44.07158837</v>
      </c>
      <c r="J1772" s="1"/>
      <c r="K1772" s="1"/>
    </row>
    <row r="1773" ht="14.25" customHeight="1">
      <c r="A1773" s="1" t="s">
        <v>8840</v>
      </c>
      <c r="B1773" s="1">
        <v>2.5E7</v>
      </c>
      <c r="C1773" s="1">
        <v>4.4455658E7</v>
      </c>
      <c r="F1773" s="4">
        <v>1.9455658E7</v>
      </c>
      <c r="G1773" s="4">
        <f t="array" ref="G1773">IFERROR((C1773-B1773)/C1773*100, "N/A")</f>
        <v>43.76418858</v>
      </c>
      <c r="J1773" s="1"/>
      <c r="K1773" s="1"/>
    </row>
    <row r="1774" ht="14.25" customHeight="1">
      <c r="A1774" s="1" t="s">
        <v>8845</v>
      </c>
      <c r="B1774" s="1">
        <v>2.3E7</v>
      </c>
      <c r="C1774" s="1">
        <v>4.398423E7</v>
      </c>
      <c r="F1774" s="4">
        <v>2.098423E7</v>
      </c>
      <c r="G1774" s="4">
        <f t="array" ref="G1774">IFERROR((C1774-B1774)/C1774*100, "N/A")</f>
        <v>47.70853099</v>
      </c>
      <c r="J1774" s="1"/>
      <c r="K1774" s="1"/>
    </row>
    <row r="1775" ht="14.25" customHeight="1">
      <c r="A1775" s="1" t="s">
        <v>8848</v>
      </c>
      <c r="B1775" s="1">
        <v>2.5E7</v>
      </c>
      <c r="C1775" s="1">
        <v>6.6489425E7</v>
      </c>
      <c r="F1775" s="4">
        <v>4.1489425E7</v>
      </c>
      <c r="G1775" s="4">
        <f t="array" ref="G1775">IFERROR((C1775-B1775)/C1775*100, "N/A")</f>
        <v>62.4000358</v>
      </c>
      <c r="J1775" s="1"/>
      <c r="K1775" s="1"/>
    </row>
    <row r="1776" ht="14.25" customHeight="1">
      <c r="A1776" s="1" t="s">
        <v>8852</v>
      </c>
      <c r="B1776" s="1">
        <v>2.5E7</v>
      </c>
      <c r="C1776" s="1">
        <v>4.1067398E7</v>
      </c>
      <c r="F1776" s="4">
        <v>1.6067398E7</v>
      </c>
      <c r="G1776" s="4">
        <f t="array" ref="G1776">IFERROR((C1776-B1776)/C1776*100, "N/A")</f>
        <v>39.12446072</v>
      </c>
      <c r="J1776" s="1"/>
      <c r="K1776" s="1"/>
    </row>
    <row r="1777" ht="14.25" customHeight="1">
      <c r="A1777" s="1" t="s">
        <v>8855</v>
      </c>
      <c r="B1777" s="1">
        <v>2.5E7</v>
      </c>
      <c r="C1777" s="1">
        <v>4.0218903E7</v>
      </c>
      <c r="F1777" s="4">
        <v>1.5218903E7</v>
      </c>
      <c r="G1777" s="4">
        <f t="array" ref="G1777">IFERROR((C1777-B1777)/C1777*100, "N/A")</f>
        <v>37.84017431</v>
      </c>
      <c r="J1777" s="1"/>
      <c r="K1777" s="1"/>
    </row>
    <row r="1778" ht="14.25" customHeight="1">
      <c r="A1778" s="1" t="s">
        <v>8861</v>
      </c>
      <c r="B1778" s="1">
        <v>2.5E7</v>
      </c>
      <c r="C1778" s="1">
        <v>3.9880476E7</v>
      </c>
      <c r="F1778" s="4">
        <v>1.4880476E7</v>
      </c>
      <c r="G1778" s="4">
        <f t="array" ref="G1778">IFERROR((C1778-B1778)/C1778*100, "N/A")</f>
        <v>37.31268403</v>
      </c>
      <c r="J1778" s="1"/>
      <c r="K1778" s="1"/>
    </row>
    <row r="1779" ht="14.25" customHeight="1">
      <c r="A1779" s="1" t="s">
        <v>8866</v>
      </c>
      <c r="B1779" s="1">
        <v>2.5E7</v>
      </c>
      <c r="C1779" s="1">
        <v>3.939975E7</v>
      </c>
      <c r="F1779" s="4">
        <v>1.439975E7</v>
      </c>
      <c r="G1779" s="4">
        <f t="array" ref="G1779">IFERROR((C1779-B1779)/C1779*100, "N/A")</f>
        <v>36.54782073</v>
      </c>
      <c r="J1779" s="1"/>
      <c r="K1779" s="1"/>
    </row>
    <row r="1780" ht="14.25" customHeight="1">
      <c r="A1780" s="1" t="s">
        <v>8870</v>
      </c>
      <c r="B1780" s="1">
        <v>2.5E7</v>
      </c>
      <c r="C1780" s="1">
        <v>3.8230435E7</v>
      </c>
      <c r="F1780" s="4">
        <v>1.3230435E7</v>
      </c>
      <c r="G1780" s="4">
        <f t="array" ref="G1780">IFERROR((C1780-B1780)/C1780*100, "N/A")</f>
        <v>34.60707418</v>
      </c>
      <c r="J1780" s="1"/>
      <c r="K1780" s="1"/>
    </row>
    <row r="1781" ht="14.25" customHeight="1">
      <c r="A1781" s="1" t="s">
        <v>8874</v>
      </c>
      <c r="B1781" s="1">
        <v>2.5E7</v>
      </c>
      <c r="C1781" s="1">
        <v>3.9008741E7</v>
      </c>
      <c r="F1781" s="4">
        <v>1.4008741E7</v>
      </c>
      <c r="G1781" s="4">
        <f t="array" ref="G1781">IFERROR((C1781-B1781)/C1781*100, "N/A")</f>
        <v>35.91179987</v>
      </c>
      <c r="J1781" s="1"/>
      <c r="K1781" s="1"/>
    </row>
    <row r="1782" ht="14.25" customHeight="1">
      <c r="A1782" s="1" t="s">
        <v>8878</v>
      </c>
      <c r="B1782" s="1">
        <v>2.5E7</v>
      </c>
      <c r="C1782" s="1">
        <v>3.6833473E7</v>
      </c>
      <c r="F1782" s="4">
        <v>1.1833473E7</v>
      </c>
      <c r="G1782" s="4">
        <f t="array" ref="G1782">IFERROR((C1782-B1782)/C1782*100, "N/A")</f>
        <v>32.1269542</v>
      </c>
      <c r="J1782" s="1"/>
      <c r="K1782" s="1"/>
    </row>
    <row r="1783" ht="14.25" customHeight="1">
      <c r="A1783" s="1" t="s">
        <v>8882</v>
      </c>
      <c r="B1783" s="1">
        <v>2.5E7</v>
      </c>
      <c r="C1783" s="1">
        <v>4.8237389E7</v>
      </c>
      <c r="F1783" s="4">
        <v>2.3237389E7</v>
      </c>
      <c r="G1783" s="4">
        <f t="array" ref="G1783">IFERROR((C1783-B1783)/C1783*100, "N/A")</f>
        <v>48.17298258</v>
      </c>
      <c r="J1783" s="1"/>
      <c r="K1783" s="1"/>
    </row>
    <row r="1784" ht="14.25" customHeight="1">
      <c r="A1784" s="1" t="s">
        <v>8886</v>
      </c>
      <c r="B1784" s="1">
        <v>2.5E7</v>
      </c>
      <c r="C1784" s="1">
        <v>3.6447959E7</v>
      </c>
      <c r="F1784" s="4">
        <v>1.1447959E7</v>
      </c>
      <c r="G1784" s="4">
        <f t="array" ref="G1784">IFERROR((C1784-B1784)/C1784*100, "N/A")</f>
        <v>31.40905366</v>
      </c>
      <c r="J1784" s="1"/>
      <c r="K1784" s="1"/>
    </row>
    <row r="1785" ht="14.25" customHeight="1">
      <c r="A1785" s="1" t="s">
        <v>8890</v>
      </c>
      <c r="B1785" s="1">
        <v>2.5E7</v>
      </c>
      <c r="C1785" s="1">
        <v>4.5089048E7</v>
      </c>
      <c r="F1785" s="4">
        <v>2.0089048E7</v>
      </c>
      <c r="G1785" s="4">
        <f t="array" ref="G1785">IFERROR((C1785-B1785)/C1785*100, "N/A")</f>
        <v>44.55416313</v>
      </c>
      <c r="J1785" s="1"/>
      <c r="K1785" s="1"/>
    </row>
    <row r="1786" ht="14.25" customHeight="1">
      <c r="A1786" s="1" t="s">
        <v>8894</v>
      </c>
      <c r="B1786" s="1">
        <v>2.0E7</v>
      </c>
      <c r="C1786" s="1">
        <v>3.5990505E7</v>
      </c>
      <c r="F1786" s="4">
        <v>1.5990505E7</v>
      </c>
      <c r="G1786" s="4">
        <f t="array" ref="G1786">IFERROR((C1786-B1786)/C1786*100, "N/A")</f>
        <v>44.4297878</v>
      </c>
      <c r="J1786" s="1"/>
      <c r="K1786" s="1"/>
    </row>
    <row r="1787" ht="14.25" customHeight="1">
      <c r="A1787" s="1" t="s">
        <v>8899</v>
      </c>
      <c r="B1787" s="1">
        <v>1.7E7</v>
      </c>
      <c r="C1787" s="1">
        <v>3.5143332E7</v>
      </c>
      <c r="F1787" s="4">
        <v>1.8143332E7</v>
      </c>
      <c r="G1787" s="4">
        <f t="array" ref="G1787">IFERROR((C1787-B1787)/C1787*100, "N/A")</f>
        <v>51.62666989</v>
      </c>
      <c r="J1787" s="1"/>
      <c r="K1787" s="1"/>
    </row>
    <row r="1788" ht="14.25" customHeight="1">
      <c r="A1788" s="1" t="s">
        <v>8905</v>
      </c>
      <c r="B1788" s="1">
        <v>2.5E7</v>
      </c>
      <c r="C1788" s="1">
        <v>3.5000629E7</v>
      </c>
      <c r="F1788" s="4">
        <v>1.0000629E7</v>
      </c>
      <c r="G1788" s="4">
        <f t="array" ref="G1788">IFERROR((C1788-B1788)/C1788*100, "N/A")</f>
        <v>28.57271222</v>
      </c>
      <c r="J1788" s="1"/>
      <c r="K1788" s="1"/>
    </row>
    <row r="1789" ht="14.25" customHeight="1">
      <c r="A1789" s="1" t="s">
        <v>8908</v>
      </c>
      <c r="B1789" s="1">
        <v>3.0E7</v>
      </c>
      <c r="C1789" s="1">
        <v>3.4604054E7</v>
      </c>
      <c r="F1789" s="4">
        <v>4604054.0</v>
      </c>
      <c r="G1789" s="4">
        <f t="array" ref="G1789">IFERROR((C1789-B1789)/C1789*100, "N/A")</f>
        <v>13.30495554</v>
      </c>
      <c r="J1789" s="1"/>
      <c r="K1789" s="1"/>
    </row>
    <row r="1790" ht="14.25" customHeight="1">
      <c r="A1790" s="1" t="s">
        <v>8912</v>
      </c>
      <c r="B1790" s="1">
        <v>2.5E7</v>
      </c>
      <c r="C1790" s="1">
        <v>4.159783E7</v>
      </c>
      <c r="F1790" s="4">
        <v>1.659783E7</v>
      </c>
      <c r="G1790" s="4">
        <f t="array" ref="G1790">IFERROR((C1790-B1790)/C1790*100, "N/A")</f>
        <v>39.90071117</v>
      </c>
      <c r="J1790" s="1"/>
      <c r="K1790" s="1"/>
    </row>
    <row r="1791" ht="14.25" customHeight="1">
      <c r="A1791" s="1" t="s">
        <v>8915</v>
      </c>
      <c r="B1791" s="1">
        <v>2.0E7</v>
      </c>
      <c r="C1791" s="1">
        <v>3.368763E7</v>
      </c>
      <c r="F1791" s="4">
        <v>1.368763E7</v>
      </c>
      <c r="G1791" s="4">
        <f t="array" ref="G1791">IFERROR((C1791-B1791)/C1791*100, "N/A")</f>
        <v>40.63102688</v>
      </c>
      <c r="J1791" s="1"/>
      <c r="K1791" s="1"/>
    </row>
    <row r="1792" ht="14.25" customHeight="1">
      <c r="A1792" s="1" t="s">
        <v>8921</v>
      </c>
      <c r="B1792" s="1">
        <v>2.5E7</v>
      </c>
      <c r="C1792" s="1">
        <v>3.255321E7</v>
      </c>
      <c r="F1792" s="4">
        <v>7553210.0</v>
      </c>
      <c r="G1792" s="4">
        <f t="array" ref="G1792">IFERROR((C1792-B1792)/C1792*100, "N/A")</f>
        <v>23.20265805</v>
      </c>
      <c r="J1792" s="1"/>
      <c r="K1792" s="1"/>
    </row>
    <row r="1793" ht="14.25" customHeight="1">
      <c r="A1793" s="1" t="s">
        <v>8928</v>
      </c>
      <c r="B1793" s="1">
        <v>2.5E7</v>
      </c>
      <c r="C1793" s="1">
        <v>3.1526393E7</v>
      </c>
      <c r="F1793" s="4">
        <v>6526393.0</v>
      </c>
      <c r="G1793" s="4">
        <f t="array" ref="G1793">IFERROR((C1793-B1793)/C1793*100, "N/A")</f>
        <v>20.70136282</v>
      </c>
      <c r="J1793" s="1"/>
      <c r="K1793" s="1"/>
    </row>
    <row r="1794" ht="14.25" customHeight="1">
      <c r="A1794" s="1" t="s">
        <v>8935</v>
      </c>
      <c r="B1794" s="1">
        <v>2.55E7</v>
      </c>
      <c r="C1794" s="1">
        <v>41229.0</v>
      </c>
      <c r="F1794" s="4">
        <v>-2.5458771E7</v>
      </c>
      <c r="G1794" s="4">
        <f t="array" ref="G1794">IFERROR((C1794-B1794)/C1794*100, "N/A")</f>
        <v>-61749.66892</v>
      </c>
      <c r="J1794" s="1"/>
      <c r="K1794" s="1"/>
    </row>
    <row r="1795" ht="14.25" customHeight="1">
      <c r="A1795" s="1" t="s">
        <v>8939</v>
      </c>
      <c r="B1795" s="1">
        <v>3.0E7</v>
      </c>
      <c r="C1795" s="1">
        <v>3.1655091E7</v>
      </c>
      <c r="F1795" s="4">
        <v>1655091.0</v>
      </c>
      <c r="G1795" s="4">
        <f t="array" ref="G1795">IFERROR((C1795-B1795)/C1795*100, "N/A")</f>
        <v>5.228514428</v>
      </c>
      <c r="J1795" s="1"/>
      <c r="K1795" s="1"/>
    </row>
    <row r="1796" ht="14.25" customHeight="1">
      <c r="A1796" s="1" t="s">
        <v>8943</v>
      </c>
      <c r="B1796" s="1">
        <v>2.5E7</v>
      </c>
      <c r="C1796" s="1">
        <v>3.001299E7</v>
      </c>
      <c r="F1796" s="4">
        <v>5012990.0</v>
      </c>
      <c r="G1796" s="4">
        <f t="array" ref="G1796">IFERROR((C1796-B1796)/C1796*100, "N/A")</f>
        <v>16.70273438</v>
      </c>
      <c r="J1796" s="1"/>
      <c r="K1796" s="1"/>
    </row>
    <row r="1797" ht="14.25" customHeight="1">
      <c r="A1797" s="1" t="s">
        <v>8948</v>
      </c>
      <c r="B1797" s="1">
        <v>2.5E7</v>
      </c>
      <c r="C1797" s="1">
        <v>3.236896E7</v>
      </c>
      <c r="F1797" s="4">
        <v>7368960.0</v>
      </c>
      <c r="G1797" s="4">
        <f t="array" ref="G1797">IFERROR((C1797-B1797)/C1797*100, "N/A")</f>
        <v>22.76551363</v>
      </c>
      <c r="J1797" s="1"/>
      <c r="K1797" s="1"/>
    </row>
    <row r="1798" ht="14.25" customHeight="1">
      <c r="A1798" s="1" t="s">
        <v>8956</v>
      </c>
      <c r="B1798" s="1">
        <v>2.5E7</v>
      </c>
      <c r="C1798" s="1">
        <v>1.45E7</v>
      </c>
      <c r="F1798" s="4">
        <v>-1.05E7</v>
      </c>
      <c r="G1798" s="4">
        <f t="array" ref="G1798">IFERROR((C1798-B1798)/C1798*100, "N/A")</f>
        <v>-72.4137931</v>
      </c>
      <c r="J1798" s="1"/>
      <c r="K1798" s="1"/>
    </row>
    <row r="1799" ht="14.25" customHeight="1">
      <c r="A1799" s="1" t="s">
        <v>8963</v>
      </c>
      <c r="B1799" s="1">
        <v>2.5E7</v>
      </c>
      <c r="C1799" s="1">
        <v>2.9247405E7</v>
      </c>
      <c r="F1799" s="4">
        <v>4247405.0</v>
      </c>
      <c r="G1799" s="4">
        <f t="array" ref="G1799">IFERROR((C1799-B1799)/C1799*100, "N/A")</f>
        <v>14.52233113</v>
      </c>
      <c r="J1799" s="1"/>
      <c r="K1799" s="1"/>
    </row>
    <row r="1800" ht="14.25" customHeight="1">
      <c r="A1800" s="1" t="s">
        <v>8970</v>
      </c>
      <c r="B1800" s="1">
        <v>2.5E7</v>
      </c>
      <c r="C1800" s="1">
        <v>2.5615792E7</v>
      </c>
      <c r="F1800" s="4">
        <v>615792.0</v>
      </c>
      <c r="G1800" s="4">
        <f t="array" ref="G1800">IFERROR((C1800-B1800)/C1800*100, "N/A")</f>
        <v>2.403954561</v>
      </c>
      <c r="J1800" s="1"/>
      <c r="K1800" s="1"/>
    </row>
    <row r="1801" ht="14.25" customHeight="1">
      <c r="A1801" s="1" t="s">
        <v>8975</v>
      </c>
      <c r="B1801" s="1">
        <v>2.5E7</v>
      </c>
      <c r="C1801" s="1">
        <v>2.8341469E7</v>
      </c>
      <c r="F1801" s="4">
        <v>3341469.0</v>
      </c>
      <c r="G1801" s="4">
        <f t="array" ref="G1801">IFERROR((C1801-B1801)/C1801*100, "N/A")</f>
        <v>11.7900346</v>
      </c>
      <c r="J1801" s="1"/>
      <c r="K1801" s="1"/>
    </row>
    <row r="1802" ht="14.25" customHeight="1">
      <c r="A1802" s="1" t="s">
        <v>8978</v>
      </c>
      <c r="B1802" s="1">
        <v>2.115E7</v>
      </c>
      <c r="C1802" s="1">
        <v>2.5590119E7</v>
      </c>
      <c r="F1802" s="4">
        <v>4440119.0</v>
      </c>
      <c r="G1802" s="4">
        <f t="array" ref="G1802">IFERROR((C1802-B1802)/C1802*100, "N/A")</f>
        <v>17.35091189</v>
      </c>
      <c r="J1802" s="1"/>
      <c r="K1802" s="1"/>
    </row>
    <row r="1803" ht="14.25" customHeight="1">
      <c r="A1803" s="1" t="s">
        <v>8984</v>
      </c>
      <c r="B1803" s="1">
        <v>2.7E7</v>
      </c>
      <c r="C1803" s="1">
        <v>2.4944213E7</v>
      </c>
      <c r="F1803" s="4">
        <v>-2055787.0</v>
      </c>
      <c r="G1803" s="4">
        <f t="array" ref="G1803">IFERROR((C1803-B1803)/C1803*100, "N/A")</f>
        <v>-8.241538829</v>
      </c>
      <c r="J1803" s="1"/>
      <c r="K1803" s="1"/>
    </row>
    <row r="1804" ht="14.25" customHeight="1">
      <c r="A1804" s="1" t="s">
        <v>8987</v>
      </c>
      <c r="B1804" s="1">
        <v>2.5E7</v>
      </c>
      <c r="C1804" s="1">
        <v>3.3631221E7</v>
      </c>
      <c r="F1804" s="4">
        <v>8631221.0</v>
      </c>
      <c r="G1804" s="4">
        <f t="array" ref="G1804">IFERROR((C1804-B1804)/C1804*100, "N/A")</f>
        <v>25.66431055</v>
      </c>
      <c r="J1804" s="1"/>
      <c r="K1804" s="1"/>
    </row>
    <row r="1805" ht="14.25" customHeight="1">
      <c r="A1805" s="1" t="s">
        <v>8993</v>
      </c>
      <c r="B1805" s="1">
        <v>2.5E7</v>
      </c>
      <c r="C1805" s="1">
        <v>3.77384E7</v>
      </c>
      <c r="F1805" s="4">
        <v>1.27384E7</v>
      </c>
      <c r="G1805" s="4">
        <f t="array" ref="G1805">IFERROR((C1805-B1805)/C1805*100, "N/A")</f>
        <v>33.7544782</v>
      </c>
      <c r="J1805" s="1"/>
      <c r="K1805" s="1"/>
    </row>
    <row r="1806" ht="14.25" customHeight="1">
      <c r="A1806" s="1" t="s">
        <v>8997</v>
      </c>
      <c r="B1806" s="1">
        <v>3.0E7</v>
      </c>
      <c r="C1806" s="1">
        <v>2.1835784E7</v>
      </c>
      <c r="F1806" s="4">
        <v>-8164216.0</v>
      </c>
      <c r="G1806" s="4">
        <f t="array" ref="G1806">IFERROR((C1806-B1806)/C1806*100, "N/A")</f>
        <v>-37.38915901</v>
      </c>
      <c r="J1806" s="1"/>
      <c r="K1806" s="1"/>
    </row>
    <row r="1807" ht="14.25" customHeight="1">
      <c r="A1807" s="1" t="s">
        <v>9002</v>
      </c>
      <c r="B1807" s="1">
        <v>2.3E7</v>
      </c>
      <c r="C1807" s="1">
        <v>1.5785632E7</v>
      </c>
      <c r="F1807" s="4">
        <v>-7214368.0</v>
      </c>
      <c r="G1807" s="4">
        <f t="array" ref="G1807">IFERROR((C1807-B1807)/C1807*100, "N/A")</f>
        <v>-45.70211696</v>
      </c>
      <c r="J1807" s="1"/>
      <c r="K1807" s="1"/>
    </row>
    <row r="1808" ht="14.25" customHeight="1">
      <c r="A1808" s="1" t="s">
        <v>9007</v>
      </c>
      <c r="B1808" s="1">
        <v>2.5E7</v>
      </c>
      <c r="C1808" s="1">
        <v>2.1554585E7</v>
      </c>
      <c r="F1808" s="4">
        <v>-3445415.0</v>
      </c>
      <c r="G1808" s="4">
        <f t="array" ref="G1808">IFERROR((C1808-B1808)/C1808*100, "N/A")</f>
        <v>-15.98460374</v>
      </c>
      <c r="J1808" s="1"/>
      <c r="K1808" s="1"/>
    </row>
    <row r="1809" ht="14.25" customHeight="1">
      <c r="A1809" s="1" t="s">
        <v>9011</v>
      </c>
      <c r="B1809" s="1">
        <v>2.5E7</v>
      </c>
      <c r="C1809" s="1">
        <v>2.22E7</v>
      </c>
      <c r="F1809" s="4">
        <v>-2800000.0</v>
      </c>
      <c r="G1809" s="4">
        <f t="array" ref="G1809">IFERROR((C1809-B1809)/C1809*100, "N/A")</f>
        <v>-12.61261261</v>
      </c>
      <c r="J1809" s="1"/>
      <c r="K1809" s="1"/>
    </row>
    <row r="1810" ht="14.25" customHeight="1">
      <c r="A1810" s="1" t="s">
        <v>9015</v>
      </c>
      <c r="B1810" s="1">
        <v>2.5E7</v>
      </c>
      <c r="C1810" s="1">
        <v>2.3527955E7</v>
      </c>
      <c r="F1810" s="4">
        <v>-1472045.0</v>
      </c>
      <c r="G1810" s="4">
        <f t="array" ref="G1810">IFERROR((C1810-B1810)/C1810*100, "N/A")</f>
        <v>-6.25657861</v>
      </c>
      <c r="J1810" s="1"/>
      <c r="K1810" s="1"/>
    </row>
    <row r="1811" ht="14.25" customHeight="1">
      <c r="A1811" s="1" t="s">
        <v>9020</v>
      </c>
      <c r="B1811" s="1">
        <v>2.5E7</v>
      </c>
      <c r="C1811" s="1">
        <v>2.404249E7</v>
      </c>
      <c r="F1811" s="4">
        <v>-957510.0</v>
      </c>
      <c r="G1811" s="4">
        <f t="array" ref="G1811">IFERROR((C1811-B1811)/C1811*100, "N/A")</f>
        <v>-3.982574184</v>
      </c>
      <c r="J1811" s="1"/>
      <c r="K1811" s="1"/>
    </row>
    <row r="1812" ht="14.25" customHeight="1">
      <c r="A1812" s="1" t="s">
        <v>9025</v>
      </c>
      <c r="B1812" s="1">
        <v>2.5E7</v>
      </c>
      <c r="C1812" s="1">
        <v>2.2466994E7</v>
      </c>
      <c r="F1812" s="4">
        <v>-2533006.0</v>
      </c>
      <c r="G1812" s="4">
        <f t="array" ref="G1812">IFERROR((C1812-B1812)/C1812*100, "N/A")</f>
        <v>-11.27434315</v>
      </c>
      <c r="J1812" s="1"/>
      <c r="K1812" s="1"/>
    </row>
    <row r="1813" ht="14.25" customHeight="1">
      <c r="A1813" s="1" t="s">
        <v>9028</v>
      </c>
      <c r="B1813" s="1">
        <v>2.5E7</v>
      </c>
      <c r="C1813" s="1">
        <v>1.7791031E7</v>
      </c>
      <c r="F1813" s="4">
        <v>-7208969.0</v>
      </c>
      <c r="G1813" s="4">
        <f t="array" ref="G1813">IFERROR((C1813-B1813)/C1813*100, "N/A")</f>
        <v>-40.52024304</v>
      </c>
      <c r="J1813" s="1"/>
      <c r="K1813" s="1"/>
    </row>
    <row r="1814" ht="14.25" customHeight="1">
      <c r="A1814" s="1" t="s">
        <v>9034</v>
      </c>
      <c r="B1814" s="1">
        <v>2.5E7</v>
      </c>
      <c r="C1814" s="1">
        <v>1.7718223E7</v>
      </c>
      <c r="F1814" s="4">
        <v>-7281777.0</v>
      </c>
      <c r="G1814" s="4">
        <f t="array" ref="G1814">IFERROR((C1814-B1814)/C1814*100, "N/A")</f>
        <v>-41.09767102</v>
      </c>
      <c r="J1814" s="1"/>
      <c r="K1814" s="1"/>
    </row>
    <row r="1815" ht="14.25" customHeight="1">
      <c r="A1815" s="1" t="s">
        <v>9040</v>
      </c>
      <c r="B1815" s="1">
        <v>1.3E7</v>
      </c>
      <c r="C1815" s="1">
        <v>1.5361537E7</v>
      </c>
      <c r="F1815" s="4">
        <v>2361537.0</v>
      </c>
      <c r="G1815" s="4">
        <f t="array" ref="G1815">IFERROR((C1815-B1815)/C1815*100, "N/A")</f>
        <v>15.37305154</v>
      </c>
      <c r="J1815" s="1"/>
      <c r="K1815" s="1"/>
    </row>
    <row r="1816" ht="14.25" customHeight="1">
      <c r="A1816" s="1" t="s">
        <v>9046</v>
      </c>
      <c r="B1816" s="1">
        <v>2.6E7</v>
      </c>
      <c r="C1816" s="1">
        <v>1.6647384E7</v>
      </c>
      <c r="F1816" s="4">
        <v>-9352616.0</v>
      </c>
      <c r="G1816" s="4">
        <f t="array" ref="G1816">IFERROR((C1816-B1816)/C1816*100, "N/A")</f>
        <v>-56.18069482</v>
      </c>
      <c r="J1816" s="1"/>
      <c r="K1816" s="1"/>
    </row>
    <row r="1817" ht="14.25" customHeight="1">
      <c r="A1817" s="1" t="s">
        <v>9052</v>
      </c>
      <c r="B1817" s="1">
        <v>2.5E7</v>
      </c>
      <c r="C1817" s="1">
        <v>1.6118077E7</v>
      </c>
      <c r="F1817" s="4">
        <v>-8881923.0</v>
      </c>
      <c r="G1817" s="4">
        <f t="array" ref="G1817">IFERROR((C1817-B1817)/C1817*100, "N/A")</f>
        <v>-55.10535159</v>
      </c>
      <c r="J1817" s="1"/>
      <c r="K1817" s="1"/>
    </row>
    <row r="1818" ht="14.25" customHeight="1">
      <c r="A1818" s="1" t="s">
        <v>9056</v>
      </c>
      <c r="B1818" s="1">
        <v>2.5E7</v>
      </c>
      <c r="C1818" s="1">
        <v>1.5091542E7</v>
      </c>
      <c r="F1818" s="4">
        <v>-9908458.0</v>
      </c>
      <c r="G1818" s="4">
        <f t="array" ref="G1818">IFERROR((C1818-B1818)/C1818*100, "N/A")</f>
        <v>-65.65570304</v>
      </c>
      <c r="J1818" s="1"/>
      <c r="K1818" s="1"/>
    </row>
    <row r="1819" ht="14.25" customHeight="1">
      <c r="A1819" s="1" t="s">
        <v>9063</v>
      </c>
      <c r="B1819" s="1">
        <v>1.6E7</v>
      </c>
      <c r="C1819" s="1">
        <v>1.5045676E7</v>
      </c>
      <c r="F1819" s="4">
        <v>-954324.0</v>
      </c>
      <c r="G1819" s="4">
        <f t="array" ref="G1819">IFERROR((C1819-B1819)/C1819*100, "N/A")</f>
        <v>-6.342845612</v>
      </c>
      <c r="J1819" s="1"/>
      <c r="K1819" s="1"/>
    </row>
    <row r="1820" ht="14.25" customHeight="1">
      <c r="A1820" s="1" t="s">
        <v>9068</v>
      </c>
      <c r="B1820" s="1">
        <v>8000000.0</v>
      </c>
      <c r="C1820" s="1">
        <v>1.7427926E7</v>
      </c>
      <c r="F1820" s="4">
        <v>9427926.0</v>
      </c>
      <c r="G1820" s="4">
        <f t="array" ref="G1820">IFERROR((C1820-B1820)/C1820*100, "N/A")</f>
        <v>54.09666073</v>
      </c>
      <c r="J1820" s="1"/>
      <c r="K1820" s="1"/>
    </row>
    <row r="1821" ht="14.25" customHeight="1">
      <c r="A1821" s="1" t="s">
        <v>9074</v>
      </c>
      <c r="B1821" s="1">
        <v>2.5E7</v>
      </c>
      <c r="C1821" s="1">
        <v>1.4983572E7</v>
      </c>
      <c r="F1821" s="4">
        <v>-1.0016428E7</v>
      </c>
      <c r="G1821" s="4">
        <f t="array" ref="G1821">IFERROR((C1821-B1821)/C1821*100, "N/A")</f>
        <v>-66.84940013</v>
      </c>
      <c r="J1821" s="1"/>
      <c r="K1821" s="1"/>
    </row>
    <row r="1822" ht="14.25" customHeight="1">
      <c r="A1822" s="1" t="s">
        <v>9077</v>
      </c>
      <c r="B1822" s="1">
        <v>2.5E7</v>
      </c>
      <c r="C1822" s="1">
        <v>1.463749E7</v>
      </c>
      <c r="F1822" s="4">
        <v>-1.036251E7</v>
      </c>
      <c r="G1822" s="4">
        <f t="array" ref="G1822">IFERROR((C1822-B1822)/C1822*100, "N/A")</f>
        <v>-70.79430968</v>
      </c>
      <c r="J1822" s="1"/>
      <c r="K1822" s="1"/>
    </row>
    <row r="1823" ht="14.25" customHeight="1">
      <c r="A1823" s="1" t="s">
        <v>9082</v>
      </c>
      <c r="B1823" s="1">
        <v>2.5E7</v>
      </c>
      <c r="C1823" s="1">
        <v>1.4589444E7</v>
      </c>
      <c r="F1823" s="4">
        <v>-1.0410556E7</v>
      </c>
      <c r="G1823" s="4">
        <f t="array" ref="G1823">IFERROR((C1823-B1823)/C1823*100, "N/A")</f>
        <v>-71.35677</v>
      </c>
      <c r="J1823" s="1"/>
      <c r="K1823" s="1"/>
    </row>
    <row r="1824" ht="14.25" customHeight="1">
      <c r="A1824" s="1" t="s">
        <v>9089</v>
      </c>
      <c r="B1824" s="1">
        <v>2.5E7</v>
      </c>
      <c r="C1824" s="1">
        <v>1.4095303E7</v>
      </c>
      <c r="F1824" s="4">
        <v>-1.0904697E7</v>
      </c>
      <c r="G1824" s="4">
        <f t="array" ref="G1824">IFERROR((C1824-B1824)/C1824*100, "N/A")</f>
        <v>-77.36404815</v>
      </c>
      <c r="J1824" s="1"/>
      <c r="K1824" s="1"/>
    </row>
    <row r="1825" ht="14.25" customHeight="1">
      <c r="A1825" s="1" t="s">
        <v>9095</v>
      </c>
      <c r="B1825" s="1">
        <v>2.5E7</v>
      </c>
      <c r="C1825" s="1">
        <v>1.3973532E7</v>
      </c>
      <c r="F1825" s="4">
        <v>-1.1026468E7</v>
      </c>
      <c r="G1825" s="4">
        <f t="array" ref="G1825">IFERROR((C1825-B1825)/C1825*100, "N/A")</f>
        <v>-78.90967008</v>
      </c>
      <c r="J1825" s="1"/>
      <c r="K1825" s="1"/>
    </row>
    <row r="1826" ht="14.25" customHeight="1">
      <c r="A1826" s="1" t="s">
        <v>9098</v>
      </c>
      <c r="B1826" s="1">
        <v>3.0E7</v>
      </c>
      <c r="C1826" s="1">
        <v>1865774.0</v>
      </c>
      <c r="F1826" s="4">
        <v>-2.8134226E7</v>
      </c>
      <c r="G1826" s="4">
        <f t="array" ref="G1826">IFERROR((C1826-B1826)/C1826*100, "N/A")</f>
        <v>-1507.911784</v>
      </c>
      <c r="J1826" s="1"/>
      <c r="K1826" s="1"/>
    </row>
    <row r="1827" ht="14.25" customHeight="1">
      <c r="A1827" s="1" t="s">
        <v>9103</v>
      </c>
      <c r="B1827" s="1">
        <v>2.5E7</v>
      </c>
      <c r="C1827" s="1">
        <v>1.8860403E7</v>
      </c>
      <c r="F1827" s="4">
        <v>-6139597.0</v>
      </c>
      <c r="G1827" s="4">
        <f t="array" ref="G1827">IFERROR((C1827-B1827)/C1827*100, "N/A")</f>
        <v>-32.552841</v>
      </c>
      <c r="J1827" s="1"/>
      <c r="K1827" s="1"/>
    </row>
    <row r="1828" ht="14.25" customHeight="1">
      <c r="A1828" s="1" t="s">
        <v>9106</v>
      </c>
      <c r="B1828" s="1">
        <v>2.5E7</v>
      </c>
      <c r="C1828" s="1">
        <v>1.303866E7</v>
      </c>
      <c r="F1828" s="4">
        <v>-1.196134E7</v>
      </c>
      <c r="G1828" s="4">
        <f t="array" ref="G1828">IFERROR((C1828-B1828)/C1828*100, "N/A")</f>
        <v>-91.7374945</v>
      </c>
      <c r="J1828" s="1"/>
      <c r="K1828" s="1"/>
    </row>
    <row r="1829" ht="14.25" customHeight="1">
      <c r="A1829" s="1" t="s">
        <v>9111</v>
      </c>
      <c r="B1829" s="1">
        <v>2.5E7</v>
      </c>
      <c r="C1829" s="1">
        <v>2.8831145E7</v>
      </c>
      <c r="F1829" s="4">
        <v>3831145.0</v>
      </c>
      <c r="G1829" s="4">
        <f t="array" ref="G1829">IFERROR((C1829-B1829)/C1829*100, "N/A")</f>
        <v>13.28821661</v>
      </c>
      <c r="J1829" s="1"/>
      <c r="K1829" s="1"/>
    </row>
    <row r="1830" ht="14.25" customHeight="1">
      <c r="A1830" s="1" t="s">
        <v>9115</v>
      </c>
      <c r="B1830" s="1">
        <v>2.5E7</v>
      </c>
      <c r="C1830" s="1">
        <v>1.1538204E7</v>
      </c>
      <c r="F1830" s="4">
        <v>-1.3461796E7</v>
      </c>
      <c r="G1830" s="4">
        <f t="array" ref="G1830">IFERROR((C1830-B1830)/C1830*100, "N/A")</f>
        <v>-116.6715028</v>
      </c>
      <c r="J1830" s="1"/>
      <c r="K1830" s="1"/>
    </row>
    <row r="1831" ht="14.25" customHeight="1">
      <c r="A1831" s="1" t="s">
        <v>9119</v>
      </c>
      <c r="B1831" s="1">
        <v>2.5E7</v>
      </c>
      <c r="C1831" s="1">
        <v>1.1008432E7</v>
      </c>
      <c r="F1831" s="4">
        <v>-1.3991568E7</v>
      </c>
      <c r="G1831" s="4">
        <f t="array" ref="G1831">IFERROR((C1831-B1831)/C1831*100, "N/A")</f>
        <v>-127.0986458</v>
      </c>
      <c r="J1831" s="1"/>
      <c r="K1831" s="1"/>
    </row>
    <row r="1832" ht="14.25" customHeight="1">
      <c r="A1832" s="1" t="s">
        <v>9123</v>
      </c>
      <c r="B1832" s="1">
        <v>2.6E7</v>
      </c>
      <c r="C1832" s="1">
        <v>1.2188642E7</v>
      </c>
      <c r="F1832" s="4">
        <v>-1.3811358E7</v>
      </c>
      <c r="G1832" s="4">
        <f t="array" ref="G1832">IFERROR((C1832-B1832)/C1832*100, "N/A")</f>
        <v>-113.3133453</v>
      </c>
      <c r="J1832" s="1"/>
      <c r="K1832" s="1"/>
    </row>
    <row r="1833" ht="14.25" customHeight="1">
      <c r="A1833" s="1" t="s">
        <v>9128</v>
      </c>
      <c r="B1833" s="1">
        <v>2.5E7</v>
      </c>
      <c r="C1833" s="1">
        <v>1.11E7</v>
      </c>
      <c r="F1833" s="4">
        <v>-1.39E7</v>
      </c>
      <c r="G1833" s="4">
        <f t="array" ref="G1833">IFERROR((C1833-B1833)/C1833*100, "N/A")</f>
        <v>-125.2252252</v>
      </c>
      <c r="J1833" s="1"/>
      <c r="K1833" s="1"/>
    </row>
    <row r="1834" ht="14.25" customHeight="1">
      <c r="A1834" s="1" t="s">
        <v>9133</v>
      </c>
      <c r="B1834" s="1">
        <v>2.5E7</v>
      </c>
      <c r="C1834" s="1">
        <v>1.3651662E7</v>
      </c>
      <c r="F1834" s="4">
        <v>-1.1348338E7</v>
      </c>
      <c r="G1834" s="4">
        <f t="array" ref="G1834">IFERROR((C1834-B1834)/C1834*100, "N/A")</f>
        <v>-83.12788582</v>
      </c>
      <c r="J1834" s="1"/>
      <c r="K1834" s="1"/>
    </row>
    <row r="1835" ht="14.25" customHeight="1">
      <c r="A1835" s="1" t="s">
        <v>9136</v>
      </c>
      <c r="B1835" s="1">
        <v>2.8E7</v>
      </c>
      <c r="C1835" s="1">
        <v>1.1030963E7</v>
      </c>
      <c r="F1835" s="4">
        <v>-1.6969037E7</v>
      </c>
      <c r="G1835" s="4">
        <f t="array" ref="G1835">IFERROR((C1835-B1835)/C1835*100, "N/A")</f>
        <v>-153.8309665</v>
      </c>
      <c r="J1835" s="1"/>
      <c r="K1835" s="1"/>
    </row>
    <row r="1836" ht="14.25" customHeight="1">
      <c r="A1836" s="1" t="s">
        <v>9140</v>
      </c>
      <c r="B1836" s="1">
        <v>2.5E7</v>
      </c>
      <c r="C1836" s="1">
        <v>1.076996E7</v>
      </c>
      <c r="F1836" s="4">
        <v>-1.423004E7</v>
      </c>
      <c r="G1836" s="4">
        <f t="array" ref="G1836">IFERROR((C1836-B1836)/C1836*100, "N/A")</f>
        <v>-132.1271388</v>
      </c>
      <c r="J1836" s="1"/>
      <c r="K1836" s="1"/>
    </row>
    <row r="1837" ht="14.25" customHeight="1">
      <c r="A1837" s="1" t="s">
        <v>9145</v>
      </c>
      <c r="B1837" s="1">
        <v>2.5E7</v>
      </c>
      <c r="C1837" s="1">
        <v>1.091175E7</v>
      </c>
      <c r="F1837" s="4">
        <v>-1.408825E7</v>
      </c>
      <c r="G1837" s="4">
        <f t="array" ref="G1837">IFERROR((C1837-B1837)/C1837*100, "N/A")</f>
        <v>-129.1108209</v>
      </c>
      <c r="J1837" s="1"/>
      <c r="K1837" s="1"/>
    </row>
    <row r="1838" ht="14.25" customHeight="1">
      <c r="A1838" s="1" t="s">
        <v>9148</v>
      </c>
      <c r="B1838" s="1">
        <v>2.5E7</v>
      </c>
      <c r="C1838" s="1">
        <v>1.0719367E7</v>
      </c>
      <c r="F1838" s="4">
        <v>-1.4280633E7</v>
      </c>
      <c r="G1838" s="4">
        <f t="array" ref="G1838">IFERROR((C1838-B1838)/C1838*100, "N/A")</f>
        <v>-133.2227267</v>
      </c>
      <c r="J1838" s="1"/>
      <c r="K1838" s="1"/>
    </row>
    <row r="1839" ht="14.25" customHeight="1">
      <c r="A1839" s="1" t="s">
        <v>9153</v>
      </c>
      <c r="B1839" s="1">
        <v>2.5E7</v>
      </c>
      <c r="C1839" s="1">
        <v>1.0114315E7</v>
      </c>
      <c r="F1839" s="4">
        <v>-1.4885685E7</v>
      </c>
      <c r="G1839" s="4">
        <f t="array" ref="G1839">IFERROR((C1839-B1839)/C1839*100, "N/A")</f>
        <v>-147.1744256</v>
      </c>
      <c r="J1839" s="1"/>
      <c r="K1839" s="1"/>
    </row>
    <row r="1840" ht="14.25" customHeight="1">
      <c r="A1840" s="1" t="s">
        <v>9160</v>
      </c>
      <c r="B1840" s="1">
        <v>1.4E7</v>
      </c>
      <c r="C1840" s="1">
        <v>4.9122319E7</v>
      </c>
      <c r="F1840" s="4">
        <v>3.5122319E7</v>
      </c>
      <c r="G1840" s="4">
        <f t="array" ref="G1840">IFERROR((C1840-B1840)/C1840*100, "N/A")</f>
        <v>71.49971686</v>
      </c>
      <c r="J1840" s="1"/>
      <c r="K1840" s="1"/>
    </row>
    <row r="1841" ht="14.25" customHeight="1">
      <c r="A1841" s="1" t="s">
        <v>9166</v>
      </c>
      <c r="B1841" s="1">
        <v>2.5E7</v>
      </c>
      <c r="C1841" s="1">
        <v>1.007E7</v>
      </c>
      <c r="F1841" s="4">
        <v>-1.493E7</v>
      </c>
      <c r="G1841" s="4">
        <f t="array" ref="G1841">IFERROR((C1841-B1841)/C1841*100, "N/A")</f>
        <v>-148.2621648</v>
      </c>
      <c r="J1841" s="1"/>
      <c r="K1841" s="1"/>
    </row>
    <row r="1842" ht="14.25" customHeight="1">
      <c r="A1842" s="1" t="s">
        <v>9170</v>
      </c>
      <c r="B1842" s="1">
        <v>2.5E7</v>
      </c>
      <c r="C1842" s="1">
        <v>1.0324441E7</v>
      </c>
      <c r="F1842" s="4">
        <v>-1.4675559E7</v>
      </c>
      <c r="G1842" s="4">
        <f t="array" ref="G1842">IFERROR((C1842-B1842)/C1842*100, "N/A")</f>
        <v>-142.1438604</v>
      </c>
      <c r="J1842" s="1"/>
      <c r="K1842" s="1"/>
    </row>
    <row r="1843" ht="14.25" customHeight="1">
      <c r="A1843" s="1" t="s">
        <v>9174</v>
      </c>
      <c r="B1843" s="1">
        <v>2.5E7</v>
      </c>
      <c r="C1843" s="1">
        <v>7156933.0</v>
      </c>
      <c r="F1843" s="4">
        <v>-1.7843067E7</v>
      </c>
      <c r="G1843" s="4">
        <f t="array" ref="G1843">IFERROR((C1843-B1843)/C1843*100, "N/A")</f>
        <v>-249.3116395</v>
      </c>
      <c r="J1843" s="1"/>
      <c r="K1843" s="1"/>
    </row>
    <row r="1844" ht="14.25" customHeight="1">
      <c r="A1844" s="1" t="s">
        <v>9179</v>
      </c>
      <c r="B1844" s="1">
        <v>1.7E7</v>
      </c>
      <c r="C1844" s="1">
        <v>9286314.0</v>
      </c>
      <c r="F1844" s="4">
        <v>-7713686.0</v>
      </c>
      <c r="G1844" s="4">
        <f t="array" ref="G1844">IFERROR((C1844-B1844)/C1844*100, "N/A")</f>
        <v>-83.06509989</v>
      </c>
      <c r="J1844" s="1"/>
      <c r="K1844" s="1"/>
    </row>
    <row r="1845" ht="14.25" customHeight="1">
      <c r="A1845" s="1" t="s">
        <v>9186</v>
      </c>
      <c r="B1845" s="1">
        <v>2.5E7</v>
      </c>
      <c r="C1845" s="1">
        <v>56692.0</v>
      </c>
      <c r="F1845" s="4">
        <v>-2.4943308E7</v>
      </c>
      <c r="G1845" s="4">
        <f t="array" ref="G1845">IFERROR((C1845-B1845)/C1845*100, "N/A")</f>
        <v>-43997.93269</v>
      </c>
      <c r="J1845" s="1"/>
      <c r="K1845" s="1"/>
    </row>
    <row r="1846" ht="14.25" customHeight="1">
      <c r="A1846" s="1" t="s">
        <v>9190</v>
      </c>
      <c r="B1846" s="1">
        <v>2.5E7</v>
      </c>
      <c r="C1846" s="1">
        <v>5654777.0</v>
      </c>
      <c r="F1846" s="4">
        <v>-1.9345223E7</v>
      </c>
      <c r="G1846" s="4">
        <f t="array" ref="G1846">IFERROR((C1846-B1846)/C1846*100, "N/A")</f>
        <v>-342.104083</v>
      </c>
      <c r="J1846" s="1"/>
      <c r="K1846" s="1"/>
    </row>
    <row r="1847" ht="14.25" customHeight="1">
      <c r="A1847" s="1" t="s">
        <v>9194</v>
      </c>
      <c r="B1847" s="1">
        <v>2.5E7</v>
      </c>
      <c r="C1847" s="1">
        <v>5516708.0</v>
      </c>
      <c r="F1847" s="4">
        <v>-1.9483292E7</v>
      </c>
      <c r="G1847" s="4">
        <f t="array" ref="G1847">IFERROR((C1847-B1847)/C1847*100, "N/A")</f>
        <v>-353.1688101</v>
      </c>
      <c r="J1847" s="1"/>
      <c r="K1847" s="1"/>
    </row>
    <row r="1848" ht="14.25" customHeight="1">
      <c r="A1848" s="1" t="s">
        <v>9198</v>
      </c>
      <c r="B1848" s="1">
        <v>2.5E7</v>
      </c>
      <c r="C1848" s="1">
        <v>5128124.0</v>
      </c>
      <c r="F1848" s="4">
        <v>-1.9871876E7</v>
      </c>
      <c r="G1848" s="4">
        <f t="array" ref="G1848">IFERROR((C1848-B1848)/C1848*100, "N/A")</f>
        <v>-387.5077124</v>
      </c>
      <c r="J1848" s="1"/>
      <c r="K1848" s="1"/>
    </row>
    <row r="1849" ht="14.25" customHeight="1">
      <c r="A1849" s="1" t="s">
        <v>7331</v>
      </c>
      <c r="B1849" s="1">
        <v>3.3E7</v>
      </c>
      <c r="C1849" s="1">
        <v>3.4014398E7</v>
      </c>
      <c r="F1849" s="4">
        <v>1014398.0</v>
      </c>
      <c r="G1849" s="4">
        <f t="array" ref="G1849">IFERROR((C1849-B1849)/C1849*100, "N/A")</f>
        <v>2.98226063</v>
      </c>
      <c r="J1849" s="1"/>
      <c r="K1849" s="1"/>
    </row>
    <row r="1850" ht="14.25" customHeight="1">
      <c r="A1850" s="1" t="s">
        <v>9203</v>
      </c>
      <c r="B1850" s="1">
        <v>2.5E7</v>
      </c>
      <c r="C1850" s="1">
        <v>4064333.0</v>
      </c>
      <c r="F1850" s="4">
        <v>-2.0935667E7</v>
      </c>
      <c r="G1850" s="4">
        <f t="array" ref="G1850">IFERROR((C1850-B1850)/C1850*100, "N/A")</f>
        <v>-515.1070791</v>
      </c>
      <c r="J1850" s="1"/>
      <c r="K1850" s="1"/>
    </row>
    <row r="1851" ht="14.25" customHeight="1">
      <c r="A1851" s="1" t="s">
        <v>9207</v>
      </c>
      <c r="B1851" s="1">
        <v>1.5E7</v>
      </c>
      <c r="C1851" s="1">
        <v>4006906.0</v>
      </c>
      <c r="F1851" s="4">
        <v>-1.0993094E7</v>
      </c>
      <c r="G1851" s="4">
        <f t="array" ref="G1851">IFERROR((C1851-B1851)/C1851*100, "N/A")</f>
        <v>-274.3536784</v>
      </c>
      <c r="J1851" s="1"/>
      <c r="K1851" s="1"/>
    </row>
    <row r="1852" ht="14.25" customHeight="1">
      <c r="A1852" s="1" t="s">
        <v>9210</v>
      </c>
      <c r="B1852" s="1">
        <v>2.5E7</v>
      </c>
      <c r="C1852" s="1">
        <v>3073392.0</v>
      </c>
      <c r="F1852" s="4">
        <v>-2.1926608E7</v>
      </c>
      <c r="G1852" s="4">
        <f t="array" ref="G1852">IFERROR((C1852-B1852)/C1852*100, "N/A")</f>
        <v>-713.4334963</v>
      </c>
      <c r="J1852" s="1"/>
      <c r="K1852" s="1"/>
    </row>
    <row r="1853" ht="14.25" customHeight="1">
      <c r="A1853" s="1" t="s">
        <v>9216</v>
      </c>
      <c r="B1853" s="1">
        <v>2.5E7</v>
      </c>
      <c r="C1853" s="1">
        <v>1550000.0</v>
      </c>
      <c r="F1853" s="4">
        <v>-2.345E7</v>
      </c>
      <c r="G1853" s="4">
        <f t="array" ref="G1853">IFERROR((C1853-B1853)/C1853*100, "N/A")</f>
        <v>-1512.903226</v>
      </c>
      <c r="J1853" s="1"/>
      <c r="K1853" s="1"/>
    </row>
    <row r="1854" ht="14.25" customHeight="1">
      <c r="A1854" s="1" t="s">
        <v>9222</v>
      </c>
      <c r="B1854" s="1">
        <v>2.5E7</v>
      </c>
      <c r="C1854" s="1">
        <v>871527.0</v>
      </c>
      <c r="F1854" s="4">
        <v>-2.4128473E7</v>
      </c>
      <c r="G1854" s="4">
        <f t="array" ref="G1854">IFERROR((C1854-B1854)/C1854*100, "N/A")</f>
        <v>-2768.528456</v>
      </c>
      <c r="J1854" s="1"/>
      <c r="K1854" s="1"/>
    </row>
    <row r="1855" ht="14.25" customHeight="1">
      <c r="A1855" s="1" t="s">
        <v>9226</v>
      </c>
      <c r="B1855" s="1">
        <v>2.5E7</v>
      </c>
      <c r="C1855" s="1">
        <v>777423.0</v>
      </c>
      <c r="F1855" s="4">
        <v>-2.4222577E7</v>
      </c>
      <c r="G1855" s="4">
        <f t="array" ref="G1855">IFERROR((C1855-B1855)/C1855*100, "N/A")</f>
        <v>-3115.752557</v>
      </c>
      <c r="J1855" s="1"/>
      <c r="K1855" s="1"/>
    </row>
    <row r="1856" ht="14.25" customHeight="1">
      <c r="A1856" s="1" t="s">
        <v>9229</v>
      </c>
      <c r="B1856" s="1">
        <v>2.5E7</v>
      </c>
      <c r="C1856" s="1">
        <v>1186957.0</v>
      </c>
      <c r="F1856" s="4">
        <v>-2.3813043E7</v>
      </c>
      <c r="G1856" s="4">
        <f t="array" ref="G1856">IFERROR((C1856-B1856)/C1856*100, "N/A")</f>
        <v>-2006.226258</v>
      </c>
      <c r="J1856" s="1"/>
      <c r="K1856" s="1"/>
    </row>
    <row r="1857" ht="14.25" customHeight="1">
      <c r="A1857" s="1" t="s">
        <v>9235</v>
      </c>
      <c r="B1857" s="1">
        <v>1.35E7</v>
      </c>
      <c r="C1857" s="1">
        <v>85433.0</v>
      </c>
      <c r="F1857" s="4">
        <v>-1.3414567E7</v>
      </c>
      <c r="G1857" s="4">
        <f t="array" ref="G1857">IFERROR((C1857-B1857)/C1857*100, "N/A")</f>
        <v>-15701.85643</v>
      </c>
      <c r="J1857" s="1"/>
      <c r="K1857" s="1"/>
    </row>
    <row r="1858" ht="14.25" customHeight="1">
      <c r="A1858" s="1" t="s">
        <v>9242</v>
      </c>
      <c r="B1858" s="1">
        <v>2.0E7</v>
      </c>
      <c r="C1858" s="1">
        <v>1697956.0</v>
      </c>
      <c r="F1858" s="4">
        <v>-1.8302044E7</v>
      </c>
      <c r="G1858" s="4">
        <f t="array" ref="G1858">IFERROR((C1858-B1858)/C1858*100, "N/A")</f>
        <v>-1077.886824</v>
      </c>
      <c r="J1858" s="1"/>
      <c r="K1858" s="1"/>
    </row>
    <row r="1859" ht="14.25" customHeight="1">
      <c r="A1859" s="1" t="s">
        <v>9246</v>
      </c>
      <c r="B1859" s="1">
        <v>2.5E7</v>
      </c>
      <c r="C1859" s="1">
        <v>183662.0</v>
      </c>
      <c r="F1859" s="4">
        <v>-2.4816338E7</v>
      </c>
      <c r="G1859" s="4">
        <f t="array" ref="G1859">IFERROR((C1859-B1859)/C1859*100, "N/A")</f>
        <v>-13511.9611</v>
      </c>
      <c r="J1859" s="1"/>
      <c r="K1859" s="1"/>
    </row>
    <row r="1860" ht="14.25" customHeight="1">
      <c r="A1860" s="1" t="s">
        <v>9253</v>
      </c>
      <c r="B1860" s="1">
        <v>2.5E7</v>
      </c>
      <c r="C1860" s="1">
        <v>134904.0</v>
      </c>
      <c r="F1860" s="4">
        <v>-2.4865096E7</v>
      </c>
      <c r="G1860" s="4">
        <f t="array" ref="G1860">IFERROR((C1860-B1860)/C1860*100, "N/A")</f>
        <v>-18431.69661</v>
      </c>
      <c r="J1860" s="1"/>
      <c r="K1860" s="1"/>
    </row>
    <row r="1861" ht="14.25" customHeight="1">
      <c r="A1861" s="1" t="s">
        <v>9258</v>
      </c>
      <c r="B1861" s="1">
        <v>2.5E7</v>
      </c>
      <c r="C1861" s="1">
        <v>1.696939E7</v>
      </c>
      <c r="F1861" s="4">
        <v>-8030610.0</v>
      </c>
      <c r="G1861" s="4">
        <f t="array" ref="G1861">IFERROR((C1861-B1861)/C1861*100, "N/A")</f>
        <v>-47.32409356</v>
      </c>
      <c r="J1861" s="1"/>
      <c r="K1861" s="1"/>
    </row>
    <row r="1862" ht="14.25" customHeight="1">
      <c r="A1862" s="1" t="s">
        <v>9261</v>
      </c>
      <c r="B1862" s="1">
        <v>1.4E7</v>
      </c>
      <c r="C1862" s="1">
        <v>3.47E7</v>
      </c>
      <c r="F1862" s="4">
        <v>2.07E7</v>
      </c>
      <c r="G1862" s="4">
        <f t="array" ref="G1862">IFERROR((C1862-B1862)/C1862*100, "N/A")</f>
        <v>59.65417867</v>
      </c>
      <c r="J1862" s="1"/>
      <c r="K1862" s="1"/>
    </row>
    <row r="1863" ht="14.25" customHeight="1">
      <c r="A1863" s="1" t="s">
        <v>9264</v>
      </c>
      <c r="B1863" s="1">
        <v>2.5E7</v>
      </c>
      <c r="C1863" s="1">
        <v>717753.0</v>
      </c>
      <c r="F1863" s="4">
        <v>-2.4282247E7</v>
      </c>
      <c r="G1863" s="4">
        <f t="array" ref="G1863">IFERROR((C1863-B1863)/C1863*100, "N/A")</f>
        <v>-3383.092373</v>
      </c>
      <c r="J1863" s="1"/>
      <c r="K1863" s="1"/>
    </row>
    <row r="1864" ht="14.25" customHeight="1">
      <c r="A1864" s="1" t="s">
        <v>9267</v>
      </c>
      <c r="B1864" s="1">
        <v>2.5E7</v>
      </c>
      <c r="C1864" s="1">
        <v>1.09713132E8</v>
      </c>
      <c r="F1864" s="4">
        <v>8.4713132E7</v>
      </c>
      <c r="G1864" s="4">
        <f t="array" ref="G1864">IFERROR((C1864-B1864)/C1864*100, "N/A")</f>
        <v>77.21330205</v>
      </c>
      <c r="J1864" s="1"/>
      <c r="K1864" s="1"/>
    </row>
    <row r="1865" ht="14.25" customHeight="1">
      <c r="A1865" s="1" t="s">
        <v>9270</v>
      </c>
      <c r="B1865" s="1">
        <v>2.4E7</v>
      </c>
      <c r="C1865" s="1">
        <v>7.0269171E7</v>
      </c>
      <c r="F1865" s="4">
        <v>4.6269171E7</v>
      </c>
      <c r="G1865" s="4">
        <f t="array" ref="G1865">IFERROR((C1865-B1865)/C1865*100, "N/A")</f>
        <v>65.84561955</v>
      </c>
      <c r="J1865" s="1"/>
      <c r="K1865" s="1"/>
    </row>
    <row r="1866" ht="14.25" customHeight="1">
      <c r="A1866" s="1" t="s">
        <v>1802</v>
      </c>
      <c r="B1866" s="1">
        <v>1.05E8</v>
      </c>
      <c r="C1866" s="1">
        <v>2.8772222E7</v>
      </c>
      <c r="F1866" s="4">
        <v>-7.6227778E7</v>
      </c>
      <c r="G1866" s="4">
        <f t="array" ref="G1866">IFERROR((C1866-B1866)/C1866*100, "N/A")</f>
        <v>-264.9353185</v>
      </c>
      <c r="J1866" s="1"/>
      <c r="K1866" s="1"/>
    </row>
    <row r="1867" ht="14.25" customHeight="1">
      <c r="A1867" s="1" t="s">
        <v>9273</v>
      </c>
      <c r="B1867" s="1">
        <v>2.4E7</v>
      </c>
      <c r="C1867" s="1">
        <v>1.01334374E8</v>
      </c>
      <c r="F1867" s="4">
        <v>7.7334374E7</v>
      </c>
      <c r="G1867" s="4">
        <f t="array" ref="G1867">IFERROR((C1867-B1867)/C1867*100, "N/A")</f>
        <v>76.3160327</v>
      </c>
      <c r="J1867" s="1"/>
      <c r="K1867" s="1"/>
    </row>
    <row r="1868" ht="14.25" customHeight="1">
      <c r="A1868" s="1" t="s">
        <v>9277</v>
      </c>
      <c r="B1868" s="1">
        <v>2.5E7</v>
      </c>
      <c r="C1868" s="1">
        <v>1512815.0</v>
      </c>
      <c r="F1868" s="4">
        <v>-2.3487185E7</v>
      </c>
      <c r="G1868" s="4">
        <f t="array" ref="G1868">IFERROR((C1868-B1868)/C1868*100, "N/A")</f>
        <v>-1552.548395</v>
      </c>
      <c r="J1868" s="1"/>
      <c r="K1868" s="1"/>
    </row>
    <row r="1869" ht="14.25" customHeight="1">
      <c r="A1869" s="1" t="s">
        <v>9281</v>
      </c>
      <c r="B1869" s="1">
        <v>2.4E7</v>
      </c>
      <c r="C1869" s="1">
        <v>6.5182182E7</v>
      </c>
      <c r="F1869" s="4">
        <v>4.1182182E7</v>
      </c>
      <c r="G1869" s="4">
        <f t="array" ref="G1869">IFERROR((C1869-B1869)/C1869*100, "N/A")</f>
        <v>63.18012183</v>
      </c>
      <c r="J1869" s="1"/>
      <c r="K1869" s="1"/>
    </row>
    <row r="1870" ht="14.25" customHeight="1">
      <c r="A1870" s="1" t="s">
        <v>9284</v>
      </c>
      <c r="B1870" s="1">
        <v>2.4E7</v>
      </c>
      <c r="C1870" s="1">
        <v>5.7262492E7</v>
      </c>
      <c r="F1870" s="4">
        <v>3.3262492E7</v>
      </c>
      <c r="G1870" s="4">
        <f t="array" ref="G1870">IFERROR((C1870-B1870)/C1870*100, "N/A")</f>
        <v>58.08774791</v>
      </c>
      <c r="J1870" s="1"/>
      <c r="K1870" s="1"/>
    </row>
    <row r="1871" ht="14.25" customHeight="1">
      <c r="A1871" s="1" t="s">
        <v>9288</v>
      </c>
      <c r="B1871" s="1">
        <v>8200000.0</v>
      </c>
      <c r="C1871" s="1">
        <v>8.0E7</v>
      </c>
      <c r="F1871" s="4">
        <v>7.18E7</v>
      </c>
      <c r="G1871" s="4">
        <f t="array" ref="G1871">IFERROR((C1871-B1871)/C1871*100, "N/A")</f>
        <v>89.75</v>
      </c>
      <c r="J1871" s="1"/>
      <c r="K1871" s="1"/>
    </row>
    <row r="1872" ht="14.25" customHeight="1">
      <c r="A1872" s="1" t="s">
        <v>9292</v>
      </c>
      <c r="B1872" s="1">
        <v>2.4E7</v>
      </c>
      <c r="C1872" s="1">
        <v>7.4608545E7</v>
      </c>
      <c r="F1872" s="4">
        <v>5.0608545E7</v>
      </c>
      <c r="G1872" s="4">
        <f t="array" ref="G1872">IFERROR((C1872-B1872)/C1872*100, "N/A")</f>
        <v>67.83210288</v>
      </c>
      <c r="J1872" s="1"/>
      <c r="K1872" s="1"/>
    </row>
    <row r="1873" ht="14.25" customHeight="1">
      <c r="A1873" s="1" t="s">
        <v>9296</v>
      </c>
      <c r="B1873" s="1">
        <v>2.4E7</v>
      </c>
      <c r="C1873" s="1">
        <v>4.1895491E7</v>
      </c>
      <c r="F1873" s="4">
        <v>1.7895491E7</v>
      </c>
      <c r="G1873" s="4">
        <f t="array" ref="G1873">IFERROR((C1873-B1873)/C1873*100, "N/A")</f>
        <v>42.71459905</v>
      </c>
      <c r="J1873" s="1"/>
      <c r="K1873" s="1"/>
    </row>
    <row r="1874" ht="14.25" customHeight="1">
      <c r="A1874" s="1" t="s">
        <v>9300</v>
      </c>
      <c r="B1874" s="1">
        <v>2.4E7</v>
      </c>
      <c r="C1874" s="1">
        <v>3.9989008E7</v>
      </c>
      <c r="F1874" s="4">
        <v>1.5989008E7</v>
      </c>
      <c r="G1874" s="4">
        <f t="array" ref="G1874">IFERROR((C1874-B1874)/C1874*100, "N/A")</f>
        <v>39.98350747</v>
      </c>
      <c r="J1874" s="1"/>
      <c r="K1874" s="1"/>
    </row>
    <row r="1875" ht="14.25" customHeight="1">
      <c r="A1875" s="1" t="s">
        <v>9303</v>
      </c>
      <c r="B1875" s="1">
        <v>2.4E7</v>
      </c>
      <c r="C1875" s="1">
        <v>3.2662299E7</v>
      </c>
      <c r="F1875" s="4">
        <v>8662299.0</v>
      </c>
      <c r="G1875" s="4">
        <f t="array" ref="G1875">IFERROR((C1875-B1875)/C1875*100, "N/A")</f>
        <v>26.52078777</v>
      </c>
      <c r="J1875" s="1"/>
      <c r="K1875" s="1"/>
    </row>
    <row r="1876" ht="14.25" customHeight="1">
      <c r="A1876" s="1" t="s">
        <v>9306</v>
      </c>
      <c r="B1876" s="1">
        <v>2.4E7</v>
      </c>
      <c r="C1876" s="1">
        <v>3.1452765E7</v>
      </c>
      <c r="F1876" s="4">
        <v>7452765.0</v>
      </c>
      <c r="G1876" s="4">
        <f t="array" ref="G1876">IFERROR((C1876-B1876)/C1876*100, "N/A")</f>
        <v>23.6951028</v>
      </c>
      <c r="J1876" s="1"/>
      <c r="K1876" s="1"/>
    </row>
    <row r="1877" ht="14.25" customHeight="1">
      <c r="A1877" s="1" t="s">
        <v>9312</v>
      </c>
      <c r="B1877" s="1">
        <v>2.4E7</v>
      </c>
      <c r="C1877" s="1">
        <v>2.516727E7</v>
      </c>
      <c r="F1877" s="4">
        <v>1167270.0</v>
      </c>
      <c r="G1877" s="4">
        <f t="array" ref="G1877">IFERROR((C1877-B1877)/C1877*100, "N/A")</f>
        <v>4.63804775</v>
      </c>
      <c r="J1877" s="1"/>
      <c r="K1877" s="1"/>
    </row>
    <row r="1878" ht="14.25" customHeight="1">
      <c r="A1878" s="1" t="s">
        <v>9316</v>
      </c>
      <c r="B1878" s="1">
        <v>2.5E7</v>
      </c>
      <c r="C1878" s="1">
        <v>3.2416109E7</v>
      </c>
      <c r="F1878" s="4">
        <v>7416109.0</v>
      </c>
      <c r="G1878" s="4">
        <f t="array" ref="G1878">IFERROR((C1878-B1878)/C1878*100, "N/A")</f>
        <v>22.87785064</v>
      </c>
      <c r="J1878" s="1"/>
      <c r="K1878" s="1"/>
    </row>
    <row r="1879" ht="14.25" customHeight="1">
      <c r="A1879" s="1" t="s">
        <v>9321</v>
      </c>
      <c r="B1879" s="1">
        <v>2.4E7</v>
      </c>
      <c r="C1879" s="1">
        <v>20218.0</v>
      </c>
      <c r="F1879" s="4">
        <v>-2.3979782E7</v>
      </c>
      <c r="G1879" s="4">
        <f t="array" ref="G1879">IFERROR((C1879-B1879)/C1879*100, "N/A")</f>
        <v>-118606.1035</v>
      </c>
      <c r="J1879" s="1"/>
      <c r="K1879" s="1"/>
    </row>
    <row r="1880" ht="14.25" customHeight="1">
      <c r="A1880" s="1" t="s">
        <v>9324</v>
      </c>
      <c r="B1880" s="1">
        <v>2.4E7</v>
      </c>
      <c r="C1880" s="1">
        <v>2.887119E7</v>
      </c>
      <c r="F1880" s="4">
        <v>4871190.0</v>
      </c>
      <c r="G1880" s="4">
        <f t="array" ref="G1880">IFERROR((C1880-B1880)/C1880*100, "N/A")</f>
        <v>16.87214833</v>
      </c>
      <c r="J1880" s="1"/>
      <c r="K1880" s="1"/>
    </row>
    <row r="1881" ht="14.25" customHeight="1">
      <c r="A1881" s="1" t="s">
        <v>9327</v>
      </c>
      <c r="B1881" s="1">
        <v>2.4E7</v>
      </c>
      <c r="C1881" s="1">
        <v>1.6964743E7</v>
      </c>
      <c r="F1881" s="4">
        <v>-7035257.0</v>
      </c>
      <c r="G1881" s="4">
        <f t="array" ref="G1881">IFERROR((C1881-B1881)/C1881*100, "N/A")</f>
        <v>-41.46987078</v>
      </c>
      <c r="J1881" s="1"/>
      <c r="K1881" s="1"/>
    </row>
    <row r="1882" ht="14.25" customHeight="1">
      <c r="A1882" s="1" t="s">
        <v>9330</v>
      </c>
      <c r="B1882" s="1">
        <v>2.4E7</v>
      </c>
      <c r="C1882" s="1">
        <v>1.6290976E7</v>
      </c>
      <c r="F1882" s="4">
        <v>-7709024.0</v>
      </c>
      <c r="G1882" s="4">
        <f t="array" ref="G1882">IFERROR((C1882-B1882)/C1882*100, "N/A")</f>
        <v>-47.3208235</v>
      </c>
      <c r="J1882" s="1"/>
      <c r="K1882" s="1"/>
    </row>
    <row r="1883" ht="14.25" customHeight="1">
      <c r="A1883" s="1" t="s">
        <v>9336</v>
      </c>
      <c r="B1883" s="1">
        <v>2.4E7</v>
      </c>
      <c r="C1883" s="1">
        <v>1.3E7</v>
      </c>
      <c r="F1883" s="4">
        <v>-1.1E7</v>
      </c>
      <c r="G1883" s="4">
        <f t="array" ref="G1883">IFERROR((C1883-B1883)/C1883*100, "N/A")</f>
        <v>-84.61538462</v>
      </c>
      <c r="J1883" s="1"/>
      <c r="K1883" s="1"/>
    </row>
    <row r="1884" ht="14.25" customHeight="1">
      <c r="A1884" s="1" t="s">
        <v>9343</v>
      </c>
      <c r="B1884" s="1">
        <v>2.4E7</v>
      </c>
      <c r="C1884" s="1">
        <v>1.237241E7</v>
      </c>
      <c r="F1884" s="4">
        <v>-1.162759E7</v>
      </c>
      <c r="G1884" s="4">
        <f t="array" ref="G1884">IFERROR((C1884-B1884)/C1884*100, "N/A")</f>
        <v>-93.97999258</v>
      </c>
      <c r="J1884" s="1"/>
      <c r="K1884" s="1"/>
    </row>
    <row r="1885" ht="14.25" customHeight="1">
      <c r="A1885" s="1" t="s">
        <v>9347</v>
      </c>
      <c r="B1885" s="1">
        <v>2.4E7</v>
      </c>
      <c r="C1885" s="1">
        <v>8427204.0</v>
      </c>
      <c r="F1885" s="4">
        <v>-1.5572796E7</v>
      </c>
      <c r="G1885" s="4">
        <f t="array" ref="G1885">IFERROR((C1885-B1885)/C1885*100, "N/A")</f>
        <v>-184.7919666</v>
      </c>
      <c r="J1885" s="1"/>
      <c r="K1885" s="1"/>
    </row>
    <row r="1886" ht="14.25" customHeight="1">
      <c r="A1886" s="1" t="s">
        <v>9352</v>
      </c>
      <c r="B1886" s="1">
        <v>2.4E7</v>
      </c>
      <c r="C1886" s="1">
        <v>9639242.0</v>
      </c>
      <c r="F1886" s="4">
        <v>-1.4360758E7</v>
      </c>
      <c r="G1886" s="4">
        <f t="array" ref="G1886">IFERROR((C1886-B1886)/C1886*100, "N/A")</f>
        <v>-148.9822333</v>
      </c>
      <c r="J1886" s="1"/>
      <c r="K1886" s="1"/>
    </row>
    <row r="1887" ht="14.25" customHeight="1">
      <c r="A1887" s="1" t="s">
        <v>9355</v>
      </c>
      <c r="B1887" s="1">
        <v>2.4E7</v>
      </c>
      <c r="C1887" s="1">
        <v>2.5003072E7</v>
      </c>
      <c r="F1887" s="4">
        <v>1003072.0</v>
      </c>
      <c r="G1887" s="4">
        <f t="array" ref="G1887">IFERROR((C1887-B1887)/C1887*100, "N/A")</f>
        <v>4.011795031</v>
      </c>
      <c r="J1887" s="1"/>
      <c r="K1887" s="1"/>
    </row>
    <row r="1888" ht="14.25" customHeight="1">
      <c r="A1888" s="1" t="s">
        <v>9359</v>
      </c>
      <c r="B1888" s="1">
        <v>2.3E7</v>
      </c>
      <c r="C1888" s="1">
        <v>6144806.0</v>
      </c>
      <c r="F1888" s="4">
        <v>-1.6855194E7</v>
      </c>
      <c r="G1888" s="4">
        <f t="array" ref="G1888">IFERROR((C1888-B1888)/C1888*100, "N/A")</f>
        <v>-274.2998558</v>
      </c>
      <c r="J1888" s="1"/>
      <c r="K1888" s="1"/>
    </row>
    <row r="1889" ht="14.25" customHeight="1">
      <c r="A1889" s="1" t="s">
        <v>9363</v>
      </c>
      <c r="B1889" s="1">
        <v>2.8E7</v>
      </c>
      <c r="C1889" s="1">
        <v>669276.0</v>
      </c>
      <c r="F1889" s="4">
        <v>-2.7330724E7</v>
      </c>
      <c r="G1889" s="4">
        <f t="array" ref="G1889">IFERROR((C1889-B1889)/C1889*100, "N/A")</f>
        <v>-4083.625291</v>
      </c>
      <c r="J1889" s="1"/>
      <c r="K1889" s="1"/>
    </row>
    <row r="1890" ht="14.25" customHeight="1">
      <c r="A1890" s="1" t="s">
        <v>9371</v>
      </c>
      <c r="B1890" s="1">
        <v>2.4E7</v>
      </c>
      <c r="C1890" s="1">
        <v>42880.0</v>
      </c>
      <c r="F1890" s="4">
        <v>-2.395712E7</v>
      </c>
      <c r="G1890" s="4">
        <f t="array" ref="G1890">IFERROR((C1890-B1890)/C1890*100, "N/A")</f>
        <v>-55870.14925</v>
      </c>
      <c r="J1890" s="1"/>
      <c r="K1890" s="1"/>
    </row>
    <row r="1891" ht="14.25" customHeight="1">
      <c r="A1891" s="1" t="s">
        <v>9374</v>
      </c>
      <c r="B1891" s="1">
        <v>2.4E7</v>
      </c>
      <c r="C1891" s="1">
        <v>2.3225911E7</v>
      </c>
      <c r="F1891" s="4">
        <v>-774089.0</v>
      </c>
      <c r="G1891" s="4">
        <f t="array" ref="G1891">IFERROR((C1891-B1891)/C1891*100, "N/A")</f>
        <v>-3.332868192</v>
      </c>
      <c r="J1891" s="1"/>
      <c r="K1891" s="1"/>
    </row>
    <row r="1892" ht="14.25" customHeight="1">
      <c r="A1892" s="1" t="s">
        <v>9377</v>
      </c>
      <c r="B1892" s="1">
        <v>2.4E7</v>
      </c>
      <c r="C1892" s="1">
        <v>4710455.0</v>
      </c>
      <c r="F1892" s="4">
        <v>-1.9289545E7</v>
      </c>
      <c r="G1892" s="4">
        <f t="array" ref="G1892">IFERROR((C1892-B1892)/C1892*100, "N/A")</f>
        <v>-409.5049204</v>
      </c>
      <c r="J1892" s="1"/>
      <c r="K1892" s="1"/>
    </row>
    <row r="1893" ht="14.25" customHeight="1">
      <c r="A1893" s="1" t="s">
        <v>9380</v>
      </c>
      <c r="B1893" s="1">
        <v>2.36E7</v>
      </c>
      <c r="C1893" s="1">
        <v>7.5590286E7</v>
      </c>
      <c r="F1893" s="4">
        <v>5.1990286E7</v>
      </c>
      <c r="G1893" s="4">
        <f t="array" ref="G1893">IFERROR((C1893-B1893)/C1893*100, "N/A")</f>
        <v>68.77905714</v>
      </c>
      <c r="J1893" s="1"/>
      <c r="K1893" s="1"/>
    </row>
    <row r="1894" ht="14.25" customHeight="1">
      <c r="A1894" s="1" t="s">
        <v>198</v>
      </c>
      <c r="B1894" s="1">
        <v>2.07E8</v>
      </c>
      <c r="C1894" s="1">
        <v>2.1805126E8</v>
      </c>
      <c r="F1894" s="4">
        <v>1.105126E7</v>
      </c>
      <c r="G1894" s="4">
        <f t="array" ref="G1894">IFERROR((C1894-B1894)/C1894*100, "N/A")</f>
        <v>5.068193598</v>
      </c>
      <c r="J1894" s="1"/>
      <c r="K1894" s="1"/>
    </row>
    <row r="1895" ht="14.25" customHeight="1">
      <c r="A1895" s="1" t="s">
        <v>9385</v>
      </c>
      <c r="B1895" s="1">
        <v>2.0E7</v>
      </c>
      <c r="C1895" s="1">
        <v>1.61487252E8</v>
      </c>
      <c r="F1895" s="4">
        <v>1.41487252E8</v>
      </c>
      <c r="G1895" s="4">
        <f t="array" ref="G1895">IFERROR((C1895-B1895)/C1895*100, "N/A")</f>
        <v>87.61512147</v>
      </c>
      <c r="J1895" s="1"/>
      <c r="K1895" s="1"/>
    </row>
    <row r="1896" ht="14.25" customHeight="1">
      <c r="A1896" s="1" t="s">
        <v>9388</v>
      </c>
      <c r="B1896" s="1">
        <v>1.8E7</v>
      </c>
      <c r="C1896" s="1">
        <v>2.90158751E8</v>
      </c>
      <c r="F1896" s="4">
        <v>2.72158751E8</v>
      </c>
      <c r="G1896" s="4">
        <f t="array" ref="G1896">IFERROR((C1896-B1896)/C1896*100, "N/A")</f>
        <v>93.79649935</v>
      </c>
      <c r="J1896" s="1"/>
      <c r="K1896" s="1"/>
    </row>
    <row r="1897" ht="14.25" customHeight="1">
      <c r="A1897" s="1" t="s">
        <v>9392</v>
      </c>
      <c r="B1897" s="1">
        <v>1.9E7</v>
      </c>
      <c r="C1897" s="1">
        <v>6.5807024E7</v>
      </c>
      <c r="F1897" s="4">
        <v>4.6807024E7</v>
      </c>
      <c r="G1897" s="4">
        <f t="array" ref="G1897">IFERROR((C1897-B1897)/C1897*100, "N/A")</f>
        <v>71.12770211</v>
      </c>
      <c r="J1897" s="1"/>
      <c r="K1897" s="1"/>
    </row>
    <row r="1898" ht="14.25" customHeight="1">
      <c r="A1898" s="1" t="s">
        <v>9396</v>
      </c>
      <c r="B1898" s="1">
        <v>2.3E7</v>
      </c>
      <c r="C1898" s="1">
        <v>8.6930411E7</v>
      </c>
      <c r="F1898" s="4">
        <v>6.3930411E7</v>
      </c>
      <c r="G1898" s="4">
        <f t="array" ref="G1898">IFERROR((C1898-B1898)/C1898*100, "N/A")</f>
        <v>73.54205538</v>
      </c>
      <c r="J1898" s="1"/>
      <c r="K1898" s="1"/>
    </row>
    <row r="1899" ht="14.25" customHeight="1">
      <c r="A1899" s="1" t="s">
        <v>9400</v>
      </c>
      <c r="B1899" s="1">
        <v>2.3E7</v>
      </c>
      <c r="C1899" s="1">
        <v>5.3302314E7</v>
      </c>
      <c r="F1899" s="4">
        <v>3.0302314E7</v>
      </c>
      <c r="G1899" s="4">
        <f t="array" ref="G1899">IFERROR((C1899-B1899)/C1899*100, "N/A")</f>
        <v>56.84990336</v>
      </c>
      <c r="J1899" s="1"/>
      <c r="K1899" s="1"/>
    </row>
    <row r="1900" ht="14.25" customHeight="1">
      <c r="A1900" s="1" t="s">
        <v>9405</v>
      </c>
      <c r="B1900" s="1">
        <v>1.25E7</v>
      </c>
      <c r="C1900" s="1">
        <v>4.0962534E7</v>
      </c>
      <c r="F1900" s="4">
        <v>2.8462534E7</v>
      </c>
      <c r="G1900" s="4">
        <f t="array" ref="G1900">IFERROR((C1900-B1900)/C1900*100, "N/A")</f>
        <v>69.48430974</v>
      </c>
      <c r="J1900" s="1"/>
      <c r="K1900" s="1"/>
    </row>
    <row r="1901" ht="14.25" customHeight="1">
      <c r="A1901" s="1" t="s">
        <v>9408</v>
      </c>
      <c r="B1901" s="1">
        <v>2.3E7</v>
      </c>
      <c r="C1901" s="1">
        <v>3.9235088E7</v>
      </c>
      <c r="F1901" s="4">
        <v>1.6235088E7</v>
      </c>
      <c r="G1901" s="4">
        <f t="array" ref="G1901">IFERROR((C1901-B1901)/C1901*100, "N/A")</f>
        <v>41.37900239</v>
      </c>
      <c r="J1901" s="1"/>
      <c r="K1901" s="1"/>
    </row>
    <row r="1902" ht="14.25" customHeight="1">
      <c r="A1902" s="1" t="s">
        <v>9412</v>
      </c>
      <c r="B1902" s="1">
        <v>2.3E7</v>
      </c>
      <c r="C1902" s="1">
        <v>2.7338033E7</v>
      </c>
      <c r="F1902" s="4">
        <v>4338033.0</v>
      </c>
      <c r="G1902" s="4">
        <f t="array" ref="G1902">IFERROR((C1902-B1902)/C1902*100, "N/A")</f>
        <v>15.86812409</v>
      </c>
      <c r="J1902" s="1"/>
      <c r="K1902" s="1"/>
    </row>
    <row r="1903" ht="14.25" customHeight="1">
      <c r="A1903" s="1" t="s">
        <v>9416</v>
      </c>
      <c r="B1903" s="1">
        <v>2.3E7</v>
      </c>
      <c r="C1903" s="1">
        <v>2.5556065E7</v>
      </c>
      <c r="F1903" s="4">
        <v>2556065.0</v>
      </c>
      <c r="G1903" s="4">
        <f t="array" ref="G1903">IFERROR((C1903-B1903)/C1903*100, "N/A")</f>
        <v>10.00179409</v>
      </c>
      <c r="J1903" s="1"/>
      <c r="K1903" s="1"/>
    </row>
    <row r="1904" ht="14.25" customHeight="1">
      <c r="A1904" s="1" t="s">
        <v>9002</v>
      </c>
      <c r="B1904" s="1">
        <v>2.3E7</v>
      </c>
      <c r="C1904" s="1">
        <v>1.5785632E7</v>
      </c>
      <c r="F1904" s="4">
        <v>-7214368.0</v>
      </c>
      <c r="G1904" s="4">
        <f t="array" ref="G1904">IFERROR((C1904-B1904)/C1904*100, "N/A")</f>
        <v>-45.70211696</v>
      </c>
      <c r="J1904" s="1"/>
      <c r="K1904" s="1"/>
    </row>
    <row r="1905" ht="14.25" customHeight="1">
      <c r="A1905" s="1" t="s">
        <v>9421</v>
      </c>
      <c r="B1905" s="1">
        <v>2.3E7</v>
      </c>
      <c r="C1905" s="1">
        <v>2.1973182E7</v>
      </c>
      <c r="F1905" s="4">
        <v>-1026818.0</v>
      </c>
      <c r="G1905" s="4">
        <f t="array" ref="G1905">IFERROR((C1905-B1905)/C1905*100, "N/A")</f>
        <v>-4.673050995</v>
      </c>
      <c r="J1905" s="1"/>
      <c r="K1905" s="1"/>
    </row>
    <row r="1906" ht="14.25" customHeight="1">
      <c r="A1906" s="1" t="s">
        <v>9427</v>
      </c>
      <c r="B1906" s="1">
        <v>2.5E7</v>
      </c>
      <c r="C1906" s="1">
        <v>4756.0</v>
      </c>
      <c r="F1906" s="4">
        <v>-2.4995244E7</v>
      </c>
      <c r="G1906" s="4">
        <f t="array" ref="G1906">IFERROR((C1906-B1906)/C1906*100, "N/A")</f>
        <v>-525551.8082</v>
      </c>
      <c r="J1906" s="1"/>
      <c r="K1906" s="1"/>
    </row>
    <row r="1907" ht="14.25" customHeight="1">
      <c r="A1907" s="1" t="s">
        <v>9432</v>
      </c>
      <c r="B1907" s="1">
        <v>2.3E7</v>
      </c>
      <c r="C1907" s="1">
        <v>1.8653615E7</v>
      </c>
      <c r="F1907" s="4">
        <v>-4346385.0</v>
      </c>
      <c r="G1907" s="4">
        <f t="array" ref="G1907">IFERROR((C1907-B1907)/C1907*100, "N/A")</f>
        <v>-23.30049698</v>
      </c>
      <c r="J1907" s="1"/>
      <c r="K1907" s="1"/>
    </row>
    <row r="1908" ht="14.25" customHeight="1">
      <c r="A1908" s="1" t="s">
        <v>8072</v>
      </c>
      <c r="B1908" s="1">
        <v>2.3E7</v>
      </c>
      <c r="C1908" s="1">
        <v>1.2189514E7</v>
      </c>
      <c r="F1908" s="4">
        <v>-1.0810486E7</v>
      </c>
      <c r="G1908" s="4">
        <f t="array" ref="G1908">IFERROR((C1908-B1908)/C1908*100, "N/A")</f>
        <v>-88.68676799</v>
      </c>
      <c r="J1908" s="1"/>
      <c r="K1908" s="1"/>
    </row>
    <row r="1909" ht="14.25" customHeight="1">
      <c r="A1909" s="1" t="s">
        <v>9437</v>
      </c>
      <c r="B1909" s="1">
        <v>2.3E7</v>
      </c>
      <c r="C1909" s="1">
        <v>1.3019253E7</v>
      </c>
      <c r="F1909" s="4">
        <v>-9980747.0</v>
      </c>
      <c r="G1909" s="4">
        <f t="array" ref="G1909">IFERROR((C1909-B1909)/C1909*100, "N/A")</f>
        <v>-76.66144133</v>
      </c>
      <c r="J1909" s="1"/>
      <c r="K1909" s="1"/>
    </row>
    <row r="1910" ht="14.25" customHeight="1">
      <c r="A1910" s="1" t="s">
        <v>9442</v>
      </c>
      <c r="B1910" s="1">
        <v>2.3E7</v>
      </c>
      <c r="C1910" s="1">
        <v>1.8934858E7</v>
      </c>
      <c r="F1910" s="4">
        <v>-4065142.0</v>
      </c>
      <c r="G1910" s="4">
        <f t="array" ref="G1910">IFERROR((C1910-B1910)/C1910*100, "N/A")</f>
        <v>-21.46909156</v>
      </c>
      <c r="J1910" s="1"/>
      <c r="K1910" s="1"/>
    </row>
    <row r="1911" ht="14.25" customHeight="1">
      <c r="A1911" s="1" t="s">
        <v>9446</v>
      </c>
      <c r="B1911" s="1">
        <v>2.3E7</v>
      </c>
      <c r="C1911" s="1">
        <v>2.0763013E7</v>
      </c>
      <c r="F1911" s="4">
        <v>-2236987.0</v>
      </c>
      <c r="G1911" s="4">
        <f t="array" ref="G1911">IFERROR((C1911-B1911)/C1911*100, "N/A")</f>
        <v>-10.77390358</v>
      </c>
      <c r="J1911" s="1"/>
      <c r="K1911" s="1"/>
    </row>
    <row r="1912" ht="14.25" customHeight="1">
      <c r="A1912" s="1" t="s">
        <v>9452</v>
      </c>
      <c r="B1912" s="1">
        <v>2.3E7</v>
      </c>
      <c r="C1912" s="1">
        <v>1.2782508E7</v>
      </c>
      <c r="F1912" s="4">
        <v>-1.0217492E7</v>
      </c>
      <c r="G1912" s="4">
        <f t="array" ref="G1912">IFERROR((C1912-B1912)/C1912*100, "N/A")</f>
        <v>-79.93339022</v>
      </c>
      <c r="J1912" s="1"/>
      <c r="K1912" s="1"/>
    </row>
    <row r="1913" ht="14.25" customHeight="1">
      <c r="A1913" s="1" t="s">
        <v>9456</v>
      </c>
      <c r="B1913" s="1">
        <v>2.3E7</v>
      </c>
      <c r="C1913" s="1">
        <v>1.1508423E7</v>
      </c>
      <c r="F1913" s="4">
        <v>-1.1491577E7</v>
      </c>
      <c r="G1913" s="4">
        <f t="array" ref="G1913">IFERROR((C1913-B1913)/C1913*100, "N/A")</f>
        <v>-99.85362026</v>
      </c>
      <c r="J1913" s="1"/>
      <c r="K1913" s="1"/>
    </row>
    <row r="1914" ht="14.25" customHeight="1">
      <c r="A1914" s="1" t="s">
        <v>9461</v>
      </c>
      <c r="B1914" s="1">
        <v>2.3E7</v>
      </c>
      <c r="C1914" s="1">
        <v>1.0660147E7</v>
      </c>
      <c r="F1914" s="4">
        <v>-1.2339853E7</v>
      </c>
      <c r="G1914" s="4">
        <f t="array" ref="G1914">IFERROR((C1914-B1914)/C1914*100, "N/A")</f>
        <v>-115.7568746</v>
      </c>
      <c r="J1914" s="1"/>
      <c r="K1914" s="1"/>
    </row>
    <row r="1915" ht="14.25" customHeight="1">
      <c r="A1915" s="1" t="s">
        <v>9466</v>
      </c>
      <c r="B1915" s="1">
        <v>2.3E7</v>
      </c>
      <c r="C1915" s="1">
        <v>7434726.0</v>
      </c>
      <c r="F1915" s="4">
        <v>-1.5565274E7</v>
      </c>
      <c r="G1915" s="4">
        <f t="array" ref="G1915">IFERROR((C1915-B1915)/C1915*100, "N/A")</f>
        <v>-209.3590806</v>
      </c>
      <c r="J1915" s="1"/>
      <c r="K1915" s="1"/>
    </row>
    <row r="1916" ht="14.25" customHeight="1">
      <c r="A1916" s="1" t="s">
        <v>9471</v>
      </c>
      <c r="B1916" s="1">
        <v>1.943E7</v>
      </c>
      <c r="C1916" s="1">
        <v>6109075.0</v>
      </c>
      <c r="F1916" s="4">
        <v>-1.3320925E7</v>
      </c>
      <c r="G1916" s="4">
        <f t="array" ref="G1916">IFERROR((C1916-B1916)/C1916*100, "N/A")</f>
        <v>-218.0514235</v>
      </c>
      <c r="J1916" s="1"/>
      <c r="K1916" s="1"/>
    </row>
    <row r="1917" ht="14.25" customHeight="1">
      <c r="A1917" s="1" t="s">
        <v>9476</v>
      </c>
      <c r="B1917" s="1">
        <v>2.3E7</v>
      </c>
      <c r="C1917" s="1">
        <v>2708188.0</v>
      </c>
      <c r="F1917" s="4">
        <v>-2.0291812E7</v>
      </c>
      <c r="G1917" s="4">
        <f t="array" ref="G1917">IFERROR((C1917-B1917)/C1917*100, "N/A")</f>
        <v>-749.2763427</v>
      </c>
      <c r="J1917" s="1"/>
      <c r="K1917" s="1"/>
    </row>
    <row r="1918" ht="14.25" customHeight="1">
      <c r="A1918" s="1" t="s">
        <v>9483</v>
      </c>
      <c r="B1918" s="1">
        <v>2.3E7</v>
      </c>
      <c r="C1918" s="1">
        <v>1.6123851E7</v>
      </c>
      <c r="F1918" s="4">
        <v>-6876149.0</v>
      </c>
      <c r="G1918" s="4">
        <f t="array" ref="G1918">IFERROR((C1918-B1918)/C1918*100, "N/A")</f>
        <v>-42.64582326</v>
      </c>
      <c r="J1918" s="1"/>
      <c r="K1918" s="1"/>
    </row>
    <row r="1919" ht="14.25" customHeight="1">
      <c r="A1919" s="1">
        <v>1408.0</v>
      </c>
      <c r="B1919" s="1">
        <v>2.5E7</v>
      </c>
      <c r="C1919" s="1">
        <v>7.1975611E7</v>
      </c>
      <c r="F1919" s="4">
        <v>4.6975611E7</v>
      </c>
      <c r="G1919" s="4">
        <f t="array" ref="G1919">IFERROR((C1919-B1919)/C1919*100, "N/A")</f>
        <v>65.26601212</v>
      </c>
      <c r="J1919" s="1"/>
      <c r="K1919" s="1"/>
    </row>
    <row r="1920" ht="14.25" customHeight="1">
      <c r="A1920" s="1" t="s">
        <v>9495</v>
      </c>
      <c r="B1920" s="1">
        <v>2.27E7</v>
      </c>
      <c r="C1920" s="1">
        <v>3.8119483E7</v>
      </c>
      <c r="F1920" s="4">
        <v>1.5419483E7</v>
      </c>
      <c r="G1920" s="4">
        <f t="array" ref="G1920">IFERROR((C1920-B1920)/C1920*100, "N/A")</f>
        <v>40.45039908</v>
      </c>
      <c r="J1920" s="1"/>
      <c r="K1920" s="1"/>
    </row>
    <row r="1921" ht="14.25" customHeight="1">
      <c r="A1921" s="1" t="s">
        <v>9502</v>
      </c>
      <c r="B1921" s="1">
        <v>2.25E7</v>
      </c>
      <c r="C1921" s="1">
        <v>4190530.0</v>
      </c>
      <c r="F1921" s="4">
        <v>-1.830947E7</v>
      </c>
      <c r="G1921" s="4">
        <f t="array" ref="G1921">IFERROR((C1921-B1921)/C1921*100, "N/A")</f>
        <v>-436.9249236</v>
      </c>
      <c r="J1921" s="1"/>
      <c r="K1921" s="1"/>
    </row>
    <row r="1922" ht="14.25" customHeight="1">
      <c r="A1922" s="1" t="s">
        <v>9506</v>
      </c>
      <c r="B1922" s="1">
        <v>2.2E7</v>
      </c>
      <c r="C1922" s="1">
        <v>2.17631306E8</v>
      </c>
      <c r="F1922" s="4">
        <v>1.95631306E8</v>
      </c>
      <c r="G1922" s="4">
        <f t="array" ref="G1922">IFERROR((C1922-B1922)/C1922*100, "N/A")</f>
        <v>89.89116024</v>
      </c>
      <c r="J1922" s="1"/>
      <c r="K1922" s="1"/>
    </row>
    <row r="1923" ht="14.25" customHeight="1">
      <c r="A1923" s="1" t="s">
        <v>9511</v>
      </c>
      <c r="B1923" s="1">
        <v>2.3E7</v>
      </c>
      <c r="C1923" s="1">
        <v>1.76483808E8</v>
      </c>
      <c r="F1923" s="4">
        <v>1.53483808E8</v>
      </c>
      <c r="G1923" s="4">
        <f t="array" ref="G1923">IFERROR((C1923-B1923)/C1923*100, "N/A")</f>
        <v>86.96764295</v>
      </c>
      <c r="J1923" s="1"/>
      <c r="K1923" s="1"/>
    </row>
    <row r="1924" ht="14.25" customHeight="1">
      <c r="A1924" s="1" t="s">
        <v>9514</v>
      </c>
      <c r="B1924" s="1">
        <v>2.2E7</v>
      </c>
      <c r="C1924" s="1">
        <v>1.44833357E8</v>
      </c>
      <c r="F1924" s="4">
        <v>1.22833357E8</v>
      </c>
      <c r="G1924" s="4">
        <f t="array" ref="G1924">IFERROR((C1924-B1924)/C1924*100, "N/A")</f>
        <v>84.81012906</v>
      </c>
      <c r="J1924" s="1"/>
      <c r="K1924" s="1"/>
    </row>
    <row r="1925" ht="14.25" customHeight="1">
      <c r="A1925" s="1" t="s">
        <v>9517</v>
      </c>
      <c r="B1925" s="1">
        <v>2.0E7</v>
      </c>
      <c r="C1925" s="1">
        <v>7.5597042E7</v>
      </c>
      <c r="F1925" s="4">
        <v>5.5597042E7</v>
      </c>
      <c r="G1925" s="4">
        <f t="array" ref="G1925">IFERROR((C1925-B1925)/C1925*100, "N/A")</f>
        <v>73.5439384</v>
      </c>
      <c r="J1925" s="1"/>
      <c r="K1925" s="1"/>
    </row>
    <row r="1926" ht="14.25" customHeight="1">
      <c r="A1926" s="1" t="s">
        <v>9521</v>
      </c>
      <c r="B1926" s="1">
        <v>2.2E7</v>
      </c>
      <c r="C1926" s="1">
        <v>9.0636983E7</v>
      </c>
      <c r="F1926" s="4">
        <v>6.8636983E7</v>
      </c>
      <c r="G1926" s="4">
        <f t="array" ref="G1926">IFERROR((C1926-B1926)/C1926*100, "N/A")</f>
        <v>75.72734741</v>
      </c>
      <c r="J1926" s="1"/>
      <c r="K1926" s="1"/>
    </row>
    <row r="1927" ht="14.25" customHeight="1">
      <c r="A1927" s="1" t="s">
        <v>9524</v>
      </c>
      <c r="B1927" s="1">
        <v>3.5E7</v>
      </c>
      <c r="C1927" s="1">
        <v>7.0960517E7</v>
      </c>
      <c r="F1927" s="4">
        <v>3.5960517E7</v>
      </c>
      <c r="G1927" s="4">
        <f t="array" ref="G1927">IFERROR((C1927-B1927)/C1927*100, "N/A")</f>
        <v>50.67679679</v>
      </c>
      <c r="J1927" s="1"/>
      <c r="K1927" s="1"/>
    </row>
    <row r="1928" ht="14.25" customHeight="1">
      <c r="A1928" s="1" t="s">
        <v>9528</v>
      </c>
      <c r="B1928" s="1">
        <v>2.2E7</v>
      </c>
      <c r="C1928" s="1">
        <v>5.5762229E7</v>
      </c>
      <c r="F1928" s="4">
        <v>3.3762229E7</v>
      </c>
      <c r="G1928" s="4">
        <f t="array" ref="G1928">IFERROR((C1928-B1928)/C1928*100, "N/A")</f>
        <v>60.54677083</v>
      </c>
      <c r="J1928" s="1"/>
      <c r="K1928" s="1"/>
    </row>
    <row r="1929" ht="14.25" customHeight="1">
      <c r="A1929" s="1" t="s">
        <v>9533</v>
      </c>
      <c r="B1929" s="1">
        <v>2.2E7</v>
      </c>
      <c r="C1929" s="1">
        <v>5.4235441E7</v>
      </c>
      <c r="F1929" s="4">
        <v>3.2235441E7</v>
      </c>
      <c r="G1929" s="4">
        <f t="array" ref="G1929">IFERROR((C1929-B1929)/C1929*100, "N/A")</f>
        <v>59.43611853</v>
      </c>
      <c r="J1929" s="1"/>
      <c r="K1929" s="1"/>
    </row>
    <row r="1930" ht="14.25" customHeight="1">
      <c r="A1930" s="1" t="s">
        <v>9539</v>
      </c>
      <c r="B1930" s="1">
        <v>2.2E7</v>
      </c>
      <c r="C1930" s="1">
        <v>5.0728E7</v>
      </c>
      <c r="F1930" s="4">
        <v>2.8728E7</v>
      </c>
      <c r="G1930" s="4">
        <f t="array" ref="G1930">IFERROR((C1930-B1930)/C1930*100, "N/A")</f>
        <v>56.63144614</v>
      </c>
      <c r="J1930" s="1"/>
      <c r="K1930" s="1"/>
    </row>
    <row r="1931" ht="14.25" customHeight="1">
      <c r="A1931" s="1" t="s">
        <v>9544</v>
      </c>
      <c r="B1931" s="1">
        <v>2.2E7</v>
      </c>
      <c r="C1931" s="1">
        <v>4.0270895E7</v>
      </c>
      <c r="F1931" s="4">
        <v>1.8270895E7</v>
      </c>
      <c r="G1931" s="4">
        <f t="array" ref="G1931">IFERROR((C1931-B1931)/C1931*100, "N/A")</f>
        <v>45.36997502</v>
      </c>
      <c r="J1931" s="1"/>
      <c r="K1931" s="1"/>
    </row>
    <row r="1932" ht="14.25" customHeight="1">
      <c r="A1932" s="1" t="s">
        <v>9548</v>
      </c>
      <c r="B1932" s="1">
        <v>2.2E7</v>
      </c>
      <c r="C1932" s="1">
        <v>5.9696176E7</v>
      </c>
      <c r="F1932" s="4">
        <v>3.7696176E7</v>
      </c>
      <c r="G1932" s="4">
        <f t="array" ref="G1932">IFERROR((C1932-B1932)/C1932*100, "N/A")</f>
        <v>63.14671814</v>
      </c>
      <c r="J1932" s="1"/>
      <c r="K1932" s="1"/>
    </row>
    <row r="1933" ht="14.25" customHeight="1">
      <c r="A1933" s="1" t="s">
        <v>9553</v>
      </c>
      <c r="B1933" s="1">
        <v>2.2E7</v>
      </c>
      <c r="C1933" s="1">
        <v>5.1483949E7</v>
      </c>
      <c r="F1933" s="4">
        <v>2.9483949E7</v>
      </c>
      <c r="G1933" s="4">
        <f t="array" ref="G1933">IFERROR((C1933-B1933)/C1933*100, "N/A")</f>
        <v>57.26823519</v>
      </c>
      <c r="J1933" s="1"/>
      <c r="K1933" s="1"/>
    </row>
    <row r="1934" ht="14.25" customHeight="1">
      <c r="A1934" s="1" t="s">
        <v>9557</v>
      </c>
      <c r="B1934" s="1">
        <v>2.2E7</v>
      </c>
      <c r="C1934" s="1">
        <v>3.6020063E7</v>
      </c>
      <c r="F1934" s="4">
        <v>1.4020063E7</v>
      </c>
      <c r="G1934" s="4">
        <f t="array" ref="G1934">IFERROR((C1934-B1934)/C1934*100, "N/A")</f>
        <v>38.92292748</v>
      </c>
      <c r="J1934" s="1"/>
      <c r="K1934" s="1"/>
    </row>
    <row r="1935" ht="14.25" customHeight="1">
      <c r="A1935" s="1" t="s">
        <v>9560</v>
      </c>
      <c r="B1935" s="1">
        <v>2.1E7</v>
      </c>
      <c r="C1935" s="1">
        <v>3.3313582E7</v>
      </c>
      <c r="F1935" s="4">
        <v>1.2313582E7</v>
      </c>
      <c r="G1935" s="4">
        <f t="array" ref="G1935">IFERROR((C1935-B1935)/C1935*100, "N/A")</f>
        <v>36.96264785</v>
      </c>
      <c r="J1935" s="1"/>
      <c r="K1935" s="1"/>
    </row>
    <row r="1936" ht="14.25" customHeight="1">
      <c r="A1936" s="1" t="s">
        <v>9563</v>
      </c>
      <c r="B1936" s="1">
        <v>2.2E7</v>
      </c>
      <c r="C1936" s="1">
        <v>2.5842E7</v>
      </c>
      <c r="F1936" s="4">
        <v>3842000.0</v>
      </c>
      <c r="G1936" s="4">
        <f t="array" ref="G1936">IFERROR((C1936-B1936)/C1936*100, "N/A")</f>
        <v>14.86727034</v>
      </c>
      <c r="J1936" s="1"/>
      <c r="K1936" s="1"/>
    </row>
    <row r="1937" ht="14.25" customHeight="1">
      <c r="A1937" s="1" t="s">
        <v>9568</v>
      </c>
      <c r="B1937" s="1">
        <v>2.2E7</v>
      </c>
      <c r="C1937" s="1">
        <v>2.2264487E7</v>
      </c>
      <c r="F1937" s="4">
        <v>264487.0</v>
      </c>
      <c r="G1937" s="4">
        <f t="array" ref="G1937">IFERROR((C1937-B1937)/C1937*100, "N/A")</f>
        <v>1.187932154</v>
      </c>
      <c r="J1937" s="1"/>
      <c r="K1937" s="1"/>
    </row>
    <row r="1938" ht="14.25" customHeight="1">
      <c r="A1938" s="1" t="s">
        <v>9572</v>
      </c>
      <c r="B1938" s="1">
        <v>2.6E7</v>
      </c>
      <c r="C1938" s="1">
        <v>3.0659817E7</v>
      </c>
      <c r="F1938" s="4">
        <v>4659817.0</v>
      </c>
      <c r="G1938" s="4">
        <f t="array" ref="G1938">IFERROR((C1938-B1938)/C1938*100, "N/A")</f>
        <v>15.19845014</v>
      </c>
      <c r="J1938" s="1"/>
      <c r="K1938" s="1"/>
    </row>
    <row r="1939" ht="14.25" customHeight="1">
      <c r="A1939" s="1" t="s">
        <v>5672</v>
      </c>
      <c r="B1939" s="1">
        <v>4.0E7</v>
      </c>
      <c r="C1939" s="1">
        <v>5773519.0</v>
      </c>
      <c r="F1939" s="4">
        <v>-3.4226481E7</v>
      </c>
      <c r="G1939" s="4">
        <f t="array" ref="G1939">IFERROR((C1939-B1939)/C1939*100, "N/A")</f>
        <v>-592.8183661</v>
      </c>
      <c r="J1939" s="1"/>
      <c r="K1939" s="1"/>
    </row>
    <row r="1940" ht="14.25" customHeight="1">
      <c r="A1940" s="1" t="s">
        <v>9578</v>
      </c>
      <c r="B1940" s="1">
        <v>2.2E7</v>
      </c>
      <c r="C1940" s="1">
        <v>1.9351569E7</v>
      </c>
      <c r="F1940" s="4">
        <v>-2648431.0</v>
      </c>
      <c r="G1940" s="4">
        <f t="array" ref="G1940">IFERROR((C1940-B1940)/C1940*100, "N/A")</f>
        <v>-13.68587219</v>
      </c>
      <c r="J1940" s="1"/>
      <c r="K1940" s="1"/>
    </row>
    <row r="1941" ht="14.25" customHeight="1">
      <c r="A1941" s="1" t="s">
        <v>9583</v>
      </c>
      <c r="B1941" s="1">
        <v>2.2E7</v>
      </c>
      <c r="C1941" s="1">
        <v>4.9002815E7</v>
      </c>
      <c r="F1941" s="4">
        <v>2.7002815E7</v>
      </c>
      <c r="G1941" s="4">
        <f t="array" ref="G1941">IFERROR((C1941-B1941)/C1941*100, "N/A")</f>
        <v>55.10462001</v>
      </c>
      <c r="J1941" s="1"/>
      <c r="K1941" s="1"/>
    </row>
    <row r="1942" ht="14.25" customHeight="1">
      <c r="A1942" s="1" t="s">
        <v>9587</v>
      </c>
      <c r="B1942" s="1">
        <v>2.2E7</v>
      </c>
      <c r="C1942" s="1">
        <v>1.9283782E7</v>
      </c>
      <c r="F1942" s="4">
        <v>-2716218.0</v>
      </c>
      <c r="G1942" s="4">
        <f t="array" ref="G1942">IFERROR((C1942-B1942)/C1942*100, "N/A")</f>
        <v>-14.0855046</v>
      </c>
      <c r="J1942" s="1"/>
      <c r="K1942" s="1"/>
    </row>
    <row r="1943" ht="14.25" customHeight="1">
      <c r="A1943" s="1" t="s">
        <v>9590</v>
      </c>
      <c r="B1943" s="1">
        <v>2.2E7</v>
      </c>
      <c r="C1943" s="1">
        <v>3.0059386E7</v>
      </c>
      <c r="F1943" s="4">
        <v>8059386.0</v>
      </c>
      <c r="G1943" s="4">
        <f t="array" ref="G1943">IFERROR((C1943-B1943)/C1943*100, "N/A")</f>
        <v>26.81154565</v>
      </c>
      <c r="J1943" s="1"/>
      <c r="K1943" s="1"/>
    </row>
    <row r="1944" ht="14.25" customHeight="1">
      <c r="A1944" s="1" t="s">
        <v>1592</v>
      </c>
      <c r="B1944" s="1">
        <v>1.26E8</v>
      </c>
      <c r="C1944" s="1">
        <v>3.5799026E7</v>
      </c>
      <c r="F1944" s="4">
        <v>-9.0200974E7</v>
      </c>
      <c r="G1944" s="4">
        <f t="array" ref="G1944">IFERROR((C1944-B1944)/C1944*100, "N/A")</f>
        <v>-251.9648831</v>
      </c>
      <c r="J1944" s="1"/>
      <c r="K1944" s="1"/>
    </row>
    <row r="1945" ht="14.25" customHeight="1">
      <c r="A1945" s="1" t="s">
        <v>9595</v>
      </c>
      <c r="B1945" s="1">
        <v>3.0E7</v>
      </c>
      <c r="C1945" s="1">
        <v>1.7951431E7</v>
      </c>
      <c r="F1945" s="4">
        <v>-1.2048569E7</v>
      </c>
      <c r="G1945" s="4">
        <f t="array" ref="G1945">IFERROR((C1945-B1945)/C1945*100, "N/A")</f>
        <v>-67.11759636</v>
      </c>
      <c r="J1945" s="1"/>
      <c r="K1945" s="1"/>
    </row>
    <row r="1946" ht="14.25" customHeight="1">
      <c r="A1946" s="1" t="s">
        <v>9599</v>
      </c>
      <c r="B1946" s="1">
        <v>2.2E7</v>
      </c>
      <c r="C1946" s="1">
        <v>2.9997095E7</v>
      </c>
      <c r="F1946" s="4">
        <v>7997095.0</v>
      </c>
      <c r="G1946" s="4">
        <f t="array" ref="G1946">IFERROR((C1946-B1946)/C1946*100, "N/A")</f>
        <v>26.65956487</v>
      </c>
      <c r="J1946" s="1"/>
      <c r="K1946" s="1"/>
    </row>
    <row r="1947" ht="14.25" customHeight="1">
      <c r="A1947" s="1" t="s">
        <v>9604</v>
      </c>
      <c r="B1947" s="1">
        <v>2.2E7</v>
      </c>
      <c r="C1947" s="1">
        <v>1.425283E7</v>
      </c>
      <c r="F1947" s="4">
        <v>-7747170.0</v>
      </c>
      <c r="G1947" s="4">
        <f t="array" ref="G1947">IFERROR((C1947-B1947)/C1947*100, "N/A")</f>
        <v>-54.35531049</v>
      </c>
      <c r="J1947" s="1"/>
      <c r="K1947" s="1"/>
    </row>
    <row r="1948" ht="14.25" customHeight="1">
      <c r="A1948" s="1" t="s">
        <v>9609</v>
      </c>
      <c r="B1948" s="1">
        <v>2.2E7</v>
      </c>
      <c r="C1948" s="1">
        <v>1.9783777E7</v>
      </c>
      <c r="F1948" s="4">
        <v>-2216223.0</v>
      </c>
      <c r="G1948" s="4">
        <f t="array" ref="G1948">IFERROR((C1948-B1948)/C1948*100, "N/A")</f>
        <v>-11.20222392</v>
      </c>
      <c r="J1948" s="1"/>
      <c r="K1948" s="1"/>
    </row>
    <row r="1949" ht="14.25" customHeight="1">
      <c r="A1949" s="1" t="s">
        <v>9613</v>
      </c>
      <c r="B1949" s="1">
        <v>2.2E7</v>
      </c>
      <c r="C1949" s="1">
        <v>1.3555988E7</v>
      </c>
      <c r="F1949" s="4">
        <v>-8444012.0</v>
      </c>
      <c r="G1949" s="4">
        <f t="array" ref="G1949">IFERROR((C1949-B1949)/C1949*100, "N/A")</f>
        <v>-62.28990465</v>
      </c>
      <c r="J1949" s="1"/>
      <c r="K1949" s="1"/>
    </row>
    <row r="1950" ht="14.25" customHeight="1">
      <c r="A1950" s="1" t="s">
        <v>9616</v>
      </c>
      <c r="B1950" s="1">
        <v>2.2E7</v>
      </c>
      <c r="C1950" s="1">
        <v>1.2784713E7</v>
      </c>
      <c r="F1950" s="4">
        <v>-9215287.0</v>
      </c>
      <c r="G1950" s="4">
        <f t="array" ref="G1950">IFERROR((C1950-B1950)/C1950*100, "N/A")</f>
        <v>-72.08051522</v>
      </c>
      <c r="J1950" s="1"/>
      <c r="K1950" s="1"/>
    </row>
    <row r="1951" ht="14.25" customHeight="1">
      <c r="A1951" s="1" t="s">
        <v>9620</v>
      </c>
      <c r="B1951" s="1">
        <v>2.35E7</v>
      </c>
      <c r="C1951" s="1">
        <v>1.069621E7</v>
      </c>
      <c r="F1951" s="4">
        <v>-1.280379E7</v>
      </c>
      <c r="G1951" s="4">
        <f t="array" ref="G1951">IFERROR((C1951-B1951)/C1951*100, "N/A")</f>
        <v>-119.7039886</v>
      </c>
      <c r="J1951" s="1"/>
      <c r="K1951" s="1"/>
    </row>
    <row r="1952" ht="14.25" customHeight="1">
      <c r="A1952" s="1" t="s">
        <v>9624</v>
      </c>
      <c r="B1952" s="1">
        <v>2.2E7</v>
      </c>
      <c r="C1952" s="1">
        <v>5974653.0</v>
      </c>
      <c r="F1952" s="4">
        <v>-1.6025347E7</v>
      </c>
      <c r="G1952" s="4">
        <f t="array" ref="G1952">IFERROR((C1952-B1952)/C1952*100, "N/A")</f>
        <v>-268.2222214</v>
      </c>
      <c r="J1952" s="1"/>
      <c r="K1952" s="1"/>
    </row>
    <row r="1953" ht="14.25" customHeight="1">
      <c r="A1953" s="1" t="s">
        <v>9628</v>
      </c>
      <c r="B1953" s="1">
        <v>2.5E7</v>
      </c>
      <c r="C1953" s="1">
        <v>5000000.0</v>
      </c>
      <c r="F1953" s="4">
        <v>-2.0E7</v>
      </c>
      <c r="G1953" s="4">
        <f t="array" ref="G1953">IFERROR((C1953-B1953)/C1953*100, "N/A")</f>
        <v>-400</v>
      </c>
      <c r="J1953" s="1"/>
      <c r="K1953" s="1"/>
    </row>
    <row r="1954" ht="14.25" customHeight="1">
      <c r="A1954" s="1" t="s">
        <v>9635</v>
      </c>
      <c r="B1954" s="1">
        <v>2.2E7</v>
      </c>
      <c r="C1954" s="1">
        <v>9694105.0</v>
      </c>
      <c r="F1954" s="4">
        <v>-1.2305895E7</v>
      </c>
      <c r="G1954" s="4">
        <f t="array" ref="G1954">IFERROR((C1954-B1954)/C1954*100, "N/A")</f>
        <v>-126.9420436</v>
      </c>
      <c r="J1954" s="1"/>
      <c r="K1954" s="1"/>
    </row>
    <row r="1955" ht="14.25" customHeight="1">
      <c r="A1955" s="1" t="s">
        <v>9638</v>
      </c>
      <c r="B1955" s="1">
        <v>2.5E7</v>
      </c>
      <c r="C1955" s="1">
        <v>1.6027866E7</v>
      </c>
      <c r="F1955" s="4">
        <v>-8972134.0</v>
      </c>
      <c r="G1955" s="4">
        <f t="array" ref="G1955">IFERROR((C1955-B1955)/C1955*100, "N/A")</f>
        <v>-55.97834422</v>
      </c>
      <c r="J1955" s="1"/>
      <c r="K1955" s="1"/>
    </row>
    <row r="1956" ht="14.25" customHeight="1">
      <c r="A1956" s="1" t="s">
        <v>9642</v>
      </c>
      <c r="B1956" s="1">
        <v>2.1E7</v>
      </c>
      <c r="C1956" s="1">
        <v>4398392.0</v>
      </c>
      <c r="F1956" s="4">
        <v>-1.6601608E7</v>
      </c>
      <c r="G1956" s="4">
        <f t="array" ref="G1956">IFERROR((C1956-B1956)/C1956*100, "N/A")</f>
        <v>-377.4472125</v>
      </c>
      <c r="J1956" s="1"/>
      <c r="K1956" s="1"/>
    </row>
    <row r="1957" ht="14.25" customHeight="1">
      <c r="A1957" s="1" t="s">
        <v>9649</v>
      </c>
      <c r="B1957" s="1">
        <v>2.2E7</v>
      </c>
      <c r="C1957" s="1">
        <v>1050445.0</v>
      </c>
      <c r="F1957" s="4">
        <v>-2.0949555E7</v>
      </c>
      <c r="G1957" s="4">
        <f t="array" ref="G1957">IFERROR((C1957-B1957)/C1957*100, "N/A")</f>
        <v>-1994.35049</v>
      </c>
      <c r="J1957" s="1"/>
      <c r="K1957" s="1"/>
    </row>
    <row r="1958" ht="14.25" customHeight="1">
      <c r="A1958" s="1" t="s">
        <v>9654</v>
      </c>
      <c r="B1958" s="1">
        <v>2000000.0</v>
      </c>
      <c r="C1958" s="1">
        <v>1.374655E7</v>
      </c>
      <c r="F1958" s="4">
        <v>1.174655E7</v>
      </c>
      <c r="G1958" s="4">
        <f t="array" ref="G1958">IFERROR((C1958-B1958)/C1958*100, "N/A")</f>
        <v>85.45089495</v>
      </c>
      <c r="J1958" s="1"/>
      <c r="K1958" s="1"/>
    </row>
    <row r="1959" ht="14.25" customHeight="1">
      <c r="A1959" s="1" t="s">
        <v>9657</v>
      </c>
      <c r="B1959" s="1">
        <v>2.2E7</v>
      </c>
      <c r="C1959" s="1">
        <v>2.0668843E7</v>
      </c>
      <c r="F1959" s="4">
        <v>-1331157.0</v>
      </c>
      <c r="G1959" s="4">
        <f t="array" ref="G1959">IFERROR((C1959-B1959)/C1959*100, "N/A")</f>
        <v>-6.440404042</v>
      </c>
      <c r="J1959" s="1"/>
      <c r="K1959" s="1"/>
    </row>
    <row r="1960" ht="14.25" customHeight="1">
      <c r="A1960" s="1" t="s">
        <v>9662</v>
      </c>
      <c r="B1960" s="1">
        <v>2.2E7</v>
      </c>
      <c r="C1960" s="1">
        <v>2963012.0</v>
      </c>
      <c r="F1960" s="4">
        <v>-1.9036988E7</v>
      </c>
      <c r="G1960" s="4">
        <f t="array" ref="G1960">IFERROR((C1960-B1960)/C1960*100, "N/A")</f>
        <v>-642.4877118</v>
      </c>
      <c r="J1960" s="1"/>
      <c r="K1960" s="1"/>
    </row>
    <row r="1961" ht="14.25" customHeight="1">
      <c r="A1961" s="1" t="s">
        <v>9668</v>
      </c>
      <c r="B1961" s="1">
        <v>2.2E7</v>
      </c>
      <c r="C1961" s="1">
        <v>1796024.0</v>
      </c>
      <c r="F1961" s="4">
        <v>-2.0203976E7</v>
      </c>
      <c r="G1961" s="4">
        <f t="array" ref="G1961">IFERROR((C1961-B1961)/C1961*100, "N/A")</f>
        <v>-1124.927952</v>
      </c>
      <c r="J1961" s="1"/>
      <c r="K1961" s="1"/>
    </row>
    <row r="1962" ht="14.25" customHeight="1">
      <c r="A1962" s="1" t="s">
        <v>9672</v>
      </c>
      <c r="B1962" s="1">
        <v>1.6E7</v>
      </c>
      <c r="C1962" s="1">
        <v>634277.0</v>
      </c>
      <c r="F1962" s="4">
        <v>-1.5365723E7</v>
      </c>
      <c r="G1962" s="4">
        <f t="array" ref="G1962">IFERROR((C1962-B1962)/C1962*100, "N/A")</f>
        <v>-2422.557179</v>
      </c>
      <c r="J1962" s="1"/>
      <c r="K1962" s="1"/>
    </row>
    <row r="1963" ht="14.25" customHeight="1">
      <c r="A1963" s="1" t="s">
        <v>9679</v>
      </c>
      <c r="B1963" s="1">
        <v>2.2E7</v>
      </c>
      <c r="C1963" s="1">
        <v>1.1326836E7</v>
      </c>
      <c r="F1963" s="4">
        <v>-1.0673164E7</v>
      </c>
      <c r="G1963" s="4">
        <f t="array" ref="G1963">IFERROR((C1963-B1963)/C1963*100, "N/A")</f>
        <v>-94.2289974</v>
      </c>
      <c r="J1963" s="1"/>
      <c r="K1963" s="1"/>
    </row>
    <row r="1964" ht="14.25" customHeight="1">
      <c r="A1964" s="1" t="s">
        <v>9683</v>
      </c>
      <c r="B1964" s="1">
        <v>2.5E7</v>
      </c>
      <c r="C1964" s="1">
        <v>4.9024969E7</v>
      </c>
      <c r="F1964" s="4">
        <v>2.4024969E7</v>
      </c>
      <c r="G1964" s="4">
        <f t="array" ref="G1964">IFERROR((C1964-B1964)/C1964*100, "N/A")</f>
        <v>49.00557714</v>
      </c>
      <c r="J1964" s="1"/>
      <c r="K1964" s="1"/>
    </row>
    <row r="1965" ht="14.25" customHeight="1">
      <c r="A1965" s="1" t="s">
        <v>9686</v>
      </c>
      <c r="B1965" s="1">
        <v>2.15E7</v>
      </c>
      <c r="C1965" s="1">
        <v>2.2294341E7</v>
      </c>
      <c r="F1965" s="4">
        <v>794341.0</v>
      </c>
      <c r="G1965" s="4">
        <f t="array" ref="G1965">IFERROR((C1965-B1965)/C1965*100, "N/A")</f>
        <v>3.562971428</v>
      </c>
      <c r="J1965" s="1"/>
      <c r="K1965" s="1"/>
    </row>
    <row r="1966" ht="14.25" customHeight="1">
      <c r="A1966" s="1" t="s">
        <v>9689</v>
      </c>
      <c r="B1966" s="1">
        <v>2.15E7</v>
      </c>
      <c r="C1966" s="1">
        <v>2.4362501E7</v>
      </c>
      <c r="F1966" s="4">
        <v>2862501.0</v>
      </c>
      <c r="G1966" s="4">
        <f t="array" ref="G1966">IFERROR((C1966-B1966)/C1966*100, "N/A")</f>
        <v>11.74961881</v>
      </c>
      <c r="J1966" s="1"/>
      <c r="K1966" s="1"/>
    </row>
    <row r="1967" ht="14.25" customHeight="1">
      <c r="A1967" s="1" t="s">
        <v>9692</v>
      </c>
      <c r="B1967" s="1">
        <v>1.7E7</v>
      </c>
      <c r="C1967" s="1">
        <v>1.6684352E7</v>
      </c>
      <c r="F1967" s="4">
        <v>-315648.0</v>
      </c>
      <c r="G1967" s="4">
        <f t="array" ref="G1967">IFERROR((C1967-B1967)/C1967*100, "N/A")</f>
        <v>-1.891880488</v>
      </c>
      <c r="J1967" s="1"/>
      <c r="K1967" s="1"/>
    </row>
    <row r="1968" ht="14.25" customHeight="1">
      <c r="A1968" s="1" t="s">
        <v>9697</v>
      </c>
      <c r="B1968" s="1">
        <v>2.1E7</v>
      </c>
      <c r="C1968" s="1">
        <v>4.67E7</v>
      </c>
      <c r="F1968" s="4">
        <v>2.57E7</v>
      </c>
      <c r="G1968" s="4">
        <f t="array" ref="G1968">IFERROR((C1968-B1968)/C1968*100, "N/A")</f>
        <v>55.03211991</v>
      </c>
      <c r="J1968" s="1"/>
      <c r="K1968" s="1"/>
    </row>
    <row r="1969" ht="14.25" customHeight="1">
      <c r="A1969" s="1" t="s">
        <v>9703</v>
      </c>
      <c r="B1969" s="1">
        <v>2.1E7</v>
      </c>
      <c r="C1969" s="1">
        <v>5.2008288E7</v>
      </c>
      <c r="F1969" s="4">
        <v>3.1008288E7</v>
      </c>
      <c r="G1969" s="4">
        <f t="array" ref="G1969">IFERROR((C1969-B1969)/C1969*100, "N/A")</f>
        <v>59.62182028</v>
      </c>
      <c r="J1969" s="1"/>
      <c r="K1969" s="1"/>
    </row>
    <row r="1970" ht="14.25" customHeight="1">
      <c r="A1970" s="1" t="s">
        <v>9707</v>
      </c>
      <c r="B1970" s="1">
        <v>9000000.0</v>
      </c>
      <c r="C1970" s="1">
        <v>8579684.0</v>
      </c>
      <c r="F1970" s="4">
        <v>-420316.0</v>
      </c>
      <c r="G1970" s="4">
        <f t="array" ref="G1970">IFERROR((C1970-B1970)/C1970*100, "N/A")</f>
        <v>-4.898968307</v>
      </c>
      <c r="J1970" s="1"/>
      <c r="K1970" s="1"/>
    </row>
    <row r="1971" ht="14.25" customHeight="1">
      <c r="A1971" s="1" t="s">
        <v>9711</v>
      </c>
      <c r="B1971" s="1">
        <v>1.7E7</v>
      </c>
      <c r="C1971" s="1">
        <v>4.266E7</v>
      </c>
      <c r="F1971" s="4">
        <v>2.566E7</v>
      </c>
      <c r="G1971" s="4">
        <f t="array" ref="G1971">IFERROR((C1971-B1971)/C1971*100, "N/A")</f>
        <v>60.15002344</v>
      </c>
      <c r="J1971" s="1"/>
      <c r="K1971" s="1"/>
    </row>
    <row r="1972" ht="14.25" customHeight="1">
      <c r="A1972" s="1" t="s">
        <v>9715</v>
      </c>
      <c r="B1972" s="1">
        <v>2.1E7</v>
      </c>
      <c r="C1972" s="1">
        <v>4.0219708E7</v>
      </c>
      <c r="F1972" s="4">
        <v>1.9219708E7</v>
      </c>
      <c r="G1972" s="4">
        <f t="array" ref="G1972">IFERROR((C1972-B1972)/C1972*100, "N/A")</f>
        <v>47.78679149</v>
      </c>
      <c r="J1972" s="1"/>
      <c r="K1972" s="1"/>
    </row>
    <row r="1973" ht="14.25" customHeight="1">
      <c r="A1973" s="1" t="s">
        <v>9719</v>
      </c>
      <c r="B1973" s="1">
        <v>2.1E7</v>
      </c>
      <c r="C1973" s="1">
        <v>1.3208891E8</v>
      </c>
      <c r="F1973" s="4">
        <v>1.1108891E8</v>
      </c>
      <c r="G1973" s="4">
        <f t="array" ref="G1973">IFERROR((C1973-B1973)/C1973*100, "N/A")</f>
        <v>84.10161761</v>
      </c>
      <c r="J1973" s="1"/>
      <c r="K1973" s="1"/>
    </row>
    <row r="1974" ht="14.25" customHeight="1">
      <c r="A1974" s="1" t="s">
        <v>9722</v>
      </c>
      <c r="B1974" s="1">
        <v>2.1E7</v>
      </c>
      <c r="C1974" s="1">
        <v>3.6581633E7</v>
      </c>
      <c r="F1974" s="4">
        <v>1.5581633E7</v>
      </c>
      <c r="G1974" s="4">
        <f t="array" ref="G1974">IFERROR((C1974-B1974)/C1974*100, "N/A")</f>
        <v>42.5941428</v>
      </c>
      <c r="J1974" s="1"/>
      <c r="K1974" s="1"/>
    </row>
    <row r="1975" ht="14.25" customHeight="1">
      <c r="A1975" s="1" t="s">
        <v>9725</v>
      </c>
      <c r="B1975" s="1">
        <v>2.1E7</v>
      </c>
      <c r="C1975" s="1">
        <v>2.5296447E7</v>
      </c>
      <c r="F1975" s="4">
        <v>4296447.0</v>
      </c>
      <c r="G1975" s="4">
        <f t="array" ref="G1975">IFERROR((C1975-B1975)/C1975*100, "N/A")</f>
        <v>16.98438915</v>
      </c>
      <c r="J1975" s="1"/>
      <c r="K1975" s="1"/>
    </row>
    <row r="1976" ht="14.25" customHeight="1">
      <c r="A1976" s="1" t="s">
        <v>9730</v>
      </c>
      <c r="B1976" s="1">
        <v>2.0E7</v>
      </c>
      <c r="C1976" s="1">
        <v>2.4848292E7</v>
      </c>
      <c r="F1976" s="4">
        <v>4848292.0</v>
      </c>
      <c r="G1976" s="4">
        <f t="array" ref="G1976">IFERROR((C1976-B1976)/C1976*100, "N/A")</f>
        <v>19.51157045</v>
      </c>
      <c r="J1976" s="1"/>
      <c r="K1976" s="1"/>
    </row>
    <row r="1977" ht="14.25" customHeight="1">
      <c r="A1977" s="1" t="s">
        <v>9735</v>
      </c>
      <c r="B1977" s="1">
        <v>2.1E7</v>
      </c>
      <c r="C1977" s="1">
        <v>1.7757087E7</v>
      </c>
      <c r="F1977" s="4">
        <v>-3242913.0</v>
      </c>
      <c r="G1977" s="4">
        <f t="array" ref="G1977">IFERROR((C1977-B1977)/C1977*100, "N/A")</f>
        <v>-18.26264071</v>
      </c>
      <c r="J1977" s="1"/>
      <c r="K1977" s="1"/>
    </row>
    <row r="1978" ht="14.25" customHeight="1">
      <c r="A1978" s="1" t="s">
        <v>9740</v>
      </c>
      <c r="B1978" s="1">
        <v>1.7E7</v>
      </c>
      <c r="C1978" s="1">
        <v>9430988.0</v>
      </c>
      <c r="F1978" s="4">
        <v>-7569012.0</v>
      </c>
      <c r="G1978" s="4">
        <f t="array" ref="G1978">IFERROR((C1978-B1978)/C1978*100, "N/A")</f>
        <v>-80.25682993</v>
      </c>
      <c r="J1978" s="1"/>
      <c r="K1978" s="1"/>
    </row>
    <row r="1979" ht="14.25" customHeight="1">
      <c r="A1979" s="1" t="s">
        <v>9744</v>
      </c>
      <c r="B1979" s="1">
        <v>2.1E7</v>
      </c>
      <c r="C1979" s="1">
        <v>1.628436E7</v>
      </c>
      <c r="F1979" s="4">
        <v>-4715640.0</v>
      </c>
      <c r="G1979" s="4">
        <f t="array" ref="G1979">IFERROR((C1979-B1979)/C1979*100, "N/A")</f>
        <v>-28.9580923</v>
      </c>
      <c r="J1979" s="1"/>
      <c r="K1979" s="1"/>
    </row>
    <row r="1980" ht="14.25" customHeight="1">
      <c r="A1980" s="1" t="s">
        <v>9747</v>
      </c>
      <c r="B1980" s="1">
        <v>2.1E7</v>
      </c>
      <c r="C1980" s="1">
        <v>6830957.0</v>
      </c>
      <c r="F1980" s="4">
        <v>-1.4169043E7</v>
      </c>
      <c r="G1980" s="4">
        <f t="array" ref="G1980">IFERROR((C1980-B1980)/C1980*100, "N/A")</f>
        <v>-207.4239817</v>
      </c>
      <c r="J1980" s="1"/>
      <c r="K1980" s="1"/>
    </row>
    <row r="1981" ht="14.25" customHeight="1">
      <c r="A1981" s="1" t="s">
        <v>9751</v>
      </c>
      <c r="B1981" s="1">
        <v>2.0E7</v>
      </c>
      <c r="C1981" s="1">
        <v>2.4104113E7</v>
      </c>
      <c r="F1981" s="4">
        <v>4104113.0</v>
      </c>
      <c r="G1981" s="4">
        <f t="array" ref="G1981">IFERROR((C1981-B1981)/C1981*100, "N/A")</f>
        <v>17.0266087</v>
      </c>
      <c r="J1981" s="1"/>
      <c r="K1981" s="1"/>
    </row>
    <row r="1982" ht="14.25" customHeight="1">
      <c r="A1982" s="1" t="s">
        <v>9755</v>
      </c>
      <c r="B1982" s="1">
        <v>2.1E7</v>
      </c>
      <c r="C1982" s="1">
        <v>15593.0</v>
      </c>
      <c r="F1982" s="4">
        <v>-2.0984407E7</v>
      </c>
      <c r="G1982" s="4">
        <f t="array" ref="G1982">IFERROR((C1982-B1982)/C1982*100, "N/A")</f>
        <v>-134575.8161</v>
      </c>
      <c r="J1982" s="1"/>
      <c r="K1982" s="1"/>
    </row>
    <row r="1983" ht="14.25" customHeight="1">
      <c r="A1983" s="1" t="s">
        <v>9761</v>
      </c>
      <c r="B1983" s="1">
        <v>2.1E7</v>
      </c>
      <c r="C1983" s="1">
        <v>958319.0</v>
      </c>
      <c r="F1983" s="4">
        <v>-2.0041681E7</v>
      </c>
      <c r="G1983" s="4">
        <f t="array" ref="G1983">IFERROR((C1983-B1983)/C1983*100, "N/A")</f>
        <v>-2091.337123</v>
      </c>
      <c r="J1983" s="1"/>
      <c r="K1983" s="1"/>
    </row>
    <row r="1984" ht="14.25" customHeight="1">
      <c r="A1984" s="1" t="s">
        <v>9765</v>
      </c>
      <c r="B1984" s="1">
        <v>3.5E7</v>
      </c>
      <c r="C1984" s="1">
        <v>6.97E7</v>
      </c>
      <c r="F1984" s="4">
        <v>3.47E7</v>
      </c>
      <c r="G1984" s="4">
        <f t="array" ref="G1984">IFERROR((C1984-B1984)/C1984*100, "N/A")</f>
        <v>49.78479197</v>
      </c>
      <c r="J1984" s="1"/>
      <c r="K1984" s="1"/>
    </row>
    <row r="1985" ht="14.25" customHeight="1">
      <c r="A1985" s="1" t="s">
        <v>9769</v>
      </c>
      <c r="B1985" s="1">
        <v>3.1E7</v>
      </c>
      <c r="C1985" s="1">
        <v>2840417.0</v>
      </c>
      <c r="F1985" s="4">
        <v>-2.8159583E7</v>
      </c>
      <c r="G1985" s="4">
        <f t="array" ref="G1985">IFERROR((C1985-B1985)/C1985*100, "N/A")</f>
        <v>-991.389046</v>
      </c>
      <c r="J1985" s="1"/>
      <c r="K1985" s="1"/>
    </row>
    <row r="1986" ht="14.25" customHeight="1">
      <c r="A1986" s="1" t="s">
        <v>9772</v>
      </c>
      <c r="B1986" s="1">
        <v>1.8E7</v>
      </c>
      <c r="C1986" s="1">
        <v>2.42374454E8</v>
      </c>
      <c r="F1986" s="4">
        <v>2.24374454E8</v>
      </c>
      <c r="G1986" s="4">
        <f t="array" ref="G1986">IFERROR((C1986-B1986)/C1986*100, "N/A")</f>
        <v>92.57347476</v>
      </c>
      <c r="J1986" s="1"/>
      <c r="K1986" s="1"/>
    </row>
    <row r="1987" ht="14.25" customHeight="1">
      <c r="A1987" s="1" t="s">
        <v>9775</v>
      </c>
      <c r="B1987" s="1">
        <v>1.8E7</v>
      </c>
      <c r="C1987" s="1">
        <v>1.73585516E8</v>
      </c>
      <c r="F1987" s="4">
        <v>1.55585516E8</v>
      </c>
      <c r="G1987" s="4">
        <f t="array" ref="G1987">IFERROR((C1987-B1987)/C1987*100, "N/A")</f>
        <v>89.63047124</v>
      </c>
      <c r="J1987" s="1"/>
      <c r="K1987" s="1"/>
    </row>
    <row r="1988" ht="14.25" customHeight="1">
      <c r="A1988" s="1" t="s">
        <v>9778</v>
      </c>
      <c r="B1988" s="1">
        <v>1.940087E7</v>
      </c>
      <c r="C1988" s="1">
        <v>1.283E8</v>
      </c>
      <c r="F1988" s="4">
        <v>1.0889913E8</v>
      </c>
      <c r="G1988" s="4">
        <f t="array" ref="G1988">IFERROR((C1988-B1988)/C1988*100, "N/A")</f>
        <v>84.8785113</v>
      </c>
      <c r="J1988" s="1"/>
      <c r="K1988" s="1"/>
    </row>
    <row r="1989" ht="14.25" customHeight="1">
      <c r="A1989" s="1" t="s">
        <v>9783</v>
      </c>
      <c r="B1989" s="1">
        <v>2.0E7</v>
      </c>
      <c r="C1989" s="1">
        <v>2.0259297E7</v>
      </c>
      <c r="F1989" s="4">
        <v>259297.0</v>
      </c>
      <c r="G1989" s="4">
        <f t="array" ref="G1989">IFERROR((C1989-B1989)/C1989*100, "N/A")</f>
        <v>1.2798914</v>
      </c>
      <c r="J1989" s="1"/>
      <c r="K1989" s="1"/>
    </row>
    <row r="1990" ht="14.25" customHeight="1">
      <c r="A1990" s="1" t="s">
        <v>9787</v>
      </c>
      <c r="B1990" s="1">
        <v>2.8E7</v>
      </c>
      <c r="C1990" s="1">
        <v>1.53665036E8</v>
      </c>
      <c r="F1990" s="4">
        <v>1.25665036E8</v>
      </c>
      <c r="G1990" s="4">
        <f t="array" ref="G1990">IFERROR((C1990-B1990)/C1990*100, "N/A")</f>
        <v>81.7785485</v>
      </c>
      <c r="J1990" s="1"/>
      <c r="K1990" s="1"/>
    </row>
    <row r="1991" ht="14.25" customHeight="1">
      <c r="A1991" s="1" t="s">
        <v>9790</v>
      </c>
      <c r="B1991" s="1">
        <v>3.3E7</v>
      </c>
      <c r="C1991" s="1">
        <v>1.32541238E8</v>
      </c>
      <c r="F1991" s="4">
        <v>9.9541238E7</v>
      </c>
      <c r="G1991" s="4">
        <f t="array" ref="G1991">IFERROR((C1991-B1991)/C1991*100, "N/A")</f>
        <v>75.1020886</v>
      </c>
      <c r="J1991" s="1"/>
      <c r="K1991" s="1"/>
    </row>
    <row r="1992" ht="14.25" customHeight="1">
      <c r="A1992" s="1" t="s">
        <v>9795</v>
      </c>
      <c r="B1992" s="1">
        <v>1.9E7</v>
      </c>
      <c r="C1992" s="1">
        <v>1.30727E8</v>
      </c>
      <c r="F1992" s="4">
        <v>1.11727E8</v>
      </c>
      <c r="G1992" s="4">
        <f t="array" ref="G1992">IFERROR((C1992-B1992)/C1992*100, "N/A")</f>
        <v>85.46589457</v>
      </c>
      <c r="J1992" s="1"/>
      <c r="K1992" s="1"/>
    </row>
    <row r="1993" ht="14.25" customHeight="1">
      <c r="A1993" s="1" t="s">
        <v>9799</v>
      </c>
      <c r="B1993" s="1">
        <v>2.0E7</v>
      </c>
      <c r="C1993" s="1">
        <v>1.2169735E8</v>
      </c>
      <c r="F1993" s="4">
        <v>1.0169735E8</v>
      </c>
      <c r="G1993" s="4">
        <f t="array" ref="G1993">IFERROR((C1993-B1993)/C1993*100, "N/A")</f>
        <v>83.56578841</v>
      </c>
      <c r="J1993" s="1"/>
      <c r="K1993" s="1"/>
    </row>
    <row r="1994" ht="14.25" customHeight="1">
      <c r="A1994" s="1" t="s">
        <v>9803</v>
      </c>
      <c r="B1994" s="1">
        <v>2.0E7</v>
      </c>
      <c r="C1994" s="1">
        <v>1.17224271E8</v>
      </c>
      <c r="F1994" s="4">
        <v>9.7224271E7</v>
      </c>
      <c r="G1994" s="4">
        <f t="array" ref="G1994">IFERROR((C1994-B1994)/C1994*100, "N/A")</f>
        <v>82.93868682</v>
      </c>
      <c r="J1994" s="1"/>
      <c r="K1994" s="1"/>
    </row>
    <row r="1995" ht="14.25" customHeight="1">
      <c r="A1995" s="1" t="s">
        <v>9811</v>
      </c>
      <c r="B1995" s="1">
        <v>2.0E7</v>
      </c>
      <c r="C1995" s="1">
        <v>1.02922376E8</v>
      </c>
      <c r="F1995" s="4">
        <v>8.2922376E7</v>
      </c>
      <c r="G1995" s="4">
        <f t="array" ref="G1995">IFERROR((C1995-B1995)/C1995*100, "N/A")</f>
        <v>80.56787962</v>
      </c>
      <c r="J1995" s="1"/>
      <c r="K1995" s="1"/>
    </row>
    <row r="1996" ht="14.25" customHeight="1">
      <c r="A1996" s="1" t="s">
        <v>9817</v>
      </c>
      <c r="B1996" s="1">
        <v>2.0E7</v>
      </c>
      <c r="C1996" s="1">
        <v>9.4497271E7</v>
      </c>
      <c r="F1996" s="4">
        <v>7.4497271E7</v>
      </c>
      <c r="G1996" s="4">
        <f t="array" ref="G1996">IFERROR((C1996-B1996)/C1996*100, "N/A")</f>
        <v>78.83536764</v>
      </c>
      <c r="J1996" s="1"/>
      <c r="K1996" s="1"/>
    </row>
    <row r="1997" ht="14.25" customHeight="1">
      <c r="A1997" s="1" t="s">
        <v>9822</v>
      </c>
      <c r="B1997" s="1">
        <v>2.0E7</v>
      </c>
      <c r="C1997" s="1">
        <v>1.37387272E8</v>
      </c>
      <c r="F1997" s="4">
        <v>1.17387272E8</v>
      </c>
      <c r="G1997" s="4">
        <f t="array" ref="G1997">IFERROR((C1997-B1997)/C1997*100, "N/A")</f>
        <v>85.44261072</v>
      </c>
      <c r="J1997" s="1"/>
      <c r="K1997" s="1"/>
    </row>
    <row r="1998" ht="14.25" customHeight="1">
      <c r="A1998" s="1" t="s">
        <v>9826</v>
      </c>
      <c r="B1998" s="1">
        <v>3.2E7</v>
      </c>
      <c r="C1998" s="1">
        <v>8.2301521E7</v>
      </c>
      <c r="F1998" s="4">
        <v>5.0301521E7</v>
      </c>
      <c r="G1998" s="4">
        <f t="array" ref="G1998">IFERROR((C1998-B1998)/C1998*100, "N/A")</f>
        <v>61.11858006</v>
      </c>
      <c r="J1998" s="1"/>
      <c r="K1998" s="1"/>
    </row>
    <row r="1999" ht="14.25" customHeight="1">
      <c r="A1999" s="1" t="s">
        <v>9829</v>
      </c>
      <c r="B1999" s="1">
        <v>2.0E7</v>
      </c>
      <c r="C1999" s="1">
        <v>8.4518155E7</v>
      </c>
      <c r="F1999" s="4">
        <v>6.4518155E7</v>
      </c>
      <c r="G1999" s="4">
        <f t="array" ref="G1999">IFERROR((C1999-B1999)/C1999*100, "N/A")</f>
        <v>76.33644511</v>
      </c>
      <c r="J1999" s="1"/>
      <c r="K1999" s="1"/>
    </row>
    <row r="2000" ht="14.25" customHeight="1">
      <c r="A2000" s="1" t="s">
        <v>6461</v>
      </c>
      <c r="B2000" s="1">
        <v>2.0E7</v>
      </c>
      <c r="C2000" s="1">
        <v>8.0050171E7</v>
      </c>
      <c r="F2000" s="4">
        <v>6.0050171E7</v>
      </c>
      <c r="G2000" s="4">
        <f t="array" ref="G2000">IFERROR((C2000-B2000)/C2000*100, "N/A")</f>
        <v>75.01566861</v>
      </c>
      <c r="J2000" s="1"/>
      <c r="K2000" s="1"/>
    </row>
    <row r="2001" ht="14.25" customHeight="1">
      <c r="A2001" s="1" t="s">
        <v>9833</v>
      </c>
      <c r="B2001" s="1">
        <v>3.5E7</v>
      </c>
      <c r="C2001" s="1">
        <v>8.1257845E7</v>
      </c>
      <c r="F2001" s="4">
        <v>4.6257845E7</v>
      </c>
      <c r="G2001" s="4">
        <f t="array" ref="G2001">IFERROR((C2001-B2001)/C2001*100, "N/A")</f>
        <v>56.92723576</v>
      </c>
      <c r="J2001" s="1"/>
      <c r="K2001" s="1"/>
    </row>
    <row r="2002" ht="14.25" customHeight="1">
      <c r="A2002" s="1" t="s">
        <v>9837</v>
      </c>
      <c r="B2002" s="1">
        <v>1.8E7</v>
      </c>
      <c r="C2002" s="1">
        <v>7.0360285E7</v>
      </c>
      <c r="F2002" s="4">
        <v>5.2360285E7</v>
      </c>
      <c r="G2002" s="4">
        <f t="array" ref="G2002">IFERROR((C2002-B2002)/C2002*100, "N/A")</f>
        <v>74.41738617</v>
      </c>
      <c r="J2002" s="1"/>
      <c r="K2002" s="1"/>
    </row>
    <row r="2003" ht="14.25" customHeight="1">
      <c r="A2003" s="1" t="s">
        <v>8031</v>
      </c>
      <c r="B2003" s="1">
        <v>3.0E7</v>
      </c>
      <c r="C2003" s="1">
        <v>1.2831121E7</v>
      </c>
      <c r="F2003" s="4">
        <v>-1.7168879E7</v>
      </c>
      <c r="G2003" s="4">
        <f t="array" ref="G2003">IFERROR((C2003-B2003)/C2003*100, "N/A")</f>
        <v>-133.8065396</v>
      </c>
      <c r="J2003" s="1"/>
      <c r="K2003" s="1"/>
    </row>
    <row r="2004" ht="14.25" customHeight="1">
      <c r="A2004" s="1" t="s">
        <v>9840</v>
      </c>
      <c r="B2004" s="1">
        <v>3.7E7</v>
      </c>
      <c r="C2004" s="1">
        <v>6.9148997E7</v>
      </c>
      <c r="F2004" s="4">
        <v>3.2148997E7</v>
      </c>
      <c r="G2004" s="4">
        <f t="array" ref="G2004">IFERROR((C2004-B2004)/C2004*100, "N/A")</f>
        <v>46.49235476</v>
      </c>
      <c r="J2004" s="1"/>
      <c r="K2004" s="1"/>
    </row>
    <row r="2005" ht="14.25" customHeight="1">
      <c r="A2005" s="1" t="s">
        <v>9843</v>
      </c>
      <c r="B2005" s="1">
        <v>2.0E7</v>
      </c>
      <c r="C2005" s="1">
        <v>8.2624961E7</v>
      </c>
      <c r="F2005" s="4">
        <v>6.2624961E7</v>
      </c>
      <c r="G2005" s="4">
        <f t="array" ref="G2005">IFERROR((C2005-B2005)/C2005*100, "N/A")</f>
        <v>75.79423971</v>
      </c>
      <c r="J2005" s="1"/>
      <c r="K2005" s="1"/>
    </row>
    <row r="2006" ht="14.25" customHeight="1">
      <c r="A2006" s="1" t="s">
        <v>9848</v>
      </c>
      <c r="B2006" s="1">
        <v>2.0E7</v>
      </c>
      <c r="C2006" s="1">
        <v>6.7325559E7</v>
      </c>
      <c r="F2006" s="4">
        <v>4.7325559E7</v>
      </c>
      <c r="G2006" s="4">
        <f t="array" ref="G2006">IFERROR((C2006-B2006)/C2006*100, "N/A")</f>
        <v>70.29359979</v>
      </c>
      <c r="J2006" s="1"/>
      <c r="K2006" s="1"/>
    </row>
    <row r="2007" ht="14.25" customHeight="1">
      <c r="A2007" s="1" t="s">
        <v>9854</v>
      </c>
      <c r="B2007" s="1">
        <v>2.0E7</v>
      </c>
      <c r="C2007" s="1">
        <v>6.2933793E7</v>
      </c>
      <c r="F2007" s="4">
        <v>4.2933793E7</v>
      </c>
      <c r="G2007" s="4">
        <f t="array" ref="G2007">IFERROR((C2007-B2007)/C2007*100, "N/A")</f>
        <v>68.2205711</v>
      </c>
      <c r="J2007" s="1"/>
      <c r="K2007" s="1"/>
    </row>
    <row r="2008" ht="14.25" customHeight="1">
      <c r="A2008" s="1" t="s">
        <v>9861</v>
      </c>
      <c r="B2008" s="1">
        <v>2.0E7</v>
      </c>
      <c r="C2008" s="1">
        <v>5.666787E7</v>
      </c>
      <c r="F2008" s="4">
        <v>3.666787E7</v>
      </c>
      <c r="G2008" s="4">
        <f t="array" ref="G2008">IFERROR((C2008-B2008)/C2008*100, "N/A")</f>
        <v>64.70663182</v>
      </c>
      <c r="J2008" s="1"/>
      <c r="K2008" s="1"/>
    </row>
    <row r="2009" ht="14.25" customHeight="1">
      <c r="A2009" s="1" t="s">
        <v>9865</v>
      </c>
      <c r="B2009" s="1">
        <v>2.0E7</v>
      </c>
      <c r="C2009" s="1">
        <v>5.6398162E7</v>
      </c>
      <c r="F2009" s="4">
        <v>3.6398162E7</v>
      </c>
      <c r="G2009" s="4">
        <f t="array" ref="G2009">IFERROR((C2009-B2009)/C2009*100, "N/A")</f>
        <v>64.53785143</v>
      </c>
      <c r="J2009" s="1"/>
      <c r="K2009" s="1"/>
    </row>
    <row r="2010" ht="14.25" customHeight="1">
      <c r="A2010" s="1" t="s">
        <v>9869</v>
      </c>
      <c r="B2010" s="1">
        <v>2.0E7</v>
      </c>
      <c r="C2010" s="1">
        <v>6.0072596E7</v>
      </c>
      <c r="F2010" s="4">
        <v>4.0072596E7</v>
      </c>
      <c r="G2010" s="4">
        <f t="array" ref="G2010">IFERROR((C2010-B2010)/C2010*100, "N/A")</f>
        <v>66.70694904</v>
      </c>
      <c r="J2010" s="1"/>
      <c r="K2010" s="1"/>
    </row>
    <row r="2011" ht="14.25" customHeight="1">
      <c r="A2011" s="1" t="s">
        <v>9872</v>
      </c>
      <c r="B2011" s="1">
        <v>2.0E7</v>
      </c>
      <c r="C2011" s="1">
        <v>5.6362352E7</v>
      </c>
      <c r="F2011" s="4">
        <v>3.6362352E7</v>
      </c>
      <c r="G2011" s="4">
        <f t="array" ref="G2011">IFERROR((C2011-B2011)/C2011*100, "N/A")</f>
        <v>64.51532044</v>
      </c>
      <c r="J2011" s="1"/>
      <c r="K2011" s="1"/>
    </row>
    <row r="2012" ht="14.25" customHeight="1">
      <c r="A2012" s="1" t="s">
        <v>9877</v>
      </c>
      <c r="B2012" s="1">
        <v>2.0E7</v>
      </c>
      <c r="C2012" s="1">
        <v>5.6154094E7</v>
      </c>
      <c r="F2012" s="4">
        <v>3.6154094E7</v>
      </c>
      <c r="G2012" s="4">
        <f t="array" ref="G2012">IFERROR((C2012-B2012)/C2012*100, "N/A")</f>
        <v>64.38371884</v>
      </c>
      <c r="J2012" s="1"/>
      <c r="K2012" s="1"/>
    </row>
    <row r="2013" ht="14.25" customHeight="1">
      <c r="A2013" s="1" t="s">
        <v>9881</v>
      </c>
      <c r="B2013" s="1">
        <v>2.0E7</v>
      </c>
      <c r="C2013" s="1">
        <v>6.5623128E7</v>
      </c>
      <c r="F2013" s="4">
        <v>4.5623128E7</v>
      </c>
      <c r="G2013" s="4">
        <f t="array" ref="G2013">IFERROR((C2013-B2013)/C2013*100, "N/A")</f>
        <v>69.52294014</v>
      </c>
      <c r="J2013" s="1"/>
      <c r="K2013" s="1"/>
    </row>
    <row r="2014" ht="14.25" customHeight="1">
      <c r="A2014" s="1" t="s">
        <v>9886</v>
      </c>
      <c r="B2014" s="1">
        <v>2.0E7</v>
      </c>
      <c r="C2014" s="1">
        <v>4.8546578E7</v>
      </c>
      <c r="F2014" s="4">
        <v>2.8546578E7</v>
      </c>
      <c r="G2014" s="4">
        <f t="array" ref="G2014">IFERROR((C2014-B2014)/C2014*100, "N/A")</f>
        <v>58.80245153</v>
      </c>
      <c r="J2014" s="1"/>
      <c r="K2014" s="1"/>
    </row>
    <row r="2015" ht="14.25" customHeight="1">
      <c r="A2015" s="1" t="s">
        <v>9890</v>
      </c>
      <c r="B2015" s="1">
        <v>2.0E7</v>
      </c>
      <c r="C2015" s="1">
        <v>4.8423368E7</v>
      </c>
      <c r="F2015" s="4">
        <v>2.8423368E7</v>
      </c>
      <c r="G2015" s="4">
        <f t="array" ref="G2015">IFERROR((C2015-B2015)/C2015*100, "N/A")</f>
        <v>58.69762715</v>
      </c>
      <c r="J2015" s="1"/>
      <c r="K2015" s="1"/>
    </row>
    <row r="2016" ht="14.25" customHeight="1">
      <c r="A2016" s="1" t="s">
        <v>9894</v>
      </c>
      <c r="B2016" s="1">
        <v>2.0E7</v>
      </c>
      <c r="C2016" s="1">
        <v>5.2066E7</v>
      </c>
      <c r="F2016" s="4">
        <v>3.2066E7</v>
      </c>
      <c r="G2016" s="4">
        <f t="array" ref="G2016">IFERROR((C2016-B2016)/C2016*100, "N/A")</f>
        <v>61.58721623</v>
      </c>
      <c r="J2016" s="1"/>
      <c r="K2016" s="1"/>
    </row>
    <row r="2017" ht="14.25" customHeight="1">
      <c r="A2017" s="1" t="s">
        <v>9898</v>
      </c>
      <c r="B2017" s="1">
        <v>2.0E7</v>
      </c>
      <c r="C2017" s="1">
        <v>4.7887943E7</v>
      </c>
      <c r="F2017" s="4">
        <v>2.7887943E7</v>
      </c>
      <c r="G2017" s="4">
        <f t="array" ref="G2017">IFERROR((C2017-B2017)/C2017*100, "N/A")</f>
        <v>58.23583402</v>
      </c>
      <c r="J2017" s="1"/>
      <c r="K2017" s="1"/>
    </row>
    <row r="2018" ht="14.25" customHeight="1">
      <c r="A2018" s="1" t="s">
        <v>9904</v>
      </c>
      <c r="B2018" s="1">
        <v>2.0E7</v>
      </c>
      <c r="C2018" s="1">
        <v>4.6363118E7</v>
      </c>
      <c r="F2018" s="4">
        <v>2.6363118E7</v>
      </c>
      <c r="G2018" s="4">
        <f t="array" ref="G2018">IFERROR((C2018-B2018)/C2018*100, "N/A")</f>
        <v>56.8622628</v>
      </c>
      <c r="J2018" s="1"/>
      <c r="K2018" s="1"/>
    </row>
    <row r="2019" ht="14.25" customHeight="1">
      <c r="A2019" s="1" t="s">
        <v>9911</v>
      </c>
      <c r="B2019" s="1">
        <v>2.0E7</v>
      </c>
      <c r="C2019" s="1">
        <v>4.7852604E7</v>
      </c>
      <c r="F2019" s="4">
        <v>2.7852604E7</v>
      </c>
      <c r="G2019" s="4">
        <f t="array" ref="G2019">IFERROR((C2019-B2019)/C2019*100, "N/A")</f>
        <v>58.20499131</v>
      </c>
      <c r="J2019" s="1"/>
      <c r="K2019" s="1"/>
    </row>
    <row r="2020" ht="14.25" customHeight="1">
      <c r="A2020" s="1" t="s">
        <v>9916</v>
      </c>
      <c r="B2020" s="1">
        <v>3.0E7</v>
      </c>
      <c r="C2020" s="1">
        <v>4.5542421E7</v>
      </c>
      <c r="F2020" s="4">
        <v>1.5542421E7</v>
      </c>
      <c r="G2020" s="4">
        <f t="array" ref="G2020">IFERROR((C2020-B2020)/C2020*100, "N/A")</f>
        <v>34.12734909</v>
      </c>
      <c r="J2020" s="1"/>
      <c r="K2020" s="1"/>
    </row>
    <row r="2021" ht="14.25" customHeight="1">
      <c r="A2021" s="1" t="s">
        <v>9922</v>
      </c>
      <c r="B2021" s="1">
        <v>2.0E7</v>
      </c>
      <c r="C2021" s="1">
        <v>4.2652003E7</v>
      </c>
      <c r="F2021" s="4">
        <v>2.2652003E7</v>
      </c>
      <c r="G2021" s="4">
        <f t="array" ref="G2021">IFERROR((C2021-B2021)/C2021*100, "N/A")</f>
        <v>53.10888448</v>
      </c>
      <c r="J2021" s="1"/>
      <c r="K2021" s="1"/>
    </row>
    <row r="2022" ht="14.25" customHeight="1">
      <c r="A2022" s="1" t="s">
        <v>9926</v>
      </c>
      <c r="B2022" s="1">
        <v>2.0E7</v>
      </c>
      <c r="C2022" s="1">
        <v>3.9737645E7</v>
      </c>
      <c r="F2022" s="4">
        <v>1.9737645E7</v>
      </c>
      <c r="G2022" s="4">
        <f t="array" ref="G2022">IFERROR((C2022-B2022)/C2022*100, "N/A")</f>
        <v>49.66989111</v>
      </c>
      <c r="J2022" s="1"/>
      <c r="K2022" s="1"/>
    </row>
    <row r="2023" ht="14.25" customHeight="1">
      <c r="A2023" s="1" t="s">
        <v>2193</v>
      </c>
      <c r="B2023" s="1">
        <v>2.0E7</v>
      </c>
      <c r="C2023" s="1">
        <v>3.756744E7</v>
      </c>
      <c r="F2023" s="4">
        <v>1.756744E7</v>
      </c>
      <c r="G2023" s="4">
        <f t="array" ref="G2023">IFERROR((C2023-B2023)/C2023*100, "N/A")</f>
        <v>46.76240915</v>
      </c>
      <c r="J2023" s="1"/>
      <c r="K2023" s="1"/>
    </row>
    <row r="2024" ht="14.25" customHeight="1">
      <c r="A2024" s="1" t="s">
        <v>9929</v>
      </c>
      <c r="B2024" s="1">
        <v>2.0E7</v>
      </c>
      <c r="C2024" s="1">
        <v>4.498818E7</v>
      </c>
      <c r="F2024" s="4">
        <v>2.498818E7</v>
      </c>
      <c r="G2024" s="4">
        <f t="array" ref="G2024">IFERROR((C2024-B2024)/C2024*100, "N/A")</f>
        <v>55.54387841</v>
      </c>
      <c r="J2024" s="1"/>
      <c r="K2024" s="1"/>
    </row>
    <row r="2025" ht="14.25" customHeight="1">
      <c r="A2025" s="1" t="s">
        <v>9935</v>
      </c>
      <c r="B2025" s="1">
        <v>2.2E7</v>
      </c>
      <c r="C2025" s="1">
        <v>3.9263506E7</v>
      </c>
      <c r="F2025" s="4">
        <v>1.7263506E7</v>
      </c>
      <c r="G2025" s="4">
        <f t="array" ref="G2025">IFERROR((C2025-B2025)/C2025*100, "N/A")</f>
        <v>43.96832519</v>
      </c>
      <c r="J2025" s="1"/>
      <c r="K2025" s="1"/>
    </row>
    <row r="2026" ht="14.25" customHeight="1">
      <c r="A2026" s="1" t="s">
        <v>9939</v>
      </c>
      <c r="B2026" s="1">
        <v>2.0E7</v>
      </c>
      <c r="C2026" s="1">
        <v>3.9143839E7</v>
      </c>
      <c r="F2026" s="4">
        <v>1.9143839E7</v>
      </c>
      <c r="G2026" s="4">
        <f t="array" ref="G2026">IFERROR((C2026-B2026)/C2026*100, "N/A")</f>
        <v>48.90639112</v>
      </c>
      <c r="J2026" s="1"/>
      <c r="K2026" s="1"/>
    </row>
    <row r="2027" ht="14.25" customHeight="1">
      <c r="A2027" s="1" t="s">
        <v>9943</v>
      </c>
      <c r="B2027" s="1">
        <v>2.0E7</v>
      </c>
      <c r="C2027" s="1">
        <v>3.767235E7</v>
      </c>
      <c r="F2027" s="4">
        <v>1.767235E7</v>
      </c>
      <c r="G2027" s="4">
        <f t="array" ref="G2027">IFERROR((C2027-B2027)/C2027*100, "N/A")</f>
        <v>46.91066525</v>
      </c>
      <c r="J2027" s="1"/>
      <c r="K2027" s="1"/>
    </row>
    <row r="2028" ht="14.25" customHeight="1">
      <c r="A2028" s="1" t="s">
        <v>9947</v>
      </c>
      <c r="B2028" s="1">
        <v>2.0E7</v>
      </c>
      <c r="C2028" s="1">
        <v>3.8037513E7</v>
      </c>
      <c r="F2028" s="4">
        <v>1.8037513E7</v>
      </c>
      <c r="G2028" s="4">
        <f t="array" ref="G2028">IFERROR((C2028-B2028)/C2028*100, "N/A")</f>
        <v>47.42032688</v>
      </c>
      <c r="J2028" s="1"/>
      <c r="K2028" s="1"/>
    </row>
    <row r="2029" ht="14.25" customHeight="1">
      <c r="A2029" s="1" t="s">
        <v>9952</v>
      </c>
      <c r="B2029" s="1">
        <v>2.0E7</v>
      </c>
      <c r="C2029" s="1">
        <v>3.744218E7</v>
      </c>
      <c r="F2029" s="4">
        <v>1.744218E7</v>
      </c>
      <c r="G2029" s="4">
        <f t="array" ref="G2029">IFERROR((C2029-B2029)/C2029*100, "N/A")</f>
        <v>46.58430679</v>
      </c>
      <c r="J2029" s="1"/>
      <c r="K2029" s="1"/>
    </row>
    <row r="2030" ht="14.25" customHeight="1">
      <c r="A2030" s="1" t="s">
        <v>9956</v>
      </c>
      <c r="B2030" s="1">
        <v>2.0E7</v>
      </c>
      <c r="C2030" s="1">
        <v>3.5596227E7</v>
      </c>
      <c r="F2030" s="4">
        <v>1.5596227E7</v>
      </c>
      <c r="G2030" s="4">
        <f t="array" ref="G2030">IFERROR((C2030-B2030)/C2030*100, "N/A")</f>
        <v>43.81426998</v>
      </c>
      <c r="J2030" s="1"/>
      <c r="K2030" s="1"/>
    </row>
    <row r="2031" ht="14.25" customHeight="1">
      <c r="A2031" s="1" t="s">
        <v>9963</v>
      </c>
      <c r="B2031" s="1">
        <v>2.0E7</v>
      </c>
      <c r="C2031" s="1">
        <v>3.5422828E7</v>
      </c>
      <c r="F2031" s="4">
        <v>1.5422828E7</v>
      </c>
      <c r="G2031" s="4">
        <f t="array" ref="G2031">IFERROR((C2031-B2031)/C2031*100, "N/A")</f>
        <v>43.53923408</v>
      </c>
      <c r="J2031" s="1"/>
      <c r="K2031" s="1"/>
    </row>
    <row r="2032" ht="14.25" customHeight="1">
      <c r="A2032" s="1" t="s">
        <v>9966</v>
      </c>
      <c r="B2032" s="1">
        <v>2.0E7</v>
      </c>
      <c r="C2032" s="1">
        <v>3.6658108E7</v>
      </c>
      <c r="F2032" s="4">
        <v>1.6658108E7</v>
      </c>
      <c r="G2032" s="4">
        <f t="array" ref="G2032">IFERROR((C2032-B2032)/C2032*100, "N/A")</f>
        <v>45.44181058</v>
      </c>
      <c r="J2032" s="1"/>
      <c r="K2032" s="1"/>
    </row>
    <row r="2033" ht="14.25" customHeight="1">
      <c r="A2033" s="1" t="s">
        <v>9971</v>
      </c>
      <c r="B2033" s="1">
        <v>2.5E7</v>
      </c>
      <c r="C2033" s="1">
        <v>3.4300771E7</v>
      </c>
      <c r="F2033" s="4">
        <v>9300771.0</v>
      </c>
      <c r="G2033" s="4">
        <f t="array" ref="G2033">IFERROR((C2033-B2033)/C2033*100, "N/A")</f>
        <v>27.11534094</v>
      </c>
      <c r="J2033" s="1"/>
      <c r="K2033" s="1"/>
    </row>
    <row r="2034" ht="14.25" customHeight="1">
      <c r="A2034" s="1" t="s">
        <v>9976</v>
      </c>
      <c r="B2034" s="1">
        <v>1.98E7</v>
      </c>
      <c r="C2034" s="1">
        <v>3.4290142E7</v>
      </c>
      <c r="F2034" s="4">
        <v>1.4490142E7</v>
      </c>
      <c r="G2034" s="4">
        <f t="array" ref="G2034">IFERROR((C2034-B2034)/C2034*100, "N/A")</f>
        <v>42.25745697</v>
      </c>
      <c r="J2034" s="1"/>
      <c r="K2034" s="1"/>
    </row>
    <row r="2035" ht="14.25" customHeight="1">
      <c r="A2035" s="1" t="s">
        <v>9980</v>
      </c>
      <c r="B2035" s="1">
        <v>2.0E7</v>
      </c>
      <c r="C2035" s="1">
        <v>3.3422556E7</v>
      </c>
      <c r="F2035" s="4">
        <v>1.3422556E7</v>
      </c>
      <c r="G2035" s="4">
        <f t="array" ref="G2035">IFERROR((C2035-B2035)/C2035*100, "N/A")</f>
        <v>40.16017207</v>
      </c>
      <c r="J2035" s="1"/>
      <c r="K2035" s="1"/>
    </row>
    <row r="2036" ht="14.25" customHeight="1">
      <c r="A2036" s="1" t="s">
        <v>9983</v>
      </c>
      <c r="B2036" s="1">
        <v>3.0E7</v>
      </c>
      <c r="C2036" s="1">
        <v>3.2774834E7</v>
      </c>
      <c r="F2036" s="4">
        <v>2774834.0</v>
      </c>
      <c r="G2036" s="4">
        <f t="array" ref="G2036">IFERROR((C2036-B2036)/C2036*100, "N/A")</f>
        <v>8.466355619</v>
      </c>
      <c r="J2036" s="1"/>
      <c r="K2036" s="1"/>
    </row>
    <row r="2037" ht="14.25" customHeight="1">
      <c r="A2037" s="1" t="s">
        <v>9987</v>
      </c>
      <c r="B2037" s="1">
        <v>1.1E7</v>
      </c>
      <c r="C2037" s="1">
        <v>3.4334256E7</v>
      </c>
      <c r="F2037" s="4">
        <v>2.3334256E7</v>
      </c>
      <c r="G2037" s="4">
        <f t="array" ref="G2037">IFERROR((C2037-B2037)/C2037*100, "N/A")</f>
        <v>67.96202603</v>
      </c>
      <c r="J2037" s="1"/>
      <c r="K2037" s="1"/>
    </row>
    <row r="2038" ht="14.25" customHeight="1">
      <c r="A2038" s="1" t="s">
        <v>9993</v>
      </c>
      <c r="B2038" s="1">
        <v>2.0E7</v>
      </c>
      <c r="C2038" s="1">
        <v>3.2051917E7</v>
      </c>
      <c r="F2038" s="4">
        <v>1.2051917E7</v>
      </c>
      <c r="G2038" s="4">
        <f t="array" ref="G2038">IFERROR((C2038-B2038)/C2038*100, "N/A")</f>
        <v>37.60123614</v>
      </c>
      <c r="J2038" s="1"/>
      <c r="K2038" s="1"/>
    </row>
    <row r="2039" ht="14.25" customHeight="1">
      <c r="A2039" s="1" t="s">
        <v>9997</v>
      </c>
      <c r="B2039" s="1">
        <v>2.0E7</v>
      </c>
      <c r="C2039" s="1">
        <v>3.2014289E7</v>
      </c>
      <c r="F2039" s="4">
        <v>1.2014289E7</v>
      </c>
      <c r="G2039" s="4">
        <f t="array" ref="G2039">IFERROR((C2039-B2039)/C2039*100, "N/A")</f>
        <v>37.52789575</v>
      </c>
      <c r="J2039" s="1"/>
      <c r="K2039" s="1"/>
    </row>
    <row r="2040" ht="14.25" customHeight="1">
      <c r="A2040" s="1" t="s">
        <v>10001</v>
      </c>
      <c r="B2040" s="1">
        <v>2.0E7</v>
      </c>
      <c r="C2040" s="1">
        <v>3.1838002E7</v>
      </c>
      <c r="F2040" s="4">
        <v>1.1838002E7</v>
      </c>
      <c r="G2040" s="4">
        <f t="array" ref="G2040">IFERROR((C2040-B2040)/C2040*100, "N/A")</f>
        <v>37.18198774</v>
      </c>
      <c r="J2040" s="1"/>
      <c r="K2040" s="1"/>
    </row>
    <row r="2041" ht="14.25" customHeight="1">
      <c r="A2041" s="1" t="s">
        <v>10005</v>
      </c>
      <c r="B2041" s="1">
        <v>2.0E7</v>
      </c>
      <c r="C2041" s="1">
        <v>3.6874745E7</v>
      </c>
      <c r="F2041" s="4">
        <v>1.6874745E7</v>
      </c>
      <c r="G2041" s="4">
        <f t="array" ref="G2041">IFERROR((C2041-B2041)/C2041*100, "N/A")</f>
        <v>45.7623368</v>
      </c>
      <c r="J2041" s="1"/>
      <c r="K2041" s="1"/>
    </row>
    <row r="2042" ht="14.25" customHeight="1">
      <c r="A2042" s="1" t="s">
        <v>10013</v>
      </c>
      <c r="B2042" s="1">
        <v>3.5E7</v>
      </c>
      <c r="C2042" s="1">
        <v>3.0079316E7</v>
      </c>
      <c r="F2042" s="4">
        <v>-4920684.0</v>
      </c>
      <c r="G2042" s="4">
        <f t="array" ref="G2042">IFERROR((C2042-B2042)/C2042*100, "N/A")</f>
        <v>-16.35902891</v>
      </c>
      <c r="J2042" s="1"/>
      <c r="K2042" s="1"/>
    </row>
    <row r="2043" ht="14.25" customHeight="1">
      <c r="A2043" s="1" t="s">
        <v>10019</v>
      </c>
      <c r="B2043" s="1">
        <v>1.9E7</v>
      </c>
      <c r="C2043" s="1">
        <v>3.5033759E7</v>
      </c>
      <c r="F2043" s="4">
        <v>1.6033759E7</v>
      </c>
      <c r="G2043" s="4">
        <f t="array" ref="G2043">IFERROR((C2043-B2043)/C2043*100, "N/A")</f>
        <v>45.76659616</v>
      </c>
      <c r="J2043" s="1"/>
      <c r="K2043" s="1"/>
    </row>
    <row r="2044" ht="14.25" customHeight="1">
      <c r="A2044" s="1" t="s">
        <v>10023</v>
      </c>
      <c r="B2044" s="1">
        <v>2.0E7</v>
      </c>
      <c r="C2044" s="1">
        <v>2.9753944E7</v>
      </c>
      <c r="F2044" s="4">
        <v>9753944.0</v>
      </c>
      <c r="G2044" s="4">
        <f t="array" ref="G2044">IFERROR((C2044-B2044)/C2044*100, "N/A")</f>
        <v>32.78202043</v>
      </c>
      <c r="J2044" s="1"/>
      <c r="K2044" s="1"/>
    </row>
    <row r="2045" ht="14.25" customHeight="1">
      <c r="A2045" s="1" t="s">
        <v>10027</v>
      </c>
      <c r="B2045" s="1">
        <v>2.0E7</v>
      </c>
      <c r="C2045" s="1">
        <v>3.114657E7</v>
      </c>
      <c r="F2045" s="4">
        <v>1.114657E7</v>
      </c>
      <c r="G2045" s="4">
        <f t="array" ref="G2045">IFERROR((C2045-B2045)/C2045*100, "N/A")</f>
        <v>35.78747194</v>
      </c>
      <c r="J2045" s="1"/>
      <c r="K2045" s="1"/>
    </row>
    <row r="2046" ht="14.25" customHeight="1">
      <c r="A2046" s="1" t="s">
        <v>10032</v>
      </c>
      <c r="B2046" s="1">
        <v>2.0E7</v>
      </c>
      <c r="C2046" s="1">
        <v>2.7277055E7</v>
      </c>
      <c r="F2046" s="4">
        <v>7277055.0</v>
      </c>
      <c r="G2046" s="4">
        <f t="array" ref="G2046">IFERROR((C2046-B2046)/C2046*100, "N/A")</f>
        <v>26.6783016</v>
      </c>
      <c r="J2046" s="1"/>
      <c r="K2046" s="1"/>
    </row>
    <row r="2047" ht="14.25" customHeight="1">
      <c r="A2047" s="1" t="s">
        <v>10036</v>
      </c>
      <c r="B2047" s="1">
        <v>2.7E7</v>
      </c>
      <c r="C2047" s="1">
        <v>2.6876529E7</v>
      </c>
      <c r="F2047" s="4">
        <v>-123471.0</v>
      </c>
      <c r="G2047" s="4">
        <f t="array" ref="G2047">IFERROR((C2047-B2047)/C2047*100, "N/A")</f>
        <v>-0.45940084</v>
      </c>
      <c r="J2047" s="1"/>
      <c r="K2047" s="1"/>
    </row>
    <row r="2048" ht="14.25" customHeight="1">
      <c r="A2048" s="1" t="s">
        <v>10041</v>
      </c>
      <c r="B2048" s="1">
        <v>2.0E7</v>
      </c>
      <c r="C2048" s="1">
        <v>5.3146E7</v>
      </c>
      <c r="F2048" s="4">
        <v>3.3146E7</v>
      </c>
      <c r="G2048" s="4">
        <f t="array" ref="G2048">IFERROR((C2048-B2048)/C2048*100, "N/A")</f>
        <v>62.36781696</v>
      </c>
      <c r="J2048" s="1"/>
      <c r="K2048" s="1"/>
    </row>
    <row r="2049" ht="14.25" customHeight="1">
      <c r="A2049" s="1" t="s">
        <v>10044</v>
      </c>
      <c r="B2049" s="1">
        <v>2.0E7</v>
      </c>
      <c r="C2049" s="1">
        <v>3.0028592E7</v>
      </c>
      <c r="F2049" s="4">
        <v>1.0028592E7</v>
      </c>
      <c r="G2049" s="4">
        <f t="array" ref="G2049">IFERROR((C2049-B2049)/C2049*100, "N/A")</f>
        <v>33.39681061</v>
      </c>
      <c r="J2049" s="1"/>
      <c r="K2049" s="1"/>
    </row>
    <row r="2050" ht="14.25" customHeight="1">
      <c r="A2050" s="1" t="s">
        <v>10047</v>
      </c>
      <c r="B2050" s="1">
        <v>2.0E7</v>
      </c>
      <c r="C2050" s="1">
        <v>3.4126138E7</v>
      </c>
      <c r="F2050" s="4">
        <v>1.4126138E7</v>
      </c>
      <c r="G2050" s="4">
        <f t="array" ref="G2050">IFERROR((C2050-B2050)/C2050*100, "N/A")</f>
        <v>41.39389579</v>
      </c>
      <c r="J2050" s="1"/>
      <c r="K2050" s="1"/>
    </row>
    <row r="2051" ht="14.25" customHeight="1">
      <c r="A2051" s="1" t="s">
        <v>10050</v>
      </c>
      <c r="B2051" s="1">
        <v>2.0E7</v>
      </c>
      <c r="C2051" s="1">
        <v>2.5677801E7</v>
      </c>
      <c r="F2051" s="4">
        <v>5677801.0</v>
      </c>
      <c r="G2051" s="4">
        <f t="array" ref="G2051">IFERROR((C2051-B2051)/C2051*100, "N/A")</f>
        <v>22.11171042</v>
      </c>
      <c r="J2051" s="1"/>
      <c r="K2051" s="1"/>
    </row>
    <row r="2052" ht="14.25" customHeight="1">
      <c r="A2052" s="1" t="s">
        <v>10055</v>
      </c>
      <c r="B2052" s="1">
        <v>2.0E7</v>
      </c>
      <c r="C2052" s="1">
        <v>2.6415649E7</v>
      </c>
      <c r="F2052" s="4">
        <v>6415649.0</v>
      </c>
      <c r="G2052" s="4">
        <f t="array" ref="G2052">IFERROR((C2052-B2052)/C2052*100, "N/A")</f>
        <v>24.28730409</v>
      </c>
      <c r="J2052" s="1"/>
      <c r="K2052" s="1"/>
    </row>
    <row r="2053" ht="14.25" customHeight="1">
      <c r="A2053" s="1" t="s">
        <v>10058</v>
      </c>
      <c r="B2053" s="1">
        <v>2.0E7</v>
      </c>
      <c r="C2053" s="1">
        <v>2.6003149E7</v>
      </c>
      <c r="F2053" s="4">
        <v>6003149.0</v>
      </c>
      <c r="G2053" s="4">
        <f t="array" ref="G2053">IFERROR((C2053-B2053)/C2053*100, "N/A")</f>
        <v>23.08623852</v>
      </c>
      <c r="J2053" s="1"/>
      <c r="K2053" s="1"/>
    </row>
    <row r="2054" ht="14.25" customHeight="1">
      <c r="A2054" s="1" t="s">
        <v>10064</v>
      </c>
      <c r="B2054" s="1">
        <v>2.0E7</v>
      </c>
      <c r="C2054" s="1">
        <v>2.5584685E7</v>
      </c>
      <c r="F2054" s="4">
        <v>5584685.0</v>
      </c>
      <c r="G2054" s="4">
        <f t="array" ref="G2054">IFERROR((C2054-B2054)/C2054*100, "N/A")</f>
        <v>21.82823435</v>
      </c>
      <c r="J2054" s="1"/>
      <c r="K2054" s="1"/>
    </row>
    <row r="2055" ht="14.25" customHeight="1">
      <c r="A2055" s="1" t="s">
        <v>10070</v>
      </c>
      <c r="B2055" s="1">
        <v>2.0E7</v>
      </c>
      <c r="C2055" s="1">
        <v>2.9975979E7</v>
      </c>
      <c r="F2055" s="4">
        <v>9975979.0</v>
      </c>
      <c r="G2055" s="4">
        <f t="array" ref="G2055">IFERROR((C2055-B2055)/C2055*100, "N/A")</f>
        <v>33.27991056</v>
      </c>
      <c r="J2055" s="1"/>
      <c r="K2055" s="1"/>
    </row>
    <row r="2056" ht="14.25" customHeight="1">
      <c r="A2056" s="1" t="s">
        <v>10077</v>
      </c>
      <c r="B2056" s="1">
        <v>2.0E7</v>
      </c>
      <c r="C2056" s="1">
        <v>3.1584722E7</v>
      </c>
      <c r="F2056" s="4">
        <v>1.1584722E7</v>
      </c>
      <c r="G2056" s="4">
        <f t="array" ref="G2056">IFERROR((C2056-B2056)/C2056*100, "N/A")</f>
        <v>36.67824589</v>
      </c>
      <c r="J2056" s="1"/>
      <c r="K2056" s="1"/>
    </row>
    <row r="2057" ht="14.25" customHeight="1">
      <c r="A2057" s="1" t="s">
        <v>10082</v>
      </c>
      <c r="B2057" s="1">
        <v>2.0E7</v>
      </c>
      <c r="C2057" s="1">
        <v>2.3179303E7</v>
      </c>
      <c r="F2057" s="4">
        <v>3179303.0</v>
      </c>
      <c r="G2057" s="4">
        <f t="array" ref="G2057">IFERROR((C2057-B2057)/C2057*100, "N/A")</f>
        <v>13.71612857</v>
      </c>
      <c r="J2057" s="1"/>
      <c r="K2057" s="1"/>
    </row>
    <row r="2058" ht="14.25" customHeight="1">
      <c r="A2058" s="1" t="s">
        <v>10088</v>
      </c>
      <c r="B2058" s="1">
        <v>9000000.0</v>
      </c>
      <c r="C2058" s="1">
        <v>2.3078294E7</v>
      </c>
      <c r="F2058" s="4">
        <v>1.4078294E7</v>
      </c>
      <c r="G2058" s="4">
        <f t="array" ref="G2058">IFERROR((C2058-B2058)/C2058*100, "N/A")</f>
        <v>61.00231672</v>
      </c>
      <c r="J2058" s="1"/>
      <c r="K2058" s="1"/>
    </row>
    <row r="2059" ht="14.25" customHeight="1">
      <c r="A2059" s="1" t="s">
        <v>10091</v>
      </c>
      <c r="B2059" s="1">
        <v>2.0E7</v>
      </c>
      <c r="C2059" s="1">
        <v>2.1413105E7</v>
      </c>
      <c r="F2059" s="4">
        <v>1413105.0</v>
      </c>
      <c r="G2059" s="4">
        <f t="array" ref="G2059">IFERROR((C2059-B2059)/C2059*100, "N/A")</f>
        <v>6.599253121</v>
      </c>
      <c r="J2059" s="1"/>
      <c r="K2059" s="1"/>
    </row>
    <row r="2060" ht="14.25" customHeight="1">
      <c r="A2060" s="1" t="s">
        <v>10096</v>
      </c>
      <c r="B2060" s="1">
        <v>2.0E7</v>
      </c>
      <c r="C2060" s="1">
        <v>2.5077977E7</v>
      </c>
      <c r="F2060" s="4">
        <v>5077977.0</v>
      </c>
      <c r="G2060" s="4">
        <f t="array" ref="G2060">IFERROR((C2060-B2060)/C2060*100, "N/A")</f>
        <v>20.24875053</v>
      </c>
      <c r="J2060" s="1"/>
      <c r="K2060" s="1"/>
    </row>
    <row r="2061" ht="14.25" customHeight="1">
      <c r="A2061" s="1" t="s">
        <v>10099</v>
      </c>
      <c r="B2061" s="1">
        <v>2.0E7</v>
      </c>
      <c r="C2061" s="1">
        <v>2.3292105E7</v>
      </c>
      <c r="F2061" s="4">
        <v>3292105.0</v>
      </c>
      <c r="G2061" s="4">
        <f t="array" ref="G2061">IFERROR((C2061-B2061)/C2061*100, "N/A")</f>
        <v>14.13399519</v>
      </c>
      <c r="J2061" s="1"/>
      <c r="K2061" s="1"/>
    </row>
    <row r="2062" ht="14.25" customHeight="1">
      <c r="A2062" s="1" t="s">
        <v>10103</v>
      </c>
      <c r="B2062" s="1">
        <v>4.0E7</v>
      </c>
      <c r="C2062" s="1">
        <v>2.0916309E7</v>
      </c>
      <c r="F2062" s="4">
        <v>-1.9083691E7</v>
      </c>
      <c r="G2062" s="4">
        <f t="array" ref="G2062">IFERROR((C2062-B2062)/C2062*100, "N/A")</f>
        <v>-91.23832986</v>
      </c>
      <c r="J2062" s="1"/>
      <c r="K2062" s="1"/>
    </row>
    <row r="2063" ht="14.25" customHeight="1">
      <c r="A2063" s="1" t="s">
        <v>10107</v>
      </c>
      <c r="B2063" s="1">
        <v>2.0E7</v>
      </c>
      <c r="C2063" s="1">
        <v>2.12E7</v>
      </c>
      <c r="F2063" s="4">
        <v>1200000.0</v>
      </c>
      <c r="G2063" s="4">
        <f t="array" ref="G2063">IFERROR((C2063-B2063)/C2063*100, "N/A")</f>
        <v>5.660377358</v>
      </c>
      <c r="J2063" s="1"/>
      <c r="K2063" s="1"/>
    </row>
    <row r="2064" ht="14.25" customHeight="1">
      <c r="A2064" s="1" t="s">
        <v>10110</v>
      </c>
      <c r="B2064" s="1">
        <v>2.0E7</v>
      </c>
      <c r="C2064" s="1">
        <v>2.0241395E7</v>
      </c>
      <c r="F2064" s="4">
        <v>241395.0</v>
      </c>
      <c r="G2064" s="4">
        <f t="array" ref="G2064">IFERROR((C2064-B2064)/C2064*100, "N/A")</f>
        <v>1.192580847</v>
      </c>
      <c r="J2064" s="1"/>
      <c r="K2064" s="1"/>
    </row>
    <row r="2065" ht="14.25" customHeight="1">
      <c r="A2065" s="1" t="s">
        <v>10116</v>
      </c>
      <c r="B2065" s="1">
        <v>806947.0</v>
      </c>
      <c r="C2065" s="1">
        <v>3.2E7</v>
      </c>
      <c r="F2065" s="4">
        <v>3.1193053E7</v>
      </c>
      <c r="G2065" s="4">
        <f t="array" ref="G2065">IFERROR((C2065-B2065)/C2065*100, "N/A")</f>
        <v>97.47829063</v>
      </c>
      <c r="J2065" s="1"/>
      <c r="K2065" s="1"/>
    </row>
    <row r="2066" ht="14.25" customHeight="1">
      <c r="A2066" s="1" t="s">
        <v>10122</v>
      </c>
      <c r="B2066" s="1">
        <v>4.0E7</v>
      </c>
      <c r="C2066" s="1">
        <v>1.9151864E7</v>
      </c>
      <c r="F2066" s="4">
        <v>-2.0848136E7</v>
      </c>
      <c r="G2066" s="4">
        <f t="array" ref="G2066">IFERROR((C2066-B2066)/C2066*100, "N/A")</f>
        <v>-108.8569551</v>
      </c>
      <c r="J2066" s="1"/>
      <c r="K2066" s="1"/>
    </row>
    <row r="2067" ht="14.25" customHeight="1">
      <c r="A2067" s="1" t="s">
        <v>10127</v>
      </c>
      <c r="B2067" s="1">
        <v>2.0E7</v>
      </c>
      <c r="C2067" s="1">
        <v>2.3393765E7</v>
      </c>
      <c r="F2067" s="4">
        <v>3393765.0</v>
      </c>
      <c r="G2067" s="4">
        <f t="array" ref="G2067">IFERROR((C2067-B2067)/C2067*100, "N/A")</f>
        <v>14.5071347</v>
      </c>
      <c r="J2067" s="1"/>
      <c r="K2067" s="1"/>
    </row>
    <row r="2068" ht="14.25" customHeight="1">
      <c r="A2068" s="1" t="s">
        <v>10130</v>
      </c>
      <c r="B2068" s="1">
        <v>2.0E7</v>
      </c>
      <c r="C2068" s="1">
        <v>1.888288E7</v>
      </c>
      <c r="F2068" s="4">
        <v>-1117120.0</v>
      </c>
      <c r="G2068" s="4">
        <f t="array" ref="G2068">IFERROR((C2068-B2068)/C2068*100, "N/A")</f>
        <v>-5.916046705</v>
      </c>
      <c r="J2068" s="1"/>
      <c r="K2068" s="1"/>
    </row>
    <row r="2069" ht="14.25" customHeight="1">
      <c r="A2069" s="1" t="s">
        <v>10134</v>
      </c>
      <c r="B2069" s="1">
        <v>2.0E7</v>
      </c>
      <c r="C2069" s="1">
        <v>8500000.0</v>
      </c>
      <c r="F2069" s="4">
        <v>-1.15E7</v>
      </c>
      <c r="G2069" s="4">
        <f t="array" ref="G2069">IFERROR((C2069-B2069)/C2069*100, "N/A")</f>
        <v>-135.2941176</v>
      </c>
      <c r="J2069" s="1"/>
      <c r="K2069" s="1"/>
    </row>
    <row r="2070" ht="14.25" customHeight="1">
      <c r="A2070" s="1" t="s">
        <v>10138</v>
      </c>
      <c r="B2070" s="1">
        <v>3.0E7</v>
      </c>
      <c r="C2070" s="1">
        <v>1.8252684E7</v>
      </c>
      <c r="F2070" s="4">
        <v>-1.1747316E7</v>
      </c>
      <c r="G2070" s="4">
        <f t="array" ref="G2070">IFERROR((C2070-B2070)/C2070*100, "N/A")</f>
        <v>-64.35938956</v>
      </c>
      <c r="J2070" s="1"/>
      <c r="K2070" s="1"/>
    </row>
    <row r="2071" ht="14.25" customHeight="1">
      <c r="A2071" s="1" t="s">
        <v>10143</v>
      </c>
      <c r="B2071" s="1">
        <v>2.0E7</v>
      </c>
      <c r="C2071" s="1">
        <v>1.9661987E7</v>
      </c>
      <c r="F2071" s="4">
        <v>-338013.0</v>
      </c>
      <c r="G2071" s="4">
        <f t="array" ref="G2071">IFERROR((C2071-B2071)/C2071*100, "N/A")</f>
        <v>-1.719119232</v>
      </c>
      <c r="J2071" s="1"/>
      <c r="K2071" s="1"/>
    </row>
    <row r="2072" ht="14.25" customHeight="1">
      <c r="A2072" s="1" t="s">
        <v>10146</v>
      </c>
      <c r="B2072" s="1">
        <v>1.5E7</v>
      </c>
      <c r="C2072" s="1">
        <v>1.8352454E7</v>
      </c>
      <c r="F2072" s="4">
        <v>3352454.0</v>
      </c>
      <c r="G2072" s="4">
        <f t="array" ref="G2072">IFERROR((C2072-B2072)/C2072*100, "N/A")</f>
        <v>18.26706118</v>
      </c>
      <c r="J2072" s="1"/>
      <c r="K2072" s="1"/>
    </row>
    <row r="2073" ht="14.25" customHeight="1">
      <c r="A2073" s="1" t="s">
        <v>10150</v>
      </c>
      <c r="B2073" s="1">
        <v>2.0E7</v>
      </c>
      <c r="C2073" s="1">
        <v>1.7803796E7</v>
      </c>
      <c r="F2073" s="4">
        <v>-2196204.0</v>
      </c>
      <c r="G2073" s="4">
        <f t="array" ref="G2073">IFERROR((C2073-B2073)/C2073*100, "N/A")</f>
        <v>-12.33559405</v>
      </c>
      <c r="J2073" s="1"/>
      <c r="K2073" s="1"/>
    </row>
    <row r="2074" ht="14.25" customHeight="1">
      <c r="A2074" s="1" t="s">
        <v>10154</v>
      </c>
      <c r="B2074" s="1">
        <v>2.0E7</v>
      </c>
      <c r="C2074" s="1">
        <v>1.7529157E7</v>
      </c>
      <c r="F2074" s="4">
        <v>-2470843.0</v>
      </c>
      <c r="G2074" s="4">
        <f t="array" ref="G2074">IFERROR((C2074-B2074)/C2074*100, "N/A")</f>
        <v>-14.09561795</v>
      </c>
      <c r="J2074" s="1"/>
      <c r="K2074" s="1"/>
    </row>
    <row r="2075" ht="14.25" customHeight="1">
      <c r="A2075" s="1" t="s">
        <v>10158</v>
      </c>
      <c r="B2075" s="1">
        <v>1.9E7</v>
      </c>
      <c r="C2075" s="1">
        <v>2.575384E7</v>
      </c>
      <c r="F2075" s="4">
        <v>6753840.0</v>
      </c>
      <c r="G2075" s="4">
        <f t="array" ref="G2075">IFERROR((C2075-B2075)/C2075*100, "N/A")</f>
        <v>26.22459408</v>
      </c>
      <c r="J2075" s="1"/>
      <c r="K2075" s="1"/>
    </row>
    <row r="2076" ht="14.25" customHeight="1">
      <c r="A2076" s="1" t="s">
        <v>10163</v>
      </c>
      <c r="B2076" s="1">
        <v>2.0E7</v>
      </c>
      <c r="C2076" s="1">
        <v>1.8081626E7</v>
      </c>
      <c r="F2076" s="4">
        <v>-1918374.0</v>
      </c>
      <c r="G2076" s="4">
        <f t="array" ref="G2076">IFERROR((C2076-B2076)/C2076*100, "N/A")</f>
        <v>-10.60952151</v>
      </c>
      <c r="J2076" s="1"/>
      <c r="K2076" s="1"/>
    </row>
    <row r="2077" ht="14.25" customHeight="1">
      <c r="A2077" s="1" t="s">
        <v>10167</v>
      </c>
      <c r="B2077" s="1">
        <v>2.0E7</v>
      </c>
      <c r="C2077" s="1">
        <v>1.751822E7</v>
      </c>
      <c r="F2077" s="4">
        <v>-2481780.0</v>
      </c>
      <c r="G2077" s="4">
        <f t="array" ref="G2077">IFERROR((C2077-B2077)/C2077*100, "N/A")</f>
        <v>-14.16685029</v>
      </c>
      <c r="J2077" s="1"/>
      <c r="K2077" s="1"/>
    </row>
    <row r="2078" ht="14.25" customHeight="1">
      <c r="A2078" s="1" t="s">
        <v>10172</v>
      </c>
      <c r="B2078" s="1">
        <v>2.0E7</v>
      </c>
      <c r="C2078" s="1">
        <v>1.7104669E7</v>
      </c>
      <c r="F2078" s="4">
        <v>-2895331.0</v>
      </c>
      <c r="G2078" s="4">
        <f t="array" ref="G2078">IFERROR((C2078-B2078)/C2078*100, "N/A")</f>
        <v>-16.92713843</v>
      </c>
      <c r="J2078" s="1"/>
      <c r="K2078" s="1"/>
    </row>
    <row r="2079" ht="14.25" customHeight="1">
      <c r="A2079" s="1" t="s">
        <v>10180</v>
      </c>
      <c r="B2079" s="1">
        <v>3.5E7</v>
      </c>
      <c r="C2079" s="1">
        <v>1.6988996E7</v>
      </c>
      <c r="F2079" s="4">
        <v>-1.8011004E7</v>
      </c>
      <c r="G2079" s="4">
        <f t="array" ref="G2079">IFERROR((C2079-B2079)/C2079*100, "N/A")</f>
        <v>-106.0157057</v>
      </c>
      <c r="J2079" s="1"/>
      <c r="K2079" s="1"/>
    </row>
    <row r="2080" ht="14.25" customHeight="1">
      <c r="A2080" s="1" t="s">
        <v>10184</v>
      </c>
      <c r="B2080" s="1">
        <v>2.0E7</v>
      </c>
      <c r="C2080" s="1">
        <v>1.5797907E7</v>
      </c>
      <c r="F2080" s="4">
        <v>-4202093.0</v>
      </c>
      <c r="G2080" s="4">
        <f t="array" ref="G2080">IFERROR((C2080-B2080)/C2080*100, "N/A")</f>
        <v>-26.59904885</v>
      </c>
      <c r="J2080" s="1"/>
      <c r="K2080" s="1"/>
    </row>
    <row r="2081" ht="14.25" customHeight="1">
      <c r="A2081" s="1" t="s">
        <v>10190</v>
      </c>
      <c r="B2081" s="1">
        <v>2.0E7</v>
      </c>
      <c r="C2081" s="1">
        <v>1.6248701E7</v>
      </c>
      <c r="F2081" s="4">
        <v>-3751299.0</v>
      </c>
      <c r="G2081" s="4">
        <f t="array" ref="G2081">IFERROR((C2081-B2081)/C2081*100, "N/A")</f>
        <v>-23.08676244</v>
      </c>
      <c r="J2081" s="1"/>
      <c r="K2081" s="1"/>
    </row>
    <row r="2082" ht="14.25" customHeight="1">
      <c r="A2082" s="1" t="s">
        <v>10194</v>
      </c>
      <c r="B2082" s="1">
        <v>2.0E7</v>
      </c>
      <c r="C2082" s="1">
        <v>1.5712072E7</v>
      </c>
      <c r="F2082" s="4">
        <v>-4287928.0</v>
      </c>
      <c r="G2082" s="4">
        <f t="array" ref="G2082">IFERROR((C2082-B2082)/C2082*100, "N/A")</f>
        <v>-27.29065906</v>
      </c>
      <c r="J2082" s="1"/>
      <c r="K2082" s="1"/>
    </row>
    <row r="2083" ht="14.25" customHeight="1">
      <c r="A2083" s="1" t="s">
        <v>6711</v>
      </c>
      <c r="B2083" s="1">
        <v>3.7E7</v>
      </c>
      <c r="C2083" s="1">
        <v>1.91449475E8</v>
      </c>
      <c r="F2083" s="4">
        <v>1.54449475E8</v>
      </c>
      <c r="G2083" s="4">
        <f t="array" ref="G2083">IFERROR((C2083-B2083)/C2083*100, "N/A")</f>
        <v>80.67375217</v>
      </c>
      <c r="J2083" s="1"/>
      <c r="K2083" s="1"/>
    </row>
    <row r="2084" ht="14.25" customHeight="1">
      <c r="A2084" s="1" t="s">
        <v>10200</v>
      </c>
      <c r="B2084" s="1">
        <v>2.0E7</v>
      </c>
      <c r="C2084" s="1">
        <v>1.5408822E7</v>
      </c>
      <c r="F2084" s="4">
        <v>-4591178.0</v>
      </c>
      <c r="G2084" s="4">
        <f t="array" ref="G2084">IFERROR((C2084-B2084)/C2084*100, "N/A")</f>
        <v>-29.79577543</v>
      </c>
      <c r="J2084" s="1"/>
      <c r="K2084" s="1"/>
    </row>
    <row r="2085" ht="14.25" customHeight="1">
      <c r="A2085" s="1" t="s">
        <v>10205</v>
      </c>
      <c r="B2085" s="1">
        <v>2.0E7</v>
      </c>
      <c r="C2085" s="1">
        <v>1.5464026E7</v>
      </c>
      <c r="F2085" s="4">
        <v>-4535974.0</v>
      </c>
      <c r="G2085" s="4">
        <f t="array" ref="G2085">IFERROR((C2085-B2085)/C2085*100, "N/A")</f>
        <v>-29.33242611</v>
      </c>
      <c r="J2085" s="1"/>
      <c r="K2085" s="1"/>
    </row>
    <row r="2086" ht="14.25" customHeight="1">
      <c r="A2086" s="1" t="s">
        <v>10211</v>
      </c>
      <c r="B2086" s="1">
        <v>2.0E7</v>
      </c>
      <c r="C2086" s="1">
        <v>8000000.0</v>
      </c>
      <c r="F2086" s="4">
        <v>-1.2E7</v>
      </c>
      <c r="G2086" s="4">
        <f t="array" ref="G2086">IFERROR((C2086-B2086)/C2086*100, "N/A")</f>
        <v>-150</v>
      </c>
      <c r="J2086" s="1"/>
      <c r="K2086" s="1"/>
    </row>
    <row r="2087" ht="14.25" customHeight="1">
      <c r="A2087" s="1" t="s">
        <v>10215</v>
      </c>
      <c r="B2087" s="1">
        <v>2.5E7</v>
      </c>
      <c r="C2087" s="1">
        <v>1.4174654E7</v>
      </c>
      <c r="F2087" s="4">
        <v>-1.0825346E7</v>
      </c>
      <c r="G2087" s="4">
        <f t="array" ref="G2087">IFERROR((C2087-B2087)/C2087*100, "N/A")</f>
        <v>-76.37114811</v>
      </c>
      <c r="J2087" s="1"/>
      <c r="K2087" s="1"/>
    </row>
    <row r="2088" ht="14.25" customHeight="1">
      <c r="A2088" s="1" t="s">
        <v>10218</v>
      </c>
      <c r="B2088" s="1">
        <v>2.7E7</v>
      </c>
      <c r="C2088" s="1">
        <v>1.5988876E7</v>
      </c>
      <c r="F2088" s="4">
        <v>-1.1011124E7</v>
      </c>
      <c r="G2088" s="4">
        <f t="array" ref="G2088">IFERROR((C2088-B2088)/C2088*100, "N/A")</f>
        <v>-68.86740506</v>
      </c>
      <c r="J2088" s="1"/>
      <c r="K2088" s="1"/>
    </row>
    <row r="2089" ht="14.25" customHeight="1">
      <c r="A2089" s="1" t="s">
        <v>10222</v>
      </c>
      <c r="B2089" s="1">
        <v>2.0E7</v>
      </c>
      <c r="C2089" s="1">
        <v>1.3801755E7</v>
      </c>
      <c r="F2089" s="4">
        <v>-6198245.0</v>
      </c>
      <c r="G2089" s="4">
        <f t="array" ref="G2089">IFERROR((C2089-B2089)/C2089*100, "N/A")</f>
        <v>-44.90910757</v>
      </c>
      <c r="J2089" s="1"/>
      <c r="K2089" s="1"/>
    </row>
    <row r="2090" ht="14.25" customHeight="1">
      <c r="A2090" s="1" t="s">
        <v>10227</v>
      </c>
      <c r="B2090" s="1">
        <v>2.0E7</v>
      </c>
      <c r="C2090" s="1">
        <v>1.3987482E7</v>
      </c>
      <c r="F2090" s="4">
        <v>-6012518.0</v>
      </c>
      <c r="G2090" s="4">
        <f t="array" ref="G2090">IFERROR((C2090-B2090)/C2090*100, "N/A")</f>
        <v>-42.98499187</v>
      </c>
      <c r="J2090" s="1"/>
      <c r="K2090" s="1"/>
    </row>
    <row r="2091" ht="14.25" customHeight="1">
      <c r="A2091" s="1" t="s">
        <v>10232</v>
      </c>
      <c r="B2091" s="1">
        <v>2.0E7</v>
      </c>
      <c r="C2091" s="1">
        <v>1.429157E7</v>
      </c>
      <c r="F2091" s="4">
        <v>-5708430.0</v>
      </c>
      <c r="G2091" s="4">
        <f t="array" ref="G2091">IFERROR((C2091-B2091)/C2091*100, "N/A")</f>
        <v>-39.94263751</v>
      </c>
      <c r="J2091" s="1"/>
      <c r="K2091" s="1"/>
    </row>
    <row r="2092" ht="14.25" customHeight="1">
      <c r="A2092" s="1" t="s">
        <v>10236</v>
      </c>
      <c r="B2092" s="1">
        <v>4.0E7</v>
      </c>
      <c r="C2092" s="1">
        <v>1.2181484E7</v>
      </c>
      <c r="F2092" s="4">
        <v>-2.7818516E7</v>
      </c>
      <c r="G2092" s="4">
        <f t="array" ref="G2092">IFERROR((C2092-B2092)/C2092*100, "N/A")</f>
        <v>-228.367217</v>
      </c>
      <c r="J2092" s="1"/>
      <c r="K2092" s="1"/>
    </row>
    <row r="2093" ht="14.25" customHeight="1">
      <c r="A2093" s="1" t="s">
        <v>10240</v>
      </c>
      <c r="B2093" s="1">
        <v>2.0E7</v>
      </c>
      <c r="C2093" s="1">
        <v>1.3630226E7</v>
      </c>
      <c r="F2093" s="4">
        <v>-6369774.0</v>
      </c>
      <c r="G2093" s="4">
        <f t="array" ref="G2093">IFERROR((C2093-B2093)/C2093*100, "N/A")</f>
        <v>-46.73271008</v>
      </c>
      <c r="J2093" s="1"/>
      <c r="K2093" s="1"/>
    </row>
    <row r="2094" ht="14.25" customHeight="1">
      <c r="A2094" s="1" t="s">
        <v>10243</v>
      </c>
      <c r="B2094" s="1">
        <v>2.0E7</v>
      </c>
      <c r="C2094" s="1">
        <v>1.3383737E7</v>
      </c>
      <c r="F2094" s="4">
        <v>-6616263.0</v>
      </c>
      <c r="G2094" s="4">
        <f t="array" ref="G2094">IFERROR((C2094-B2094)/C2094*100, "N/A")</f>
        <v>-49.43509425</v>
      </c>
      <c r="J2094" s="1"/>
      <c r="K2094" s="1"/>
    </row>
    <row r="2095" ht="14.25" customHeight="1">
      <c r="A2095" s="1" t="s">
        <v>10247</v>
      </c>
      <c r="B2095" s="1">
        <v>2.0E7</v>
      </c>
      <c r="C2095" s="1">
        <v>1.3391174E7</v>
      </c>
      <c r="F2095" s="4">
        <v>-6608826.0</v>
      </c>
      <c r="G2095" s="4">
        <f t="array" ref="G2095">IFERROR((C2095-B2095)/C2095*100, "N/A")</f>
        <v>-49.35210311</v>
      </c>
      <c r="J2095" s="1"/>
      <c r="K2095" s="1"/>
    </row>
    <row r="2096" ht="14.25" customHeight="1">
      <c r="A2096" s="1" t="s">
        <v>10253</v>
      </c>
      <c r="B2096" s="1">
        <v>3.0E7</v>
      </c>
      <c r="C2096" s="1">
        <v>1.2987647E7</v>
      </c>
      <c r="F2096" s="4">
        <v>-1.7012353E7</v>
      </c>
      <c r="G2096" s="4">
        <f t="array" ref="G2096">IFERROR((C2096-B2096)/C2096*100, "N/A")</f>
        <v>-130.9887234</v>
      </c>
      <c r="J2096" s="1"/>
      <c r="K2096" s="1"/>
    </row>
    <row r="2097" ht="14.25" customHeight="1">
      <c r="A2097" s="1" t="s">
        <v>10257</v>
      </c>
      <c r="B2097" s="1">
        <v>2.2E7</v>
      </c>
      <c r="C2097" s="1">
        <v>1.2469811E7</v>
      </c>
      <c r="F2097" s="4">
        <v>-9530189.0</v>
      </c>
      <c r="G2097" s="4">
        <f t="array" ref="G2097">IFERROR((C2097-B2097)/C2097*100, "N/A")</f>
        <v>-76.42609018</v>
      </c>
      <c r="J2097" s="1"/>
      <c r="K2097" s="1"/>
    </row>
    <row r="2098" ht="14.25" customHeight="1">
      <c r="A2098" s="1" t="s">
        <v>10260</v>
      </c>
      <c r="B2098" s="1">
        <v>2.0E7</v>
      </c>
      <c r="C2098" s="1">
        <v>1.2398628E7</v>
      </c>
      <c r="F2098" s="4">
        <v>-7601372.0</v>
      </c>
      <c r="G2098" s="4">
        <f t="array" ref="G2098">IFERROR((C2098-B2098)/C2098*100, "N/A")</f>
        <v>-61.30817055</v>
      </c>
      <c r="J2098" s="1"/>
      <c r="K2098" s="1"/>
    </row>
    <row r="2099" ht="14.25" customHeight="1">
      <c r="A2099" s="1" t="s">
        <v>10264</v>
      </c>
      <c r="B2099" s="1">
        <v>2.0E7</v>
      </c>
      <c r="C2099" s="1">
        <v>1.321403E7</v>
      </c>
      <c r="F2099" s="4">
        <v>-6785970.0</v>
      </c>
      <c r="G2099" s="4">
        <f t="array" ref="G2099">IFERROR((C2099-B2099)/C2099*100, "N/A")</f>
        <v>-51.35428026</v>
      </c>
      <c r="J2099" s="1"/>
      <c r="K2099" s="1"/>
    </row>
    <row r="2100" ht="14.25" customHeight="1">
      <c r="A2100" s="1" t="s">
        <v>10269</v>
      </c>
      <c r="B2100" s="1">
        <v>2.2E7</v>
      </c>
      <c r="C2100" s="1">
        <v>1.2232937E7</v>
      </c>
      <c r="F2100" s="4">
        <v>-9767063.0</v>
      </c>
      <c r="G2100" s="4">
        <f t="array" ref="G2100">IFERROR((C2100-B2100)/C2100*100, "N/A")</f>
        <v>-79.84233876</v>
      </c>
      <c r="J2100" s="1"/>
      <c r="K2100" s="1"/>
    </row>
    <row r="2101" ht="14.25" customHeight="1">
      <c r="A2101" s="1" t="s">
        <v>10274</v>
      </c>
      <c r="B2101" s="1">
        <v>2.0E7</v>
      </c>
      <c r="C2101" s="1">
        <v>1.213442E7</v>
      </c>
      <c r="F2101" s="4">
        <v>-7865580.0</v>
      </c>
      <c r="G2101" s="4">
        <f t="array" ref="G2101">IFERROR((C2101-B2101)/C2101*100, "N/A")</f>
        <v>-64.82040345</v>
      </c>
      <c r="J2101" s="1"/>
      <c r="K2101" s="1"/>
    </row>
    <row r="2102" ht="14.25" customHeight="1">
      <c r="A2102" s="1" t="s">
        <v>10279</v>
      </c>
      <c r="B2102" s="1">
        <v>2.0E7</v>
      </c>
      <c r="C2102" s="1">
        <v>1.1784E7</v>
      </c>
      <c r="F2102" s="4">
        <v>-8216000.0</v>
      </c>
      <c r="G2102" s="4">
        <f t="array" ref="G2102">IFERROR((C2102-B2102)/C2102*100, "N/A")</f>
        <v>-69.72165648</v>
      </c>
      <c r="J2102" s="1"/>
      <c r="K2102" s="1"/>
    </row>
    <row r="2103" ht="14.25" customHeight="1">
      <c r="A2103" s="1" t="s">
        <v>10284</v>
      </c>
      <c r="B2103" s="1">
        <v>2.0E7</v>
      </c>
      <c r="C2103" s="1">
        <v>1.1169531E7</v>
      </c>
      <c r="F2103" s="4">
        <v>-8830469.0</v>
      </c>
      <c r="G2103" s="4">
        <f t="array" ref="G2103">IFERROR((C2103-B2103)/C2103*100, "N/A")</f>
        <v>-79.05854776</v>
      </c>
      <c r="J2103" s="1"/>
      <c r="K2103" s="1"/>
    </row>
    <row r="2104" ht="14.25" customHeight="1">
      <c r="A2104" s="1" t="s">
        <v>10288</v>
      </c>
      <c r="B2104" s="1">
        <v>2.0E7</v>
      </c>
      <c r="C2104" s="1">
        <v>1.1034436E7</v>
      </c>
      <c r="F2104" s="4">
        <v>-8965564.0</v>
      </c>
      <c r="G2104" s="4">
        <f t="array" ref="G2104">IFERROR((C2104-B2104)/C2104*100, "N/A")</f>
        <v>-81.25076805</v>
      </c>
      <c r="J2104" s="1"/>
      <c r="K2104" s="1"/>
    </row>
    <row r="2105" ht="14.25" customHeight="1">
      <c r="A2105" s="1" t="s">
        <v>10294</v>
      </c>
      <c r="B2105" s="1">
        <v>2.0E7</v>
      </c>
      <c r="C2105" s="1">
        <v>1.2626905E7</v>
      </c>
      <c r="F2105" s="4">
        <v>-7373095.0</v>
      </c>
      <c r="G2105" s="4">
        <f t="array" ref="G2105">IFERROR((C2105-B2105)/C2105*100, "N/A")</f>
        <v>-58.39194165</v>
      </c>
      <c r="J2105" s="1"/>
      <c r="K2105" s="1"/>
    </row>
    <row r="2106" ht="14.25" customHeight="1">
      <c r="A2106" s="1" t="s">
        <v>10297</v>
      </c>
      <c r="B2106" s="1">
        <v>2.0E7</v>
      </c>
      <c r="C2106" s="1">
        <v>1.0569071E7</v>
      </c>
      <c r="F2106" s="4">
        <v>-9430929.0</v>
      </c>
      <c r="G2106" s="4">
        <f t="array" ref="G2106">IFERROR((C2106-B2106)/C2106*100, "N/A")</f>
        <v>-89.23139035</v>
      </c>
      <c r="J2106" s="1"/>
      <c r="K2106" s="1"/>
    </row>
    <row r="2107" ht="14.25" customHeight="1">
      <c r="A2107" s="1" t="s">
        <v>10302</v>
      </c>
      <c r="B2107" s="1">
        <v>2.0E7</v>
      </c>
      <c r="C2107" s="1">
        <v>1.0544143E7</v>
      </c>
      <c r="F2107" s="4">
        <v>-9455857.0</v>
      </c>
      <c r="G2107" s="4">
        <f t="array" ref="G2107">IFERROR((C2107-B2107)/C2107*100, "N/A")</f>
        <v>-89.67876289</v>
      </c>
      <c r="J2107" s="1"/>
      <c r="K2107" s="1"/>
    </row>
    <row r="2108" ht="14.25" customHeight="1">
      <c r="A2108" s="1" t="s">
        <v>10306</v>
      </c>
      <c r="B2108" s="1">
        <v>2.0E7</v>
      </c>
      <c r="C2108" s="1">
        <v>1.3650738E7</v>
      </c>
      <c r="F2108" s="4">
        <v>-6349262.0</v>
      </c>
      <c r="G2108" s="4">
        <f t="array" ref="G2108">IFERROR((C2108-B2108)/C2108*100, "N/A")</f>
        <v>-46.5122252</v>
      </c>
      <c r="J2108" s="1"/>
      <c r="K2108" s="1"/>
    </row>
    <row r="2109" ht="14.25" customHeight="1">
      <c r="A2109" s="1" t="s">
        <v>10310</v>
      </c>
      <c r="B2109" s="1">
        <v>2.0E7</v>
      </c>
      <c r="C2109" s="1">
        <v>1.0555348E7</v>
      </c>
      <c r="F2109" s="4">
        <v>-9444652.0</v>
      </c>
      <c r="G2109" s="4">
        <f t="array" ref="G2109">IFERROR((C2109-B2109)/C2109*100, "N/A")</f>
        <v>-89.47740993</v>
      </c>
      <c r="J2109" s="1"/>
      <c r="K2109" s="1"/>
    </row>
    <row r="2110" ht="14.25" customHeight="1">
      <c r="A2110" s="1" t="s">
        <v>10314</v>
      </c>
      <c r="B2110" s="1">
        <v>2.0E7</v>
      </c>
      <c r="C2110" s="1">
        <v>9714482.0</v>
      </c>
      <c r="F2110" s="4">
        <v>-1.0285518E7</v>
      </c>
      <c r="G2110" s="4">
        <f t="array" ref="G2110">IFERROR((C2110-B2110)/C2110*100, "N/A")</f>
        <v>-105.878193</v>
      </c>
      <c r="J2110" s="1"/>
      <c r="K2110" s="1"/>
    </row>
    <row r="2111" ht="14.25" customHeight="1">
      <c r="A2111" s="1" t="s">
        <v>9707</v>
      </c>
      <c r="B2111" s="1">
        <v>9000000.0</v>
      </c>
      <c r="C2111" s="1">
        <v>8579684.0</v>
      </c>
      <c r="F2111" s="4">
        <v>-420316.0</v>
      </c>
      <c r="G2111" s="4">
        <f t="array" ref="G2111">IFERROR((C2111-B2111)/C2111*100, "N/A")</f>
        <v>-4.898968307</v>
      </c>
      <c r="J2111" s="1"/>
      <c r="K2111" s="1"/>
    </row>
    <row r="2112" ht="14.25" customHeight="1">
      <c r="A2112" s="1" t="s">
        <v>10319</v>
      </c>
      <c r="B2112" s="1">
        <v>2.0E7</v>
      </c>
      <c r="C2112" s="1">
        <v>9525276.0</v>
      </c>
      <c r="F2112" s="4">
        <v>-1.0474724E7</v>
      </c>
      <c r="G2112" s="4">
        <f t="array" ref="G2112">IFERROR((C2112-B2112)/C2112*100, "N/A")</f>
        <v>-109.9676692</v>
      </c>
      <c r="J2112" s="1"/>
      <c r="K2112" s="1"/>
    </row>
    <row r="2113" ht="14.25" customHeight="1">
      <c r="A2113" s="1" t="s">
        <v>10323</v>
      </c>
      <c r="B2113" s="1">
        <v>2.1E7</v>
      </c>
      <c r="C2113" s="1">
        <v>8855646.0</v>
      </c>
      <c r="F2113" s="4">
        <v>-1.2144354E7</v>
      </c>
      <c r="G2113" s="4">
        <f t="array" ref="G2113">IFERROR((C2113-B2113)/C2113*100, "N/A")</f>
        <v>-137.1368503</v>
      </c>
      <c r="J2113" s="1"/>
      <c r="K2113" s="1"/>
    </row>
    <row r="2114" ht="14.25" customHeight="1">
      <c r="A2114" s="1" t="s">
        <v>10328</v>
      </c>
      <c r="B2114" s="1">
        <v>2.0E7</v>
      </c>
      <c r="C2114" s="1">
        <v>9109322.0</v>
      </c>
      <c r="F2114" s="4">
        <v>-1.0890678E7</v>
      </c>
      <c r="G2114" s="4">
        <f t="array" ref="G2114">IFERROR((C2114-B2114)/C2114*100, "N/A")</f>
        <v>-119.5553083</v>
      </c>
      <c r="J2114" s="1"/>
      <c r="K2114" s="1"/>
    </row>
    <row r="2115" ht="14.25" customHeight="1">
      <c r="A2115" s="1" t="s">
        <v>10334</v>
      </c>
      <c r="B2115" s="1">
        <v>3.3E7</v>
      </c>
      <c r="C2115" s="1">
        <v>8326035.0</v>
      </c>
      <c r="F2115" s="4">
        <v>-2.4673965E7</v>
      </c>
      <c r="G2115" s="4">
        <f t="array" ref="G2115">IFERROR((C2115-B2115)/C2115*100, "N/A")</f>
        <v>-296.3471208</v>
      </c>
      <c r="J2115" s="1"/>
      <c r="K2115" s="1"/>
    </row>
    <row r="2116" ht="14.25" customHeight="1">
      <c r="A2116" s="1" t="s">
        <v>10339</v>
      </c>
      <c r="B2116" s="1">
        <v>2.0E7</v>
      </c>
      <c r="C2116" s="1">
        <v>8104069.0</v>
      </c>
      <c r="F2116" s="4">
        <v>-1.1895931E7</v>
      </c>
      <c r="G2116" s="4">
        <f t="array" ref="G2116">IFERROR((C2116-B2116)/C2116*100, "N/A")</f>
        <v>-146.7896066</v>
      </c>
      <c r="J2116" s="1"/>
      <c r="K2116" s="1"/>
    </row>
    <row r="2117" ht="14.25" customHeight="1">
      <c r="A2117" s="1" t="s">
        <v>10342</v>
      </c>
      <c r="B2117" s="1">
        <v>2.0E7</v>
      </c>
      <c r="C2117" s="1">
        <v>8054280.0</v>
      </c>
      <c r="F2117" s="4">
        <v>-1.194572E7</v>
      </c>
      <c r="G2117" s="4">
        <f t="array" ref="G2117">IFERROR((C2117-B2117)/C2117*100, "N/A")</f>
        <v>-148.3151815</v>
      </c>
      <c r="J2117" s="1"/>
      <c r="K2117" s="1"/>
    </row>
    <row r="2118" ht="14.25" customHeight="1">
      <c r="A2118" s="1" t="s">
        <v>10346</v>
      </c>
      <c r="B2118" s="1">
        <v>2.0E7</v>
      </c>
      <c r="C2118" s="1">
        <v>8093318.0</v>
      </c>
      <c r="F2118" s="4">
        <v>-1.1906682E7</v>
      </c>
      <c r="G2118" s="4">
        <f t="array" ref="G2118">IFERROR((C2118-B2118)/C2118*100, "N/A")</f>
        <v>-147.1174369</v>
      </c>
      <c r="J2118" s="1"/>
      <c r="K2118" s="1"/>
    </row>
    <row r="2119" ht="14.25" customHeight="1">
      <c r="A2119" s="1" t="s">
        <v>10354</v>
      </c>
      <c r="B2119" s="1">
        <v>2.0E7</v>
      </c>
      <c r="C2119" s="1">
        <v>7382993.0</v>
      </c>
      <c r="F2119" s="4">
        <v>-1.2617007E7</v>
      </c>
      <c r="G2119" s="4">
        <f t="array" ref="G2119">IFERROR((C2119-B2119)/C2119*100, "N/A")</f>
        <v>-170.8928479</v>
      </c>
      <c r="J2119" s="1"/>
      <c r="K2119" s="1"/>
    </row>
    <row r="2120" ht="14.25" customHeight="1">
      <c r="A2120" s="1" t="s">
        <v>10358</v>
      </c>
      <c r="B2120" s="1">
        <v>2.0E7</v>
      </c>
      <c r="C2120" s="1">
        <v>8888355.0</v>
      </c>
      <c r="F2120" s="4">
        <v>-1.1111645E7</v>
      </c>
      <c r="G2120" s="4">
        <f t="array" ref="G2120">IFERROR((C2120-B2120)/C2120*100, "N/A")</f>
        <v>-125.0135149</v>
      </c>
      <c r="J2120" s="1"/>
      <c r="K2120" s="1"/>
    </row>
    <row r="2121" ht="14.25" customHeight="1">
      <c r="A2121" s="1" t="s">
        <v>10363</v>
      </c>
      <c r="B2121" s="1">
        <v>1.2E7</v>
      </c>
      <c r="C2121" s="1">
        <v>7001720.0</v>
      </c>
      <c r="F2121" s="4">
        <v>-4998280.0</v>
      </c>
      <c r="G2121" s="4">
        <f t="array" ref="G2121">IFERROR((C2121-B2121)/C2121*100, "N/A")</f>
        <v>-71.38645933</v>
      </c>
      <c r="J2121" s="1"/>
      <c r="K2121" s="1"/>
    </row>
    <row r="2122" ht="14.25" customHeight="1">
      <c r="A2122" s="1" t="s">
        <v>10369</v>
      </c>
      <c r="B2122" s="1">
        <v>2.0E7</v>
      </c>
      <c r="C2122" s="1">
        <v>7268659.0</v>
      </c>
      <c r="F2122" s="4">
        <v>-1.2731341E7</v>
      </c>
      <c r="G2122" s="4">
        <f t="array" ref="G2122">IFERROR((C2122-B2122)/C2122*100, "N/A")</f>
        <v>-175.1539177</v>
      </c>
      <c r="J2122" s="1"/>
      <c r="K2122" s="1"/>
    </row>
    <row r="2123" ht="14.25" customHeight="1">
      <c r="A2123" s="1" t="s">
        <v>10375</v>
      </c>
      <c r="B2123" s="1">
        <v>2.2E7</v>
      </c>
      <c r="C2123" s="1">
        <v>6852144.0</v>
      </c>
      <c r="F2123" s="4">
        <v>-1.5147856E7</v>
      </c>
      <c r="G2123" s="4">
        <f t="array" ref="G2123">IFERROR((C2123-B2123)/C2123*100, "N/A")</f>
        <v>-221.0673915</v>
      </c>
      <c r="J2123" s="1"/>
      <c r="K2123" s="1"/>
    </row>
    <row r="2124" ht="14.25" customHeight="1">
      <c r="A2124" s="1" t="s">
        <v>10379</v>
      </c>
      <c r="B2124" s="1">
        <v>2.0E7</v>
      </c>
      <c r="C2124" s="1">
        <v>6563357.0</v>
      </c>
      <c r="F2124" s="4">
        <v>-1.3436643E7</v>
      </c>
      <c r="G2124" s="4">
        <f t="array" ref="G2124">IFERROR((C2124-B2124)/C2124*100, "N/A")</f>
        <v>-204.722111</v>
      </c>
      <c r="J2124" s="1"/>
      <c r="K2124" s="1"/>
    </row>
    <row r="2125" ht="14.25" customHeight="1">
      <c r="A2125" s="1" t="s">
        <v>10384</v>
      </c>
      <c r="B2125" s="1">
        <v>1.0E7</v>
      </c>
      <c r="C2125" s="1">
        <v>6201757.0</v>
      </c>
      <c r="F2125" s="4">
        <v>-3798243.0</v>
      </c>
      <c r="G2125" s="4">
        <f t="array" ref="G2125">IFERROR((C2125-B2125)/C2125*100, "N/A")</f>
        <v>-61.24462793</v>
      </c>
      <c r="J2125" s="1"/>
      <c r="K2125" s="1"/>
    </row>
    <row r="2126" ht="14.25" customHeight="1">
      <c r="A2126" s="1" t="s">
        <v>10389</v>
      </c>
      <c r="B2126" s="1">
        <v>1.5E7</v>
      </c>
      <c r="C2126" s="1">
        <v>5702083.0</v>
      </c>
      <c r="F2126" s="4">
        <v>-9297917.0</v>
      </c>
      <c r="G2126" s="4">
        <f t="array" ref="G2126">IFERROR((C2126-B2126)/C2126*100, "N/A")</f>
        <v>-163.0617618</v>
      </c>
      <c r="J2126" s="1"/>
      <c r="K2126" s="1"/>
    </row>
    <row r="2127" ht="14.25" customHeight="1">
      <c r="A2127" s="1" t="s">
        <v>10392</v>
      </c>
      <c r="B2127" s="1">
        <v>8700000.0</v>
      </c>
      <c r="C2127" s="1">
        <v>5480996.0</v>
      </c>
      <c r="F2127" s="4">
        <v>-3219004.0</v>
      </c>
      <c r="G2127" s="4">
        <f t="array" ref="G2127">IFERROR((C2127-B2127)/C2127*100, "N/A")</f>
        <v>-58.73027457</v>
      </c>
      <c r="J2127" s="1"/>
      <c r="K2127" s="1"/>
    </row>
    <row r="2128" ht="14.25" customHeight="1">
      <c r="A2128" s="1" t="s">
        <v>10396</v>
      </c>
      <c r="B2128" s="1">
        <v>2.0E7</v>
      </c>
      <c r="C2128" s="1">
        <v>6002756.0</v>
      </c>
      <c r="F2128" s="4">
        <v>-1.3997244E7</v>
      </c>
      <c r="G2128" s="4">
        <f t="array" ref="G2128">IFERROR((C2128-B2128)/C2128*100, "N/A")</f>
        <v>-233.1802925</v>
      </c>
      <c r="J2128" s="1"/>
      <c r="K2128" s="1"/>
    </row>
    <row r="2129" ht="14.25" customHeight="1">
      <c r="A2129" s="1" t="s">
        <v>10399</v>
      </c>
      <c r="B2129" s="1">
        <v>2.0E7</v>
      </c>
      <c r="C2129" s="1">
        <v>5132655.0</v>
      </c>
      <c r="F2129" s="4">
        <v>-1.4867345E7</v>
      </c>
      <c r="G2129" s="4">
        <f t="array" ref="G2129">IFERROR((C2129-B2129)/C2129*100, "N/A")</f>
        <v>-289.6618806</v>
      </c>
      <c r="J2129" s="1"/>
      <c r="K2129" s="1"/>
    </row>
    <row r="2130" ht="14.25" customHeight="1">
      <c r="A2130" s="1" t="s">
        <v>10405</v>
      </c>
      <c r="B2130" s="1">
        <v>2.0E7</v>
      </c>
      <c r="C2130" s="1">
        <v>5205343.0</v>
      </c>
      <c r="F2130" s="4">
        <v>-1.4794657E7</v>
      </c>
      <c r="G2130" s="4">
        <f t="array" ref="G2130">IFERROR((C2130-B2130)/C2130*100, "N/A")</f>
        <v>-284.220598</v>
      </c>
      <c r="J2130" s="1"/>
      <c r="K2130" s="1"/>
    </row>
    <row r="2131" ht="14.25" customHeight="1">
      <c r="A2131" s="1" t="s">
        <v>10411</v>
      </c>
      <c r="B2131" s="1">
        <v>2.0E7</v>
      </c>
      <c r="C2131" s="1">
        <v>5005883.0</v>
      </c>
      <c r="F2131" s="4">
        <v>-1.4994117E7</v>
      </c>
      <c r="G2131" s="4">
        <f t="array" ref="G2131">IFERROR((C2131-B2131)/C2131*100, "N/A")</f>
        <v>-299.5299131</v>
      </c>
      <c r="J2131" s="1"/>
      <c r="K2131" s="1"/>
    </row>
    <row r="2132" ht="14.25" customHeight="1">
      <c r="A2132" s="1" t="s">
        <v>10415</v>
      </c>
      <c r="B2132" s="1">
        <v>2.0E7</v>
      </c>
      <c r="C2132" s="1">
        <v>5749134.0</v>
      </c>
      <c r="F2132" s="4">
        <v>-1.4250866E7</v>
      </c>
      <c r="G2132" s="4">
        <f t="array" ref="G2132">IFERROR((C2132-B2132)/C2132*100, "N/A")</f>
        <v>-247.8784805</v>
      </c>
      <c r="J2132" s="1"/>
      <c r="K2132" s="1"/>
    </row>
    <row r="2133" ht="14.25" customHeight="1">
      <c r="A2133" s="1" t="s">
        <v>10419</v>
      </c>
      <c r="B2133" s="1">
        <v>2.0E7</v>
      </c>
      <c r="C2133" s="1">
        <v>4234040.0</v>
      </c>
      <c r="F2133" s="4">
        <v>-1.576596E7</v>
      </c>
      <c r="G2133" s="4">
        <f t="array" ref="G2133">IFERROR((C2133-B2133)/C2133*100, "N/A")</f>
        <v>-372.3620939</v>
      </c>
      <c r="J2133" s="1"/>
      <c r="K2133" s="1"/>
    </row>
    <row r="2134" ht="14.25" customHeight="1">
      <c r="A2134" s="1" t="s">
        <v>10426</v>
      </c>
      <c r="B2134" s="1">
        <v>2.0E7</v>
      </c>
      <c r="C2134" s="1">
        <v>4001121.0</v>
      </c>
      <c r="F2134" s="4">
        <v>-1.5998879E7</v>
      </c>
      <c r="G2134" s="4">
        <f t="array" ref="G2134">IFERROR((C2134-B2134)/C2134*100, "N/A")</f>
        <v>-399.8599143</v>
      </c>
      <c r="J2134" s="1"/>
      <c r="K2134" s="1"/>
    </row>
    <row r="2135" ht="14.25" customHeight="1">
      <c r="A2135" s="1" t="s">
        <v>10431</v>
      </c>
      <c r="B2135" s="1">
        <v>2.0E7</v>
      </c>
      <c r="C2135" s="1">
        <v>3749061.0</v>
      </c>
      <c r="F2135" s="4">
        <v>-1.6250939E7</v>
      </c>
      <c r="G2135" s="4">
        <f t="array" ref="G2135">IFERROR((C2135-B2135)/C2135*100, "N/A")</f>
        <v>-433.4669134</v>
      </c>
      <c r="J2135" s="1"/>
      <c r="K2135" s="1"/>
    </row>
    <row r="2136" ht="14.25" customHeight="1">
      <c r="A2136" s="1" t="s">
        <v>10434</v>
      </c>
      <c r="B2136" s="1">
        <v>2.0E7</v>
      </c>
      <c r="C2136" s="1">
        <v>3519627.0</v>
      </c>
      <c r="F2136" s="4">
        <v>-1.6480373E7</v>
      </c>
      <c r="G2136" s="4">
        <f t="array" ref="G2136">IFERROR((C2136-B2136)/C2136*100, "N/A")</f>
        <v>-468.2420325</v>
      </c>
      <c r="J2136" s="1"/>
      <c r="K2136" s="1"/>
    </row>
    <row r="2137" ht="14.25" customHeight="1">
      <c r="A2137" s="1" t="s">
        <v>10440</v>
      </c>
      <c r="B2137" s="1">
        <v>2.1E7</v>
      </c>
      <c r="C2137" s="1">
        <v>3081925.0</v>
      </c>
      <c r="F2137" s="4">
        <v>-1.7918075E7</v>
      </c>
      <c r="G2137" s="4">
        <f t="array" ref="G2137">IFERROR((C2137-B2137)/C2137*100, "N/A")</f>
        <v>-581.3923116</v>
      </c>
      <c r="J2137" s="1"/>
      <c r="K2137" s="1"/>
    </row>
    <row r="2138" ht="14.25" customHeight="1">
      <c r="A2138" s="1" t="s">
        <v>10443</v>
      </c>
      <c r="B2138" s="1">
        <v>2.4E9</v>
      </c>
      <c r="C2138" s="1">
        <v>2298191.0</v>
      </c>
      <c r="F2138" s="4">
        <v>-2.397701809E9</v>
      </c>
      <c r="G2138" s="4">
        <f t="array" ref="G2138">IFERROR((C2138-B2138)/C2138*100, "N/A")</f>
        <v>-104329.9625</v>
      </c>
      <c r="J2138" s="1"/>
      <c r="K2138" s="1"/>
    </row>
    <row r="2139" ht="14.25" customHeight="1">
      <c r="A2139" s="1" t="s">
        <v>10448</v>
      </c>
      <c r="B2139" s="1">
        <v>2.0E7</v>
      </c>
      <c r="C2139" s="1">
        <v>2353728.0</v>
      </c>
      <c r="F2139" s="4">
        <v>-1.7646272E7</v>
      </c>
      <c r="G2139" s="4">
        <f t="array" ref="G2139">IFERROR((C2139-B2139)/C2139*100, "N/A")</f>
        <v>-749.715855</v>
      </c>
      <c r="J2139" s="1"/>
      <c r="K2139" s="1"/>
    </row>
    <row r="2140" ht="14.25" customHeight="1">
      <c r="A2140" s="1" t="s">
        <v>10453</v>
      </c>
      <c r="B2140" s="1">
        <v>2.0E7</v>
      </c>
      <c r="C2140" s="1">
        <v>2000000.0</v>
      </c>
      <c r="F2140" s="4">
        <v>-1.8E7</v>
      </c>
      <c r="G2140" s="4">
        <f t="array" ref="G2140">IFERROR((C2140-B2140)/C2140*100, "N/A")</f>
        <v>-900</v>
      </c>
      <c r="J2140" s="1"/>
      <c r="K2140" s="1"/>
    </row>
    <row r="2141" ht="14.25" customHeight="1">
      <c r="A2141" s="1" t="s">
        <v>10459</v>
      </c>
      <c r="B2141" s="1">
        <v>2000000.0</v>
      </c>
      <c r="C2141" s="1">
        <v>1900725.0</v>
      </c>
      <c r="F2141" s="4">
        <v>-99275.0</v>
      </c>
      <c r="G2141" s="4">
        <f t="array" ref="G2141">IFERROR((C2141-B2141)/C2141*100, "N/A")</f>
        <v>-5.22300701</v>
      </c>
      <c r="J2141" s="1"/>
      <c r="K2141" s="1"/>
    </row>
    <row r="2142" ht="14.25" customHeight="1">
      <c r="A2142" s="1" t="s">
        <v>10464</v>
      </c>
      <c r="B2142" s="1">
        <v>2.0E7</v>
      </c>
      <c r="C2142" s="1">
        <v>2246000.0</v>
      </c>
      <c r="F2142" s="4">
        <v>-1.7754E7</v>
      </c>
      <c r="G2142" s="4">
        <f t="array" ref="G2142">IFERROR((C2142-B2142)/C2142*100, "N/A")</f>
        <v>-790.4719501</v>
      </c>
      <c r="J2142" s="1"/>
      <c r="K2142" s="1"/>
    </row>
    <row r="2143" ht="14.25" customHeight="1">
      <c r="A2143" s="1" t="s">
        <v>10469</v>
      </c>
      <c r="B2143" s="1">
        <v>2.0E7</v>
      </c>
      <c r="C2143" s="1">
        <v>1646664.0</v>
      </c>
      <c r="F2143" s="4">
        <v>-1.8353336E7</v>
      </c>
      <c r="G2143" s="4">
        <f t="array" ref="G2143">IFERROR((C2143-B2143)/C2143*100, "N/A")</f>
        <v>-1114.576866</v>
      </c>
      <c r="J2143" s="1"/>
      <c r="K2143" s="1"/>
    </row>
    <row r="2144" ht="14.25" customHeight="1">
      <c r="A2144" s="1" t="s">
        <v>10473</v>
      </c>
      <c r="B2144" s="1">
        <v>2.0E7</v>
      </c>
      <c r="C2144" s="1">
        <v>1190018.0</v>
      </c>
      <c r="F2144" s="4">
        <v>-1.8809982E7</v>
      </c>
      <c r="G2144" s="4">
        <f t="array" ref="G2144">IFERROR((C2144-B2144)/C2144*100, "N/A")</f>
        <v>-1580.646847</v>
      </c>
      <c r="J2144" s="1"/>
      <c r="K2144" s="1"/>
    </row>
    <row r="2145" ht="14.25" customHeight="1">
      <c r="A2145" s="1" t="s">
        <v>10476</v>
      </c>
      <c r="B2145" s="1">
        <v>4.0E7</v>
      </c>
      <c r="C2145" s="1">
        <v>1027749.0</v>
      </c>
      <c r="F2145" s="4">
        <v>-3.8972251E7</v>
      </c>
      <c r="G2145" s="4">
        <f t="array" ref="G2145">IFERROR((C2145-B2145)/C2145*100, "N/A")</f>
        <v>-3792.000868</v>
      </c>
      <c r="J2145" s="1"/>
      <c r="K2145" s="1"/>
    </row>
    <row r="2146" ht="14.25" customHeight="1">
      <c r="A2146" s="1" t="s">
        <v>10481</v>
      </c>
      <c r="B2146" s="1">
        <v>2.4E7</v>
      </c>
      <c r="C2146" s="1">
        <v>882710.0</v>
      </c>
      <c r="F2146" s="4">
        <v>-2.311729E7</v>
      </c>
      <c r="G2146" s="4">
        <f t="array" ref="G2146">IFERROR((C2146-B2146)/C2146*100, "N/A")</f>
        <v>-2618.899752</v>
      </c>
      <c r="J2146" s="1"/>
      <c r="K2146" s="1"/>
    </row>
    <row r="2147" ht="14.25" customHeight="1">
      <c r="A2147" s="1" t="s">
        <v>10484</v>
      </c>
      <c r="B2147" s="1">
        <v>1.0E7</v>
      </c>
      <c r="C2147" s="1">
        <v>531009.0</v>
      </c>
      <c r="F2147" s="4">
        <v>-9468991.0</v>
      </c>
      <c r="G2147" s="4">
        <f t="array" ref="G2147">IFERROR((C2147-B2147)/C2147*100, "N/A")</f>
        <v>-1783.207253</v>
      </c>
      <c r="J2147" s="1"/>
      <c r="K2147" s="1"/>
    </row>
    <row r="2148" ht="14.25" customHeight="1">
      <c r="A2148" s="1" t="s">
        <v>10489</v>
      </c>
      <c r="B2148" s="1">
        <v>2.127519898E9</v>
      </c>
      <c r="C2148" s="1">
        <v>410388.0</v>
      </c>
      <c r="F2148" s="4">
        <v>-2.12710951E9</v>
      </c>
      <c r="G2148" s="4">
        <f t="array" ref="G2148">IFERROR((C2148-B2148)/C2148*100, "N/A")</f>
        <v>-518316.693</v>
      </c>
      <c r="J2148" s="1"/>
      <c r="K2148" s="1"/>
    </row>
    <row r="2149" ht="14.25" customHeight="1">
      <c r="A2149" s="1" t="s">
        <v>10495</v>
      </c>
      <c r="B2149" s="1">
        <v>2.0E7</v>
      </c>
      <c r="C2149" s="1">
        <v>375474.0</v>
      </c>
      <c r="F2149" s="4">
        <v>-1.9624526E7</v>
      </c>
      <c r="G2149" s="4">
        <f t="array" ref="G2149">IFERROR((C2149-B2149)/C2149*100, "N/A")</f>
        <v>-5226.60051</v>
      </c>
      <c r="J2149" s="1"/>
      <c r="K2149" s="1"/>
    </row>
    <row r="2150" ht="14.25" customHeight="1">
      <c r="A2150" s="1" t="s">
        <v>10499</v>
      </c>
      <c r="B2150" s="1">
        <v>2.0E7</v>
      </c>
      <c r="C2150" s="1">
        <v>305070.0</v>
      </c>
      <c r="F2150" s="4">
        <v>-1.969493E7</v>
      </c>
      <c r="G2150" s="4">
        <f t="array" ref="G2150">IFERROR((C2150-B2150)/C2150*100, "N/A")</f>
        <v>-6455.872423</v>
      </c>
      <c r="J2150" s="1"/>
      <c r="K2150" s="1"/>
    </row>
    <row r="2151" ht="14.25" customHeight="1">
      <c r="A2151" s="1" t="s">
        <v>10503</v>
      </c>
      <c r="B2151" s="1">
        <v>2.0E7</v>
      </c>
      <c r="C2151" s="1">
        <v>1183354.0</v>
      </c>
      <c r="F2151" s="4">
        <v>-1.8816646E7</v>
      </c>
      <c r="G2151" s="4">
        <f t="array" ref="G2151">IFERROR((C2151-B2151)/C2151*100, "N/A")</f>
        <v>-1590.111328</v>
      </c>
      <c r="J2151" s="1"/>
      <c r="K2151" s="1"/>
    </row>
    <row r="2152" ht="14.25" customHeight="1">
      <c r="A2152" s="1" t="s">
        <v>10509</v>
      </c>
      <c r="B2152" s="1">
        <v>2.2E7</v>
      </c>
      <c r="C2152" s="1">
        <v>121972.0</v>
      </c>
      <c r="F2152" s="4">
        <v>-2.1878028E7</v>
      </c>
      <c r="G2152" s="4">
        <f t="array" ref="G2152">IFERROR((C2152-B2152)/C2152*100, "N/A")</f>
        <v>-17936.92651</v>
      </c>
      <c r="J2152" s="1"/>
      <c r="K2152" s="1"/>
    </row>
    <row r="2153" ht="14.25" customHeight="1">
      <c r="A2153" s="1" t="s">
        <v>10514</v>
      </c>
      <c r="B2153" s="1">
        <v>2.0E7</v>
      </c>
      <c r="C2153" s="1">
        <v>263365.0</v>
      </c>
      <c r="F2153" s="4">
        <v>-1.9736635E7</v>
      </c>
      <c r="G2153" s="4">
        <f t="array" ref="G2153">IFERROR((C2153-B2153)/C2153*100, "N/A")</f>
        <v>-7494.023504</v>
      </c>
      <c r="J2153" s="1"/>
      <c r="K2153" s="1"/>
    </row>
    <row r="2154" ht="14.25" customHeight="1">
      <c r="A2154" s="1" t="s">
        <v>10518</v>
      </c>
      <c r="B2154" s="1">
        <v>1.94E7</v>
      </c>
      <c r="C2154" s="1">
        <v>8047690.0</v>
      </c>
      <c r="F2154" s="4">
        <v>-1.135231E7</v>
      </c>
      <c r="G2154" s="4">
        <f t="array" ref="G2154">IFERROR((C2154-B2154)/C2154*100, "N/A")</f>
        <v>-141.0629634</v>
      </c>
      <c r="J2154" s="1"/>
      <c r="K2154" s="1"/>
    </row>
    <row r="2155" ht="14.25" customHeight="1">
      <c r="A2155" s="1" t="s">
        <v>10522</v>
      </c>
      <c r="B2155" s="1">
        <v>2.0E7</v>
      </c>
      <c r="C2155" s="1">
        <v>476270.0</v>
      </c>
      <c r="F2155" s="4">
        <v>-1.952373E7</v>
      </c>
      <c r="G2155" s="4">
        <f t="array" ref="G2155">IFERROR((C2155-B2155)/C2155*100, "N/A")</f>
        <v>-4099.298717</v>
      </c>
      <c r="J2155" s="1"/>
      <c r="K2155" s="1"/>
    </row>
    <row r="2156" ht="14.25" customHeight="1">
      <c r="A2156" s="1" t="s">
        <v>10527</v>
      </c>
      <c r="B2156" s="1">
        <v>2.2E7</v>
      </c>
      <c r="C2156" s="1">
        <v>1.84208848E8</v>
      </c>
      <c r="F2156" s="4">
        <v>1.62208848E8</v>
      </c>
      <c r="G2156" s="4">
        <f t="array" ref="G2156">IFERROR((C2156-B2156)/C2156*100, "N/A")</f>
        <v>88.05703405</v>
      </c>
      <c r="J2156" s="1"/>
      <c r="K2156" s="1"/>
    </row>
    <row r="2157" ht="14.25" customHeight="1">
      <c r="A2157" s="1" t="s">
        <v>10531</v>
      </c>
      <c r="B2157" s="1">
        <v>2.0E7</v>
      </c>
      <c r="C2157" s="1">
        <v>1.00292856E8</v>
      </c>
      <c r="F2157" s="4">
        <v>8.0292856E7</v>
      </c>
      <c r="G2157" s="4">
        <f t="array" ref="G2157">IFERROR((C2157-B2157)/C2157*100, "N/A")</f>
        <v>80.05840017</v>
      </c>
      <c r="J2157" s="1"/>
      <c r="K2157" s="1"/>
    </row>
    <row r="2158" ht="14.25" customHeight="1">
      <c r="A2158" s="1" t="s">
        <v>10534</v>
      </c>
      <c r="B2158" s="1">
        <v>1.9E7</v>
      </c>
      <c r="C2158" s="1">
        <v>5.8571513E7</v>
      </c>
      <c r="F2158" s="4">
        <v>3.9571513E7</v>
      </c>
      <c r="G2158" s="4">
        <f t="array" ref="G2158">IFERROR((C2158-B2158)/C2158*100, "N/A")</f>
        <v>67.56102237</v>
      </c>
      <c r="J2158" s="1"/>
      <c r="K2158" s="1"/>
    </row>
    <row r="2159" ht="14.25" customHeight="1">
      <c r="A2159" s="1" t="s">
        <v>10538</v>
      </c>
      <c r="B2159" s="1">
        <v>2.0E7</v>
      </c>
      <c r="C2159" s="1">
        <v>5.143116E7</v>
      </c>
      <c r="F2159" s="4">
        <v>3.143116E7</v>
      </c>
      <c r="G2159" s="4">
        <f t="array" ref="G2159">IFERROR((C2159-B2159)/C2159*100, "N/A")</f>
        <v>61.11306842</v>
      </c>
      <c r="J2159" s="1"/>
      <c r="K2159" s="1"/>
    </row>
    <row r="2160" ht="14.25" customHeight="1">
      <c r="A2160" s="1" t="s">
        <v>10542</v>
      </c>
      <c r="B2160" s="1">
        <v>1.5E7</v>
      </c>
      <c r="C2160" s="1">
        <v>1.03001286E8</v>
      </c>
      <c r="F2160" s="4">
        <v>8.8001286E7</v>
      </c>
      <c r="G2160" s="4">
        <f t="array" ref="G2160">IFERROR((C2160-B2160)/C2160*100, "N/A")</f>
        <v>85.43707503</v>
      </c>
      <c r="J2160" s="1"/>
      <c r="K2160" s="1"/>
    </row>
    <row r="2161" ht="14.25" customHeight="1">
      <c r="A2161" s="1" t="s">
        <v>10546</v>
      </c>
      <c r="B2161" s="1">
        <v>2.0E7</v>
      </c>
      <c r="C2161" s="1">
        <v>4.186796E7</v>
      </c>
      <c r="F2161" s="4">
        <v>2.186796E7</v>
      </c>
      <c r="G2161" s="4">
        <f t="array" ref="G2161">IFERROR((C2161-B2161)/C2161*100, "N/A")</f>
        <v>52.23077504</v>
      </c>
      <c r="J2161" s="1"/>
      <c r="K2161" s="1"/>
    </row>
    <row r="2162" ht="14.25" customHeight="1">
      <c r="A2162" s="1" t="s">
        <v>10549</v>
      </c>
      <c r="B2162" s="1">
        <v>1.9E7</v>
      </c>
      <c r="C2162" s="1">
        <v>2.10609762E8</v>
      </c>
      <c r="F2162" s="4">
        <v>1.91609762E8</v>
      </c>
      <c r="G2162" s="4">
        <f t="array" ref="G2162">IFERROR((C2162-B2162)/C2162*100, "N/A")</f>
        <v>90.97857582</v>
      </c>
      <c r="J2162" s="1"/>
      <c r="K2162" s="1"/>
    </row>
    <row r="2163" ht="14.25" customHeight="1">
      <c r="A2163" s="1" t="s">
        <v>10553</v>
      </c>
      <c r="B2163" s="1">
        <v>1.9E7</v>
      </c>
      <c r="C2163" s="1">
        <v>4.0846082E7</v>
      </c>
      <c r="F2163" s="4">
        <v>2.1846082E7</v>
      </c>
      <c r="G2163" s="4">
        <f t="array" ref="G2163">IFERROR((C2163-B2163)/C2163*100, "N/A")</f>
        <v>53.48391065</v>
      </c>
      <c r="J2163" s="1"/>
      <c r="K2163" s="1"/>
    </row>
    <row r="2164" ht="14.25" customHeight="1">
      <c r="A2164" s="1" t="s">
        <v>10556</v>
      </c>
      <c r="B2164" s="1">
        <v>1.3E7</v>
      </c>
      <c r="C2164" s="1">
        <v>5.1697449E7</v>
      </c>
      <c r="F2164" s="4">
        <v>3.8697449E7</v>
      </c>
      <c r="G2164" s="4">
        <f t="array" ref="G2164">IFERROR((C2164-B2164)/C2164*100, "N/A")</f>
        <v>74.85369152</v>
      </c>
      <c r="J2164" s="1"/>
      <c r="K2164" s="1"/>
    </row>
    <row r="2165" ht="14.25" customHeight="1">
      <c r="A2165" s="1" t="s">
        <v>10562</v>
      </c>
      <c r="B2165" s="1">
        <v>1.9E7</v>
      </c>
      <c r="C2165" s="1">
        <v>2.7758465E7</v>
      </c>
      <c r="F2165" s="4">
        <v>8758465.0</v>
      </c>
      <c r="G2165" s="4">
        <f t="array" ref="G2165">IFERROR((C2165-B2165)/C2165*100, "N/A")</f>
        <v>31.55241113</v>
      </c>
      <c r="J2165" s="1"/>
      <c r="K2165" s="1"/>
    </row>
    <row r="2166" ht="14.25" customHeight="1">
      <c r="A2166" s="1" t="s">
        <v>10567</v>
      </c>
      <c r="B2166" s="1">
        <v>1.8E7</v>
      </c>
      <c r="C2166" s="1">
        <v>5.6127162E7</v>
      </c>
      <c r="F2166" s="4">
        <v>3.8127162E7</v>
      </c>
      <c r="G2166" s="4">
        <f t="array" ref="G2166">IFERROR((C2166-B2166)/C2166*100, "N/A")</f>
        <v>67.92996589</v>
      </c>
      <c r="J2166" s="1"/>
      <c r="K2166" s="1"/>
    </row>
    <row r="2167" ht="14.25" customHeight="1">
      <c r="A2167" s="1" t="s">
        <v>10572</v>
      </c>
      <c r="B2167" s="1">
        <v>1.5E7</v>
      </c>
      <c r="C2167" s="1">
        <v>1357042.0</v>
      </c>
      <c r="F2167" s="4">
        <v>-1.3642958E7</v>
      </c>
      <c r="G2167" s="4">
        <f t="array" ref="G2167">IFERROR((C2167-B2167)/C2167*100, "N/A")</f>
        <v>-1005.345303</v>
      </c>
      <c r="J2167" s="1"/>
      <c r="K2167" s="1"/>
    </row>
    <row r="2168" ht="14.25" customHeight="1">
      <c r="A2168" s="1" t="s">
        <v>10578</v>
      </c>
      <c r="B2168" s="1">
        <v>1.9E7</v>
      </c>
      <c r="C2168" s="1">
        <v>1.5911333E7</v>
      </c>
      <c r="F2168" s="4">
        <v>-3088667.0</v>
      </c>
      <c r="G2168" s="4">
        <f t="array" ref="G2168">IFERROR((C2168-B2168)/C2168*100, "N/A")</f>
        <v>-19.41174256</v>
      </c>
      <c r="J2168" s="1"/>
      <c r="K2168" s="1"/>
    </row>
    <row r="2169" ht="14.25" customHeight="1">
      <c r="A2169" s="1" t="s">
        <v>10581</v>
      </c>
      <c r="B2169" s="1">
        <v>2.0E7</v>
      </c>
      <c r="C2169" s="1">
        <v>3.9103378E7</v>
      </c>
      <c r="F2169" s="4">
        <v>1.9103378E7</v>
      </c>
      <c r="G2169" s="4">
        <f t="array" ref="G2169">IFERROR((C2169-B2169)/C2169*100, "N/A")</f>
        <v>48.8535236</v>
      </c>
      <c r="J2169" s="1"/>
      <c r="K2169" s="1"/>
    </row>
    <row r="2170" ht="14.25" customHeight="1">
      <c r="A2170" s="1" t="s">
        <v>10584</v>
      </c>
      <c r="B2170" s="1">
        <v>1.9E7</v>
      </c>
      <c r="C2170" s="1">
        <v>1.0049886E7</v>
      </c>
      <c r="F2170" s="4">
        <v>-8950114.0</v>
      </c>
      <c r="G2170" s="4">
        <f t="array" ref="G2170">IFERROR((C2170-B2170)/C2170*100, "N/A")</f>
        <v>-89.05687089</v>
      </c>
      <c r="J2170" s="1"/>
      <c r="K2170" s="1"/>
    </row>
    <row r="2171" ht="14.25" customHeight="1">
      <c r="A2171" s="1" t="s">
        <v>10590</v>
      </c>
      <c r="B2171" s="1">
        <v>2.5E7</v>
      </c>
      <c r="C2171" s="1">
        <v>8600000.0</v>
      </c>
      <c r="F2171" s="4">
        <v>-1.64E7</v>
      </c>
      <c r="G2171" s="4">
        <f t="array" ref="G2171">IFERROR((C2171-B2171)/C2171*100, "N/A")</f>
        <v>-190.6976744</v>
      </c>
      <c r="J2171" s="1"/>
      <c r="K2171" s="1"/>
    </row>
    <row r="2172" ht="14.25" customHeight="1">
      <c r="A2172" s="1" t="s">
        <v>10594</v>
      </c>
      <c r="B2172" s="1">
        <v>1.9E7</v>
      </c>
      <c r="C2172" s="1">
        <v>2.1483154E7</v>
      </c>
      <c r="F2172" s="4">
        <v>2483154.0</v>
      </c>
      <c r="G2172" s="4">
        <f t="array" ref="G2172">IFERROR((C2172-B2172)/C2172*100, "N/A")</f>
        <v>11.55861006</v>
      </c>
      <c r="J2172" s="1"/>
      <c r="K2172" s="1"/>
    </row>
    <row r="2173" ht="14.25" customHeight="1">
      <c r="A2173" s="1" t="s">
        <v>10599</v>
      </c>
      <c r="B2173" s="1">
        <v>1.9E7</v>
      </c>
      <c r="C2173" s="1">
        <v>8396942.0</v>
      </c>
      <c r="F2173" s="4">
        <v>-1.0603058E7</v>
      </c>
      <c r="G2173" s="4">
        <f t="array" ref="G2173">IFERROR((C2173-B2173)/C2173*100, "N/A")</f>
        <v>-126.2728503</v>
      </c>
      <c r="J2173" s="1"/>
      <c r="K2173" s="1"/>
    </row>
    <row r="2174" ht="14.25" customHeight="1">
      <c r="A2174" s="1" t="s">
        <v>10605</v>
      </c>
      <c r="B2174" s="1">
        <v>1.9E7</v>
      </c>
      <c r="C2174" s="1">
        <v>12561.0</v>
      </c>
      <c r="F2174" s="4">
        <v>-1.8987439E7</v>
      </c>
      <c r="G2174" s="4">
        <f t="array" ref="G2174">IFERROR((C2174-B2174)/C2174*100, "N/A")</f>
        <v>-151161.8422</v>
      </c>
      <c r="J2174" s="1"/>
      <c r="K2174" s="1"/>
    </row>
    <row r="2175" ht="14.25" customHeight="1">
      <c r="A2175" s="1" t="s">
        <v>10611</v>
      </c>
      <c r="B2175" s="1">
        <v>2.3E7</v>
      </c>
      <c r="C2175" s="1">
        <v>6923891.0</v>
      </c>
      <c r="F2175" s="4">
        <v>-1.6076109E7</v>
      </c>
      <c r="G2175" s="4">
        <f t="array" ref="G2175">IFERROR((C2175-B2175)/C2175*100, "N/A")</f>
        <v>-232.1831612</v>
      </c>
      <c r="J2175" s="1"/>
      <c r="K2175" s="1"/>
    </row>
    <row r="2176" ht="14.25" customHeight="1">
      <c r="A2176" s="1" t="s">
        <v>10615</v>
      </c>
      <c r="B2176" s="1">
        <v>1.9E7</v>
      </c>
      <c r="C2176" s="1">
        <v>2119994.0</v>
      </c>
      <c r="F2176" s="4">
        <v>-1.6880006E7</v>
      </c>
      <c r="G2176" s="4">
        <f t="array" ref="G2176">IFERROR((C2176-B2176)/C2176*100, "N/A")</f>
        <v>-796.2289516</v>
      </c>
      <c r="J2176" s="1"/>
      <c r="K2176" s="1"/>
    </row>
    <row r="2177" ht="14.25" customHeight="1">
      <c r="A2177" s="1" t="s">
        <v>10623</v>
      </c>
      <c r="B2177" s="1">
        <v>1.9E7</v>
      </c>
      <c r="C2177" s="1">
        <v>1292527.0</v>
      </c>
      <c r="F2177" s="4">
        <v>-1.7707473E7</v>
      </c>
      <c r="G2177" s="4">
        <f t="array" ref="G2177">IFERROR((C2177-B2177)/C2177*100, "N/A")</f>
        <v>-1369.988635</v>
      </c>
      <c r="J2177" s="1"/>
      <c r="K2177" s="1"/>
    </row>
    <row r="2178" ht="14.25" customHeight="1">
      <c r="A2178" s="1" t="s">
        <v>10628</v>
      </c>
      <c r="B2178" s="1">
        <v>1.9E7</v>
      </c>
      <c r="C2178" s="1">
        <v>6.4255243E7</v>
      </c>
      <c r="F2178" s="4">
        <v>4.5255243E7</v>
      </c>
      <c r="G2178" s="4">
        <f t="array" ref="G2178">IFERROR((C2178-B2178)/C2178*100, "N/A")</f>
        <v>70.43042853</v>
      </c>
      <c r="J2178" s="1"/>
      <c r="K2178" s="1"/>
    </row>
    <row r="2179" ht="14.25" customHeight="1">
      <c r="A2179" s="1" t="s">
        <v>10631</v>
      </c>
      <c r="B2179" s="1">
        <v>1.9E7</v>
      </c>
      <c r="C2179" s="1">
        <v>2.2245861E7</v>
      </c>
      <c r="F2179" s="4">
        <v>3245861.0</v>
      </c>
      <c r="G2179" s="4">
        <f t="array" ref="G2179">IFERROR((C2179-B2179)/C2179*100, "N/A")</f>
        <v>14.59085355</v>
      </c>
      <c r="J2179" s="1"/>
      <c r="K2179" s="1"/>
    </row>
    <row r="2180" ht="14.25" customHeight="1">
      <c r="A2180" s="1" t="s">
        <v>10635</v>
      </c>
      <c r="B2180" s="1">
        <v>1.5E7</v>
      </c>
      <c r="C2180" s="1">
        <v>2.043394E7</v>
      </c>
      <c r="F2180" s="4">
        <v>5433940.0</v>
      </c>
      <c r="G2180" s="4">
        <f t="array" ref="G2180">IFERROR((C2180-B2180)/C2180*100, "N/A")</f>
        <v>26.5927178</v>
      </c>
      <c r="J2180" s="1"/>
      <c r="K2180" s="1"/>
    </row>
    <row r="2181" ht="14.25" customHeight="1">
      <c r="A2181" s="1" t="s">
        <v>10639</v>
      </c>
      <c r="B2181" s="1">
        <v>1.85E7</v>
      </c>
      <c r="C2181" s="1">
        <v>1.0562387E7</v>
      </c>
      <c r="F2181" s="4">
        <v>-7937613.0</v>
      </c>
      <c r="G2181" s="4">
        <f t="array" ref="G2181">IFERROR((C2181-B2181)/C2181*100, "N/A")</f>
        <v>-75.14980279</v>
      </c>
      <c r="J2181" s="1"/>
      <c r="K2181" s="1"/>
    </row>
    <row r="2182" ht="14.25" customHeight="1">
      <c r="A2182" s="1" t="s">
        <v>10643</v>
      </c>
      <c r="B2182" s="1">
        <v>1.85E7</v>
      </c>
      <c r="C2182" s="1">
        <v>1.8439082E7</v>
      </c>
      <c r="F2182" s="4">
        <v>-60918.0</v>
      </c>
      <c r="G2182" s="4">
        <f t="array" ref="G2182">IFERROR((C2182-B2182)/C2182*100, "N/A")</f>
        <v>-0.3303743646</v>
      </c>
      <c r="J2182" s="1"/>
      <c r="K2182" s="1"/>
    </row>
    <row r="2183" ht="14.25" customHeight="1">
      <c r="A2183" s="1" t="s">
        <v>10646</v>
      </c>
      <c r="B2183" s="1">
        <v>1.8E7</v>
      </c>
      <c r="C2183" s="1">
        <v>1.50056505E8</v>
      </c>
      <c r="F2183" s="4">
        <v>1.32056505E8</v>
      </c>
      <c r="G2183" s="4">
        <f t="array" ref="G2183">IFERROR((C2183-B2183)/C2183*100, "N/A")</f>
        <v>88.0045187</v>
      </c>
      <c r="J2183" s="1"/>
      <c r="K2183" s="1"/>
    </row>
    <row r="2184" ht="14.25" customHeight="1">
      <c r="A2184" s="1" t="s">
        <v>10650</v>
      </c>
      <c r="B2184" s="1">
        <v>1.8E7</v>
      </c>
      <c r="C2184" s="1">
        <v>1.1993873E8</v>
      </c>
      <c r="F2184" s="4">
        <v>1.0193873E8</v>
      </c>
      <c r="G2184" s="4">
        <f t="array" ref="G2184">IFERROR((C2184-B2184)/C2184*100, "N/A")</f>
        <v>84.99233734</v>
      </c>
      <c r="J2184" s="1"/>
      <c r="K2184" s="1"/>
    </row>
    <row r="2185" ht="14.25" customHeight="1">
      <c r="A2185" s="1" t="s">
        <v>10654</v>
      </c>
      <c r="B2185" s="1">
        <v>1.8E7</v>
      </c>
      <c r="C2185" s="1">
        <v>1.14968774E8</v>
      </c>
      <c r="F2185" s="4">
        <v>9.6968774E7</v>
      </c>
      <c r="G2185" s="4">
        <f t="array" ref="G2185">IFERROR((C2185-B2185)/C2185*100, "N/A")</f>
        <v>84.34357489</v>
      </c>
      <c r="J2185" s="1"/>
      <c r="K2185" s="1"/>
    </row>
    <row r="2186" ht="14.25" customHeight="1">
      <c r="A2186" s="1" t="s">
        <v>10657</v>
      </c>
      <c r="B2186" s="1">
        <v>1.8E7</v>
      </c>
      <c r="C2186" s="1">
        <v>1.28505958E8</v>
      </c>
      <c r="F2186" s="4">
        <v>1.10505958E8</v>
      </c>
      <c r="G2186" s="4">
        <f t="array" ref="G2186">IFERROR((C2186-B2186)/C2186*100, "N/A")</f>
        <v>85.99286735</v>
      </c>
      <c r="J2186" s="1"/>
      <c r="K2186" s="1"/>
    </row>
    <row r="2187" ht="14.25" customHeight="1">
      <c r="A2187" s="1" t="s">
        <v>10663</v>
      </c>
      <c r="B2187" s="1">
        <v>1.8E7</v>
      </c>
      <c r="C2187" s="1">
        <v>9.5001351E7</v>
      </c>
      <c r="F2187" s="4">
        <v>7.7001351E7</v>
      </c>
      <c r="G2187" s="4">
        <f t="array" ref="G2187">IFERROR((C2187-B2187)/C2187*100, "N/A")</f>
        <v>81.05290103</v>
      </c>
      <c r="J2187" s="1"/>
      <c r="K2187" s="1"/>
    </row>
    <row r="2188" ht="14.25" customHeight="1">
      <c r="A2188" s="1" t="s">
        <v>10668</v>
      </c>
      <c r="B2188" s="1">
        <v>1.7E7</v>
      </c>
      <c r="C2188" s="1">
        <v>7.64E7</v>
      </c>
      <c r="F2188" s="4">
        <v>5.94E7</v>
      </c>
      <c r="G2188" s="4">
        <f t="array" ref="G2188">IFERROR((C2188-B2188)/C2188*100, "N/A")</f>
        <v>77.7486911</v>
      </c>
      <c r="J2188" s="1"/>
      <c r="K2188" s="1"/>
    </row>
    <row r="2189" ht="14.25" customHeight="1">
      <c r="A2189" s="1" t="s">
        <v>10671</v>
      </c>
      <c r="B2189" s="1">
        <v>2.0E7</v>
      </c>
      <c r="C2189" s="1">
        <v>7.5072454E7</v>
      </c>
      <c r="F2189" s="4">
        <v>5.5072454E7</v>
      </c>
      <c r="G2189" s="4">
        <f t="array" ref="G2189">IFERROR((C2189-B2189)/C2189*100, "N/A")</f>
        <v>73.35906989</v>
      </c>
      <c r="J2189" s="1"/>
      <c r="K2189" s="1"/>
    </row>
    <row r="2190" ht="14.25" customHeight="1">
      <c r="A2190" s="1" t="s">
        <v>10675</v>
      </c>
      <c r="B2190" s="1">
        <v>1.7E7</v>
      </c>
      <c r="C2190" s="1">
        <v>6.5535067E7</v>
      </c>
      <c r="F2190" s="4">
        <v>4.8535067E7</v>
      </c>
      <c r="G2190" s="4">
        <f t="array" ref="G2190">IFERROR((C2190-B2190)/C2190*100, "N/A")</f>
        <v>74.0596893</v>
      </c>
      <c r="J2190" s="1"/>
      <c r="K2190" s="1"/>
    </row>
    <row r="2191" ht="14.25" customHeight="1">
      <c r="A2191" s="1" t="s">
        <v>10680</v>
      </c>
      <c r="B2191" s="1">
        <v>1.6E7</v>
      </c>
      <c r="C2191" s="1">
        <v>1.3998282E7</v>
      </c>
      <c r="F2191" s="4">
        <v>-2001718.0</v>
      </c>
      <c r="G2191" s="4">
        <f t="array" ref="G2191">IFERROR((C2191-B2191)/C2191*100, "N/A")</f>
        <v>-14.2997405</v>
      </c>
      <c r="J2191" s="1"/>
      <c r="K2191" s="1"/>
    </row>
    <row r="2192" ht="14.25" customHeight="1">
      <c r="A2192" s="1" t="s">
        <v>10684</v>
      </c>
      <c r="B2192" s="1">
        <v>1.7E7</v>
      </c>
      <c r="C2192" s="1">
        <v>6061759.0</v>
      </c>
      <c r="F2192" s="4">
        <v>-1.0938241E7</v>
      </c>
      <c r="G2192" s="4">
        <f t="array" ref="G2192">IFERROR((C2192-B2192)/C2192*100, "N/A")</f>
        <v>-180.4466492</v>
      </c>
      <c r="J2192" s="1"/>
      <c r="K2192" s="1"/>
    </row>
    <row r="2193" ht="14.25" customHeight="1">
      <c r="A2193" s="1" t="s">
        <v>10688</v>
      </c>
      <c r="B2193" s="1">
        <v>1.8E7</v>
      </c>
      <c r="C2193" s="1">
        <v>6.4955956E7</v>
      </c>
      <c r="F2193" s="4">
        <v>4.6955956E7</v>
      </c>
      <c r="G2193" s="4">
        <f t="array" ref="G2193">IFERROR((C2193-B2193)/C2193*100, "N/A")</f>
        <v>72.28891528</v>
      </c>
      <c r="J2193" s="1"/>
      <c r="K2193" s="1"/>
    </row>
    <row r="2194" ht="14.25" customHeight="1">
      <c r="A2194" s="1" t="s">
        <v>10693</v>
      </c>
      <c r="B2194" s="1">
        <v>1.8E7</v>
      </c>
      <c r="C2194" s="1">
        <v>6.0057639E7</v>
      </c>
      <c r="F2194" s="4">
        <v>4.2057639E7</v>
      </c>
      <c r="G2194" s="4">
        <f t="array" ref="G2194">IFERROR((C2194-B2194)/C2194*100, "N/A")</f>
        <v>70.02879184</v>
      </c>
      <c r="J2194" s="1"/>
      <c r="K2194" s="1"/>
    </row>
    <row r="2195" ht="14.25" customHeight="1">
      <c r="A2195" s="1" t="s">
        <v>10696</v>
      </c>
      <c r="B2195" s="1">
        <v>1.7E7</v>
      </c>
      <c r="C2195" s="1">
        <v>5.386803E7</v>
      </c>
      <c r="F2195" s="4">
        <v>3.686803E7</v>
      </c>
      <c r="G2195" s="4">
        <f t="array" ref="G2195">IFERROR((C2195-B2195)/C2195*100, "N/A")</f>
        <v>68.44139279</v>
      </c>
      <c r="J2195" s="1"/>
      <c r="K2195" s="1"/>
    </row>
    <row r="2196" ht="14.25" customHeight="1">
      <c r="A2196" s="1" t="s">
        <v>10699</v>
      </c>
      <c r="B2196" s="1">
        <v>1.8E7</v>
      </c>
      <c r="C2196" s="1">
        <v>5.9573085E7</v>
      </c>
      <c r="F2196" s="4">
        <v>4.1573085E7</v>
      </c>
      <c r="G2196" s="4">
        <f t="array" ref="G2196">IFERROR((C2196-B2196)/C2196*100, "N/A")</f>
        <v>69.78501281</v>
      </c>
      <c r="J2196" s="1"/>
      <c r="K2196" s="1"/>
    </row>
    <row r="2197" ht="14.25" customHeight="1">
      <c r="A2197" s="1" t="s">
        <v>10704</v>
      </c>
      <c r="B2197" s="1">
        <v>2.1E7</v>
      </c>
      <c r="C2197" s="1">
        <v>5.2691009E7</v>
      </c>
      <c r="F2197" s="4">
        <v>3.1691009E7</v>
      </c>
      <c r="G2197" s="4">
        <f t="array" ref="G2197">IFERROR((C2197-B2197)/C2197*100, "N/A")</f>
        <v>60.14500311</v>
      </c>
      <c r="J2197" s="1"/>
      <c r="K2197" s="1"/>
    </row>
    <row r="2198" ht="14.25" customHeight="1">
      <c r="A2198" s="1" t="s">
        <v>10708</v>
      </c>
      <c r="B2198" s="1">
        <v>1.5E7</v>
      </c>
      <c r="C2198" s="1">
        <v>5.9735548E7</v>
      </c>
      <c r="F2198" s="4">
        <v>4.4735548E7</v>
      </c>
      <c r="G2198" s="4">
        <f t="array" ref="G2198">IFERROR((C2198-B2198)/C2198*100, "N/A")</f>
        <v>74.88932386</v>
      </c>
      <c r="J2198" s="1"/>
      <c r="K2198" s="1"/>
    </row>
    <row r="2199" ht="14.25" customHeight="1">
      <c r="A2199" s="1" t="s">
        <v>10712</v>
      </c>
      <c r="B2199" s="1">
        <v>1.8E7</v>
      </c>
      <c r="C2199" s="1">
        <v>5.16E7</v>
      </c>
      <c r="F2199" s="4">
        <v>3.36E7</v>
      </c>
      <c r="G2199" s="4">
        <f t="array" ref="G2199">IFERROR((C2199-B2199)/C2199*100, "N/A")</f>
        <v>65.11627907</v>
      </c>
      <c r="J2199" s="1"/>
      <c r="K2199" s="1"/>
    </row>
    <row r="2200" ht="14.25" customHeight="1">
      <c r="A2200" s="1" t="s">
        <v>10717</v>
      </c>
      <c r="B2200" s="1">
        <v>2.0E7</v>
      </c>
      <c r="C2200" s="1">
        <v>4.3818159E7</v>
      </c>
      <c r="F2200" s="4">
        <v>2.3818159E7</v>
      </c>
      <c r="G2200" s="4">
        <f t="array" ref="G2200">IFERROR((C2200-B2200)/C2200*100, "N/A")</f>
        <v>54.3568227</v>
      </c>
      <c r="J2200" s="1"/>
      <c r="K2200" s="1"/>
    </row>
    <row r="2201" ht="14.25" customHeight="1">
      <c r="A2201" s="1" t="s">
        <v>10721</v>
      </c>
      <c r="B2201" s="1">
        <v>1.7E7</v>
      </c>
      <c r="C2201" s="1">
        <v>8.6049418E7</v>
      </c>
      <c r="F2201" s="4">
        <v>6.9049418E7</v>
      </c>
      <c r="G2201" s="4">
        <f t="array" ref="G2201">IFERROR((C2201-B2201)/C2201*100, "N/A")</f>
        <v>80.24391054</v>
      </c>
      <c r="J2201" s="1"/>
      <c r="K2201" s="1"/>
    </row>
    <row r="2202" ht="14.25" customHeight="1">
      <c r="A2202" s="1" t="s">
        <v>10725</v>
      </c>
      <c r="B2202" s="1">
        <v>1.8E7</v>
      </c>
      <c r="C2202" s="1">
        <v>4.3601508E7</v>
      </c>
      <c r="F2202" s="4">
        <v>2.5601508E7</v>
      </c>
      <c r="G2202" s="4">
        <f t="array" ref="G2202">IFERROR((C2202-B2202)/C2202*100, "N/A")</f>
        <v>58.71702419</v>
      </c>
      <c r="J2202" s="1"/>
      <c r="K2202" s="1"/>
    </row>
    <row r="2203" ht="14.25" customHeight="1">
      <c r="A2203" s="1" t="s">
        <v>10730</v>
      </c>
      <c r="B2203" s="1">
        <v>1.98E7</v>
      </c>
      <c r="C2203" s="1">
        <v>4.1300105E7</v>
      </c>
      <c r="F2203" s="4">
        <v>2.1500105E7</v>
      </c>
      <c r="G2203" s="4">
        <f t="array" ref="G2203">IFERROR((C2203-B2203)/C2203*100, "N/A")</f>
        <v>52.05823327</v>
      </c>
      <c r="J2203" s="1"/>
      <c r="K2203" s="1"/>
    </row>
    <row r="2204" ht="14.25" customHeight="1">
      <c r="A2204" s="1" t="s">
        <v>10733</v>
      </c>
      <c r="B2204" s="1">
        <v>1.8E7</v>
      </c>
      <c r="C2204" s="1">
        <v>4.1382841E7</v>
      </c>
      <c r="F2204" s="4">
        <v>2.3382841E7</v>
      </c>
      <c r="G2204" s="4">
        <f t="array" ref="G2204">IFERROR((C2204-B2204)/C2204*100, "N/A")</f>
        <v>56.50371128</v>
      </c>
      <c r="J2204" s="1"/>
      <c r="K2204" s="1"/>
    </row>
    <row r="2205" ht="14.25" customHeight="1">
      <c r="A2205" s="1" t="s">
        <v>10736</v>
      </c>
      <c r="B2205" s="1">
        <v>1.8E7</v>
      </c>
      <c r="C2205" s="1">
        <v>4.2335698E7</v>
      </c>
      <c r="F2205" s="4">
        <v>2.4335698E7</v>
      </c>
      <c r="G2205" s="4">
        <f t="array" ref="G2205">IFERROR((C2205-B2205)/C2205*100, "N/A")</f>
        <v>57.4826899</v>
      </c>
      <c r="J2205" s="1"/>
      <c r="K2205" s="1"/>
    </row>
    <row r="2206" ht="14.25" customHeight="1">
      <c r="A2206" s="1" t="s">
        <v>10739</v>
      </c>
      <c r="B2206" s="1">
        <v>1.8E7</v>
      </c>
      <c r="C2206" s="1">
        <v>3.3404871E7</v>
      </c>
      <c r="F2206" s="4">
        <v>1.5404871E7</v>
      </c>
      <c r="G2206" s="4">
        <f t="array" ref="G2206">IFERROR((C2206-B2206)/C2206*100, "N/A")</f>
        <v>46.11564284</v>
      </c>
      <c r="J2206" s="1"/>
      <c r="K2206" s="1"/>
    </row>
    <row r="2207" ht="14.25" customHeight="1">
      <c r="A2207" s="1" t="s">
        <v>10743</v>
      </c>
      <c r="B2207" s="1">
        <v>1.5E7</v>
      </c>
      <c r="C2207" s="1">
        <v>3.147143E7</v>
      </c>
      <c r="F2207" s="4">
        <v>1.647143E7</v>
      </c>
      <c r="G2207" s="4">
        <f t="array" ref="G2207">IFERROR((C2207-B2207)/C2207*100, "N/A")</f>
        <v>52.33772345</v>
      </c>
      <c r="J2207" s="1"/>
      <c r="K2207" s="1"/>
    </row>
    <row r="2208" ht="14.25" customHeight="1">
      <c r="A2208" s="1" t="s">
        <v>10750</v>
      </c>
      <c r="B2208" s="1">
        <v>2.5E7</v>
      </c>
      <c r="C2208" s="1">
        <v>3.022264E7</v>
      </c>
      <c r="F2208" s="4">
        <v>5222640.0</v>
      </c>
      <c r="G2208" s="4">
        <f t="array" ref="G2208">IFERROR((C2208-B2208)/C2208*100, "N/A")</f>
        <v>17.28055524</v>
      </c>
      <c r="J2208" s="1"/>
      <c r="K2208" s="1"/>
    </row>
    <row r="2209" ht="14.25" customHeight="1">
      <c r="A2209" s="1" t="s">
        <v>8098</v>
      </c>
      <c r="B2209" s="1">
        <v>1.8E7</v>
      </c>
      <c r="C2209" s="1">
        <v>2.683E7</v>
      </c>
      <c r="F2209" s="4">
        <v>8830000.0</v>
      </c>
      <c r="G2209" s="4">
        <f t="array" ref="G2209">IFERROR((C2209-B2209)/C2209*100, "N/A")</f>
        <v>32.91092061</v>
      </c>
      <c r="J2209" s="1"/>
      <c r="K2209" s="1"/>
    </row>
    <row r="2210" ht="14.25" customHeight="1">
      <c r="A2210" s="1" t="s">
        <v>10755</v>
      </c>
      <c r="B2210" s="1">
        <v>1.8E7</v>
      </c>
      <c r="C2210" s="1">
        <v>2.6906039E7</v>
      </c>
      <c r="F2210" s="4">
        <v>8906039.0</v>
      </c>
      <c r="G2210" s="4">
        <f t="array" ref="G2210">IFERROR((C2210-B2210)/C2210*100, "N/A")</f>
        <v>33.10052067</v>
      </c>
      <c r="J2210" s="1"/>
      <c r="K2210" s="1"/>
    </row>
    <row r="2211" ht="14.25" customHeight="1">
      <c r="A2211" s="1" t="s">
        <v>10761</v>
      </c>
      <c r="B2211" s="1">
        <v>1000000.0</v>
      </c>
      <c r="C2211" s="1">
        <v>2.1378E7</v>
      </c>
      <c r="F2211" s="4">
        <v>2.0378E7</v>
      </c>
      <c r="G2211" s="4">
        <f t="array" ref="G2211">IFERROR((C2211-B2211)/C2211*100, "N/A")</f>
        <v>95.32229395</v>
      </c>
      <c r="J2211" s="1"/>
      <c r="K2211" s="1"/>
    </row>
    <row r="2212" ht="14.25" customHeight="1">
      <c r="A2212" s="1" t="s">
        <v>10765</v>
      </c>
      <c r="B2212" s="1">
        <v>1.8E7</v>
      </c>
      <c r="C2212" s="1">
        <v>4.3853424E7</v>
      </c>
      <c r="F2212" s="4">
        <v>2.5853424E7</v>
      </c>
      <c r="G2212" s="4">
        <f t="array" ref="G2212">IFERROR((C2212-B2212)/C2212*100, "N/A")</f>
        <v>58.95417425</v>
      </c>
      <c r="J2212" s="1"/>
      <c r="K2212" s="1"/>
    </row>
    <row r="2213" ht="14.25" customHeight="1">
      <c r="A2213" s="1" t="s">
        <v>10771</v>
      </c>
      <c r="B2213" s="1">
        <v>1.8E7</v>
      </c>
      <c r="C2213" s="1">
        <v>2.3993605E7</v>
      </c>
      <c r="F2213" s="4">
        <v>5993605.0</v>
      </c>
      <c r="G2213" s="4">
        <f t="array" ref="G2213">IFERROR((C2213-B2213)/C2213*100, "N/A")</f>
        <v>24.9800103</v>
      </c>
      <c r="J2213" s="1"/>
      <c r="K2213" s="1"/>
    </row>
    <row r="2214" ht="14.25" customHeight="1">
      <c r="A2214" s="1" t="s">
        <v>10775</v>
      </c>
      <c r="B2214" s="1">
        <v>1.8E7</v>
      </c>
      <c r="C2214" s="1">
        <v>2.64E7</v>
      </c>
      <c r="F2214" s="4">
        <v>8400000.0</v>
      </c>
      <c r="G2214" s="4">
        <f t="array" ref="G2214">IFERROR((C2214-B2214)/C2214*100, "N/A")</f>
        <v>31.81818182</v>
      </c>
      <c r="J2214" s="1"/>
      <c r="K2214" s="1"/>
    </row>
    <row r="2215" ht="14.25" customHeight="1">
      <c r="A2215" s="1" t="s">
        <v>10780</v>
      </c>
      <c r="B2215" s="1">
        <v>1.8E7</v>
      </c>
      <c r="C2215" s="1">
        <v>45250.0</v>
      </c>
      <c r="F2215" s="4">
        <v>-1.795475E7</v>
      </c>
      <c r="G2215" s="4">
        <f t="array" ref="G2215">IFERROR((C2215-B2215)/C2215*100, "N/A")</f>
        <v>-39679.00552</v>
      </c>
      <c r="J2215" s="1"/>
      <c r="K2215" s="1"/>
    </row>
    <row r="2216" ht="14.25" customHeight="1">
      <c r="A2216" s="1" t="s">
        <v>10785</v>
      </c>
      <c r="B2216" s="1">
        <v>1.8E7</v>
      </c>
      <c r="C2216" s="1">
        <v>2.292739E7</v>
      </c>
      <c r="F2216" s="4">
        <v>4927390.0</v>
      </c>
      <c r="G2216" s="4">
        <f t="array" ref="G2216">IFERROR((C2216-B2216)/C2216*100, "N/A")</f>
        <v>21.49128182</v>
      </c>
      <c r="J2216" s="1"/>
      <c r="K2216" s="1"/>
    </row>
    <row r="2217" ht="14.25" customHeight="1">
      <c r="A2217" s="1" t="s">
        <v>10789</v>
      </c>
      <c r="B2217" s="1">
        <v>1.8E7</v>
      </c>
      <c r="C2217" s="1">
        <v>4250320.0</v>
      </c>
      <c r="F2217" s="4">
        <v>-1.374968E7</v>
      </c>
      <c r="G2217" s="4">
        <f t="array" ref="G2217">IFERROR((C2217-B2217)/C2217*100, "N/A")</f>
        <v>-323.4975249</v>
      </c>
      <c r="J2217" s="1"/>
      <c r="K2217" s="1"/>
    </row>
    <row r="2218" ht="14.25" customHeight="1">
      <c r="A2218" s="1" t="s">
        <v>10797</v>
      </c>
      <c r="B2218" s="1">
        <v>1.8E7</v>
      </c>
      <c r="C2218" s="1">
        <v>2.2452209E7</v>
      </c>
      <c r="F2218" s="4">
        <v>4452209.0</v>
      </c>
      <c r="G2218" s="4">
        <f t="array" ref="G2218">IFERROR((C2218-B2218)/C2218*100, "N/A")</f>
        <v>19.82971475</v>
      </c>
      <c r="J2218" s="1"/>
      <c r="K2218" s="1"/>
    </row>
    <row r="2219" ht="14.25" customHeight="1">
      <c r="A2219" s="1" t="s">
        <v>10800</v>
      </c>
      <c r="B2219" s="1">
        <v>1.8E7</v>
      </c>
      <c r="C2219" s="1">
        <v>1.8329466E7</v>
      </c>
      <c r="F2219" s="4">
        <v>329466.0</v>
      </c>
      <c r="G2219" s="4">
        <f t="array" ref="G2219">IFERROR((C2219-B2219)/C2219*100, "N/A")</f>
        <v>1.79746644</v>
      </c>
      <c r="J2219" s="1"/>
      <c r="K2219" s="1"/>
    </row>
    <row r="2220" ht="14.25" customHeight="1">
      <c r="A2220" s="1" t="s">
        <v>10803</v>
      </c>
      <c r="B2220" s="1">
        <v>1.8E7</v>
      </c>
      <c r="C2220" s="1">
        <v>1.707123E7</v>
      </c>
      <c r="F2220" s="4">
        <v>-928770.0</v>
      </c>
      <c r="G2220" s="4">
        <f t="array" ref="G2220">IFERROR((C2220-B2220)/C2220*100, "N/A")</f>
        <v>-5.440557007</v>
      </c>
      <c r="J2220" s="1"/>
      <c r="K2220" s="1"/>
    </row>
    <row r="2221" ht="14.25" customHeight="1">
      <c r="A2221" s="1" t="s">
        <v>10807</v>
      </c>
      <c r="B2221" s="1">
        <v>1.8E7</v>
      </c>
      <c r="C2221" s="1">
        <v>1.717487E7</v>
      </c>
      <c r="F2221" s="4">
        <v>-825130.0</v>
      </c>
      <c r="G2221" s="4">
        <f t="array" ref="G2221">IFERROR((C2221-B2221)/C2221*100, "N/A")</f>
        <v>-4.804286728</v>
      </c>
      <c r="J2221" s="1"/>
      <c r="K2221" s="1"/>
    </row>
    <row r="2222" ht="14.25" customHeight="1">
      <c r="A2222" s="1" t="s">
        <v>10813</v>
      </c>
      <c r="B2222" s="1">
        <v>1.7E7</v>
      </c>
      <c r="C2222" s="1">
        <v>2.6284475E7</v>
      </c>
      <c r="F2222" s="4">
        <v>9284475.0</v>
      </c>
      <c r="G2222" s="4">
        <f t="array" ref="G2222">IFERROR((C2222-B2222)/C2222*100, "N/A")</f>
        <v>35.32303765</v>
      </c>
      <c r="J2222" s="1"/>
      <c r="K2222" s="1"/>
    </row>
    <row r="2223" ht="14.25" customHeight="1">
      <c r="A2223" s="1" t="s">
        <v>10818</v>
      </c>
      <c r="B2223" s="1">
        <v>1.8E7</v>
      </c>
      <c r="C2223" s="1">
        <v>1.6702864E7</v>
      </c>
      <c r="F2223" s="4">
        <v>-1297136.0</v>
      </c>
      <c r="G2223" s="4">
        <f t="array" ref="G2223">IFERROR((C2223-B2223)/C2223*100, "N/A")</f>
        <v>-7.7659496</v>
      </c>
      <c r="J2223" s="1"/>
      <c r="K2223" s="1"/>
    </row>
    <row r="2224" ht="14.25" customHeight="1">
      <c r="A2224" s="1" t="s">
        <v>10823</v>
      </c>
      <c r="B2224" s="1">
        <v>1.8E7</v>
      </c>
      <c r="C2224" s="1">
        <v>1.5561627E7</v>
      </c>
      <c r="F2224" s="4">
        <v>-2438373.0</v>
      </c>
      <c r="G2224" s="4">
        <f t="array" ref="G2224">IFERROR((C2224-B2224)/C2224*100, "N/A")</f>
        <v>-15.66913922</v>
      </c>
      <c r="J2224" s="1"/>
      <c r="K2224" s="1"/>
    </row>
    <row r="2225" ht="14.25" customHeight="1">
      <c r="A2225" s="1" t="s">
        <v>10826</v>
      </c>
      <c r="B2225" s="1">
        <v>3.0E7</v>
      </c>
      <c r="C2225" s="1">
        <v>1.7750583E7</v>
      </c>
      <c r="F2225" s="4">
        <v>-1.2249417E7</v>
      </c>
      <c r="G2225" s="4">
        <f t="array" ref="G2225">IFERROR((C2225-B2225)/C2225*100, "N/A")</f>
        <v>-69.00853341</v>
      </c>
      <c r="J2225" s="1"/>
      <c r="K2225" s="1"/>
    </row>
    <row r="2226" ht="14.25" customHeight="1">
      <c r="A2226" s="1" t="s">
        <v>10829</v>
      </c>
      <c r="B2226" s="1">
        <v>1.8E7</v>
      </c>
      <c r="C2226" s="1">
        <v>1.4793904E7</v>
      </c>
      <c r="F2226" s="4">
        <v>-3206096.0</v>
      </c>
      <c r="G2226" s="4">
        <f t="array" ref="G2226">IFERROR((C2226-B2226)/C2226*100, "N/A")</f>
        <v>-21.67173722</v>
      </c>
      <c r="J2226" s="1"/>
      <c r="K2226" s="1"/>
    </row>
    <row r="2227" ht="14.25" customHeight="1">
      <c r="A2227" s="1" t="s">
        <v>10833</v>
      </c>
      <c r="B2227" s="1">
        <v>1.8E7</v>
      </c>
      <c r="C2227" s="1">
        <v>1.5281286E7</v>
      </c>
      <c r="F2227" s="4">
        <v>-2718714.0</v>
      </c>
      <c r="G2227" s="4">
        <f t="array" ref="G2227">IFERROR((C2227-B2227)/C2227*100, "N/A")</f>
        <v>-17.79113355</v>
      </c>
      <c r="J2227" s="1"/>
      <c r="K2227" s="1"/>
    </row>
    <row r="2228" ht="14.25" customHeight="1">
      <c r="A2228" s="1" t="s">
        <v>10837</v>
      </c>
      <c r="B2228" s="1">
        <v>1.8E7</v>
      </c>
      <c r="C2228" s="1">
        <v>8000000.0</v>
      </c>
      <c r="F2228" s="4">
        <v>-1.0E7</v>
      </c>
      <c r="G2228" s="4">
        <f t="array" ref="G2228">IFERROR((C2228-B2228)/C2228*100, "N/A")</f>
        <v>-125</v>
      </c>
      <c r="J2228" s="1"/>
      <c r="K2228" s="1"/>
    </row>
    <row r="2229" ht="14.25" customHeight="1">
      <c r="A2229" s="1" t="s">
        <v>10843</v>
      </c>
      <c r="B2229" s="1">
        <v>1.8E7</v>
      </c>
      <c r="C2229" s="1">
        <v>1.3491653E7</v>
      </c>
      <c r="F2229" s="4">
        <v>-4508347.0</v>
      </c>
      <c r="G2229" s="4">
        <f t="array" ref="G2229">IFERROR((C2229-B2229)/C2229*100, "N/A")</f>
        <v>-33.41582384</v>
      </c>
      <c r="J2229" s="1"/>
      <c r="K2229" s="1"/>
    </row>
    <row r="2230" ht="14.25" customHeight="1">
      <c r="A2230" s="1" t="s">
        <v>10847</v>
      </c>
      <c r="B2230" s="1">
        <v>1.8E7</v>
      </c>
      <c r="C2230" s="1">
        <v>1.0494494E7</v>
      </c>
      <c r="F2230" s="4">
        <v>-7505506.0</v>
      </c>
      <c r="G2230" s="4">
        <f t="array" ref="G2230">IFERROR((C2230-B2230)/C2230*100, "N/A")</f>
        <v>-71.51851247</v>
      </c>
      <c r="J2230" s="1"/>
      <c r="K2230" s="1"/>
    </row>
    <row r="2231" ht="14.25" customHeight="1">
      <c r="A2231" s="1" t="s">
        <v>10853</v>
      </c>
      <c r="B2231" s="1">
        <v>1.8E7</v>
      </c>
      <c r="C2231" s="1">
        <v>7837632.0</v>
      </c>
      <c r="F2231" s="4">
        <v>-1.0162368E7</v>
      </c>
      <c r="G2231" s="4">
        <f t="array" ref="G2231">IFERROR((C2231-B2231)/C2231*100, "N/A")</f>
        <v>-129.6612038</v>
      </c>
      <c r="J2231" s="1"/>
      <c r="K2231" s="1"/>
    </row>
    <row r="2232" ht="14.25" customHeight="1">
      <c r="A2232" s="1" t="s">
        <v>10856</v>
      </c>
      <c r="B2232" s="1">
        <v>1.8E7</v>
      </c>
      <c r="C2232" s="1">
        <v>1.5155772E7</v>
      </c>
      <c r="F2232" s="4">
        <v>-2844228.0</v>
      </c>
      <c r="G2232" s="4">
        <f t="array" ref="G2232">IFERROR((C2232-B2232)/C2232*100, "N/A")</f>
        <v>-18.76663228</v>
      </c>
      <c r="J2232" s="1"/>
      <c r="K2232" s="1"/>
    </row>
    <row r="2233" ht="14.25" customHeight="1">
      <c r="A2233" s="1" t="s">
        <v>10861</v>
      </c>
      <c r="B2233" s="1">
        <v>1.8E7</v>
      </c>
      <c r="C2233" s="1">
        <v>8508843.0</v>
      </c>
      <c r="F2233" s="4">
        <v>-9491157.0</v>
      </c>
      <c r="G2233" s="4">
        <f t="array" ref="G2233">IFERROR((C2233-B2233)/C2233*100, "N/A")</f>
        <v>-111.5446248</v>
      </c>
      <c r="J2233" s="1"/>
      <c r="K2233" s="1"/>
    </row>
    <row r="2234" ht="14.25" customHeight="1">
      <c r="A2234" s="1" t="s">
        <v>10867</v>
      </c>
      <c r="B2234" s="1">
        <v>1.8E7</v>
      </c>
      <c r="C2234" s="1">
        <v>7739049.0</v>
      </c>
      <c r="F2234" s="4">
        <v>-1.0260951E7</v>
      </c>
      <c r="G2234" s="4">
        <f t="array" ref="G2234">IFERROR((C2234-B2234)/C2234*100, "N/A")</f>
        <v>-132.5867171</v>
      </c>
      <c r="J2234" s="1"/>
      <c r="K2234" s="1"/>
    </row>
    <row r="2235" ht="14.25" customHeight="1">
      <c r="A2235" s="1">
        <v>9.0</v>
      </c>
      <c r="B2235" s="1">
        <v>1.7E7</v>
      </c>
      <c r="C2235" s="1">
        <v>6734844.0</v>
      </c>
      <c r="F2235" s="4">
        <v>-1.0265156E7</v>
      </c>
      <c r="G2235" s="4">
        <f t="array" ref="G2235">IFERROR((C2235-B2235)/C2235*100, "N/A")</f>
        <v>-152.4186158</v>
      </c>
      <c r="J2235" s="1"/>
      <c r="K2235" s="1"/>
    </row>
    <row r="2236" ht="14.25" customHeight="1">
      <c r="A2236" s="1" t="s">
        <v>10878</v>
      </c>
      <c r="B2236" s="1">
        <v>1.8E7</v>
      </c>
      <c r="C2236" s="1">
        <v>6000000.0</v>
      </c>
      <c r="F2236" s="4">
        <v>-1.2E7</v>
      </c>
      <c r="G2236" s="4">
        <f t="array" ref="G2236">IFERROR((C2236-B2236)/C2236*100, "N/A")</f>
        <v>-200</v>
      </c>
      <c r="J2236" s="1"/>
      <c r="K2236" s="1"/>
    </row>
    <row r="2237" ht="14.25" customHeight="1">
      <c r="A2237" s="1" t="s">
        <v>10883</v>
      </c>
      <c r="B2237" s="1">
        <v>1.3E7</v>
      </c>
      <c r="C2237" s="1">
        <v>6615578.0</v>
      </c>
      <c r="F2237" s="4">
        <v>-6384422.0</v>
      </c>
      <c r="G2237" s="4">
        <f t="array" ref="G2237">IFERROR((C2237-B2237)/C2237*100, "N/A")</f>
        <v>-96.50588354</v>
      </c>
      <c r="J2237" s="1"/>
      <c r="K2237" s="1"/>
    </row>
    <row r="2238" ht="14.25" customHeight="1">
      <c r="A2238" s="1" t="s">
        <v>10888</v>
      </c>
      <c r="B2238" s="1">
        <v>1.8E7</v>
      </c>
      <c r="C2238" s="1">
        <v>5887457.0</v>
      </c>
      <c r="F2238" s="4">
        <v>-1.2112543E7</v>
      </c>
      <c r="G2238" s="4">
        <f t="array" ref="G2238">IFERROR((C2238-B2238)/C2238*100, "N/A")</f>
        <v>-205.734717</v>
      </c>
      <c r="J2238" s="1"/>
      <c r="K2238" s="1"/>
    </row>
    <row r="2239" ht="14.25" customHeight="1">
      <c r="A2239" s="1" t="s">
        <v>10891</v>
      </c>
      <c r="B2239" s="1">
        <v>1.8E7</v>
      </c>
      <c r="C2239" s="1">
        <v>1.3362308E7</v>
      </c>
      <c r="F2239" s="4">
        <v>-4637692.0</v>
      </c>
      <c r="G2239" s="4">
        <f t="array" ref="G2239">IFERROR((C2239-B2239)/C2239*100, "N/A")</f>
        <v>-34.70726764</v>
      </c>
      <c r="J2239" s="1"/>
      <c r="K2239" s="1"/>
    </row>
    <row r="2240" ht="14.25" customHeight="1">
      <c r="A2240" s="1" t="s">
        <v>10894</v>
      </c>
      <c r="B2240" s="1">
        <v>2.0E7</v>
      </c>
      <c r="C2240" s="1">
        <v>5701643.0</v>
      </c>
      <c r="F2240" s="4">
        <v>-1.4298357E7</v>
      </c>
      <c r="G2240" s="4">
        <f t="array" ref="G2240">IFERROR((C2240-B2240)/C2240*100, "N/A")</f>
        <v>-250.7760833</v>
      </c>
      <c r="J2240" s="1"/>
      <c r="K2240" s="1"/>
    </row>
    <row r="2241" ht="14.25" customHeight="1">
      <c r="A2241" s="1" t="s">
        <v>10900</v>
      </c>
      <c r="B2241" s="1">
        <v>1.8E7</v>
      </c>
      <c r="C2241" s="1">
        <v>5694401.0</v>
      </c>
      <c r="F2241" s="4">
        <v>-1.2305599E7</v>
      </c>
      <c r="G2241" s="4">
        <f t="array" ref="G2241">IFERROR((C2241-B2241)/C2241*100, "N/A")</f>
        <v>-216.0999726</v>
      </c>
      <c r="J2241" s="1"/>
      <c r="K2241" s="1"/>
    </row>
    <row r="2242" ht="14.25" customHeight="1">
      <c r="A2242" s="1" t="s">
        <v>10904</v>
      </c>
      <c r="B2242" s="1">
        <v>2.0E7</v>
      </c>
      <c r="C2242" s="1">
        <v>5333658.0</v>
      </c>
      <c r="F2242" s="4">
        <v>-1.4666342E7</v>
      </c>
      <c r="G2242" s="4">
        <f t="array" ref="G2242">IFERROR((C2242-B2242)/C2242*100, "N/A")</f>
        <v>-274.9771733</v>
      </c>
      <c r="J2242" s="1"/>
      <c r="K2242" s="1"/>
    </row>
    <row r="2243" ht="14.25" customHeight="1">
      <c r="A2243" s="1" t="s">
        <v>10909</v>
      </c>
      <c r="B2243" s="1">
        <v>1.8E7</v>
      </c>
      <c r="C2243" s="1">
        <v>4414535.0</v>
      </c>
      <c r="F2243" s="4">
        <v>-1.3585465E7</v>
      </c>
      <c r="G2243" s="4">
        <f t="array" ref="G2243">IFERROR((C2243-B2243)/C2243*100, "N/A")</f>
        <v>-307.743964</v>
      </c>
      <c r="J2243" s="1"/>
      <c r="K2243" s="1"/>
    </row>
    <row r="2244" ht="14.25" customHeight="1">
      <c r="A2244" s="1" t="s">
        <v>10914</v>
      </c>
      <c r="B2244" s="1">
        <v>1.8E7</v>
      </c>
      <c r="C2244" s="1">
        <v>3707794.0</v>
      </c>
      <c r="F2244" s="4">
        <v>-1.4292206E7</v>
      </c>
      <c r="G2244" s="4">
        <f t="array" ref="G2244">IFERROR((C2244-B2244)/C2244*100, "N/A")</f>
        <v>-385.4638634</v>
      </c>
      <c r="J2244" s="1"/>
      <c r="K2244" s="1"/>
    </row>
    <row r="2245" ht="14.25" customHeight="1">
      <c r="A2245" s="1" t="s">
        <v>10919</v>
      </c>
      <c r="B2245" s="1">
        <v>1.8E7</v>
      </c>
      <c r="C2245" s="1">
        <v>3203044.0</v>
      </c>
      <c r="F2245" s="4">
        <v>-1.4796956E7</v>
      </c>
      <c r="G2245" s="4">
        <f t="array" ref="G2245">IFERROR((C2245-B2245)/C2245*100, "N/A")</f>
        <v>-461.9654304</v>
      </c>
      <c r="J2245" s="1"/>
      <c r="K2245" s="1"/>
    </row>
    <row r="2246" ht="14.25" customHeight="1">
      <c r="A2246" s="1" t="s">
        <v>10923</v>
      </c>
      <c r="B2246" s="1">
        <v>1.8E7</v>
      </c>
      <c r="C2246" s="1">
        <v>4435083.0</v>
      </c>
      <c r="F2246" s="4">
        <v>-1.3564917E7</v>
      </c>
      <c r="G2246" s="4">
        <f t="array" ref="G2246">IFERROR((C2246-B2246)/C2246*100, "N/A")</f>
        <v>-305.8548622</v>
      </c>
      <c r="J2246" s="1"/>
      <c r="K2246" s="1"/>
    </row>
    <row r="2247" ht="14.25" customHeight="1">
      <c r="A2247" s="1" t="s">
        <v>10929</v>
      </c>
      <c r="B2247" s="1">
        <v>1.2E7</v>
      </c>
      <c r="C2247" s="1">
        <v>2222647.0</v>
      </c>
      <c r="F2247" s="4">
        <v>-9777353.0</v>
      </c>
      <c r="G2247" s="4">
        <f t="array" ref="G2247">IFERROR((C2247-B2247)/C2247*100, "N/A")</f>
        <v>-439.8967987</v>
      </c>
      <c r="J2247" s="1"/>
      <c r="K2247" s="1"/>
    </row>
    <row r="2248" ht="14.25" customHeight="1">
      <c r="A2248" s="1" t="s">
        <v>10936</v>
      </c>
      <c r="B2248" s="1">
        <v>2700000.0</v>
      </c>
      <c r="C2248" s="1">
        <v>3500000.0</v>
      </c>
      <c r="F2248" s="4">
        <v>800000.0</v>
      </c>
      <c r="G2248" s="4">
        <f t="array" ref="G2248">IFERROR((C2248-B2248)/C2248*100, "N/A")</f>
        <v>22.85714286</v>
      </c>
      <c r="J2248" s="1"/>
      <c r="K2248" s="1"/>
    </row>
    <row r="2249" ht="14.25" customHeight="1">
      <c r="A2249" s="1" t="s">
        <v>10940</v>
      </c>
      <c r="B2249" s="1">
        <v>1.8E7</v>
      </c>
      <c r="C2249" s="1">
        <v>676698.0</v>
      </c>
      <c r="F2249" s="4">
        <v>-1.7323302E7</v>
      </c>
      <c r="G2249" s="4">
        <f t="array" ref="G2249">IFERROR((C2249-B2249)/C2249*100, "N/A")</f>
        <v>-2559.975351</v>
      </c>
      <c r="J2249" s="1"/>
      <c r="K2249" s="1"/>
    </row>
    <row r="2250" ht="14.25" customHeight="1">
      <c r="A2250" s="1" t="s">
        <v>10944</v>
      </c>
      <c r="B2250" s="1">
        <v>1.135E7</v>
      </c>
      <c r="C2250" s="1">
        <v>229311.0</v>
      </c>
      <c r="F2250" s="4">
        <v>-1.1120689E7</v>
      </c>
      <c r="G2250" s="4">
        <f t="array" ref="G2250">IFERROR((C2250-B2250)/C2250*100, "N/A")</f>
        <v>-4849.609918</v>
      </c>
      <c r="J2250" s="1"/>
      <c r="K2250" s="1"/>
    </row>
    <row r="2251" ht="14.25" customHeight="1">
      <c r="A2251" s="1" t="s">
        <v>10950</v>
      </c>
      <c r="B2251" s="1">
        <v>1.4E7</v>
      </c>
      <c r="C2251" s="1">
        <v>63260.0</v>
      </c>
      <c r="F2251" s="4">
        <v>-1.393674E7</v>
      </c>
      <c r="G2251" s="4">
        <f t="array" ref="G2251">IFERROR((C2251-B2251)/C2251*100, "N/A")</f>
        <v>-22030.8884</v>
      </c>
      <c r="J2251" s="1"/>
      <c r="K2251" s="1"/>
    </row>
    <row r="2252" ht="14.25" customHeight="1">
      <c r="A2252" s="1" t="s">
        <v>10955</v>
      </c>
      <c r="B2252" s="1">
        <v>2.0E7</v>
      </c>
      <c r="C2252" s="1">
        <v>1.21463226E8</v>
      </c>
      <c r="F2252" s="4">
        <v>1.01463226E8</v>
      </c>
      <c r="G2252" s="4">
        <f t="array" ref="G2252">IFERROR((C2252-B2252)/C2252*100, "N/A")</f>
        <v>83.53411097</v>
      </c>
      <c r="J2252" s="1"/>
      <c r="K2252" s="1"/>
    </row>
    <row r="2253" ht="14.25" customHeight="1">
      <c r="A2253" s="1" t="s">
        <v>10958</v>
      </c>
      <c r="B2253" s="1">
        <v>2.3E7</v>
      </c>
      <c r="C2253" s="1">
        <v>5.8006147E7</v>
      </c>
      <c r="F2253" s="4">
        <v>3.5006147E7</v>
      </c>
      <c r="G2253" s="4">
        <f t="array" ref="G2253">IFERROR((C2253-B2253)/C2253*100, "N/A")</f>
        <v>60.34902991</v>
      </c>
      <c r="J2253" s="1"/>
      <c r="K2253" s="1"/>
    </row>
    <row r="2254" ht="14.25" customHeight="1">
      <c r="A2254" s="1" t="s">
        <v>10965</v>
      </c>
      <c r="B2254" s="1">
        <v>1.75E7</v>
      </c>
      <c r="C2254" s="1">
        <v>5.1053787E7</v>
      </c>
      <c r="F2254" s="4">
        <v>3.3553787E7</v>
      </c>
      <c r="G2254" s="4">
        <f t="array" ref="G2254">IFERROR((C2254-B2254)/C2254*100, "N/A")</f>
        <v>65.72242525</v>
      </c>
      <c r="J2254" s="1"/>
      <c r="K2254" s="1"/>
    </row>
    <row r="2255" ht="14.25" customHeight="1">
      <c r="A2255" s="1" t="s">
        <v>10970</v>
      </c>
      <c r="B2255" s="1">
        <v>1.75E7</v>
      </c>
      <c r="C2255" s="1">
        <v>2.34729E7</v>
      </c>
      <c r="F2255" s="4">
        <v>5972900.0</v>
      </c>
      <c r="G2255" s="4">
        <f t="array" ref="G2255">IFERROR((C2255-B2255)/C2255*100, "N/A")</f>
        <v>25.44593979</v>
      </c>
      <c r="J2255" s="1"/>
      <c r="K2255" s="1"/>
    </row>
    <row r="2256" ht="14.25" customHeight="1">
      <c r="A2256" s="1" t="s">
        <v>10975</v>
      </c>
      <c r="B2256" s="1">
        <v>2.4E7</v>
      </c>
      <c r="C2256" s="1">
        <v>3.9687528E7</v>
      </c>
      <c r="F2256" s="4">
        <v>1.5687528E7</v>
      </c>
      <c r="G2256" s="4">
        <f t="array" ref="G2256">IFERROR((C2256-B2256)/C2256*100, "N/A")</f>
        <v>39.52760172</v>
      </c>
      <c r="J2256" s="1"/>
      <c r="K2256" s="1"/>
    </row>
    <row r="2257" ht="14.25" customHeight="1">
      <c r="A2257" s="1" t="s">
        <v>10980</v>
      </c>
      <c r="B2257" s="1">
        <v>1.75E7</v>
      </c>
      <c r="C2257" s="1">
        <v>7017178.0</v>
      </c>
      <c r="F2257" s="4">
        <v>-1.0482822E7</v>
      </c>
      <c r="G2257" s="4">
        <f t="array" ref="G2257">IFERROR((C2257-B2257)/C2257*100, "N/A")</f>
        <v>-149.3880018</v>
      </c>
      <c r="J2257" s="1"/>
      <c r="K2257" s="1"/>
    </row>
    <row r="2258" ht="14.25" customHeight="1">
      <c r="A2258" s="1" t="s">
        <v>10986</v>
      </c>
      <c r="B2258" s="1">
        <v>1.75E7</v>
      </c>
      <c r="C2258" s="1">
        <v>325491.0</v>
      </c>
      <c r="F2258" s="4">
        <v>-1.7174509E7</v>
      </c>
      <c r="G2258" s="4">
        <f t="array" ref="G2258">IFERROR((C2258-B2258)/C2258*100, "N/A")</f>
        <v>-5276.492745</v>
      </c>
      <c r="J2258" s="1"/>
      <c r="K2258" s="1"/>
    </row>
    <row r="2259" ht="14.25" customHeight="1">
      <c r="A2259" s="1" t="s">
        <v>10992</v>
      </c>
      <c r="B2259" s="1">
        <v>1.7E7</v>
      </c>
      <c r="C2259" s="1">
        <v>9.6471845E7</v>
      </c>
      <c r="F2259" s="4">
        <v>7.9471845E7</v>
      </c>
      <c r="G2259" s="4">
        <f t="array" ref="G2259">IFERROR((C2259-B2259)/C2259*100, "N/A")</f>
        <v>82.37827835</v>
      </c>
      <c r="J2259" s="1"/>
      <c r="K2259" s="1"/>
    </row>
    <row r="2260" ht="14.25" customHeight="1">
      <c r="A2260" s="1" t="s">
        <v>10997</v>
      </c>
      <c r="B2260" s="1">
        <v>1.85E7</v>
      </c>
      <c r="C2260" s="1">
        <v>8.52E7</v>
      </c>
      <c r="F2260" s="4">
        <v>6.67E7</v>
      </c>
      <c r="G2260" s="4">
        <f t="array" ref="G2260">IFERROR((C2260-B2260)/C2260*100, "N/A")</f>
        <v>78.28638498</v>
      </c>
      <c r="J2260" s="1"/>
      <c r="K2260" s="1"/>
    </row>
    <row r="2261" ht="14.25" customHeight="1">
      <c r="A2261" s="1" t="s">
        <v>11002</v>
      </c>
      <c r="B2261" s="1">
        <v>1.7E7</v>
      </c>
      <c r="C2261" s="1">
        <v>7.2E7</v>
      </c>
      <c r="F2261" s="4">
        <v>5.5E7</v>
      </c>
      <c r="G2261" s="4">
        <f t="array" ref="G2261">IFERROR((C2261-B2261)/C2261*100, "N/A")</f>
        <v>76.38888889</v>
      </c>
      <c r="J2261" s="1"/>
      <c r="K2261" s="1"/>
    </row>
    <row r="2262" ht="14.25" customHeight="1">
      <c r="A2262" s="1" t="s">
        <v>11010</v>
      </c>
      <c r="B2262" s="1">
        <v>1.7E7</v>
      </c>
      <c r="C2262" s="1">
        <v>7.2219395E7</v>
      </c>
      <c r="F2262" s="4">
        <v>5.5219395E7</v>
      </c>
      <c r="G2262" s="4">
        <f t="array" ref="G2262">IFERROR((C2262-B2262)/C2262*100, "N/A")</f>
        <v>76.46061699</v>
      </c>
      <c r="J2262" s="1"/>
      <c r="K2262" s="1"/>
    </row>
    <row r="2263" ht="14.25" customHeight="1">
      <c r="A2263" s="1" t="s">
        <v>11013</v>
      </c>
      <c r="B2263" s="1">
        <v>1.7E7</v>
      </c>
      <c r="C2263" s="1">
        <v>8.238956E7</v>
      </c>
      <c r="F2263" s="4">
        <v>6.538956E7</v>
      </c>
      <c r="G2263" s="4">
        <f t="array" ref="G2263">IFERROR((C2263-B2263)/C2263*100, "N/A")</f>
        <v>79.36631777</v>
      </c>
      <c r="J2263" s="1"/>
      <c r="K2263" s="1"/>
    </row>
    <row r="2264" ht="14.25" customHeight="1">
      <c r="A2264" s="1" t="s">
        <v>11016</v>
      </c>
      <c r="B2264" s="1">
        <v>1.2E7</v>
      </c>
      <c r="C2264" s="1">
        <v>7.1502303E7</v>
      </c>
      <c r="F2264" s="4">
        <v>5.9502303E7</v>
      </c>
      <c r="G2264" s="4">
        <f t="array" ref="G2264">IFERROR((C2264-B2264)/C2264*100, "N/A")</f>
        <v>83.21732378</v>
      </c>
      <c r="J2264" s="1"/>
      <c r="K2264" s="1"/>
    </row>
    <row r="2265" ht="14.25" customHeight="1">
      <c r="A2265" s="1" t="s">
        <v>11020</v>
      </c>
      <c r="B2265" s="1">
        <v>1.75E7</v>
      </c>
      <c r="C2265" s="1">
        <v>1.9179969E7</v>
      </c>
      <c r="F2265" s="4">
        <v>1679969.0</v>
      </c>
      <c r="G2265" s="4">
        <f t="array" ref="G2265">IFERROR((C2265-B2265)/C2265*100, "N/A")</f>
        <v>8.758976618</v>
      </c>
      <c r="J2265" s="1"/>
      <c r="K2265" s="1"/>
    </row>
    <row r="2266" ht="14.25" customHeight="1">
      <c r="A2266" s="1" t="s">
        <v>11025</v>
      </c>
      <c r="B2266" s="1">
        <v>300000.0</v>
      </c>
      <c r="C2266" s="1">
        <v>4.7E7</v>
      </c>
      <c r="F2266" s="4">
        <v>4.67E7</v>
      </c>
      <c r="G2266" s="4">
        <f t="array" ref="G2266">IFERROR((C2266-B2266)/C2266*100, "N/A")</f>
        <v>99.36170213</v>
      </c>
      <c r="J2266" s="1"/>
      <c r="K2266" s="1"/>
    </row>
    <row r="2267" ht="14.25" customHeight="1">
      <c r="A2267" s="1" t="s">
        <v>5791</v>
      </c>
      <c r="B2267" s="1">
        <v>3.1E7</v>
      </c>
      <c r="C2267" s="1">
        <v>84961.0</v>
      </c>
      <c r="F2267" s="4">
        <v>-3.0915039E7</v>
      </c>
      <c r="G2267" s="4">
        <f t="array" ref="G2267">IFERROR((C2267-B2267)/C2267*100, "N/A")</f>
        <v>-36387.32948</v>
      </c>
      <c r="J2267" s="1"/>
      <c r="K2267" s="1"/>
    </row>
    <row r="2268" ht="14.25" customHeight="1">
      <c r="A2268" s="1" t="s">
        <v>11030</v>
      </c>
      <c r="B2268" s="1">
        <v>1.7E7</v>
      </c>
      <c r="C2268" s="1">
        <v>3.756623E7</v>
      </c>
      <c r="F2268" s="4">
        <v>2.056623E7</v>
      </c>
      <c r="G2268" s="4">
        <f t="array" ref="G2268">IFERROR((C2268-B2268)/C2268*100, "N/A")</f>
        <v>54.74659022</v>
      </c>
      <c r="J2268" s="1"/>
      <c r="K2268" s="1"/>
    </row>
    <row r="2269" ht="14.25" customHeight="1">
      <c r="A2269" s="1" t="s">
        <v>11034</v>
      </c>
      <c r="B2269" s="1">
        <v>1.7E7</v>
      </c>
      <c r="C2269" s="1">
        <v>7.0492685E7</v>
      </c>
      <c r="F2269" s="4">
        <v>5.3492685E7</v>
      </c>
      <c r="G2269" s="4">
        <f t="array" ref="G2269">IFERROR((C2269-B2269)/C2269*100, "N/A")</f>
        <v>75.88402258</v>
      </c>
      <c r="J2269" s="1"/>
      <c r="K2269" s="1"/>
    </row>
    <row r="2270" ht="14.25" customHeight="1">
      <c r="A2270" s="1" t="s">
        <v>11037</v>
      </c>
      <c r="B2270" s="1">
        <v>1.7E7</v>
      </c>
      <c r="C2270" s="1">
        <v>3.5635046E7</v>
      </c>
      <c r="F2270" s="4">
        <v>1.8635046E7</v>
      </c>
      <c r="G2270" s="4">
        <f t="array" ref="G2270">IFERROR((C2270-B2270)/C2270*100, "N/A")</f>
        <v>52.29415447</v>
      </c>
      <c r="J2270" s="1"/>
      <c r="K2270" s="1"/>
    </row>
    <row r="2271" ht="14.25" customHeight="1">
      <c r="A2271" s="1" t="s">
        <v>11041</v>
      </c>
      <c r="B2271" s="1">
        <v>2.0E7</v>
      </c>
      <c r="C2271" s="1">
        <v>4.5670855E7</v>
      </c>
      <c r="F2271" s="4">
        <v>2.5670855E7</v>
      </c>
      <c r="G2271" s="4">
        <f t="array" ref="G2271">IFERROR((C2271-B2271)/C2271*100, "N/A")</f>
        <v>56.20839592</v>
      </c>
      <c r="J2271" s="1"/>
      <c r="K2271" s="1"/>
    </row>
    <row r="2272" ht="14.25" customHeight="1">
      <c r="A2272" s="1" t="s">
        <v>11045</v>
      </c>
      <c r="B2272" s="1">
        <v>1.7E7</v>
      </c>
      <c r="C2272" s="1">
        <v>3.7939782E7</v>
      </c>
      <c r="F2272" s="4">
        <v>2.0939782E7</v>
      </c>
      <c r="G2272" s="4">
        <f t="array" ref="G2272">IFERROR((C2272-B2272)/C2272*100, "N/A")</f>
        <v>55.1921516</v>
      </c>
      <c r="J2272" s="1"/>
      <c r="K2272" s="1"/>
    </row>
    <row r="2273" ht="14.25" customHeight="1">
      <c r="A2273" s="1" t="s">
        <v>292</v>
      </c>
      <c r="B2273" s="1">
        <v>1.7E8</v>
      </c>
      <c r="C2273" s="1">
        <v>1.72051787E8</v>
      </c>
      <c r="F2273" s="4">
        <v>2051787.0</v>
      </c>
      <c r="G2273" s="4">
        <f t="array" ref="G2273">IFERROR((C2273-B2273)/C2273*100, "N/A")</f>
        <v>1.19254036</v>
      </c>
      <c r="J2273" s="1"/>
      <c r="K2273" s="1"/>
    </row>
    <row r="2274" ht="14.25" customHeight="1">
      <c r="A2274" s="1" t="s">
        <v>11049</v>
      </c>
      <c r="B2274" s="1">
        <v>1.7E7</v>
      </c>
      <c r="C2274" s="1">
        <v>3.0324946E7</v>
      </c>
      <c r="F2274" s="4">
        <v>1.3324946E7</v>
      </c>
      <c r="G2274" s="4">
        <f t="array" ref="G2274">IFERROR((C2274-B2274)/C2274*100, "N/A")</f>
        <v>43.94054321</v>
      </c>
      <c r="J2274" s="1"/>
      <c r="K2274" s="1"/>
    </row>
    <row r="2275" ht="14.25" customHeight="1">
      <c r="A2275" s="1" t="s">
        <v>11055</v>
      </c>
      <c r="B2275" s="1">
        <v>1.7E7</v>
      </c>
      <c r="C2275" s="1">
        <v>2.7854896E7</v>
      </c>
      <c r="F2275" s="4">
        <v>1.0854896E7</v>
      </c>
      <c r="G2275" s="4">
        <f t="array" ref="G2275">IFERROR((C2275-B2275)/C2275*100, "N/A")</f>
        <v>38.96943647</v>
      </c>
      <c r="J2275" s="1"/>
      <c r="K2275" s="1"/>
    </row>
    <row r="2276" ht="14.25" customHeight="1">
      <c r="A2276" s="1" t="s">
        <v>11059</v>
      </c>
      <c r="B2276" s="1">
        <v>1.5E7</v>
      </c>
      <c r="C2276" s="1">
        <v>4.1777564E7</v>
      </c>
      <c r="F2276" s="4">
        <v>2.6777564E7</v>
      </c>
      <c r="G2276" s="4">
        <f t="array" ref="G2276">IFERROR((C2276-B2276)/C2276*100, "N/A")</f>
        <v>64.09556096</v>
      </c>
      <c r="J2276" s="1"/>
      <c r="K2276" s="1"/>
    </row>
    <row r="2277" ht="14.25" customHeight="1">
      <c r="A2277" s="1" t="s">
        <v>11063</v>
      </c>
      <c r="B2277" s="1">
        <v>1.7E7</v>
      </c>
      <c r="C2277" s="1">
        <v>2.2734486E7</v>
      </c>
      <c r="F2277" s="4">
        <v>5734486.0</v>
      </c>
      <c r="G2277" s="4">
        <f t="array" ref="G2277">IFERROR((C2277-B2277)/C2277*100, "N/A")</f>
        <v>25.22373279</v>
      </c>
      <c r="J2277" s="1"/>
      <c r="K2277" s="1"/>
    </row>
    <row r="2278" ht="14.25" customHeight="1">
      <c r="A2278" s="1" t="s">
        <v>11066</v>
      </c>
      <c r="B2278" s="1">
        <v>1.7E7</v>
      </c>
      <c r="C2278" s="1">
        <v>4.4469602E7</v>
      </c>
      <c r="F2278" s="4">
        <v>2.7469602E7</v>
      </c>
      <c r="G2278" s="4">
        <f t="array" ref="G2278">IFERROR((C2278-B2278)/C2278*100, "N/A")</f>
        <v>61.77163897</v>
      </c>
      <c r="J2278" s="1"/>
      <c r="K2278" s="1"/>
    </row>
    <row r="2279" ht="14.25" customHeight="1">
      <c r="A2279" s="1" t="s">
        <v>11073</v>
      </c>
      <c r="B2279" s="1">
        <v>1.7E7</v>
      </c>
      <c r="C2279" s="1">
        <v>6.4998368E7</v>
      </c>
      <c r="F2279" s="4">
        <v>4.7998368E7</v>
      </c>
      <c r="G2279" s="4">
        <f t="array" ref="G2279">IFERROR((C2279-B2279)/C2279*100, "N/A")</f>
        <v>73.84549717</v>
      </c>
      <c r="J2279" s="1"/>
      <c r="K2279" s="1"/>
    </row>
    <row r="2280" ht="14.25" customHeight="1">
      <c r="A2280" s="1" t="s">
        <v>11077</v>
      </c>
      <c r="B2280" s="1">
        <v>3.4E7</v>
      </c>
      <c r="C2280" s="1">
        <v>1.9693891E7</v>
      </c>
      <c r="F2280" s="4">
        <v>-1.4306109E7</v>
      </c>
      <c r="G2280" s="4">
        <f t="array" ref="G2280">IFERROR((C2280-B2280)/C2280*100, "N/A")</f>
        <v>-72.64236915</v>
      </c>
      <c r="J2280" s="1"/>
      <c r="K2280" s="1"/>
    </row>
    <row r="2281" ht="14.25" customHeight="1">
      <c r="A2281" s="1" t="s">
        <v>11080</v>
      </c>
      <c r="B2281" s="1">
        <v>1.7E7</v>
      </c>
      <c r="C2281" s="1">
        <v>1.6311763E7</v>
      </c>
      <c r="F2281" s="4">
        <v>-688237.0</v>
      </c>
      <c r="G2281" s="4">
        <f t="array" ref="G2281">IFERROR((C2281-B2281)/C2281*100, "N/A")</f>
        <v>-4.219268021</v>
      </c>
      <c r="J2281" s="1"/>
      <c r="K2281" s="1"/>
    </row>
    <row r="2282" ht="14.25" customHeight="1">
      <c r="A2282" s="1" t="s">
        <v>11084</v>
      </c>
      <c r="B2282" s="1">
        <v>1.7E7</v>
      </c>
      <c r="C2282" s="1">
        <v>1.2693621E7</v>
      </c>
      <c r="F2282" s="4">
        <v>-4306379.0</v>
      </c>
      <c r="G2282" s="4">
        <f t="array" ref="G2282">IFERROR((C2282-B2282)/C2282*100, "N/A")</f>
        <v>-33.9255363</v>
      </c>
      <c r="J2282" s="1"/>
      <c r="K2282" s="1"/>
    </row>
    <row r="2283" ht="14.25" customHeight="1">
      <c r="A2283" s="1" t="s">
        <v>11088</v>
      </c>
      <c r="B2283" s="1">
        <v>4000000.0</v>
      </c>
      <c r="C2283" s="1">
        <v>1.5655665E7</v>
      </c>
      <c r="F2283" s="4">
        <v>1.1655665E7</v>
      </c>
      <c r="G2283" s="4">
        <f t="array" ref="G2283">IFERROR((C2283-B2283)/C2283*100, "N/A")</f>
        <v>74.45014313</v>
      </c>
      <c r="J2283" s="1"/>
      <c r="K2283" s="1"/>
    </row>
    <row r="2284" ht="14.25" customHeight="1">
      <c r="A2284" s="1" t="s">
        <v>11093</v>
      </c>
      <c r="B2284" s="1">
        <v>1.7E7</v>
      </c>
      <c r="C2284" s="1">
        <v>1.1634458E7</v>
      </c>
      <c r="F2284" s="4">
        <v>-5365542.0</v>
      </c>
      <c r="G2284" s="4">
        <f t="array" ref="G2284">IFERROR((C2284-B2284)/C2284*100, "N/A")</f>
        <v>-46.11767905</v>
      </c>
      <c r="J2284" s="1"/>
      <c r="K2284" s="1"/>
    </row>
    <row r="2285" ht="14.25" customHeight="1">
      <c r="A2285" s="1" t="s">
        <v>11099</v>
      </c>
      <c r="B2285" s="1">
        <v>1.7E7</v>
      </c>
      <c r="C2285" s="1">
        <v>2.7154426E7</v>
      </c>
      <c r="F2285" s="4">
        <v>1.0154426E7</v>
      </c>
      <c r="G2285" s="4">
        <f t="array" ref="G2285">IFERROR((C2285-B2285)/C2285*100, "N/A")</f>
        <v>37.39510458</v>
      </c>
      <c r="J2285" s="1"/>
      <c r="K2285" s="1"/>
    </row>
    <row r="2286" ht="14.25" customHeight="1">
      <c r="A2286" s="1" t="s">
        <v>11103</v>
      </c>
      <c r="B2286" s="1">
        <v>1.7E7</v>
      </c>
      <c r="C2286" s="1">
        <v>5.4239856E7</v>
      </c>
      <c r="F2286" s="4">
        <v>3.7239856E7</v>
      </c>
      <c r="G2286" s="4">
        <f t="array" ref="G2286">IFERROR((C2286-B2286)/C2286*100, "N/A")</f>
        <v>68.6577339</v>
      </c>
      <c r="J2286" s="1"/>
      <c r="K2286" s="1"/>
    </row>
    <row r="2287" ht="14.25" customHeight="1">
      <c r="A2287" s="1" t="s">
        <v>11109</v>
      </c>
      <c r="B2287" s="1">
        <v>1.7E7</v>
      </c>
      <c r="C2287" s="1">
        <v>8662318.0</v>
      </c>
      <c r="F2287" s="4">
        <v>-8337682.0</v>
      </c>
      <c r="G2287" s="4">
        <f t="array" ref="G2287">IFERROR((C2287-B2287)/C2287*100, "N/A")</f>
        <v>-96.25231953</v>
      </c>
      <c r="J2287" s="1"/>
      <c r="K2287" s="1"/>
    </row>
    <row r="2288" ht="14.25" customHeight="1">
      <c r="A2288" s="1" t="s">
        <v>11114</v>
      </c>
      <c r="B2288" s="1">
        <v>1.9E7</v>
      </c>
      <c r="C2288" s="1">
        <v>7156725.0</v>
      </c>
      <c r="F2288" s="4">
        <v>-1.1843275E7</v>
      </c>
      <c r="G2288" s="4">
        <f t="array" ref="G2288">IFERROR((C2288-B2288)/C2288*100, "N/A")</f>
        <v>-165.4845617</v>
      </c>
      <c r="J2288" s="1"/>
      <c r="K2288" s="1"/>
    </row>
    <row r="2289" ht="14.25" customHeight="1">
      <c r="A2289" s="1" t="s">
        <v>11118</v>
      </c>
      <c r="B2289" s="1">
        <v>1.7E7</v>
      </c>
      <c r="C2289" s="1">
        <v>1.568102E7</v>
      </c>
      <c r="F2289" s="4">
        <v>-1318980.0</v>
      </c>
      <c r="G2289" s="4">
        <f t="array" ref="G2289">IFERROR((C2289-B2289)/C2289*100, "N/A")</f>
        <v>-8.41131508</v>
      </c>
      <c r="J2289" s="1"/>
      <c r="K2289" s="1"/>
    </row>
    <row r="2290" ht="14.25" customHeight="1">
      <c r="A2290" s="1" t="s">
        <v>11122</v>
      </c>
      <c r="B2290" s="1">
        <v>1.7E7</v>
      </c>
      <c r="C2290" s="1">
        <v>6855137.0</v>
      </c>
      <c r="F2290" s="4">
        <v>-1.0144863E7</v>
      </c>
      <c r="G2290" s="4">
        <f t="array" ref="G2290">IFERROR((C2290-B2290)/C2290*100, "N/A")</f>
        <v>-147.9892087</v>
      </c>
      <c r="J2290" s="1"/>
      <c r="K2290" s="1"/>
    </row>
    <row r="2291" ht="14.25" customHeight="1">
      <c r="A2291" s="1" t="s">
        <v>11126</v>
      </c>
      <c r="B2291" s="1">
        <v>1.7E7</v>
      </c>
      <c r="C2291" s="1">
        <v>2315683.0</v>
      </c>
      <c r="F2291" s="4">
        <v>-1.4684317E7</v>
      </c>
      <c r="G2291" s="4">
        <f t="array" ref="G2291">IFERROR((C2291-B2291)/C2291*100, "N/A")</f>
        <v>-634.1246621</v>
      </c>
      <c r="J2291" s="1"/>
      <c r="K2291" s="1"/>
    </row>
    <row r="2292" ht="14.25" customHeight="1">
      <c r="A2292" s="1" t="s">
        <v>11131</v>
      </c>
      <c r="B2292" s="1">
        <v>1.6E7</v>
      </c>
      <c r="C2292" s="1">
        <v>3.9825798E7</v>
      </c>
      <c r="F2292" s="4">
        <v>2.3825798E7</v>
      </c>
      <c r="G2292" s="4">
        <f t="array" ref="G2292">IFERROR((C2292-B2292)/C2292*100, "N/A")</f>
        <v>59.82503602</v>
      </c>
      <c r="J2292" s="1"/>
      <c r="K2292" s="1"/>
    </row>
    <row r="2293" ht="14.25" customHeight="1">
      <c r="A2293" s="1" t="s">
        <v>11136</v>
      </c>
      <c r="B2293" s="1">
        <v>1.7E7</v>
      </c>
      <c r="C2293" s="1">
        <v>2000000.0</v>
      </c>
      <c r="F2293" s="4">
        <v>-1.5E7</v>
      </c>
      <c r="G2293" s="4">
        <f t="array" ref="G2293">IFERROR((C2293-B2293)/C2293*100, "N/A")</f>
        <v>-750</v>
      </c>
      <c r="J2293" s="1"/>
      <c r="K2293" s="1"/>
    </row>
    <row r="2294" ht="14.25" customHeight="1">
      <c r="A2294" s="1" t="s">
        <v>11140</v>
      </c>
      <c r="B2294" s="1">
        <v>1.7E7</v>
      </c>
      <c r="C2294" s="1">
        <v>1569918.0</v>
      </c>
      <c r="F2294" s="4">
        <v>-1.5430082E7</v>
      </c>
      <c r="G2294" s="4">
        <f t="array" ref="G2294">IFERROR((C2294-B2294)/C2294*100, "N/A")</f>
        <v>-982.8591047</v>
      </c>
      <c r="J2294" s="1"/>
      <c r="K2294" s="1"/>
    </row>
    <row r="2295" ht="14.25" customHeight="1">
      <c r="A2295" s="1" t="s">
        <v>11147</v>
      </c>
      <c r="B2295" s="1">
        <v>1.7E7</v>
      </c>
      <c r="C2295" s="1">
        <v>273420.0</v>
      </c>
      <c r="F2295" s="4">
        <v>-1.672658E7</v>
      </c>
      <c r="G2295" s="4">
        <f t="array" ref="G2295">IFERROR((C2295-B2295)/C2295*100, "N/A")</f>
        <v>-6117.54078</v>
      </c>
      <c r="J2295" s="1"/>
      <c r="K2295" s="1"/>
    </row>
    <row r="2296" ht="14.25" customHeight="1">
      <c r="A2296" s="1" t="s">
        <v>11153</v>
      </c>
      <c r="B2296" s="1">
        <v>1.7E7</v>
      </c>
      <c r="C2296" s="1">
        <v>4930798.0</v>
      </c>
      <c r="F2296" s="4">
        <v>-1.2069202E7</v>
      </c>
      <c r="G2296" s="4">
        <f t="array" ref="G2296">IFERROR((C2296-B2296)/C2296*100, "N/A")</f>
        <v>-244.7717793</v>
      </c>
      <c r="J2296" s="1"/>
      <c r="K2296" s="1"/>
    </row>
    <row r="2297" ht="14.25" customHeight="1">
      <c r="A2297" s="1" t="s">
        <v>11160</v>
      </c>
      <c r="B2297" s="1">
        <v>1.65E7</v>
      </c>
      <c r="C2297" s="1">
        <v>5.9847242E7</v>
      </c>
      <c r="F2297" s="4">
        <v>4.3347242E7</v>
      </c>
      <c r="G2297" s="4">
        <f t="array" ref="G2297">IFERROR((C2297-B2297)/C2297*100, "N/A")</f>
        <v>72.42980721</v>
      </c>
      <c r="J2297" s="1"/>
      <c r="K2297" s="1"/>
    </row>
    <row r="2298" ht="14.25" customHeight="1">
      <c r="A2298" s="1" t="s">
        <v>11164</v>
      </c>
      <c r="B2298" s="1">
        <v>1.68E7</v>
      </c>
      <c r="C2298" s="1">
        <v>220914.0</v>
      </c>
      <c r="F2298" s="4">
        <v>-1.6579086E7</v>
      </c>
      <c r="G2298" s="4">
        <f t="array" ref="G2298">IFERROR((C2298-B2298)/C2298*100, "N/A")</f>
        <v>-7504.769277</v>
      </c>
      <c r="J2298" s="1"/>
      <c r="K2298" s="1"/>
    </row>
    <row r="2299" ht="14.25" customHeight="1">
      <c r="A2299" s="1" t="s">
        <v>11131</v>
      </c>
      <c r="B2299" s="1">
        <v>1.6E7</v>
      </c>
      <c r="C2299" s="1">
        <v>3.9825798E7</v>
      </c>
      <c r="F2299" s="4">
        <v>2.3825798E7</v>
      </c>
      <c r="G2299" s="4">
        <f t="array" ref="G2299">IFERROR((C2299-B2299)/C2299*100, "N/A")</f>
        <v>59.82503602</v>
      </c>
      <c r="J2299" s="1"/>
      <c r="K2299" s="1"/>
    </row>
    <row r="2300" ht="14.25" customHeight="1">
      <c r="A2300" s="1" t="s">
        <v>11168</v>
      </c>
      <c r="B2300" s="1">
        <v>1.5E7</v>
      </c>
      <c r="C2300" s="1">
        <v>4.38481E7</v>
      </c>
      <c r="F2300" s="4">
        <v>2.88481E7</v>
      </c>
      <c r="G2300" s="4">
        <f t="array" ref="G2300">IFERROR((C2300-B2300)/C2300*100, "N/A")</f>
        <v>65.79099208</v>
      </c>
      <c r="J2300" s="1"/>
      <c r="K2300" s="1"/>
    </row>
    <row r="2301" ht="14.25" customHeight="1">
      <c r="A2301" s="1" t="s">
        <v>11172</v>
      </c>
      <c r="B2301" s="1">
        <v>1.65E7</v>
      </c>
      <c r="C2301" s="1">
        <v>4.27E7</v>
      </c>
      <c r="F2301" s="4">
        <v>2.62E7</v>
      </c>
      <c r="G2301" s="4">
        <f t="array" ref="G2301">IFERROR((C2301-B2301)/C2301*100, "N/A")</f>
        <v>61.35831382</v>
      </c>
      <c r="J2301" s="1"/>
      <c r="K2301" s="1"/>
    </row>
    <row r="2302" ht="14.25" customHeight="1">
      <c r="A2302" s="1" t="s">
        <v>11176</v>
      </c>
      <c r="B2302" s="1">
        <v>1.65E7</v>
      </c>
      <c r="C2302" s="1">
        <v>1.8663911E7</v>
      </c>
      <c r="F2302" s="4">
        <v>2163911.0</v>
      </c>
      <c r="G2302" s="4">
        <f t="array" ref="G2302">IFERROR((C2302-B2302)/C2302*100, "N/A")</f>
        <v>11.59409193</v>
      </c>
      <c r="J2302" s="1"/>
      <c r="K2302" s="1"/>
    </row>
    <row r="2303" ht="14.25" customHeight="1">
      <c r="A2303" s="1" t="s">
        <v>11181</v>
      </c>
      <c r="B2303" s="1">
        <v>1.65E7</v>
      </c>
      <c r="C2303" s="1">
        <v>1.170209E7</v>
      </c>
      <c r="F2303" s="4">
        <v>-4797910.0</v>
      </c>
      <c r="G2303" s="4">
        <f t="array" ref="G2303">IFERROR((C2303-B2303)/C2303*100, "N/A")</f>
        <v>-41.00045377</v>
      </c>
      <c r="J2303" s="1"/>
      <c r="K2303" s="1"/>
    </row>
    <row r="2304" ht="14.25" customHeight="1">
      <c r="A2304" s="1" t="s">
        <v>11187</v>
      </c>
      <c r="B2304" s="1">
        <v>1.5E7</v>
      </c>
      <c r="C2304" s="1">
        <v>1.3005485E7</v>
      </c>
      <c r="F2304" s="4">
        <v>-1994515.0</v>
      </c>
      <c r="G2304" s="4">
        <f t="array" ref="G2304">IFERROR((C2304-B2304)/C2304*100, "N/A")</f>
        <v>-15.33595248</v>
      </c>
      <c r="J2304" s="1"/>
      <c r="K2304" s="1"/>
    </row>
    <row r="2305" ht="14.25" customHeight="1">
      <c r="A2305" s="1" t="s">
        <v>11190</v>
      </c>
      <c r="B2305" s="1">
        <v>1.64E7</v>
      </c>
      <c r="C2305" s="1">
        <v>9.5860116E7</v>
      </c>
      <c r="F2305" s="4">
        <v>7.9460116E7</v>
      </c>
      <c r="G2305" s="4">
        <f t="array" ref="G2305">IFERROR((C2305-B2305)/C2305*100, "N/A")</f>
        <v>82.89173779</v>
      </c>
      <c r="J2305" s="1"/>
      <c r="K2305" s="1"/>
    </row>
    <row r="2306" ht="14.25" customHeight="1">
      <c r="A2306" s="1" t="s">
        <v>11194</v>
      </c>
      <c r="B2306" s="1">
        <v>1.6E7</v>
      </c>
      <c r="C2306" s="1">
        <v>1.27175354E8</v>
      </c>
      <c r="F2306" s="4">
        <v>1.11175354E8</v>
      </c>
      <c r="G2306" s="4">
        <f t="array" ref="G2306">IFERROR((C2306-B2306)/C2306*100, "N/A")</f>
        <v>87.41894597</v>
      </c>
      <c r="J2306" s="1"/>
      <c r="K2306" s="1"/>
    </row>
    <row r="2307" ht="14.25" customHeight="1">
      <c r="A2307" s="1" t="s">
        <v>11197</v>
      </c>
      <c r="B2307" s="1">
        <v>1.6E7</v>
      </c>
      <c r="C2307" s="1">
        <v>9.28236E7</v>
      </c>
      <c r="F2307" s="4">
        <v>7.68236E7</v>
      </c>
      <c r="G2307" s="4">
        <f t="array" ref="G2307">IFERROR((C2307-B2307)/C2307*100, "N/A")</f>
        <v>82.76300424</v>
      </c>
      <c r="J2307" s="1"/>
      <c r="K2307" s="1"/>
    </row>
    <row r="2308" ht="14.25" customHeight="1">
      <c r="A2308" s="1" t="s">
        <v>11203</v>
      </c>
      <c r="B2308" s="1">
        <v>1.6E7</v>
      </c>
      <c r="C2308" s="1">
        <v>5.4E7</v>
      </c>
      <c r="F2308" s="4">
        <v>3.8E7</v>
      </c>
      <c r="G2308" s="4">
        <f t="array" ref="G2308">IFERROR((C2308-B2308)/C2308*100, "N/A")</f>
        <v>70.37037037</v>
      </c>
      <c r="J2308" s="1"/>
      <c r="K2308" s="1"/>
    </row>
    <row r="2309" ht="14.25" customHeight="1">
      <c r="A2309" s="1" t="s">
        <v>11208</v>
      </c>
      <c r="B2309" s="1">
        <v>1.56E7</v>
      </c>
      <c r="C2309" s="1">
        <v>6.8525609E7</v>
      </c>
      <c r="F2309" s="4">
        <v>5.2925609E7</v>
      </c>
      <c r="G2309" s="4">
        <f t="array" ref="G2309">IFERROR((C2309-B2309)/C2309*100, "N/A")</f>
        <v>77.23478824</v>
      </c>
      <c r="J2309" s="1"/>
      <c r="K2309" s="1"/>
    </row>
    <row r="2310" ht="14.25" customHeight="1">
      <c r="A2310" s="1" t="s">
        <v>11211</v>
      </c>
      <c r="B2310" s="1">
        <v>1.6E7</v>
      </c>
      <c r="C2310" s="1">
        <v>5.2885587E7</v>
      </c>
      <c r="F2310" s="4">
        <v>3.6885587E7</v>
      </c>
      <c r="G2310" s="4">
        <f t="array" ref="G2310">IFERROR((C2310-B2310)/C2310*100, "N/A")</f>
        <v>69.74601038</v>
      </c>
      <c r="J2310" s="1"/>
      <c r="K2310" s="1"/>
    </row>
    <row r="2311" ht="14.25" customHeight="1">
      <c r="A2311" s="1" t="s">
        <v>11217</v>
      </c>
      <c r="B2311" s="1">
        <v>1.5E7</v>
      </c>
      <c r="C2311" s="1">
        <v>4.4667095E7</v>
      </c>
      <c r="F2311" s="4">
        <v>2.9667095E7</v>
      </c>
      <c r="G2311" s="4">
        <f t="array" ref="G2311">IFERROR((C2311-B2311)/C2311*100, "N/A")</f>
        <v>66.41823248</v>
      </c>
      <c r="J2311" s="1"/>
      <c r="K2311" s="1"/>
    </row>
    <row r="2312" ht="14.25" customHeight="1">
      <c r="A2312" s="1" t="s">
        <v>11220</v>
      </c>
      <c r="B2312" s="1">
        <v>1.6E7</v>
      </c>
      <c r="C2312" s="1">
        <v>4.2638165E7</v>
      </c>
      <c r="F2312" s="4">
        <v>2.6638165E7</v>
      </c>
      <c r="G2312" s="4">
        <f t="array" ref="G2312">IFERROR((C2312-B2312)/C2312*100, "N/A")</f>
        <v>62.47493296</v>
      </c>
      <c r="J2312" s="1"/>
      <c r="K2312" s="1"/>
    </row>
    <row r="2313" ht="14.25" customHeight="1">
      <c r="A2313" s="1" t="s">
        <v>11224</v>
      </c>
      <c r="B2313" s="1">
        <v>1.6E7</v>
      </c>
      <c r="C2313" s="1">
        <v>4.5507053E7</v>
      </c>
      <c r="F2313" s="4">
        <v>2.9507053E7</v>
      </c>
      <c r="G2313" s="4">
        <f t="array" ref="G2313">IFERROR((C2313-B2313)/C2313*100, "N/A")</f>
        <v>64.84061493</v>
      </c>
      <c r="J2313" s="1"/>
      <c r="K2313" s="1"/>
    </row>
    <row r="2314" ht="14.25" customHeight="1">
      <c r="A2314" s="1" t="s">
        <v>11227</v>
      </c>
      <c r="B2314" s="1">
        <v>1.6E7</v>
      </c>
      <c r="C2314" s="1">
        <v>3.9511038E7</v>
      </c>
      <c r="F2314" s="4">
        <v>2.3511038E7</v>
      </c>
      <c r="G2314" s="4">
        <f t="array" ref="G2314">IFERROR((C2314-B2314)/C2314*100, "N/A")</f>
        <v>59.50498694</v>
      </c>
      <c r="J2314" s="1"/>
      <c r="K2314" s="1"/>
    </row>
    <row r="2315" ht="14.25" customHeight="1">
      <c r="A2315" s="1" t="s">
        <v>11231</v>
      </c>
      <c r="B2315" s="1">
        <v>1.85E7</v>
      </c>
      <c r="C2315" s="1">
        <v>6462576.0</v>
      </c>
      <c r="F2315" s="4">
        <v>-1.2037424E7</v>
      </c>
      <c r="G2315" s="4">
        <f t="array" ref="G2315">IFERROR((C2315-B2315)/C2315*100, "N/A")</f>
        <v>-186.2635581</v>
      </c>
      <c r="J2315" s="1"/>
      <c r="K2315" s="1"/>
    </row>
    <row r="2316" ht="14.25" customHeight="1">
      <c r="A2316" s="1" t="s">
        <v>11237</v>
      </c>
      <c r="B2316" s="1">
        <v>1.6E7</v>
      </c>
      <c r="C2316" s="1">
        <v>4.036353E7</v>
      </c>
      <c r="F2316" s="4">
        <v>2.436353E7</v>
      </c>
      <c r="G2316" s="4">
        <f t="array" ref="G2316">IFERROR((C2316-B2316)/C2316*100, "N/A")</f>
        <v>60.3602559</v>
      </c>
      <c r="J2316" s="1"/>
      <c r="K2316" s="1"/>
    </row>
    <row r="2317" ht="14.25" customHeight="1">
      <c r="A2317" s="1" t="s">
        <v>11240</v>
      </c>
      <c r="B2317" s="1">
        <v>1.35E7</v>
      </c>
      <c r="C2317" s="1">
        <v>3.7623143E7</v>
      </c>
      <c r="F2317" s="4">
        <v>2.4123143E7</v>
      </c>
      <c r="G2317" s="4">
        <f t="array" ref="G2317">IFERROR((C2317-B2317)/C2317*100, "N/A")</f>
        <v>64.11783035</v>
      </c>
      <c r="J2317" s="1"/>
      <c r="K2317" s="1"/>
    </row>
    <row r="2318" ht="14.25" customHeight="1">
      <c r="A2318" s="1" t="s">
        <v>11247</v>
      </c>
      <c r="B2318" s="1">
        <v>3.5E7</v>
      </c>
      <c r="C2318" s="1">
        <v>3.3357476E7</v>
      </c>
      <c r="F2318" s="4">
        <v>-1642524.0</v>
      </c>
      <c r="G2318" s="4">
        <f t="array" ref="G2318">IFERROR((C2318-B2318)/C2318*100, "N/A")</f>
        <v>-4.924005641</v>
      </c>
      <c r="J2318" s="1"/>
      <c r="K2318" s="1"/>
    </row>
    <row r="2319" ht="14.25" customHeight="1">
      <c r="A2319" s="1" t="s">
        <v>11251</v>
      </c>
      <c r="B2319" s="1">
        <v>1.6E7</v>
      </c>
      <c r="C2319" s="1">
        <v>2.8734552E7</v>
      </c>
      <c r="F2319" s="4">
        <v>1.2734552E7</v>
      </c>
      <c r="G2319" s="4">
        <f t="array" ref="G2319">IFERROR((C2319-B2319)/C2319*100, "N/A")</f>
        <v>44.31790689</v>
      </c>
      <c r="J2319" s="1"/>
      <c r="K2319" s="1"/>
    </row>
    <row r="2320" ht="14.25" customHeight="1">
      <c r="A2320" s="1" t="s">
        <v>11256</v>
      </c>
      <c r="B2320" s="1">
        <v>1.6E7</v>
      </c>
      <c r="C2320" s="1">
        <v>3.7300107E7</v>
      </c>
      <c r="F2320" s="4">
        <v>2.1300107E7</v>
      </c>
      <c r="G2320" s="4">
        <f t="array" ref="G2320">IFERROR((C2320-B2320)/C2320*100, "N/A")</f>
        <v>57.10468069</v>
      </c>
      <c r="J2320" s="1"/>
      <c r="K2320" s="1"/>
    </row>
    <row r="2321" ht="14.25" customHeight="1">
      <c r="A2321" s="1" t="s">
        <v>11259</v>
      </c>
      <c r="B2321" s="1">
        <v>1.77E7</v>
      </c>
      <c r="C2321" s="1">
        <v>2.7087695E7</v>
      </c>
      <c r="F2321" s="4">
        <v>9387695.0</v>
      </c>
      <c r="G2321" s="4">
        <f t="array" ref="G2321">IFERROR((C2321-B2321)/C2321*100, "N/A")</f>
        <v>34.65667714</v>
      </c>
      <c r="J2321" s="1"/>
      <c r="K2321" s="1"/>
    </row>
    <row r="2322" ht="14.25" customHeight="1">
      <c r="A2322" s="1" t="s">
        <v>11263</v>
      </c>
      <c r="B2322" s="1">
        <v>1.5E7</v>
      </c>
      <c r="C2322" s="1">
        <v>3.0102717E7</v>
      </c>
      <c r="F2322" s="4">
        <v>1.5102717E7</v>
      </c>
      <c r="G2322" s="4">
        <f t="array" ref="G2322">IFERROR((C2322-B2322)/C2322*100, "N/A")</f>
        <v>50.17061085</v>
      </c>
      <c r="J2322" s="1"/>
      <c r="K2322" s="1"/>
    </row>
    <row r="2323" ht="14.25" customHeight="1">
      <c r="A2323" s="1" t="s">
        <v>11269</v>
      </c>
      <c r="B2323" s="1">
        <v>8000000.0</v>
      </c>
      <c r="C2323" s="1">
        <v>2.3618786E7</v>
      </c>
      <c r="F2323" s="4">
        <v>1.5618786E7</v>
      </c>
      <c r="G2323" s="4">
        <f t="array" ref="G2323">IFERROR((C2323-B2323)/C2323*100, "N/A")</f>
        <v>66.12865708</v>
      </c>
      <c r="J2323" s="1"/>
      <c r="K2323" s="1"/>
    </row>
    <row r="2324" ht="14.25" customHeight="1">
      <c r="A2324" s="1" t="s">
        <v>11276</v>
      </c>
      <c r="B2324" s="1">
        <v>1.65E7</v>
      </c>
      <c r="C2324" s="1">
        <v>2.6896744E7</v>
      </c>
      <c r="F2324" s="4">
        <v>1.0396744E7</v>
      </c>
      <c r="G2324" s="4">
        <f t="array" ref="G2324">IFERROR((C2324-B2324)/C2324*100, "N/A")</f>
        <v>38.6542847</v>
      </c>
      <c r="J2324" s="1"/>
      <c r="K2324" s="1"/>
    </row>
    <row r="2325" ht="14.25" customHeight="1">
      <c r="A2325" s="1" t="s">
        <v>11279</v>
      </c>
      <c r="B2325" s="1">
        <v>1.55E7</v>
      </c>
      <c r="C2325" s="1">
        <v>2.3213577E7</v>
      </c>
      <c r="F2325" s="4">
        <v>7713577.0</v>
      </c>
      <c r="G2325" s="4">
        <f t="array" ref="G2325">IFERROR((C2325-B2325)/C2325*100, "N/A")</f>
        <v>33.22873076</v>
      </c>
      <c r="J2325" s="1"/>
      <c r="K2325" s="1"/>
    </row>
    <row r="2326" ht="14.25" customHeight="1">
      <c r="A2326" s="1" t="s">
        <v>11283</v>
      </c>
      <c r="B2326" s="1">
        <v>1.6E7</v>
      </c>
      <c r="C2326" s="1">
        <v>2.0627372E7</v>
      </c>
      <c r="F2326" s="4">
        <v>4627372.0</v>
      </c>
      <c r="G2326" s="4">
        <f t="array" ref="G2326">IFERROR((C2326-B2326)/C2326*100, "N/A")</f>
        <v>22.43316308</v>
      </c>
      <c r="J2326" s="1"/>
      <c r="K2326" s="1"/>
    </row>
    <row r="2327" ht="14.25" customHeight="1">
      <c r="A2327" s="1" t="s">
        <v>11288</v>
      </c>
      <c r="B2327" s="1">
        <v>1.6E7</v>
      </c>
      <c r="C2327" s="1">
        <v>1.6346122E7</v>
      </c>
      <c r="F2327" s="4">
        <v>346122.0</v>
      </c>
      <c r="G2327" s="4">
        <f t="array" ref="G2327">IFERROR((C2327-B2327)/C2327*100, "N/A")</f>
        <v>2.117456361</v>
      </c>
      <c r="J2327" s="1"/>
      <c r="K2327" s="1"/>
    </row>
    <row r="2328" ht="14.25" customHeight="1">
      <c r="A2328" s="1" t="s">
        <v>11292</v>
      </c>
      <c r="B2328" s="1">
        <v>1.6E7</v>
      </c>
      <c r="C2328" s="1">
        <v>1.6204793E7</v>
      </c>
      <c r="F2328" s="4">
        <v>204793.0</v>
      </c>
      <c r="G2328" s="4">
        <f t="array" ref="G2328">IFERROR((C2328-B2328)/C2328*100, "N/A")</f>
        <v>1.263780414</v>
      </c>
      <c r="J2328" s="1"/>
      <c r="K2328" s="1"/>
    </row>
    <row r="2329" ht="14.25" customHeight="1">
      <c r="A2329" s="1" t="s">
        <v>11296</v>
      </c>
      <c r="B2329" s="1">
        <v>1.6E7</v>
      </c>
      <c r="C2329" s="1">
        <v>1.5427192E7</v>
      </c>
      <c r="F2329" s="4">
        <v>-572808.0</v>
      </c>
      <c r="G2329" s="4">
        <f t="array" ref="G2329">IFERROR((C2329-B2329)/C2329*100, "N/A")</f>
        <v>-3.712976412</v>
      </c>
      <c r="J2329" s="1"/>
      <c r="K2329" s="1"/>
    </row>
    <row r="2330" ht="14.25" customHeight="1">
      <c r="A2330" s="1" t="s">
        <v>11301</v>
      </c>
      <c r="B2330" s="1">
        <v>1.6E7</v>
      </c>
      <c r="C2330" s="1">
        <v>1.4792779E7</v>
      </c>
      <c r="F2330" s="4">
        <v>-1207221.0</v>
      </c>
      <c r="G2330" s="4">
        <f t="array" ref="G2330">IFERROR((C2330-B2330)/C2330*100, "N/A")</f>
        <v>-8.160880386</v>
      </c>
      <c r="J2330" s="1"/>
      <c r="K2330" s="1"/>
    </row>
    <row r="2331" ht="14.25" customHeight="1">
      <c r="A2331" s="1" t="s">
        <v>10680</v>
      </c>
      <c r="B2331" s="1">
        <v>1.6E7</v>
      </c>
      <c r="C2331" s="1">
        <v>1.3998282E7</v>
      </c>
      <c r="F2331" s="4">
        <v>-2001718.0</v>
      </c>
      <c r="G2331" s="4">
        <f t="array" ref="G2331">IFERROR((C2331-B2331)/C2331*100, "N/A")</f>
        <v>-14.2997405</v>
      </c>
      <c r="J2331" s="1"/>
      <c r="K2331" s="1"/>
    </row>
    <row r="2332" ht="14.25" customHeight="1">
      <c r="A2332" s="1" t="s">
        <v>11306</v>
      </c>
      <c r="B2332" s="1">
        <v>1.6E7</v>
      </c>
      <c r="C2332" s="1">
        <v>1.9057024E7</v>
      </c>
      <c r="F2332" s="4">
        <v>3057024.0</v>
      </c>
      <c r="G2332" s="4">
        <f t="array" ref="G2332">IFERROR((C2332-B2332)/C2332*100, "N/A")</f>
        <v>16.04145537</v>
      </c>
      <c r="J2332" s="1"/>
      <c r="K2332" s="1"/>
    </row>
    <row r="2333" ht="14.25" customHeight="1">
      <c r="A2333" s="1" t="s">
        <v>11311</v>
      </c>
      <c r="B2333" s="1">
        <v>1.6E7</v>
      </c>
      <c r="C2333" s="1">
        <v>1.4108518E7</v>
      </c>
      <c r="F2333" s="4">
        <v>-1891482.0</v>
      </c>
      <c r="G2333" s="4">
        <f t="array" ref="G2333">IFERROR((C2333-B2333)/C2333*100, "N/A")</f>
        <v>-13.40666681</v>
      </c>
      <c r="J2333" s="1"/>
      <c r="K2333" s="1"/>
    </row>
    <row r="2334" ht="14.25" customHeight="1">
      <c r="A2334" s="1" t="s">
        <v>11316</v>
      </c>
      <c r="B2334" s="1">
        <v>2.0E7</v>
      </c>
      <c r="C2334" s="1">
        <v>1.3854E7</v>
      </c>
      <c r="F2334" s="4">
        <v>-6146000.0</v>
      </c>
      <c r="G2334" s="4">
        <f t="array" ref="G2334">IFERROR((C2334-B2334)/C2334*100, "N/A")</f>
        <v>-44.36263895</v>
      </c>
      <c r="J2334" s="1"/>
      <c r="K2334" s="1"/>
    </row>
    <row r="2335" ht="14.25" customHeight="1">
      <c r="A2335" s="1" t="s">
        <v>11319</v>
      </c>
      <c r="B2335" s="1">
        <v>2.6E7</v>
      </c>
      <c r="C2335" s="1">
        <v>7.7324422E7</v>
      </c>
      <c r="F2335" s="4">
        <v>5.1324422E7</v>
      </c>
      <c r="G2335" s="4">
        <f t="array" ref="G2335">IFERROR((C2335-B2335)/C2335*100, "N/A")</f>
        <v>66.37543569</v>
      </c>
      <c r="J2335" s="1"/>
      <c r="K2335" s="1"/>
    </row>
    <row r="2336" ht="14.25" customHeight="1">
      <c r="A2336" s="1" t="s">
        <v>11323</v>
      </c>
      <c r="B2336" s="1">
        <v>1.6E7</v>
      </c>
      <c r="C2336" s="1">
        <v>1.55E7</v>
      </c>
      <c r="F2336" s="4">
        <v>-500000.0</v>
      </c>
      <c r="G2336" s="4">
        <f t="array" ref="G2336">IFERROR((C2336-B2336)/C2336*100, "N/A")</f>
        <v>-3.225806452</v>
      </c>
      <c r="J2336" s="1"/>
      <c r="K2336" s="1"/>
    </row>
    <row r="2337" ht="14.25" customHeight="1">
      <c r="A2337" s="1" t="s">
        <v>11328</v>
      </c>
      <c r="B2337" s="1">
        <v>1.5E7</v>
      </c>
      <c r="C2337" s="1">
        <v>4734235.0</v>
      </c>
      <c r="F2337" s="4">
        <v>-1.0265765E7</v>
      </c>
      <c r="G2337" s="4">
        <f t="array" ref="G2337">IFERROR((C2337-B2337)/C2337*100, "N/A")</f>
        <v>-216.8410525</v>
      </c>
      <c r="J2337" s="1"/>
      <c r="K2337" s="1"/>
    </row>
    <row r="2338" ht="14.25" customHeight="1">
      <c r="A2338" s="1" t="s">
        <v>11331</v>
      </c>
      <c r="B2338" s="1">
        <v>1.6E7</v>
      </c>
      <c r="C2338" s="1">
        <v>4839383.0</v>
      </c>
      <c r="F2338" s="4">
        <v>-1.1160617E7</v>
      </c>
      <c r="G2338" s="4">
        <f t="array" ref="G2338">IFERROR((C2338-B2338)/C2338*100, "N/A")</f>
        <v>-230.6206597</v>
      </c>
      <c r="J2338" s="1"/>
      <c r="K2338" s="1"/>
    </row>
    <row r="2339" ht="14.25" customHeight="1">
      <c r="A2339" s="1" t="s">
        <v>11335</v>
      </c>
      <c r="B2339" s="1">
        <v>1.5E7</v>
      </c>
      <c r="C2339" s="1">
        <v>4193025.0</v>
      </c>
      <c r="F2339" s="4">
        <v>-1.0806975E7</v>
      </c>
      <c r="G2339" s="4">
        <f t="array" ref="G2339">IFERROR((C2339-B2339)/C2339*100, "N/A")</f>
        <v>-257.736956</v>
      </c>
      <c r="J2339" s="1"/>
      <c r="K2339" s="1"/>
    </row>
    <row r="2340" ht="14.25" customHeight="1">
      <c r="A2340" s="1" t="s">
        <v>11339</v>
      </c>
      <c r="B2340" s="1">
        <v>1.6E7</v>
      </c>
      <c r="C2340" s="1">
        <v>5900000.0</v>
      </c>
      <c r="F2340" s="4">
        <v>-1.01E7</v>
      </c>
      <c r="G2340" s="4">
        <f t="array" ref="G2340">IFERROR((C2340-B2340)/C2340*100, "N/A")</f>
        <v>-171.1864407</v>
      </c>
      <c r="J2340" s="1"/>
      <c r="K2340" s="1"/>
    </row>
    <row r="2341" ht="14.25" customHeight="1">
      <c r="A2341" s="1" t="s">
        <v>11344</v>
      </c>
      <c r="B2341" s="1">
        <v>1.6E7</v>
      </c>
      <c r="C2341" s="1">
        <v>2849142.0</v>
      </c>
      <c r="F2341" s="4">
        <v>-1.3150858E7</v>
      </c>
      <c r="G2341" s="4">
        <f t="array" ref="G2341">IFERROR((C2341-B2341)/C2341*100, "N/A")</f>
        <v>-461.5725717</v>
      </c>
      <c r="J2341" s="1"/>
      <c r="K2341" s="1"/>
    </row>
    <row r="2342" ht="14.25" customHeight="1">
      <c r="A2342" s="1" t="s">
        <v>11349</v>
      </c>
      <c r="B2342" s="1">
        <v>1.6E7</v>
      </c>
      <c r="C2342" s="1">
        <v>1686429.0</v>
      </c>
      <c r="F2342" s="4">
        <v>-1.4313571E7</v>
      </c>
      <c r="G2342" s="4">
        <f t="array" ref="G2342">IFERROR((C2342-B2342)/C2342*100, "N/A")</f>
        <v>-848.7502883</v>
      </c>
      <c r="J2342" s="1"/>
      <c r="K2342" s="1"/>
    </row>
    <row r="2343" ht="14.25" customHeight="1">
      <c r="A2343" s="1" t="s">
        <v>11353</v>
      </c>
      <c r="B2343" s="1">
        <v>1.6E7</v>
      </c>
      <c r="C2343" s="1">
        <v>1984743.0</v>
      </c>
      <c r="F2343" s="4">
        <v>-1.4015257E7</v>
      </c>
      <c r="G2343" s="4">
        <f t="array" ref="G2343">IFERROR((C2343-B2343)/C2343*100, "N/A")</f>
        <v>-706.1497131</v>
      </c>
      <c r="J2343" s="1"/>
      <c r="K2343" s="1"/>
    </row>
    <row r="2344" ht="14.25" customHeight="1">
      <c r="A2344" s="1" t="s">
        <v>11358</v>
      </c>
      <c r="B2344" s="1">
        <v>1.6E7</v>
      </c>
      <c r="C2344" s="1">
        <v>1666262.0</v>
      </c>
      <c r="F2344" s="4">
        <v>-1.4333738E7</v>
      </c>
      <c r="G2344" s="4">
        <f t="array" ref="G2344">IFERROR((C2344-B2344)/C2344*100, "N/A")</f>
        <v>-860.2331446</v>
      </c>
      <c r="J2344" s="1"/>
      <c r="K2344" s="1"/>
    </row>
    <row r="2345" ht="14.25" customHeight="1">
      <c r="A2345" s="1" t="s">
        <v>11362</v>
      </c>
      <c r="B2345" s="1">
        <v>2.0E7</v>
      </c>
      <c r="C2345" s="1">
        <v>2319187.0</v>
      </c>
      <c r="F2345" s="4">
        <v>-1.7680813E7</v>
      </c>
      <c r="G2345" s="4">
        <f t="array" ref="G2345">IFERROR((C2345-B2345)/C2345*100, "N/A")</f>
        <v>-762.3711671</v>
      </c>
      <c r="J2345" s="1"/>
      <c r="K2345" s="1"/>
    </row>
    <row r="2346" ht="14.25" customHeight="1">
      <c r="A2346" s="1" t="s">
        <v>11367</v>
      </c>
      <c r="B2346" s="1">
        <v>1.6E7</v>
      </c>
      <c r="C2346" s="1">
        <v>1.3922211E7</v>
      </c>
      <c r="F2346" s="4">
        <v>-2077789.0</v>
      </c>
      <c r="G2346" s="4">
        <f t="array" ref="G2346">IFERROR((C2346-B2346)/C2346*100, "N/A")</f>
        <v>-14.9242746</v>
      </c>
      <c r="J2346" s="1"/>
      <c r="K2346" s="1"/>
    </row>
    <row r="2347" ht="14.25" customHeight="1">
      <c r="A2347" s="1" t="s">
        <v>11371</v>
      </c>
      <c r="B2347" s="1">
        <v>1.5E7</v>
      </c>
      <c r="C2347" s="1">
        <v>23091.0</v>
      </c>
      <c r="F2347" s="4">
        <v>-1.4976909E7</v>
      </c>
      <c r="G2347" s="4">
        <f t="array" ref="G2347">IFERROR((C2347-B2347)/C2347*100, "N/A")</f>
        <v>-64860.37417</v>
      </c>
      <c r="J2347" s="1"/>
      <c r="K2347" s="1"/>
    </row>
    <row r="2348" ht="14.25" customHeight="1">
      <c r="A2348" s="1" t="s">
        <v>11376</v>
      </c>
      <c r="B2348" s="1">
        <v>1.3E7</v>
      </c>
      <c r="C2348" s="1">
        <v>336467.0</v>
      </c>
      <c r="F2348" s="4">
        <v>-1.2663533E7</v>
      </c>
      <c r="G2348" s="4">
        <f t="array" ref="G2348">IFERROR((C2348-B2348)/C2348*100, "N/A")</f>
        <v>-3763.677567</v>
      </c>
      <c r="J2348" s="1"/>
      <c r="K2348" s="1"/>
    </row>
    <row r="2349" ht="14.25" customHeight="1">
      <c r="A2349" s="1" t="s">
        <v>11381</v>
      </c>
      <c r="B2349" s="1">
        <v>1.6E7</v>
      </c>
      <c r="C2349" s="1">
        <v>2964.0</v>
      </c>
      <c r="F2349" s="4">
        <v>-1.5997036E7</v>
      </c>
      <c r="G2349" s="4">
        <f t="array" ref="G2349">IFERROR((C2349-B2349)/C2349*100, "N/A")</f>
        <v>-539711.0661</v>
      </c>
      <c r="J2349" s="1"/>
      <c r="K2349" s="1"/>
    </row>
    <row r="2350" ht="14.25" customHeight="1">
      <c r="A2350" s="1" t="s">
        <v>11387</v>
      </c>
      <c r="B2350" s="1">
        <v>1.6E7</v>
      </c>
      <c r="C2350" s="1">
        <v>2428883.0</v>
      </c>
      <c r="F2350" s="4">
        <v>-1.3571117E7</v>
      </c>
      <c r="G2350" s="4">
        <f t="array" ref="G2350">IFERROR((C2350-B2350)/C2350*100, "N/A")</f>
        <v>-558.7390171</v>
      </c>
      <c r="J2350" s="1"/>
      <c r="K2350" s="1"/>
    </row>
    <row r="2351" ht="14.25" customHeight="1">
      <c r="A2351" s="1" t="s">
        <v>11391</v>
      </c>
      <c r="B2351" s="1">
        <v>1.56E7</v>
      </c>
      <c r="C2351" s="1">
        <v>1.3571817E7</v>
      </c>
      <c r="F2351" s="4">
        <v>-2028183.0</v>
      </c>
      <c r="G2351" s="4">
        <f t="array" ref="G2351">IFERROR((C2351-B2351)/C2351*100, "N/A")</f>
        <v>-14.9440786</v>
      </c>
      <c r="J2351" s="1"/>
      <c r="K2351" s="1"/>
    </row>
    <row r="2352" ht="14.25" customHeight="1">
      <c r="A2352" s="1" t="s">
        <v>11395</v>
      </c>
      <c r="B2352" s="1">
        <v>1.55E7</v>
      </c>
      <c r="C2352" s="1">
        <v>1181197.0</v>
      </c>
      <c r="F2352" s="4">
        <v>-1.4318803E7</v>
      </c>
      <c r="G2352" s="4">
        <f t="array" ref="G2352">IFERROR((C2352-B2352)/C2352*100, "N/A")</f>
        <v>-1212.228189</v>
      </c>
      <c r="J2352" s="1"/>
      <c r="K2352" s="1"/>
    </row>
    <row r="2353" ht="14.25" customHeight="1">
      <c r="A2353" s="1" t="s">
        <v>11399</v>
      </c>
      <c r="B2353" s="1">
        <v>1.53E7</v>
      </c>
      <c r="C2353" s="1">
        <v>81525.0</v>
      </c>
      <c r="F2353" s="4">
        <v>-1.5218475E7</v>
      </c>
      <c r="G2353" s="4">
        <f t="array" ref="G2353">IFERROR((C2353-B2353)/C2353*100, "N/A")</f>
        <v>-18667.24931</v>
      </c>
      <c r="J2353" s="1"/>
      <c r="K2353" s="1"/>
    </row>
    <row r="2354" ht="14.25" customHeight="1">
      <c r="A2354" s="1" t="s">
        <v>11405</v>
      </c>
      <c r="B2354" s="1">
        <v>1.55E7</v>
      </c>
      <c r="C2354" s="1">
        <v>7774730.0</v>
      </c>
      <c r="F2354" s="4">
        <v>-7725270.0</v>
      </c>
      <c r="G2354" s="4">
        <f t="array" ref="G2354">IFERROR((C2354-B2354)/C2354*100, "N/A")</f>
        <v>-99.36383643</v>
      </c>
      <c r="J2354" s="1"/>
      <c r="K2354" s="1"/>
    </row>
    <row r="2355" ht="14.25" customHeight="1">
      <c r="A2355" s="1" t="s">
        <v>11410</v>
      </c>
      <c r="B2355" s="1">
        <v>1.4E7</v>
      </c>
      <c r="C2355" s="1">
        <v>2.347605E8</v>
      </c>
      <c r="F2355" s="4">
        <v>2.207605E8</v>
      </c>
      <c r="G2355" s="4">
        <f t="array" ref="G2355">IFERROR((C2355-B2355)/C2355*100, "N/A")</f>
        <v>94.03647547</v>
      </c>
      <c r="J2355" s="1"/>
      <c r="K2355" s="1"/>
    </row>
    <row r="2356" ht="14.25" customHeight="1">
      <c r="A2356" s="1" t="s">
        <v>11413</v>
      </c>
      <c r="B2356" s="1">
        <v>1.8E7</v>
      </c>
      <c r="C2356" s="1">
        <v>2.85761243E8</v>
      </c>
      <c r="F2356" s="4">
        <v>2.67761243E8</v>
      </c>
      <c r="G2356" s="4">
        <f t="array" ref="G2356">IFERROR((C2356-B2356)/C2356*100, "N/A")</f>
        <v>93.70103524</v>
      </c>
      <c r="J2356" s="1"/>
      <c r="K2356" s="1"/>
    </row>
    <row r="2357" ht="14.25" customHeight="1">
      <c r="A2357" s="1" t="s">
        <v>11416</v>
      </c>
      <c r="B2357" s="1">
        <v>1.1E7</v>
      </c>
      <c r="C2357" s="1">
        <v>1.6778096E8</v>
      </c>
      <c r="F2357" s="4">
        <v>1.5678096E8</v>
      </c>
      <c r="G2357" s="4">
        <f t="array" ref="G2357">IFERROR((C2357-B2357)/C2357*100, "N/A")</f>
        <v>93.44383296</v>
      </c>
      <c r="J2357" s="1"/>
      <c r="K2357" s="1"/>
    </row>
    <row r="2358" ht="14.25" customHeight="1">
      <c r="A2358" s="1" t="s">
        <v>11419</v>
      </c>
      <c r="B2358" s="1">
        <v>2.2E7</v>
      </c>
      <c r="C2358" s="1">
        <v>1.772E8</v>
      </c>
      <c r="F2358" s="4">
        <v>1.552E8</v>
      </c>
      <c r="G2358" s="4">
        <f t="array" ref="G2358">IFERROR((C2358-B2358)/C2358*100, "N/A")</f>
        <v>87.58465011</v>
      </c>
      <c r="J2358" s="1"/>
      <c r="K2358" s="1"/>
    </row>
    <row r="2359" ht="14.25" customHeight="1">
      <c r="A2359" s="1" t="s">
        <v>11422</v>
      </c>
      <c r="B2359" s="1">
        <v>1.5E7</v>
      </c>
      <c r="C2359" s="1">
        <v>1.76781728E8</v>
      </c>
      <c r="F2359" s="4">
        <v>1.61781728E8</v>
      </c>
      <c r="G2359" s="4">
        <f t="array" ref="G2359">IFERROR((C2359-B2359)/C2359*100, "N/A")</f>
        <v>91.51496019</v>
      </c>
      <c r="J2359" s="1"/>
      <c r="K2359" s="1"/>
    </row>
    <row r="2360" ht="14.25" customHeight="1">
      <c r="A2360" s="1" t="s">
        <v>11426</v>
      </c>
      <c r="B2360" s="1">
        <v>1.5E7</v>
      </c>
      <c r="C2360" s="1">
        <v>1.28067808E8</v>
      </c>
      <c r="F2360" s="4">
        <v>1.13067808E8</v>
      </c>
      <c r="G2360" s="4">
        <f t="array" ref="G2360">IFERROR((C2360-B2360)/C2360*100, "N/A")</f>
        <v>88.28745472</v>
      </c>
      <c r="J2360" s="1"/>
      <c r="K2360" s="1"/>
    </row>
    <row r="2361" ht="14.25" customHeight="1">
      <c r="A2361" s="1" t="s">
        <v>11433</v>
      </c>
      <c r="B2361" s="1">
        <v>1.5E7</v>
      </c>
      <c r="C2361" s="1">
        <v>1.30058047E8</v>
      </c>
      <c r="F2361" s="4">
        <v>1.15058047E8</v>
      </c>
      <c r="G2361" s="4">
        <f t="array" ref="G2361">IFERROR((C2361-B2361)/C2361*100, "N/A")</f>
        <v>88.46668826</v>
      </c>
      <c r="J2361" s="1"/>
      <c r="K2361" s="1"/>
    </row>
    <row r="2362" ht="14.25" customHeight="1">
      <c r="A2362" s="1" t="s">
        <v>11437</v>
      </c>
      <c r="B2362" s="1">
        <v>1.5E7</v>
      </c>
      <c r="C2362" s="1">
        <v>1.38795342E8</v>
      </c>
      <c r="F2362" s="4">
        <v>1.23795342E8</v>
      </c>
      <c r="G2362" s="4">
        <f t="array" ref="G2362">IFERROR((C2362-B2362)/C2362*100, "N/A")</f>
        <v>89.19272089</v>
      </c>
      <c r="J2362" s="1"/>
      <c r="K2362" s="1"/>
    </row>
    <row r="2363" ht="14.25" customHeight="1">
      <c r="A2363" s="1" t="s">
        <v>11440</v>
      </c>
      <c r="B2363" s="1">
        <v>1.5E7</v>
      </c>
      <c r="C2363" s="1">
        <v>1.119364E8</v>
      </c>
      <c r="F2363" s="4">
        <v>9.69364E7</v>
      </c>
      <c r="G2363" s="4">
        <f t="array" ref="G2363">IFERROR((C2363-B2363)/C2363*100, "N/A")</f>
        <v>86.59953331</v>
      </c>
      <c r="J2363" s="1"/>
      <c r="K2363" s="1"/>
    </row>
    <row r="2364" ht="14.25" customHeight="1">
      <c r="A2364" s="1" t="s">
        <v>11445</v>
      </c>
      <c r="B2364" s="1">
        <v>1.55E7</v>
      </c>
      <c r="C2364" s="1">
        <v>317040.0</v>
      </c>
      <c r="F2364" s="4">
        <v>-1.518296E7</v>
      </c>
      <c r="G2364" s="4">
        <f t="array" ref="G2364">IFERROR((C2364-B2364)/C2364*100, "N/A")</f>
        <v>-4788.973</v>
      </c>
      <c r="J2364" s="1"/>
      <c r="K2364" s="1"/>
    </row>
    <row r="2365" ht="14.25" customHeight="1">
      <c r="A2365" s="1" t="s">
        <v>11448</v>
      </c>
      <c r="B2365" s="1">
        <v>1.5E7</v>
      </c>
      <c r="C2365" s="1">
        <v>9.4175854E7</v>
      </c>
      <c r="F2365" s="4">
        <v>7.9175854E7</v>
      </c>
      <c r="G2365" s="4">
        <f t="array" ref="G2365">IFERROR((C2365-B2365)/C2365*100, "N/A")</f>
        <v>84.07235043</v>
      </c>
      <c r="J2365" s="1"/>
      <c r="K2365" s="1"/>
    </row>
    <row r="2366" ht="14.25" customHeight="1">
      <c r="A2366" s="1" t="s">
        <v>11453</v>
      </c>
      <c r="B2366" s="1">
        <v>1.4E7</v>
      </c>
      <c r="C2366" s="1">
        <v>9.1121452E7</v>
      </c>
      <c r="F2366" s="4">
        <v>7.7121452E7</v>
      </c>
      <c r="G2366" s="4">
        <f t="array" ref="G2366">IFERROR((C2366-B2366)/C2366*100, "N/A")</f>
        <v>84.63589013</v>
      </c>
      <c r="J2366" s="1"/>
      <c r="K2366" s="1"/>
    </row>
    <row r="2367" ht="14.25" customHeight="1">
      <c r="A2367" s="1" t="s">
        <v>11457</v>
      </c>
      <c r="B2367" s="1">
        <v>1.0E7</v>
      </c>
      <c r="C2367" s="1">
        <v>6.98E7</v>
      </c>
      <c r="F2367" s="4">
        <v>5.98E7</v>
      </c>
      <c r="G2367" s="4">
        <f t="array" ref="G2367">IFERROR((C2367-B2367)/C2367*100, "N/A")</f>
        <v>85.67335244</v>
      </c>
      <c r="J2367" s="1"/>
      <c r="K2367" s="1"/>
    </row>
    <row r="2368" ht="14.25" customHeight="1">
      <c r="A2368" s="1" t="s">
        <v>11460</v>
      </c>
      <c r="B2368" s="1">
        <v>1.5E7</v>
      </c>
      <c r="C2368" s="1">
        <v>6.4001297E7</v>
      </c>
      <c r="F2368" s="4">
        <v>4.9001297E7</v>
      </c>
      <c r="G2368" s="4">
        <f t="array" ref="G2368">IFERROR((C2368-B2368)/C2368*100, "N/A")</f>
        <v>76.56297497</v>
      </c>
      <c r="J2368" s="1"/>
      <c r="K2368" s="1"/>
    </row>
    <row r="2369" ht="14.25" customHeight="1">
      <c r="A2369" s="1" t="s">
        <v>11464</v>
      </c>
      <c r="B2369" s="1">
        <v>2.0E7</v>
      </c>
      <c r="C2369" s="1">
        <v>7.158822E7</v>
      </c>
      <c r="F2369" s="4">
        <v>5.158822E7</v>
      </c>
      <c r="G2369" s="4">
        <f t="array" ref="G2369">IFERROR((C2369-B2369)/C2369*100, "N/A")</f>
        <v>72.06244268</v>
      </c>
      <c r="J2369" s="1"/>
      <c r="K2369" s="1"/>
    </row>
    <row r="2370" ht="14.25" customHeight="1">
      <c r="A2370" s="1" t="s">
        <v>11025</v>
      </c>
      <c r="B2370" s="1">
        <v>300000.0</v>
      </c>
      <c r="C2370" s="1">
        <v>4.7E7</v>
      </c>
      <c r="F2370" s="4">
        <v>4.67E7</v>
      </c>
      <c r="G2370" s="4">
        <f t="array" ref="G2370">IFERROR((C2370-B2370)/C2370*100, "N/A")</f>
        <v>99.36170213</v>
      </c>
      <c r="J2370" s="1"/>
      <c r="K2370" s="1"/>
    </row>
    <row r="2371" ht="14.25" customHeight="1">
      <c r="A2371" s="1" t="s">
        <v>11469</v>
      </c>
      <c r="B2371" s="1">
        <v>1.5E7</v>
      </c>
      <c r="C2371" s="1">
        <v>6.14E7</v>
      </c>
      <c r="F2371" s="4">
        <v>4.64E7</v>
      </c>
      <c r="G2371" s="4">
        <f t="array" ref="G2371">IFERROR((C2371-B2371)/C2371*100, "N/A")</f>
        <v>75.57003257</v>
      </c>
      <c r="J2371" s="1"/>
      <c r="K2371" s="1"/>
    </row>
    <row r="2372" ht="14.25" customHeight="1">
      <c r="A2372" s="1" t="s">
        <v>11472</v>
      </c>
      <c r="B2372" s="1">
        <v>1.5E7</v>
      </c>
      <c r="C2372" s="1">
        <v>1.0197884E8</v>
      </c>
      <c r="F2372" s="4">
        <v>8.697884E7</v>
      </c>
      <c r="G2372" s="4">
        <f t="array" ref="G2372">IFERROR((C2372-B2372)/C2372*100, "N/A")</f>
        <v>85.29106626</v>
      </c>
      <c r="J2372" s="1"/>
      <c r="K2372" s="1"/>
    </row>
    <row r="2373" ht="14.25" customHeight="1">
      <c r="A2373" s="1" t="s">
        <v>11478</v>
      </c>
      <c r="B2373" s="1">
        <v>9800000.0</v>
      </c>
      <c r="C2373" s="1">
        <v>5.6437947E7</v>
      </c>
      <c r="F2373" s="4">
        <v>4.6637947E7</v>
      </c>
      <c r="G2373" s="4">
        <f t="array" ref="G2373">IFERROR((C2373-B2373)/C2373*100, "N/A")</f>
        <v>82.63579644</v>
      </c>
      <c r="J2373" s="1"/>
      <c r="K2373" s="1"/>
    </row>
    <row r="2374" ht="14.25" customHeight="1">
      <c r="A2374" s="1" t="s">
        <v>11482</v>
      </c>
      <c r="B2374" s="1">
        <v>1.5E7</v>
      </c>
      <c r="C2374" s="1">
        <v>7.3326666E7</v>
      </c>
      <c r="F2374" s="4">
        <v>5.8326666E7</v>
      </c>
      <c r="G2374" s="4">
        <f t="array" ref="G2374">IFERROR((C2374-B2374)/C2374*100, "N/A")</f>
        <v>79.54359469</v>
      </c>
      <c r="J2374" s="1"/>
      <c r="K2374" s="1"/>
    </row>
    <row r="2375" ht="14.25" customHeight="1">
      <c r="A2375" s="1" t="s">
        <v>11486</v>
      </c>
      <c r="B2375" s="1">
        <v>1.5E7</v>
      </c>
      <c r="C2375" s="1">
        <v>5.5184721E7</v>
      </c>
      <c r="F2375" s="4">
        <v>4.0184721E7</v>
      </c>
      <c r="G2375" s="4">
        <f t="array" ref="G2375">IFERROR((C2375-B2375)/C2375*100, "N/A")</f>
        <v>72.81856331</v>
      </c>
      <c r="J2375" s="1"/>
      <c r="K2375" s="1"/>
    </row>
    <row r="2376" ht="14.25" customHeight="1">
      <c r="A2376" s="1" t="s">
        <v>11491</v>
      </c>
      <c r="B2376" s="1">
        <v>1.5E7</v>
      </c>
      <c r="C2376" s="1">
        <v>5.00033E7</v>
      </c>
      <c r="F2376" s="4">
        <v>3.50033E7</v>
      </c>
      <c r="G2376" s="4">
        <f t="array" ref="G2376">IFERROR((C2376-B2376)/C2376*100, "N/A")</f>
        <v>70.00197987</v>
      </c>
      <c r="J2376" s="1"/>
      <c r="K2376" s="1"/>
    </row>
    <row r="2377" ht="14.25" customHeight="1">
      <c r="A2377" s="1" t="s">
        <v>11496</v>
      </c>
      <c r="B2377" s="1">
        <v>1.7E7</v>
      </c>
      <c r="C2377" s="1">
        <v>5.4322273E7</v>
      </c>
      <c r="F2377" s="4">
        <v>3.7322273E7</v>
      </c>
      <c r="G2377" s="4">
        <f t="array" ref="G2377">IFERROR((C2377-B2377)/C2377*100, "N/A")</f>
        <v>68.70528595</v>
      </c>
      <c r="J2377" s="1"/>
      <c r="K2377" s="1"/>
    </row>
    <row r="2378" ht="14.25" customHeight="1">
      <c r="A2378" s="1" t="s">
        <v>11500</v>
      </c>
      <c r="B2378" s="1">
        <v>1.5E7</v>
      </c>
      <c r="C2378" s="1">
        <v>4.7860214E7</v>
      </c>
      <c r="F2378" s="4">
        <v>3.2860214E7</v>
      </c>
      <c r="G2378" s="4">
        <f t="array" ref="G2378">IFERROR((C2378-B2378)/C2378*100, "N/A")</f>
        <v>68.65872769</v>
      </c>
      <c r="J2378" s="1"/>
      <c r="K2378" s="1"/>
    </row>
    <row r="2379" ht="14.25" customHeight="1">
      <c r="A2379" s="1" t="s">
        <v>11504</v>
      </c>
      <c r="B2379" s="1">
        <v>1.5E7</v>
      </c>
      <c r="C2379" s="1">
        <v>4.7811275E7</v>
      </c>
      <c r="F2379" s="4">
        <v>3.2811275E7</v>
      </c>
      <c r="G2379" s="4">
        <f t="array" ref="G2379">IFERROR((C2379-B2379)/C2379*100, "N/A")</f>
        <v>68.62664717</v>
      </c>
      <c r="J2379" s="1"/>
      <c r="K2379" s="1"/>
    </row>
    <row r="2380" ht="14.25" customHeight="1">
      <c r="A2380" s="1" t="s">
        <v>11508</v>
      </c>
      <c r="B2380" s="1">
        <v>1.5E7</v>
      </c>
      <c r="C2380" s="1">
        <v>4.3022524E7</v>
      </c>
      <c r="F2380" s="4">
        <v>2.8022524E7</v>
      </c>
      <c r="G2380" s="4">
        <f t="array" ref="G2380">IFERROR((C2380-B2380)/C2380*100, "N/A")</f>
        <v>65.13454208</v>
      </c>
      <c r="J2380" s="1"/>
      <c r="K2380" s="1"/>
    </row>
    <row r="2381" ht="14.25" customHeight="1">
      <c r="A2381" s="1" t="s">
        <v>11512</v>
      </c>
      <c r="B2381" s="1">
        <v>1.7E7</v>
      </c>
      <c r="C2381" s="1">
        <v>4.267263E7</v>
      </c>
      <c r="F2381" s="4">
        <v>2.567263E7</v>
      </c>
      <c r="G2381" s="4">
        <f t="array" ref="G2381">IFERROR((C2381-B2381)/C2381*100, "N/A")</f>
        <v>60.16181801</v>
      </c>
      <c r="J2381" s="1"/>
      <c r="K2381" s="1"/>
    </row>
    <row r="2382" ht="14.25" customHeight="1">
      <c r="A2382" s="1" t="s">
        <v>11519</v>
      </c>
      <c r="B2382" s="1">
        <v>1.5E7</v>
      </c>
      <c r="C2382" s="1">
        <v>4.2919096E7</v>
      </c>
      <c r="F2382" s="4">
        <v>2.7919096E7</v>
      </c>
      <c r="G2382" s="4">
        <f t="array" ref="G2382">IFERROR((C2382-B2382)/C2382*100, "N/A")</f>
        <v>65.05052203</v>
      </c>
      <c r="J2382" s="1"/>
      <c r="K2382" s="1"/>
    </row>
    <row r="2383" ht="14.25" customHeight="1">
      <c r="A2383" s="1" t="s">
        <v>11523</v>
      </c>
      <c r="B2383" s="1">
        <v>1.5E7</v>
      </c>
      <c r="C2383" s="1">
        <v>4.259253E7</v>
      </c>
      <c r="F2383" s="4">
        <v>2.759253E7</v>
      </c>
      <c r="G2383" s="4">
        <f t="array" ref="G2383">IFERROR((C2383-B2383)/C2383*100, "N/A")</f>
        <v>64.78255694</v>
      </c>
      <c r="J2383" s="1"/>
      <c r="K2383" s="1"/>
    </row>
    <row r="2384" ht="14.25" customHeight="1">
      <c r="A2384" s="1" t="s">
        <v>11527</v>
      </c>
      <c r="B2384" s="1">
        <v>1.5E7</v>
      </c>
      <c r="C2384" s="1">
        <v>4.0064955E7</v>
      </c>
      <c r="F2384" s="4">
        <v>2.5064955E7</v>
      </c>
      <c r="G2384" s="4">
        <f t="array" ref="G2384">IFERROR((C2384-B2384)/C2384*100, "N/A")</f>
        <v>62.56079659</v>
      </c>
      <c r="J2384" s="1"/>
      <c r="K2384" s="1"/>
    </row>
    <row r="2385" ht="14.25" customHeight="1">
      <c r="A2385" s="1" t="s">
        <v>11530</v>
      </c>
      <c r="B2385" s="1">
        <v>1.0E7</v>
      </c>
      <c r="C2385" s="1">
        <v>4.4886089E7</v>
      </c>
      <c r="F2385" s="4">
        <v>3.4886089E7</v>
      </c>
      <c r="G2385" s="4">
        <f t="array" ref="G2385">IFERROR((C2385-B2385)/C2385*100, "N/A")</f>
        <v>77.72138268</v>
      </c>
      <c r="J2385" s="1"/>
      <c r="K2385" s="1"/>
    </row>
    <row r="2386" ht="14.25" customHeight="1">
      <c r="A2386" s="1" t="s">
        <v>11534</v>
      </c>
      <c r="B2386" s="1">
        <v>1.6E7</v>
      </c>
      <c r="C2386" s="1">
        <v>3.7882551E7</v>
      </c>
      <c r="F2386" s="4">
        <v>2.1882551E7</v>
      </c>
      <c r="G2386" s="4">
        <f t="array" ref="G2386">IFERROR((C2386-B2386)/C2386*100, "N/A")</f>
        <v>57.76419598</v>
      </c>
      <c r="J2386" s="1"/>
      <c r="K2386" s="1"/>
    </row>
    <row r="2387" ht="14.25" customHeight="1">
      <c r="A2387" s="1" t="s">
        <v>11538</v>
      </c>
      <c r="B2387" s="1">
        <v>7000000.0</v>
      </c>
      <c r="C2387" s="1">
        <v>4.0983001E7</v>
      </c>
      <c r="F2387" s="4">
        <v>3.3983001E7</v>
      </c>
      <c r="G2387" s="4">
        <f t="array" ref="G2387">IFERROR((C2387-B2387)/C2387*100, "N/A")</f>
        <v>82.91974763</v>
      </c>
      <c r="J2387" s="1"/>
      <c r="K2387" s="1"/>
    </row>
    <row r="2388" ht="14.25" customHeight="1">
      <c r="A2388" s="1" t="s">
        <v>6754</v>
      </c>
      <c r="B2388" s="1">
        <v>3.7E7</v>
      </c>
      <c r="C2388" s="1">
        <v>2.0991497E7</v>
      </c>
      <c r="F2388" s="4">
        <v>-1.6008503E7</v>
      </c>
      <c r="G2388" s="4">
        <f t="array" ref="G2388">IFERROR((C2388-B2388)/C2388*100, "N/A")</f>
        <v>-76.26184545</v>
      </c>
      <c r="J2388" s="1"/>
      <c r="K2388" s="1"/>
    </row>
    <row r="2389" ht="14.25" customHeight="1">
      <c r="A2389" s="1" t="s">
        <v>11541</v>
      </c>
      <c r="B2389" s="1">
        <v>1.5E7</v>
      </c>
      <c r="C2389" s="1">
        <v>3.500718E7</v>
      </c>
      <c r="F2389" s="4">
        <v>2.000718E7</v>
      </c>
      <c r="G2389" s="4">
        <f t="array" ref="G2389">IFERROR((C2389-B2389)/C2389*100, "N/A")</f>
        <v>57.15164718</v>
      </c>
      <c r="J2389" s="1"/>
      <c r="K2389" s="1"/>
    </row>
    <row r="2390" ht="14.25" customHeight="1">
      <c r="A2390" s="1" t="s">
        <v>11546</v>
      </c>
      <c r="B2390" s="1">
        <v>1.5E7</v>
      </c>
      <c r="C2390" s="1">
        <v>3.5887263E7</v>
      </c>
      <c r="F2390" s="4">
        <v>2.0887263E7</v>
      </c>
      <c r="G2390" s="4">
        <f t="array" ref="G2390">IFERROR((C2390-B2390)/C2390*100, "N/A")</f>
        <v>58.20244079</v>
      </c>
      <c r="J2390" s="1"/>
      <c r="K2390" s="1"/>
    </row>
    <row r="2391" ht="14.25" customHeight="1">
      <c r="A2391" s="1" t="s">
        <v>11549</v>
      </c>
      <c r="B2391" s="1">
        <v>1.6E7</v>
      </c>
      <c r="C2391" s="1">
        <v>3.4308901E7</v>
      </c>
      <c r="F2391" s="4">
        <v>1.8308901E7</v>
      </c>
      <c r="G2391" s="4">
        <f t="array" ref="G2391">IFERROR((C2391-B2391)/C2391*100, "N/A")</f>
        <v>53.3648717</v>
      </c>
      <c r="J2391" s="1"/>
      <c r="K2391" s="1"/>
    </row>
    <row r="2392" ht="14.25" customHeight="1">
      <c r="A2392" s="1" t="s">
        <v>11553</v>
      </c>
      <c r="B2392" s="1">
        <v>1.5E7</v>
      </c>
      <c r="C2392" s="1">
        <v>3.3771174E7</v>
      </c>
      <c r="F2392" s="4">
        <v>1.8771174E7</v>
      </c>
      <c r="G2392" s="4">
        <f t="array" ref="G2392">IFERROR((C2392-B2392)/C2392*100, "N/A")</f>
        <v>55.58342153</v>
      </c>
      <c r="J2392" s="1"/>
      <c r="K2392" s="1"/>
    </row>
    <row r="2393" ht="14.25" customHeight="1">
      <c r="A2393" s="1" t="s">
        <v>11556</v>
      </c>
      <c r="B2393" s="1">
        <v>1.5E7</v>
      </c>
      <c r="C2393" s="1">
        <v>6000000.0</v>
      </c>
      <c r="F2393" s="4">
        <v>-9000000.0</v>
      </c>
      <c r="G2393" s="4">
        <f t="array" ref="G2393">IFERROR((C2393-B2393)/C2393*100, "N/A")</f>
        <v>-150</v>
      </c>
      <c r="J2393" s="1"/>
      <c r="K2393" s="1"/>
    </row>
    <row r="2394" ht="14.25" customHeight="1">
      <c r="A2394" s="1" t="s">
        <v>11562</v>
      </c>
      <c r="B2394" s="1">
        <v>1.5E7</v>
      </c>
      <c r="C2394" s="1">
        <v>3.3386128E7</v>
      </c>
      <c r="F2394" s="4">
        <v>1.8386128E7</v>
      </c>
      <c r="G2394" s="4">
        <f t="array" ref="G2394">IFERROR((C2394-B2394)/C2394*100, "N/A")</f>
        <v>55.07116009</v>
      </c>
      <c r="J2394" s="1"/>
      <c r="K2394" s="1"/>
    </row>
    <row r="2395" ht="14.25" customHeight="1">
      <c r="A2395" s="1" t="s">
        <v>11565</v>
      </c>
      <c r="B2395" s="1">
        <v>1.5E7</v>
      </c>
      <c r="C2395" s="1">
        <v>3.7877959E7</v>
      </c>
      <c r="F2395" s="4">
        <v>2.2877959E7</v>
      </c>
      <c r="G2395" s="4">
        <f t="array" ref="G2395">IFERROR((C2395-B2395)/C2395*100, "N/A")</f>
        <v>60.39913344</v>
      </c>
      <c r="J2395" s="1"/>
      <c r="K2395" s="1"/>
    </row>
    <row r="2396" ht="14.25" customHeight="1">
      <c r="A2396" s="1" t="s">
        <v>11569</v>
      </c>
      <c r="B2396" s="1">
        <v>1.5E7</v>
      </c>
      <c r="C2396" s="1">
        <v>3.2721635E7</v>
      </c>
      <c r="F2396" s="4">
        <v>1.7721635E7</v>
      </c>
      <c r="G2396" s="4">
        <f t="array" ref="G2396">IFERROR((C2396-B2396)/C2396*100, "N/A")</f>
        <v>54.15876988</v>
      </c>
      <c r="J2396" s="1"/>
      <c r="K2396" s="1"/>
    </row>
    <row r="2397" ht="14.25" customHeight="1">
      <c r="A2397" s="1" t="s">
        <v>11573</v>
      </c>
      <c r="B2397" s="1">
        <v>1.5E7</v>
      </c>
      <c r="C2397" s="1">
        <v>3.15853E7</v>
      </c>
      <c r="F2397" s="4">
        <v>1.65853E7</v>
      </c>
      <c r="G2397" s="4">
        <f t="array" ref="G2397">IFERROR((C2397-B2397)/C2397*100, "N/A")</f>
        <v>52.50955349</v>
      </c>
      <c r="J2397" s="1"/>
      <c r="K2397" s="1"/>
    </row>
    <row r="2398" ht="14.25" customHeight="1">
      <c r="A2398" s="1" t="s">
        <v>11577</v>
      </c>
      <c r="B2398" s="1">
        <v>1.5E7</v>
      </c>
      <c r="C2398" s="1">
        <v>3.0259652E7</v>
      </c>
      <c r="F2398" s="4">
        <v>1.5259652E7</v>
      </c>
      <c r="G2398" s="4">
        <f t="array" ref="G2398">IFERROR((C2398-B2398)/C2398*100, "N/A")</f>
        <v>50.42903996</v>
      </c>
      <c r="J2398" s="1"/>
      <c r="K2398" s="1"/>
    </row>
    <row r="2399" ht="14.25" customHeight="1">
      <c r="A2399" s="1" t="s">
        <v>1244</v>
      </c>
      <c r="B2399" s="1">
        <v>1.25E8</v>
      </c>
      <c r="C2399" s="1">
        <v>1.63192114E8</v>
      </c>
      <c r="F2399" s="4">
        <v>3.8192114E7</v>
      </c>
      <c r="G2399" s="4">
        <f t="array" ref="G2399">IFERROR((C2399-B2399)/C2399*100, "N/A")</f>
        <v>23.4031615</v>
      </c>
      <c r="J2399" s="1"/>
      <c r="K2399" s="1"/>
    </row>
    <row r="2400" ht="14.25" customHeight="1">
      <c r="A2400" s="1" t="s">
        <v>11581</v>
      </c>
      <c r="B2400" s="1">
        <v>1.6E7</v>
      </c>
      <c r="C2400" s="1">
        <v>3.0857814E7</v>
      </c>
      <c r="F2400" s="4">
        <v>1.4857814E7</v>
      </c>
      <c r="G2400" s="4">
        <f t="array" ref="G2400">IFERROR((C2400-B2400)/C2400*100, "N/A")</f>
        <v>48.1492759</v>
      </c>
      <c r="J2400" s="1"/>
      <c r="K2400" s="1"/>
    </row>
    <row r="2401" ht="14.25" customHeight="1">
      <c r="A2401" s="1" t="s">
        <v>11585</v>
      </c>
      <c r="B2401" s="1">
        <v>1.5E7</v>
      </c>
      <c r="C2401" s="1">
        <v>3.0226144E7</v>
      </c>
      <c r="F2401" s="4">
        <v>1.5226144E7</v>
      </c>
      <c r="G2401" s="4">
        <f t="array" ref="G2401">IFERROR((C2401-B2401)/C2401*100, "N/A")</f>
        <v>50.37408675</v>
      </c>
      <c r="J2401" s="1"/>
      <c r="K2401" s="1"/>
    </row>
    <row r="2402" ht="14.25" customHeight="1">
      <c r="A2402" s="1" t="s">
        <v>11589</v>
      </c>
      <c r="B2402" s="1">
        <v>1.5E7</v>
      </c>
      <c r="C2402" s="1">
        <v>3.5054909E7</v>
      </c>
      <c r="F2402" s="4">
        <v>2.0054909E7</v>
      </c>
      <c r="G2402" s="4">
        <f t="array" ref="G2402">IFERROR((C2402-B2402)/C2402*100, "N/A")</f>
        <v>57.20998734</v>
      </c>
      <c r="J2402" s="1"/>
      <c r="K2402" s="1"/>
    </row>
    <row r="2403" ht="14.25" customHeight="1">
      <c r="A2403" s="1" t="s">
        <v>11594</v>
      </c>
      <c r="B2403" s="1">
        <v>1.5E7</v>
      </c>
      <c r="C2403" s="1">
        <v>2.9302097E7</v>
      </c>
      <c r="F2403" s="4">
        <v>1.4302097E7</v>
      </c>
      <c r="G2403" s="4">
        <f t="array" ref="G2403">IFERROR((C2403-B2403)/C2403*100, "N/A")</f>
        <v>48.80912448</v>
      </c>
      <c r="J2403" s="1"/>
      <c r="K2403" s="1"/>
    </row>
    <row r="2404" ht="14.25" customHeight="1">
      <c r="A2404" s="1" t="s">
        <v>11598</v>
      </c>
      <c r="B2404" s="1">
        <v>1.5E7</v>
      </c>
      <c r="C2404" s="1">
        <v>2.9106737E7</v>
      </c>
      <c r="F2404" s="4">
        <v>1.4106737E7</v>
      </c>
      <c r="G2404" s="4">
        <f t="array" ref="G2404">IFERROR((C2404-B2404)/C2404*100, "N/A")</f>
        <v>48.46553909</v>
      </c>
      <c r="J2404" s="1"/>
      <c r="K2404" s="1"/>
    </row>
    <row r="2405" ht="14.25" customHeight="1">
      <c r="A2405" s="1" t="s">
        <v>11603</v>
      </c>
      <c r="B2405" s="1">
        <v>1.5E7</v>
      </c>
      <c r="C2405" s="1">
        <v>2.8637507E7</v>
      </c>
      <c r="F2405" s="4">
        <v>1.3637507E7</v>
      </c>
      <c r="G2405" s="4">
        <f t="array" ref="G2405">IFERROR((C2405-B2405)/C2405*100, "N/A")</f>
        <v>47.62113895</v>
      </c>
      <c r="J2405" s="1"/>
      <c r="K2405" s="1"/>
    </row>
    <row r="2406" ht="14.25" customHeight="1">
      <c r="A2406" s="1" t="s">
        <v>11606</v>
      </c>
      <c r="B2406" s="1">
        <v>1.5E7</v>
      </c>
      <c r="C2406" s="1">
        <v>3.0127963E7</v>
      </c>
      <c r="F2406" s="4">
        <v>1.5127963E7</v>
      </c>
      <c r="G2406" s="4">
        <f t="array" ref="G2406">IFERROR((C2406-B2406)/C2406*100, "N/A")</f>
        <v>50.21236583</v>
      </c>
      <c r="J2406" s="1"/>
      <c r="K2406" s="1"/>
    </row>
    <row r="2407" ht="14.25" customHeight="1">
      <c r="A2407" s="1" t="s">
        <v>11611</v>
      </c>
      <c r="B2407" s="1">
        <v>1.4E7</v>
      </c>
      <c r="C2407" s="1">
        <v>3.2645546E7</v>
      </c>
      <c r="F2407" s="4">
        <v>1.8645546E7</v>
      </c>
      <c r="G2407" s="4">
        <f t="array" ref="G2407">IFERROR((C2407-B2407)/C2407*100, "N/A")</f>
        <v>57.11512989</v>
      </c>
      <c r="J2407" s="1"/>
      <c r="K2407" s="1"/>
    </row>
    <row r="2408" ht="14.25" customHeight="1">
      <c r="A2408" s="1" t="s">
        <v>11616</v>
      </c>
      <c r="B2408" s="1">
        <v>1.5E7</v>
      </c>
      <c r="C2408" s="1">
        <v>2.7441122E7</v>
      </c>
      <c r="F2408" s="4">
        <v>1.2441122E7</v>
      </c>
      <c r="G2408" s="4">
        <f t="array" ref="G2408">IFERROR((C2408-B2408)/C2408*100, "N/A")</f>
        <v>45.33751207</v>
      </c>
      <c r="J2408" s="1"/>
      <c r="K2408" s="1"/>
    </row>
    <row r="2409" ht="14.25" customHeight="1">
      <c r="A2409" s="1" t="s">
        <v>11619</v>
      </c>
      <c r="B2409" s="1">
        <v>1.5E7</v>
      </c>
      <c r="C2409" s="1">
        <v>2.8014536E7</v>
      </c>
      <c r="F2409" s="4">
        <v>1.3014536E7</v>
      </c>
      <c r="G2409" s="4">
        <f t="array" ref="G2409">IFERROR((C2409-B2409)/C2409*100, "N/A")</f>
        <v>46.45636822</v>
      </c>
      <c r="J2409" s="1"/>
      <c r="K2409" s="1"/>
    </row>
    <row r="2410" ht="14.25" customHeight="1">
      <c r="A2410" s="1" t="s">
        <v>11624</v>
      </c>
      <c r="B2410" s="1">
        <v>1.5E7</v>
      </c>
      <c r="C2410" s="1">
        <v>3.386001E7</v>
      </c>
      <c r="F2410" s="4">
        <v>1.886001E7</v>
      </c>
      <c r="G2410" s="4">
        <f t="array" ref="G2410">IFERROR((C2410-B2410)/C2410*100, "N/A")</f>
        <v>55.69995402</v>
      </c>
      <c r="J2410" s="1"/>
      <c r="K2410" s="1"/>
    </row>
    <row r="2411" ht="14.25" customHeight="1">
      <c r="A2411" s="1" t="s">
        <v>11628</v>
      </c>
      <c r="B2411" s="1">
        <v>1.5E7</v>
      </c>
      <c r="C2411" s="1">
        <v>2.6421314E7</v>
      </c>
      <c r="F2411" s="4">
        <v>1.1421314E7</v>
      </c>
      <c r="G2411" s="4">
        <f t="array" ref="G2411">IFERROR((C2411-B2411)/C2411*100, "N/A")</f>
        <v>43.22765325</v>
      </c>
      <c r="J2411" s="1"/>
      <c r="K2411" s="1"/>
    </row>
    <row r="2412" ht="14.25" customHeight="1">
      <c r="A2412" s="1" t="s">
        <v>11635</v>
      </c>
      <c r="B2412" s="1">
        <v>1.5E7</v>
      </c>
      <c r="C2412" s="1">
        <v>2.4881E7</v>
      </c>
      <c r="F2412" s="4">
        <v>9881000.0</v>
      </c>
      <c r="G2412" s="4">
        <f t="array" ref="G2412">IFERROR((C2412-B2412)/C2412*100, "N/A")</f>
        <v>39.71303404</v>
      </c>
      <c r="J2412" s="1"/>
      <c r="K2412" s="1"/>
    </row>
    <row r="2413" ht="14.25" customHeight="1">
      <c r="A2413" s="1" t="s">
        <v>11640</v>
      </c>
      <c r="B2413" s="1">
        <v>1.5E7</v>
      </c>
      <c r="C2413" s="1">
        <v>2.3089926E7</v>
      </c>
      <c r="F2413" s="4">
        <v>8089926.0</v>
      </c>
      <c r="G2413" s="4">
        <f t="array" ref="G2413">IFERROR((C2413-B2413)/C2413*100, "N/A")</f>
        <v>35.03660427</v>
      </c>
      <c r="J2413" s="1"/>
      <c r="K2413" s="1"/>
    </row>
    <row r="2414" ht="14.25" customHeight="1">
      <c r="A2414" s="1" t="s">
        <v>11644</v>
      </c>
      <c r="B2414" s="1">
        <v>1.5E7</v>
      </c>
      <c r="C2414" s="1">
        <v>2.6161406E7</v>
      </c>
      <c r="F2414" s="4">
        <v>1.1161406E7</v>
      </c>
      <c r="G2414" s="4">
        <f t="array" ref="G2414">IFERROR((C2414-B2414)/C2414*100, "N/A")</f>
        <v>42.66363207</v>
      </c>
      <c r="J2414" s="1"/>
      <c r="K2414" s="1"/>
    </row>
    <row r="2415" ht="14.25" customHeight="1">
      <c r="A2415" s="1" t="s">
        <v>11650</v>
      </c>
      <c r="B2415" s="1">
        <v>1.15E7</v>
      </c>
      <c r="C2415" s="1">
        <v>2.2954968E7</v>
      </c>
      <c r="F2415" s="4">
        <v>1.1454968E7</v>
      </c>
      <c r="G2415" s="4">
        <f t="array" ref="G2415">IFERROR((C2415-B2415)/C2415*100, "N/A")</f>
        <v>49.9019123</v>
      </c>
      <c r="J2415" s="1"/>
      <c r="K2415" s="1"/>
    </row>
    <row r="2416" ht="14.25" customHeight="1">
      <c r="A2416" s="1" t="s">
        <v>11654</v>
      </c>
      <c r="B2416" s="1">
        <v>1.5E7</v>
      </c>
      <c r="C2416" s="1">
        <v>2.6384919E7</v>
      </c>
      <c r="F2416" s="4">
        <v>1.1384919E7</v>
      </c>
      <c r="G2416" s="4">
        <f t="array" ref="G2416">IFERROR((C2416-B2416)/C2416*100, "N/A")</f>
        <v>43.14934224</v>
      </c>
      <c r="J2416" s="1"/>
      <c r="K2416" s="1"/>
    </row>
    <row r="2417" ht="14.25" customHeight="1">
      <c r="A2417" s="1" t="s">
        <v>11659</v>
      </c>
      <c r="B2417" s="1">
        <v>1.5E7</v>
      </c>
      <c r="C2417" s="1">
        <v>2.2189039E7</v>
      </c>
      <c r="F2417" s="4">
        <v>7189039.0</v>
      </c>
      <c r="G2417" s="4">
        <f t="array" ref="G2417">IFERROR((C2417-B2417)/C2417*100, "N/A")</f>
        <v>32.39905523</v>
      </c>
      <c r="J2417" s="1"/>
      <c r="K2417" s="1"/>
    </row>
    <row r="2418" ht="14.25" customHeight="1">
      <c r="A2418" s="1" t="s">
        <v>11664</v>
      </c>
      <c r="B2418" s="1">
        <v>1.5E7</v>
      </c>
      <c r="C2418" s="1">
        <v>2.0998709E7</v>
      </c>
      <c r="F2418" s="4">
        <v>5998709.0</v>
      </c>
      <c r="G2418" s="4">
        <f t="array" ref="G2418">IFERROR((C2418-B2418)/C2418*100, "N/A")</f>
        <v>28.56703714</v>
      </c>
      <c r="J2418" s="1"/>
      <c r="K2418" s="1"/>
    </row>
    <row r="2419" ht="14.25" customHeight="1">
      <c r="A2419" s="1" t="s">
        <v>11669</v>
      </c>
      <c r="B2419" s="1">
        <v>1.5E7</v>
      </c>
      <c r="C2419" s="1">
        <v>2.0801344E7</v>
      </c>
      <c r="F2419" s="4">
        <v>5801344.0</v>
      </c>
      <c r="G2419" s="4">
        <f t="array" ref="G2419">IFERROR((C2419-B2419)/C2419*100, "N/A")</f>
        <v>27.88927485</v>
      </c>
      <c r="J2419" s="1"/>
      <c r="K2419" s="1"/>
    </row>
    <row r="2420" ht="14.25" customHeight="1">
      <c r="A2420" s="1" t="s">
        <v>11673</v>
      </c>
      <c r="B2420" s="1">
        <v>1.4E7</v>
      </c>
      <c r="C2420" s="1">
        <v>2.1468807E7</v>
      </c>
      <c r="F2420" s="4">
        <v>7468807.0</v>
      </c>
      <c r="G2420" s="4">
        <f t="array" ref="G2420">IFERROR((C2420-B2420)/C2420*100, "N/A")</f>
        <v>34.78911055</v>
      </c>
      <c r="J2420" s="1"/>
      <c r="K2420" s="1"/>
    </row>
    <row r="2421" ht="14.25" customHeight="1">
      <c r="A2421" s="1" t="s">
        <v>11677</v>
      </c>
      <c r="B2421" s="1">
        <v>1.5E7</v>
      </c>
      <c r="C2421" s="1">
        <v>1.9158074E7</v>
      </c>
      <c r="F2421" s="4">
        <v>4158074.0</v>
      </c>
      <c r="G2421" s="4">
        <f t="array" ref="G2421">IFERROR((C2421-B2421)/C2421*100, "N/A")</f>
        <v>21.70402933</v>
      </c>
      <c r="J2421" s="1"/>
      <c r="K2421" s="1"/>
    </row>
    <row r="2422" ht="14.25" customHeight="1">
      <c r="A2422" s="1" t="s">
        <v>11681</v>
      </c>
      <c r="B2422" s="1">
        <v>2.0E7</v>
      </c>
      <c r="C2422" s="1">
        <v>1.8843314E7</v>
      </c>
      <c r="F2422" s="4">
        <v>-1156686.0</v>
      </c>
      <c r="G2422" s="4">
        <f t="array" ref="G2422">IFERROR((C2422-B2422)/C2422*100, "N/A")</f>
        <v>-6.138442527</v>
      </c>
      <c r="J2422" s="1"/>
      <c r="K2422" s="1"/>
    </row>
    <row r="2423" ht="14.25" customHeight="1">
      <c r="A2423" s="1" t="s">
        <v>11686</v>
      </c>
      <c r="B2423" s="1">
        <v>1.5E7</v>
      </c>
      <c r="C2423" s="1">
        <v>2.0566327E7</v>
      </c>
      <c r="F2423" s="4">
        <v>5566327.0</v>
      </c>
      <c r="G2423" s="4">
        <f t="array" ref="G2423">IFERROR((C2423-B2423)/C2423*100, "N/A")</f>
        <v>27.06524602</v>
      </c>
      <c r="J2423" s="1"/>
      <c r="K2423" s="1"/>
    </row>
    <row r="2424" ht="14.25" customHeight="1">
      <c r="A2424" s="1" t="s">
        <v>11689</v>
      </c>
      <c r="B2424" s="1">
        <v>1.5E7</v>
      </c>
      <c r="C2424" s="1">
        <v>2.0218921E7</v>
      </c>
      <c r="F2424" s="4">
        <v>5218921.0</v>
      </c>
      <c r="G2424" s="4">
        <f t="array" ref="G2424">IFERROR((C2424-B2424)/C2424*100, "N/A")</f>
        <v>25.81206485</v>
      </c>
      <c r="J2424" s="1"/>
      <c r="K2424" s="1"/>
    </row>
    <row r="2425" ht="14.25" customHeight="1">
      <c r="A2425" s="1" t="s">
        <v>11695</v>
      </c>
      <c r="B2425" s="1">
        <v>1.5E7</v>
      </c>
      <c r="C2425" s="1">
        <v>1.7411331E7</v>
      </c>
      <c r="F2425" s="4">
        <v>2411331.0</v>
      </c>
      <c r="G2425" s="4">
        <f t="array" ref="G2425">IFERROR((C2425-B2425)/C2425*100, "N/A")</f>
        <v>13.84920544</v>
      </c>
      <c r="J2425" s="1"/>
      <c r="K2425" s="1"/>
    </row>
    <row r="2426" ht="14.25" customHeight="1">
      <c r="A2426" s="1" t="s">
        <v>11699</v>
      </c>
      <c r="B2426" s="1">
        <v>1.5E7</v>
      </c>
      <c r="C2426" s="1">
        <v>2.1383298E7</v>
      </c>
      <c r="F2426" s="4">
        <v>6383298.0</v>
      </c>
      <c r="G2426" s="4">
        <f t="array" ref="G2426">IFERROR((C2426-B2426)/C2426*100, "N/A")</f>
        <v>29.85179368</v>
      </c>
      <c r="J2426" s="1"/>
      <c r="K2426" s="1"/>
    </row>
    <row r="2427" ht="14.25" customHeight="1">
      <c r="A2427" s="1" t="s">
        <v>11703</v>
      </c>
      <c r="B2427" s="1">
        <v>1.5E7</v>
      </c>
      <c r="C2427" s="1">
        <v>2.4984868E7</v>
      </c>
      <c r="F2427" s="4">
        <v>9984868.0</v>
      </c>
      <c r="G2427" s="4">
        <f t="array" ref="G2427">IFERROR((C2427-B2427)/C2427*100, "N/A")</f>
        <v>39.9636612</v>
      </c>
      <c r="J2427" s="1"/>
      <c r="K2427" s="1"/>
    </row>
    <row r="2428" ht="14.25" customHeight="1">
      <c r="A2428" s="1" t="s">
        <v>11708</v>
      </c>
      <c r="B2428" s="1">
        <v>1.5E7</v>
      </c>
      <c r="C2428" s="1">
        <v>1.6459004E7</v>
      </c>
      <c r="F2428" s="4">
        <v>1459004.0</v>
      </c>
      <c r="G2428" s="4">
        <f t="array" ref="G2428">IFERROR((C2428-B2428)/C2428*100, "N/A")</f>
        <v>8.864473209</v>
      </c>
      <c r="J2428" s="1"/>
      <c r="K2428" s="1"/>
    </row>
    <row r="2429" ht="14.25" customHeight="1">
      <c r="A2429" s="1" t="s">
        <v>11713</v>
      </c>
      <c r="B2429" s="1">
        <v>1.5E7</v>
      </c>
      <c r="C2429" s="1">
        <v>1.57E7</v>
      </c>
      <c r="F2429" s="4">
        <v>700000.0</v>
      </c>
      <c r="G2429" s="4">
        <f t="array" ref="G2429">IFERROR((C2429-B2429)/C2429*100, "N/A")</f>
        <v>4.458598726</v>
      </c>
      <c r="J2429" s="1"/>
      <c r="K2429" s="1"/>
    </row>
    <row r="2430" ht="14.25" customHeight="1">
      <c r="A2430" s="1" t="s">
        <v>11717</v>
      </c>
      <c r="B2430" s="1">
        <v>1.5E7</v>
      </c>
      <c r="C2430" s="1">
        <v>1.51E7</v>
      </c>
      <c r="F2430" s="4">
        <v>100000.0</v>
      </c>
      <c r="G2430" s="4">
        <f t="array" ref="G2430">IFERROR((C2430-B2430)/C2430*100, "N/A")</f>
        <v>0.6622516556</v>
      </c>
      <c r="J2430" s="1"/>
      <c r="K2430" s="1"/>
    </row>
    <row r="2431" ht="14.25" customHeight="1">
      <c r="A2431" s="1" t="s">
        <v>11721</v>
      </c>
      <c r="B2431" s="1">
        <v>1.5E7</v>
      </c>
      <c r="C2431" s="1">
        <v>1.493857E7</v>
      </c>
      <c r="F2431" s="4">
        <v>-61430.0</v>
      </c>
      <c r="G2431" s="4">
        <f t="array" ref="G2431">IFERROR((C2431-B2431)/C2431*100, "N/A")</f>
        <v>-0.4112174057</v>
      </c>
      <c r="J2431" s="1"/>
      <c r="K2431" s="1"/>
    </row>
    <row r="2432" ht="14.25" customHeight="1">
      <c r="A2432" s="1" t="s">
        <v>11724</v>
      </c>
      <c r="B2432" s="1">
        <v>1.5E7</v>
      </c>
      <c r="C2432" s="1">
        <v>1.7237244E7</v>
      </c>
      <c r="F2432" s="4">
        <v>2237244.0</v>
      </c>
      <c r="G2432" s="4">
        <f t="array" ref="G2432">IFERROR((C2432-B2432)/C2432*100, "N/A")</f>
        <v>12.97912822</v>
      </c>
      <c r="J2432" s="1"/>
      <c r="K2432" s="1"/>
    </row>
    <row r="2433" ht="14.25" customHeight="1">
      <c r="A2433" s="1" t="s">
        <v>11730</v>
      </c>
      <c r="B2433" s="1">
        <v>1.5E7</v>
      </c>
      <c r="C2433" s="1">
        <v>1.4249005E7</v>
      </c>
      <c r="F2433" s="4">
        <v>-750995.0</v>
      </c>
      <c r="G2433" s="4">
        <f t="array" ref="G2433">IFERROR((C2433-B2433)/C2433*100, "N/A")</f>
        <v>-5.270508362</v>
      </c>
      <c r="J2433" s="1"/>
      <c r="K2433" s="1"/>
    </row>
    <row r="2434" ht="14.25" customHeight="1">
      <c r="A2434" s="1" t="s">
        <v>11734</v>
      </c>
      <c r="B2434" s="1">
        <v>1.5E7</v>
      </c>
      <c r="C2434" s="1">
        <v>1.270188E7</v>
      </c>
      <c r="F2434" s="4">
        <v>-2298120.0</v>
      </c>
      <c r="G2434" s="4">
        <f t="array" ref="G2434">IFERROR((C2434-B2434)/C2434*100, "N/A")</f>
        <v>-18.09275477</v>
      </c>
      <c r="J2434" s="1"/>
      <c r="K2434" s="1"/>
    </row>
    <row r="2435" ht="14.25" customHeight="1">
      <c r="A2435" s="1" t="s">
        <v>11741</v>
      </c>
      <c r="B2435" s="1">
        <v>1.5E7</v>
      </c>
      <c r="C2435" s="1">
        <v>1.280119E7</v>
      </c>
      <c r="F2435" s="4">
        <v>-2198810.0</v>
      </c>
      <c r="G2435" s="4">
        <f t="array" ref="G2435">IFERROR((C2435-B2435)/C2435*100, "N/A")</f>
        <v>-17.17660624</v>
      </c>
      <c r="J2435" s="1"/>
      <c r="K2435" s="1"/>
    </row>
    <row r="2436" ht="14.25" customHeight="1">
      <c r="A2436" s="1" t="s">
        <v>11747</v>
      </c>
      <c r="B2436" s="1">
        <v>1.5E7</v>
      </c>
      <c r="C2436" s="1">
        <v>1.2549485E7</v>
      </c>
      <c r="F2436" s="4">
        <v>-2450515.0</v>
      </c>
      <c r="G2436" s="4">
        <f t="array" ref="G2436">IFERROR((C2436-B2436)/C2436*100, "N/A")</f>
        <v>-19.52681724</v>
      </c>
      <c r="J2436" s="1"/>
      <c r="K2436" s="1"/>
    </row>
    <row r="2437" ht="14.25" customHeight="1">
      <c r="A2437" s="1" t="s">
        <v>11752</v>
      </c>
      <c r="B2437" s="1">
        <v>1.5E7</v>
      </c>
      <c r="C2437" s="1">
        <v>1.3766014E7</v>
      </c>
      <c r="F2437" s="4">
        <v>-1233986.0</v>
      </c>
      <c r="G2437" s="4">
        <f t="array" ref="G2437">IFERROR((C2437-B2437)/C2437*100, "N/A")</f>
        <v>-8.964003669</v>
      </c>
      <c r="J2437" s="1"/>
      <c r="K2437" s="1"/>
    </row>
    <row r="2438" ht="14.25" customHeight="1">
      <c r="A2438" s="1" t="s">
        <v>11756</v>
      </c>
      <c r="B2438" s="1">
        <v>1.5E7</v>
      </c>
      <c r="C2438" s="1">
        <v>1.3034417E7</v>
      </c>
      <c r="F2438" s="4">
        <v>-1965583.0</v>
      </c>
      <c r="G2438" s="4">
        <f t="array" ref="G2438">IFERROR((C2438-B2438)/C2438*100, "N/A")</f>
        <v>-15.07994565</v>
      </c>
      <c r="J2438" s="1"/>
      <c r="K2438" s="1"/>
    </row>
    <row r="2439" ht="14.25" customHeight="1">
      <c r="A2439" s="1" t="s">
        <v>11761</v>
      </c>
      <c r="B2439" s="1">
        <v>1.5E7</v>
      </c>
      <c r="C2439" s="1">
        <v>1.2212417E7</v>
      </c>
      <c r="F2439" s="4">
        <v>-2787583.0</v>
      </c>
      <c r="G2439" s="4">
        <f t="array" ref="G2439">IFERROR((C2439-B2439)/C2439*100, "N/A")</f>
        <v>-22.82580917</v>
      </c>
      <c r="J2439" s="1"/>
      <c r="K2439" s="1"/>
    </row>
    <row r="2440" ht="14.25" customHeight="1">
      <c r="A2440" s="1" t="s">
        <v>11764</v>
      </c>
      <c r="B2440" s="1">
        <v>1.5E7</v>
      </c>
      <c r="C2440" s="1">
        <v>1.1614236E7</v>
      </c>
      <c r="F2440" s="4">
        <v>-3385764.0</v>
      </c>
      <c r="G2440" s="4">
        <f t="array" ref="G2440">IFERROR((C2440-B2440)/C2440*100, "N/A")</f>
        <v>-29.15184434</v>
      </c>
      <c r="J2440" s="1"/>
      <c r="K2440" s="1"/>
    </row>
    <row r="2441" ht="14.25" customHeight="1">
      <c r="A2441" s="1" t="s">
        <v>11767</v>
      </c>
      <c r="B2441" s="1">
        <v>2.0E7</v>
      </c>
      <c r="C2441" s="1">
        <v>1.3337299E7</v>
      </c>
      <c r="F2441" s="4">
        <v>-6662701.0</v>
      </c>
      <c r="G2441" s="4">
        <f t="array" ref="G2441">IFERROR((C2441-B2441)/C2441*100, "N/A")</f>
        <v>-49.95539952</v>
      </c>
      <c r="J2441" s="1"/>
      <c r="K2441" s="1"/>
    </row>
    <row r="2442" ht="14.25" customHeight="1">
      <c r="A2442" s="1" t="s">
        <v>11772</v>
      </c>
      <c r="B2442" s="1">
        <v>1.5E7</v>
      </c>
      <c r="C2442" s="1">
        <v>1.0763469E7</v>
      </c>
      <c r="F2442" s="4">
        <v>-4236531.0</v>
      </c>
      <c r="G2442" s="4">
        <f t="array" ref="G2442">IFERROR((C2442-B2442)/C2442*100, "N/A")</f>
        <v>-39.36027502</v>
      </c>
      <c r="J2442" s="1"/>
      <c r="K2442" s="1"/>
    </row>
    <row r="2443" ht="14.25" customHeight="1">
      <c r="A2443" s="1" t="s">
        <v>11777</v>
      </c>
      <c r="B2443" s="1">
        <v>1.5E7</v>
      </c>
      <c r="C2443" s="1">
        <v>1.1144518E7</v>
      </c>
      <c r="F2443" s="4">
        <v>-3855482.0</v>
      </c>
      <c r="G2443" s="4">
        <f t="array" ref="G2443">IFERROR((C2443-B2443)/C2443*100, "N/A")</f>
        <v>-34.59532301</v>
      </c>
      <c r="J2443" s="1"/>
      <c r="K2443" s="1"/>
    </row>
    <row r="2444" ht="14.25" customHeight="1">
      <c r="A2444" s="1" t="s">
        <v>11782</v>
      </c>
      <c r="B2444" s="1">
        <v>1.5E7</v>
      </c>
      <c r="C2444" s="1">
        <v>1.5608545E7</v>
      </c>
      <c r="F2444" s="4">
        <v>608545.0</v>
      </c>
      <c r="G2444" s="4">
        <f t="array" ref="G2444">IFERROR((C2444-B2444)/C2444*100, "N/A")</f>
        <v>3.898793898</v>
      </c>
      <c r="J2444" s="1"/>
      <c r="K2444" s="1"/>
    </row>
    <row r="2445" ht="14.25" customHeight="1">
      <c r="A2445" s="1" t="s">
        <v>11786</v>
      </c>
      <c r="B2445" s="1">
        <v>1.5E7</v>
      </c>
      <c r="C2445" s="1">
        <v>1.0443316E7</v>
      </c>
      <c r="F2445" s="4">
        <v>-4556684.0</v>
      </c>
      <c r="G2445" s="4">
        <f t="array" ref="G2445">IFERROR((C2445-B2445)/C2445*100, "N/A")</f>
        <v>-43.6325397</v>
      </c>
      <c r="J2445" s="1"/>
      <c r="K2445" s="1"/>
    </row>
    <row r="2446" ht="14.25" customHeight="1">
      <c r="A2446" s="1" t="s">
        <v>11791</v>
      </c>
      <c r="B2446" s="1">
        <v>1.5E7</v>
      </c>
      <c r="C2446" s="1">
        <v>1.0494147E7</v>
      </c>
      <c r="F2446" s="4">
        <v>-4505853.0</v>
      </c>
      <c r="G2446" s="4">
        <f t="array" ref="G2446">IFERROR((C2446-B2446)/C2446*100, "N/A")</f>
        <v>-42.93681992</v>
      </c>
      <c r="J2446" s="1"/>
      <c r="K2446" s="1"/>
    </row>
    <row r="2447" ht="14.25" customHeight="1">
      <c r="A2447" s="1" t="s">
        <v>11794</v>
      </c>
      <c r="B2447" s="1">
        <v>1.5E7</v>
      </c>
      <c r="C2447" s="1">
        <v>9929000.0</v>
      </c>
      <c r="F2447" s="4">
        <v>-5071000.0</v>
      </c>
      <c r="G2447" s="4">
        <f t="array" ref="G2447">IFERROR((C2447-B2447)/C2447*100, "N/A")</f>
        <v>-51.07261557</v>
      </c>
      <c r="J2447" s="1"/>
      <c r="K2447" s="1"/>
    </row>
    <row r="2448" ht="14.25" customHeight="1">
      <c r="A2448" s="1" t="s">
        <v>11797</v>
      </c>
      <c r="B2448" s="1">
        <v>1.5E7</v>
      </c>
      <c r="C2448" s="1">
        <v>1.041198E7</v>
      </c>
      <c r="F2448" s="4">
        <v>-4588020.0</v>
      </c>
      <c r="G2448" s="4">
        <f t="array" ref="G2448">IFERROR((C2448-B2448)/C2448*100, "N/A")</f>
        <v>-44.06481764</v>
      </c>
      <c r="J2448" s="1"/>
      <c r="K2448" s="1"/>
    </row>
    <row r="2449" ht="14.25" customHeight="1">
      <c r="A2449" s="1" t="s">
        <v>11801</v>
      </c>
      <c r="B2449" s="1">
        <v>1.5E7</v>
      </c>
      <c r="C2449" s="1">
        <v>1.7439163E7</v>
      </c>
      <c r="F2449" s="4">
        <v>2439163.0</v>
      </c>
      <c r="G2449" s="4">
        <f t="array" ref="G2449">IFERROR((C2449-B2449)/C2449*100, "N/A")</f>
        <v>13.98669764</v>
      </c>
      <c r="J2449" s="1"/>
      <c r="K2449" s="1"/>
    </row>
    <row r="2450" ht="14.25" customHeight="1">
      <c r="A2450" s="1" t="s">
        <v>11805</v>
      </c>
      <c r="B2450" s="1">
        <v>1.5E7</v>
      </c>
      <c r="C2450" s="1">
        <v>9396487.0</v>
      </c>
      <c r="F2450" s="4">
        <v>-5603513.0</v>
      </c>
      <c r="G2450" s="4">
        <f t="array" ref="G2450">IFERROR((C2450-B2450)/C2450*100, "N/A")</f>
        <v>-59.63412709</v>
      </c>
      <c r="J2450" s="1"/>
      <c r="K2450" s="1"/>
    </row>
    <row r="2451" ht="14.25" customHeight="1">
      <c r="A2451" s="1" t="s">
        <v>11809</v>
      </c>
      <c r="B2451" s="1">
        <v>1.5E7</v>
      </c>
      <c r="C2451" s="1">
        <v>9059588.0</v>
      </c>
      <c r="F2451" s="4">
        <v>-5940412.0</v>
      </c>
      <c r="G2451" s="4">
        <f t="array" ref="G2451">IFERROR((C2451-B2451)/C2451*100, "N/A")</f>
        <v>-65.57044316</v>
      </c>
      <c r="J2451" s="1"/>
      <c r="K2451" s="1"/>
    </row>
    <row r="2452" ht="14.25" customHeight="1">
      <c r="A2452" s="1" t="s">
        <v>11815</v>
      </c>
      <c r="B2452" s="1">
        <v>1.6E7</v>
      </c>
      <c r="C2452" s="1">
        <v>9172810.0</v>
      </c>
      <c r="F2452" s="4">
        <v>-6827190.0</v>
      </c>
      <c r="G2452" s="4">
        <f t="array" ref="G2452">IFERROR((C2452-B2452)/C2452*100, "N/A")</f>
        <v>-74.4285557</v>
      </c>
      <c r="J2452" s="1"/>
      <c r="K2452" s="1"/>
    </row>
    <row r="2453" ht="14.25" customHeight="1">
      <c r="A2453" s="1" t="s">
        <v>11821</v>
      </c>
      <c r="B2453" s="1">
        <v>1.5E7</v>
      </c>
      <c r="C2453" s="1">
        <v>8735529.0</v>
      </c>
      <c r="F2453" s="4">
        <v>-6264471.0</v>
      </c>
      <c r="G2453" s="4">
        <f t="array" ref="G2453">IFERROR((C2453-B2453)/C2453*100, "N/A")</f>
        <v>-71.71255456</v>
      </c>
      <c r="J2453" s="1"/>
      <c r="K2453" s="1"/>
    </row>
    <row r="2454" ht="14.25" customHeight="1">
      <c r="A2454" s="1" t="s">
        <v>11827</v>
      </c>
      <c r="B2454" s="1">
        <v>2.0E7</v>
      </c>
      <c r="C2454" s="1">
        <v>8586376.0</v>
      </c>
      <c r="F2454" s="4">
        <v>-1.1413624E7</v>
      </c>
      <c r="G2454" s="4">
        <f t="array" ref="G2454">IFERROR((C2454-B2454)/C2454*100, "N/A")</f>
        <v>-132.9271395</v>
      </c>
      <c r="J2454" s="1"/>
      <c r="K2454" s="1"/>
    </row>
    <row r="2455" ht="14.25" customHeight="1">
      <c r="A2455" s="1" t="s">
        <v>11830</v>
      </c>
      <c r="B2455" s="1">
        <v>1.5E7</v>
      </c>
      <c r="C2455" s="1">
        <v>8378141.0</v>
      </c>
      <c r="F2455" s="4">
        <v>-6621859.0</v>
      </c>
      <c r="G2455" s="4">
        <f t="array" ref="G2455">IFERROR((C2455-B2455)/C2455*100, "N/A")</f>
        <v>-79.0373306</v>
      </c>
      <c r="J2455" s="1"/>
      <c r="K2455" s="1"/>
    </row>
    <row r="2456" ht="14.25" customHeight="1">
      <c r="A2456" s="1" t="s">
        <v>11834</v>
      </c>
      <c r="B2456" s="1">
        <v>1.5E7</v>
      </c>
      <c r="C2456" s="1">
        <v>8080116.0</v>
      </c>
      <c r="F2456" s="4">
        <v>-6919884.0</v>
      </c>
      <c r="G2456" s="4">
        <f t="array" ref="G2456">IFERROR((C2456-B2456)/C2456*100, "N/A")</f>
        <v>-85.64089921</v>
      </c>
      <c r="J2456" s="1"/>
      <c r="K2456" s="1"/>
    </row>
    <row r="2457" ht="14.25" customHeight="1">
      <c r="A2457" s="1" t="s">
        <v>11838</v>
      </c>
      <c r="B2457" s="1">
        <v>1.5E7</v>
      </c>
      <c r="C2457" s="1">
        <v>7757130.0</v>
      </c>
      <c r="F2457" s="4">
        <v>-7242870.0</v>
      </c>
      <c r="G2457" s="4">
        <f t="array" ref="G2457">IFERROR((C2457-B2457)/C2457*100, "N/A")</f>
        <v>-93.37048625</v>
      </c>
      <c r="J2457" s="1"/>
      <c r="K2457" s="1"/>
    </row>
    <row r="2458" ht="14.25" customHeight="1">
      <c r="A2458" s="1" t="s">
        <v>11845</v>
      </c>
      <c r="B2458" s="1">
        <v>1.5E7</v>
      </c>
      <c r="C2458" s="1">
        <v>9123834.0</v>
      </c>
      <c r="F2458" s="4">
        <v>-5876166.0</v>
      </c>
      <c r="G2458" s="4">
        <f t="array" ref="G2458">IFERROR((C2458-B2458)/C2458*100, "N/A")</f>
        <v>-64.40456939</v>
      </c>
      <c r="J2458" s="1"/>
      <c r="K2458" s="1"/>
    </row>
    <row r="2459" ht="14.25" customHeight="1">
      <c r="A2459" s="1" t="s">
        <v>11850</v>
      </c>
      <c r="B2459" s="1">
        <v>1.5E7</v>
      </c>
      <c r="C2459" s="1">
        <v>6409206.0</v>
      </c>
      <c r="F2459" s="4">
        <v>-8590794.0</v>
      </c>
      <c r="G2459" s="4">
        <f t="array" ref="G2459">IFERROR((C2459-B2459)/C2459*100, "N/A")</f>
        <v>-134.0383505</v>
      </c>
      <c r="J2459" s="1"/>
      <c r="K2459" s="1"/>
    </row>
    <row r="2460" ht="14.25" customHeight="1">
      <c r="A2460" s="1" t="s">
        <v>11854</v>
      </c>
      <c r="B2460" s="1">
        <v>1.5E7</v>
      </c>
      <c r="C2460" s="1">
        <v>6373693.0</v>
      </c>
      <c r="F2460" s="4">
        <v>-8626307.0</v>
      </c>
      <c r="G2460" s="4">
        <f t="array" ref="G2460">IFERROR((C2460-B2460)/C2460*100, "N/A")</f>
        <v>-135.3423674</v>
      </c>
      <c r="J2460" s="1"/>
      <c r="K2460" s="1"/>
    </row>
    <row r="2461" ht="14.25" customHeight="1">
      <c r="A2461" s="1" t="s">
        <v>11857</v>
      </c>
      <c r="B2461" s="1">
        <v>1.5E7</v>
      </c>
      <c r="C2461" s="1">
        <v>7556708.0</v>
      </c>
      <c r="F2461" s="4">
        <v>-7443292.0</v>
      </c>
      <c r="G2461" s="4">
        <f t="array" ref="G2461">IFERROR((C2461-B2461)/C2461*100, "N/A")</f>
        <v>-98.49913481</v>
      </c>
      <c r="J2461" s="1"/>
      <c r="K2461" s="1"/>
    </row>
    <row r="2462" ht="14.25" customHeight="1">
      <c r="A2462" s="1" t="s">
        <v>11860</v>
      </c>
      <c r="B2462" s="1">
        <v>1.5E7</v>
      </c>
      <c r="C2462" s="1">
        <v>5306447.0</v>
      </c>
      <c r="F2462" s="4">
        <v>-9693553.0</v>
      </c>
      <c r="G2462" s="4">
        <f t="array" ref="G2462">IFERROR((C2462-B2462)/C2462*100, "N/A")</f>
        <v>-182.6750178</v>
      </c>
      <c r="J2462" s="1"/>
      <c r="K2462" s="1"/>
    </row>
    <row r="2463" ht="14.25" customHeight="1">
      <c r="A2463" s="1" t="s">
        <v>11865</v>
      </c>
      <c r="B2463" s="1">
        <v>1.5E7</v>
      </c>
      <c r="C2463" s="1">
        <v>5217498.0</v>
      </c>
      <c r="F2463" s="4">
        <v>-9782502.0</v>
      </c>
      <c r="G2463" s="4">
        <f t="array" ref="G2463">IFERROR((C2463-B2463)/C2463*100, "N/A")</f>
        <v>-187.4941207</v>
      </c>
      <c r="J2463" s="1"/>
      <c r="K2463" s="1"/>
    </row>
    <row r="2464" ht="14.25" customHeight="1">
      <c r="A2464" s="1" t="s">
        <v>11869</v>
      </c>
      <c r="B2464" s="1">
        <v>1.5E7</v>
      </c>
      <c r="C2464" s="1">
        <v>5023275.0</v>
      </c>
      <c r="F2464" s="4">
        <v>-9976725.0</v>
      </c>
      <c r="G2464" s="4">
        <f t="array" ref="G2464">IFERROR((C2464-B2464)/C2464*100, "N/A")</f>
        <v>-198.6099706</v>
      </c>
      <c r="J2464" s="1"/>
      <c r="K2464" s="1"/>
    </row>
    <row r="2465" ht="14.25" customHeight="1">
      <c r="A2465" s="1" t="s">
        <v>11876</v>
      </c>
      <c r="B2465" s="1">
        <v>1.5E7</v>
      </c>
      <c r="C2465" s="1">
        <v>4956401.0</v>
      </c>
      <c r="F2465" s="4">
        <v>-1.0043599E7</v>
      </c>
      <c r="G2465" s="4">
        <f t="array" ref="G2465">IFERROR((C2465-B2465)/C2465*100, "N/A")</f>
        <v>-202.6389511</v>
      </c>
      <c r="J2465" s="1"/>
      <c r="K2465" s="1"/>
    </row>
    <row r="2466" ht="14.25" customHeight="1">
      <c r="A2466" s="1" t="s">
        <v>11879</v>
      </c>
      <c r="B2466" s="1">
        <v>1.5E7</v>
      </c>
      <c r="C2466" s="1">
        <v>4235837.0</v>
      </c>
      <c r="F2466" s="4">
        <v>-1.0764163E7</v>
      </c>
      <c r="G2466" s="4">
        <f t="array" ref="G2466">IFERROR((C2466-B2466)/C2466*100, "N/A")</f>
        <v>-254.1212752</v>
      </c>
      <c r="J2466" s="1"/>
      <c r="K2466" s="1"/>
    </row>
    <row r="2467" ht="14.25" customHeight="1">
      <c r="A2467" s="1" t="s">
        <v>11884</v>
      </c>
      <c r="B2467" s="1">
        <v>2.0E7</v>
      </c>
      <c r="C2467" s="1">
        <v>4002955.0</v>
      </c>
      <c r="F2467" s="4">
        <v>-1.5997045E7</v>
      </c>
      <c r="G2467" s="4">
        <f t="array" ref="G2467">IFERROR((C2467-B2467)/C2467*100, "N/A")</f>
        <v>-399.6308977</v>
      </c>
      <c r="J2467" s="1"/>
      <c r="K2467" s="1"/>
    </row>
    <row r="2468" ht="14.25" customHeight="1">
      <c r="A2468" s="1" t="s">
        <v>11887</v>
      </c>
      <c r="B2468" s="1">
        <v>1.5E7</v>
      </c>
      <c r="C2468" s="1">
        <v>7219578.0</v>
      </c>
      <c r="F2468" s="4">
        <v>-7780422.0</v>
      </c>
      <c r="G2468" s="4">
        <f t="array" ref="G2468">IFERROR((C2468-B2468)/C2468*100, "N/A")</f>
        <v>-107.7683765</v>
      </c>
      <c r="J2468" s="1"/>
      <c r="K2468" s="1"/>
    </row>
    <row r="2469" ht="14.25" customHeight="1">
      <c r="A2469" s="1" t="s">
        <v>11890</v>
      </c>
      <c r="B2469" s="1">
        <v>2.2E7</v>
      </c>
      <c r="C2469" s="1">
        <v>3247816.0</v>
      </c>
      <c r="F2469" s="4">
        <v>-1.8752184E7</v>
      </c>
      <c r="G2469" s="4">
        <f t="array" ref="G2469">IFERROR((C2469-B2469)/C2469*100, "N/A")</f>
        <v>-577.3782751</v>
      </c>
      <c r="J2469" s="1"/>
      <c r="K2469" s="1"/>
    </row>
    <row r="2470" ht="14.25" customHeight="1">
      <c r="A2470" s="1" t="s">
        <v>11894</v>
      </c>
      <c r="B2470" s="1">
        <v>1.5E7</v>
      </c>
      <c r="C2470" s="1">
        <v>2412045.0</v>
      </c>
      <c r="F2470" s="4">
        <v>-1.2587955E7</v>
      </c>
      <c r="G2470" s="4">
        <f t="array" ref="G2470">IFERROR((C2470-B2470)/C2470*100, "N/A")</f>
        <v>-521.878945</v>
      </c>
      <c r="J2470" s="1"/>
      <c r="K2470" s="1"/>
    </row>
    <row r="2471" ht="14.25" customHeight="1">
      <c r="A2471" s="1" t="s">
        <v>11898</v>
      </c>
      <c r="B2471" s="1">
        <v>1.5E7</v>
      </c>
      <c r="C2471" s="1">
        <v>2203641.0</v>
      </c>
      <c r="F2471" s="4">
        <v>-1.2796359E7</v>
      </c>
      <c r="G2471" s="4">
        <f t="array" ref="G2471">IFERROR((C2471-B2471)/C2471*100, "N/A")</f>
        <v>-580.6916372</v>
      </c>
      <c r="J2471" s="1"/>
      <c r="K2471" s="1"/>
    </row>
    <row r="2472" ht="14.25" customHeight="1">
      <c r="A2472" s="1" t="s">
        <v>11904</v>
      </c>
      <c r="B2472" s="1">
        <v>1.5E7</v>
      </c>
      <c r="C2472" s="1">
        <v>1953732.0</v>
      </c>
      <c r="F2472" s="4">
        <v>-1.3046268E7</v>
      </c>
      <c r="G2472" s="4">
        <f t="array" ref="G2472">IFERROR((C2472-B2472)/C2472*100, "N/A")</f>
        <v>-667.761392</v>
      </c>
      <c r="J2472" s="1"/>
      <c r="K2472" s="1"/>
    </row>
    <row r="2473" ht="14.25" customHeight="1">
      <c r="A2473" s="1" t="s">
        <v>11909</v>
      </c>
      <c r="B2473" s="1">
        <v>1.5E7</v>
      </c>
      <c r="C2473" s="1">
        <v>1954202.0</v>
      </c>
      <c r="F2473" s="4">
        <v>-1.3045798E7</v>
      </c>
      <c r="G2473" s="4">
        <f t="array" ref="G2473">IFERROR((C2473-B2473)/C2473*100, "N/A")</f>
        <v>-667.5767398</v>
      </c>
      <c r="J2473" s="1"/>
      <c r="K2473" s="1"/>
    </row>
    <row r="2474" ht="14.25" customHeight="1">
      <c r="A2474" s="1" t="s">
        <v>11912</v>
      </c>
      <c r="B2474" s="1">
        <v>1.5E7</v>
      </c>
      <c r="C2474" s="1">
        <v>1294640.0</v>
      </c>
      <c r="F2474" s="4">
        <v>-1.370536E7</v>
      </c>
      <c r="G2474" s="4">
        <f t="array" ref="G2474">IFERROR((C2474-B2474)/C2474*100, "N/A")</f>
        <v>-1058.623247</v>
      </c>
      <c r="J2474" s="1"/>
      <c r="K2474" s="1"/>
    </row>
    <row r="2475" ht="14.25" customHeight="1">
      <c r="A2475" s="1" t="s">
        <v>11916</v>
      </c>
      <c r="B2475" s="1">
        <v>6000000.0</v>
      </c>
      <c r="C2475" s="1">
        <v>26435.0</v>
      </c>
      <c r="F2475" s="4">
        <v>-5973565.0</v>
      </c>
      <c r="G2475" s="4">
        <f t="array" ref="G2475">IFERROR((C2475-B2475)/C2475*100, "N/A")</f>
        <v>-22597.18177</v>
      </c>
      <c r="J2475" s="1"/>
      <c r="K2475" s="1"/>
    </row>
    <row r="2476" ht="14.25" customHeight="1">
      <c r="A2476" s="1" t="s">
        <v>11922</v>
      </c>
      <c r="B2476" s="1">
        <v>1.2E7</v>
      </c>
      <c r="C2476" s="1">
        <v>1197786.0</v>
      </c>
      <c r="F2476" s="4">
        <v>-1.0802214E7</v>
      </c>
      <c r="G2476" s="4">
        <f t="array" ref="G2476">IFERROR((C2476-B2476)/C2476*100, "N/A")</f>
        <v>-901.8484103</v>
      </c>
      <c r="J2476" s="1"/>
      <c r="K2476" s="1"/>
    </row>
    <row r="2477" ht="14.25" customHeight="1">
      <c r="A2477" s="1" t="s">
        <v>11926</v>
      </c>
      <c r="B2477" s="1">
        <v>7000000.0</v>
      </c>
      <c r="C2477" s="1">
        <v>529766.0</v>
      </c>
      <c r="F2477" s="4">
        <v>-6470234.0</v>
      </c>
      <c r="G2477" s="4">
        <f t="array" ref="G2477">IFERROR((C2477-B2477)/C2477*100, "N/A")</f>
        <v>-1221.3381</v>
      </c>
      <c r="J2477" s="1"/>
      <c r="K2477" s="1"/>
    </row>
    <row r="2478" ht="14.25" customHeight="1">
      <c r="A2478" s="1" t="s">
        <v>11930</v>
      </c>
      <c r="B2478" s="1">
        <v>1.5E7</v>
      </c>
      <c r="C2478" s="1">
        <v>613556.0</v>
      </c>
      <c r="F2478" s="4">
        <v>-1.4386444E7</v>
      </c>
      <c r="G2478" s="4">
        <f t="array" ref="G2478">IFERROR((C2478-B2478)/C2478*100, "N/A")</f>
        <v>-2344.764618</v>
      </c>
      <c r="J2478" s="1"/>
      <c r="K2478" s="1"/>
    </row>
    <row r="2479" ht="14.25" customHeight="1">
      <c r="A2479" s="1" t="s">
        <v>11935</v>
      </c>
      <c r="B2479" s="1">
        <v>1.5E7</v>
      </c>
      <c r="C2479" s="1">
        <v>353743.0</v>
      </c>
      <c r="F2479" s="4">
        <v>-1.4646257E7</v>
      </c>
      <c r="G2479" s="4">
        <f t="array" ref="G2479">IFERROR((C2479-B2479)/C2479*100, "N/A")</f>
        <v>-4140.366594</v>
      </c>
      <c r="J2479" s="1"/>
      <c r="K2479" s="1"/>
    </row>
    <row r="2480" ht="14.25" customHeight="1">
      <c r="A2480" s="1" t="s">
        <v>11940</v>
      </c>
      <c r="B2480" s="1">
        <v>3.0E8</v>
      </c>
      <c r="C2480" s="1">
        <v>102055.0</v>
      </c>
      <c r="F2480" s="4">
        <v>-2.99897945E8</v>
      </c>
      <c r="G2480" s="4">
        <f t="array" ref="G2480">IFERROR((C2480-B2480)/C2480*100, "N/A")</f>
        <v>-293859.1397</v>
      </c>
      <c r="J2480" s="1"/>
      <c r="K2480" s="1"/>
    </row>
    <row r="2481" ht="14.25" customHeight="1">
      <c r="A2481" s="1" t="s">
        <v>11949</v>
      </c>
      <c r="B2481" s="1">
        <v>1.5E7</v>
      </c>
      <c r="C2481" s="1">
        <v>73548.0</v>
      </c>
      <c r="F2481" s="4">
        <v>-1.4926452E7</v>
      </c>
      <c r="G2481" s="4">
        <f t="array" ref="G2481">IFERROR((C2481-B2481)/C2481*100, "N/A")</f>
        <v>-20294.84418</v>
      </c>
      <c r="J2481" s="1"/>
      <c r="K2481" s="1"/>
    </row>
    <row r="2482" ht="14.25" customHeight="1">
      <c r="A2482" s="1" t="s">
        <v>11954</v>
      </c>
      <c r="B2482" s="1">
        <v>1.5E7</v>
      </c>
      <c r="C2482" s="1">
        <v>28870.0</v>
      </c>
      <c r="F2482" s="4">
        <v>-1.497113E7</v>
      </c>
      <c r="G2482" s="4">
        <f t="array" ref="G2482">IFERROR((C2482-B2482)/C2482*100, "N/A")</f>
        <v>-51857.04884</v>
      </c>
      <c r="J2482" s="1"/>
      <c r="K2482" s="1"/>
    </row>
    <row r="2483" ht="14.25" customHeight="1">
      <c r="A2483" s="1" t="s">
        <v>11958</v>
      </c>
      <c r="B2483" s="1">
        <v>2.5E7</v>
      </c>
      <c r="C2483" s="1">
        <v>22723.0</v>
      </c>
      <c r="F2483" s="4">
        <v>-2.4977277E7</v>
      </c>
      <c r="G2483" s="4">
        <f t="array" ref="G2483">IFERROR((C2483-B2483)/C2483*100, "N/A")</f>
        <v>-109920.6839</v>
      </c>
      <c r="J2483" s="1"/>
      <c r="K2483" s="1"/>
    </row>
    <row r="2484" ht="14.25" customHeight="1">
      <c r="A2484" s="1" t="s">
        <v>11964</v>
      </c>
      <c r="B2484" s="1">
        <v>1.5E7</v>
      </c>
      <c r="C2484" s="1">
        <v>20380.0</v>
      </c>
      <c r="F2484" s="4">
        <v>-1.497962E7</v>
      </c>
      <c r="G2484" s="4">
        <f t="array" ref="G2484">IFERROR((C2484-B2484)/C2484*100, "N/A")</f>
        <v>-73501.57017</v>
      </c>
      <c r="J2484" s="1"/>
      <c r="K2484" s="1"/>
    </row>
    <row r="2485" ht="14.25" customHeight="1">
      <c r="A2485" s="1" t="s">
        <v>11969</v>
      </c>
      <c r="B2485" s="1">
        <v>1.46E7</v>
      </c>
      <c r="C2485" s="1">
        <v>7.0906973E7</v>
      </c>
      <c r="F2485" s="4">
        <v>5.6306973E7</v>
      </c>
      <c r="G2485" s="4">
        <f t="array" ref="G2485">IFERROR((C2485-B2485)/C2485*100, "N/A")</f>
        <v>79.40964142</v>
      </c>
      <c r="J2485" s="1"/>
      <c r="K2485" s="1"/>
    </row>
    <row r="2486" ht="14.25" customHeight="1">
      <c r="A2486" s="1" t="s">
        <v>11973</v>
      </c>
      <c r="B2486" s="1">
        <v>1.48E7</v>
      </c>
      <c r="C2486" s="1">
        <v>6.6009973E7</v>
      </c>
      <c r="F2486" s="4">
        <v>5.1209973E7</v>
      </c>
      <c r="G2486" s="4">
        <f t="array" ref="G2486">IFERROR((C2486-B2486)/C2486*100, "N/A")</f>
        <v>77.5791455</v>
      </c>
      <c r="J2486" s="1"/>
      <c r="K2486" s="1"/>
    </row>
    <row r="2487" ht="14.25" customHeight="1">
      <c r="A2487" s="1" t="s">
        <v>11976</v>
      </c>
      <c r="B2487" s="1">
        <v>1.45E7</v>
      </c>
      <c r="C2487" s="1">
        <v>4.6338728E7</v>
      </c>
      <c r="F2487" s="4">
        <v>3.1838728E7</v>
      </c>
      <c r="G2487" s="4">
        <f t="array" ref="G2487">IFERROR((C2487-B2487)/C2487*100, "N/A")</f>
        <v>68.70867927</v>
      </c>
      <c r="J2487" s="1"/>
      <c r="K2487" s="1"/>
    </row>
    <row r="2488" ht="14.25" customHeight="1">
      <c r="A2488" s="1" t="s">
        <v>11980</v>
      </c>
      <c r="B2488" s="1">
        <v>1.0E7</v>
      </c>
      <c r="C2488" s="1">
        <v>7691700.0</v>
      </c>
      <c r="F2488" s="4">
        <v>-2308300.0</v>
      </c>
      <c r="G2488" s="4">
        <f t="array" ref="G2488">IFERROR((C2488-B2488)/C2488*100, "N/A")</f>
        <v>-30.01027081</v>
      </c>
      <c r="J2488" s="1"/>
      <c r="K2488" s="1"/>
    </row>
    <row r="2489" ht="14.25" customHeight="1">
      <c r="A2489" s="1" t="s">
        <v>11984</v>
      </c>
      <c r="B2489" s="1">
        <v>1.44E7</v>
      </c>
      <c r="C2489" s="1">
        <v>1.01157447E8</v>
      </c>
      <c r="F2489" s="4">
        <v>8.6757447E7</v>
      </c>
      <c r="G2489" s="4">
        <f t="array" ref="G2489">IFERROR((C2489-B2489)/C2489*100, "N/A")</f>
        <v>85.7647653</v>
      </c>
      <c r="J2489" s="1"/>
      <c r="K2489" s="1"/>
    </row>
    <row r="2490" ht="14.25" customHeight="1">
      <c r="A2490" s="1" t="s">
        <v>11988</v>
      </c>
      <c r="B2490" s="1">
        <v>1.42E7</v>
      </c>
      <c r="C2490" s="1">
        <v>74205.0</v>
      </c>
      <c r="F2490" s="4">
        <v>-1.4125795E7</v>
      </c>
      <c r="G2490" s="4">
        <f t="array" ref="G2490">IFERROR((C2490-B2490)/C2490*100, "N/A")</f>
        <v>-19036.17681</v>
      </c>
      <c r="J2490" s="1"/>
      <c r="K2490" s="1"/>
    </row>
    <row r="2491" ht="14.25" customHeight="1">
      <c r="A2491" s="1" t="s">
        <v>11993</v>
      </c>
      <c r="B2491" s="1">
        <v>1.5E7</v>
      </c>
      <c r="C2491" s="1">
        <v>1.41319195E8</v>
      </c>
      <c r="F2491" s="4">
        <v>1.26319195E8</v>
      </c>
      <c r="G2491" s="4">
        <f t="array" ref="G2491">IFERROR((C2491-B2491)/C2491*100, "N/A")</f>
        <v>89.38573065</v>
      </c>
      <c r="J2491" s="1"/>
      <c r="K2491" s="1"/>
    </row>
    <row r="2492" ht="14.25" customHeight="1">
      <c r="A2492" s="1" t="s">
        <v>11999</v>
      </c>
      <c r="B2492" s="1">
        <v>1.4E7</v>
      </c>
      <c r="C2492" s="1">
        <v>1.56645693E8</v>
      </c>
      <c r="F2492" s="4">
        <v>1.42645693E8</v>
      </c>
      <c r="G2492" s="4">
        <f t="array" ref="G2492">IFERROR((C2492-B2492)/C2492*100, "N/A")</f>
        <v>91.0626333</v>
      </c>
      <c r="J2492" s="1"/>
      <c r="K2492" s="1"/>
    </row>
    <row r="2493" ht="14.25" customHeight="1">
      <c r="A2493" s="1" t="s">
        <v>12003</v>
      </c>
      <c r="B2493" s="1">
        <v>1.4E7</v>
      </c>
      <c r="C2493" s="1">
        <v>1.78406268E8</v>
      </c>
      <c r="F2493" s="4">
        <v>1.64406268E8</v>
      </c>
      <c r="G2493" s="4">
        <f t="array" ref="G2493">IFERROR((C2493-B2493)/C2493*100, "N/A")</f>
        <v>92.15274208</v>
      </c>
      <c r="J2493" s="1"/>
      <c r="K2493" s="1"/>
    </row>
    <row r="2494" ht="14.25" customHeight="1">
      <c r="A2494" s="1" t="s">
        <v>12007</v>
      </c>
      <c r="B2494" s="1">
        <v>1.58E7</v>
      </c>
      <c r="C2494" s="1">
        <v>1.0930621E8</v>
      </c>
      <c r="F2494" s="4">
        <v>9.350621E7</v>
      </c>
      <c r="G2494" s="4">
        <f t="array" ref="G2494">IFERROR((C2494-B2494)/C2494*100, "N/A")</f>
        <v>85.54519455</v>
      </c>
      <c r="J2494" s="1"/>
      <c r="K2494" s="1"/>
    </row>
    <row r="2495" ht="14.25" customHeight="1">
      <c r="A2495" s="1" t="s">
        <v>12011</v>
      </c>
      <c r="B2495" s="1">
        <v>1.4E7</v>
      </c>
      <c r="C2495" s="1">
        <v>7.0001698E7</v>
      </c>
      <c r="F2495" s="4">
        <v>5.6001698E7</v>
      </c>
      <c r="G2495" s="4">
        <f t="array" ref="G2495">IFERROR((C2495-B2495)/C2495*100, "N/A")</f>
        <v>80.00048513</v>
      </c>
      <c r="J2495" s="1"/>
      <c r="K2495" s="1"/>
    </row>
    <row r="2496" ht="14.25" customHeight="1">
      <c r="A2496" s="1" t="s">
        <v>12014</v>
      </c>
      <c r="B2496" s="1">
        <v>1.5E7</v>
      </c>
      <c r="C2496" s="1">
        <v>6.8856263E7</v>
      </c>
      <c r="F2496" s="4">
        <v>5.3856263E7</v>
      </c>
      <c r="G2496" s="4">
        <f t="array" ref="G2496">IFERROR((C2496-B2496)/C2496*100, "N/A")</f>
        <v>78.21548927</v>
      </c>
      <c r="J2496" s="1"/>
      <c r="K2496" s="1"/>
    </row>
    <row r="2497" ht="14.25" customHeight="1">
      <c r="A2497" s="1" t="s">
        <v>12018</v>
      </c>
      <c r="B2497" s="1">
        <v>1.5E7</v>
      </c>
      <c r="C2497" s="1">
        <v>5.1527787E7</v>
      </c>
      <c r="F2497" s="4">
        <v>3.6527787E7</v>
      </c>
      <c r="G2497" s="4">
        <f t="array" ref="G2497">IFERROR((C2497-B2497)/C2497*100, "N/A")</f>
        <v>70.88949308</v>
      </c>
      <c r="J2497" s="1"/>
      <c r="K2497" s="1"/>
    </row>
    <row r="2498" ht="14.25" customHeight="1">
      <c r="A2498" s="1" t="s">
        <v>9160</v>
      </c>
      <c r="B2498" s="1">
        <v>1.4E7</v>
      </c>
      <c r="C2498" s="1">
        <v>4.9122319E7</v>
      </c>
      <c r="F2498" s="4">
        <v>3.5122319E7</v>
      </c>
      <c r="G2498" s="4">
        <f t="array" ref="G2498">IFERROR((C2498-B2498)/C2498*100, "N/A")</f>
        <v>71.49971686</v>
      </c>
      <c r="J2498" s="1"/>
      <c r="K2498" s="1"/>
    </row>
    <row r="2499" ht="14.25" customHeight="1">
      <c r="A2499" s="1" t="s">
        <v>12022</v>
      </c>
      <c r="B2499" s="1">
        <v>1.4E7</v>
      </c>
      <c r="C2499" s="1">
        <v>6.1356221E7</v>
      </c>
      <c r="F2499" s="4">
        <v>4.7356221E7</v>
      </c>
      <c r="G2499" s="4">
        <f t="array" ref="G2499">IFERROR((C2499-B2499)/C2499*100, "N/A")</f>
        <v>77.18242784</v>
      </c>
      <c r="J2499" s="1"/>
      <c r="K2499" s="1"/>
    </row>
    <row r="2500" ht="14.25" customHeight="1">
      <c r="A2500" s="1" t="s">
        <v>12025</v>
      </c>
      <c r="B2500" s="1">
        <v>1.4E7</v>
      </c>
      <c r="C2500" s="1">
        <v>4.68E7</v>
      </c>
      <c r="F2500" s="4">
        <v>3.28E7</v>
      </c>
      <c r="G2500" s="4">
        <f t="array" ref="G2500">IFERROR((C2500-B2500)/C2500*100, "N/A")</f>
        <v>70.08547009</v>
      </c>
      <c r="J2500" s="1"/>
      <c r="K2500" s="1"/>
    </row>
    <row r="2501" ht="14.25" customHeight="1">
      <c r="A2501" s="1" t="s">
        <v>12031</v>
      </c>
      <c r="B2501" s="1">
        <v>1.4E7</v>
      </c>
      <c r="C2501" s="1">
        <v>3.8048637E7</v>
      </c>
      <c r="F2501" s="4">
        <v>2.4048637E7</v>
      </c>
      <c r="G2501" s="4">
        <f t="array" ref="G2501">IFERROR((C2501-B2501)/C2501*100, "N/A")</f>
        <v>63.20498945</v>
      </c>
      <c r="J2501" s="1"/>
      <c r="K2501" s="1"/>
    </row>
    <row r="2502" ht="14.25" customHeight="1">
      <c r="A2502" s="1" t="s">
        <v>9261</v>
      </c>
      <c r="B2502" s="1">
        <v>1.4E7</v>
      </c>
      <c r="C2502" s="1">
        <v>3.47E7</v>
      </c>
      <c r="F2502" s="4">
        <v>2.07E7</v>
      </c>
      <c r="G2502" s="4">
        <f t="array" ref="G2502">IFERROR((C2502-B2502)/C2502*100, "N/A")</f>
        <v>59.65417867</v>
      </c>
      <c r="J2502" s="1"/>
      <c r="K2502" s="1"/>
    </row>
    <row r="2503" ht="14.25" customHeight="1">
      <c r="A2503" s="1" t="s">
        <v>12035</v>
      </c>
      <c r="B2503" s="1">
        <v>1.4E7</v>
      </c>
      <c r="C2503" s="1">
        <v>3.479316E7</v>
      </c>
      <c r="F2503" s="4">
        <v>2.079316E7</v>
      </c>
      <c r="G2503" s="4">
        <f t="array" ref="G2503">IFERROR((C2503-B2503)/C2503*100, "N/A")</f>
        <v>59.76220613</v>
      </c>
      <c r="J2503" s="1"/>
      <c r="K2503" s="1"/>
    </row>
    <row r="2504" ht="14.25" customHeight="1">
      <c r="A2504" s="1" t="s">
        <v>12039</v>
      </c>
      <c r="B2504" s="1">
        <v>1.4E7</v>
      </c>
      <c r="C2504" s="1">
        <v>3.0628981E7</v>
      </c>
      <c r="F2504" s="4">
        <v>1.6628981E7</v>
      </c>
      <c r="G2504" s="4">
        <f t="array" ref="G2504">IFERROR((C2504-B2504)/C2504*100, "N/A")</f>
        <v>54.291656</v>
      </c>
      <c r="J2504" s="1"/>
      <c r="K2504" s="1"/>
    </row>
    <row r="2505" ht="14.25" customHeight="1">
      <c r="A2505" s="1" t="s">
        <v>12042</v>
      </c>
      <c r="B2505" s="1">
        <v>1.3E7</v>
      </c>
      <c r="C2505" s="1">
        <v>2.9959436E7</v>
      </c>
      <c r="F2505" s="4">
        <v>1.6959436E7</v>
      </c>
      <c r="G2505" s="4">
        <f t="array" ref="G2505">IFERROR((C2505-B2505)/C2505*100, "N/A")</f>
        <v>56.60799489</v>
      </c>
      <c r="J2505" s="1"/>
      <c r="K2505" s="1"/>
    </row>
    <row r="2506" ht="14.25" customHeight="1">
      <c r="A2506" s="1" t="s">
        <v>12046</v>
      </c>
      <c r="B2506" s="1">
        <v>1.4E7</v>
      </c>
      <c r="C2506" s="1">
        <v>2.5571351E7</v>
      </c>
      <c r="F2506" s="4">
        <v>1.1571351E7</v>
      </c>
      <c r="G2506" s="4">
        <f t="array" ref="G2506">IFERROR((C2506-B2506)/C2506*100, "N/A")</f>
        <v>45.25123057</v>
      </c>
      <c r="J2506" s="1"/>
      <c r="K2506" s="1"/>
    </row>
    <row r="2507" ht="14.25" customHeight="1">
      <c r="A2507" s="1" t="s">
        <v>12050</v>
      </c>
      <c r="B2507" s="1">
        <v>1.4E7</v>
      </c>
      <c r="C2507" s="1">
        <v>2.7515786E7</v>
      </c>
      <c r="F2507" s="4">
        <v>1.3515786E7</v>
      </c>
      <c r="G2507" s="4">
        <f t="array" ref="G2507">IFERROR((C2507-B2507)/C2507*100, "N/A")</f>
        <v>49.12011599</v>
      </c>
      <c r="J2507" s="1"/>
      <c r="K2507" s="1"/>
    </row>
    <row r="2508" ht="14.25" customHeight="1">
      <c r="A2508" s="1" t="s">
        <v>12054</v>
      </c>
      <c r="B2508" s="1">
        <v>1.4E7</v>
      </c>
      <c r="C2508" s="1">
        <v>2.5482931E7</v>
      </c>
      <c r="F2508" s="4">
        <v>1.1482931E7</v>
      </c>
      <c r="G2508" s="4">
        <f t="array" ref="G2508">IFERROR((C2508-B2508)/C2508*100, "N/A")</f>
        <v>45.06126473</v>
      </c>
      <c r="J2508" s="1"/>
      <c r="K2508" s="1"/>
    </row>
    <row r="2509" ht="14.25" customHeight="1">
      <c r="A2509" s="1" t="s">
        <v>12059</v>
      </c>
      <c r="B2509" s="1">
        <v>2.0E7</v>
      </c>
      <c r="C2509" s="1">
        <v>1.99E7</v>
      </c>
      <c r="F2509" s="4">
        <v>-100000.0</v>
      </c>
      <c r="G2509" s="4">
        <f t="array" ref="G2509">IFERROR((C2509-B2509)/C2509*100, "N/A")</f>
        <v>-0.5025125628</v>
      </c>
      <c r="J2509" s="1"/>
      <c r="K2509" s="1"/>
    </row>
    <row r="2510" ht="14.25" customHeight="1">
      <c r="A2510" s="1" t="s">
        <v>12063</v>
      </c>
      <c r="B2510" s="1">
        <v>1.4E7</v>
      </c>
      <c r="C2510" s="1">
        <v>1.6298046E7</v>
      </c>
      <c r="F2510" s="4">
        <v>2298046.0</v>
      </c>
      <c r="G2510" s="4">
        <f t="array" ref="G2510">IFERROR((C2510-B2510)/C2510*100, "N/A")</f>
        <v>14.100132</v>
      </c>
      <c r="J2510" s="1"/>
      <c r="K2510" s="1"/>
    </row>
    <row r="2511" ht="14.25" customHeight="1">
      <c r="A2511" s="1" t="s">
        <v>12066</v>
      </c>
      <c r="B2511" s="1">
        <v>1.4E7</v>
      </c>
      <c r="C2511" s="1">
        <v>1.5549702E7</v>
      </c>
      <c r="F2511" s="4">
        <v>1549702.0</v>
      </c>
      <c r="G2511" s="4">
        <f t="array" ref="G2511">IFERROR((C2511-B2511)/C2511*100, "N/A")</f>
        <v>9.966120251</v>
      </c>
      <c r="J2511" s="1"/>
      <c r="K2511" s="1"/>
    </row>
    <row r="2512" ht="14.25" customHeight="1">
      <c r="A2512" s="1" t="s">
        <v>12069</v>
      </c>
      <c r="B2512" s="1">
        <v>1.4E7</v>
      </c>
      <c r="C2512" s="1">
        <v>1.548354E7</v>
      </c>
      <c r="F2512" s="4">
        <v>1483540.0</v>
      </c>
      <c r="G2512" s="4">
        <f t="array" ref="G2512">IFERROR((C2512-B2512)/C2512*100, "N/A")</f>
        <v>9.581400636</v>
      </c>
      <c r="J2512" s="1"/>
      <c r="K2512" s="1"/>
    </row>
    <row r="2513" ht="14.25" customHeight="1">
      <c r="A2513" s="1" t="s">
        <v>12074</v>
      </c>
      <c r="B2513" s="1">
        <v>1.4E7</v>
      </c>
      <c r="C2513" s="1">
        <v>2.0246959E7</v>
      </c>
      <c r="F2513" s="4">
        <v>6246959.0</v>
      </c>
      <c r="G2513" s="4">
        <f t="array" ref="G2513">IFERROR((C2513-B2513)/C2513*100, "N/A")</f>
        <v>30.85381365</v>
      </c>
      <c r="J2513" s="1"/>
      <c r="K2513" s="1"/>
    </row>
    <row r="2514" ht="14.25" customHeight="1">
      <c r="A2514" s="1" t="s">
        <v>12079</v>
      </c>
      <c r="B2514" s="1">
        <v>1.4E7</v>
      </c>
      <c r="C2514" s="1">
        <v>1.5062898E7</v>
      </c>
      <c r="F2514" s="4">
        <v>1062898.0</v>
      </c>
      <c r="G2514" s="4">
        <f t="array" ref="G2514">IFERROR((C2514-B2514)/C2514*100, "N/A")</f>
        <v>7.056397779</v>
      </c>
      <c r="J2514" s="1"/>
      <c r="K2514" s="1"/>
    </row>
    <row r="2515" ht="14.25" customHeight="1">
      <c r="A2515" s="1" t="s">
        <v>12084</v>
      </c>
      <c r="B2515" s="1">
        <v>1.2E7</v>
      </c>
      <c r="C2515" s="1">
        <v>1.4348123E7</v>
      </c>
      <c r="F2515" s="4">
        <v>2348123.0</v>
      </c>
      <c r="G2515" s="4">
        <f t="array" ref="G2515">IFERROR((C2515-B2515)/C2515*100, "N/A")</f>
        <v>16.36536709</v>
      </c>
      <c r="J2515" s="1"/>
      <c r="K2515" s="1"/>
    </row>
    <row r="2516" ht="14.25" customHeight="1">
      <c r="A2516" s="1" t="s">
        <v>12090</v>
      </c>
      <c r="B2516" s="1">
        <v>8500000.0</v>
      </c>
      <c r="C2516" s="1">
        <v>1.5171475E7</v>
      </c>
      <c r="F2516" s="4">
        <v>6671475.0</v>
      </c>
      <c r="G2516" s="4">
        <f t="array" ref="G2516">IFERROR((C2516-B2516)/C2516*100, "N/A")</f>
        <v>43.97380611</v>
      </c>
      <c r="J2516" s="1"/>
      <c r="K2516" s="1"/>
    </row>
    <row r="2517" ht="14.25" customHeight="1">
      <c r="A2517" s="1" t="s">
        <v>12094</v>
      </c>
      <c r="B2517" s="1">
        <v>1.4E7</v>
      </c>
      <c r="C2517" s="1">
        <v>1.364E7</v>
      </c>
      <c r="F2517" s="4">
        <v>-360000.0</v>
      </c>
      <c r="G2517" s="4">
        <f t="array" ref="G2517">IFERROR((C2517-B2517)/C2517*100, "N/A")</f>
        <v>-2.639296188</v>
      </c>
      <c r="J2517" s="1"/>
      <c r="K2517" s="1"/>
    </row>
    <row r="2518" ht="14.25" customHeight="1">
      <c r="A2518" s="1" t="s">
        <v>12098</v>
      </c>
      <c r="B2518" s="1">
        <v>1.1E7</v>
      </c>
      <c r="C2518" s="1">
        <v>1.2610731E7</v>
      </c>
      <c r="F2518" s="4">
        <v>1610731.0</v>
      </c>
      <c r="G2518" s="4">
        <f t="array" ref="G2518">IFERROR((C2518-B2518)/C2518*100, "N/A")</f>
        <v>12.77270128</v>
      </c>
      <c r="J2518" s="1"/>
      <c r="K2518" s="1"/>
    </row>
    <row r="2519" ht="14.25" customHeight="1">
      <c r="A2519" s="1" t="s">
        <v>11504</v>
      </c>
      <c r="B2519" s="1">
        <v>1.5E7</v>
      </c>
      <c r="C2519" s="1">
        <v>4.7811275E7</v>
      </c>
      <c r="F2519" s="4">
        <v>3.2811275E7</v>
      </c>
      <c r="G2519" s="4">
        <f t="array" ref="G2519">IFERROR((C2519-B2519)/C2519*100, "N/A")</f>
        <v>68.62664717</v>
      </c>
      <c r="J2519" s="1"/>
      <c r="K2519" s="1"/>
    </row>
    <row r="2520" ht="14.25" customHeight="1">
      <c r="A2520" s="1" t="s">
        <v>12104</v>
      </c>
      <c r="B2520" s="1">
        <v>1.4E7</v>
      </c>
      <c r="C2520" s="1">
        <v>1.1204499E7</v>
      </c>
      <c r="F2520" s="4">
        <v>-2795501.0</v>
      </c>
      <c r="G2520" s="4">
        <f t="array" ref="G2520">IFERROR((C2520-B2520)/C2520*100, "N/A")</f>
        <v>-24.94980811</v>
      </c>
      <c r="J2520" s="1"/>
      <c r="K2520" s="1"/>
    </row>
    <row r="2521" ht="14.25" customHeight="1">
      <c r="A2521" s="1" t="s">
        <v>12107</v>
      </c>
      <c r="B2521" s="1">
        <v>1.4E7</v>
      </c>
      <c r="C2521" s="1">
        <v>1.0397365E7</v>
      </c>
      <c r="F2521" s="4">
        <v>-3602635.0</v>
      </c>
      <c r="G2521" s="4">
        <f t="array" ref="G2521">IFERROR((C2521-B2521)/C2521*100, "N/A")</f>
        <v>-34.64950014</v>
      </c>
      <c r="J2521" s="1"/>
      <c r="K2521" s="1"/>
    </row>
    <row r="2522" ht="14.25" customHeight="1">
      <c r="A2522" s="1" t="s">
        <v>12113</v>
      </c>
      <c r="B2522" s="1">
        <v>1.4E7</v>
      </c>
      <c r="C2522" s="1">
        <v>9402410.0</v>
      </c>
      <c r="F2522" s="4">
        <v>-4597590.0</v>
      </c>
      <c r="G2522" s="4">
        <f t="array" ref="G2522">IFERROR((C2522-B2522)/C2522*100, "N/A")</f>
        <v>-48.8979953</v>
      </c>
      <c r="J2522" s="1"/>
      <c r="K2522" s="1"/>
    </row>
    <row r="2523" ht="14.25" customHeight="1">
      <c r="A2523" s="1" t="s">
        <v>12118</v>
      </c>
      <c r="B2523" s="1">
        <v>2.6E7</v>
      </c>
      <c r="C2523" s="1">
        <v>5459824.0</v>
      </c>
      <c r="F2523" s="4">
        <v>-2.0540176E7</v>
      </c>
      <c r="G2523" s="4">
        <f t="array" ref="G2523">IFERROR((C2523-B2523)/C2523*100, "N/A")</f>
        <v>-376.2058264</v>
      </c>
      <c r="J2523" s="1"/>
      <c r="K2523" s="1"/>
    </row>
    <row r="2524" ht="14.25" customHeight="1">
      <c r="A2524" s="1" t="s">
        <v>12123</v>
      </c>
      <c r="B2524" s="1">
        <v>2.4E7</v>
      </c>
      <c r="C2524" s="1">
        <v>5108820.0</v>
      </c>
      <c r="F2524" s="4">
        <v>-1.889118E7</v>
      </c>
      <c r="G2524" s="4">
        <f t="array" ref="G2524">IFERROR((C2524-B2524)/C2524*100, "N/A")</f>
        <v>-369.7757995</v>
      </c>
      <c r="J2524" s="1"/>
      <c r="K2524" s="1"/>
    </row>
    <row r="2525" ht="14.25" customHeight="1">
      <c r="A2525" s="1" t="s">
        <v>12128</v>
      </c>
      <c r="B2525" s="1">
        <v>1.4E7</v>
      </c>
      <c r="C2525" s="1">
        <v>4741987.0</v>
      </c>
      <c r="F2525" s="4">
        <v>-9258013.0</v>
      </c>
      <c r="G2525" s="4">
        <f t="array" ref="G2525">IFERROR((C2525-B2525)/C2525*100, "N/A")</f>
        <v>-195.2348878</v>
      </c>
      <c r="J2525" s="1"/>
      <c r="K2525" s="1"/>
    </row>
    <row r="2526" ht="14.25" customHeight="1">
      <c r="A2526" s="1" t="s">
        <v>12132</v>
      </c>
      <c r="B2526" s="1">
        <v>1.4E7</v>
      </c>
      <c r="C2526" s="1">
        <v>4291965.0</v>
      </c>
      <c r="F2526" s="4">
        <v>-9708035.0</v>
      </c>
      <c r="G2526" s="4">
        <f t="array" ref="G2526">IFERROR((C2526-B2526)/C2526*100, "N/A")</f>
        <v>-226.1909172</v>
      </c>
      <c r="J2526" s="1"/>
      <c r="K2526" s="1"/>
    </row>
    <row r="2527" ht="14.25" customHeight="1">
      <c r="A2527" s="1" t="s">
        <v>12137</v>
      </c>
      <c r="B2527" s="1">
        <v>1.4E7</v>
      </c>
      <c r="C2527" s="1">
        <v>3100650.0</v>
      </c>
      <c r="F2527" s="4">
        <v>-1.089935E7</v>
      </c>
      <c r="G2527" s="4">
        <f t="array" ref="G2527">IFERROR((C2527-B2527)/C2527*100, "N/A")</f>
        <v>-351.51823</v>
      </c>
      <c r="J2527" s="1"/>
      <c r="K2527" s="1"/>
    </row>
    <row r="2528" ht="14.25" customHeight="1">
      <c r="A2528" s="1" t="s">
        <v>12143</v>
      </c>
      <c r="B2528" s="1">
        <v>1.4E7</v>
      </c>
      <c r="C2528" s="1">
        <v>2474000.0</v>
      </c>
      <c r="F2528" s="4">
        <v>-1.1526E7</v>
      </c>
      <c r="G2528" s="4">
        <f t="array" ref="G2528">IFERROR((C2528-B2528)/C2528*100, "N/A")</f>
        <v>-465.8852061</v>
      </c>
      <c r="J2528" s="1"/>
      <c r="K2528" s="1"/>
    </row>
    <row r="2529" ht="14.25" customHeight="1">
      <c r="A2529" s="1" t="s">
        <v>12149</v>
      </c>
      <c r="B2529" s="1">
        <v>1.4E7</v>
      </c>
      <c r="C2529" s="1">
        <v>1000000.0</v>
      </c>
      <c r="F2529" s="4">
        <v>-1.3E7</v>
      </c>
      <c r="G2529" s="4">
        <f t="array" ref="G2529">IFERROR((C2529-B2529)/C2529*100, "N/A")</f>
        <v>-1300</v>
      </c>
      <c r="J2529" s="1"/>
      <c r="K2529" s="1"/>
    </row>
    <row r="2530" ht="14.25" customHeight="1">
      <c r="A2530" s="1" t="s">
        <v>12154</v>
      </c>
      <c r="B2530" s="1">
        <v>8200000.0</v>
      </c>
      <c r="C2530" s="1">
        <v>3958500.0</v>
      </c>
      <c r="F2530" s="4">
        <v>-4241500.0</v>
      </c>
      <c r="G2530" s="4">
        <f t="array" ref="G2530">IFERROR((C2530-B2530)/C2530*100, "N/A")</f>
        <v>-107.1491727</v>
      </c>
      <c r="J2530" s="1"/>
      <c r="K2530" s="1"/>
    </row>
    <row r="2531" ht="14.25" customHeight="1">
      <c r="A2531" s="1" t="s">
        <v>12159</v>
      </c>
      <c r="B2531" s="1">
        <v>1.03E8</v>
      </c>
      <c r="C2531" s="1">
        <v>274299.0</v>
      </c>
      <c r="F2531" s="4">
        <v>-1.02725701E8</v>
      </c>
      <c r="G2531" s="4">
        <f t="array" ref="G2531">IFERROR((C2531-B2531)/C2531*100, "N/A")</f>
        <v>-37450.26449</v>
      </c>
      <c r="J2531" s="1"/>
      <c r="K2531" s="1"/>
    </row>
    <row r="2532" ht="14.25" customHeight="1">
      <c r="A2532" s="1" t="s">
        <v>12165</v>
      </c>
      <c r="B2532" s="1">
        <v>1.5E7</v>
      </c>
      <c r="C2532" s="1">
        <v>183088.0</v>
      </c>
      <c r="F2532" s="4">
        <v>-1.4816912E7</v>
      </c>
      <c r="G2532" s="4">
        <f t="array" ref="G2532">IFERROR((C2532-B2532)/C2532*100, "N/A")</f>
        <v>-8092.781613</v>
      </c>
      <c r="J2532" s="1"/>
      <c r="K2532" s="1"/>
    </row>
    <row r="2533" ht="14.25" customHeight="1">
      <c r="A2533" s="1" t="s">
        <v>12169</v>
      </c>
      <c r="B2533" s="1">
        <v>1.4E7</v>
      </c>
      <c r="C2533" s="1">
        <v>46495.0</v>
      </c>
      <c r="F2533" s="4">
        <v>-1.3953505E7</v>
      </c>
      <c r="G2533" s="4">
        <f t="array" ref="G2533">IFERROR((C2533-B2533)/C2533*100, "N/A")</f>
        <v>-30010.7646</v>
      </c>
      <c r="J2533" s="1"/>
      <c r="K2533" s="1"/>
    </row>
    <row r="2534" ht="14.25" customHeight="1">
      <c r="A2534" s="1" t="s">
        <v>12173</v>
      </c>
      <c r="B2534" s="1">
        <v>1.4E7</v>
      </c>
      <c r="C2534" s="1">
        <v>1752214.0</v>
      </c>
      <c r="F2534" s="4">
        <v>-1.2247786E7</v>
      </c>
      <c r="G2534" s="4">
        <f t="array" ref="G2534">IFERROR((C2534-B2534)/C2534*100, "N/A")</f>
        <v>-698.9891646</v>
      </c>
      <c r="J2534" s="1"/>
      <c r="K2534" s="1"/>
    </row>
    <row r="2535" ht="14.25" customHeight="1">
      <c r="A2535" s="1" t="s">
        <v>12176</v>
      </c>
      <c r="B2535" s="1">
        <v>1.4E7</v>
      </c>
      <c r="C2535" s="1">
        <v>8.3025853E7</v>
      </c>
      <c r="F2535" s="4">
        <v>6.9025853E7</v>
      </c>
      <c r="G2535" s="4">
        <f t="array" ref="G2535">IFERROR((C2535-B2535)/C2535*100, "N/A")</f>
        <v>83.1377824</v>
      </c>
      <c r="J2535" s="1"/>
      <c r="K2535" s="1"/>
    </row>
    <row r="2536" ht="14.25" customHeight="1">
      <c r="A2536" s="1" t="s">
        <v>1411</v>
      </c>
      <c r="B2536" s="1">
        <v>1.25E8</v>
      </c>
      <c r="C2536" s="1">
        <v>1.9087124E8</v>
      </c>
      <c r="F2536" s="4">
        <v>6.587124E7</v>
      </c>
      <c r="G2536" s="4">
        <f t="array" ref="G2536">IFERROR((C2536-B2536)/C2536*100, "N/A")</f>
        <v>34.5108252</v>
      </c>
      <c r="J2536" s="1"/>
      <c r="K2536" s="1"/>
    </row>
    <row r="2537" ht="14.25" customHeight="1">
      <c r="A2537" s="1" t="s">
        <v>12179</v>
      </c>
      <c r="B2537" s="1">
        <v>1.2E7</v>
      </c>
      <c r="C2537" s="1">
        <v>5.6631572E7</v>
      </c>
      <c r="F2537" s="4">
        <v>4.4631572E7</v>
      </c>
      <c r="G2537" s="4">
        <f t="array" ref="G2537">IFERROR((C2537-B2537)/C2537*100, "N/A")</f>
        <v>78.81040632</v>
      </c>
      <c r="J2537" s="1"/>
      <c r="K2537" s="1"/>
    </row>
    <row r="2538" ht="14.25" customHeight="1">
      <c r="A2538" s="1" t="s">
        <v>12183</v>
      </c>
      <c r="B2538" s="1">
        <v>1.35E7</v>
      </c>
      <c r="C2538" s="1">
        <v>1.5854988E7</v>
      </c>
      <c r="F2538" s="4">
        <v>2354988.0</v>
      </c>
      <c r="G2538" s="4">
        <f t="array" ref="G2538">IFERROR((C2538-B2538)/C2538*100, "N/A")</f>
        <v>14.85329412</v>
      </c>
      <c r="J2538" s="1"/>
      <c r="K2538" s="1"/>
    </row>
    <row r="2539" ht="14.25" customHeight="1">
      <c r="A2539" s="1" t="s">
        <v>12186</v>
      </c>
      <c r="B2539" s="1">
        <v>1.4E7</v>
      </c>
      <c r="C2539" s="1">
        <v>1.2282677E7</v>
      </c>
      <c r="F2539" s="4">
        <v>-1717323.0</v>
      </c>
      <c r="G2539" s="4">
        <f t="array" ref="G2539">IFERROR((C2539-B2539)/C2539*100, "N/A")</f>
        <v>-13.98166703</v>
      </c>
      <c r="J2539" s="1"/>
      <c r="K2539" s="1"/>
    </row>
    <row r="2540" ht="14.25" customHeight="1">
      <c r="A2540" s="1" t="s">
        <v>12189</v>
      </c>
      <c r="B2540" s="1">
        <v>1.35E7</v>
      </c>
      <c r="C2540" s="1">
        <v>7060876.0</v>
      </c>
      <c r="F2540" s="4">
        <v>-6439124.0</v>
      </c>
      <c r="G2540" s="4">
        <f t="array" ref="G2540">IFERROR((C2540-B2540)/C2540*100, "N/A")</f>
        <v>-91.19440704</v>
      </c>
      <c r="J2540" s="1"/>
      <c r="K2540" s="1"/>
    </row>
    <row r="2541" ht="14.25" customHeight="1">
      <c r="A2541" s="1" t="s">
        <v>12194</v>
      </c>
      <c r="B2541" s="1">
        <v>1.5E7</v>
      </c>
      <c r="C2541" s="1">
        <v>1.4989761E7</v>
      </c>
      <c r="F2541" s="4">
        <v>-10239.0</v>
      </c>
      <c r="G2541" s="4">
        <f t="array" ref="G2541">IFERROR((C2541-B2541)/C2541*100, "N/A")</f>
        <v>-0.0683066261</v>
      </c>
      <c r="J2541" s="1"/>
      <c r="K2541" s="1"/>
    </row>
    <row r="2542" ht="14.25" customHeight="1">
      <c r="A2542" s="1" t="s">
        <v>12197</v>
      </c>
      <c r="B2542" s="1">
        <v>1.35E7</v>
      </c>
      <c r="C2542" s="1">
        <v>5501940.0</v>
      </c>
      <c r="F2542" s="4">
        <v>-7998060.0</v>
      </c>
      <c r="G2542" s="4">
        <f t="array" ref="G2542">IFERROR((C2542-B2542)/C2542*100, "N/A")</f>
        <v>-145.3679975</v>
      </c>
      <c r="J2542" s="1"/>
      <c r="K2542" s="1"/>
    </row>
    <row r="2543" ht="14.25" customHeight="1">
      <c r="A2543" s="1" t="s">
        <v>12201</v>
      </c>
      <c r="B2543" s="1">
        <v>1.0E7</v>
      </c>
      <c r="C2543" s="1">
        <v>2086345.0</v>
      </c>
      <c r="F2543" s="4">
        <v>-7913655.0</v>
      </c>
      <c r="G2543" s="4">
        <f t="array" ref="G2543">IFERROR((C2543-B2543)/C2543*100, "N/A")</f>
        <v>-379.3071136</v>
      </c>
      <c r="J2543" s="1"/>
      <c r="K2543" s="1"/>
    </row>
    <row r="2544" ht="14.25" customHeight="1">
      <c r="A2544" s="1" t="s">
        <v>12207</v>
      </c>
      <c r="B2544" s="1">
        <v>1.3E7</v>
      </c>
      <c r="C2544" s="1">
        <v>1.2392237E8</v>
      </c>
      <c r="F2544" s="4">
        <v>1.1092237E8</v>
      </c>
      <c r="G2544" s="4">
        <f t="array" ref="G2544">IFERROR((C2544-B2544)/C2544*100, "N/A")</f>
        <v>89.50956151</v>
      </c>
      <c r="J2544" s="1"/>
      <c r="K2544" s="1"/>
    </row>
    <row r="2545" ht="14.25" customHeight="1">
      <c r="A2545" s="1" t="s">
        <v>12211</v>
      </c>
      <c r="B2545" s="1">
        <v>1.34E7</v>
      </c>
      <c r="C2545" s="1">
        <v>163591.0</v>
      </c>
      <c r="F2545" s="4">
        <v>-1.3236409E7</v>
      </c>
      <c r="G2545" s="4">
        <f t="array" ref="G2545">IFERROR((C2545-B2545)/C2545*100, "N/A")</f>
        <v>-8091.15966</v>
      </c>
      <c r="J2545" s="1"/>
      <c r="K2545" s="1"/>
    </row>
    <row r="2546" ht="14.25" customHeight="1">
      <c r="A2546" s="1" t="s">
        <v>12215</v>
      </c>
      <c r="B2546" s="1">
        <v>1.3E7</v>
      </c>
      <c r="C2546" s="1">
        <v>7.3000942E7</v>
      </c>
      <c r="F2546" s="4">
        <v>6.0000942E7</v>
      </c>
      <c r="G2546" s="4">
        <f t="array" ref="G2546">IFERROR((C2546-B2546)/C2546*100, "N/A")</f>
        <v>82.19201062</v>
      </c>
      <c r="J2546" s="1"/>
      <c r="K2546" s="1"/>
    </row>
    <row r="2547" ht="14.25" customHeight="1">
      <c r="A2547" s="1" t="s">
        <v>12220</v>
      </c>
      <c r="B2547" s="1">
        <v>1.3E7</v>
      </c>
      <c r="C2547" s="1">
        <v>1.06952327E8</v>
      </c>
      <c r="F2547" s="4">
        <v>9.3952327E7</v>
      </c>
      <c r="G2547" s="4">
        <f t="array" ref="G2547">IFERROR((C2547-B2547)/C2547*100, "N/A")</f>
        <v>87.84505175</v>
      </c>
      <c r="J2547" s="1"/>
      <c r="K2547" s="1"/>
    </row>
    <row r="2548" ht="14.25" customHeight="1">
      <c r="A2548" s="1" t="s">
        <v>1344</v>
      </c>
      <c r="B2548" s="1">
        <v>1.0E8</v>
      </c>
      <c r="C2548" s="1">
        <v>5.8607007E7</v>
      </c>
      <c r="F2548" s="4">
        <v>-4.1392993E7</v>
      </c>
      <c r="G2548" s="4">
        <f t="array" ref="G2548">IFERROR((C2548-B2548)/C2548*100, "N/A")</f>
        <v>-70.62806159</v>
      </c>
      <c r="J2548" s="1"/>
      <c r="K2548" s="1"/>
    </row>
    <row r="2549" ht="14.25" customHeight="1">
      <c r="A2549" s="1" t="s">
        <v>12223</v>
      </c>
      <c r="B2549" s="1">
        <v>1.3E7</v>
      </c>
      <c r="C2549" s="1">
        <v>5.73E7</v>
      </c>
      <c r="F2549" s="4">
        <v>4.43E7</v>
      </c>
      <c r="G2549" s="4">
        <f t="array" ref="G2549">IFERROR((C2549-B2549)/C2549*100, "N/A")</f>
        <v>77.31239092</v>
      </c>
      <c r="J2549" s="1"/>
      <c r="K2549" s="1"/>
    </row>
    <row r="2550" ht="14.25" customHeight="1">
      <c r="A2550" s="1" t="s">
        <v>12226</v>
      </c>
      <c r="B2550" s="1">
        <v>1.3E7</v>
      </c>
      <c r="C2550" s="1">
        <v>9.1038276E7</v>
      </c>
      <c r="F2550" s="4">
        <v>7.8038276E7</v>
      </c>
      <c r="G2550" s="4">
        <f t="array" ref="G2550">IFERROR((C2550-B2550)/C2550*100, "N/A")</f>
        <v>85.72029198</v>
      </c>
      <c r="J2550" s="1"/>
      <c r="K2550" s="1"/>
    </row>
    <row r="2551" ht="14.25" customHeight="1">
      <c r="A2551" s="1" t="s">
        <v>12230</v>
      </c>
      <c r="B2551" s="1">
        <v>7000000.0</v>
      </c>
      <c r="C2551" s="1">
        <v>4.93699E7</v>
      </c>
      <c r="F2551" s="4">
        <v>4.23699E7</v>
      </c>
      <c r="G2551" s="4">
        <f t="array" ref="G2551">IFERROR((C2551-B2551)/C2551*100, "N/A")</f>
        <v>85.82132028</v>
      </c>
      <c r="J2551" s="1"/>
      <c r="K2551" s="1"/>
    </row>
    <row r="2552" ht="14.25" customHeight="1">
      <c r="A2552" s="1" t="s">
        <v>12236</v>
      </c>
      <c r="B2552" s="1">
        <v>1.3E7</v>
      </c>
      <c r="C2552" s="1">
        <v>6.1693523E7</v>
      </c>
      <c r="F2552" s="4">
        <v>4.8693523E7</v>
      </c>
      <c r="G2552" s="4">
        <f t="array" ref="G2552">IFERROR((C2552-B2552)/C2552*100, "N/A")</f>
        <v>78.9280959</v>
      </c>
      <c r="J2552" s="1"/>
      <c r="K2552" s="1"/>
    </row>
    <row r="2553" ht="14.25" customHeight="1">
      <c r="A2553" s="1" t="s">
        <v>12241</v>
      </c>
      <c r="B2553" s="1">
        <v>1.3E7</v>
      </c>
      <c r="C2553" s="1">
        <v>4.6729374E7</v>
      </c>
      <c r="F2553" s="4">
        <v>3.3729374E7</v>
      </c>
      <c r="G2553" s="4">
        <f t="array" ref="G2553">IFERROR((C2553-B2553)/C2553*100, "N/A")</f>
        <v>72.18023935</v>
      </c>
      <c r="J2553" s="1"/>
      <c r="K2553" s="1"/>
    </row>
    <row r="2554" ht="14.25" customHeight="1">
      <c r="A2554" s="1" t="s">
        <v>12245</v>
      </c>
      <c r="B2554" s="1">
        <v>1.3E7</v>
      </c>
      <c r="C2554" s="1">
        <v>4.4726644E7</v>
      </c>
      <c r="F2554" s="4">
        <v>3.1726644E7</v>
      </c>
      <c r="G2554" s="4">
        <f t="array" ref="G2554">IFERROR((C2554-B2554)/C2554*100, "N/A")</f>
        <v>70.93455078</v>
      </c>
      <c r="J2554" s="1"/>
      <c r="K2554" s="1"/>
    </row>
    <row r="2555" ht="14.25" customHeight="1">
      <c r="A2555" s="1" t="s">
        <v>12251</v>
      </c>
      <c r="B2555" s="1">
        <v>1.3E7</v>
      </c>
      <c r="C2555" s="1">
        <v>4.4134898E7</v>
      </c>
      <c r="F2555" s="4">
        <v>3.1134898E7</v>
      </c>
      <c r="G2555" s="4">
        <f t="array" ref="G2555">IFERROR((C2555-B2555)/C2555*100, "N/A")</f>
        <v>70.54485092</v>
      </c>
      <c r="J2555" s="1"/>
      <c r="K2555" s="1"/>
    </row>
    <row r="2556" ht="14.25" customHeight="1">
      <c r="A2556" s="1" t="s">
        <v>12254</v>
      </c>
      <c r="B2556" s="1">
        <v>1.25E7</v>
      </c>
      <c r="C2556" s="1">
        <v>4.8637684E7</v>
      </c>
      <c r="F2556" s="4">
        <v>3.6137684E7</v>
      </c>
      <c r="G2556" s="4">
        <f t="array" ref="G2556">IFERROR((C2556-B2556)/C2556*100, "N/A")</f>
        <v>74.29976312</v>
      </c>
      <c r="J2556" s="1"/>
      <c r="K2556" s="1"/>
    </row>
    <row r="2557" ht="14.25" customHeight="1">
      <c r="A2557" s="1" t="s">
        <v>12257</v>
      </c>
      <c r="B2557" s="1">
        <v>1.6E7</v>
      </c>
      <c r="C2557" s="1">
        <v>3.8176108E7</v>
      </c>
      <c r="F2557" s="4">
        <v>2.2176108E7</v>
      </c>
      <c r="G2557" s="4">
        <f t="array" ref="G2557">IFERROR((C2557-B2557)/C2557*100, "N/A")</f>
        <v>58.0889702</v>
      </c>
      <c r="J2557" s="1"/>
      <c r="K2557" s="1"/>
    </row>
    <row r="2558" ht="14.25" customHeight="1">
      <c r="A2558" s="1" t="s">
        <v>12262</v>
      </c>
      <c r="B2558" s="1">
        <v>1.3E7</v>
      </c>
      <c r="C2558" s="1">
        <v>2.8972187E7</v>
      </c>
      <c r="F2558" s="4">
        <v>1.5972187E7</v>
      </c>
      <c r="G2558" s="4">
        <f t="array" ref="G2558">IFERROR((C2558-B2558)/C2558*100, "N/A")</f>
        <v>55.12937977</v>
      </c>
      <c r="J2558" s="1"/>
      <c r="K2558" s="1"/>
    </row>
    <row r="2559" ht="14.25" customHeight="1">
      <c r="A2559" s="1" t="s">
        <v>12267</v>
      </c>
      <c r="B2559" s="1">
        <v>8200000.0</v>
      </c>
      <c r="C2559" s="1">
        <v>2.79794E7</v>
      </c>
      <c r="F2559" s="4">
        <v>1.97794E7</v>
      </c>
      <c r="G2559" s="4">
        <f t="array" ref="G2559">IFERROR((C2559-B2559)/C2559*100, "N/A")</f>
        <v>70.69272393</v>
      </c>
      <c r="J2559" s="1"/>
      <c r="K2559" s="1"/>
    </row>
    <row r="2560" ht="14.25" customHeight="1">
      <c r="A2560" s="1" t="s">
        <v>12270</v>
      </c>
      <c r="B2560" s="1">
        <v>1.7E7</v>
      </c>
      <c r="C2560" s="1">
        <v>5.4257433E7</v>
      </c>
      <c r="F2560" s="4">
        <v>3.7257433E7</v>
      </c>
      <c r="G2560" s="4">
        <f t="array" ref="G2560">IFERROR((C2560-B2560)/C2560*100, "N/A")</f>
        <v>68.6678874</v>
      </c>
      <c r="J2560" s="1"/>
      <c r="K2560" s="1"/>
    </row>
    <row r="2561" ht="14.25" customHeight="1">
      <c r="A2561" s="1" t="s">
        <v>12275</v>
      </c>
      <c r="B2561" s="1">
        <v>1.3E7</v>
      </c>
      <c r="C2561" s="1">
        <v>23947.0</v>
      </c>
      <c r="F2561" s="4">
        <v>-1.2976053E7</v>
      </c>
      <c r="G2561" s="4">
        <f t="array" ref="G2561">IFERROR((C2561-B2561)/C2561*100, "N/A")</f>
        <v>-54186.54946</v>
      </c>
      <c r="J2561" s="1"/>
      <c r="K2561" s="1"/>
    </row>
    <row r="2562" ht="14.25" customHeight="1">
      <c r="A2562" s="1" t="s">
        <v>12278</v>
      </c>
      <c r="B2562" s="1">
        <v>1.3E7</v>
      </c>
      <c r="C2562" s="1">
        <v>6.0008303E7</v>
      </c>
      <c r="F2562" s="4">
        <v>4.7008303E7</v>
      </c>
      <c r="G2562" s="4">
        <f t="array" ref="G2562">IFERROR((C2562-B2562)/C2562*100, "N/A")</f>
        <v>78.33633122</v>
      </c>
      <c r="J2562" s="1"/>
      <c r="K2562" s="1"/>
    </row>
    <row r="2563" ht="14.25" customHeight="1">
      <c r="A2563" s="1" t="s">
        <v>12282</v>
      </c>
      <c r="B2563" s="1">
        <v>1.3E7</v>
      </c>
      <c r="C2563" s="1">
        <v>4.9121934E7</v>
      </c>
      <c r="F2563" s="4">
        <v>3.6121934E7</v>
      </c>
      <c r="G2563" s="4">
        <f t="array" ref="G2563">IFERROR((C2563-B2563)/C2563*100, "N/A")</f>
        <v>73.53524395</v>
      </c>
      <c r="J2563" s="1"/>
      <c r="K2563" s="1"/>
    </row>
    <row r="2564" ht="14.25" customHeight="1">
      <c r="A2564" s="1" t="s">
        <v>12285</v>
      </c>
      <c r="B2564" s="1">
        <v>1.8E7</v>
      </c>
      <c r="C2564" s="1">
        <v>2.7141959E7</v>
      </c>
      <c r="F2564" s="4">
        <v>9141959.0</v>
      </c>
      <c r="G2564" s="4">
        <f t="array" ref="G2564">IFERROR((C2564-B2564)/C2564*100, "N/A")</f>
        <v>33.6820161</v>
      </c>
      <c r="J2564" s="1"/>
      <c r="K2564" s="1"/>
    </row>
    <row r="2565" ht="14.25" customHeight="1">
      <c r="A2565" s="1" t="s">
        <v>12290</v>
      </c>
      <c r="B2565" s="1">
        <v>1.3E7</v>
      </c>
      <c r="C2565" s="1">
        <v>2.7052167E7</v>
      </c>
      <c r="F2565" s="4">
        <v>1.4052167E7</v>
      </c>
      <c r="G2565" s="4">
        <f t="array" ref="G2565">IFERROR((C2565-B2565)/C2565*100, "N/A")</f>
        <v>51.94470003</v>
      </c>
      <c r="J2565" s="1"/>
      <c r="K2565" s="1"/>
    </row>
    <row r="2566" ht="14.25" customHeight="1">
      <c r="A2566" s="1" t="s">
        <v>12295</v>
      </c>
      <c r="B2566" s="1">
        <v>1.3E7</v>
      </c>
      <c r="C2566" s="1">
        <v>2.6539321E7</v>
      </c>
      <c r="F2566" s="4">
        <v>1.3539321E7</v>
      </c>
      <c r="G2566" s="4">
        <f t="array" ref="G2566">IFERROR((C2566-B2566)/C2566*100, "N/A")</f>
        <v>51.01607912</v>
      </c>
      <c r="J2566" s="1"/>
      <c r="K2566" s="1"/>
    </row>
    <row r="2567" ht="14.25" customHeight="1">
      <c r="A2567" s="1" t="s">
        <v>12300</v>
      </c>
      <c r="B2567" s="1">
        <v>1.3E7</v>
      </c>
      <c r="C2567" s="1">
        <v>2.8501605E7</v>
      </c>
      <c r="F2567" s="4">
        <v>1.5501605E7</v>
      </c>
      <c r="G2567" s="4">
        <f t="array" ref="G2567">IFERROR((C2567-B2567)/C2567*100, "N/A")</f>
        <v>54.38853356</v>
      </c>
      <c r="J2567" s="1"/>
      <c r="K2567" s="1"/>
    </row>
    <row r="2568" ht="14.25" customHeight="1">
      <c r="A2568" s="1" t="s">
        <v>12306</v>
      </c>
      <c r="B2568" s="1">
        <v>1.32E7</v>
      </c>
      <c r="C2568" s="1">
        <v>5.2543632E7</v>
      </c>
      <c r="F2568" s="4">
        <v>3.9343632E7</v>
      </c>
      <c r="G2568" s="4">
        <f t="array" ref="G2568">IFERROR((C2568-B2568)/C2568*100, "N/A")</f>
        <v>74.87802137</v>
      </c>
      <c r="J2568" s="1"/>
      <c r="K2568" s="1"/>
    </row>
    <row r="2569" ht="14.25" customHeight="1">
      <c r="A2569" s="1" t="s">
        <v>12311</v>
      </c>
      <c r="B2569" s="1">
        <v>1.8E7</v>
      </c>
      <c r="C2569" s="1">
        <v>2.5592632E7</v>
      </c>
      <c r="F2569" s="4">
        <v>7592632.0</v>
      </c>
      <c r="G2569" s="4">
        <f t="array" ref="G2569">IFERROR((C2569-B2569)/C2569*100, "N/A")</f>
        <v>29.66725736</v>
      </c>
      <c r="J2569" s="1"/>
      <c r="K2569" s="1"/>
    </row>
    <row r="2570" ht="14.25" customHeight="1">
      <c r="A2570" s="1" t="s">
        <v>12315</v>
      </c>
      <c r="B2570" s="1">
        <v>1.5E7</v>
      </c>
      <c r="C2570" s="1">
        <v>2.5440971E7</v>
      </c>
      <c r="F2570" s="4">
        <v>1.0440971E7</v>
      </c>
      <c r="G2570" s="4">
        <f t="array" ref="G2570">IFERROR((C2570-B2570)/C2570*100, "N/A")</f>
        <v>41.03998625</v>
      </c>
      <c r="J2570" s="1"/>
      <c r="K2570" s="1"/>
    </row>
    <row r="2571" ht="14.25" customHeight="1">
      <c r="A2571" s="1" t="s">
        <v>12321</v>
      </c>
      <c r="B2571" s="1">
        <v>1.3E7</v>
      </c>
      <c r="C2571" s="1">
        <v>2.2858926E7</v>
      </c>
      <c r="F2571" s="4">
        <v>9858926.0</v>
      </c>
      <c r="G2571" s="4">
        <f t="array" ref="G2571">IFERROR((C2571-B2571)/C2571*100, "N/A")</f>
        <v>43.12943661</v>
      </c>
      <c r="J2571" s="1"/>
      <c r="K2571" s="1"/>
    </row>
    <row r="2572" ht="14.25" customHeight="1">
      <c r="A2572" s="1" t="s">
        <v>12326</v>
      </c>
      <c r="B2572" s="1">
        <v>6000000.0</v>
      </c>
      <c r="C2572" s="1">
        <v>2.2235901E7</v>
      </c>
      <c r="F2572" s="4">
        <v>1.6235901E7</v>
      </c>
      <c r="G2572" s="4">
        <f t="array" ref="G2572">IFERROR((C2572-B2572)/C2572*100, "N/A")</f>
        <v>73.01660949</v>
      </c>
      <c r="J2572" s="1"/>
      <c r="K2572" s="1"/>
    </row>
    <row r="2573" ht="14.25" customHeight="1">
      <c r="A2573" s="1" t="s">
        <v>12330</v>
      </c>
      <c r="B2573" s="1">
        <v>1.3E7</v>
      </c>
      <c r="C2573" s="1">
        <v>3.8916903E7</v>
      </c>
      <c r="F2573" s="4">
        <v>2.5916903E7</v>
      </c>
      <c r="G2573" s="4">
        <f t="array" ref="G2573">IFERROR((C2573-B2573)/C2573*100, "N/A")</f>
        <v>66.59549194</v>
      </c>
      <c r="J2573" s="1"/>
      <c r="K2573" s="1"/>
    </row>
    <row r="2574" ht="14.25" customHeight="1">
      <c r="A2574" s="1" t="s">
        <v>12337</v>
      </c>
      <c r="B2574" s="1">
        <v>1.4E7</v>
      </c>
      <c r="C2574" s="1">
        <v>1.6929123E7</v>
      </c>
      <c r="F2574" s="4">
        <v>2929123.0</v>
      </c>
      <c r="G2574" s="4">
        <f t="array" ref="G2574">IFERROR((C2574-B2574)/C2574*100, "N/A")</f>
        <v>17.30227254</v>
      </c>
      <c r="J2574" s="1"/>
      <c r="K2574" s="1"/>
    </row>
    <row r="2575" ht="14.25" customHeight="1">
      <c r="A2575" s="1" t="s">
        <v>12341</v>
      </c>
      <c r="B2575" s="1">
        <v>1.9E7</v>
      </c>
      <c r="C2575" s="1">
        <v>1.3753931E7</v>
      </c>
      <c r="F2575" s="4">
        <v>-5246069.0</v>
      </c>
      <c r="G2575" s="4">
        <f t="array" ref="G2575">IFERROR((C2575-B2575)/C2575*100, "N/A")</f>
        <v>-38.14232455</v>
      </c>
      <c r="J2575" s="1"/>
      <c r="K2575" s="1"/>
    </row>
    <row r="2576" ht="14.25" customHeight="1">
      <c r="A2576" s="1" t="s">
        <v>12348</v>
      </c>
      <c r="B2576" s="1">
        <v>1.3E7</v>
      </c>
      <c r="C2576" s="1">
        <v>1.099644E7</v>
      </c>
      <c r="F2576" s="4">
        <v>-2003560.0</v>
      </c>
      <c r="G2576" s="4">
        <f t="array" ref="G2576">IFERROR((C2576-B2576)/C2576*100, "N/A")</f>
        <v>-18.2200785</v>
      </c>
      <c r="J2576" s="1"/>
      <c r="K2576" s="1"/>
    </row>
    <row r="2577" ht="14.25" customHeight="1">
      <c r="A2577" s="1" t="s">
        <v>12352</v>
      </c>
      <c r="B2577" s="1">
        <v>1.3E7</v>
      </c>
      <c r="C2577" s="1">
        <v>1.4677654E7</v>
      </c>
      <c r="F2577" s="4">
        <v>1677654.0</v>
      </c>
      <c r="G2577" s="4">
        <f t="array" ref="G2577">IFERROR((C2577-B2577)/C2577*100, "N/A")</f>
        <v>11.42998738</v>
      </c>
      <c r="J2577" s="1"/>
      <c r="K2577" s="1"/>
    </row>
    <row r="2578" ht="14.25" customHeight="1">
      <c r="A2578" s="1" t="s">
        <v>12355</v>
      </c>
      <c r="B2578" s="1">
        <v>1.3E7</v>
      </c>
      <c r="C2578" s="1">
        <v>9975684.0</v>
      </c>
      <c r="F2578" s="4">
        <v>-3024316.0</v>
      </c>
      <c r="G2578" s="4">
        <f t="array" ref="G2578">IFERROR((C2578-B2578)/C2578*100, "N/A")</f>
        <v>-30.31687852</v>
      </c>
      <c r="J2578" s="1"/>
      <c r="K2578" s="1"/>
    </row>
    <row r="2579" ht="14.25" customHeight="1">
      <c r="A2579" s="1" t="s">
        <v>12359</v>
      </c>
      <c r="B2579" s="1">
        <v>1.3E7</v>
      </c>
      <c r="C2579" s="1">
        <v>7881335.0</v>
      </c>
      <c r="F2579" s="4">
        <v>-5118665.0</v>
      </c>
      <c r="G2579" s="4">
        <f t="array" ref="G2579">IFERROR((C2579-B2579)/C2579*100, "N/A")</f>
        <v>-64.94667464</v>
      </c>
      <c r="J2579" s="1"/>
      <c r="K2579" s="1"/>
    </row>
    <row r="2580" ht="14.25" customHeight="1">
      <c r="A2580" s="1" t="s">
        <v>12362</v>
      </c>
      <c r="B2580" s="1">
        <v>1.3E7</v>
      </c>
      <c r="C2580" s="1">
        <v>6241697.0</v>
      </c>
      <c r="F2580" s="4">
        <v>-6758303.0</v>
      </c>
      <c r="G2580" s="4">
        <f t="array" ref="G2580">IFERROR((C2580-B2580)/C2580*100, "N/A")</f>
        <v>-108.2766914</v>
      </c>
      <c r="J2580" s="1"/>
      <c r="K2580" s="1"/>
    </row>
    <row r="2581" ht="14.25" customHeight="1">
      <c r="A2581" s="1" t="s">
        <v>12366</v>
      </c>
      <c r="B2581" s="1">
        <v>1.3E7</v>
      </c>
      <c r="C2581" s="1">
        <v>5871603.0</v>
      </c>
      <c r="F2581" s="4">
        <v>-7128397.0</v>
      </c>
      <c r="G2581" s="4">
        <f t="array" ref="G2581">IFERROR((C2581-B2581)/C2581*100, "N/A")</f>
        <v>-121.4046147</v>
      </c>
      <c r="J2581" s="1"/>
      <c r="K2581" s="1"/>
    </row>
    <row r="2582" ht="14.25" customHeight="1">
      <c r="A2582" s="1">
        <v>54.0</v>
      </c>
      <c r="B2582" s="1">
        <v>1.3E7</v>
      </c>
      <c r="C2582" s="1">
        <v>1.6574731E7</v>
      </c>
      <c r="F2582" s="4">
        <v>3574731.0</v>
      </c>
      <c r="G2582" s="4">
        <f t="array" ref="G2582">IFERROR((C2582-B2582)/C2582*100, "N/A")</f>
        <v>21.56735455</v>
      </c>
      <c r="J2582" s="1"/>
      <c r="K2582" s="1"/>
    </row>
    <row r="2583" ht="14.25" customHeight="1">
      <c r="A2583" s="1" t="s">
        <v>12373</v>
      </c>
      <c r="B2583" s="1">
        <v>1.3E7</v>
      </c>
      <c r="C2583" s="1">
        <v>5002310.0</v>
      </c>
      <c r="F2583" s="4">
        <v>-7997690.0</v>
      </c>
      <c r="G2583" s="4">
        <f t="array" ref="G2583">IFERROR((C2583-B2583)/C2583*100, "N/A")</f>
        <v>-159.8799355</v>
      </c>
      <c r="J2583" s="1"/>
      <c r="K2583" s="1"/>
    </row>
    <row r="2584" ht="14.25" customHeight="1">
      <c r="A2584" s="1" t="s">
        <v>12378</v>
      </c>
      <c r="B2584" s="1">
        <v>1.3E7</v>
      </c>
      <c r="C2584" s="1">
        <v>4919896.0</v>
      </c>
      <c r="F2584" s="4">
        <v>-8080104.0</v>
      </c>
      <c r="G2584" s="4">
        <f t="array" ref="G2584">IFERROR((C2584-B2584)/C2584*100, "N/A")</f>
        <v>-164.2332277</v>
      </c>
      <c r="J2584" s="1"/>
      <c r="K2584" s="1"/>
    </row>
    <row r="2585" ht="14.25" customHeight="1">
      <c r="A2585" s="1" t="s">
        <v>12382</v>
      </c>
      <c r="B2585" s="1">
        <v>1.3E7</v>
      </c>
      <c r="C2585" s="1">
        <v>2.5675765E7</v>
      </c>
      <c r="F2585" s="4">
        <v>1.2675765E7</v>
      </c>
      <c r="G2585" s="4">
        <f t="array" ref="G2585">IFERROR((C2585-B2585)/C2585*100, "N/A")</f>
        <v>49.3685972</v>
      </c>
      <c r="J2585" s="1"/>
      <c r="K2585" s="1"/>
    </row>
    <row r="2586" ht="14.25" customHeight="1">
      <c r="A2586" s="1" t="s">
        <v>12389</v>
      </c>
      <c r="B2586" s="1">
        <v>1.3E7</v>
      </c>
      <c r="C2586" s="1">
        <v>4857376.0</v>
      </c>
      <c r="F2586" s="4">
        <v>-8142624.0</v>
      </c>
      <c r="G2586" s="4">
        <f t="array" ref="G2586">IFERROR((C2586-B2586)/C2586*100, "N/A")</f>
        <v>-167.6342124</v>
      </c>
      <c r="J2586" s="1"/>
      <c r="K2586" s="1"/>
    </row>
    <row r="2587" ht="14.25" customHeight="1">
      <c r="A2587" s="1" t="s">
        <v>12393</v>
      </c>
      <c r="B2587" s="1">
        <v>1.3E7</v>
      </c>
      <c r="C2587" s="1">
        <v>3169424.0</v>
      </c>
      <c r="F2587" s="4">
        <v>-9830576.0</v>
      </c>
      <c r="G2587" s="4">
        <f t="array" ref="G2587">IFERROR((C2587-B2587)/C2587*100, "N/A")</f>
        <v>-310.1691664</v>
      </c>
      <c r="J2587" s="1"/>
      <c r="K2587" s="1"/>
    </row>
    <row r="2588" ht="14.25" customHeight="1">
      <c r="A2588" s="1" t="s">
        <v>12397</v>
      </c>
      <c r="B2588" s="1">
        <v>1.3E7</v>
      </c>
      <c r="C2588" s="1">
        <v>1.8004225E7</v>
      </c>
      <c r="F2588" s="4">
        <v>5004225.0</v>
      </c>
      <c r="G2588" s="4">
        <f t="array" ref="G2588">IFERROR((C2588-B2588)/C2588*100, "N/A")</f>
        <v>27.79472596</v>
      </c>
      <c r="J2588" s="1"/>
      <c r="K2588" s="1"/>
    </row>
    <row r="2589" ht="14.25" customHeight="1">
      <c r="A2589" s="1" t="s">
        <v>12402</v>
      </c>
      <c r="B2589" s="1">
        <v>1.0E8</v>
      </c>
      <c r="C2589" s="1">
        <v>3058380.0</v>
      </c>
      <c r="F2589" s="4">
        <v>-9.694162E7</v>
      </c>
      <c r="G2589" s="4">
        <f t="array" ref="G2589">IFERROR((C2589-B2589)/C2589*100, "N/A")</f>
        <v>-3169.704876</v>
      </c>
      <c r="J2589" s="1"/>
      <c r="K2589" s="1"/>
    </row>
    <row r="2590" ht="14.25" customHeight="1">
      <c r="A2590" s="1" t="s">
        <v>12407</v>
      </c>
      <c r="B2590" s="1">
        <v>1.1E7</v>
      </c>
      <c r="C2590" s="1">
        <v>3074838.0</v>
      </c>
      <c r="F2590" s="4">
        <v>-7925162.0</v>
      </c>
      <c r="G2590" s="4">
        <f t="array" ref="G2590">IFERROR((C2590-B2590)/C2590*100, "N/A")</f>
        <v>-257.7424242</v>
      </c>
      <c r="J2590" s="1"/>
      <c r="K2590" s="1"/>
    </row>
    <row r="2591" ht="14.25" customHeight="1">
      <c r="A2591" s="1" t="s">
        <v>12413</v>
      </c>
      <c r="B2591" s="1">
        <v>1.3E7</v>
      </c>
      <c r="C2591" s="1">
        <v>2104000.0</v>
      </c>
      <c r="F2591" s="4">
        <v>-1.0896E7</v>
      </c>
      <c r="G2591" s="4">
        <f t="array" ref="G2591">IFERROR((C2591-B2591)/C2591*100, "N/A")</f>
        <v>-517.8707224</v>
      </c>
      <c r="J2591" s="1"/>
      <c r="K2591" s="1"/>
    </row>
    <row r="2592" ht="14.25" customHeight="1">
      <c r="A2592" s="1" t="s">
        <v>8619</v>
      </c>
      <c r="B2592" s="1">
        <v>2.6E7</v>
      </c>
      <c r="C2592" s="1">
        <v>2.8501651E7</v>
      </c>
      <c r="F2592" s="4">
        <v>2501651.0</v>
      </c>
      <c r="G2592" s="4">
        <f t="array" ref="G2592">IFERROR((C2592-B2592)/C2592*100, "N/A")</f>
        <v>8.777214345</v>
      </c>
      <c r="J2592" s="1"/>
      <c r="K2592" s="1"/>
    </row>
    <row r="2593" ht="14.25" customHeight="1">
      <c r="A2593" s="1" t="s">
        <v>12416</v>
      </c>
      <c r="B2593" s="1">
        <v>1.3E7</v>
      </c>
      <c r="C2593" s="1">
        <v>1172769.0</v>
      </c>
      <c r="F2593" s="4">
        <v>-1.1827231E7</v>
      </c>
      <c r="G2593" s="4">
        <f t="array" ref="G2593">IFERROR((C2593-B2593)/C2593*100, "N/A")</f>
        <v>-1008.48769</v>
      </c>
      <c r="J2593" s="1"/>
      <c r="K2593" s="1"/>
    </row>
    <row r="2594" ht="14.25" customHeight="1">
      <c r="A2594" s="1" t="s">
        <v>12420</v>
      </c>
      <c r="B2594" s="1">
        <v>1.3E7</v>
      </c>
      <c r="C2594" s="1">
        <v>1.773857E7</v>
      </c>
      <c r="F2594" s="4">
        <v>4738570.0</v>
      </c>
      <c r="G2594" s="4">
        <f t="array" ref="G2594">IFERROR((C2594-B2594)/C2594*100, "N/A")</f>
        <v>26.71337092</v>
      </c>
      <c r="J2594" s="1"/>
      <c r="K2594" s="1"/>
    </row>
    <row r="2595" ht="14.25" customHeight="1">
      <c r="A2595" s="1" t="s">
        <v>12425</v>
      </c>
      <c r="B2595" s="1">
        <v>3000000.0</v>
      </c>
      <c r="C2595" s="1">
        <v>1200000.0</v>
      </c>
      <c r="F2595" s="4">
        <v>-1800000.0</v>
      </c>
      <c r="G2595" s="4">
        <f t="array" ref="G2595">IFERROR((C2595-B2595)/C2595*100, "N/A")</f>
        <v>-150</v>
      </c>
      <c r="J2595" s="1"/>
      <c r="K2595" s="1"/>
    </row>
    <row r="2596" ht="14.25" customHeight="1">
      <c r="A2596" s="1" t="s">
        <v>12430</v>
      </c>
      <c r="B2596" s="1">
        <v>1.3E7</v>
      </c>
      <c r="C2596" s="1">
        <v>1150403.0</v>
      </c>
      <c r="F2596" s="4">
        <v>-1.1849597E7</v>
      </c>
      <c r="G2596" s="4">
        <f t="array" ref="G2596">IFERROR((C2596-B2596)/C2596*100, "N/A")</f>
        <v>-1030.038778</v>
      </c>
      <c r="J2596" s="1"/>
      <c r="K2596" s="1"/>
    </row>
    <row r="2597" ht="14.25" customHeight="1">
      <c r="A2597" s="1" t="s">
        <v>12433</v>
      </c>
      <c r="B2597" s="1">
        <v>2.0E7</v>
      </c>
      <c r="C2597" s="1">
        <v>403932.0</v>
      </c>
      <c r="F2597" s="4">
        <v>-1.9596068E7</v>
      </c>
      <c r="G2597" s="4">
        <f t="array" ref="G2597">IFERROR((C2597-B2597)/C2597*100, "N/A")</f>
        <v>-4851.328441</v>
      </c>
      <c r="J2597" s="1"/>
      <c r="K2597" s="1"/>
    </row>
    <row r="2598" ht="14.25" customHeight="1">
      <c r="A2598" s="1" t="s">
        <v>12436</v>
      </c>
      <c r="B2598" s="1">
        <v>8495000.0</v>
      </c>
      <c r="C2598" s="1">
        <v>1712111.0</v>
      </c>
      <c r="F2598" s="4">
        <v>-6782889.0</v>
      </c>
      <c r="G2598" s="4">
        <f t="array" ref="G2598">IFERROR((C2598-B2598)/C2598*100, "N/A")</f>
        <v>-396.1711011</v>
      </c>
      <c r="J2598" s="1"/>
      <c r="K2598" s="1"/>
    </row>
    <row r="2599" ht="14.25" customHeight="1">
      <c r="A2599" s="1" t="s">
        <v>12439</v>
      </c>
      <c r="B2599" s="1">
        <v>1.3E7</v>
      </c>
      <c r="C2599" s="1">
        <v>1024175.0</v>
      </c>
      <c r="F2599" s="4">
        <v>-1.1975825E7</v>
      </c>
      <c r="G2599" s="4">
        <f t="array" ref="G2599">IFERROR((C2599-B2599)/C2599*100, "N/A")</f>
        <v>-1169.314326</v>
      </c>
      <c r="J2599" s="1"/>
      <c r="K2599" s="1"/>
    </row>
    <row r="2600" ht="14.25" customHeight="1">
      <c r="A2600" s="1" t="s">
        <v>12444</v>
      </c>
      <c r="B2600" s="1">
        <v>1.3E7</v>
      </c>
      <c r="C2600" s="1">
        <v>301305.0</v>
      </c>
      <c r="F2600" s="4">
        <v>-1.2698695E7</v>
      </c>
      <c r="G2600" s="4">
        <f t="array" ref="G2600">IFERROR((C2600-B2600)/C2600*100, "N/A")</f>
        <v>-4214.564976</v>
      </c>
      <c r="J2600" s="1"/>
      <c r="K2600" s="1"/>
    </row>
    <row r="2601" ht="14.25" customHeight="1">
      <c r="A2601" s="1" t="s">
        <v>12451</v>
      </c>
      <c r="B2601" s="1">
        <v>1.3E7</v>
      </c>
      <c r="C2601" s="1">
        <v>5.1872378E7</v>
      </c>
      <c r="F2601" s="4">
        <v>3.8872378E7</v>
      </c>
      <c r="G2601" s="4">
        <f t="array" ref="G2601">IFERROR((C2601-B2601)/C2601*100, "N/A")</f>
        <v>74.93849231</v>
      </c>
      <c r="J2601" s="1"/>
      <c r="K2601" s="1"/>
    </row>
    <row r="2602" ht="14.25" customHeight="1">
      <c r="A2602" s="1" t="s">
        <v>12456</v>
      </c>
      <c r="B2602" s="1">
        <v>1.3E7</v>
      </c>
      <c r="C2602" s="1">
        <v>2.8399192E7</v>
      </c>
      <c r="F2602" s="4">
        <v>1.5399192E7</v>
      </c>
      <c r="G2602" s="4">
        <f t="array" ref="G2602">IFERROR((C2602-B2602)/C2602*100, "N/A")</f>
        <v>54.22404975</v>
      </c>
      <c r="J2602" s="1"/>
      <c r="K2602" s="1"/>
    </row>
    <row r="2603" ht="14.25" customHeight="1">
      <c r="A2603" s="1" t="s">
        <v>12462</v>
      </c>
      <c r="B2603" s="1">
        <v>1.3E7</v>
      </c>
      <c r="C2603" s="1">
        <v>2035566.0</v>
      </c>
      <c r="F2603" s="4">
        <v>-1.0964434E7</v>
      </c>
      <c r="G2603" s="4">
        <f t="array" ref="G2603">IFERROR((C2603-B2603)/C2603*100, "N/A")</f>
        <v>-538.6430113</v>
      </c>
      <c r="J2603" s="1"/>
      <c r="K2603" s="1"/>
    </row>
    <row r="2604" ht="14.25" customHeight="1">
      <c r="A2604" s="1" t="s">
        <v>12469</v>
      </c>
      <c r="B2604" s="1">
        <v>1.25E7</v>
      </c>
      <c r="C2604" s="1">
        <v>2.1078145E7</v>
      </c>
      <c r="F2604" s="4">
        <v>8578145.0</v>
      </c>
      <c r="G2604" s="4">
        <f t="array" ref="G2604">IFERROR((C2604-B2604)/C2604*100, "N/A")</f>
        <v>40.69686872</v>
      </c>
      <c r="J2604" s="1"/>
      <c r="K2604" s="1"/>
    </row>
    <row r="2605" ht="14.25" customHeight="1">
      <c r="A2605" s="1" t="s">
        <v>12472</v>
      </c>
      <c r="B2605" s="1">
        <v>1.25E7</v>
      </c>
      <c r="C2605" s="1">
        <v>1.406095E7</v>
      </c>
      <c r="F2605" s="4">
        <v>1560950.0</v>
      </c>
      <c r="G2605" s="4">
        <f t="array" ref="G2605">IFERROR((C2605-B2605)/C2605*100, "N/A")</f>
        <v>11.1013125</v>
      </c>
      <c r="J2605" s="1"/>
      <c r="K2605" s="1"/>
    </row>
    <row r="2606" ht="14.25" customHeight="1">
      <c r="A2606" s="1" t="s">
        <v>12477</v>
      </c>
      <c r="B2606" s="1">
        <v>1.3E7</v>
      </c>
      <c r="C2606" s="1">
        <v>1.22815E7</v>
      </c>
      <c r="F2606" s="4">
        <v>-718500.0</v>
      </c>
      <c r="G2606" s="4">
        <f t="array" ref="G2606">IFERROR((C2606-B2606)/C2606*100, "N/A")</f>
        <v>-5.85026259</v>
      </c>
      <c r="J2606" s="1"/>
      <c r="K2606" s="1"/>
    </row>
    <row r="2607" ht="14.25" customHeight="1">
      <c r="A2607" s="1" t="s">
        <v>12480</v>
      </c>
      <c r="B2607" s="1">
        <v>1.25E7</v>
      </c>
      <c r="C2607" s="1">
        <v>1.0725228E7</v>
      </c>
      <c r="F2607" s="4">
        <v>-1774772.0</v>
      </c>
      <c r="G2607" s="4">
        <f t="array" ref="G2607">IFERROR((C2607-B2607)/C2607*100, "N/A")</f>
        <v>-16.54763889</v>
      </c>
      <c r="J2607" s="1"/>
      <c r="K2607" s="1"/>
    </row>
    <row r="2608" ht="14.25" customHeight="1">
      <c r="A2608" s="1" t="s">
        <v>12484</v>
      </c>
      <c r="B2608" s="1">
        <v>1.3E7</v>
      </c>
      <c r="C2608" s="1">
        <v>214966.0</v>
      </c>
      <c r="F2608" s="4">
        <v>-1.2785034E7</v>
      </c>
      <c r="G2608" s="4">
        <f t="array" ref="G2608">IFERROR((C2608-B2608)/C2608*100, "N/A")</f>
        <v>-5947.467972</v>
      </c>
      <c r="J2608" s="1"/>
      <c r="K2608" s="1"/>
    </row>
    <row r="2609" ht="14.25" customHeight="1">
      <c r="A2609" s="1" t="s">
        <v>12488</v>
      </c>
      <c r="B2609" s="1">
        <v>1.6E7</v>
      </c>
      <c r="C2609" s="1">
        <v>1.1956207E7</v>
      </c>
      <c r="F2609" s="4">
        <v>-4043793.0</v>
      </c>
      <c r="G2609" s="4">
        <f t="array" ref="G2609">IFERROR((C2609-B2609)/C2609*100, "N/A")</f>
        <v>-33.82170449</v>
      </c>
      <c r="J2609" s="1"/>
      <c r="K2609" s="1"/>
    </row>
    <row r="2610" ht="14.25" customHeight="1">
      <c r="A2610" s="1" t="s">
        <v>12493</v>
      </c>
      <c r="B2610" s="1">
        <v>1.2E7</v>
      </c>
      <c r="C2610" s="1">
        <v>5949693.0</v>
      </c>
      <c r="F2610" s="4">
        <v>-6050307.0</v>
      </c>
      <c r="G2610" s="4">
        <f t="array" ref="G2610">IFERROR((C2610-B2610)/C2610*100, "N/A")</f>
        <v>-101.6910789</v>
      </c>
      <c r="J2610" s="1"/>
      <c r="K2610" s="1"/>
    </row>
    <row r="2611" ht="14.25" customHeight="1">
      <c r="A2611" s="1" t="s">
        <v>12497</v>
      </c>
      <c r="B2611" s="1">
        <v>1.25E7</v>
      </c>
      <c r="C2611" s="1">
        <v>9030581.0</v>
      </c>
      <c r="F2611" s="4">
        <v>-3469419.0</v>
      </c>
      <c r="G2611" s="4">
        <f t="array" ref="G2611">IFERROR((C2611-B2611)/C2611*100, "N/A")</f>
        <v>-38.41855801</v>
      </c>
      <c r="J2611" s="1"/>
      <c r="K2611" s="1"/>
    </row>
    <row r="2612" ht="14.25" customHeight="1">
      <c r="A2612" s="1" t="s">
        <v>12503</v>
      </c>
      <c r="B2612" s="1">
        <v>1.28E7</v>
      </c>
      <c r="C2612" s="1">
        <v>4157491.0</v>
      </c>
      <c r="F2612" s="4">
        <v>-8642509.0</v>
      </c>
      <c r="G2612" s="4">
        <f t="array" ref="G2612">IFERROR((C2612-B2612)/C2612*100, "N/A")</f>
        <v>-207.8779966</v>
      </c>
      <c r="J2612" s="1"/>
      <c r="K2612" s="1"/>
    </row>
    <row r="2613" ht="14.25" customHeight="1">
      <c r="A2613" s="1" t="s">
        <v>12508</v>
      </c>
      <c r="B2613" s="1">
        <v>1.6E7</v>
      </c>
      <c r="C2613" s="1">
        <v>1508689.0</v>
      </c>
      <c r="F2613" s="4">
        <v>-1.4491311E7</v>
      </c>
      <c r="G2613" s="4">
        <f t="array" ref="G2613">IFERROR((C2613-B2613)/C2613*100, "N/A")</f>
        <v>-960.5234081</v>
      </c>
      <c r="J2613" s="1"/>
      <c r="K2613" s="1"/>
    </row>
    <row r="2614" ht="14.25" customHeight="1">
      <c r="A2614" s="1" t="s">
        <v>12512</v>
      </c>
      <c r="B2614" s="1">
        <v>1.25E7</v>
      </c>
      <c r="C2614" s="1">
        <v>1227324.0</v>
      </c>
      <c r="F2614" s="4">
        <v>-1.1272676E7</v>
      </c>
      <c r="G2614" s="4">
        <f t="array" ref="G2614">IFERROR((C2614-B2614)/C2614*100, "N/A")</f>
        <v>-918.4759689</v>
      </c>
      <c r="J2614" s="1"/>
      <c r="K2614" s="1"/>
    </row>
    <row r="2615" ht="14.25" customHeight="1">
      <c r="A2615" s="1" t="s">
        <v>12517</v>
      </c>
      <c r="B2615" s="1">
        <v>1.5E7</v>
      </c>
      <c r="C2615" s="1">
        <v>4360548.0</v>
      </c>
      <c r="F2615" s="4">
        <v>-1.0639452E7</v>
      </c>
      <c r="G2615" s="4">
        <f t="array" ref="G2615">IFERROR((C2615-B2615)/C2615*100, "N/A")</f>
        <v>-243.9934614</v>
      </c>
      <c r="J2615" s="1"/>
      <c r="K2615" s="1"/>
    </row>
    <row r="2616" ht="14.25" customHeight="1">
      <c r="A2616" s="1" t="s">
        <v>12521</v>
      </c>
      <c r="B2616" s="1">
        <v>1.05E7</v>
      </c>
      <c r="C2616" s="1">
        <v>2.6589953E7</v>
      </c>
      <c r="F2616" s="4">
        <v>1.6089953E7</v>
      </c>
      <c r="G2616" s="4">
        <f t="array" ref="G2616">IFERROR((C2616-B2616)/C2616*100, "N/A")</f>
        <v>60.51140068</v>
      </c>
      <c r="J2616" s="1"/>
      <c r="K2616" s="1"/>
    </row>
    <row r="2617" ht="14.25" customHeight="1">
      <c r="A2617" s="1" t="s">
        <v>12525</v>
      </c>
      <c r="B2617" s="1">
        <v>1.5E7</v>
      </c>
      <c r="C2617" s="1">
        <v>1039869.0</v>
      </c>
      <c r="F2617" s="4">
        <v>-1.3960131E7</v>
      </c>
      <c r="G2617" s="4">
        <f t="array" ref="G2617">IFERROR((C2617-B2617)/C2617*100, "N/A")</f>
        <v>-1342.48939</v>
      </c>
      <c r="J2617" s="1"/>
      <c r="K2617" s="1"/>
    </row>
    <row r="2618" ht="14.25" customHeight="1">
      <c r="A2618" s="1" t="s">
        <v>12529</v>
      </c>
      <c r="B2618" s="1">
        <v>1.25E7</v>
      </c>
      <c r="C2618" s="1">
        <v>4.8092846E7</v>
      </c>
      <c r="F2618" s="4">
        <v>3.5592846E7</v>
      </c>
      <c r="G2618" s="4">
        <f t="array" ref="G2618">IFERROR((C2618-B2618)/C2618*100, "N/A")</f>
        <v>74.00860827</v>
      </c>
      <c r="J2618" s="1"/>
      <c r="K2618" s="1"/>
    </row>
    <row r="2619" ht="14.25" customHeight="1">
      <c r="A2619" s="1" t="s">
        <v>12535</v>
      </c>
      <c r="B2619" s="1">
        <v>1.28E7</v>
      </c>
      <c r="C2619" s="1">
        <v>1110186.0</v>
      </c>
      <c r="F2619" s="4">
        <v>-1.1689814E7</v>
      </c>
      <c r="G2619" s="4">
        <f t="array" ref="G2619">IFERROR((C2619-B2619)/C2619*100, "N/A")</f>
        <v>-1052.959954</v>
      </c>
      <c r="J2619" s="1"/>
      <c r="K2619" s="1"/>
    </row>
    <row r="2620" ht="14.25" customHeight="1">
      <c r="A2620" s="1" t="s">
        <v>12542</v>
      </c>
      <c r="B2620" s="1">
        <v>1.25E7</v>
      </c>
      <c r="C2620" s="1">
        <v>1089445.0</v>
      </c>
      <c r="F2620" s="4">
        <v>-1.1410555E7</v>
      </c>
      <c r="G2620" s="4">
        <f t="array" ref="G2620">IFERROR((C2620-B2620)/C2620*100, "N/A")</f>
        <v>-1047.373204</v>
      </c>
      <c r="J2620" s="1"/>
      <c r="K2620" s="1"/>
    </row>
    <row r="2621" ht="14.25" customHeight="1">
      <c r="A2621" s="1" t="s">
        <v>12546</v>
      </c>
      <c r="B2621" s="1">
        <v>8000000.0</v>
      </c>
      <c r="C2621" s="1">
        <v>2.04565E8</v>
      </c>
      <c r="F2621" s="4">
        <v>1.96565E8</v>
      </c>
      <c r="G2621" s="4">
        <f t="array" ref="G2621">IFERROR((C2621-B2621)/C2621*100, "N/A")</f>
        <v>96.08926258</v>
      </c>
      <c r="J2621" s="1"/>
      <c r="K2621" s="1"/>
    </row>
    <row r="2622" ht="14.25" customHeight="1">
      <c r="A2622" s="1" t="s">
        <v>12551</v>
      </c>
      <c r="B2622" s="1">
        <v>8000000.0</v>
      </c>
      <c r="C2622" s="1">
        <v>2.6E8</v>
      </c>
      <c r="F2622" s="4">
        <v>2.52E8</v>
      </c>
      <c r="G2622" s="4">
        <f t="array" ref="G2622">IFERROR((C2622-B2622)/C2622*100, "N/A")</f>
        <v>96.92307692</v>
      </c>
      <c r="J2622" s="1"/>
      <c r="K2622" s="1"/>
    </row>
    <row r="2623" ht="14.25" customHeight="1">
      <c r="A2623" s="1" t="s">
        <v>12555</v>
      </c>
      <c r="B2623" s="1">
        <v>1.1E7</v>
      </c>
      <c r="C2623" s="1">
        <v>1.01736215E8</v>
      </c>
      <c r="F2623" s="4">
        <v>9.0736215E7</v>
      </c>
      <c r="G2623" s="4">
        <f t="array" ref="G2623">IFERROR((C2623-B2623)/C2623*100, "N/A")</f>
        <v>89.18772435</v>
      </c>
      <c r="J2623" s="1"/>
      <c r="K2623" s="1"/>
    </row>
    <row r="2624" ht="14.25" customHeight="1">
      <c r="A2624" s="1" t="s">
        <v>12559</v>
      </c>
      <c r="B2624" s="1">
        <v>9600000.0</v>
      </c>
      <c r="C2624" s="1">
        <v>71442.0</v>
      </c>
      <c r="F2624" s="4">
        <v>-9528558.0</v>
      </c>
      <c r="G2624" s="4">
        <f t="array" ref="G2624">IFERROR((C2624-B2624)/C2624*100, "N/A")</f>
        <v>-13337.47375</v>
      </c>
      <c r="J2624" s="1"/>
      <c r="K2624" s="1"/>
    </row>
    <row r="2625" ht="14.25" customHeight="1">
      <c r="A2625" s="1" t="s">
        <v>12564</v>
      </c>
      <c r="B2625" s="1">
        <v>2.5E7</v>
      </c>
      <c r="C2625" s="1">
        <v>7.9817937E7</v>
      </c>
      <c r="F2625" s="4">
        <v>5.4817937E7</v>
      </c>
      <c r="G2625" s="4">
        <f t="array" ref="G2625">IFERROR((C2625-B2625)/C2625*100, "N/A")</f>
        <v>68.67871942</v>
      </c>
      <c r="J2625" s="1"/>
      <c r="K2625" s="1"/>
    </row>
    <row r="2626" ht="14.25" customHeight="1">
      <c r="A2626" s="1" t="s">
        <v>12569</v>
      </c>
      <c r="B2626" s="1">
        <v>1.2E7</v>
      </c>
      <c r="C2626" s="1">
        <v>9.1547205E7</v>
      </c>
      <c r="F2626" s="4">
        <v>7.9547205E7</v>
      </c>
      <c r="G2626" s="4">
        <f t="array" ref="G2626">IFERROR((C2626-B2626)/C2626*100, "N/A")</f>
        <v>86.89200834</v>
      </c>
      <c r="J2626" s="1"/>
      <c r="K2626" s="1"/>
    </row>
    <row r="2627" ht="14.25" customHeight="1">
      <c r="A2627" s="1" t="s">
        <v>12572</v>
      </c>
      <c r="B2627" s="1">
        <v>1.2E7</v>
      </c>
      <c r="C2627" s="1">
        <v>7.507495E7</v>
      </c>
      <c r="F2627" s="4">
        <v>6.307495E7</v>
      </c>
      <c r="G2627" s="4">
        <f t="array" ref="G2627">IFERROR((C2627-B2627)/C2627*100, "N/A")</f>
        <v>84.01597337</v>
      </c>
      <c r="J2627" s="1"/>
      <c r="K2627" s="1"/>
    </row>
    <row r="2628" ht="14.25" customHeight="1">
      <c r="A2628" s="1" t="s">
        <v>12575</v>
      </c>
      <c r="B2628" s="1">
        <v>1.1E7</v>
      </c>
      <c r="C2628" s="1">
        <v>7.89E7</v>
      </c>
      <c r="F2628" s="4">
        <v>6.79E7</v>
      </c>
      <c r="G2628" s="4">
        <f t="array" ref="G2628">IFERROR((C2628-B2628)/C2628*100, "N/A")</f>
        <v>86.05830165</v>
      </c>
      <c r="J2628" s="1"/>
      <c r="K2628" s="1"/>
    </row>
    <row r="2629" ht="14.25" customHeight="1">
      <c r="A2629" s="1" t="s">
        <v>12579</v>
      </c>
      <c r="B2629" s="1">
        <v>1.2E7</v>
      </c>
      <c r="C2629" s="1">
        <v>7.2217E7</v>
      </c>
      <c r="F2629" s="4">
        <v>6.0217E7</v>
      </c>
      <c r="G2629" s="4">
        <f t="array" ref="G2629">IFERROR((C2629-B2629)/C2629*100, "N/A")</f>
        <v>83.38341388</v>
      </c>
      <c r="J2629" s="1"/>
      <c r="K2629" s="1"/>
    </row>
    <row r="2630" ht="14.25" customHeight="1">
      <c r="A2630" s="1" t="s">
        <v>12583</v>
      </c>
      <c r="B2630" s="1">
        <v>1.2E7</v>
      </c>
      <c r="C2630" s="1">
        <v>7.9568E7</v>
      </c>
      <c r="F2630" s="4">
        <v>6.7568E7</v>
      </c>
      <c r="G2630" s="4">
        <f t="array" ref="G2630">IFERROR((C2630-B2630)/C2630*100, "N/A")</f>
        <v>84.91856023</v>
      </c>
      <c r="J2630" s="1"/>
      <c r="K2630" s="1"/>
    </row>
    <row r="2631" ht="14.25" customHeight="1">
      <c r="A2631" s="1" t="s">
        <v>12587</v>
      </c>
      <c r="B2631" s="1">
        <v>1.2E7</v>
      </c>
      <c r="C2631" s="1">
        <v>6.55E7</v>
      </c>
      <c r="F2631" s="4">
        <v>5.35E7</v>
      </c>
      <c r="G2631" s="4">
        <f t="array" ref="G2631">IFERROR((C2631-B2631)/C2631*100, "N/A")</f>
        <v>81.67938931</v>
      </c>
      <c r="J2631" s="1"/>
      <c r="K2631" s="1"/>
    </row>
    <row r="2632" ht="14.25" customHeight="1">
      <c r="A2632" s="1" t="s">
        <v>12591</v>
      </c>
      <c r="B2632" s="1">
        <v>1.2E7</v>
      </c>
      <c r="C2632" s="1">
        <v>7.0011073E7</v>
      </c>
      <c r="F2632" s="4">
        <v>5.8011073E7</v>
      </c>
      <c r="G2632" s="4">
        <f t="array" ref="G2632">IFERROR((C2632-B2632)/C2632*100, "N/A")</f>
        <v>82.85985418</v>
      </c>
      <c r="J2632" s="1"/>
      <c r="K2632" s="1"/>
    </row>
    <row r="2633" ht="14.25" customHeight="1">
      <c r="A2633" s="1" t="s">
        <v>12598</v>
      </c>
      <c r="B2633" s="1">
        <v>1.2E7</v>
      </c>
      <c r="C2633" s="1">
        <v>6.526901E7</v>
      </c>
      <c r="F2633" s="4">
        <v>5.326901E7</v>
      </c>
      <c r="G2633" s="4">
        <f t="array" ref="G2633">IFERROR((C2633-B2633)/C2633*100, "N/A")</f>
        <v>81.61455184</v>
      </c>
      <c r="J2633" s="1"/>
      <c r="K2633" s="1"/>
    </row>
    <row r="2634" ht="14.25" customHeight="1">
      <c r="A2634" s="1" t="s">
        <v>12604</v>
      </c>
      <c r="B2634" s="1">
        <v>1.2E7</v>
      </c>
      <c r="C2634" s="1">
        <v>6.3071133E7</v>
      </c>
      <c r="F2634" s="4">
        <v>5.1071133E7</v>
      </c>
      <c r="G2634" s="4">
        <f t="array" ref="G2634">IFERROR((C2634-B2634)/C2634*100, "N/A")</f>
        <v>80.97386327</v>
      </c>
      <c r="J2634" s="1"/>
      <c r="K2634" s="1"/>
    </row>
    <row r="2635" ht="14.25" customHeight="1">
      <c r="A2635" s="1" t="s">
        <v>12608</v>
      </c>
      <c r="B2635" s="1">
        <v>1.2E7</v>
      </c>
      <c r="C2635" s="1">
        <v>3.9647595E7</v>
      </c>
      <c r="F2635" s="4">
        <v>2.7647595E7</v>
      </c>
      <c r="G2635" s="4">
        <f t="array" ref="G2635">IFERROR((C2635-B2635)/C2635*100, "N/A")</f>
        <v>69.733347</v>
      </c>
      <c r="J2635" s="1"/>
      <c r="K2635" s="1"/>
    </row>
    <row r="2636" ht="14.25" customHeight="1">
      <c r="A2636" s="1" t="s">
        <v>12612</v>
      </c>
      <c r="B2636" s="1">
        <v>1.2E7</v>
      </c>
      <c r="C2636" s="1">
        <v>3.8087366E7</v>
      </c>
      <c r="F2636" s="4">
        <v>2.6087366E7</v>
      </c>
      <c r="G2636" s="4">
        <f t="array" ref="G2636">IFERROR((C2636-B2636)/C2636*100, "N/A")</f>
        <v>68.49348942</v>
      </c>
      <c r="J2636" s="1"/>
      <c r="K2636" s="1"/>
    </row>
    <row r="2637" ht="14.25" customHeight="1">
      <c r="A2637" s="1" t="s">
        <v>12615</v>
      </c>
      <c r="B2637" s="1">
        <v>1.2E7</v>
      </c>
      <c r="C2637" s="1">
        <v>6.4572496E7</v>
      </c>
      <c r="F2637" s="4">
        <v>5.2572496E7</v>
      </c>
      <c r="G2637" s="4">
        <f t="array" ref="G2637">IFERROR((C2637-B2637)/C2637*100, "N/A")</f>
        <v>81.41623641</v>
      </c>
      <c r="J2637" s="1"/>
      <c r="K2637" s="1"/>
    </row>
    <row r="2638" ht="14.25" customHeight="1">
      <c r="A2638" s="1" t="s">
        <v>12619</v>
      </c>
      <c r="B2638" s="1">
        <v>1.2E7</v>
      </c>
      <c r="C2638" s="1">
        <v>3.04E7</v>
      </c>
      <c r="F2638" s="4">
        <v>1.84E7</v>
      </c>
      <c r="G2638" s="4">
        <f t="array" ref="G2638">IFERROR((C2638-B2638)/C2638*100, "N/A")</f>
        <v>60.52631579</v>
      </c>
      <c r="J2638" s="1"/>
      <c r="K2638" s="1"/>
    </row>
    <row r="2639" ht="14.25" customHeight="1">
      <c r="A2639" s="1" t="s">
        <v>12624</v>
      </c>
      <c r="B2639" s="1">
        <v>5000000.0</v>
      </c>
      <c r="C2639" s="1">
        <v>4.23656E7</v>
      </c>
      <c r="F2639" s="4">
        <v>3.73656E7</v>
      </c>
      <c r="G2639" s="4">
        <f t="array" ref="G2639">IFERROR((C2639-B2639)/C2639*100, "N/A")</f>
        <v>88.19797194</v>
      </c>
      <c r="J2639" s="1"/>
      <c r="K2639" s="1"/>
    </row>
    <row r="2640" ht="14.25" customHeight="1">
      <c r="A2640" s="1" t="s">
        <v>12629</v>
      </c>
      <c r="B2640" s="1">
        <v>1.2E7</v>
      </c>
      <c r="C2640" s="1">
        <v>3.7188667E7</v>
      </c>
      <c r="F2640" s="4">
        <v>2.5188667E7</v>
      </c>
      <c r="G2640" s="4">
        <f t="array" ref="G2640">IFERROR((C2640-B2640)/C2640*100, "N/A")</f>
        <v>67.73210505</v>
      </c>
      <c r="J2640" s="1"/>
      <c r="K2640" s="1"/>
    </row>
    <row r="2641" ht="14.25" customHeight="1">
      <c r="A2641" s="1" t="s">
        <v>12636</v>
      </c>
      <c r="B2641" s="1">
        <v>1.2E7</v>
      </c>
      <c r="C2641" s="1">
        <v>5.4724272E7</v>
      </c>
      <c r="F2641" s="4">
        <v>4.2724272E7</v>
      </c>
      <c r="G2641" s="4">
        <f t="array" ref="G2641">IFERROR((C2641-B2641)/C2641*100, "N/A")</f>
        <v>78.07188737</v>
      </c>
      <c r="J2641" s="1"/>
      <c r="K2641" s="1"/>
    </row>
    <row r="2642" ht="14.25" customHeight="1">
      <c r="A2642" s="1" t="s">
        <v>12641</v>
      </c>
      <c r="B2642" s="1">
        <v>1.2E7</v>
      </c>
      <c r="C2642" s="1">
        <v>3.1597131E7</v>
      </c>
      <c r="F2642" s="4">
        <v>1.9597131E7</v>
      </c>
      <c r="G2642" s="4">
        <f t="array" ref="G2642">IFERROR((C2642-B2642)/C2642*100, "N/A")</f>
        <v>62.02186838</v>
      </c>
      <c r="J2642" s="1"/>
      <c r="K2642" s="1"/>
    </row>
    <row r="2643" ht="14.25" customHeight="1">
      <c r="A2643" s="1" t="s">
        <v>12645</v>
      </c>
      <c r="B2643" s="1">
        <v>1.2E7</v>
      </c>
      <c r="C2643" s="1">
        <v>3.1691811E7</v>
      </c>
      <c r="F2643" s="4">
        <v>1.9691811E7</v>
      </c>
      <c r="G2643" s="4">
        <f t="array" ref="G2643">IFERROR((C2643-B2643)/C2643*100, "N/A")</f>
        <v>62.1353289</v>
      </c>
      <c r="J2643" s="1"/>
      <c r="K2643" s="1"/>
    </row>
    <row r="2644" ht="14.25" customHeight="1">
      <c r="A2644" s="1" t="s">
        <v>12649</v>
      </c>
      <c r="B2644" s="1">
        <v>1.2E7</v>
      </c>
      <c r="C2644" s="1">
        <v>3.1397498E7</v>
      </c>
      <c r="F2644" s="4">
        <v>1.9397498E7</v>
      </c>
      <c r="G2644" s="4">
        <f t="array" ref="G2644">IFERROR((C2644-B2644)/C2644*100, "N/A")</f>
        <v>61.78039409</v>
      </c>
      <c r="J2644" s="1"/>
      <c r="K2644" s="1"/>
    </row>
    <row r="2645" ht="14.25" customHeight="1">
      <c r="A2645" s="1" t="s">
        <v>12653</v>
      </c>
      <c r="B2645" s="1">
        <v>1.2E7</v>
      </c>
      <c r="C2645" s="1">
        <v>3.1179516E7</v>
      </c>
      <c r="F2645" s="4">
        <v>1.9179516E7</v>
      </c>
      <c r="G2645" s="4">
        <f t="array" ref="G2645">IFERROR((C2645-B2645)/C2645*100, "N/A")</f>
        <v>61.51319347</v>
      </c>
      <c r="J2645" s="1"/>
      <c r="K2645" s="1"/>
    </row>
    <row r="2646" ht="14.25" customHeight="1">
      <c r="A2646" s="1" t="s">
        <v>12657</v>
      </c>
      <c r="B2646" s="1">
        <v>1.2E7</v>
      </c>
      <c r="C2646" s="1">
        <v>3.1155435E7</v>
      </c>
      <c r="F2646" s="4">
        <v>1.9155435E7</v>
      </c>
      <c r="G2646" s="4">
        <f t="array" ref="G2646">IFERROR((C2646-B2646)/C2646*100, "N/A")</f>
        <v>61.48344583</v>
      </c>
      <c r="J2646" s="1"/>
      <c r="K2646" s="1"/>
    </row>
    <row r="2647" ht="14.25" customHeight="1">
      <c r="A2647" s="1" t="s">
        <v>12661</v>
      </c>
      <c r="B2647" s="1">
        <v>1.2E7</v>
      </c>
      <c r="C2647" s="1">
        <v>2.7281507E7</v>
      </c>
      <c r="F2647" s="4">
        <v>1.5281507E7</v>
      </c>
      <c r="G2647" s="4">
        <f t="array" ref="G2647">IFERROR((C2647-B2647)/C2647*100, "N/A")</f>
        <v>56.01416007</v>
      </c>
      <c r="J2647" s="1"/>
      <c r="K2647" s="1"/>
    </row>
    <row r="2648" ht="14.25" customHeight="1">
      <c r="A2648" s="1" t="s">
        <v>1623</v>
      </c>
      <c r="B2648" s="1">
        <v>1.5E8</v>
      </c>
      <c r="C2648" s="1">
        <v>1.67007184E8</v>
      </c>
      <c r="F2648" s="4">
        <v>1.7007184E7</v>
      </c>
      <c r="G2648" s="4">
        <f t="array" ref="G2648">IFERROR((C2648-B2648)/C2648*100, "N/A")</f>
        <v>10.18350444</v>
      </c>
      <c r="J2648" s="1"/>
      <c r="K2648" s="1"/>
    </row>
    <row r="2649" ht="14.25" customHeight="1">
      <c r="A2649" s="1" t="s">
        <v>12666</v>
      </c>
      <c r="B2649" s="1">
        <v>1.2E7</v>
      </c>
      <c r="C2649" s="1">
        <v>2.5776062E7</v>
      </c>
      <c r="F2649" s="4">
        <v>1.3776062E7</v>
      </c>
      <c r="G2649" s="4">
        <f t="array" ref="G2649">IFERROR((C2649-B2649)/C2649*100, "N/A")</f>
        <v>53.44517716</v>
      </c>
      <c r="J2649" s="1"/>
      <c r="K2649" s="1"/>
    </row>
    <row r="2650" ht="14.25" customHeight="1">
      <c r="A2650" s="1" t="s">
        <v>12670</v>
      </c>
      <c r="B2650" s="1">
        <v>1.2E7</v>
      </c>
      <c r="C2650" s="1">
        <v>2.5240988E7</v>
      </c>
      <c r="F2650" s="4">
        <v>1.3240988E7</v>
      </c>
      <c r="G2650" s="4">
        <f t="array" ref="G2650">IFERROR((C2650-B2650)/C2650*100, "N/A")</f>
        <v>52.45827937</v>
      </c>
      <c r="J2650" s="1"/>
      <c r="K2650" s="1"/>
    </row>
    <row r="2651" ht="14.25" customHeight="1">
      <c r="A2651" s="1" t="s">
        <v>12677</v>
      </c>
      <c r="B2651" s="1">
        <v>1.2E7</v>
      </c>
      <c r="C2651" s="1">
        <v>1.24868837E8</v>
      </c>
      <c r="F2651" s="4">
        <v>1.12868837E8</v>
      </c>
      <c r="G2651" s="4">
        <f t="array" ref="G2651">IFERROR((C2651-B2651)/C2651*100, "N/A")</f>
        <v>90.3899161</v>
      </c>
      <c r="J2651" s="1"/>
      <c r="K2651" s="1"/>
    </row>
    <row r="2652" ht="14.25" customHeight="1">
      <c r="A2652" s="1" t="s">
        <v>12681</v>
      </c>
      <c r="B2652" s="1">
        <v>1.2E7</v>
      </c>
      <c r="C2652" s="1">
        <v>2.2905674E7</v>
      </c>
      <c r="F2652" s="4">
        <v>1.0905674E7</v>
      </c>
      <c r="G2652" s="4">
        <f t="array" ref="G2652">IFERROR((C2652-B2652)/C2652*100, "N/A")</f>
        <v>47.61123379</v>
      </c>
      <c r="J2652" s="1"/>
      <c r="K2652" s="1"/>
    </row>
    <row r="2653" ht="14.25" customHeight="1">
      <c r="A2653" s="1" t="s">
        <v>12684</v>
      </c>
      <c r="B2653" s="1">
        <v>1.2E7</v>
      </c>
      <c r="C2653" s="1">
        <v>2.5277561E7</v>
      </c>
      <c r="F2653" s="4">
        <v>1.3277561E7</v>
      </c>
      <c r="G2653" s="4">
        <f t="array" ref="G2653">IFERROR((C2653-B2653)/C2653*100, "N/A")</f>
        <v>52.52706541</v>
      </c>
      <c r="J2653" s="1"/>
      <c r="K2653" s="1"/>
    </row>
    <row r="2654" ht="14.25" customHeight="1">
      <c r="A2654" s="1" t="s">
        <v>12688</v>
      </c>
      <c r="B2654" s="1">
        <v>1.2E7</v>
      </c>
      <c r="C2654" s="1">
        <v>2.1133087E7</v>
      </c>
      <c r="F2654" s="4">
        <v>9133087.0</v>
      </c>
      <c r="G2654" s="4">
        <f t="array" ref="G2654">IFERROR((C2654-B2654)/C2654*100, "N/A")</f>
        <v>43.21700374</v>
      </c>
      <c r="J2654" s="1"/>
      <c r="K2654" s="1"/>
    </row>
    <row r="2655" ht="14.25" customHeight="1">
      <c r="A2655" s="1" t="s">
        <v>12693</v>
      </c>
      <c r="B2655" s="1">
        <v>1.2E7</v>
      </c>
      <c r="C2655" s="1">
        <v>3.7707719E7</v>
      </c>
      <c r="F2655" s="4">
        <v>2.5707719E7</v>
      </c>
      <c r="G2655" s="4">
        <f t="array" ref="G2655">IFERROR((C2655-B2655)/C2655*100, "N/A")</f>
        <v>68.17627712</v>
      </c>
      <c r="J2655" s="1"/>
      <c r="K2655" s="1"/>
    </row>
    <row r="2656" ht="14.25" customHeight="1">
      <c r="A2656" s="1" t="s">
        <v>12698</v>
      </c>
      <c r="B2656" s="1">
        <v>9000000.0</v>
      </c>
      <c r="C2656" s="1">
        <v>1.8761993E7</v>
      </c>
      <c r="F2656" s="4">
        <v>9761993.0</v>
      </c>
      <c r="G2656" s="4">
        <f t="array" ref="G2656">IFERROR((C2656-B2656)/C2656*100, "N/A")</f>
        <v>52.03068245</v>
      </c>
      <c r="J2656" s="1"/>
      <c r="K2656" s="1"/>
    </row>
    <row r="2657" ht="14.25" customHeight="1">
      <c r="A2657" s="1" t="s">
        <v>12701</v>
      </c>
      <c r="B2657" s="1">
        <v>1.2E7</v>
      </c>
      <c r="C2657" s="1">
        <v>1.8595716E7</v>
      </c>
      <c r="F2657" s="4">
        <v>6595716.0</v>
      </c>
      <c r="G2657" s="4">
        <f t="array" ref="G2657">IFERROR((C2657-B2657)/C2657*100, "N/A")</f>
        <v>35.46900802</v>
      </c>
      <c r="J2657" s="1"/>
      <c r="K2657" s="1"/>
    </row>
    <row r="2658" ht="14.25" customHeight="1">
      <c r="A2658" s="1" t="s">
        <v>12708</v>
      </c>
      <c r="B2658" s="1">
        <v>1.2E7</v>
      </c>
      <c r="C2658" s="1">
        <v>3.1990064E7</v>
      </c>
      <c r="F2658" s="4">
        <v>1.9990064E7</v>
      </c>
      <c r="G2658" s="4">
        <f t="array" ref="G2658">IFERROR((C2658-B2658)/C2658*100, "N/A")</f>
        <v>62.48835263</v>
      </c>
      <c r="J2658" s="1"/>
      <c r="K2658" s="1"/>
    </row>
    <row r="2659" ht="14.25" customHeight="1">
      <c r="A2659" s="1" t="s">
        <v>12712</v>
      </c>
      <c r="B2659" s="1">
        <v>1.2E7</v>
      </c>
      <c r="C2659" s="1">
        <v>1.761346E7</v>
      </c>
      <c r="F2659" s="4">
        <v>5613460.0</v>
      </c>
      <c r="G2659" s="4">
        <f t="array" ref="G2659">IFERROR((C2659-B2659)/C2659*100, "N/A")</f>
        <v>31.87028557</v>
      </c>
      <c r="J2659" s="1"/>
      <c r="K2659" s="1"/>
    </row>
    <row r="2660" ht="14.25" customHeight="1">
      <c r="A2660" s="1" t="s">
        <v>12716</v>
      </c>
      <c r="B2660" s="1">
        <v>1.3E7</v>
      </c>
      <c r="C2660" s="1">
        <v>2.1088568E7</v>
      </c>
      <c r="F2660" s="4">
        <v>8088568.0</v>
      </c>
      <c r="G2660" s="4">
        <f t="array" ref="G2660">IFERROR((C2660-B2660)/C2660*100, "N/A")</f>
        <v>38.3552264</v>
      </c>
      <c r="J2660" s="1"/>
      <c r="K2660" s="1"/>
    </row>
    <row r="2661" ht="14.25" customHeight="1">
      <c r="A2661" s="1" t="s">
        <v>12719</v>
      </c>
      <c r="B2661" s="1">
        <v>1.2E7</v>
      </c>
      <c r="C2661" s="1">
        <v>1.7292381E7</v>
      </c>
      <c r="F2661" s="4">
        <v>5292381.0</v>
      </c>
      <c r="G2661" s="4">
        <f t="array" ref="G2661">IFERROR((C2661-B2661)/C2661*100, "N/A")</f>
        <v>30.60527639</v>
      </c>
      <c r="J2661" s="1"/>
      <c r="K2661" s="1"/>
    </row>
    <row r="2662" ht="14.25" customHeight="1">
      <c r="A2662" s="1" t="s">
        <v>12723</v>
      </c>
      <c r="B2662" s="1">
        <v>1.2E7</v>
      </c>
      <c r="C2662" s="1">
        <v>1.6300302E7</v>
      </c>
      <c r="F2662" s="4">
        <v>4300302.0</v>
      </c>
      <c r="G2662" s="4">
        <f t="array" ref="G2662">IFERROR((C2662-B2662)/C2662*100, "N/A")</f>
        <v>26.38173207</v>
      </c>
      <c r="J2662" s="1"/>
      <c r="K2662" s="1"/>
    </row>
    <row r="2663" ht="14.25" customHeight="1">
      <c r="A2663" s="1" t="s">
        <v>12726</v>
      </c>
      <c r="B2663" s="1">
        <v>1.2E7</v>
      </c>
      <c r="C2663" s="1">
        <v>2.7829874E7</v>
      </c>
      <c r="F2663" s="4">
        <v>1.5829874E7</v>
      </c>
      <c r="G2663" s="4">
        <f t="array" ref="G2663">IFERROR((C2663-B2663)/C2663*100, "N/A")</f>
        <v>56.88086838</v>
      </c>
      <c r="J2663" s="1"/>
      <c r="K2663" s="1"/>
    </row>
    <row r="2664" ht="14.25" customHeight="1">
      <c r="A2664" s="1" t="s">
        <v>12729</v>
      </c>
      <c r="B2664" s="1">
        <v>1.2E7</v>
      </c>
      <c r="C2664" s="1">
        <v>1.290279E7</v>
      </c>
      <c r="F2664" s="4">
        <v>902790.0</v>
      </c>
      <c r="G2664" s="4">
        <f t="array" ref="G2664">IFERROR((C2664-B2664)/C2664*100, "N/A")</f>
        <v>6.996858819</v>
      </c>
      <c r="J2664" s="1"/>
      <c r="K2664" s="1"/>
    </row>
    <row r="2665" ht="14.25" customHeight="1">
      <c r="A2665" s="1" t="s">
        <v>12732</v>
      </c>
      <c r="B2665" s="1">
        <v>1.4E7</v>
      </c>
      <c r="C2665" s="1">
        <v>1.1433134E7</v>
      </c>
      <c r="F2665" s="4">
        <v>-2566866.0</v>
      </c>
      <c r="G2665" s="4">
        <f t="array" ref="G2665">IFERROR((C2665-B2665)/C2665*100, "N/A")</f>
        <v>-22.45111445</v>
      </c>
      <c r="J2665" s="1"/>
      <c r="K2665" s="1"/>
    </row>
    <row r="2666" ht="14.25" customHeight="1">
      <c r="A2666" s="1" t="s">
        <v>1974</v>
      </c>
      <c r="B2666" s="1">
        <v>1.07E8</v>
      </c>
      <c r="C2666" s="1">
        <v>2.2406362E7</v>
      </c>
      <c r="F2666" s="4">
        <v>-8.4593638E7</v>
      </c>
      <c r="G2666" s="4">
        <f t="array" ref="G2666">IFERROR((C2666-B2666)/C2666*100, "N/A")</f>
        <v>-377.5429407</v>
      </c>
      <c r="J2666" s="1"/>
      <c r="K2666" s="1"/>
    </row>
    <row r="2667" ht="14.25" customHeight="1">
      <c r="A2667" s="1" t="s">
        <v>12740</v>
      </c>
      <c r="B2667" s="1">
        <v>1.2E7</v>
      </c>
      <c r="C2667" s="1">
        <v>1.0198766E7</v>
      </c>
      <c r="F2667" s="4">
        <v>-1801234.0</v>
      </c>
      <c r="G2667" s="4">
        <f t="array" ref="G2667">IFERROR((C2667-B2667)/C2667*100, "N/A")</f>
        <v>-17.66129353</v>
      </c>
      <c r="J2667" s="1"/>
      <c r="K2667" s="1"/>
    </row>
    <row r="2668" ht="14.25" customHeight="1">
      <c r="A2668" s="1" t="s">
        <v>12743</v>
      </c>
      <c r="B2668" s="1">
        <v>1.2E7</v>
      </c>
      <c r="C2668" s="1">
        <v>1.5294553E7</v>
      </c>
      <c r="F2668" s="4">
        <v>3294553.0</v>
      </c>
      <c r="G2668" s="4">
        <f t="array" ref="G2668">IFERROR((C2668-B2668)/C2668*100, "N/A")</f>
        <v>21.54069491</v>
      </c>
      <c r="J2668" s="1"/>
      <c r="K2668" s="1"/>
    </row>
    <row r="2669" ht="14.25" customHeight="1">
      <c r="A2669" s="1" t="s">
        <v>12747</v>
      </c>
      <c r="B2669" s="1">
        <v>1.0E8</v>
      </c>
      <c r="C2669" s="1">
        <v>1.1041228E7</v>
      </c>
      <c r="F2669" s="4">
        <v>-8.8958772E7</v>
      </c>
      <c r="G2669" s="4">
        <f t="array" ref="G2669">IFERROR((C2669-B2669)/C2669*100, "N/A")</f>
        <v>-805.6963591</v>
      </c>
      <c r="J2669" s="1"/>
      <c r="K2669" s="1"/>
    </row>
    <row r="2670" ht="14.25" customHeight="1">
      <c r="A2670" s="1" t="s">
        <v>12752</v>
      </c>
      <c r="B2670" s="1">
        <v>1.2E7</v>
      </c>
      <c r="C2670" s="1">
        <v>7918283.0</v>
      </c>
      <c r="F2670" s="4">
        <v>-4081717.0</v>
      </c>
      <c r="G2670" s="4">
        <f t="array" ref="G2670">IFERROR((C2670-B2670)/C2670*100, "N/A")</f>
        <v>-51.54800605</v>
      </c>
      <c r="J2670" s="1"/>
      <c r="K2670" s="1"/>
    </row>
    <row r="2671" ht="14.25" customHeight="1">
      <c r="A2671" s="1" t="s">
        <v>12756</v>
      </c>
      <c r="B2671" s="1">
        <v>1.2E7</v>
      </c>
      <c r="C2671" s="1">
        <v>2.2331028E7</v>
      </c>
      <c r="F2671" s="4">
        <v>1.0331028E7</v>
      </c>
      <c r="G2671" s="4">
        <f t="array" ref="G2671">IFERROR((C2671-B2671)/C2671*100, "N/A")</f>
        <v>46.26310979</v>
      </c>
      <c r="J2671" s="1"/>
      <c r="K2671" s="1"/>
    </row>
    <row r="2672" ht="14.25" customHeight="1">
      <c r="A2672" s="1" t="s">
        <v>12763</v>
      </c>
      <c r="B2672" s="1">
        <v>1.2E7</v>
      </c>
      <c r="C2672" s="1">
        <v>8134217.0</v>
      </c>
      <c r="F2672" s="4">
        <v>-3865783.0</v>
      </c>
      <c r="G2672" s="4">
        <f t="array" ref="G2672">IFERROR((C2672-B2672)/C2672*100, "N/A")</f>
        <v>-47.52495538</v>
      </c>
      <c r="J2672" s="1"/>
      <c r="K2672" s="1"/>
    </row>
    <row r="2673" ht="14.25" customHeight="1">
      <c r="A2673" s="1" t="s">
        <v>12769</v>
      </c>
      <c r="B2673" s="1">
        <v>1.0E7</v>
      </c>
      <c r="C2673" s="1">
        <v>6982680.0</v>
      </c>
      <c r="F2673" s="4">
        <v>-3017320.0</v>
      </c>
      <c r="G2673" s="4">
        <f t="array" ref="G2673">IFERROR((C2673-B2673)/C2673*100, "N/A")</f>
        <v>-43.211489</v>
      </c>
      <c r="J2673" s="1"/>
      <c r="K2673" s="1"/>
    </row>
    <row r="2674" ht="14.25" customHeight="1">
      <c r="A2674" s="1" t="s">
        <v>12774</v>
      </c>
      <c r="B2674" s="1">
        <v>8000000.0</v>
      </c>
      <c r="C2674" s="1">
        <v>6739141.0</v>
      </c>
      <c r="F2674" s="4">
        <v>-1260859.0</v>
      </c>
      <c r="G2674" s="4">
        <f t="array" ref="G2674">IFERROR((C2674-B2674)/C2674*100, "N/A")</f>
        <v>-18.70949131</v>
      </c>
      <c r="J2674" s="1"/>
      <c r="K2674" s="1"/>
    </row>
    <row r="2675" ht="14.25" customHeight="1">
      <c r="A2675" s="1" t="s">
        <v>12777</v>
      </c>
      <c r="B2675" s="1">
        <v>1.2E7</v>
      </c>
      <c r="C2675" s="1">
        <v>5542025.0</v>
      </c>
      <c r="F2675" s="4">
        <v>-6457975.0</v>
      </c>
      <c r="G2675" s="4">
        <f t="array" ref="G2675">IFERROR((C2675-B2675)/C2675*100, "N/A")</f>
        <v>-116.5273524</v>
      </c>
      <c r="J2675" s="1"/>
      <c r="K2675" s="1"/>
    </row>
    <row r="2676" ht="14.25" customHeight="1">
      <c r="A2676" s="1" t="s">
        <v>12780</v>
      </c>
      <c r="B2676" s="1">
        <v>1.2E7</v>
      </c>
      <c r="C2676" s="1">
        <v>5032496.0</v>
      </c>
      <c r="F2676" s="4">
        <v>-6967504.0</v>
      </c>
      <c r="G2676" s="4">
        <f t="array" ref="G2676">IFERROR((C2676-B2676)/C2676*100, "N/A")</f>
        <v>-138.450264</v>
      </c>
      <c r="J2676" s="1"/>
      <c r="K2676" s="1"/>
    </row>
    <row r="2677" ht="14.25" customHeight="1">
      <c r="A2677" s="1" t="s">
        <v>12784</v>
      </c>
      <c r="B2677" s="1">
        <v>1.2E7</v>
      </c>
      <c r="C2677" s="1">
        <v>6754898.0</v>
      </c>
      <c r="F2677" s="4">
        <v>-5245102.0</v>
      </c>
      <c r="G2677" s="4">
        <f t="array" ref="G2677">IFERROR((C2677-B2677)/C2677*100, "N/A")</f>
        <v>-77.64887049</v>
      </c>
      <c r="J2677" s="1"/>
      <c r="K2677" s="1"/>
    </row>
    <row r="2678" ht="14.25" customHeight="1">
      <c r="A2678" s="1" t="s">
        <v>12788</v>
      </c>
      <c r="B2678" s="1">
        <v>1.2E7</v>
      </c>
      <c r="C2678" s="1">
        <v>4922166.0</v>
      </c>
      <c r="F2678" s="4">
        <v>-7077834.0</v>
      </c>
      <c r="G2678" s="4">
        <f t="array" ref="G2678">IFERROR((C2678-B2678)/C2678*100, "N/A")</f>
        <v>-143.7951097</v>
      </c>
      <c r="J2678" s="1"/>
      <c r="K2678" s="1"/>
    </row>
    <row r="2679" ht="14.25" customHeight="1">
      <c r="A2679" s="1" t="s">
        <v>12793</v>
      </c>
      <c r="B2679" s="1">
        <v>1.2E7</v>
      </c>
      <c r="C2679" s="1">
        <v>4903000.0</v>
      </c>
      <c r="F2679" s="4">
        <v>-7097000.0</v>
      </c>
      <c r="G2679" s="4">
        <f t="array" ref="G2679">IFERROR((C2679-B2679)/C2679*100, "N/A")</f>
        <v>-144.7481134</v>
      </c>
      <c r="J2679" s="1"/>
      <c r="K2679" s="1"/>
    </row>
    <row r="2680" ht="14.25" customHeight="1">
      <c r="A2680" s="1" t="s">
        <v>12797</v>
      </c>
      <c r="B2680" s="1">
        <v>1.2E7</v>
      </c>
      <c r="C2680" s="1">
        <v>4717455.0</v>
      </c>
      <c r="F2680" s="4">
        <v>-7282545.0</v>
      </c>
      <c r="G2680" s="4">
        <f t="array" ref="G2680">IFERROR((C2680-B2680)/C2680*100, "N/A")</f>
        <v>-154.3744455</v>
      </c>
      <c r="J2680" s="1"/>
      <c r="K2680" s="1"/>
    </row>
    <row r="2681" ht="14.25" customHeight="1">
      <c r="A2681" s="1" t="s">
        <v>12802</v>
      </c>
      <c r="B2681" s="1">
        <v>1.2E7</v>
      </c>
      <c r="C2681" s="1">
        <v>3148482.0</v>
      </c>
      <c r="F2681" s="4">
        <v>-8851518.0</v>
      </c>
      <c r="G2681" s="4">
        <f t="array" ref="G2681">IFERROR((C2681-B2681)/C2681*100, "N/A")</f>
        <v>-281.1360522</v>
      </c>
      <c r="J2681" s="1"/>
      <c r="K2681" s="1"/>
    </row>
    <row r="2682" ht="14.25" customHeight="1">
      <c r="A2682" s="1" t="s">
        <v>12807</v>
      </c>
      <c r="B2682" s="1">
        <v>1.2E7</v>
      </c>
      <c r="C2682" s="1">
        <v>2326407.0</v>
      </c>
      <c r="F2682" s="4">
        <v>-9673593.0</v>
      </c>
      <c r="G2682" s="4">
        <f t="array" ref="G2682">IFERROR((C2682-B2682)/C2682*100, "N/A")</f>
        <v>-415.8168798</v>
      </c>
      <c r="J2682" s="1"/>
      <c r="K2682" s="1"/>
    </row>
    <row r="2683" ht="14.25" customHeight="1">
      <c r="A2683" s="1" t="s">
        <v>5056</v>
      </c>
      <c r="B2683" s="1">
        <v>1.22155E10</v>
      </c>
      <c r="C2683" s="1">
        <v>2201412.0</v>
      </c>
      <c r="F2683" s="4">
        <v>-1.2213298588E10</v>
      </c>
      <c r="G2683" s="4">
        <f t="array" ref="G2683">IFERROR((C2683-B2683)/C2683*100, "N/A")</f>
        <v>-554793.859</v>
      </c>
      <c r="J2683" s="1"/>
      <c r="K2683" s="1"/>
    </row>
    <row r="2684" ht="14.25" customHeight="1">
      <c r="A2684" s="1" t="s">
        <v>12817</v>
      </c>
      <c r="B2684" s="1">
        <v>1.2E7</v>
      </c>
      <c r="C2684" s="1">
        <v>2060953.0</v>
      </c>
      <c r="F2684" s="4">
        <v>-9939047.0</v>
      </c>
      <c r="G2684" s="4">
        <f t="array" ref="G2684">IFERROR((C2684-B2684)/C2684*100, "N/A")</f>
        <v>-482.2549083</v>
      </c>
      <c r="J2684" s="1"/>
      <c r="K2684" s="1"/>
    </row>
    <row r="2685" ht="14.25" customHeight="1">
      <c r="A2685" s="1" t="s">
        <v>12821</v>
      </c>
      <c r="B2685" s="1">
        <v>1.2E7</v>
      </c>
      <c r="C2685" s="1">
        <v>3950294.0</v>
      </c>
      <c r="F2685" s="4">
        <v>-8049706.0</v>
      </c>
      <c r="G2685" s="4">
        <f t="array" ref="G2685">IFERROR((C2685-B2685)/C2685*100, "N/A")</f>
        <v>-203.7748583</v>
      </c>
      <c r="J2685" s="1"/>
      <c r="K2685" s="1"/>
    </row>
    <row r="2686" ht="14.25" customHeight="1">
      <c r="A2686" s="1" t="s">
        <v>12825</v>
      </c>
      <c r="B2686" s="1">
        <v>9200000.0</v>
      </c>
      <c r="C2686" s="1">
        <v>2835886.0</v>
      </c>
      <c r="F2686" s="4">
        <v>-6364114.0</v>
      </c>
      <c r="G2686" s="4">
        <f t="array" ref="G2686">IFERROR((C2686-B2686)/C2686*100, "N/A")</f>
        <v>-224.4136048</v>
      </c>
      <c r="J2686" s="1"/>
      <c r="K2686" s="1"/>
    </row>
    <row r="2687" ht="14.25" customHeight="1">
      <c r="A2687" s="1" t="s">
        <v>12832</v>
      </c>
      <c r="B2687" s="1">
        <v>1.2E7</v>
      </c>
      <c r="C2687" s="1">
        <v>1779284.0</v>
      </c>
      <c r="F2687" s="4">
        <v>-1.0220716E7</v>
      </c>
      <c r="G2687" s="4">
        <f t="array" ref="G2687">IFERROR((C2687-B2687)/C2687*100, "N/A")</f>
        <v>-574.4285904</v>
      </c>
      <c r="J2687" s="1"/>
      <c r="K2687" s="1"/>
    </row>
    <row r="2688" ht="14.25" customHeight="1">
      <c r="A2688" s="1" t="s">
        <v>12838</v>
      </c>
      <c r="B2688" s="1">
        <v>1.2E7</v>
      </c>
      <c r="C2688" s="1">
        <v>1702277.0</v>
      </c>
      <c r="F2688" s="4">
        <v>-1.0297723E7</v>
      </c>
      <c r="G2688" s="4">
        <f t="array" ref="G2688">IFERROR((C2688-B2688)/C2688*100, "N/A")</f>
        <v>-604.9381505</v>
      </c>
      <c r="J2688" s="1"/>
      <c r="K2688" s="1"/>
    </row>
    <row r="2689" ht="14.25" customHeight="1">
      <c r="A2689" s="1">
        <v>2046.0</v>
      </c>
      <c r="B2689" s="1">
        <v>1.2E7</v>
      </c>
      <c r="C2689" s="1">
        <v>261481.0</v>
      </c>
      <c r="F2689" s="4">
        <v>-1.1738519E7</v>
      </c>
      <c r="G2689" s="4">
        <f t="array" ref="G2689">IFERROR((C2689-B2689)/C2689*100, "N/A")</f>
        <v>-4489.243578</v>
      </c>
      <c r="J2689" s="1"/>
      <c r="K2689" s="1"/>
    </row>
    <row r="2690" ht="14.25" customHeight="1">
      <c r="A2690" s="1" t="s">
        <v>12846</v>
      </c>
      <c r="B2690" s="1">
        <v>1.2E7</v>
      </c>
      <c r="C2690" s="1">
        <v>1506998.0</v>
      </c>
      <c r="F2690" s="4">
        <v>-1.0493002E7</v>
      </c>
      <c r="G2690" s="4">
        <f t="array" ref="G2690">IFERROR((C2690-B2690)/C2690*100, "N/A")</f>
        <v>-696.2850647</v>
      </c>
      <c r="J2690" s="1"/>
      <c r="K2690" s="1"/>
    </row>
    <row r="2691" ht="14.25" customHeight="1">
      <c r="A2691" s="1" t="s">
        <v>12854</v>
      </c>
      <c r="B2691" s="1">
        <v>1.2E7</v>
      </c>
      <c r="C2691" s="1">
        <v>860002.0</v>
      </c>
      <c r="F2691" s="4">
        <v>-1.1139998E7</v>
      </c>
      <c r="G2691" s="4">
        <f t="array" ref="G2691">IFERROR((C2691-B2691)/C2691*100, "N/A")</f>
        <v>-1295.345592</v>
      </c>
      <c r="J2691" s="1"/>
      <c r="K2691" s="1"/>
    </row>
    <row r="2692" ht="14.25" customHeight="1">
      <c r="A2692" s="1" t="s">
        <v>12858</v>
      </c>
      <c r="B2692" s="1">
        <v>1.2E7</v>
      </c>
      <c r="C2692" s="1">
        <v>548934.0</v>
      </c>
      <c r="F2692" s="4">
        <v>-1.1451066E7</v>
      </c>
      <c r="G2692" s="4">
        <f t="array" ref="G2692">IFERROR((C2692-B2692)/C2692*100, "N/A")</f>
        <v>-2086.055154</v>
      </c>
      <c r="J2692" s="1"/>
      <c r="K2692" s="1"/>
    </row>
    <row r="2693" ht="14.25" customHeight="1">
      <c r="A2693" s="1" t="s">
        <v>12863</v>
      </c>
      <c r="B2693" s="1">
        <v>1.0E7</v>
      </c>
      <c r="C2693" s="1">
        <v>447750.0</v>
      </c>
      <c r="F2693" s="4">
        <v>-9552250.0</v>
      </c>
      <c r="G2693" s="4">
        <f t="array" ref="G2693">IFERROR((C2693-B2693)/C2693*100, "N/A")</f>
        <v>-2133.389168</v>
      </c>
      <c r="J2693" s="1"/>
      <c r="K2693" s="1"/>
    </row>
    <row r="2694" ht="14.25" customHeight="1">
      <c r="A2694" s="1" t="s">
        <v>12867</v>
      </c>
      <c r="B2694" s="1">
        <v>1.2E7</v>
      </c>
      <c r="C2694" s="1">
        <v>333976.0</v>
      </c>
      <c r="F2694" s="4">
        <v>-1.1666024E7</v>
      </c>
      <c r="G2694" s="4">
        <f t="array" ref="G2694">IFERROR((C2694-B2694)/C2694*100, "N/A")</f>
        <v>-3493.072556</v>
      </c>
      <c r="J2694" s="1"/>
      <c r="K2694" s="1"/>
    </row>
    <row r="2695" ht="14.25" customHeight="1">
      <c r="A2695" s="1" t="s">
        <v>12871</v>
      </c>
      <c r="B2695" s="1">
        <v>1.2E7</v>
      </c>
      <c r="C2695" s="1">
        <v>141853.0</v>
      </c>
      <c r="F2695" s="4">
        <v>-1.1858147E7</v>
      </c>
      <c r="G2695" s="4">
        <f t="array" ref="G2695">IFERROR((C2695-B2695)/C2695*100, "N/A")</f>
        <v>-8359.461555</v>
      </c>
      <c r="J2695" s="1"/>
      <c r="K2695" s="1"/>
    </row>
    <row r="2696" ht="14.25" customHeight="1">
      <c r="A2696" s="1" t="s">
        <v>12874</v>
      </c>
      <c r="B2696" s="1">
        <v>8000000.0</v>
      </c>
      <c r="C2696" s="1">
        <v>303439.0</v>
      </c>
      <c r="F2696" s="4">
        <v>-7696561.0</v>
      </c>
      <c r="G2696" s="4">
        <f t="array" ref="G2696">IFERROR((C2696-B2696)/C2696*100, "N/A")</f>
        <v>-2536.444228</v>
      </c>
      <c r="J2696" s="1"/>
      <c r="K2696" s="1"/>
    </row>
    <row r="2697" ht="14.25" customHeight="1">
      <c r="A2697" s="1" t="s">
        <v>12878</v>
      </c>
      <c r="B2697" s="1">
        <v>1.2E7</v>
      </c>
      <c r="C2697" s="1">
        <v>214202.0</v>
      </c>
      <c r="F2697" s="4">
        <v>-1.1785798E7</v>
      </c>
      <c r="G2697" s="4">
        <f t="array" ref="G2697">IFERROR((C2697-B2697)/C2697*100, "N/A")</f>
        <v>-5502.188588</v>
      </c>
      <c r="J2697" s="1"/>
      <c r="K2697" s="1"/>
    </row>
    <row r="2698" ht="14.25" customHeight="1">
      <c r="A2698" s="1" t="s">
        <v>12882</v>
      </c>
      <c r="B2698" s="1">
        <v>2.5E9</v>
      </c>
      <c r="C2698" s="1">
        <v>195888.0</v>
      </c>
      <c r="F2698" s="4">
        <v>-2.499804112E9</v>
      </c>
      <c r="G2698" s="4">
        <f t="array" ref="G2698">IFERROR((C2698-B2698)/C2698*100, "N/A")</f>
        <v>-1276139.484</v>
      </c>
      <c r="J2698" s="1"/>
      <c r="K2698" s="1"/>
    </row>
    <row r="2699" ht="14.25" customHeight="1">
      <c r="A2699" s="1" t="s">
        <v>12890</v>
      </c>
      <c r="B2699" s="1">
        <v>1.2E7</v>
      </c>
      <c r="C2699" s="1">
        <v>175370.0</v>
      </c>
      <c r="F2699" s="4">
        <v>-1.182463E7</v>
      </c>
      <c r="G2699" s="4">
        <f t="array" ref="G2699">IFERROR((C2699-B2699)/C2699*100, "N/A")</f>
        <v>-6742.675486</v>
      </c>
      <c r="J2699" s="1"/>
      <c r="K2699" s="1"/>
    </row>
    <row r="2700" ht="14.25" customHeight="1">
      <c r="A2700" s="1" t="s">
        <v>12894</v>
      </c>
      <c r="B2700" s="1">
        <v>1.2E7</v>
      </c>
      <c r="C2700" s="1">
        <v>119922.0</v>
      </c>
      <c r="F2700" s="4">
        <v>-1.1880078E7</v>
      </c>
      <c r="G2700" s="4">
        <f t="array" ref="G2700">IFERROR((C2700-B2700)/C2700*100, "N/A")</f>
        <v>-9906.504228</v>
      </c>
      <c r="J2700" s="1"/>
      <c r="K2700" s="1"/>
    </row>
    <row r="2701" ht="14.25" customHeight="1">
      <c r="A2701" s="1" t="s">
        <v>1131</v>
      </c>
      <c r="B2701" s="1">
        <v>1.35E8</v>
      </c>
      <c r="C2701" s="1">
        <v>1.77343675E8</v>
      </c>
      <c r="F2701" s="4">
        <v>4.2343675E7</v>
      </c>
      <c r="G2701" s="4">
        <f t="array" ref="G2701">IFERROR((C2701-B2701)/C2701*100, "N/A")</f>
        <v>23.87661979</v>
      </c>
      <c r="J2701" s="1"/>
      <c r="K2701" s="1"/>
    </row>
    <row r="2702" ht="14.25" customHeight="1">
      <c r="A2702" s="1" t="s">
        <v>12899</v>
      </c>
      <c r="B2702" s="1">
        <v>2.0E7</v>
      </c>
      <c r="C2702" s="1">
        <v>17149.0</v>
      </c>
      <c r="F2702" s="4">
        <v>-1.9982851E7</v>
      </c>
      <c r="G2702" s="4">
        <f t="array" ref="G2702">IFERROR((C2702-B2702)/C2702*100, "N/A")</f>
        <v>-116524.8761</v>
      </c>
      <c r="J2702" s="1"/>
      <c r="K2702" s="1"/>
    </row>
    <row r="2703" ht="14.25" customHeight="1">
      <c r="A2703" s="1" t="s">
        <v>12905</v>
      </c>
      <c r="B2703" s="1">
        <v>6000000.0</v>
      </c>
      <c r="C2703" s="1">
        <v>3.0093107E7</v>
      </c>
      <c r="F2703" s="4">
        <v>2.4093107E7</v>
      </c>
      <c r="G2703" s="4">
        <f t="array" ref="G2703">IFERROR((C2703-B2703)/C2703*100, "N/A")</f>
        <v>80.06187929</v>
      </c>
      <c r="J2703" s="1"/>
      <c r="K2703" s="1"/>
    </row>
    <row r="2704" ht="14.25" customHeight="1">
      <c r="A2704" s="1" t="s">
        <v>12908</v>
      </c>
      <c r="B2704" s="1">
        <v>1.15E7</v>
      </c>
      <c r="C2704" s="1">
        <v>5.7469179E7</v>
      </c>
      <c r="F2704" s="4">
        <v>4.5969179E7</v>
      </c>
      <c r="G2704" s="4">
        <f t="array" ref="G2704">IFERROR((C2704-B2704)/C2704*100, "N/A")</f>
        <v>79.9892739</v>
      </c>
      <c r="J2704" s="1"/>
      <c r="K2704" s="1"/>
    </row>
    <row r="2705" ht="14.25" customHeight="1">
      <c r="A2705" s="1" t="s">
        <v>12912</v>
      </c>
      <c r="B2705" s="1">
        <v>1.1E7</v>
      </c>
      <c r="C2705" s="1">
        <v>1.4817E8</v>
      </c>
      <c r="F2705" s="4">
        <v>1.3717E8</v>
      </c>
      <c r="G2705" s="4">
        <f t="array" ref="G2705">IFERROR((C2705-B2705)/C2705*100, "N/A")</f>
        <v>92.57609503</v>
      </c>
      <c r="J2705" s="1"/>
      <c r="K2705" s="1"/>
    </row>
    <row r="2706" ht="14.25" customHeight="1">
      <c r="A2706" s="1" t="s">
        <v>12917</v>
      </c>
      <c r="B2706" s="1">
        <v>1.1E7</v>
      </c>
      <c r="C2706" s="1">
        <v>4.60935665E8</v>
      </c>
      <c r="F2706" s="4">
        <v>4.49935665E8</v>
      </c>
      <c r="G2706" s="4">
        <f t="array" ref="G2706">IFERROR((C2706-B2706)/C2706*100, "N/A")</f>
        <v>97.61354982</v>
      </c>
      <c r="J2706" s="1"/>
      <c r="K2706" s="1"/>
    </row>
    <row r="2707" ht="14.25" customHeight="1">
      <c r="A2707" s="1" t="s">
        <v>12922</v>
      </c>
      <c r="B2707" s="1">
        <v>1.15E7</v>
      </c>
      <c r="C2707" s="1">
        <v>3.5537564E7</v>
      </c>
      <c r="F2707" s="4">
        <v>2.4037564E7</v>
      </c>
      <c r="G2707" s="4">
        <f t="array" ref="G2707">IFERROR((C2707-B2707)/C2707*100, "N/A")</f>
        <v>67.63987537</v>
      </c>
      <c r="J2707" s="1"/>
      <c r="K2707" s="1"/>
    </row>
    <row r="2708" ht="14.25" customHeight="1">
      <c r="A2708" s="1" t="s">
        <v>12926</v>
      </c>
      <c r="B2708" s="1">
        <v>1.1E7</v>
      </c>
      <c r="C2708" s="1">
        <v>1.11722E8</v>
      </c>
      <c r="F2708" s="4">
        <v>1.00722E8</v>
      </c>
      <c r="G2708" s="4">
        <f t="array" ref="G2708">IFERROR((C2708-B2708)/C2708*100, "N/A")</f>
        <v>90.15413258</v>
      </c>
      <c r="J2708" s="1"/>
      <c r="K2708" s="1"/>
    </row>
    <row r="2709" ht="14.25" customHeight="1">
      <c r="A2709" s="1" t="s">
        <v>12930</v>
      </c>
      <c r="B2709" s="1">
        <v>1.1E7</v>
      </c>
      <c r="C2709" s="1">
        <v>9.0556401E7</v>
      </c>
      <c r="F2709" s="4">
        <v>7.9556401E7</v>
      </c>
      <c r="G2709" s="4">
        <f t="array" ref="G2709">IFERROR((C2709-B2709)/C2709*100, "N/A")</f>
        <v>87.85287414</v>
      </c>
      <c r="J2709" s="1"/>
      <c r="K2709" s="1"/>
    </row>
    <row r="2710" ht="14.25" customHeight="1">
      <c r="A2710" s="1" t="s">
        <v>12933</v>
      </c>
      <c r="B2710" s="1">
        <v>2.5E7</v>
      </c>
      <c r="C2710" s="1">
        <v>9.3571803E7</v>
      </c>
      <c r="F2710" s="4">
        <v>6.8571803E7</v>
      </c>
      <c r="G2710" s="4">
        <f t="array" ref="G2710">IFERROR((C2710-B2710)/C2710*100, "N/A")</f>
        <v>73.28254966</v>
      </c>
      <c r="J2710" s="1"/>
      <c r="K2710" s="1"/>
    </row>
    <row r="2711" ht="14.25" customHeight="1">
      <c r="A2711" s="1" t="s">
        <v>12937</v>
      </c>
      <c r="B2711" s="1">
        <v>1.1E7</v>
      </c>
      <c r="C2711" s="1">
        <v>5.2929168E7</v>
      </c>
      <c r="F2711" s="4">
        <v>4.1929168E7</v>
      </c>
      <c r="G2711" s="4">
        <f t="array" ref="G2711">IFERROR((C2711-B2711)/C2711*100, "N/A")</f>
        <v>79.2175082</v>
      </c>
      <c r="J2711" s="1"/>
      <c r="K2711" s="1"/>
    </row>
    <row r="2712" ht="14.25" customHeight="1">
      <c r="A2712" s="1" t="s">
        <v>12942</v>
      </c>
      <c r="B2712" s="1">
        <v>1.1E7</v>
      </c>
      <c r="C2712" s="1">
        <v>5.0461335E7</v>
      </c>
      <c r="F2712" s="4">
        <v>3.9461335E7</v>
      </c>
      <c r="G2712" s="4">
        <f t="array" ref="G2712">IFERROR((C2712-B2712)/C2712*100, "N/A")</f>
        <v>78.20113162</v>
      </c>
      <c r="J2712" s="1"/>
      <c r="K2712" s="1"/>
    </row>
    <row r="2713" ht="14.25" customHeight="1">
      <c r="A2713" s="1" t="s">
        <v>12947</v>
      </c>
      <c r="B2713" s="1">
        <v>1.1E7</v>
      </c>
      <c r="C2713" s="1">
        <v>4.9797148E7</v>
      </c>
      <c r="F2713" s="4">
        <v>3.8797148E7</v>
      </c>
      <c r="G2713" s="4">
        <f t="array" ref="G2713">IFERROR((C2713-B2713)/C2713*100, "N/A")</f>
        <v>77.91038153</v>
      </c>
      <c r="J2713" s="1"/>
      <c r="K2713" s="1"/>
    </row>
    <row r="2714" ht="14.25" customHeight="1">
      <c r="A2714" s="1" t="s">
        <v>12950</v>
      </c>
      <c r="B2714" s="1">
        <v>1.3E7</v>
      </c>
      <c r="C2714" s="1">
        <v>4.6563158E7</v>
      </c>
      <c r="F2714" s="4">
        <v>3.3563158E7</v>
      </c>
      <c r="G2714" s="4">
        <f t="array" ref="G2714">IFERROR((C2714-B2714)/C2714*100, "N/A")</f>
        <v>72.08093145</v>
      </c>
      <c r="J2714" s="1"/>
      <c r="K2714" s="1"/>
    </row>
    <row r="2715" ht="14.25" customHeight="1">
      <c r="A2715" s="1" t="s">
        <v>12954</v>
      </c>
      <c r="B2715" s="1">
        <v>1.1E7</v>
      </c>
      <c r="C2715" s="1">
        <v>4.1227069E7</v>
      </c>
      <c r="F2715" s="4">
        <v>3.0227069E7</v>
      </c>
      <c r="G2715" s="4">
        <f t="array" ref="G2715">IFERROR((C2715-B2715)/C2715*100, "N/A")</f>
        <v>73.31850101</v>
      </c>
      <c r="J2715" s="1"/>
      <c r="K2715" s="1"/>
    </row>
    <row r="2716" ht="14.25" customHeight="1">
      <c r="A2716" s="1" t="s">
        <v>12958</v>
      </c>
      <c r="B2716" s="1">
        <v>1.1E7</v>
      </c>
      <c r="C2716" s="1">
        <v>3.9025E7</v>
      </c>
      <c r="F2716" s="4">
        <v>2.8025E7</v>
      </c>
      <c r="G2716" s="4">
        <f t="array" ref="G2716">IFERROR((C2716-B2716)/C2716*100, "N/A")</f>
        <v>71.81294042</v>
      </c>
      <c r="J2716" s="1"/>
      <c r="K2716" s="1"/>
    </row>
    <row r="2717" ht="14.25" customHeight="1">
      <c r="A2717" s="1" t="s">
        <v>12962</v>
      </c>
      <c r="B2717" s="1">
        <v>1.05E7</v>
      </c>
      <c r="C2717" s="1">
        <v>3.8201895E7</v>
      </c>
      <c r="F2717" s="4">
        <v>2.7701895E7</v>
      </c>
      <c r="G2717" s="4">
        <f t="array" ref="G2717">IFERROR((C2717-B2717)/C2717*100, "N/A")</f>
        <v>72.51445249</v>
      </c>
      <c r="J2717" s="1"/>
      <c r="K2717" s="1"/>
    </row>
    <row r="2718" ht="14.25" customHeight="1">
      <c r="A2718" s="1" t="s">
        <v>12966</v>
      </c>
      <c r="B2718" s="1">
        <v>1.1E7</v>
      </c>
      <c r="C2718" s="1">
        <v>2.7669413E7</v>
      </c>
      <c r="F2718" s="4">
        <v>1.6669413E7</v>
      </c>
      <c r="G2718" s="4">
        <f t="array" ref="G2718">IFERROR((C2718-B2718)/C2718*100, "N/A")</f>
        <v>60.24491015</v>
      </c>
      <c r="J2718" s="1"/>
      <c r="K2718" s="1"/>
    </row>
    <row r="2719" ht="14.25" customHeight="1">
      <c r="A2719" s="1" t="s">
        <v>12971</v>
      </c>
      <c r="B2719" s="1">
        <v>1.1E7</v>
      </c>
      <c r="C2719" s="1">
        <v>3.776635E7</v>
      </c>
      <c r="F2719" s="4">
        <v>2.676635E7</v>
      </c>
      <c r="G2719" s="4">
        <f t="array" ref="G2719">IFERROR((C2719-B2719)/C2719*100, "N/A")</f>
        <v>70.87354219</v>
      </c>
      <c r="J2719" s="1"/>
      <c r="K2719" s="1"/>
    </row>
    <row r="2720" ht="14.25" customHeight="1">
      <c r="A2720" s="1" t="s">
        <v>12976</v>
      </c>
      <c r="B2720" s="1">
        <v>1.1E7</v>
      </c>
      <c r="C2720" s="1">
        <v>2.3978402E7</v>
      </c>
      <c r="F2720" s="4">
        <v>1.2978402E7</v>
      </c>
      <c r="G2720" s="4">
        <f t="array" ref="G2720">IFERROR((C2720-B2720)/C2720*100, "N/A")</f>
        <v>54.12538333</v>
      </c>
      <c r="J2720" s="1"/>
      <c r="K2720" s="1"/>
    </row>
    <row r="2721" ht="14.25" customHeight="1">
      <c r="A2721" s="1" t="s">
        <v>12979</v>
      </c>
      <c r="B2721" s="1">
        <v>1.2E7</v>
      </c>
      <c r="C2721" s="1">
        <v>2.1370057E7</v>
      </c>
      <c r="F2721" s="4">
        <v>9370057.0</v>
      </c>
      <c r="G2721" s="4">
        <f t="array" ref="G2721">IFERROR((C2721-B2721)/C2721*100, "N/A")</f>
        <v>43.84666358</v>
      </c>
      <c r="J2721" s="1"/>
      <c r="K2721" s="1"/>
    </row>
    <row r="2722" ht="14.25" customHeight="1">
      <c r="A2722" s="1" t="s">
        <v>12984</v>
      </c>
      <c r="B2722" s="1">
        <v>1.2E7</v>
      </c>
      <c r="C2722" s="1">
        <v>4884663.0</v>
      </c>
      <c r="F2722" s="4">
        <v>-7115337.0</v>
      </c>
      <c r="G2722" s="4">
        <f t="array" ref="G2722">IFERROR((C2722-B2722)/C2722*100, "N/A")</f>
        <v>-145.6668966</v>
      </c>
      <c r="J2722" s="1"/>
      <c r="K2722" s="1"/>
    </row>
    <row r="2723" ht="14.25" customHeight="1">
      <c r="A2723" s="1" t="s">
        <v>12990</v>
      </c>
      <c r="B2723" s="1">
        <v>1.1E7</v>
      </c>
      <c r="C2723" s="1">
        <v>3.8317535E7</v>
      </c>
      <c r="F2723" s="4">
        <v>2.7317535E7</v>
      </c>
      <c r="G2723" s="4">
        <f t="array" ref="G2723">IFERROR((C2723-B2723)/C2723*100, "N/A")</f>
        <v>71.2925166</v>
      </c>
      <c r="J2723" s="1"/>
      <c r="K2723" s="1"/>
    </row>
    <row r="2724" ht="14.25" customHeight="1">
      <c r="A2724" s="1" t="s">
        <v>12996</v>
      </c>
      <c r="B2724" s="1">
        <v>1.1E7</v>
      </c>
      <c r="C2724" s="1">
        <v>1.3903262E7</v>
      </c>
      <c r="F2724" s="4">
        <v>2903262.0</v>
      </c>
      <c r="G2724" s="4">
        <f t="array" ref="G2724">IFERROR((C2724-B2724)/C2724*100, "N/A")</f>
        <v>20.8818765</v>
      </c>
      <c r="J2724" s="1"/>
      <c r="K2724" s="1"/>
    </row>
    <row r="2725" ht="14.25" customHeight="1">
      <c r="A2725" s="1" t="s">
        <v>12999</v>
      </c>
      <c r="B2725" s="1">
        <v>1.1E7</v>
      </c>
      <c r="C2725" s="1">
        <v>1.3592872E7</v>
      </c>
      <c r="F2725" s="4">
        <v>2592872.0</v>
      </c>
      <c r="G2725" s="4">
        <f t="array" ref="G2725">IFERROR((C2725-B2725)/C2725*100, "N/A")</f>
        <v>19.07523296</v>
      </c>
      <c r="J2725" s="1"/>
      <c r="K2725" s="1"/>
    </row>
    <row r="2726" ht="14.25" customHeight="1">
      <c r="A2726" s="1" t="s">
        <v>13003</v>
      </c>
      <c r="B2726" s="1">
        <v>1.1E7</v>
      </c>
      <c r="C2726" s="1">
        <v>1.8381787E7</v>
      </c>
      <c r="F2726" s="4">
        <v>7381787.0</v>
      </c>
      <c r="G2726" s="4">
        <f t="array" ref="G2726">IFERROR((C2726-B2726)/C2726*100, "N/A")</f>
        <v>40.15815764</v>
      </c>
      <c r="J2726" s="1"/>
      <c r="K2726" s="1"/>
    </row>
    <row r="2727" ht="14.25" customHeight="1">
      <c r="A2727" s="1" t="s">
        <v>13009</v>
      </c>
      <c r="B2727" s="1">
        <v>1.1E7</v>
      </c>
      <c r="C2727" s="1">
        <v>1.3558739E7</v>
      </c>
      <c r="F2727" s="4">
        <v>2558739.0</v>
      </c>
      <c r="G2727" s="4">
        <f t="array" ref="G2727">IFERROR((C2727-B2727)/C2727*100, "N/A")</f>
        <v>18.87151158</v>
      </c>
      <c r="J2727" s="1"/>
      <c r="K2727" s="1"/>
    </row>
    <row r="2728" ht="14.25" customHeight="1">
      <c r="A2728" s="1" t="s">
        <v>13013</v>
      </c>
      <c r="B2728" s="1">
        <v>1.1E7</v>
      </c>
      <c r="C2728" s="1">
        <v>1.3103828E7</v>
      </c>
      <c r="F2728" s="4">
        <v>2103828.0</v>
      </c>
      <c r="G2728" s="4">
        <f t="array" ref="G2728">IFERROR((C2728-B2728)/C2728*100, "N/A")</f>
        <v>16.05506421</v>
      </c>
      <c r="J2728" s="1"/>
      <c r="K2728" s="1"/>
    </row>
    <row r="2729" ht="14.25" customHeight="1">
      <c r="A2729" s="1" t="s">
        <v>13017</v>
      </c>
      <c r="B2729" s="1">
        <v>1.1E7</v>
      </c>
      <c r="C2729" s="1">
        <v>3.3305037E7</v>
      </c>
      <c r="F2729" s="4">
        <v>2.2305037E7</v>
      </c>
      <c r="G2729" s="4">
        <f t="array" ref="G2729">IFERROR((C2729-B2729)/C2729*100, "N/A")</f>
        <v>66.97196283</v>
      </c>
      <c r="J2729" s="1"/>
      <c r="K2729" s="1"/>
    </row>
    <row r="2730" ht="14.25" customHeight="1">
      <c r="A2730" s="1" t="s">
        <v>13020</v>
      </c>
      <c r="B2730" s="1">
        <v>1.1E7</v>
      </c>
      <c r="C2730" s="1">
        <v>1.0214647E7</v>
      </c>
      <c r="F2730" s="4">
        <v>-785353.0</v>
      </c>
      <c r="G2730" s="4">
        <f t="array" ref="G2730">IFERROR((C2730-B2730)/C2730*100, "N/A")</f>
        <v>-7.688498682</v>
      </c>
      <c r="J2730" s="1"/>
      <c r="K2730" s="1"/>
    </row>
    <row r="2731" ht="14.25" customHeight="1">
      <c r="A2731" s="1" t="s">
        <v>13023</v>
      </c>
      <c r="B2731" s="1">
        <v>1.3E7</v>
      </c>
      <c r="C2731" s="1">
        <v>1.1501093E7</v>
      </c>
      <c r="F2731" s="4">
        <v>-1498907.0</v>
      </c>
      <c r="G2731" s="4">
        <f t="array" ref="G2731">IFERROR((C2731-B2731)/C2731*100, "N/A")</f>
        <v>-13.03273524</v>
      </c>
      <c r="J2731" s="1"/>
      <c r="K2731" s="1"/>
    </row>
    <row r="2732" ht="14.25" customHeight="1">
      <c r="A2732" s="1" t="s">
        <v>13028</v>
      </c>
      <c r="B2732" s="1">
        <v>1.1E7</v>
      </c>
      <c r="C2732" s="1">
        <v>4814244.0</v>
      </c>
      <c r="F2732" s="4">
        <v>-6185756.0</v>
      </c>
      <c r="G2732" s="4">
        <f t="array" ref="G2732">IFERROR((C2732-B2732)/C2732*100, "N/A")</f>
        <v>-128.4886267</v>
      </c>
      <c r="J2732" s="1"/>
      <c r="K2732" s="1"/>
    </row>
    <row r="2733" ht="14.25" customHeight="1">
      <c r="A2733" s="1" t="s">
        <v>13032</v>
      </c>
      <c r="B2733" s="1">
        <v>1.1E7</v>
      </c>
      <c r="C2733" s="1">
        <v>9170214.0</v>
      </c>
      <c r="F2733" s="4">
        <v>-1829786.0</v>
      </c>
      <c r="G2733" s="4">
        <f t="array" ref="G2733">IFERROR((C2733-B2733)/C2733*100, "N/A")</f>
        <v>-19.95358015</v>
      </c>
      <c r="J2733" s="1"/>
      <c r="K2733" s="1"/>
    </row>
    <row r="2734" ht="14.25" customHeight="1">
      <c r="A2734" s="1" t="s">
        <v>13037</v>
      </c>
      <c r="B2734" s="1">
        <v>1.7E7</v>
      </c>
      <c r="C2734" s="1">
        <v>4068087.0</v>
      </c>
      <c r="F2734" s="4">
        <v>-1.2931913E7</v>
      </c>
      <c r="G2734" s="4">
        <f t="array" ref="G2734">IFERROR((C2734-B2734)/C2734*100, "N/A")</f>
        <v>-317.8868348</v>
      </c>
      <c r="J2734" s="1"/>
      <c r="K2734" s="1"/>
    </row>
    <row r="2735" ht="14.25" customHeight="1">
      <c r="A2735" s="1" t="s">
        <v>13042</v>
      </c>
      <c r="B2735" s="1">
        <v>1.1E7</v>
      </c>
      <c r="C2735" s="1">
        <v>3753806.0</v>
      </c>
      <c r="F2735" s="4">
        <v>-7246194.0</v>
      </c>
      <c r="G2735" s="4">
        <f t="array" ref="G2735">IFERROR((C2735-B2735)/C2735*100, "N/A")</f>
        <v>-193.0359214</v>
      </c>
      <c r="J2735" s="1"/>
      <c r="K2735" s="1"/>
    </row>
    <row r="2736" ht="14.25" customHeight="1">
      <c r="A2736" s="1" t="s">
        <v>13046</v>
      </c>
      <c r="B2736" s="1">
        <v>1.1E7</v>
      </c>
      <c r="C2736" s="1">
        <v>3034181.0</v>
      </c>
      <c r="F2736" s="4">
        <v>-7965819.0</v>
      </c>
      <c r="G2736" s="4">
        <f t="array" ref="G2736">IFERROR((C2736-B2736)/C2736*100, "N/A")</f>
        <v>-262.5360517</v>
      </c>
      <c r="J2736" s="1"/>
      <c r="K2736" s="1"/>
    </row>
    <row r="2737" ht="14.25" customHeight="1">
      <c r="A2737" s="1" t="s">
        <v>13050</v>
      </c>
      <c r="B2737" s="1">
        <v>1.1E7</v>
      </c>
      <c r="C2737" s="1">
        <v>2832826.0</v>
      </c>
      <c r="F2737" s="4">
        <v>-8167174.0</v>
      </c>
      <c r="G2737" s="4">
        <f t="array" ref="G2737">IFERROR((C2737-B2737)/C2737*100, "N/A")</f>
        <v>-288.3048235</v>
      </c>
      <c r="J2737" s="1"/>
      <c r="K2737" s="1"/>
    </row>
    <row r="2738" ht="14.25" customHeight="1">
      <c r="A2738" s="1" t="s">
        <v>13053</v>
      </c>
      <c r="B2738" s="1">
        <v>1.1E7</v>
      </c>
      <c r="C2738" s="1">
        <v>1.3214255E7</v>
      </c>
      <c r="F2738" s="4">
        <v>2214255.0</v>
      </c>
      <c r="G2738" s="4">
        <f t="array" ref="G2738">IFERROR((C2738-B2738)/C2738*100, "N/A")</f>
        <v>16.75656327</v>
      </c>
      <c r="J2738" s="1"/>
      <c r="K2738" s="1"/>
    </row>
    <row r="2739" ht="14.25" customHeight="1">
      <c r="A2739" s="1" t="s">
        <v>13057</v>
      </c>
      <c r="B2739" s="1">
        <v>5000000.0</v>
      </c>
      <c r="C2739" s="1">
        <v>1.6017403E7</v>
      </c>
      <c r="F2739" s="4">
        <v>1.1017403E7</v>
      </c>
      <c r="G2739" s="4">
        <f t="array" ref="G2739">IFERROR((C2739-B2739)/C2739*100, "N/A")</f>
        <v>68.7839533</v>
      </c>
      <c r="J2739" s="1"/>
      <c r="K2739" s="1"/>
    </row>
    <row r="2740" ht="14.25" customHeight="1">
      <c r="A2740" s="1" t="s">
        <v>13061</v>
      </c>
      <c r="B2740" s="1">
        <v>1.1E7</v>
      </c>
      <c r="C2740" s="1">
        <v>2807854.0</v>
      </c>
      <c r="F2740" s="4">
        <v>-8192146.0</v>
      </c>
      <c r="G2740" s="4">
        <f t="array" ref="G2740">IFERROR((C2740-B2740)/C2740*100, "N/A")</f>
        <v>-291.7582609</v>
      </c>
      <c r="J2740" s="1"/>
      <c r="K2740" s="1"/>
    </row>
    <row r="2741" ht="14.25" customHeight="1">
      <c r="A2741" s="1" t="s">
        <v>13067</v>
      </c>
      <c r="B2741" s="1">
        <v>1.1E7</v>
      </c>
      <c r="C2741" s="1">
        <v>352786.0</v>
      </c>
      <c r="F2741" s="4">
        <v>-1.0647214E7</v>
      </c>
      <c r="G2741" s="4">
        <f t="array" ref="G2741">IFERROR((C2741-B2741)/C2741*100, "N/A")</f>
        <v>-3018.037564</v>
      </c>
      <c r="J2741" s="1"/>
      <c r="K2741" s="1"/>
    </row>
    <row r="2742" ht="14.25" customHeight="1">
      <c r="A2742" s="1" t="s">
        <v>6958</v>
      </c>
      <c r="B2742" s="1">
        <v>1.07E7</v>
      </c>
      <c r="C2742" s="1">
        <v>7.66E7</v>
      </c>
      <c r="F2742" s="4">
        <v>6.59E7</v>
      </c>
      <c r="G2742" s="4">
        <f t="array" ref="G2742">IFERROR((C2742-B2742)/C2742*100, "N/A")</f>
        <v>86.03133159</v>
      </c>
      <c r="J2742" s="1"/>
      <c r="K2742" s="1"/>
    </row>
    <row r="2743" ht="14.25" customHeight="1">
      <c r="A2743" s="1" t="s">
        <v>13074</v>
      </c>
      <c r="B2743" s="1">
        <v>1.08E7</v>
      </c>
      <c r="C2743" s="1">
        <v>5.6729973E7</v>
      </c>
      <c r="F2743" s="4">
        <v>4.5929973E7</v>
      </c>
      <c r="G2743" s="4">
        <f t="array" ref="G2743">IFERROR((C2743-B2743)/C2743*100, "N/A")</f>
        <v>80.96244467</v>
      </c>
      <c r="J2743" s="1"/>
      <c r="K2743" s="1"/>
    </row>
    <row r="2744" ht="14.25" customHeight="1">
      <c r="A2744" s="1" t="s">
        <v>13079</v>
      </c>
      <c r="B2744" s="1">
        <v>1.5E7</v>
      </c>
      <c r="C2744" s="1">
        <v>399879.0</v>
      </c>
      <c r="F2744" s="4">
        <v>-1.4600121E7</v>
      </c>
      <c r="G2744" s="4">
        <f t="array" ref="G2744">IFERROR((C2744-B2744)/C2744*100, "N/A")</f>
        <v>-3651.134718</v>
      </c>
      <c r="J2744" s="1"/>
      <c r="K2744" s="1"/>
    </row>
    <row r="2745" ht="14.25" customHeight="1">
      <c r="A2745" s="1" t="s">
        <v>13086</v>
      </c>
      <c r="B2745" s="1">
        <v>7.0E8</v>
      </c>
      <c r="C2745" s="1">
        <v>3275443.0</v>
      </c>
      <c r="F2745" s="4">
        <v>-6.96724557E8</v>
      </c>
      <c r="G2745" s="4">
        <f t="array" ref="G2745">IFERROR((C2745-B2745)/C2745*100, "N/A")</f>
        <v>-21271.15499</v>
      </c>
      <c r="J2745" s="1"/>
      <c r="K2745" s="1"/>
    </row>
    <row r="2746" ht="14.25" customHeight="1">
      <c r="A2746" s="1" t="s">
        <v>13094</v>
      </c>
      <c r="B2746" s="1">
        <v>1.4E7</v>
      </c>
      <c r="C2746" s="1">
        <v>1.8535191E7</v>
      </c>
      <c r="F2746" s="4">
        <v>4535191.0</v>
      </c>
      <c r="G2746" s="4">
        <f t="array" ref="G2746">IFERROR((C2746-B2746)/C2746*100, "N/A")</f>
        <v>24.46800251</v>
      </c>
      <c r="J2746" s="1"/>
      <c r="K2746" s="1"/>
    </row>
    <row r="2747" ht="14.25" customHeight="1">
      <c r="A2747" s="1" t="s">
        <v>13098</v>
      </c>
      <c r="B2747" s="1">
        <v>7000000.0</v>
      </c>
      <c r="C2747" s="1">
        <v>23838.0</v>
      </c>
      <c r="F2747" s="4">
        <v>-6976162.0</v>
      </c>
      <c r="G2747" s="4">
        <f t="array" ref="G2747">IFERROR((C2747-B2747)/C2747*100, "N/A")</f>
        <v>-29264.8796</v>
      </c>
      <c r="J2747" s="1"/>
      <c r="K2747" s="1"/>
    </row>
    <row r="2748" ht="14.25" customHeight="1">
      <c r="A2748" s="1" t="s">
        <v>13103</v>
      </c>
      <c r="B2748" s="1">
        <v>1.06E7</v>
      </c>
      <c r="C2748" s="1">
        <v>2.2160085E7</v>
      </c>
      <c r="F2748" s="4">
        <v>1.1560085E7</v>
      </c>
      <c r="G2748" s="4">
        <f t="array" ref="G2748">IFERROR((C2748-B2748)/C2748*100, "N/A")</f>
        <v>52.16624846</v>
      </c>
      <c r="J2748" s="1"/>
      <c r="K2748" s="1"/>
    </row>
    <row r="2749" ht="14.25" customHeight="1">
      <c r="A2749" s="1" t="s">
        <v>13107</v>
      </c>
      <c r="B2749" s="1">
        <v>1.2E7</v>
      </c>
      <c r="C2749" s="1">
        <v>5.6715371E7</v>
      </c>
      <c r="F2749" s="4">
        <v>4.4715371E7</v>
      </c>
      <c r="G2749" s="4">
        <f t="array" ref="G2749">IFERROR((C2749-B2749)/C2749*100, "N/A")</f>
        <v>78.84171471</v>
      </c>
      <c r="J2749" s="1"/>
      <c r="K2749" s="1"/>
    </row>
    <row r="2750" ht="14.25" customHeight="1">
      <c r="A2750" s="1" t="s">
        <v>13113</v>
      </c>
      <c r="B2750" s="1">
        <v>1.05E7</v>
      </c>
      <c r="C2750" s="1">
        <v>4.34949459E8</v>
      </c>
      <c r="F2750" s="4">
        <v>4.24449459E8</v>
      </c>
      <c r="G2750" s="4">
        <f t="array" ref="G2750">IFERROR((C2750-B2750)/C2750*100, "N/A")</f>
        <v>97.58592641</v>
      </c>
      <c r="J2750" s="1"/>
      <c r="K2750" s="1"/>
    </row>
    <row r="2751" ht="14.25" customHeight="1">
      <c r="A2751" s="1" t="s">
        <v>13119</v>
      </c>
      <c r="B2751" s="1">
        <v>1.0E7</v>
      </c>
      <c r="C2751" s="1">
        <v>1.1043445E7</v>
      </c>
      <c r="F2751" s="4">
        <v>1043445.0</v>
      </c>
      <c r="G2751" s="4">
        <f t="array" ref="G2751">IFERROR((C2751-B2751)/C2751*100, "N/A")</f>
        <v>9.448546174</v>
      </c>
      <c r="J2751" s="1"/>
      <c r="K2751" s="1"/>
    </row>
    <row r="2752" ht="14.25" customHeight="1">
      <c r="A2752" s="1" t="s">
        <v>13124</v>
      </c>
      <c r="B2752" s="1">
        <v>1.0818775E7</v>
      </c>
      <c r="C2752" s="1">
        <v>5669081.0</v>
      </c>
      <c r="F2752" s="4">
        <v>-5149694.0</v>
      </c>
      <c r="G2752" s="4">
        <f t="array" ref="G2752">IFERROR((C2752-B2752)/C2752*100, "N/A")</f>
        <v>-90.8382505</v>
      </c>
      <c r="J2752" s="1"/>
      <c r="K2752" s="1"/>
    </row>
    <row r="2753" ht="14.25" customHeight="1">
      <c r="A2753" s="1" t="s">
        <v>13129</v>
      </c>
      <c r="B2753" s="1">
        <v>1.0E7</v>
      </c>
      <c r="C2753" s="1">
        <v>1.38339411E8</v>
      </c>
      <c r="F2753" s="4">
        <v>1.28339411E8</v>
      </c>
      <c r="G2753" s="4">
        <f t="array" ref="G2753">IFERROR((C2753-B2753)/C2753*100, "N/A")</f>
        <v>92.77140193</v>
      </c>
      <c r="J2753" s="1"/>
      <c r="K2753" s="1"/>
    </row>
    <row r="2754" ht="14.25" customHeight="1">
      <c r="A2754" s="1" t="s">
        <v>13133</v>
      </c>
      <c r="B2754" s="1">
        <v>1.0E7</v>
      </c>
      <c r="C2754" s="1">
        <v>8.0150343E7</v>
      </c>
      <c r="F2754" s="4">
        <v>7.0150343E7</v>
      </c>
      <c r="G2754" s="4">
        <f t="array" ref="G2754">IFERROR((C2754-B2754)/C2754*100, "N/A")</f>
        <v>87.52344703</v>
      </c>
      <c r="J2754" s="1"/>
      <c r="K2754" s="1"/>
    </row>
    <row r="2755" ht="14.25" customHeight="1">
      <c r="A2755" s="1" t="s">
        <v>13137</v>
      </c>
      <c r="B2755" s="1">
        <v>1.0E7</v>
      </c>
      <c r="C2755" s="1">
        <v>8.53E7</v>
      </c>
      <c r="F2755" s="4">
        <v>7.53E7</v>
      </c>
      <c r="G2755" s="4">
        <f t="array" ref="G2755">IFERROR((C2755-B2755)/C2755*100, "N/A")</f>
        <v>88.27667057</v>
      </c>
      <c r="J2755" s="1"/>
      <c r="K2755" s="1"/>
    </row>
    <row r="2756" ht="14.25" customHeight="1">
      <c r="A2756" s="1" t="s">
        <v>13141</v>
      </c>
      <c r="B2756" s="1">
        <v>1.0E7</v>
      </c>
      <c r="C2756" s="1">
        <v>6.835355E7</v>
      </c>
      <c r="F2756" s="4">
        <v>5.835355E7</v>
      </c>
      <c r="G2756" s="4">
        <f t="array" ref="G2756">IFERROR((C2756-B2756)/C2756*100, "N/A")</f>
        <v>85.37018194</v>
      </c>
      <c r="J2756" s="1"/>
      <c r="K2756" s="1"/>
    </row>
    <row r="2757" ht="14.25" customHeight="1">
      <c r="A2757" s="1" t="s">
        <v>13146</v>
      </c>
      <c r="B2757" s="1">
        <v>1.0E7</v>
      </c>
      <c r="C2757" s="1">
        <v>7.884513E7</v>
      </c>
      <c r="F2757" s="4">
        <v>6.884513E7</v>
      </c>
      <c r="G2757" s="4">
        <f t="array" ref="G2757">IFERROR((C2757-B2757)/C2757*100, "N/A")</f>
        <v>87.31690848</v>
      </c>
      <c r="J2757" s="1"/>
      <c r="K2757" s="1"/>
    </row>
    <row r="2758" ht="14.25" customHeight="1">
      <c r="A2758" s="1" t="s">
        <v>13149</v>
      </c>
      <c r="B2758" s="1">
        <v>1.0E7</v>
      </c>
      <c r="C2758" s="1">
        <v>6.3319509E7</v>
      </c>
      <c r="F2758" s="4">
        <v>5.3319509E7</v>
      </c>
      <c r="G2758" s="4">
        <f t="array" ref="G2758">IFERROR((C2758-B2758)/C2758*100, "N/A")</f>
        <v>84.20707905</v>
      </c>
      <c r="J2758" s="1"/>
      <c r="K2758" s="1"/>
    </row>
    <row r="2759" ht="14.25" customHeight="1">
      <c r="A2759" s="1" t="s">
        <v>6608</v>
      </c>
      <c r="B2759" s="1">
        <v>1.0E7</v>
      </c>
      <c r="C2759" s="1">
        <v>4.7536959E7</v>
      </c>
      <c r="F2759" s="4">
        <v>3.7536959E7</v>
      </c>
      <c r="G2759" s="4">
        <f t="array" ref="G2759">IFERROR((C2759-B2759)/C2759*100, "N/A")</f>
        <v>78.96373641</v>
      </c>
      <c r="J2759" s="1"/>
      <c r="K2759" s="1"/>
    </row>
    <row r="2760" ht="14.25" customHeight="1">
      <c r="A2760" s="1" t="s">
        <v>13152</v>
      </c>
      <c r="B2760" s="1">
        <v>1.0E7</v>
      </c>
      <c r="C2760" s="1">
        <v>6.3270259E7</v>
      </c>
      <c r="F2760" s="4">
        <v>5.3270259E7</v>
      </c>
      <c r="G2760" s="4">
        <f t="array" ref="G2760">IFERROR((C2760-B2760)/C2760*100, "N/A")</f>
        <v>84.19478574</v>
      </c>
      <c r="J2760" s="1"/>
      <c r="K2760" s="1"/>
    </row>
    <row r="2761" ht="14.25" customHeight="1">
      <c r="A2761" s="1" t="s">
        <v>13155</v>
      </c>
      <c r="B2761" s="1">
        <v>1.0E7</v>
      </c>
      <c r="C2761" s="1">
        <v>5.5865715E7</v>
      </c>
      <c r="F2761" s="4">
        <v>4.5865715E7</v>
      </c>
      <c r="G2761" s="4">
        <f t="array" ref="G2761">IFERROR((C2761-B2761)/C2761*100, "N/A")</f>
        <v>82.09993374</v>
      </c>
      <c r="J2761" s="1"/>
      <c r="K2761" s="1"/>
    </row>
    <row r="2762" ht="14.25" customHeight="1">
      <c r="A2762" s="1" t="s">
        <v>13158</v>
      </c>
      <c r="B2762" s="1">
        <v>6000000.0</v>
      </c>
      <c r="C2762" s="1">
        <v>6.3231524E7</v>
      </c>
      <c r="F2762" s="4">
        <v>5.7231524E7</v>
      </c>
      <c r="G2762" s="4">
        <f t="array" ref="G2762">IFERROR((C2762-B2762)/C2762*100, "N/A")</f>
        <v>90.51106217</v>
      </c>
      <c r="J2762" s="1"/>
      <c r="K2762" s="1"/>
    </row>
    <row r="2763" ht="14.25" customHeight="1">
      <c r="A2763" s="1" t="s">
        <v>13161</v>
      </c>
      <c r="B2763" s="1">
        <v>1.38E7</v>
      </c>
      <c r="C2763" s="1">
        <v>5.2293982E7</v>
      </c>
      <c r="F2763" s="4">
        <v>3.8493982E7</v>
      </c>
      <c r="G2763" s="4">
        <f t="array" ref="G2763">IFERROR((C2763-B2763)/C2763*100, "N/A")</f>
        <v>73.6107302</v>
      </c>
      <c r="J2763" s="1"/>
      <c r="K2763" s="1"/>
    </row>
    <row r="2764" ht="14.25" customHeight="1">
      <c r="A2764" s="1" t="s">
        <v>13164</v>
      </c>
      <c r="B2764" s="1">
        <v>1.0E7</v>
      </c>
      <c r="C2764" s="1">
        <v>5.0752337E7</v>
      </c>
      <c r="F2764" s="4">
        <v>4.0752337E7</v>
      </c>
      <c r="G2764" s="4">
        <f t="array" ref="G2764">IFERROR((C2764-B2764)/C2764*100, "N/A")</f>
        <v>80.29647384</v>
      </c>
      <c r="J2764" s="1"/>
      <c r="K2764" s="1"/>
    </row>
    <row r="2765" ht="14.25" customHeight="1">
      <c r="A2765" s="1" t="s">
        <v>13167</v>
      </c>
      <c r="B2765" s="1">
        <v>1.0E7</v>
      </c>
      <c r="C2765" s="1">
        <v>1.10175871E8</v>
      </c>
      <c r="F2765" s="4">
        <v>1.00175871E8</v>
      </c>
      <c r="G2765" s="4">
        <f t="array" ref="G2765">IFERROR((C2765-B2765)/C2765*100, "N/A")</f>
        <v>90.9236025</v>
      </c>
      <c r="J2765" s="1"/>
      <c r="K2765" s="1"/>
    </row>
    <row r="2766" ht="14.25" customHeight="1">
      <c r="A2766" s="1" t="s">
        <v>13171</v>
      </c>
      <c r="B2766" s="1">
        <v>1.2E7</v>
      </c>
      <c r="C2766" s="1">
        <v>3.8624E7</v>
      </c>
      <c r="F2766" s="4">
        <v>2.6624E7</v>
      </c>
      <c r="G2766" s="4">
        <f t="array" ref="G2766">IFERROR((C2766-B2766)/C2766*100, "N/A")</f>
        <v>68.93123447</v>
      </c>
      <c r="J2766" s="1"/>
      <c r="K2766" s="1"/>
    </row>
    <row r="2767" ht="14.25" customHeight="1">
      <c r="A2767" s="1" t="s">
        <v>13175</v>
      </c>
      <c r="B2767" s="1">
        <v>1.0E7</v>
      </c>
      <c r="C2767" s="1">
        <v>3.7470017E7</v>
      </c>
      <c r="F2767" s="4">
        <v>2.7470017E7</v>
      </c>
      <c r="G2767" s="4">
        <f t="array" ref="G2767">IFERROR((C2767-B2767)/C2767*100, "N/A")</f>
        <v>73.31199503</v>
      </c>
      <c r="J2767" s="1"/>
      <c r="K2767" s="1"/>
    </row>
    <row r="2768" ht="14.25" customHeight="1">
      <c r="A2768" s="1" t="s">
        <v>13179</v>
      </c>
      <c r="B2768" s="1">
        <v>1.0E7</v>
      </c>
      <c r="C2768" s="1">
        <v>4.0485039E7</v>
      </c>
      <c r="F2768" s="4">
        <v>3.0485039E7</v>
      </c>
      <c r="G2768" s="4">
        <f t="array" ref="G2768">IFERROR((C2768-B2768)/C2768*100, "N/A")</f>
        <v>75.29951743</v>
      </c>
      <c r="J2768" s="1"/>
      <c r="K2768" s="1"/>
    </row>
    <row r="2769" ht="14.25" customHeight="1">
      <c r="A2769" s="1" t="s">
        <v>13185</v>
      </c>
      <c r="B2769" s="1">
        <v>1.0E7</v>
      </c>
      <c r="C2769" s="1">
        <v>1.68E7</v>
      </c>
      <c r="F2769" s="4">
        <v>6800000.0</v>
      </c>
      <c r="G2769" s="4">
        <f t="array" ref="G2769">IFERROR((C2769-B2769)/C2769*100, "N/A")</f>
        <v>40.47619048</v>
      </c>
      <c r="J2769" s="1"/>
      <c r="K2769" s="1"/>
    </row>
    <row r="2770" ht="14.25" customHeight="1">
      <c r="A2770" s="1" t="s">
        <v>13191</v>
      </c>
      <c r="B2770" s="1">
        <v>1.0E7</v>
      </c>
      <c r="C2770" s="1">
        <v>4.6377022E7</v>
      </c>
      <c r="F2770" s="4">
        <v>3.6377022E7</v>
      </c>
      <c r="G2770" s="4">
        <f t="array" ref="G2770">IFERROR((C2770-B2770)/C2770*100, "N/A")</f>
        <v>78.43759783</v>
      </c>
      <c r="J2770" s="1"/>
      <c r="K2770" s="1"/>
    </row>
    <row r="2771" ht="14.25" customHeight="1">
      <c r="A2771" s="1" t="s">
        <v>13195</v>
      </c>
      <c r="B2771" s="1">
        <v>2.3E7</v>
      </c>
      <c r="C2771" s="1">
        <v>3.6696761E7</v>
      </c>
      <c r="F2771" s="4">
        <v>1.3696761E7</v>
      </c>
      <c r="G2771" s="4">
        <f t="array" ref="G2771">IFERROR((C2771-B2771)/C2771*100, "N/A")</f>
        <v>37.32416875</v>
      </c>
      <c r="J2771" s="1"/>
      <c r="K2771" s="1"/>
    </row>
    <row r="2772" ht="14.25" customHeight="1">
      <c r="A2772" s="1" t="s">
        <v>13200</v>
      </c>
      <c r="B2772" s="1">
        <v>1.2305523E7</v>
      </c>
      <c r="C2772" s="1">
        <v>3.62E7</v>
      </c>
      <c r="F2772" s="4">
        <v>2.3894477E7</v>
      </c>
      <c r="G2772" s="4">
        <f t="array" ref="G2772">IFERROR((C2772-B2772)/C2772*100, "N/A")</f>
        <v>66.00684254</v>
      </c>
      <c r="J2772" s="1"/>
      <c r="K2772" s="1"/>
    </row>
    <row r="2773" ht="14.25" customHeight="1">
      <c r="A2773" s="1" t="s">
        <v>13205</v>
      </c>
      <c r="B2773" s="1">
        <v>1.0E7</v>
      </c>
      <c r="C2773" s="1">
        <v>3.5794166E7</v>
      </c>
      <c r="F2773" s="4">
        <v>2.5794166E7</v>
      </c>
      <c r="G2773" s="4">
        <f t="array" ref="G2773">IFERROR((C2773-B2773)/C2773*100, "N/A")</f>
        <v>72.06248638</v>
      </c>
      <c r="J2773" s="1"/>
      <c r="K2773" s="1"/>
    </row>
    <row r="2774" ht="14.25" customHeight="1">
      <c r="A2774" s="1" t="s">
        <v>13209</v>
      </c>
      <c r="B2774" s="1">
        <v>1.0E7</v>
      </c>
      <c r="C2774" s="1">
        <v>3.3583175E7</v>
      </c>
      <c r="F2774" s="4">
        <v>2.3583175E7</v>
      </c>
      <c r="G2774" s="4">
        <f t="array" ref="G2774">IFERROR((C2774-B2774)/C2774*100, "N/A")</f>
        <v>70.22318468</v>
      </c>
      <c r="J2774" s="1"/>
      <c r="K2774" s="1"/>
    </row>
    <row r="2775" ht="14.25" customHeight="1">
      <c r="A2775" s="1" t="s">
        <v>13213</v>
      </c>
      <c r="B2775" s="1">
        <v>2.0E7</v>
      </c>
      <c r="C2775" s="1">
        <v>3.2983713E7</v>
      </c>
      <c r="F2775" s="4">
        <v>1.2983713E7</v>
      </c>
      <c r="G2775" s="4">
        <f t="array" ref="G2775">IFERROR((C2775-B2775)/C2775*100, "N/A")</f>
        <v>39.36401278</v>
      </c>
      <c r="J2775" s="1"/>
      <c r="K2775" s="1"/>
    </row>
    <row r="2776" ht="14.25" customHeight="1">
      <c r="A2776" s="1" t="s">
        <v>13216</v>
      </c>
      <c r="B2776" s="1">
        <v>1.0E7</v>
      </c>
      <c r="C2776" s="1">
        <v>5.2200504E7</v>
      </c>
      <c r="F2776" s="4">
        <v>4.2200504E7</v>
      </c>
      <c r="G2776" s="4">
        <f t="array" ref="G2776">IFERROR((C2776-B2776)/C2776*100, "N/A")</f>
        <v>80.84309684</v>
      </c>
      <c r="J2776" s="1"/>
      <c r="K2776" s="1"/>
    </row>
    <row r="2777" ht="14.25" customHeight="1">
      <c r="A2777" s="1" t="s">
        <v>13221</v>
      </c>
      <c r="B2777" s="1">
        <v>1.0E7</v>
      </c>
      <c r="C2777" s="1">
        <v>3.3E7</v>
      </c>
      <c r="F2777" s="4">
        <v>2.3E7</v>
      </c>
      <c r="G2777" s="4">
        <f t="array" ref="G2777">IFERROR((C2777-B2777)/C2777*100, "N/A")</f>
        <v>69.6969697</v>
      </c>
      <c r="J2777" s="1"/>
      <c r="K2777" s="1"/>
    </row>
    <row r="2778" ht="14.25" customHeight="1">
      <c r="A2778" s="1" t="s">
        <v>12905</v>
      </c>
      <c r="B2778" s="1">
        <v>6000000.0</v>
      </c>
      <c r="C2778" s="1">
        <v>3.0093107E7</v>
      </c>
      <c r="F2778" s="4">
        <v>2.4093107E7</v>
      </c>
      <c r="G2778" s="4">
        <f t="array" ref="G2778">IFERROR((C2778-B2778)/C2778*100, "N/A")</f>
        <v>80.06187929</v>
      </c>
      <c r="J2778" s="1"/>
      <c r="K2778" s="1"/>
    </row>
    <row r="2779" ht="14.25" customHeight="1">
      <c r="A2779" s="1" t="s">
        <v>13227</v>
      </c>
      <c r="B2779" s="1">
        <v>1.0E7</v>
      </c>
      <c r="C2779" s="1">
        <v>3.2101E7</v>
      </c>
      <c r="F2779" s="4">
        <v>2.2101E7</v>
      </c>
      <c r="G2779" s="4">
        <f t="array" ref="G2779">IFERROR((C2779-B2779)/C2779*100, "N/A")</f>
        <v>68.84832248</v>
      </c>
      <c r="J2779" s="1"/>
      <c r="K2779" s="1"/>
    </row>
    <row r="2780" ht="14.25" customHeight="1">
      <c r="A2780" s="1" t="s">
        <v>13233</v>
      </c>
      <c r="B2780" s="1">
        <v>9000000.0</v>
      </c>
      <c r="C2780" s="1">
        <v>3.1487293E7</v>
      </c>
      <c r="F2780" s="4">
        <v>2.2487293E7</v>
      </c>
      <c r="G2780" s="4">
        <f t="array" ref="G2780">IFERROR((C2780-B2780)/C2780*100, "N/A")</f>
        <v>71.41704115</v>
      </c>
      <c r="J2780" s="1"/>
      <c r="K2780" s="1"/>
    </row>
    <row r="2781" ht="14.25" customHeight="1">
      <c r="A2781" s="1" t="s">
        <v>13236</v>
      </c>
      <c r="B2781" s="1">
        <v>1.0E7</v>
      </c>
      <c r="C2781" s="1">
        <v>3.0651422E7</v>
      </c>
      <c r="F2781" s="4">
        <v>2.0651422E7</v>
      </c>
      <c r="G2781" s="4">
        <f t="array" ref="G2781">IFERROR((C2781-B2781)/C2781*100, "N/A")</f>
        <v>67.37508622</v>
      </c>
      <c r="J2781" s="1"/>
      <c r="K2781" s="1"/>
    </row>
    <row r="2782" ht="14.25" customHeight="1">
      <c r="A2782" s="1" t="s">
        <v>13241</v>
      </c>
      <c r="B2782" s="1">
        <v>1.0E7</v>
      </c>
      <c r="C2782" s="1">
        <v>3.0306281E7</v>
      </c>
      <c r="F2782" s="4">
        <v>2.0306281E7</v>
      </c>
      <c r="G2782" s="4">
        <f t="array" ref="G2782">IFERROR((C2782-B2782)/C2782*100, "N/A")</f>
        <v>67.00353963</v>
      </c>
      <c r="J2782" s="1"/>
      <c r="K2782" s="1"/>
    </row>
    <row r="2783" ht="14.25" customHeight="1">
      <c r="A2783" s="1" t="s">
        <v>13245</v>
      </c>
      <c r="B2783" s="1">
        <v>1.0E7</v>
      </c>
      <c r="C2783" s="1">
        <v>2.95E7</v>
      </c>
      <c r="F2783" s="4">
        <v>1.95E7</v>
      </c>
      <c r="G2783" s="4">
        <f t="array" ref="G2783">IFERROR((C2783-B2783)/C2783*100, "N/A")</f>
        <v>66.10169492</v>
      </c>
      <c r="J2783" s="1"/>
      <c r="K2783" s="1"/>
    </row>
    <row r="2784" ht="14.25" customHeight="1">
      <c r="A2784" s="1" t="s">
        <v>13251</v>
      </c>
      <c r="B2784" s="1">
        <v>1.7E7</v>
      </c>
      <c r="C2784" s="1">
        <v>3.0050028E7</v>
      </c>
      <c r="F2784" s="4">
        <v>1.3050028E7</v>
      </c>
      <c r="G2784" s="4">
        <f t="array" ref="G2784">IFERROR((C2784-B2784)/C2784*100, "N/A")</f>
        <v>43.42767335</v>
      </c>
      <c r="J2784" s="1"/>
      <c r="K2784" s="1"/>
    </row>
    <row r="2785" ht="14.25" customHeight="1">
      <c r="A2785" s="1" t="s">
        <v>13254</v>
      </c>
      <c r="B2785" s="1">
        <v>1.0E7</v>
      </c>
      <c r="C2785" s="1">
        <v>2.9392418E7</v>
      </c>
      <c r="F2785" s="4">
        <v>1.9392418E7</v>
      </c>
      <c r="G2785" s="4">
        <f t="array" ref="G2785">IFERROR((C2785-B2785)/C2785*100, "N/A")</f>
        <v>65.97762049</v>
      </c>
      <c r="J2785" s="1"/>
      <c r="K2785" s="1"/>
    </row>
    <row r="2786" ht="14.25" customHeight="1">
      <c r="A2786" s="1" t="s">
        <v>13257</v>
      </c>
      <c r="B2786" s="1">
        <v>8500000.0</v>
      </c>
      <c r="C2786" s="1">
        <v>2.8563926E7</v>
      </c>
      <c r="F2786" s="4">
        <v>2.0063926E7</v>
      </c>
      <c r="G2786" s="4">
        <f t="array" ref="G2786">IFERROR((C2786-B2786)/C2786*100, "N/A")</f>
        <v>70.2421859</v>
      </c>
      <c r="J2786" s="1"/>
      <c r="K2786" s="1"/>
    </row>
    <row r="2787" ht="14.25" customHeight="1">
      <c r="A2787" s="1" t="s">
        <v>13262</v>
      </c>
      <c r="B2787" s="1">
        <v>1.2E7</v>
      </c>
      <c r="C2787" s="1">
        <v>2.8435406E7</v>
      </c>
      <c r="F2787" s="4">
        <v>1.6435406E7</v>
      </c>
      <c r="G2787" s="4">
        <f t="array" ref="G2787">IFERROR((C2787-B2787)/C2787*100, "N/A")</f>
        <v>57.79909033</v>
      </c>
      <c r="J2787" s="1"/>
      <c r="K2787" s="1"/>
    </row>
    <row r="2788" ht="14.25" customHeight="1">
      <c r="A2788" s="1" t="s">
        <v>13265</v>
      </c>
      <c r="B2788" s="1">
        <v>1.0E7</v>
      </c>
      <c r="C2788" s="1">
        <v>2.5339117E7</v>
      </c>
      <c r="F2788" s="4">
        <v>1.5339117E7</v>
      </c>
      <c r="G2788" s="4">
        <f t="array" ref="G2788">IFERROR((C2788-B2788)/C2788*100, "N/A")</f>
        <v>60.53532568</v>
      </c>
      <c r="J2788" s="1"/>
      <c r="K2788" s="1"/>
    </row>
    <row r="2789" ht="14.25" customHeight="1">
      <c r="A2789" s="1" t="s">
        <v>13268</v>
      </c>
      <c r="B2789" s="1">
        <v>1.0E7</v>
      </c>
      <c r="C2789" s="1">
        <v>2.56E7</v>
      </c>
      <c r="F2789" s="4">
        <v>1.56E7</v>
      </c>
      <c r="G2789" s="4">
        <f t="array" ref="G2789">IFERROR((C2789-B2789)/C2789*100, "N/A")</f>
        <v>60.9375</v>
      </c>
      <c r="J2789" s="1"/>
      <c r="K2789" s="1"/>
    </row>
    <row r="2790" ht="14.25" customHeight="1">
      <c r="A2790" s="1" t="s">
        <v>13273</v>
      </c>
      <c r="B2790" s="1">
        <v>1.0E7</v>
      </c>
      <c r="C2790" s="1">
        <v>2.7736779E7</v>
      </c>
      <c r="F2790" s="4">
        <v>1.7736779E7</v>
      </c>
      <c r="G2790" s="4">
        <f t="array" ref="G2790">IFERROR((C2790-B2790)/C2790*100, "N/A")</f>
        <v>63.94678704</v>
      </c>
      <c r="J2790" s="1"/>
      <c r="K2790" s="1"/>
    </row>
    <row r="2791" ht="14.25" customHeight="1">
      <c r="A2791" s="1" t="s">
        <v>13279</v>
      </c>
      <c r="B2791" s="1">
        <v>1.7E7</v>
      </c>
      <c r="C2791" s="1">
        <v>2.4397469E7</v>
      </c>
      <c r="F2791" s="4">
        <v>7397469.0</v>
      </c>
      <c r="G2791" s="4">
        <f t="array" ref="G2791">IFERROR((C2791-B2791)/C2791*100, "N/A")</f>
        <v>30.32064105</v>
      </c>
      <c r="J2791" s="1"/>
      <c r="K2791" s="1"/>
    </row>
    <row r="2792" ht="14.25" customHeight="1">
      <c r="A2792" s="1" t="s">
        <v>13282</v>
      </c>
      <c r="B2792" s="1">
        <v>1.0E7</v>
      </c>
      <c r="C2792" s="1">
        <v>2.0384136E7</v>
      </c>
      <c r="F2792" s="4">
        <v>1.0384136E7</v>
      </c>
      <c r="G2792" s="4">
        <f t="array" ref="G2792">IFERROR((C2792-B2792)/C2792*100, "N/A")</f>
        <v>50.94224254</v>
      </c>
      <c r="J2792" s="1"/>
      <c r="K2792" s="1"/>
    </row>
    <row r="2793" ht="14.25" customHeight="1">
      <c r="A2793" s="1" t="s">
        <v>13287</v>
      </c>
      <c r="B2793" s="1">
        <v>1.0E7</v>
      </c>
      <c r="C2793" s="1">
        <v>2.546448E7</v>
      </c>
      <c r="F2793" s="4">
        <v>1.546448E7</v>
      </c>
      <c r="G2793" s="4">
        <f t="array" ref="G2793">IFERROR((C2793-B2793)/C2793*100, "N/A")</f>
        <v>60.72961239</v>
      </c>
      <c r="J2793" s="1"/>
      <c r="K2793" s="1"/>
    </row>
    <row r="2794" ht="14.25" customHeight="1">
      <c r="A2794" s="1" t="s">
        <v>13290</v>
      </c>
      <c r="B2794" s="1">
        <v>1.0E7</v>
      </c>
      <c r="C2794" s="1">
        <v>2.0338609E7</v>
      </c>
      <c r="F2794" s="4">
        <v>1.0338609E7</v>
      </c>
      <c r="G2794" s="4">
        <f t="array" ref="G2794">IFERROR((C2794-B2794)/C2794*100, "N/A")</f>
        <v>50.8324291</v>
      </c>
      <c r="J2794" s="1"/>
      <c r="K2794" s="1"/>
    </row>
    <row r="2795" ht="14.25" customHeight="1">
      <c r="A2795" s="1" t="s">
        <v>13294</v>
      </c>
      <c r="B2795" s="1">
        <v>1.0E7</v>
      </c>
      <c r="C2795" s="1">
        <v>1.8272447E7</v>
      </c>
      <c r="F2795" s="4">
        <v>8272447.0</v>
      </c>
      <c r="G2795" s="4">
        <f t="array" ref="G2795">IFERROR((C2795-B2795)/C2795*100, "N/A")</f>
        <v>45.27279242</v>
      </c>
      <c r="J2795" s="1"/>
      <c r="K2795" s="1"/>
    </row>
    <row r="2796" ht="14.25" customHeight="1">
      <c r="A2796" s="1" t="s">
        <v>13297</v>
      </c>
      <c r="B2796" s="1">
        <v>9000000.0</v>
      </c>
      <c r="C2796" s="1">
        <v>1.7096053E7</v>
      </c>
      <c r="F2796" s="4">
        <v>8096053.0</v>
      </c>
      <c r="G2796" s="4">
        <f t="array" ref="G2796">IFERROR((C2796-B2796)/C2796*100, "N/A")</f>
        <v>47.35626989</v>
      </c>
      <c r="J2796" s="1"/>
      <c r="K2796" s="1"/>
    </row>
    <row r="2797" ht="14.25" customHeight="1">
      <c r="A2797" s="1" t="s">
        <v>13300</v>
      </c>
      <c r="B2797" s="1">
        <v>1.0E7</v>
      </c>
      <c r="C2797" s="1">
        <v>2.1371425E7</v>
      </c>
      <c r="F2797" s="4">
        <v>1.1371425E7</v>
      </c>
      <c r="G2797" s="4">
        <f t="array" ref="G2797">IFERROR((C2797-B2797)/C2797*100, "N/A")</f>
        <v>53.20854833</v>
      </c>
      <c r="J2797" s="1"/>
      <c r="K2797" s="1"/>
    </row>
    <row r="2798" ht="14.25" customHeight="1">
      <c r="A2798" s="1" t="s">
        <v>13303</v>
      </c>
      <c r="B2798" s="1">
        <v>1.0E7</v>
      </c>
      <c r="C2798" s="1">
        <v>3.3071558E7</v>
      </c>
      <c r="F2798" s="4">
        <v>2.3071558E7</v>
      </c>
      <c r="G2798" s="4">
        <f t="array" ref="G2798">IFERROR((C2798-B2798)/C2798*100, "N/A")</f>
        <v>69.76253734</v>
      </c>
      <c r="J2798" s="1"/>
      <c r="K2798" s="1"/>
    </row>
    <row r="2799" ht="14.25" customHeight="1">
      <c r="A2799" s="1" t="s">
        <v>13309</v>
      </c>
      <c r="B2799" s="1">
        <v>1.0E7</v>
      </c>
      <c r="C2799" s="1">
        <v>1.7655201E7</v>
      </c>
      <c r="F2799" s="4">
        <v>7655201.0</v>
      </c>
      <c r="G2799" s="4">
        <f t="array" ref="G2799">IFERROR((C2799-B2799)/C2799*100, "N/A")</f>
        <v>43.35946671</v>
      </c>
      <c r="J2799" s="1"/>
      <c r="K2799" s="1"/>
    </row>
    <row r="2800" ht="14.25" customHeight="1">
      <c r="A2800" s="1" t="s">
        <v>13312</v>
      </c>
      <c r="B2800" s="1">
        <v>2.5E7</v>
      </c>
      <c r="C2800" s="1">
        <v>1.6247775E7</v>
      </c>
      <c r="F2800" s="4">
        <v>-8752225.0</v>
      </c>
      <c r="G2800" s="4">
        <f t="array" ref="G2800">IFERROR((C2800-B2800)/C2800*100, "N/A")</f>
        <v>-53.86722182</v>
      </c>
      <c r="J2800" s="1"/>
      <c r="K2800" s="1"/>
    </row>
    <row r="2801" ht="14.25" customHeight="1">
      <c r="A2801" s="1" t="s">
        <v>13316</v>
      </c>
      <c r="B2801" s="1">
        <v>1.0E7</v>
      </c>
      <c r="C2801" s="1">
        <v>1.61536E7</v>
      </c>
      <c r="F2801" s="4">
        <v>6153600.0</v>
      </c>
      <c r="G2801" s="4">
        <f t="array" ref="G2801">IFERROR((C2801-B2801)/C2801*100, "N/A")</f>
        <v>38.09429477</v>
      </c>
      <c r="J2801" s="1"/>
      <c r="K2801" s="1"/>
    </row>
    <row r="2802" ht="14.25" customHeight="1">
      <c r="A2802" s="1" t="s">
        <v>13320</v>
      </c>
      <c r="B2802" s="1">
        <v>1.0E7</v>
      </c>
      <c r="C2802" s="1">
        <v>1.6033556E7</v>
      </c>
      <c r="F2802" s="4">
        <v>6033556.0</v>
      </c>
      <c r="G2802" s="4">
        <f t="array" ref="G2802">IFERROR((C2802-B2802)/C2802*100, "N/A")</f>
        <v>37.6308038</v>
      </c>
      <c r="J2802" s="1"/>
      <c r="K2802" s="1"/>
    </row>
    <row r="2803" ht="14.25" customHeight="1">
      <c r="A2803" s="1" t="s">
        <v>13325</v>
      </c>
      <c r="B2803" s="1">
        <v>1.1E7</v>
      </c>
      <c r="C2803" s="1">
        <v>1.6667084E7</v>
      </c>
      <c r="F2803" s="4">
        <v>5667084.0</v>
      </c>
      <c r="G2803" s="4">
        <f t="array" ref="G2803">IFERROR((C2803-B2803)/C2803*100, "N/A")</f>
        <v>34.0016526</v>
      </c>
      <c r="J2803" s="1"/>
      <c r="K2803" s="1"/>
    </row>
    <row r="2804" ht="14.25" customHeight="1">
      <c r="A2804" s="1" t="s">
        <v>13331</v>
      </c>
      <c r="B2804" s="1">
        <v>1.26E7</v>
      </c>
      <c r="C2804" s="1">
        <v>1.5417771E7</v>
      </c>
      <c r="F2804" s="4">
        <v>2817771.0</v>
      </c>
      <c r="G2804" s="4">
        <f t="array" ref="G2804">IFERROR((C2804-B2804)/C2804*100, "N/A")</f>
        <v>18.27612435</v>
      </c>
      <c r="J2804" s="1"/>
      <c r="K2804" s="1"/>
    </row>
    <row r="2805" ht="14.25" customHeight="1">
      <c r="A2805" s="1" t="s">
        <v>13335</v>
      </c>
      <c r="B2805" s="1">
        <v>3.0E7</v>
      </c>
      <c r="C2805" s="1">
        <v>1.51562E7</v>
      </c>
      <c r="F2805" s="4">
        <v>-1.48438E7</v>
      </c>
      <c r="G2805" s="4">
        <f t="array" ref="G2805">IFERROR((C2805-B2805)/C2805*100, "N/A")</f>
        <v>-97.93879732</v>
      </c>
      <c r="J2805" s="1"/>
      <c r="K2805" s="1"/>
    </row>
    <row r="2806" ht="14.25" customHeight="1">
      <c r="A2806" s="1" t="s">
        <v>13339</v>
      </c>
      <c r="B2806" s="1">
        <v>1.0E7</v>
      </c>
      <c r="C2806" s="1">
        <v>2.1589307E7</v>
      </c>
      <c r="F2806" s="4">
        <v>1.1589307E7</v>
      </c>
      <c r="G2806" s="4">
        <f t="array" ref="G2806">IFERROR((C2806-B2806)/C2806*100, "N/A")</f>
        <v>53.68077354</v>
      </c>
      <c r="J2806" s="1"/>
      <c r="K2806" s="1"/>
    </row>
    <row r="2807" ht="14.25" customHeight="1">
      <c r="A2807" s="1" t="s">
        <v>13343</v>
      </c>
      <c r="B2807" s="1">
        <v>1.0E7</v>
      </c>
      <c r="C2807" s="1">
        <v>2.0339754E7</v>
      </c>
      <c r="F2807" s="4">
        <v>1.0339754E7</v>
      </c>
      <c r="G2807" s="4">
        <f t="array" ref="G2807">IFERROR((C2807-B2807)/C2807*100, "N/A")</f>
        <v>50.83519693</v>
      </c>
      <c r="J2807" s="1"/>
      <c r="K2807" s="1"/>
    </row>
    <row r="2808" ht="14.25" customHeight="1">
      <c r="A2808" s="1" t="s">
        <v>13348</v>
      </c>
      <c r="B2808" s="1">
        <v>1.0E7</v>
      </c>
      <c r="C2808" s="1">
        <v>2.8873374E7</v>
      </c>
      <c r="F2808" s="4">
        <v>1.8873374E7</v>
      </c>
      <c r="G2808" s="4">
        <f t="array" ref="G2808">IFERROR((C2808-B2808)/C2808*100, "N/A")</f>
        <v>65.36601507</v>
      </c>
      <c r="J2808" s="1"/>
      <c r="K2808" s="1"/>
    </row>
    <row r="2809" ht="14.25" customHeight="1">
      <c r="A2809" s="1" t="s">
        <v>13355</v>
      </c>
      <c r="B2809" s="1">
        <v>3000000.0</v>
      </c>
      <c r="C2809" s="1">
        <v>1.3684949E7</v>
      </c>
      <c r="F2809" s="4">
        <v>1.0684949E7</v>
      </c>
      <c r="G2809" s="4">
        <f t="array" ref="G2809">IFERROR((C2809-B2809)/C2809*100, "N/A")</f>
        <v>78.0781061</v>
      </c>
      <c r="J2809" s="1"/>
      <c r="K2809" s="1"/>
    </row>
    <row r="2810" ht="14.25" customHeight="1">
      <c r="A2810" s="1" t="s">
        <v>13358</v>
      </c>
      <c r="B2810" s="1">
        <v>6400000.0</v>
      </c>
      <c r="C2810" s="1">
        <v>1.4597405E7</v>
      </c>
      <c r="F2810" s="4">
        <v>8197405.0</v>
      </c>
      <c r="G2810" s="4">
        <f t="array" ref="G2810">IFERROR((C2810-B2810)/C2810*100, "N/A")</f>
        <v>56.15659085</v>
      </c>
      <c r="J2810" s="1"/>
      <c r="K2810" s="1"/>
    </row>
    <row r="2811" ht="14.25" customHeight="1">
      <c r="A2811" s="1" t="s">
        <v>13361</v>
      </c>
      <c r="B2811" s="1">
        <v>1.0E7</v>
      </c>
      <c r="C2811" s="1">
        <v>1.2570442E7</v>
      </c>
      <c r="F2811" s="4">
        <v>2570442.0</v>
      </c>
      <c r="G2811" s="4">
        <f t="array" ref="G2811">IFERROR((C2811-B2811)/C2811*100, "N/A")</f>
        <v>20.44830245</v>
      </c>
      <c r="J2811" s="1"/>
      <c r="K2811" s="1"/>
    </row>
    <row r="2812" ht="14.25" customHeight="1">
      <c r="A2812" s="1" t="s">
        <v>13365</v>
      </c>
      <c r="B2812" s="1">
        <v>1.0E7</v>
      </c>
      <c r="C2812" s="1">
        <v>1.2514138E7</v>
      </c>
      <c r="F2812" s="4">
        <v>2514138.0</v>
      </c>
      <c r="G2812" s="4">
        <f t="array" ref="G2812">IFERROR((C2812-B2812)/C2812*100, "N/A")</f>
        <v>20.09038098</v>
      </c>
      <c r="J2812" s="1"/>
      <c r="K2812" s="1"/>
    </row>
    <row r="2813" ht="14.25" customHeight="1">
      <c r="A2813" s="1" t="s">
        <v>13369</v>
      </c>
      <c r="B2813" s="1">
        <v>5000000.0</v>
      </c>
      <c r="C2813" s="1">
        <v>4.3771291E7</v>
      </c>
      <c r="F2813" s="4">
        <v>3.8771291E7</v>
      </c>
      <c r="G2813" s="4">
        <f t="array" ref="G2813">IFERROR((C2813-B2813)/C2813*100, "N/A")</f>
        <v>88.5769876</v>
      </c>
      <c r="J2813" s="1"/>
      <c r="K2813" s="1"/>
    </row>
    <row r="2814" ht="14.25" customHeight="1">
      <c r="A2814" s="1" t="s">
        <v>13373</v>
      </c>
      <c r="B2814" s="1">
        <v>1.0E7</v>
      </c>
      <c r="C2814" s="1">
        <v>1.1703287E7</v>
      </c>
      <c r="F2814" s="4">
        <v>1703287.0</v>
      </c>
      <c r="G2814" s="4">
        <f t="array" ref="G2814">IFERROR((C2814-B2814)/C2814*100, "N/A")</f>
        <v>14.55391977</v>
      </c>
      <c r="J2814" s="1"/>
      <c r="K2814" s="1"/>
    </row>
    <row r="2815" ht="14.25" customHeight="1">
      <c r="A2815" s="1" t="s">
        <v>13379</v>
      </c>
      <c r="B2815" s="1">
        <v>2.2E7</v>
      </c>
      <c r="C2815" s="1">
        <v>1.1560259E7</v>
      </c>
      <c r="F2815" s="4">
        <v>-1.0439741E7</v>
      </c>
      <c r="G2815" s="4">
        <f t="array" ref="G2815">IFERROR((C2815-B2815)/C2815*100, "N/A")</f>
        <v>-90.30715488</v>
      </c>
      <c r="J2815" s="1"/>
      <c r="K2815" s="1"/>
    </row>
    <row r="2816" ht="14.25" customHeight="1">
      <c r="A2816" s="1" t="s">
        <v>13382</v>
      </c>
      <c r="B2816" s="1">
        <v>1.0E7</v>
      </c>
      <c r="C2816" s="1">
        <v>1.0824921E7</v>
      </c>
      <c r="F2816" s="4">
        <v>824921.0</v>
      </c>
      <c r="G2816" s="4">
        <f t="array" ref="G2816">IFERROR((C2816-B2816)/C2816*100, "N/A")</f>
        <v>7.620572935</v>
      </c>
      <c r="J2816" s="1"/>
      <c r="K2816" s="1"/>
    </row>
    <row r="2817" ht="14.25" customHeight="1">
      <c r="A2817" s="1" t="s">
        <v>13386</v>
      </c>
      <c r="B2817" s="1">
        <v>1.0E7</v>
      </c>
      <c r="C2817" s="1">
        <v>1.0561238E7</v>
      </c>
      <c r="F2817" s="4">
        <v>561238.0</v>
      </c>
      <c r="G2817" s="4">
        <f t="array" ref="G2817">IFERROR((C2817-B2817)/C2817*100, "N/A")</f>
        <v>5.314130787</v>
      </c>
      <c r="J2817" s="1"/>
      <c r="K2817" s="1"/>
    </row>
    <row r="2818" ht="14.25" customHeight="1">
      <c r="A2818" s="1" t="s">
        <v>13390</v>
      </c>
      <c r="B2818" s="1">
        <v>1.0E7</v>
      </c>
      <c r="C2818" s="1">
        <v>1.4479776E7</v>
      </c>
      <c r="F2818" s="4">
        <v>4479776.0</v>
      </c>
      <c r="G2818" s="4">
        <f t="array" ref="G2818">IFERROR((C2818-B2818)/C2818*100, "N/A")</f>
        <v>30.93815816</v>
      </c>
      <c r="J2818" s="1"/>
      <c r="K2818" s="1"/>
    </row>
    <row r="2819" ht="14.25" customHeight="1">
      <c r="A2819" s="1" t="s">
        <v>13394</v>
      </c>
      <c r="B2819" s="1">
        <v>1.0E7</v>
      </c>
      <c r="C2819" s="1">
        <v>9801782.0</v>
      </c>
      <c r="F2819" s="4">
        <v>-198218.0</v>
      </c>
      <c r="G2819" s="4">
        <f t="array" ref="G2819">IFERROR((C2819-B2819)/C2819*100, "N/A")</f>
        <v>-2.022264931</v>
      </c>
      <c r="J2819" s="1"/>
      <c r="K2819" s="1"/>
    </row>
    <row r="2820" ht="14.25" customHeight="1">
      <c r="A2820" s="1" t="s">
        <v>13397</v>
      </c>
      <c r="B2820" s="1">
        <v>1.0E7</v>
      </c>
      <c r="C2820" s="1">
        <v>8070311.0</v>
      </c>
      <c r="F2820" s="4">
        <v>-1929689.0</v>
      </c>
      <c r="G2820" s="4">
        <f t="array" ref="G2820">IFERROR((C2820-B2820)/C2820*100, "N/A")</f>
        <v>-23.91096204</v>
      </c>
      <c r="J2820" s="1"/>
      <c r="K2820" s="1"/>
    </row>
    <row r="2821" ht="14.25" customHeight="1">
      <c r="A2821" s="1" t="s">
        <v>13401</v>
      </c>
      <c r="B2821" s="1">
        <v>1.0E7</v>
      </c>
      <c r="C2821" s="1">
        <v>8460995.0</v>
      </c>
      <c r="F2821" s="4">
        <v>-1539005.0</v>
      </c>
      <c r="G2821" s="4">
        <f t="array" ref="G2821">IFERROR((C2821-B2821)/C2821*100, "N/A")</f>
        <v>-18.18940917</v>
      </c>
      <c r="J2821" s="1"/>
      <c r="K2821" s="1"/>
    </row>
    <row r="2822" ht="14.25" customHeight="1">
      <c r="A2822" s="1" t="s">
        <v>13405</v>
      </c>
      <c r="B2822" s="1">
        <v>1.0E7</v>
      </c>
      <c r="C2822" s="1">
        <v>8111360.0</v>
      </c>
      <c r="F2822" s="4">
        <v>-1888640.0</v>
      </c>
      <c r="G2822" s="4">
        <f t="array" ref="G2822">IFERROR((C2822-B2822)/C2822*100, "N/A")</f>
        <v>-23.28388828</v>
      </c>
      <c r="J2822" s="1"/>
      <c r="K2822" s="1"/>
    </row>
    <row r="2823" ht="14.25" customHeight="1">
      <c r="A2823" s="1" t="s">
        <v>13408</v>
      </c>
      <c r="B2823" s="1">
        <v>6000000.0</v>
      </c>
      <c r="C2823" s="1">
        <v>8828771.0</v>
      </c>
      <c r="F2823" s="4">
        <v>2828771.0</v>
      </c>
      <c r="G2823" s="4">
        <f t="array" ref="G2823">IFERROR((C2823-B2823)/C2823*100, "N/A")</f>
        <v>32.04037119</v>
      </c>
      <c r="J2823" s="1"/>
      <c r="K2823" s="1"/>
    </row>
    <row r="2824" ht="14.25" customHeight="1">
      <c r="A2824" s="1" t="s">
        <v>1731</v>
      </c>
      <c r="B2824" s="1">
        <v>1.0E8</v>
      </c>
      <c r="C2824" s="1">
        <v>6.7631157E7</v>
      </c>
      <c r="F2824" s="4">
        <v>-3.2368843E7</v>
      </c>
      <c r="G2824" s="4">
        <f t="array" ref="G2824">IFERROR((C2824-B2824)/C2824*100, "N/A")</f>
        <v>-47.86084467</v>
      </c>
      <c r="J2824" s="1"/>
      <c r="K2824" s="1"/>
    </row>
    <row r="2825" ht="14.25" customHeight="1">
      <c r="A2825" s="1" t="s">
        <v>13412</v>
      </c>
      <c r="B2825" s="1">
        <v>1.0E7</v>
      </c>
      <c r="C2825" s="1">
        <v>7563670.0</v>
      </c>
      <c r="F2825" s="4">
        <v>-2436330.0</v>
      </c>
      <c r="G2825" s="4">
        <f t="array" ref="G2825">IFERROR((C2825-B2825)/C2825*100, "N/A")</f>
        <v>-32.2109505</v>
      </c>
      <c r="J2825" s="1"/>
      <c r="K2825" s="1"/>
    </row>
    <row r="2826" ht="14.25" customHeight="1">
      <c r="A2826" s="1" t="s">
        <v>13416</v>
      </c>
      <c r="B2826" s="1">
        <v>1.0E7</v>
      </c>
      <c r="C2826" s="1">
        <v>6619173.0</v>
      </c>
      <c r="F2826" s="4">
        <v>-3380827.0</v>
      </c>
      <c r="G2826" s="4">
        <f t="array" ref="G2826">IFERROR((C2826-B2826)/C2826*100, "N/A")</f>
        <v>-51.07627494</v>
      </c>
      <c r="J2826" s="1"/>
      <c r="K2826" s="1"/>
    </row>
    <row r="2827" ht="14.25" customHeight="1">
      <c r="A2827" s="1" t="s">
        <v>13422</v>
      </c>
      <c r="B2827" s="1">
        <v>7500000.0</v>
      </c>
      <c r="C2827" s="1">
        <v>6712241.0</v>
      </c>
      <c r="F2827" s="4">
        <v>-787759.0</v>
      </c>
      <c r="G2827" s="4">
        <f t="array" ref="G2827">IFERROR((C2827-B2827)/C2827*100, "N/A")</f>
        <v>-11.73615488</v>
      </c>
      <c r="J2827" s="1"/>
      <c r="K2827" s="1"/>
    </row>
    <row r="2828" ht="14.25" customHeight="1">
      <c r="A2828" s="1" t="s">
        <v>13426</v>
      </c>
      <c r="B2828" s="1">
        <v>1.0E7</v>
      </c>
      <c r="C2828" s="1">
        <v>6842058.0</v>
      </c>
      <c r="F2828" s="4">
        <v>-3157942.0</v>
      </c>
      <c r="G2828" s="4">
        <f t="array" ref="G2828">IFERROR((C2828-B2828)/C2828*100, "N/A")</f>
        <v>-46.15485575</v>
      </c>
      <c r="J2828" s="1"/>
      <c r="K2828" s="1"/>
    </row>
    <row r="2829" ht="14.25" customHeight="1">
      <c r="A2829" s="1" t="s">
        <v>13432</v>
      </c>
      <c r="B2829" s="1">
        <v>1.0E7</v>
      </c>
      <c r="C2829" s="1">
        <v>6491350.0</v>
      </c>
      <c r="F2829" s="4">
        <v>-3508650.0</v>
      </c>
      <c r="G2829" s="4">
        <f t="array" ref="G2829">IFERROR((C2829-B2829)/C2829*100, "N/A")</f>
        <v>-54.05116039</v>
      </c>
      <c r="J2829" s="1"/>
      <c r="K2829" s="1"/>
    </row>
    <row r="2830" ht="14.25" customHeight="1">
      <c r="A2830" s="1" t="s">
        <v>13436</v>
      </c>
      <c r="B2830" s="1">
        <v>1.0E7</v>
      </c>
      <c r="C2830" s="1">
        <v>9473382.0</v>
      </c>
      <c r="F2830" s="4">
        <v>-526618.0</v>
      </c>
      <c r="G2830" s="4">
        <f t="array" ref="G2830">IFERROR((C2830-B2830)/C2830*100, "N/A")</f>
        <v>-5.558922885</v>
      </c>
      <c r="J2830" s="1"/>
      <c r="K2830" s="1"/>
    </row>
    <row r="2831" ht="14.25" customHeight="1">
      <c r="A2831" s="1" t="s">
        <v>13443</v>
      </c>
      <c r="B2831" s="1">
        <v>1.0E7</v>
      </c>
      <c r="C2831" s="1">
        <v>6197866.0</v>
      </c>
      <c r="F2831" s="4">
        <v>-3802134.0</v>
      </c>
      <c r="G2831" s="4">
        <f t="array" ref="G2831">IFERROR((C2831-B2831)/C2831*100, "N/A")</f>
        <v>-61.34585678</v>
      </c>
      <c r="J2831" s="1"/>
      <c r="K2831" s="1"/>
    </row>
    <row r="2832" ht="14.25" customHeight="1">
      <c r="A2832" s="1" t="s">
        <v>13448</v>
      </c>
      <c r="B2832" s="1">
        <v>1.0E7</v>
      </c>
      <c r="C2832" s="1">
        <v>6044618.0</v>
      </c>
      <c r="F2832" s="4">
        <v>-3955382.0</v>
      </c>
      <c r="G2832" s="4">
        <f t="array" ref="G2832">IFERROR((C2832-B2832)/C2832*100, "N/A")</f>
        <v>-65.43642626</v>
      </c>
      <c r="J2832" s="1"/>
      <c r="K2832" s="1"/>
    </row>
    <row r="2833" ht="14.25" customHeight="1">
      <c r="A2833" s="1" t="s">
        <v>13453</v>
      </c>
      <c r="B2833" s="1">
        <v>1.0E7</v>
      </c>
      <c r="C2833" s="1">
        <v>7764027.0</v>
      </c>
      <c r="F2833" s="4">
        <v>-2235973.0</v>
      </c>
      <c r="G2833" s="4">
        <f t="array" ref="G2833">IFERROR((C2833-B2833)/C2833*100, "N/A")</f>
        <v>-28.79913993</v>
      </c>
      <c r="J2833" s="1"/>
      <c r="K2833" s="1"/>
    </row>
    <row r="2834" ht="14.25" customHeight="1">
      <c r="A2834" s="1" t="s">
        <v>13456</v>
      </c>
      <c r="B2834" s="1">
        <v>9000000.0</v>
      </c>
      <c r="C2834" s="1">
        <v>2.1569041E7</v>
      </c>
      <c r="F2834" s="4">
        <v>1.2569041E7</v>
      </c>
      <c r="G2834" s="4">
        <f t="array" ref="G2834">IFERROR((C2834-B2834)/C2834*100, "N/A")</f>
        <v>58.27352732</v>
      </c>
      <c r="J2834" s="1"/>
      <c r="K2834" s="1"/>
    </row>
    <row r="2835" ht="14.25" customHeight="1">
      <c r="A2835" s="1" t="s">
        <v>13461</v>
      </c>
      <c r="B2835" s="1">
        <v>1.6E7</v>
      </c>
      <c r="C2835" s="1">
        <v>4356743.0</v>
      </c>
      <c r="F2835" s="4">
        <v>-1.1643257E7</v>
      </c>
      <c r="G2835" s="4">
        <f t="array" ref="G2835">IFERROR((C2835-B2835)/C2835*100, "N/A")</f>
        <v>-267.2468172</v>
      </c>
      <c r="J2835" s="1"/>
      <c r="K2835" s="1"/>
    </row>
    <row r="2836" ht="14.25" customHeight="1">
      <c r="A2836" s="1" t="s">
        <v>13464</v>
      </c>
      <c r="B2836" s="1">
        <v>1.0E7</v>
      </c>
      <c r="C2836" s="1">
        <v>5484375.0</v>
      </c>
      <c r="F2836" s="4">
        <v>-4515625.0</v>
      </c>
      <c r="G2836" s="4">
        <f t="array" ref="G2836">IFERROR((C2836-B2836)/C2836*100, "N/A")</f>
        <v>-82.33618234</v>
      </c>
      <c r="J2836" s="1"/>
      <c r="K2836" s="1"/>
    </row>
    <row r="2837" ht="14.25" customHeight="1">
      <c r="A2837" s="1" t="s">
        <v>13471</v>
      </c>
      <c r="B2837" s="1">
        <v>1.0E7</v>
      </c>
      <c r="C2837" s="1">
        <v>4244155.0</v>
      </c>
      <c r="F2837" s="4">
        <v>-5755845.0</v>
      </c>
      <c r="G2837" s="4">
        <f t="array" ref="G2837">IFERROR((C2837-B2837)/C2837*100, "N/A")</f>
        <v>-135.6181619</v>
      </c>
      <c r="J2837" s="1"/>
      <c r="K2837" s="1"/>
    </row>
    <row r="2838" ht="14.25" customHeight="1">
      <c r="A2838" s="1" t="s">
        <v>13476</v>
      </c>
      <c r="B2838" s="1">
        <v>1.0E7</v>
      </c>
      <c r="C2838" s="1">
        <v>5004648.0</v>
      </c>
      <c r="F2838" s="4">
        <v>-4995352.0</v>
      </c>
      <c r="G2838" s="4">
        <f t="array" ref="G2838">IFERROR((C2838-B2838)/C2838*100, "N/A")</f>
        <v>-99.81425267</v>
      </c>
      <c r="J2838" s="1"/>
      <c r="K2838" s="1"/>
    </row>
    <row r="2839" ht="14.25" customHeight="1">
      <c r="A2839" s="1" t="s">
        <v>13483</v>
      </c>
      <c r="B2839" s="1">
        <v>1.0E7</v>
      </c>
      <c r="C2839" s="1">
        <v>3333823.0</v>
      </c>
      <c r="F2839" s="4">
        <v>-6666177.0</v>
      </c>
      <c r="G2839" s="4">
        <f t="array" ref="G2839">IFERROR((C2839-B2839)/C2839*100, "N/A")</f>
        <v>-199.9559365</v>
      </c>
      <c r="J2839" s="1"/>
      <c r="K2839" s="1"/>
    </row>
    <row r="2840" ht="14.25" customHeight="1">
      <c r="A2840" s="1" t="s">
        <v>13487</v>
      </c>
      <c r="B2840" s="1">
        <v>1.15E7</v>
      </c>
      <c r="C2840" s="1">
        <v>3275585.0</v>
      </c>
      <c r="F2840" s="4">
        <v>-8224415.0</v>
      </c>
      <c r="G2840" s="4">
        <f t="array" ref="G2840">IFERROR((C2840-B2840)/C2840*100, "N/A")</f>
        <v>-251.0823258</v>
      </c>
      <c r="J2840" s="1"/>
      <c r="K2840" s="1"/>
    </row>
    <row r="2841" ht="14.25" customHeight="1">
      <c r="A2841" s="1" t="s">
        <v>13490</v>
      </c>
      <c r="B2841" s="1">
        <v>9000000.0</v>
      </c>
      <c r="C2841" s="1">
        <v>3193102.0</v>
      </c>
      <c r="F2841" s="4">
        <v>-5806898.0</v>
      </c>
      <c r="G2841" s="4">
        <f t="array" ref="G2841">IFERROR((C2841-B2841)/C2841*100, "N/A")</f>
        <v>-181.8575792</v>
      </c>
      <c r="J2841" s="1"/>
      <c r="K2841" s="1"/>
    </row>
    <row r="2842" ht="14.25" customHeight="1">
      <c r="A2842" s="1" t="s">
        <v>13494</v>
      </c>
      <c r="B2842" s="1">
        <v>6500000.0</v>
      </c>
      <c r="C2842" s="1">
        <v>5.4557348E7</v>
      </c>
      <c r="F2842" s="4">
        <v>4.8057348E7</v>
      </c>
      <c r="G2842" s="4">
        <f t="array" ref="G2842">IFERROR((C2842-B2842)/C2842*100, "N/A")</f>
        <v>88.08593116</v>
      </c>
      <c r="J2842" s="1"/>
      <c r="K2842" s="1"/>
    </row>
    <row r="2843" ht="14.25" customHeight="1">
      <c r="A2843" s="1" t="s">
        <v>13498</v>
      </c>
      <c r="B2843" s="1">
        <v>1.0E7</v>
      </c>
      <c r="C2843" s="1">
        <v>3041803.0</v>
      </c>
      <c r="F2843" s="4">
        <v>-6958197.0</v>
      </c>
      <c r="G2843" s="4">
        <f t="array" ref="G2843">IFERROR((C2843-B2843)/C2843*100, "N/A")</f>
        <v>-228.752388</v>
      </c>
      <c r="J2843" s="1"/>
      <c r="K2843" s="1"/>
    </row>
    <row r="2844" ht="14.25" customHeight="1">
      <c r="A2844" s="1" t="s">
        <v>13502</v>
      </c>
      <c r="B2844" s="1">
        <v>1.0E7</v>
      </c>
      <c r="C2844" s="1">
        <v>3060858.0</v>
      </c>
      <c r="F2844" s="4">
        <v>-6939142.0</v>
      </c>
      <c r="G2844" s="4">
        <f t="array" ref="G2844">IFERROR((C2844-B2844)/C2844*100, "N/A")</f>
        <v>-226.7057799</v>
      </c>
      <c r="J2844" s="1"/>
      <c r="K2844" s="1"/>
    </row>
    <row r="2845" ht="14.25" customHeight="1">
      <c r="A2845" s="1" t="s">
        <v>13506</v>
      </c>
      <c r="B2845" s="1">
        <v>1.0E7</v>
      </c>
      <c r="C2845" s="1">
        <v>1055654.0</v>
      </c>
      <c r="F2845" s="4">
        <v>-8944346.0</v>
      </c>
      <c r="G2845" s="4">
        <f t="array" ref="G2845">IFERROR((C2845-B2845)/C2845*100, "N/A")</f>
        <v>-847.2800747</v>
      </c>
      <c r="J2845" s="1"/>
      <c r="K2845" s="1"/>
    </row>
    <row r="2846" ht="14.25" customHeight="1">
      <c r="A2846" s="1" t="s">
        <v>13511</v>
      </c>
      <c r="B2846" s="1">
        <v>1.0E7</v>
      </c>
      <c r="C2846" s="1">
        <v>2331318.0</v>
      </c>
      <c r="F2846" s="4">
        <v>-7668682.0</v>
      </c>
      <c r="G2846" s="4">
        <f t="array" ref="G2846">IFERROR((C2846-B2846)/C2846*100, "N/A")</f>
        <v>-328.9419118</v>
      </c>
      <c r="J2846" s="1"/>
      <c r="K2846" s="1"/>
    </row>
    <row r="2847" ht="14.25" customHeight="1">
      <c r="A2847" s="1" t="s">
        <v>13514</v>
      </c>
      <c r="B2847" s="1">
        <v>1.0E7</v>
      </c>
      <c r="C2847" s="1">
        <v>2185266.0</v>
      </c>
      <c r="F2847" s="4">
        <v>-7814734.0</v>
      </c>
      <c r="G2847" s="4">
        <f t="array" ref="G2847">IFERROR((C2847-B2847)/C2847*100, "N/A")</f>
        <v>-357.6101948</v>
      </c>
      <c r="J2847" s="1"/>
      <c r="K2847" s="1"/>
    </row>
    <row r="2848" ht="14.25" customHeight="1">
      <c r="A2848" s="1" t="s">
        <v>13519</v>
      </c>
      <c r="B2848" s="1">
        <v>1.0E7</v>
      </c>
      <c r="C2848" s="1">
        <v>2.6583369E7</v>
      </c>
      <c r="F2848" s="4">
        <v>1.6583369E7</v>
      </c>
      <c r="G2848" s="4">
        <f t="array" ref="G2848">IFERROR((C2848-B2848)/C2848*100, "N/A")</f>
        <v>62.38249561</v>
      </c>
      <c r="J2848" s="1"/>
      <c r="K2848" s="1"/>
    </row>
    <row r="2849" ht="14.25" customHeight="1">
      <c r="A2849" s="1" t="s">
        <v>13526</v>
      </c>
      <c r="B2849" s="1">
        <v>1.4E7</v>
      </c>
      <c r="C2849" s="1">
        <v>800000.0</v>
      </c>
      <c r="F2849" s="4">
        <v>-1.32E7</v>
      </c>
      <c r="G2849" s="4">
        <f t="array" ref="G2849">IFERROR((C2849-B2849)/C2849*100, "N/A")</f>
        <v>-1650</v>
      </c>
      <c r="J2849" s="1"/>
      <c r="K2849" s="1"/>
    </row>
    <row r="2850" ht="14.25" customHeight="1">
      <c r="A2850" s="1" t="s">
        <v>13530</v>
      </c>
      <c r="B2850" s="1">
        <v>1.0E7</v>
      </c>
      <c r="C2850" s="1">
        <v>7574066.0</v>
      </c>
      <c r="F2850" s="4">
        <v>-2425934.0</v>
      </c>
      <c r="G2850" s="4">
        <f t="array" ref="G2850">IFERROR((C2850-B2850)/C2850*100, "N/A")</f>
        <v>-32.0294806</v>
      </c>
      <c r="J2850" s="1"/>
      <c r="K2850" s="1"/>
    </row>
    <row r="2851" ht="14.25" customHeight="1">
      <c r="A2851" s="1" t="s">
        <v>13535</v>
      </c>
      <c r="B2851" s="1">
        <v>1.0E7</v>
      </c>
      <c r="C2851" s="1">
        <v>1754319.0</v>
      </c>
      <c r="F2851" s="4">
        <v>-8245681.0</v>
      </c>
      <c r="G2851" s="4">
        <f t="array" ref="G2851">IFERROR((C2851-B2851)/C2851*100, "N/A")</f>
        <v>-470.0217577</v>
      </c>
      <c r="J2851" s="1"/>
      <c r="K2851" s="1"/>
    </row>
    <row r="2852" ht="14.25" customHeight="1">
      <c r="A2852" s="1" t="s">
        <v>13540</v>
      </c>
      <c r="B2852" s="1">
        <v>8000000.0</v>
      </c>
      <c r="C2852" s="1">
        <v>1641788.0</v>
      </c>
      <c r="F2852" s="4">
        <v>-6358212.0</v>
      </c>
      <c r="G2852" s="4">
        <f t="array" ref="G2852">IFERROR((C2852-B2852)/C2852*100, "N/A")</f>
        <v>-387.2736309</v>
      </c>
      <c r="J2852" s="1"/>
      <c r="K2852" s="1"/>
    </row>
    <row r="2853" ht="14.25" customHeight="1">
      <c r="A2853" s="1" t="s">
        <v>13544</v>
      </c>
      <c r="B2853" s="1">
        <v>1.0E7</v>
      </c>
      <c r="C2853" s="1">
        <v>1631839.0</v>
      </c>
      <c r="F2853" s="4">
        <v>-8368161.0</v>
      </c>
      <c r="G2853" s="4">
        <f t="array" ref="G2853">IFERROR((C2853-B2853)/C2853*100, "N/A")</f>
        <v>-512.8055525</v>
      </c>
      <c r="J2853" s="1"/>
      <c r="K2853" s="1"/>
    </row>
    <row r="2854" ht="14.25" customHeight="1">
      <c r="A2854" s="1" t="s">
        <v>13547</v>
      </c>
      <c r="B2854" s="1">
        <v>1.0E7</v>
      </c>
      <c r="C2854" s="1">
        <v>1309849.0</v>
      </c>
      <c r="F2854" s="4">
        <v>-8690151.0</v>
      </c>
      <c r="G2854" s="4">
        <f t="array" ref="G2854">IFERROR((C2854-B2854)/C2854*100, "N/A")</f>
        <v>-663.446779</v>
      </c>
      <c r="J2854" s="1"/>
      <c r="K2854" s="1"/>
    </row>
    <row r="2855" ht="14.25" customHeight="1">
      <c r="A2855" s="1" t="s">
        <v>13550</v>
      </c>
      <c r="B2855" s="1">
        <v>1.0E7</v>
      </c>
      <c r="C2855" s="1">
        <v>1939441.0</v>
      </c>
      <c r="F2855" s="4">
        <v>-8060559.0</v>
      </c>
      <c r="G2855" s="4">
        <f t="array" ref="G2855">IFERROR((C2855-B2855)/C2855*100, "N/A")</f>
        <v>-415.6124883</v>
      </c>
      <c r="J2855" s="1"/>
      <c r="K2855" s="1"/>
    </row>
    <row r="2856" ht="14.25" customHeight="1">
      <c r="A2856" s="1" t="s">
        <v>13553</v>
      </c>
      <c r="B2856" s="1">
        <v>1.0E7</v>
      </c>
      <c r="C2856" s="1">
        <v>1276984.0</v>
      </c>
      <c r="F2856" s="4">
        <v>-8723016.0</v>
      </c>
      <c r="G2856" s="4">
        <f t="array" ref="G2856">IFERROR((C2856-B2856)/C2856*100, "N/A")</f>
        <v>-683.095168</v>
      </c>
      <c r="J2856" s="1"/>
      <c r="K2856" s="1"/>
    </row>
    <row r="2857" ht="14.25" customHeight="1">
      <c r="A2857" s="1" t="s">
        <v>13556</v>
      </c>
      <c r="B2857" s="1">
        <v>1.1E7</v>
      </c>
      <c r="C2857" s="1">
        <v>1987762.0</v>
      </c>
      <c r="F2857" s="4">
        <v>-9012238.0</v>
      </c>
      <c r="G2857" s="4">
        <f t="array" ref="G2857">IFERROR((C2857-B2857)/C2857*100, "N/A")</f>
        <v>-453.38617</v>
      </c>
      <c r="J2857" s="1"/>
      <c r="K2857" s="1"/>
    </row>
    <row r="2858" ht="14.25" customHeight="1">
      <c r="A2858" s="1" t="s">
        <v>13562</v>
      </c>
      <c r="B2858" s="1">
        <v>5000000.0</v>
      </c>
      <c r="C2858" s="1">
        <v>1474508.0</v>
      </c>
      <c r="F2858" s="4">
        <v>-3525492.0</v>
      </c>
      <c r="G2858" s="4">
        <f t="array" ref="G2858">IFERROR((C2858-B2858)/C2858*100, "N/A")</f>
        <v>-239.0961595</v>
      </c>
      <c r="J2858" s="1"/>
      <c r="K2858" s="1"/>
    </row>
    <row r="2859" ht="14.25" customHeight="1">
      <c r="A2859" s="1" t="s">
        <v>13567</v>
      </c>
      <c r="B2859" s="1">
        <v>1.0E7</v>
      </c>
      <c r="C2859" s="1">
        <v>1011054.0</v>
      </c>
      <c r="F2859" s="4">
        <v>-8988946.0</v>
      </c>
      <c r="G2859" s="4">
        <f t="array" ref="G2859">IFERROR((C2859-B2859)/C2859*100, "N/A")</f>
        <v>-889.066855</v>
      </c>
      <c r="J2859" s="1"/>
      <c r="K2859" s="1"/>
    </row>
    <row r="2860" ht="14.25" customHeight="1">
      <c r="A2860" s="1" t="s">
        <v>13571</v>
      </c>
      <c r="B2860" s="1">
        <v>1.0E7</v>
      </c>
      <c r="C2860" s="1">
        <v>900926.0</v>
      </c>
      <c r="F2860" s="4">
        <v>-9099074.0</v>
      </c>
      <c r="G2860" s="4">
        <f t="array" ref="G2860">IFERROR((C2860-B2860)/C2860*100, "N/A")</f>
        <v>-1009.969076</v>
      </c>
      <c r="J2860" s="1"/>
      <c r="K2860" s="1"/>
    </row>
    <row r="2861" ht="14.25" customHeight="1">
      <c r="A2861" s="1" t="s">
        <v>13574</v>
      </c>
      <c r="B2861" s="1">
        <v>1.0E7</v>
      </c>
      <c r="C2861" s="1">
        <v>866778.0</v>
      </c>
      <c r="F2861" s="4">
        <v>-9133222.0</v>
      </c>
      <c r="G2861" s="4">
        <f t="array" ref="G2861">IFERROR((C2861-B2861)/C2861*100, "N/A")</f>
        <v>-1053.697948</v>
      </c>
      <c r="J2861" s="1"/>
      <c r="K2861" s="1"/>
    </row>
    <row r="2862" ht="14.25" customHeight="1">
      <c r="A2862" s="1" t="s">
        <v>13579</v>
      </c>
      <c r="B2862" s="1">
        <v>1.0E7</v>
      </c>
      <c r="C2862" s="1">
        <v>598645.0</v>
      </c>
      <c r="F2862" s="4">
        <v>-9401355.0</v>
      </c>
      <c r="G2862" s="4">
        <f t="array" ref="G2862">IFERROR((C2862-B2862)/C2862*100, "N/A")</f>
        <v>-1570.439075</v>
      </c>
      <c r="J2862" s="1"/>
      <c r="K2862" s="1"/>
    </row>
    <row r="2863" ht="14.25" customHeight="1">
      <c r="A2863" s="1" t="s">
        <v>13583</v>
      </c>
      <c r="B2863" s="1">
        <v>1.0E7</v>
      </c>
      <c r="C2863" s="1">
        <v>578527.0</v>
      </c>
      <c r="F2863" s="4">
        <v>-9421473.0</v>
      </c>
      <c r="G2863" s="4">
        <f t="array" ref="G2863">IFERROR((C2863-B2863)/C2863*100, "N/A")</f>
        <v>-1628.527796</v>
      </c>
      <c r="J2863" s="1"/>
      <c r="K2863" s="1"/>
    </row>
    <row r="2864" ht="14.25" customHeight="1">
      <c r="A2864" s="1" t="s">
        <v>13587</v>
      </c>
      <c r="B2864" s="1">
        <v>1.0E7</v>
      </c>
      <c r="C2864" s="1">
        <v>488872.0</v>
      </c>
      <c r="F2864" s="4">
        <v>-9511128.0</v>
      </c>
      <c r="G2864" s="4">
        <f t="array" ref="G2864">IFERROR((C2864-B2864)/C2864*100, "N/A")</f>
        <v>-1945.525209</v>
      </c>
      <c r="J2864" s="1"/>
      <c r="K2864" s="1"/>
    </row>
    <row r="2865" ht="14.25" customHeight="1">
      <c r="A2865" s="1" t="s">
        <v>13591</v>
      </c>
      <c r="B2865" s="1">
        <v>1.0E7</v>
      </c>
      <c r="C2865" s="1">
        <v>365734.0</v>
      </c>
      <c r="F2865" s="4">
        <v>-9634266.0</v>
      </c>
      <c r="G2865" s="4">
        <f t="array" ref="G2865">IFERROR((C2865-B2865)/C2865*100, "N/A")</f>
        <v>-2634.227608</v>
      </c>
      <c r="J2865" s="1"/>
      <c r="K2865" s="1"/>
    </row>
    <row r="2866" ht="14.25" customHeight="1">
      <c r="A2866" s="1" t="s">
        <v>13596</v>
      </c>
      <c r="B2866" s="1">
        <v>5000000.0</v>
      </c>
      <c r="C2866" s="1">
        <v>3093491.0</v>
      </c>
      <c r="F2866" s="4">
        <v>-1906509.0</v>
      </c>
      <c r="G2866" s="4">
        <f t="array" ref="G2866">IFERROR((C2866-B2866)/C2866*100, "N/A")</f>
        <v>-61.6296928</v>
      </c>
      <c r="J2866" s="1"/>
      <c r="K2866" s="1"/>
    </row>
    <row r="2867" ht="14.25" customHeight="1">
      <c r="A2867" s="1" t="s">
        <v>13603</v>
      </c>
      <c r="B2867" s="1">
        <v>4000000.0</v>
      </c>
      <c r="C2867" s="1">
        <v>228524.0</v>
      </c>
      <c r="F2867" s="4">
        <v>-3771476.0</v>
      </c>
      <c r="G2867" s="4">
        <f t="array" ref="G2867">IFERROR((C2867-B2867)/C2867*100, "N/A")</f>
        <v>-1650.3632</v>
      </c>
      <c r="J2867" s="1"/>
      <c r="K2867" s="1"/>
    </row>
    <row r="2868" ht="14.25" customHeight="1">
      <c r="A2868" s="1" t="s">
        <v>13609</v>
      </c>
      <c r="B2868" s="1">
        <v>1.0E7</v>
      </c>
      <c r="C2868" s="1">
        <v>226792.0</v>
      </c>
      <c r="F2868" s="4">
        <v>-9773208.0</v>
      </c>
      <c r="G2868" s="4">
        <f t="array" ref="G2868">IFERROR((C2868-B2868)/C2868*100, "N/A")</f>
        <v>-4309.326608</v>
      </c>
      <c r="J2868" s="1"/>
      <c r="K2868" s="1"/>
    </row>
    <row r="2869" ht="14.25" customHeight="1">
      <c r="A2869" s="1" t="s">
        <v>13615</v>
      </c>
      <c r="B2869" s="1">
        <v>5000000.0</v>
      </c>
      <c r="C2869" s="1">
        <v>136432.0</v>
      </c>
      <c r="F2869" s="4">
        <v>-4863568.0</v>
      </c>
      <c r="G2869" s="4">
        <f t="array" ref="G2869">IFERROR((C2869-B2869)/C2869*100, "N/A")</f>
        <v>-3564.829366</v>
      </c>
      <c r="J2869" s="1"/>
      <c r="K2869" s="1"/>
    </row>
    <row r="2870" ht="14.25" customHeight="1">
      <c r="A2870" s="1" t="s">
        <v>13619</v>
      </c>
      <c r="B2870" s="1">
        <v>1.0E7</v>
      </c>
      <c r="C2870" s="1">
        <v>131617.0</v>
      </c>
      <c r="F2870" s="4">
        <v>-9868383.0</v>
      </c>
      <c r="G2870" s="4">
        <f t="array" ref="G2870">IFERROR((C2870-B2870)/C2870*100, "N/A")</f>
        <v>-7497.802715</v>
      </c>
      <c r="J2870" s="1"/>
      <c r="K2870" s="1"/>
    </row>
    <row r="2871" ht="14.25" customHeight="1">
      <c r="A2871" s="1" t="s">
        <v>13624</v>
      </c>
      <c r="B2871" s="1">
        <v>6200000.0</v>
      </c>
      <c r="C2871" s="1">
        <v>126247.0</v>
      </c>
      <c r="F2871" s="4">
        <v>-6073753.0</v>
      </c>
      <c r="G2871" s="4">
        <f t="array" ref="G2871">IFERROR((C2871-B2871)/C2871*100, "N/A")</f>
        <v>-4811.007786</v>
      </c>
      <c r="J2871" s="1"/>
      <c r="K2871" s="1"/>
    </row>
    <row r="2872" ht="14.25" customHeight="1">
      <c r="A2872" s="1" t="s">
        <v>13628</v>
      </c>
      <c r="B2872" s="1">
        <v>1.0E7</v>
      </c>
      <c r="C2872" s="1">
        <v>15447.0</v>
      </c>
      <c r="F2872" s="4">
        <v>-9984553.0</v>
      </c>
      <c r="G2872" s="4">
        <f t="array" ref="G2872">IFERROR((C2872-B2872)/C2872*100, "N/A")</f>
        <v>-64637.48948</v>
      </c>
      <c r="J2872" s="1"/>
      <c r="K2872" s="1"/>
    </row>
    <row r="2873" ht="14.25" customHeight="1">
      <c r="A2873" s="1" t="s">
        <v>13633</v>
      </c>
      <c r="B2873" s="1">
        <v>1.0E7</v>
      </c>
      <c r="C2873" s="1">
        <v>19348.0</v>
      </c>
      <c r="F2873" s="4">
        <v>-9980652.0</v>
      </c>
      <c r="G2873" s="4">
        <f t="array" ref="G2873">IFERROR((C2873-B2873)/C2873*100, "N/A")</f>
        <v>-51584.92867</v>
      </c>
      <c r="J2873" s="1"/>
      <c r="K2873" s="1"/>
    </row>
    <row r="2874" ht="14.25" customHeight="1">
      <c r="A2874" s="1" t="s">
        <v>13637</v>
      </c>
      <c r="B2874" s="1">
        <v>8000000.0</v>
      </c>
      <c r="C2874" s="1">
        <v>100503.0</v>
      </c>
      <c r="F2874" s="4">
        <v>-7899497.0</v>
      </c>
      <c r="G2874" s="4">
        <f t="array" ref="G2874">IFERROR((C2874-B2874)/C2874*100, "N/A")</f>
        <v>-7859.961394</v>
      </c>
      <c r="J2874" s="1"/>
      <c r="K2874" s="1"/>
    </row>
    <row r="2875" ht="14.25" customHeight="1">
      <c r="A2875" s="1" t="s">
        <v>13641</v>
      </c>
      <c r="B2875" s="1">
        <v>5000000.0</v>
      </c>
      <c r="C2875" s="1">
        <v>92900.0</v>
      </c>
      <c r="F2875" s="4">
        <v>-4907100.0</v>
      </c>
      <c r="G2875" s="4">
        <f t="array" ref="G2875">IFERROR((C2875-B2875)/C2875*100, "N/A")</f>
        <v>-5282.131324</v>
      </c>
      <c r="J2875" s="1"/>
      <c r="K2875" s="1"/>
    </row>
    <row r="2876" ht="14.25" customHeight="1">
      <c r="A2876" s="1" t="s">
        <v>13645</v>
      </c>
      <c r="B2876" s="1">
        <v>1.0E7</v>
      </c>
      <c r="C2876" s="1">
        <v>5561.0</v>
      </c>
      <c r="F2876" s="4">
        <v>-9994439.0</v>
      </c>
      <c r="G2876" s="4">
        <f t="array" ref="G2876">IFERROR((C2876-B2876)/C2876*100, "N/A")</f>
        <v>-179723.7727</v>
      </c>
      <c r="J2876" s="1"/>
      <c r="K2876" s="1"/>
    </row>
    <row r="2877" ht="14.25" customHeight="1">
      <c r="A2877" s="1" t="s">
        <v>13651</v>
      </c>
      <c r="B2877" s="1">
        <v>1.0E7</v>
      </c>
      <c r="C2877" s="1">
        <v>3607.0</v>
      </c>
      <c r="F2877" s="4">
        <v>-9996393.0</v>
      </c>
      <c r="G2877" s="4">
        <f t="array" ref="G2877">IFERROR((C2877-B2877)/C2877*100, "N/A")</f>
        <v>-277138.7025</v>
      </c>
      <c r="J2877" s="1"/>
      <c r="K2877" s="1"/>
    </row>
    <row r="2878" ht="14.25" customHeight="1">
      <c r="A2878" s="1" t="s">
        <v>13657</v>
      </c>
      <c r="B2878" s="1">
        <v>6500000.0</v>
      </c>
      <c r="C2878" s="1">
        <v>70527.0</v>
      </c>
      <c r="F2878" s="4">
        <v>-6429473.0</v>
      </c>
      <c r="G2878" s="4">
        <f t="array" ref="G2878">IFERROR((C2878-B2878)/C2878*100, "N/A")</f>
        <v>-9116.328498</v>
      </c>
      <c r="J2878" s="1"/>
      <c r="K2878" s="1"/>
    </row>
    <row r="2879" ht="14.25" customHeight="1">
      <c r="A2879" s="1" t="s">
        <v>13660</v>
      </c>
      <c r="B2879" s="1">
        <v>1.0E7</v>
      </c>
      <c r="C2879" s="1">
        <v>128486.0</v>
      </c>
      <c r="F2879" s="4">
        <v>-9871514.0</v>
      </c>
      <c r="G2879" s="4">
        <f t="array" ref="G2879">IFERROR((C2879-B2879)/C2879*100, "N/A")</f>
        <v>-7682.949115</v>
      </c>
      <c r="J2879" s="1"/>
      <c r="K2879" s="1"/>
    </row>
    <row r="2880" ht="14.25" customHeight="1">
      <c r="A2880" s="1" t="s">
        <v>13666</v>
      </c>
      <c r="B2880" s="1">
        <v>9600000.0</v>
      </c>
      <c r="C2880" s="1">
        <v>2483955.0</v>
      </c>
      <c r="F2880" s="4">
        <v>-7116045.0</v>
      </c>
      <c r="G2880" s="4">
        <f t="array" ref="G2880">IFERROR((C2880-B2880)/C2880*100, "N/A")</f>
        <v>-286.4804314</v>
      </c>
      <c r="J2880" s="1"/>
      <c r="K2880" s="1"/>
    </row>
    <row r="2881" ht="14.25" customHeight="1">
      <c r="A2881" s="1" t="s">
        <v>13671</v>
      </c>
      <c r="B2881" s="1">
        <v>9500000.0</v>
      </c>
      <c r="C2881" s="1">
        <v>5.7176582E7</v>
      </c>
      <c r="F2881" s="4">
        <v>4.7676582E7</v>
      </c>
      <c r="G2881" s="4">
        <f t="array" ref="G2881">IFERROR((C2881-B2881)/C2881*100, "N/A")</f>
        <v>83.38480604</v>
      </c>
      <c r="J2881" s="1"/>
      <c r="K2881" s="1"/>
    </row>
    <row r="2882" ht="14.25" customHeight="1">
      <c r="A2882" s="1" t="s">
        <v>13674</v>
      </c>
      <c r="B2882" s="1">
        <v>9500000.0</v>
      </c>
      <c r="C2882" s="1">
        <v>4.31E7</v>
      </c>
      <c r="F2882" s="4">
        <v>3.36E7</v>
      </c>
      <c r="G2882" s="4">
        <f t="array" ref="G2882">IFERROR((C2882-B2882)/C2882*100, "N/A")</f>
        <v>77.95823666</v>
      </c>
      <c r="J2882" s="1"/>
      <c r="K2882" s="1"/>
    </row>
    <row r="2883" ht="14.25" customHeight="1">
      <c r="A2883" s="1" t="s">
        <v>13678</v>
      </c>
      <c r="B2883" s="1">
        <v>8900000.0</v>
      </c>
      <c r="C2883" s="1">
        <v>225377.0</v>
      </c>
      <c r="F2883" s="4">
        <v>-8674623.0</v>
      </c>
      <c r="G2883" s="4">
        <f t="array" ref="G2883">IFERROR((C2883-B2883)/C2883*100, "N/A")</f>
        <v>-3848.938889</v>
      </c>
      <c r="J2883" s="1"/>
      <c r="K2883" s="1"/>
    </row>
    <row r="2884" ht="14.25" customHeight="1">
      <c r="A2884" s="1" t="s">
        <v>13684</v>
      </c>
      <c r="B2884" s="1">
        <v>1.05E7</v>
      </c>
      <c r="C2884" s="1">
        <v>1.4114488E7</v>
      </c>
      <c r="F2884" s="4">
        <v>3614488.0</v>
      </c>
      <c r="G2884" s="4">
        <f t="array" ref="G2884">IFERROR((C2884-B2884)/C2884*100, "N/A")</f>
        <v>25.60835363</v>
      </c>
      <c r="J2884" s="1"/>
      <c r="K2884" s="1"/>
    </row>
    <row r="2885" ht="14.25" customHeight="1">
      <c r="A2885" s="1" t="s">
        <v>13688</v>
      </c>
      <c r="B2885" s="1">
        <v>9400000.0</v>
      </c>
      <c r="C2885" s="1">
        <v>4.63E7</v>
      </c>
      <c r="F2885" s="4">
        <v>3.69E7</v>
      </c>
      <c r="G2885" s="4">
        <f t="array" ref="G2885">IFERROR((C2885-B2885)/C2885*100, "N/A")</f>
        <v>79.69762419</v>
      </c>
      <c r="J2885" s="1"/>
      <c r="K2885" s="1"/>
    </row>
    <row r="2886" ht="14.25" customHeight="1">
      <c r="A2886" s="1" t="s">
        <v>13693</v>
      </c>
      <c r="B2886" s="1">
        <v>6000000.0</v>
      </c>
      <c r="C2886" s="1">
        <v>2600000.0</v>
      </c>
      <c r="F2886" s="4">
        <v>-3400000.0</v>
      </c>
      <c r="G2886" s="4">
        <f t="array" ref="G2886">IFERROR((C2886-B2886)/C2886*100, "N/A")</f>
        <v>-130.7692308</v>
      </c>
      <c r="J2886" s="1"/>
      <c r="K2886" s="1"/>
    </row>
    <row r="2887" ht="14.25" customHeight="1">
      <c r="A2887" s="1" t="s">
        <v>13696</v>
      </c>
      <c r="B2887" s="1">
        <v>7400000.0</v>
      </c>
      <c r="C2887" s="1">
        <v>3029870.0</v>
      </c>
      <c r="F2887" s="4">
        <v>-4370130.0</v>
      </c>
      <c r="G2887" s="4">
        <f t="array" ref="G2887">IFERROR((C2887-B2887)/C2887*100, "N/A")</f>
        <v>-144.2349012</v>
      </c>
      <c r="J2887" s="1"/>
      <c r="K2887" s="1"/>
    </row>
    <row r="2888" ht="14.25" customHeight="1">
      <c r="A2888" s="1" t="s">
        <v>13700</v>
      </c>
      <c r="B2888" s="1">
        <v>7217600.0</v>
      </c>
      <c r="C2888" s="1">
        <v>3047539.0</v>
      </c>
      <c r="F2888" s="4">
        <v>-4170061.0</v>
      </c>
      <c r="G2888" s="4">
        <f t="array" ref="G2888">IFERROR((C2888-B2888)/C2888*100, "N/A")</f>
        <v>-136.8337206</v>
      </c>
      <c r="J2888" s="1"/>
      <c r="K2888" s="1"/>
    </row>
    <row r="2889" ht="14.25" customHeight="1">
      <c r="A2889" s="1" t="s">
        <v>13705</v>
      </c>
      <c r="B2889" s="1">
        <v>1.1E7</v>
      </c>
      <c r="C2889" s="1">
        <v>7.89E7</v>
      </c>
      <c r="F2889" s="4">
        <v>6.79E7</v>
      </c>
      <c r="G2889" s="4">
        <f t="array" ref="G2889">IFERROR((C2889-B2889)/C2889*100, "N/A")</f>
        <v>86.05830165</v>
      </c>
      <c r="J2889" s="1"/>
      <c r="K2889" s="1"/>
    </row>
    <row r="2890" ht="14.25" customHeight="1">
      <c r="A2890" s="1" t="s">
        <v>13709</v>
      </c>
      <c r="B2890" s="1">
        <v>83532.0</v>
      </c>
      <c r="C2890" s="1">
        <v>3.0859E7</v>
      </c>
      <c r="F2890" s="4">
        <v>3.0775468E7</v>
      </c>
      <c r="G2890" s="4">
        <f t="array" ref="G2890">IFERROR((C2890-B2890)/C2890*100, "N/A")</f>
        <v>99.72931074</v>
      </c>
      <c r="J2890" s="1"/>
      <c r="K2890" s="1"/>
    </row>
    <row r="2891" ht="14.25" customHeight="1">
      <c r="A2891" s="1" t="s">
        <v>13715</v>
      </c>
      <c r="B2891" s="1">
        <v>1.0E7</v>
      </c>
      <c r="C2891" s="1">
        <v>3571735.0</v>
      </c>
      <c r="F2891" s="4">
        <v>-6428265.0</v>
      </c>
      <c r="G2891" s="4">
        <f t="array" ref="G2891">IFERROR((C2891-B2891)/C2891*100, "N/A")</f>
        <v>-179.9759781</v>
      </c>
      <c r="J2891" s="1"/>
      <c r="K2891" s="1"/>
    </row>
    <row r="2892" ht="14.25" customHeight="1">
      <c r="A2892" s="1" t="s">
        <v>13718</v>
      </c>
      <c r="B2892" s="1">
        <v>9000000.0</v>
      </c>
      <c r="C2892" s="1">
        <v>5.0E7</v>
      </c>
      <c r="F2892" s="4">
        <v>4.1E7</v>
      </c>
      <c r="G2892" s="4">
        <f t="array" ref="G2892">IFERROR((C2892-B2892)/C2892*100, "N/A")</f>
        <v>82</v>
      </c>
      <c r="J2892" s="1"/>
      <c r="K2892" s="1"/>
    </row>
    <row r="2893" ht="14.25" customHeight="1">
      <c r="A2893" s="1" t="s">
        <v>13723</v>
      </c>
      <c r="B2893" s="1">
        <v>9000000.0</v>
      </c>
      <c r="C2893" s="1">
        <v>6.36E7</v>
      </c>
      <c r="F2893" s="4">
        <v>5.46E7</v>
      </c>
      <c r="G2893" s="4">
        <f t="array" ref="G2893">IFERROR((C2893-B2893)/C2893*100, "N/A")</f>
        <v>85.8490566</v>
      </c>
      <c r="J2893" s="1"/>
      <c r="K2893" s="1"/>
    </row>
    <row r="2894" ht="14.25" customHeight="1">
      <c r="A2894" s="1" t="s">
        <v>13727</v>
      </c>
      <c r="B2894" s="1">
        <v>9000000.0</v>
      </c>
      <c r="C2894" s="1">
        <v>3.6049108E7</v>
      </c>
      <c r="F2894" s="4">
        <v>2.7049108E7</v>
      </c>
      <c r="G2894" s="4">
        <f t="array" ref="G2894">IFERROR((C2894-B2894)/C2894*100, "N/A")</f>
        <v>75.03405632</v>
      </c>
      <c r="J2894" s="1"/>
      <c r="K2894" s="1"/>
    </row>
    <row r="2895" ht="14.25" customHeight="1">
      <c r="A2895" s="1" t="s">
        <v>13730</v>
      </c>
      <c r="B2895" s="1">
        <v>9000000.0</v>
      </c>
      <c r="C2895" s="1">
        <v>3.4074895E7</v>
      </c>
      <c r="F2895" s="4">
        <v>2.5074895E7</v>
      </c>
      <c r="G2895" s="4">
        <f t="array" ref="G2895">IFERROR((C2895-B2895)/C2895*100, "N/A")</f>
        <v>73.58759286</v>
      </c>
      <c r="J2895" s="1"/>
      <c r="K2895" s="1"/>
    </row>
    <row r="2896" ht="14.25" customHeight="1">
      <c r="A2896" s="1" t="s">
        <v>13734</v>
      </c>
      <c r="B2896" s="1">
        <v>9000000.0</v>
      </c>
      <c r="C2896" s="1">
        <v>3.3244684E7</v>
      </c>
      <c r="F2896" s="4">
        <v>2.4244684E7</v>
      </c>
      <c r="G2896" s="4">
        <f t="array" ref="G2896">IFERROR((C2896-B2896)/C2896*100, "N/A")</f>
        <v>72.92800256</v>
      </c>
      <c r="J2896" s="1"/>
      <c r="K2896" s="1"/>
    </row>
    <row r="2897" ht="14.25" customHeight="1">
      <c r="A2897" s="1" t="s">
        <v>13740</v>
      </c>
      <c r="B2897" s="1">
        <v>9000000.0</v>
      </c>
      <c r="C2897" s="1">
        <v>2.4530513E7</v>
      </c>
      <c r="F2897" s="4">
        <v>1.5530513E7</v>
      </c>
      <c r="G2897" s="4">
        <f t="array" ref="G2897">IFERROR((C2897-B2897)/C2897*100, "N/A")</f>
        <v>63.31099965</v>
      </c>
      <c r="J2897" s="1"/>
      <c r="K2897" s="1"/>
    </row>
    <row r="2898" ht="14.25" customHeight="1">
      <c r="A2898" s="1" t="s">
        <v>13745</v>
      </c>
      <c r="B2898" s="1">
        <v>9000000.0</v>
      </c>
      <c r="C2898" s="1">
        <v>7.151923E7</v>
      </c>
      <c r="F2898" s="4">
        <v>6.251923E7</v>
      </c>
      <c r="G2898" s="4">
        <f t="array" ref="G2898">IFERROR((C2898-B2898)/C2898*100, "N/A")</f>
        <v>87.4159719</v>
      </c>
      <c r="J2898" s="1"/>
      <c r="K2898" s="1"/>
    </row>
    <row r="2899" ht="14.25" customHeight="1">
      <c r="A2899" s="1" t="s">
        <v>13750</v>
      </c>
      <c r="B2899" s="1">
        <v>9000000.0</v>
      </c>
      <c r="C2899" s="1">
        <v>2.003531E7</v>
      </c>
      <c r="F2899" s="4">
        <v>1.103531E7</v>
      </c>
      <c r="G2899" s="4">
        <f t="array" ref="G2899">IFERROR((C2899-B2899)/C2899*100, "N/A")</f>
        <v>55.07930748</v>
      </c>
      <c r="J2899" s="1"/>
      <c r="K2899" s="1"/>
    </row>
    <row r="2900" ht="14.25" customHeight="1">
      <c r="A2900" s="1" t="s">
        <v>13753</v>
      </c>
      <c r="B2900" s="1">
        <v>9000000.0</v>
      </c>
      <c r="C2900" s="1">
        <v>1.8225165E7</v>
      </c>
      <c r="F2900" s="4">
        <v>9225165.0</v>
      </c>
      <c r="G2900" s="4">
        <f t="array" ref="G2900">IFERROR((C2900-B2900)/C2900*100, "N/A")</f>
        <v>50.61773103</v>
      </c>
      <c r="J2900" s="1"/>
      <c r="K2900" s="1"/>
    </row>
    <row r="2901" ht="14.25" customHeight="1">
      <c r="A2901" s="1" t="s">
        <v>13756</v>
      </c>
      <c r="B2901" s="1">
        <v>2.0E7</v>
      </c>
      <c r="C2901" s="1">
        <v>1.7804273E7</v>
      </c>
      <c r="F2901" s="4">
        <v>-2195727.0</v>
      </c>
      <c r="G2901" s="4">
        <f t="array" ref="G2901">IFERROR((C2901-B2901)/C2901*100, "N/A")</f>
        <v>-12.33258443</v>
      </c>
      <c r="J2901" s="1"/>
      <c r="K2901" s="1"/>
    </row>
    <row r="2902" ht="14.25" customHeight="1">
      <c r="A2902" s="1" t="s">
        <v>13760</v>
      </c>
      <c r="B2902" s="1">
        <v>8000000.0</v>
      </c>
      <c r="C2902" s="1">
        <v>1.6938179E7</v>
      </c>
      <c r="F2902" s="4">
        <v>8938179.0</v>
      </c>
      <c r="G2902" s="4">
        <f t="array" ref="G2902">IFERROR((C2902-B2902)/C2902*100, "N/A")</f>
        <v>52.76942108</v>
      </c>
      <c r="J2902" s="1"/>
      <c r="K2902" s="1"/>
    </row>
    <row r="2903" ht="14.25" customHeight="1">
      <c r="A2903" s="1" t="s">
        <v>13763</v>
      </c>
      <c r="B2903" s="1">
        <v>9000000.0</v>
      </c>
      <c r="C2903" s="1">
        <v>1.6235293E7</v>
      </c>
      <c r="F2903" s="4">
        <v>7235293.0</v>
      </c>
      <c r="G2903" s="4">
        <f t="array" ref="G2903">IFERROR((C2903-B2903)/C2903*100, "N/A")</f>
        <v>44.56521358</v>
      </c>
      <c r="J2903" s="1"/>
      <c r="K2903" s="1"/>
    </row>
    <row r="2904" ht="14.25" customHeight="1">
      <c r="A2904" s="1" t="s">
        <v>13766</v>
      </c>
      <c r="B2904" s="1">
        <v>9000000.0</v>
      </c>
      <c r="C2904" s="1">
        <v>1.0161099E7</v>
      </c>
      <c r="F2904" s="4">
        <v>1161099.0</v>
      </c>
      <c r="G2904" s="4">
        <f t="array" ref="G2904">IFERROR((C2904-B2904)/C2904*100, "N/A")</f>
        <v>11.42690372</v>
      </c>
      <c r="J2904" s="1"/>
      <c r="K2904" s="1"/>
    </row>
    <row r="2905" ht="14.25" customHeight="1">
      <c r="A2905" s="1" t="s">
        <v>13771</v>
      </c>
      <c r="B2905" s="1">
        <v>8500000.0</v>
      </c>
      <c r="C2905" s="1">
        <v>6047856.0</v>
      </c>
      <c r="F2905" s="4">
        <v>-2452144.0</v>
      </c>
      <c r="G2905" s="4">
        <f t="array" ref="G2905">IFERROR((C2905-B2905)/C2905*100, "N/A")</f>
        <v>-40.54567437</v>
      </c>
      <c r="J2905" s="1"/>
      <c r="K2905" s="1"/>
    </row>
    <row r="2906" ht="14.25" customHeight="1">
      <c r="A2906" s="1" t="s">
        <v>13777</v>
      </c>
      <c r="B2906" s="1">
        <v>9000000.0</v>
      </c>
      <c r="C2906" s="1">
        <v>4681503.0</v>
      </c>
      <c r="F2906" s="4">
        <v>-4318497.0</v>
      </c>
      <c r="G2906" s="4">
        <f t="array" ref="G2906">IFERROR((C2906-B2906)/C2906*100, "N/A")</f>
        <v>-92.24595178</v>
      </c>
      <c r="J2906" s="1"/>
      <c r="K2906" s="1"/>
    </row>
    <row r="2907" ht="14.25" customHeight="1">
      <c r="A2907" s="1" t="s">
        <v>13782</v>
      </c>
      <c r="B2907" s="1">
        <v>8000000.0</v>
      </c>
      <c r="C2907" s="1">
        <v>4350774.0</v>
      </c>
      <c r="F2907" s="4">
        <v>-3649226.0</v>
      </c>
      <c r="G2907" s="4">
        <f t="array" ref="G2907">IFERROR((C2907-B2907)/C2907*100, "N/A")</f>
        <v>-83.87532885</v>
      </c>
      <c r="J2907" s="1"/>
      <c r="K2907" s="1"/>
    </row>
    <row r="2908" ht="14.25" customHeight="1">
      <c r="A2908" s="1" t="s">
        <v>13786</v>
      </c>
      <c r="B2908" s="1">
        <v>9000000.0</v>
      </c>
      <c r="C2908" s="1">
        <v>2955039.0</v>
      </c>
      <c r="F2908" s="4">
        <v>-6044961.0</v>
      </c>
      <c r="G2908" s="4">
        <f t="array" ref="G2908">IFERROR((C2908-B2908)/C2908*100, "N/A")</f>
        <v>-204.5645083</v>
      </c>
      <c r="J2908" s="1"/>
      <c r="K2908" s="1"/>
    </row>
    <row r="2909" ht="14.25" customHeight="1">
      <c r="A2909" s="1" t="s">
        <v>13790</v>
      </c>
      <c r="B2909" s="1">
        <v>9000000.0</v>
      </c>
      <c r="C2909" s="1">
        <v>1530535.0</v>
      </c>
      <c r="F2909" s="4">
        <v>-7469465.0</v>
      </c>
      <c r="G2909" s="4">
        <f t="array" ref="G2909">IFERROR((C2909-B2909)/C2909*100, "N/A")</f>
        <v>-488.0296759</v>
      </c>
      <c r="J2909" s="1"/>
      <c r="K2909" s="1"/>
    </row>
    <row r="2910" ht="14.25" customHeight="1">
      <c r="A2910" s="1" t="s">
        <v>13793</v>
      </c>
      <c r="B2910" s="1">
        <v>9000000.0</v>
      </c>
      <c r="C2910" s="1">
        <v>4881867.0</v>
      </c>
      <c r="F2910" s="4">
        <v>-4118133.0</v>
      </c>
      <c r="G2910" s="4">
        <f t="array" ref="G2910">IFERROR((C2910-B2910)/C2910*100, "N/A")</f>
        <v>-84.35569834</v>
      </c>
      <c r="J2910" s="1"/>
      <c r="K2910" s="1"/>
    </row>
    <row r="2911" ht="14.25" customHeight="1">
      <c r="A2911" s="1" t="s">
        <v>13796</v>
      </c>
      <c r="B2911" s="1">
        <v>9000000.0</v>
      </c>
      <c r="C2911" s="1">
        <v>1.1860839E7</v>
      </c>
      <c r="F2911" s="4">
        <v>2860839.0</v>
      </c>
      <c r="G2911" s="4">
        <f t="array" ref="G2911">IFERROR((C2911-B2911)/C2911*100, "N/A")</f>
        <v>24.12003906</v>
      </c>
      <c r="J2911" s="1"/>
      <c r="K2911" s="1"/>
    </row>
    <row r="2912" ht="14.25" customHeight="1">
      <c r="A2912" s="1" t="s">
        <v>13803</v>
      </c>
      <c r="B2912" s="1">
        <v>4.0E8</v>
      </c>
      <c r="C2912" s="1">
        <v>454255.0</v>
      </c>
      <c r="F2912" s="4">
        <v>-3.99545745E8</v>
      </c>
      <c r="G2912" s="4">
        <f t="array" ref="G2912">IFERROR((C2912-B2912)/C2912*100, "N/A")</f>
        <v>-87956.26796</v>
      </c>
      <c r="J2912" s="1"/>
      <c r="K2912" s="1"/>
    </row>
    <row r="2913" ht="14.25" customHeight="1">
      <c r="A2913" s="1" t="s">
        <v>13809</v>
      </c>
      <c r="B2913" s="1">
        <v>9000000.0</v>
      </c>
      <c r="C2913" s="1">
        <v>349618.0</v>
      </c>
      <c r="F2913" s="4">
        <v>-8650382.0</v>
      </c>
      <c r="G2913" s="4">
        <f t="array" ref="G2913">IFERROR((C2913-B2913)/C2913*100, "N/A")</f>
        <v>-2474.238169</v>
      </c>
      <c r="J2913" s="1"/>
      <c r="K2913" s="1"/>
    </row>
    <row r="2914" ht="14.25" customHeight="1">
      <c r="A2914" s="1" t="s">
        <v>13813</v>
      </c>
      <c r="B2914" s="1">
        <v>9000000.0</v>
      </c>
      <c r="C2914" s="1">
        <v>112935.0</v>
      </c>
      <c r="F2914" s="4">
        <v>-8887065.0</v>
      </c>
      <c r="G2914" s="4">
        <f t="array" ref="G2914">IFERROR((C2914-B2914)/C2914*100, "N/A")</f>
        <v>-7869.185815</v>
      </c>
      <c r="J2914" s="1"/>
      <c r="K2914" s="1"/>
    </row>
    <row r="2915" ht="14.25" customHeight="1">
      <c r="A2915" s="1" t="s">
        <v>13818</v>
      </c>
      <c r="B2915" s="1">
        <v>9000000.0</v>
      </c>
      <c r="C2915" s="1">
        <v>883887.0</v>
      </c>
      <c r="F2915" s="4">
        <v>-8116113.0</v>
      </c>
      <c r="G2915" s="4">
        <f t="array" ref="G2915">IFERROR((C2915-B2915)/C2915*100, "N/A")</f>
        <v>-918.2297058</v>
      </c>
      <c r="J2915" s="1"/>
      <c r="K2915" s="1"/>
    </row>
    <row r="2916" ht="14.25" customHeight="1">
      <c r="A2916" s="1" t="s">
        <v>13822</v>
      </c>
      <c r="B2916" s="1">
        <v>1.14E7</v>
      </c>
      <c r="C2916" s="1">
        <v>13751.0</v>
      </c>
      <c r="F2916" s="4">
        <v>-1.1386249E7</v>
      </c>
      <c r="G2916" s="4">
        <f t="array" ref="G2916">IFERROR((C2916-B2916)/C2916*100, "N/A")</f>
        <v>-82803.0616</v>
      </c>
      <c r="J2916" s="1"/>
      <c r="K2916" s="1"/>
    </row>
    <row r="2917" ht="14.25" customHeight="1">
      <c r="A2917" s="1" t="s">
        <v>13829</v>
      </c>
      <c r="B2917" s="1">
        <v>4.5E7</v>
      </c>
      <c r="C2917" s="1">
        <v>145109.0</v>
      </c>
      <c r="F2917" s="4">
        <v>-4.4854891E7</v>
      </c>
      <c r="G2917" s="4">
        <f t="array" ref="G2917">IFERROR((C2917-B2917)/C2917*100, "N/A")</f>
        <v>-30911.17091</v>
      </c>
      <c r="J2917" s="1"/>
      <c r="K2917" s="1"/>
    </row>
    <row r="2918" ht="14.25" customHeight="1">
      <c r="A2918" s="1" t="s">
        <v>13836</v>
      </c>
      <c r="B2918" s="1">
        <v>9000000.0</v>
      </c>
      <c r="C2918" s="1">
        <v>1046166.0</v>
      </c>
      <c r="F2918" s="4">
        <v>-7953834.0</v>
      </c>
      <c r="G2918" s="4">
        <f t="array" ref="G2918">IFERROR((C2918-B2918)/C2918*100, "N/A")</f>
        <v>-760.2841232</v>
      </c>
      <c r="J2918" s="1"/>
      <c r="K2918" s="1"/>
    </row>
    <row r="2919" ht="14.25" customHeight="1">
      <c r="A2919" s="1" t="s">
        <v>13841</v>
      </c>
      <c r="B2919" s="1">
        <v>8800000.0</v>
      </c>
      <c r="C2919" s="1">
        <v>1.74635E8</v>
      </c>
      <c r="F2919" s="4">
        <v>1.65835E8</v>
      </c>
      <c r="G2919" s="4">
        <f t="array" ref="G2919">IFERROR((C2919-B2919)/C2919*100, "N/A")</f>
        <v>94.96091849</v>
      </c>
      <c r="J2919" s="1"/>
      <c r="K2919" s="1"/>
    </row>
    <row r="2920" ht="14.25" customHeight="1">
      <c r="A2920" s="1" t="s">
        <v>13846</v>
      </c>
      <c r="B2920" s="1">
        <v>8600000.0</v>
      </c>
      <c r="C2920" s="1">
        <v>1.4373825E7</v>
      </c>
      <c r="F2920" s="4">
        <v>5773825.0</v>
      </c>
      <c r="G2920" s="4">
        <f t="array" ref="G2920">IFERROR((C2920-B2920)/C2920*100, "N/A")</f>
        <v>40.16902251</v>
      </c>
      <c r="J2920" s="1"/>
      <c r="K2920" s="1"/>
    </row>
    <row r="2921" ht="14.25" customHeight="1">
      <c r="A2921" s="1" t="s">
        <v>13850</v>
      </c>
      <c r="B2921" s="1">
        <v>9000000.0</v>
      </c>
      <c r="C2921" s="1">
        <v>162.0</v>
      </c>
      <c r="F2921" s="4">
        <v>-8999838.0</v>
      </c>
      <c r="G2921" s="4">
        <f t="array" ref="G2921">IFERROR((C2921-B2921)/C2921*100, "N/A")</f>
        <v>-5555455.556</v>
      </c>
      <c r="J2921" s="1"/>
      <c r="K2921" s="1"/>
    </row>
    <row r="2922" ht="14.25" customHeight="1">
      <c r="A2922" s="1" t="s">
        <v>13854</v>
      </c>
      <c r="B2922" s="1">
        <v>7000000.0</v>
      </c>
      <c r="C2922" s="1">
        <v>3.9462438E7</v>
      </c>
      <c r="F2922" s="4">
        <v>3.2462438E7</v>
      </c>
      <c r="G2922" s="4">
        <f t="array" ref="G2922">IFERROR((C2922-B2922)/C2922*100, "N/A")</f>
        <v>82.26161293</v>
      </c>
      <c r="J2922" s="1"/>
      <c r="K2922" s="1"/>
    </row>
    <row r="2923" ht="14.25" customHeight="1">
      <c r="A2923" s="1" t="s">
        <v>13859</v>
      </c>
      <c r="B2923" s="1">
        <v>8500000.0</v>
      </c>
      <c r="C2923" s="1">
        <v>2.92E7</v>
      </c>
      <c r="F2923" s="4">
        <v>2.07E7</v>
      </c>
      <c r="G2923" s="4">
        <f t="array" ref="G2923">IFERROR((C2923-B2923)/C2923*100, "N/A")</f>
        <v>70.89041096</v>
      </c>
      <c r="J2923" s="1"/>
      <c r="K2923" s="1"/>
    </row>
    <row r="2924" ht="14.25" customHeight="1">
      <c r="A2924" s="1" t="s">
        <v>13865</v>
      </c>
      <c r="B2924" s="1">
        <v>8500000.0</v>
      </c>
      <c r="C2924" s="1">
        <v>2.1564616E7</v>
      </c>
      <c r="F2924" s="4">
        <v>1.3064616E7</v>
      </c>
      <c r="G2924" s="4">
        <f t="array" ref="G2924">IFERROR((C2924-B2924)/C2924*100, "N/A")</f>
        <v>60.58357821</v>
      </c>
      <c r="J2924" s="1"/>
      <c r="K2924" s="1"/>
    </row>
    <row r="2925" ht="14.25" customHeight="1">
      <c r="A2925" s="1" t="s">
        <v>13868</v>
      </c>
      <c r="B2925" s="1">
        <v>8000000.0</v>
      </c>
      <c r="C2925" s="1">
        <v>1.4879556E7</v>
      </c>
      <c r="F2925" s="4">
        <v>6879556.0</v>
      </c>
      <c r="G2925" s="4">
        <f t="array" ref="G2925">IFERROR((C2925-B2925)/C2925*100, "N/A")</f>
        <v>46.23495486</v>
      </c>
      <c r="J2925" s="1"/>
      <c r="K2925" s="1"/>
    </row>
    <row r="2926" ht="14.25" customHeight="1">
      <c r="A2926" s="1" t="s">
        <v>13873</v>
      </c>
      <c r="B2926" s="1">
        <v>8500000.0</v>
      </c>
      <c r="C2926" s="1">
        <v>3.4017854E7</v>
      </c>
      <c r="F2926" s="4">
        <v>2.5517854E7</v>
      </c>
      <c r="G2926" s="4">
        <f t="array" ref="G2926">IFERROR((C2926-B2926)/C2926*100, "N/A")</f>
        <v>75.01312105</v>
      </c>
      <c r="J2926" s="1"/>
      <c r="K2926" s="1"/>
    </row>
    <row r="2927" ht="14.25" customHeight="1">
      <c r="A2927" s="1" t="s">
        <v>13877</v>
      </c>
      <c r="B2927" s="1">
        <v>2.2E7</v>
      </c>
      <c r="C2927" s="1">
        <v>4273372.0</v>
      </c>
      <c r="F2927" s="4">
        <v>-1.7726628E7</v>
      </c>
      <c r="G2927" s="4">
        <f t="array" ref="G2927">IFERROR((C2927-B2927)/C2927*100, "N/A")</f>
        <v>-414.8159346</v>
      </c>
      <c r="J2927" s="1"/>
      <c r="K2927" s="1"/>
    </row>
    <row r="2928" ht="14.25" customHeight="1">
      <c r="A2928" s="1" t="s">
        <v>13882</v>
      </c>
      <c r="B2928" s="1">
        <v>8500000.0</v>
      </c>
      <c r="C2928" s="1">
        <v>4440055.0</v>
      </c>
      <c r="F2928" s="4">
        <v>-4059945.0</v>
      </c>
      <c r="G2928" s="4">
        <f t="array" ref="G2928">IFERROR((C2928-B2928)/C2928*100, "N/A")</f>
        <v>-91.43907001</v>
      </c>
      <c r="J2928" s="1"/>
      <c r="K2928" s="1"/>
    </row>
    <row r="2929" ht="14.25" customHeight="1">
      <c r="A2929" s="1" t="s">
        <v>13886</v>
      </c>
      <c r="B2929" s="1">
        <v>1.2E7</v>
      </c>
      <c r="C2929" s="1">
        <v>4018695.0</v>
      </c>
      <c r="F2929" s="4">
        <v>-7981305.0</v>
      </c>
      <c r="G2929" s="4">
        <f t="array" ref="G2929">IFERROR((C2929-B2929)/C2929*100, "N/A")</f>
        <v>-198.6043977</v>
      </c>
      <c r="J2929" s="1"/>
      <c r="K2929" s="1"/>
    </row>
    <row r="2930" ht="14.25" customHeight="1">
      <c r="A2930" s="1" t="s">
        <v>9288</v>
      </c>
      <c r="B2930" s="1">
        <v>8200000.0</v>
      </c>
      <c r="C2930" s="1">
        <v>8.0E7</v>
      </c>
      <c r="F2930" s="4">
        <v>7.18E7</v>
      </c>
      <c r="G2930" s="4">
        <f t="array" ref="G2930">IFERROR((C2930-B2930)/C2930*100, "N/A")</f>
        <v>89.75</v>
      </c>
      <c r="J2930" s="1"/>
      <c r="K2930" s="1"/>
    </row>
    <row r="2931" ht="14.25" customHeight="1">
      <c r="A2931" s="1" t="s">
        <v>13892</v>
      </c>
      <c r="B2931" s="1">
        <v>8000000.0</v>
      </c>
      <c r="C2931" s="1">
        <v>1997807.0</v>
      </c>
      <c r="F2931" s="4">
        <v>-6002193.0</v>
      </c>
      <c r="G2931" s="4">
        <f t="array" ref="G2931">IFERROR((C2931-B2931)/C2931*100, "N/A")</f>
        <v>-300.4390815</v>
      </c>
      <c r="J2931" s="1"/>
      <c r="K2931" s="1"/>
    </row>
    <row r="2932" ht="14.25" customHeight="1">
      <c r="A2932" s="1" t="s">
        <v>5848</v>
      </c>
      <c r="B2932" s="1">
        <v>8000000.0</v>
      </c>
      <c r="C2932" s="1">
        <v>9.08E7</v>
      </c>
      <c r="F2932" s="4">
        <v>8.28E7</v>
      </c>
      <c r="G2932" s="4">
        <f t="array" ref="G2932">IFERROR((C2932-B2932)/C2932*100, "N/A")</f>
        <v>91.18942731</v>
      </c>
      <c r="J2932" s="1"/>
      <c r="K2932" s="1"/>
    </row>
    <row r="2933" ht="14.25" customHeight="1">
      <c r="A2933" s="1" t="s">
        <v>13897</v>
      </c>
      <c r="B2933" s="1">
        <v>8500000.0</v>
      </c>
      <c r="C2933" s="1">
        <v>140244.0</v>
      </c>
      <c r="F2933" s="4">
        <v>-8359756.0</v>
      </c>
      <c r="G2933" s="4">
        <f t="array" ref="G2933">IFERROR((C2933-B2933)/C2933*100, "N/A")</f>
        <v>-5960.865349</v>
      </c>
      <c r="J2933" s="1"/>
      <c r="K2933" s="1"/>
    </row>
    <row r="2934" ht="14.25" customHeight="1">
      <c r="A2934" s="1" t="s">
        <v>13901</v>
      </c>
      <c r="B2934" s="1">
        <v>8000000.0</v>
      </c>
      <c r="C2934" s="1">
        <v>1.0793E8</v>
      </c>
      <c r="F2934" s="4">
        <v>9.993E7</v>
      </c>
      <c r="G2934" s="4">
        <f t="array" ref="G2934">IFERROR((C2934-B2934)/C2934*100, "N/A")</f>
        <v>92.58778838</v>
      </c>
      <c r="J2934" s="1"/>
      <c r="K2934" s="1"/>
    </row>
    <row r="2935" ht="14.25" customHeight="1">
      <c r="A2935" s="1" t="s">
        <v>13905</v>
      </c>
      <c r="B2935" s="1">
        <v>8500000.0</v>
      </c>
      <c r="C2935" s="1">
        <v>3.2279955E7</v>
      </c>
      <c r="F2935" s="4">
        <v>2.3779955E7</v>
      </c>
      <c r="G2935" s="4">
        <f t="array" ref="G2935">IFERROR((C2935-B2935)/C2935*100, "N/A")</f>
        <v>73.66786912</v>
      </c>
      <c r="J2935" s="1"/>
      <c r="K2935" s="1"/>
    </row>
    <row r="2936" ht="14.25" customHeight="1">
      <c r="A2936" s="1" t="s">
        <v>13909</v>
      </c>
      <c r="B2936" s="1">
        <v>8550000.0</v>
      </c>
      <c r="C2936" s="1">
        <v>4992159.0</v>
      </c>
      <c r="F2936" s="4">
        <v>-3557841.0</v>
      </c>
      <c r="G2936" s="4">
        <f t="array" ref="G2936">IFERROR((C2936-B2936)/C2936*100, "N/A")</f>
        <v>-71.26858339</v>
      </c>
      <c r="J2936" s="1"/>
      <c r="K2936" s="1"/>
    </row>
    <row r="2937" ht="14.25" customHeight="1">
      <c r="A2937" s="1" t="s">
        <v>13913</v>
      </c>
      <c r="B2937" s="1">
        <v>8200000.0</v>
      </c>
      <c r="C2937" s="1">
        <v>1.63214286E8</v>
      </c>
      <c r="F2937" s="4">
        <v>1.55014286E8</v>
      </c>
      <c r="G2937" s="4">
        <f t="array" ref="G2937">IFERROR((C2937-B2937)/C2937*100, "N/A")</f>
        <v>94.97592999</v>
      </c>
      <c r="J2937" s="1"/>
      <c r="K2937" s="1"/>
    </row>
    <row r="2938" ht="14.25" customHeight="1">
      <c r="A2938" s="1" t="s">
        <v>13920</v>
      </c>
      <c r="B2938" s="1">
        <v>8000000.0</v>
      </c>
      <c r="C2938" s="1">
        <v>6.98E7</v>
      </c>
      <c r="F2938" s="4">
        <v>6.18E7</v>
      </c>
      <c r="G2938" s="4">
        <f t="array" ref="G2938">IFERROR((C2938-B2938)/C2938*100, "N/A")</f>
        <v>88.53868195</v>
      </c>
      <c r="J2938" s="1"/>
      <c r="K2938" s="1"/>
    </row>
    <row r="2939" ht="14.25" customHeight="1">
      <c r="A2939" s="1" t="s">
        <v>13926</v>
      </c>
      <c r="B2939" s="1">
        <v>8000000.0</v>
      </c>
      <c r="C2939" s="1">
        <v>5.9889948E7</v>
      </c>
      <c r="F2939" s="4">
        <v>5.1889948E7</v>
      </c>
      <c r="G2939" s="4">
        <f t="array" ref="G2939">IFERROR((C2939-B2939)/C2939*100, "N/A")</f>
        <v>86.64216573</v>
      </c>
      <c r="J2939" s="1"/>
      <c r="K2939" s="1"/>
    </row>
    <row r="2940" ht="14.25" customHeight="1">
      <c r="A2940" s="1" t="s">
        <v>13931</v>
      </c>
      <c r="B2940" s="1">
        <v>8000000.0</v>
      </c>
      <c r="C2940" s="1">
        <v>5.2287414E7</v>
      </c>
      <c r="F2940" s="4">
        <v>4.4287414E7</v>
      </c>
      <c r="G2940" s="4">
        <f t="array" ref="G2940">IFERROR((C2940-B2940)/C2940*100, "N/A")</f>
        <v>84.69995093</v>
      </c>
      <c r="J2940" s="1"/>
      <c r="K2940" s="1"/>
    </row>
    <row r="2941" ht="14.25" customHeight="1">
      <c r="A2941" s="1" t="s">
        <v>13935</v>
      </c>
      <c r="B2941" s="1">
        <v>8000000.0</v>
      </c>
      <c r="C2941" s="1">
        <v>4.5063889E7</v>
      </c>
      <c r="F2941" s="4">
        <v>3.7063889E7</v>
      </c>
      <c r="G2941" s="4">
        <f t="array" ref="G2941">IFERROR((C2941-B2941)/C2941*100, "N/A")</f>
        <v>82.24742654</v>
      </c>
      <c r="J2941" s="1"/>
      <c r="K2941" s="1"/>
    </row>
    <row r="2942" ht="14.25" customHeight="1">
      <c r="A2942" s="1" t="s">
        <v>13942</v>
      </c>
      <c r="B2942" s="1">
        <v>8000000.0</v>
      </c>
      <c r="C2942" s="1">
        <v>4.0066497E7</v>
      </c>
      <c r="F2942" s="4">
        <v>3.2066497E7</v>
      </c>
      <c r="G2942" s="4">
        <f t="array" ref="G2942">IFERROR((C2942-B2942)/C2942*100, "N/A")</f>
        <v>80.03319332</v>
      </c>
      <c r="J2942" s="1"/>
      <c r="K2942" s="1"/>
    </row>
    <row r="2943" ht="14.25" customHeight="1">
      <c r="A2943" s="1" t="s">
        <v>13949</v>
      </c>
      <c r="B2943" s="1">
        <v>8000000.0</v>
      </c>
      <c r="C2943" s="1">
        <v>3.65E7</v>
      </c>
      <c r="F2943" s="4">
        <v>2.85E7</v>
      </c>
      <c r="G2943" s="4">
        <f t="array" ref="G2943">IFERROR((C2943-B2943)/C2943*100, "N/A")</f>
        <v>78.08219178</v>
      </c>
      <c r="J2943" s="1"/>
      <c r="K2943" s="1"/>
    </row>
    <row r="2944" ht="14.25" customHeight="1">
      <c r="A2944" s="1" t="s">
        <v>13952</v>
      </c>
      <c r="B2944" s="1">
        <v>8000000.0</v>
      </c>
      <c r="C2944" s="1">
        <v>2.7362712E7</v>
      </c>
      <c r="F2944" s="4">
        <v>1.9362712E7</v>
      </c>
      <c r="G2944" s="4">
        <f t="array" ref="G2944">IFERROR((C2944-B2944)/C2944*100, "N/A")</f>
        <v>70.76313196</v>
      </c>
      <c r="J2944" s="1"/>
      <c r="K2944" s="1"/>
    </row>
    <row r="2945" ht="14.25" customHeight="1">
      <c r="A2945" s="1" t="s">
        <v>13956</v>
      </c>
      <c r="B2945" s="1">
        <v>8000000.0</v>
      </c>
      <c r="C2945" s="1">
        <v>3.4746109E7</v>
      </c>
      <c r="F2945" s="4">
        <v>2.6746109E7</v>
      </c>
      <c r="G2945" s="4">
        <f t="array" ref="G2945">IFERROR((C2945-B2945)/C2945*100, "N/A")</f>
        <v>76.97583922</v>
      </c>
      <c r="J2945" s="1"/>
      <c r="K2945" s="1"/>
    </row>
    <row r="2946" ht="14.25" customHeight="1">
      <c r="A2946" s="1" t="s">
        <v>13960</v>
      </c>
      <c r="B2946" s="1">
        <v>8000000.0</v>
      </c>
      <c r="C2946" s="1">
        <v>3.4963967E7</v>
      </c>
      <c r="F2946" s="4">
        <v>2.6963967E7</v>
      </c>
      <c r="G2946" s="4">
        <f t="array" ref="G2946">IFERROR((C2946-B2946)/C2946*100, "N/A")</f>
        <v>77.11930114</v>
      </c>
      <c r="J2946" s="1"/>
      <c r="K2946" s="1"/>
    </row>
    <row r="2947" ht="14.25" customHeight="1">
      <c r="A2947" s="1" t="s">
        <v>13964</v>
      </c>
      <c r="B2947" s="1">
        <v>8000000.0</v>
      </c>
      <c r="C2947" s="1">
        <v>2.5926543E7</v>
      </c>
      <c r="F2947" s="4">
        <v>1.7926543E7</v>
      </c>
      <c r="G2947" s="4">
        <f t="array" ref="G2947">IFERROR((C2947-B2947)/C2947*100, "N/A")</f>
        <v>69.14359157</v>
      </c>
      <c r="J2947" s="1"/>
      <c r="K2947" s="1"/>
    </row>
    <row r="2948" ht="14.25" customHeight="1">
      <c r="A2948" s="1" t="s">
        <v>13971</v>
      </c>
      <c r="B2948" s="1">
        <v>8000000.0</v>
      </c>
      <c r="C2948" s="1">
        <v>2.6049082E7</v>
      </c>
      <c r="F2948" s="4">
        <v>1.8049082E7</v>
      </c>
      <c r="G2948" s="4">
        <f t="array" ref="G2948">IFERROR((C2948-B2948)/C2948*100, "N/A")</f>
        <v>69.28874499</v>
      </c>
      <c r="J2948" s="1"/>
      <c r="K2948" s="1"/>
    </row>
    <row r="2949" ht="14.25" customHeight="1">
      <c r="A2949" s="1" t="s">
        <v>13977</v>
      </c>
      <c r="B2949" s="1">
        <v>8000000.0</v>
      </c>
      <c r="C2949" s="1">
        <v>2.2551E7</v>
      </c>
      <c r="F2949" s="4">
        <v>1.4551E7</v>
      </c>
      <c r="G2949" s="4">
        <f t="array" ref="G2949">IFERROR((C2949-B2949)/C2949*100, "N/A")</f>
        <v>64.52485477</v>
      </c>
      <c r="J2949" s="1"/>
      <c r="K2949" s="1"/>
    </row>
    <row r="2950" ht="14.25" customHeight="1">
      <c r="A2950" s="1" t="s">
        <v>13981</v>
      </c>
      <c r="B2950" s="1">
        <v>7000000.0</v>
      </c>
      <c r="C2950" s="1">
        <v>2.28E7</v>
      </c>
      <c r="F2950" s="4">
        <v>1.58E7</v>
      </c>
      <c r="G2950" s="4">
        <f t="array" ref="G2950">IFERROR((C2950-B2950)/C2950*100, "N/A")</f>
        <v>69.29824561</v>
      </c>
      <c r="J2950" s="1"/>
      <c r="K2950" s="1"/>
    </row>
    <row r="2951" ht="14.25" customHeight="1">
      <c r="A2951" s="1" t="s">
        <v>13987</v>
      </c>
      <c r="B2951" s="1">
        <v>8000000.0</v>
      </c>
      <c r="C2951" s="1">
        <v>1.8090181E7</v>
      </c>
      <c r="F2951" s="4">
        <v>1.0090181E7</v>
      </c>
      <c r="G2951" s="4">
        <f t="array" ref="G2951">IFERROR((C2951-B2951)/C2951*100, "N/A")</f>
        <v>55.77711467</v>
      </c>
      <c r="J2951" s="1"/>
      <c r="K2951" s="1"/>
    </row>
    <row r="2952" ht="14.25" customHeight="1">
      <c r="A2952" s="1" t="s">
        <v>13992</v>
      </c>
      <c r="B2952" s="1">
        <v>8000000.0</v>
      </c>
      <c r="C2952" s="1">
        <v>1.7843379E7</v>
      </c>
      <c r="F2952" s="4">
        <v>9843379.0</v>
      </c>
      <c r="G2952" s="4">
        <f t="array" ref="G2952">IFERROR((C2952-B2952)/C2952*100, "N/A")</f>
        <v>55.1654426</v>
      </c>
      <c r="J2952" s="1"/>
      <c r="K2952" s="1"/>
    </row>
    <row r="2953" ht="14.25" customHeight="1">
      <c r="A2953" s="1" t="s">
        <v>13996</v>
      </c>
      <c r="B2953" s="1">
        <v>8000000.0</v>
      </c>
      <c r="C2953" s="1">
        <v>1.727898E7</v>
      </c>
      <c r="F2953" s="4">
        <v>9278980.0</v>
      </c>
      <c r="G2953" s="4">
        <f t="array" ref="G2953">IFERROR((C2953-B2953)/C2953*100, "N/A")</f>
        <v>53.70097077</v>
      </c>
      <c r="J2953" s="1"/>
      <c r="K2953" s="1"/>
    </row>
    <row r="2954" ht="14.25" customHeight="1">
      <c r="A2954" s="1" t="s">
        <v>14000</v>
      </c>
      <c r="B2954" s="1">
        <v>8000000.0</v>
      </c>
      <c r="C2954" s="1">
        <v>1.6699684E7</v>
      </c>
      <c r="F2954" s="4">
        <v>8699684.0</v>
      </c>
      <c r="G2954" s="4">
        <f t="array" ref="G2954">IFERROR((C2954-B2954)/C2954*100, "N/A")</f>
        <v>52.09490192</v>
      </c>
      <c r="J2954" s="1"/>
      <c r="K2954" s="1"/>
    </row>
    <row r="2955" ht="14.25" customHeight="1">
      <c r="A2955" s="1" t="s">
        <v>4901</v>
      </c>
      <c r="B2955" s="1">
        <v>5.0E7</v>
      </c>
      <c r="C2955" s="1">
        <v>5.0815288E7</v>
      </c>
      <c r="F2955" s="4">
        <v>815288.0</v>
      </c>
      <c r="G2955" s="4">
        <f t="array" ref="G2955">IFERROR((C2955-B2955)/C2955*100, "N/A")</f>
        <v>1.604414797</v>
      </c>
      <c r="J2955" s="1"/>
      <c r="K2955" s="1"/>
    </row>
    <row r="2956" ht="14.25" customHeight="1">
      <c r="A2956" s="1" t="s">
        <v>14004</v>
      </c>
      <c r="B2956" s="1">
        <v>7000000.0</v>
      </c>
      <c r="C2956" s="1">
        <v>1.5047419E7</v>
      </c>
      <c r="F2956" s="4">
        <v>8047419.0</v>
      </c>
      <c r="G2956" s="4">
        <f t="array" ref="G2956">IFERROR((C2956-B2956)/C2956*100, "N/A")</f>
        <v>53.48039421</v>
      </c>
      <c r="J2956" s="1"/>
      <c r="K2956" s="1"/>
    </row>
    <row r="2957" ht="14.25" customHeight="1">
      <c r="A2957" s="1" t="s">
        <v>14007</v>
      </c>
      <c r="B2957" s="1">
        <v>5000000.0</v>
      </c>
      <c r="C2957" s="1">
        <v>1.4015786E7</v>
      </c>
      <c r="F2957" s="4">
        <v>9015786.0</v>
      </c>
      <c r="G2957" s="4">
        <f t="array" ref="G2957">IFERROR((C2957-B2957)/C2957*100, "N/A")</f>
        <v>64.32593934</v>
      </c>
      <c r="J2957" s="1"/>
      <c r="K2957" s="1"/>
    </row>
    <row r="2958" ht="14.25" customHeight="1">
      <c r="A2958" s="1" t="s">
        <v>14011</v>
      </c>
      <c r="B2958" s="1">
        <v>8000000.0</v>
      </c>
      <c r="C2958" s="1">
        <v>1.0269307E7</v>
      </c>
      <c r="F2958" s="4">
        <v>2269307.0</v>
      </c>
      <c r="G2958" s="4">
        <f t="array" ref="G2958">IFERROR((C2958-B2958)/C2958*100, "N/A")</f>
        <v>22.09795656</v>
      </c>
      <c r="J2958" s="1"/>
      <c r="K2958" s="1"/>
    </row>
    <row r="2959" ht="14.25" customHeight="1">
      <c r="A2959" s="1" t="s">
        <v>14015</v>
      </c>
      <c r="B2959" s="1">
        <v>8000000.0</v>
      </c>
      <c r="C2959" s="1">
        <v>1.7536788E7</v>
      </c>
      <c r="F2959" s="4">
        <v>9536788.0</v>
      </c>
      <c r="G2959" s="4">
        <f t="array" ref="G2959">IFERROR((C2959-B2959)/C2959*100, "N/A")</f>
        <v>54.38161196</v>
      </c>
      <c r="J2959" s="1"/>
      <c r="K2959" s="1"/>
    </row>
    <row r="2960" ht="14.25" customHeight="1">
      <c r="A2960" s="1" t="s">
        <v>14020</v>
      </c>
      <c r="B2960" s="1">
        <v>8000000.0</v>
      </c>
      <c r="C2960" s="1">
        <v>5.8401464E7</v>
      </c>
      <c r="F2960" s="4">
        <v>5.0401464E7</v>
      </c>
      <c r="G2960" s="4">
        <f t="array" ref="G2960">IFERROR((C2960-B2960)/C2960*100, "N/A")</f>
        <v>86.30171326</v>
      </c>
      <c r="J2960" s="1"/>
      <c r="K2960" s="1"/>
    </row>
    <row r="2961" ht="14.25" customHeight="1">
      <c r="A2961" s="1" t="s">
        <v>14024</v>
      </c>
      <c r="B2961" s="1">
        <v>8000000.0</v>
      </c>
      <c r="C2961" s="1">
        <v>8279017.0</v>
      </c>
      <c r="F2961" s="4">
        <v>279017.0</v>
      </c>
      <c r="G2961" s="4">
        <f t="array" ref="G2961">IFERROR((C2961-B2961)/C2961*100, "N/A")</f>
        <v>3.370170637</v>
      </c>
      <c r="J2961" s="1"/>
      <c r="K2961" s="1"/>
    </row>
    <row r="2962" ht="14.25" customHeight="1">
      <c r="A2962" s="1" t="s">
        <v>14028</v>
      </c>
      <c r="B2962" s="1">
        <v>8000000.0</v>
      </c>
      <c r="C2962" s="1">
        <v>1.0106233E7</v>
      </c>
      <c r="F2962" s="4">
        <v>2106233.0</v>
      </c>
      <c r="G2962" s="4">
        <f t="array" ref="G2962">IFERROR((C2962-B2962)/C2962*100, "N/A")</f>
        <v>20.84093054</v>
      </c>
      <c r="J2962" s="1"/>
      <c r="K2962" s="1"/>
    </row>
    <row r="2963" ht="14.25" customHeight="1">
      <c r="A2963" s="1" t="s">
        <v>14031</v>
      </c>
      <c r="B2963" s="1">
        <v>8000000.0</v>
      </c>
      <c r="C2963" s="1">
        <v>4692814.0</v>
      </c>
      <c r="F2963" s="4">
        <v>-3307186.0</v>
      </c>
      <c r="G2963" s="4">
        <f t="array" ref="G2963">IFERROR((C2963-B2963)/C2963*100, "N/A")</f>
        <v>-70.47340892</v>
      </c>
      <c r="J2963" s="1"/>
      <c r="K2963" s="1"/>
    </row>
    <row r="2964" ht="14.25" customHeight="1">
      <c r="A2964" s="1" t="s">
        <v>14035</v>
      </c>
      <c r="B2964" s="1">
        <v>8000000.0</v>
      </c>
      <c r="C2964" s="1">
        <v>5018450.0</v>
      </c>
      <c r="F2964" s="4">
        <v>-2981550.0</v>
      </c>
      <c r="G2964" s="4">
        <f t="array" ref="G2964">IFERROR((C2964-B2964)/C2964*100, "N/A")</f>
        <v>-59.41177057</v>
      </c>
      <c r="J2964" s="1"/>
      <c r="K2964" s="1"/>
    </row>
    <row r="2965" ht="14.25" customHeight="1">
      <c r="A2965" s="1" t="s">
        <v>14040</v>
      </c>
      <c r="B2965" s="1">
        <v>8000000.0</v>
      </c>
      <c r="C2965" s="1">
        <v>3442820.0</v>
      </c>
      <c r="F2965" s="4">
        <v>-4557180.0</v>
      </c>
      <c r="G2965" s="4">
        <f t="array" ref="G2965">IFERROR((C2965-B2965)/C2965*100, "N/A")</f>
        <v>-132.3676521</v>
      </c>
      <c r="J2965" s="1"/>
      <c r="K2965" s="1"/>
    </row>
    <row r="2966" ht="14.25" customHeight="1">
      <c r="A2966" s="1" t="s">
        <v>14045</v>
      </c>
      <c r="B2966" s="1">
        <v>1.0E7</v>
      </c>
      <c r="C2966" s="1">
        <v>3205244.0</v>
      </c>
      <c r="F2966" s="4">
        <v>-6794756.0</v>
      </c>
      <c r="G2966" s="4">
        <f t="array" ref="G2966">IFERROR((C2966-B2966)/C2966*100, "N/A")</f>
        <v>-211.9887285</v>
      </c>
      <c r="J2966" s="1"/>
      <c r="K2966" s="1"/>
    </row>
    <row r="2967" ht="14.25" customHeight="1">
      <c r="A2967" s="1" t="s">
        <v>14049</v>
      </c>
      <c r="B2967" s="1">
        <v>8000000.0</v>
      </c>
      <c r="C2967" s="1">
        <v>3076425.0</v>
      </c>
      <c r="F2967" s="4">
        <v>-4923575.0</v>
      </c>
      <c r="G2967" s="4">
        <f t="array" ref="G2967">IFERROR((C2967-B2967)/C2967*100, "N/A")</f>
        <v>-160.0420943</v>
      </c>
      <c r="J2967" s="1"/>
      <c r="K2967" s="1"/>
    </row>
    <row r="2968" ht="14.25" customHeight="1">
      <c r="A2968" s="1" t="s">
        <v>14054</v>
      </c>
      <c r="B2968" s="1">
        <v>8000000.0</v>
      </c>
      <c r="C2968" s="1">
        <v>2275557.0</v>
      </c>
      <c r="F2968" s="4">
        <v>-5724443.0</v>
      </c>
      <c r="G2968" s="4">
        <f t="array" ref="G2968">IFERROR((C2968-B2968)/C2968*100, "N/A")</f>
        <v>-251.5622768</v>
      </c>
      <c r="J2968" s="1"/>
      <c r="K2968" s="1"/>
    </row>
    <row r="2969" ht="14.25" customHeight="1">
      <c r="A2969" s="1" t="s">
        <v>14058</v>
      </c>
      <c r="B2969" s="1">
        <v>8000000.0</v>
      </c>
      <c r="C2969" s="1">
        <v>1789892.0</v>
      </c>
      <c r="F2969" s="4">
        <v>-6210108.0</v>
      </c>
      <c r="G2969" s="4">
        <f t="array" ref="G2969">IFERROR((C2969-B2969)/C2969*100, "N/A")</f>
        <v>-346.9543414</v>
      </c>
      <c r="J2969" s="1"/>
      <c r="K2969" s="1"/>
    </row>
    <row r="2970" ht="14.25" customHeight="1">
      <c r="A2970" s="1" t="s">
        <v>14063</v>
      </c>
      <c r="B2970" s="1">
        <v>8000000.0</v>
      </c>
      <c r="C2970" s="1">
        <v>6350058.0</v>
      </c>
      <c r="F2970" s="4">
        <v>-1649942.0</v>
      </c>
      <c r="G2970" s="4">
        <f t="array" ref="G2970">IFERROR((C2970-B2970)/C2970*100, "N/A")</f>
        <v>-25.98310126</v>
      </c>
      <c r="J2970" s="1"/>
      <c r="K2970" s="1"/>
    </row>
    <row r="2971" ht="14.25" customHeight="1">
      <c r="A2971" s="1" t="s">
        <v>14066</v>
      </c>
      <c r="B2971" s="1">
        <v>7200000.0</v>
      </c>
      <c r="C2971" s="1">
        <v>1094798.0</v>
      </c>
      <c r="F2971" s="4">
        <v>-6105202.0</v>
      </c>
      <c r="G2971" s="4">
        <f t="array" ref="G2971">IFERROR((C2971-B2971)/C2971*100, "N/A")</f>
        <v>-557.6555675</v>
      </c>
      <c r="J2971" s="1"/>
      <c r="K2971" s="1"/>
    </row>
    <row r="2972" ht="14.25" customHeight="1">
      <c r="A2972" s="1" t="s">
        <v>14070</v>
      </c>
      <c r="B2972" s="1">
        <v>8000000.0</v>
      </c>
      <c r="C2972" s="1">
        <v>1071240.0</v>
      </c>
      <c r="F2972" s="4">
        <v>-6928760.0</v>
      </c>
      <c r="G2972" s="4">
        <f t="array" ref="G2972">IFERROR((C2972-B2972)/C2972*100, "N/A")</f>
        <v>-646.7981031</v>
      </c>
      <c r="J2972" s="1"/>
      <c r="K2972" s="1"/>
    </row>
    <row r="2973" ht="14.25" customHeight="1">
      <c r="A2973" s="1" t="s">
        <v>14075</v>
      </c>
      <c r="B2973" s="1">
        <v>8000000.0</v>
      </c>
      <c r="C2973" s="1">
        <v>532190.0</v>
      </c>
      <c r="F2973" s="4">
        <v>-7467810.0</v>
      </c>
      <c r="G2973" s="4">
        <f t="array" ref="G2973">IFERROR((C2973-B2973)/C2973*100, "N/A")</f>
        <v>-1403.222533</v>
      </c>
      <c r="J2973" s="1"/>
      <c r="K2973" s="1"/>
    </row>
    <row r="2974" ht="14.25" customHeight="1">
      <c r="A2974" s="1" t="s">
        <v>14081</v>
      </c>
      <c r="B2974" s="1">
        <v>6500000.0</v>
      </c>
      <c r="C2974" s="1">
        <v>686383.0</v>
      </c>
      <c r="F2974" s="4">
        <v>-5813617.0</v>
      </c>
      <c r="G2974" s="4">
        <f t="array" ref="G2974">IFERROR((C2974-B2974)/C2974*100, "N/A")</f>
        <v>-846.9931511</v>
      </c>
      <c r="J2974" s="1"/>
      <c r="K2974" s="1"/>
    </row>
    <row r="2975" ht="14.25" customHeight="1">
      <c r="A2975" s="1" t="s">
        <v>14088</v>
      </c>
      <c r="B2975" s="1">
        <v>8000000.0</v>
      </c>
      <c r="C2975" s="1">
        <v>1.6168741E7</v>
      </c>
      <c r="F2975" s="4">
        <v>8168741.0</v>
      </c>
      <c r="G2975" s="4">
        <f t="array" ref="G2975">IFERROR((C2975-B2975)/C2975*100, "N/A")</f>
        <v>50.52181243</v>
      </c>
      <c r="J2975" s="1"/>
      <c r="K2975" s="1"/>
    </row>
    <row r="2976" ht="14.25" customHeight="1">
      <c r="A2976" s="1" t="s">
        <v>14094</v>
      </c>
      <c r="B2976" s="1">
        <v>8000000.0</v>
      </c>
      <c r="C2976" s="1">
        <v>568695.0</v>
      </c>
      <c r="F2976" s="4">
        <v>-7431305.0</v>
      </c>
      <c r="G2976" s="4">
        <f t="array" ref="G2976">IFERROR((C2976-B2976)/C2976*100, "N/A")</f>
        <v>-1306.729442</v>
      </c>
      <c r="J2976" s="1"/>
      <c r="K2976" s="1"/>
    </row>
    <row r="2977" ht="14.25" customHeight="1">
      <c r="A2977" s="1" t="s">
        <v>14098</v>
      </c>
      <c r="B2977" s="1">
        <v>8000000.0</v>
      </c>
      <c r="C2977" s="1">
        <v>398420.0</v>
      </c>
      <c r="F2977" s="4">
        <v>-7601580.0</v>
      </c>
      <c r="G2977" s="4">
        <f t="array" ref="G2977">IFERROR((C2977-B2977)/C2977*100, "N/A")</f>
        <v>-1907.931329</v>
      </c>
      <c r="J2977" s="1"/>
      <c r="K2977" s="1"/>
    </row>
    <row r="2978" ht="14.25" customHeight="1">
      <c r="A2978" s="1" t="s">
        <v>14104</v>
      </c>
      <c r="B2978" s="1">
        <v>8000000.0</v>
      </c>
      <c r="C2978" s="1">
        <v>336456.0</v>
      </c>
      <c r="F2978" s="4">
        <v>-7663544.0</v>
      </c>
      <c r="G2978" s="4">
        <f t="array" ref="G2978">IFERROR((C2978-B2978)/C2978*100, "N/A")</f>
        <v>-2277.725468</v>
      </c>
      <c r="J2978" s="1"/>
      <c r="K2978" s="1"/>
    </row>
    <row r="2979" ht="14.25" customHeight="1">
      <c r="A2979" s="1" t="s">
        <v>14109</v>
      </c>
      <c r="B2979" s="1">
        <v>8000000.0</v>
      </c>
      <c r="C2979" s="1">
        <v>298110.0</v>
      </c>
      <c r="F2979" s="4">
        <v>-7701890.0</v>
      </c>
      <c r="G2979" s="4">
        <f t="array" ref="G2979">IFERROR((C2979-B2979)/C2979*100, "N/A")</f>
        <v>-2583.573178</v>
      </c>
      <c r="J2979" s="1"/>
      <c r="K2979" s="1"/>
    </row>
    <row r="2980" ht="14.25" customHeight="1">
      <c r="A2980" s="1" t="s">
        <v>14114</v>
      </c>
      <c r="B2980" s="1">
        <v>8000000.0</v>
      </c>
      <c r="C2980" s="1">
        <v>127144.0</v>
      </c>
      <c r="F2980" s="4">
        <v>-7872856.0</v>
      </c>
      <c r="G2980" s="4">
        <f t="array" ref="G2980">IFERROR((C2980-B2980)/C2980*100, "N/A")</f>
        <v>-6192.078273</v>
      </c>
      <c r="J2980" s="1"/>
      <c r="K2980" s="1"/>
    </row>
    <row r="2981" ht="14.25" customHeight="1">
      <c r="A2981" s="1" t="s">
        <v>14117</v>
      </c>
      <c r="B2981" s="1">
        <v>8000000.0</v>
      </c>
      <c r="C2981" s="1">
        <v>117190.0</v>
      </c>
      <c r="F2981" s="4">
        <v>-7882810.0</v>
      </c>
      <c r="G2981" s="4">
        <f t="array" ref="G2981">IFERROR((C2981-B2981)/C2981*100, "N/A")</f>
        <v>-6726.521034</v>
      </c>
      <c r="J2981" s="1"/>
      <c r="K2981" s="1"/>
    </row>
    <row r="2982" ht="14.25" customHeight="1">
      <c r="A2982" s="1" t="s">
        <v>14122</v>
      </c>
      <c r="B2982" s="1">
        <v>8000000.0</v>
      </c>
      <c r="C2982" s="1">
        <v>108662.0</v>
      </c>
      <c r="F2982" s="4">
        <v>-7891338.0</v>
      </c>
      <c r="G2982" s="4">
        <f t="array" ref="G2982">IFERROR((C2982-B2982)/C2982*100, "N/A")</f>
        <v>-7262.279362</v>
      </c>
      <c r="J2982" s="1"/>
      <c r="K2982" s="1"/>
    </row>
    <row r="2983" ht="14.25" customHeight="1">
      <c r="A2983" s="1" t="s">
        <v>14127</v>
      </c>
      <c r="B2983" s="1">
        <v>8000000.0</v>
      </c>
      <c r="C2983" s="1">
        <v>53481.0</v>
      </c>
      <c r="F2983" s="4">
        <v>-7946519.0</v>
      </c>
      <c r="G2983" s="4">
        <f t="array" ref="G2983">IFERROR((C2983-B2983)/C2983*100, "N/A")</f>
        <v>-14858.58342</v>
      </c>
      <c r="J2983" s="1"/>
      <c r="K2983" s="1"/>
    </row>
    <row r="2984" ht="14.25" customHeight="1">
      <c r="A2984" s="1" t="s">
        <v>14131</v>
      </c>
      <c r="B2984" s="1">
        <v>5.0E7</v>
      </c>
      <c r="C2984" s="1">
        <v>23106.0</v>
      </c>
      <c r="F2984" s="4">
        <v>-4.9976894E7</v>
      </c>
      <c r="G2984" s="4">
        <f t="array" ref="G2984">IFERROR((C2984-B2984)/C2984*100, "N/A")</f>
        <v>-216294.0102</v>
      </c>
      <c r="J2984" s="1"/>
      <c r="K2984" s="1"/>
    </row>
    <row r="2985" ht="14.25" customHeight="1">
      <c r="A2985" s="1" t="s">
        <v>14135</v>
      </c>
      <c r="B2985" s="1">
        <v>1.1E9</v>
      </c>
      <c r="C2985" s="1">
        <v>439162.0</v>
      </c>
      <c r="F2985" s="4">
        <v>-1.099560838E9</v>
      </c>
      <c r="G2985" s="4">
        <f t="array" ref="G2985">IFERROR((C2985-B2985)/C2985*100, "N/A")</f>
        <v>-250377.0449</v>
      </c>
      <c r="J2985" s="1"/>
      <c r="K2985" s="1"/>
    </row>
    <row r="2986" ht="14.25" customHeight="1">
      <c r="A2986" s="1" t="s">
        <v>14143</v>
      </c>
      <c r="B2986" s="1">
        <v>7900000.0</v>
      </c>
      <c r="C2986" s="1">
        <v>671240.0</v>
      </c>
      <c r="F2986" s="4">
        <v>-7228760.0</v>
      </c>
      <c r="G2986" s="4">
        <f t="array" ref="G2986">IFERROR((C2986-B2986)/C2986*100, "N/A")</f>
        <v>-1076.926286</v>
      </c>
      <c r="J2986" s="1"/>
      <c r="K2986" s="1"/>
    </row>
    <row r="2987" ht="14.25" customHeight="1">
      <c r="A2987" s="1" t="s">
        <v>14148</v>
      </c>
      <c r="B2987" s="1">
        <v>1.0E7</v>
      </c>
      <c r="C2987" s="1">
        <v>882290.0</v>
      </c>
      <c r="F2987" s="4">
        <v>-9117710.0</v>
      </c>
      <c r="G2987" s="4">
        <f t="array" ref="G2987">IFERROR((C2987-B2987)/C2987*100, "N/A")</f>
        <v>-1033.414184</v>
      </c>
      <c r="J2987" s="1"/>
      <c r="K2987" s="1"/>
    </row>
    <row r="2988" ht="14.25" customHeight="1">
      <c r="A2988" s="1" t="s">
        <v>14152</v>
      </c>
      <c r="B2988" s="1">
        <v>7500000.0</v>
      </c>
      <c r="C2988" s="1">
        <v>1.06593296E8</v>
      </c>
      <c r="F2988" s="4">
        <v>9.9093296E7</v>
      </c>
      <c r="G2988" s="4">
        <f t="array" ref="G2988">IFERROR((C2988-B2988)/C2988*100, "N/A")</f>
        <v>92.96391023</v>
      </c>
      <c r="J2988" s="1"/>
      <c r="K2988" s="1"/>
    </row>
    <row r="2989" ht="14.25" customHeight="1">
      <c r="A2989" s="1" t="s">
        <v>14157</v>
      </c>
      <c r="B2989" s="1">
        <v>7500000.0</v>
      </c>
      <c r="C2989" s="1">
        <v>4.3490057E7</v>
      </c>
      <c r="F2989" s="4">
        <v>3.5990057E7</v>
      </c>
      <c r="G2989" s="4">
        <f t="array" ref="G2989">IFERROR((C2989-B2989)/C2989*100, "N/A")</f>
        <v>82.75467885</v>
      </c>
      <c r="J2989" s="1"/>
      <c r="K2989" s="1"/>
    </row>
    <row r="2990" ht="14.25" customHeight="1">
      <c r="A2990" s="1" t="s">
        <v>14161</v>
      </c>
      <c r="B2990" s="1">
        <v>7500000.0</v>
      </c>
      <c r="C2990" s="1">
        <v>3.233386E7</v>
      </c>
      <c r="F2990" s="4">
        <v>2.483386E7</v>
      </c>
      <c r="G2990" s="4">
        <f t="array" ref="G2990">IFERROR((C2990-B2990)/C2990*100, "N/A")</f>
        <v>76.80450153</v>
      </c>
      <c r="J2990" s="1"/>
      <c r="K2990" s="1"/>
    </row>
    <row r="2991" ht="14.25" customHeight="1">
      <c r="A2991" s="1" t="s">
        <v>14167</v>
      </c>
      <c r="B2991" s="1">
        <v>6500000.0</v>
      </c>
      <c r="C2991" s="1">
        <v>2.4792061E7</v>
      </c>
      <c r="F2991" s="4">
        <v>1.8292061E7</v>
      </c>
      <c r="G2991" s="4">
        <f t="array" ref="G2991">IFERROR((C2991-B2991)/C2991*100, "N/A")</f>
        <v>73.78192963</v>
      </c>
      <c r="J2991" s="1"/>
      <c r="K2991" s="1"/>
    </row>
    <row r="2992" ht="14.25" customHeight="1">
      <c r="A2992" s="1" t="s">
        <v>14172</v>
      </c>
      <c r="B2992" s="1">
        <v>1.0E7</v>
      </c>
      <c r="C2992" s="1">
        <v>1.7544812E7</v>
      </c>
      <c r="F2992" s="4">
        <v>7544812.0</v>
      </c>
      <c r="G2992" s="4">
        <f t="array" ref="G2992">IFERROR((C2992-B2992)/C2992*100, "N/A")</f>
        <v>43.00309402</v>
      </c>
      <c r="J2992" s="1"/>
      <c r="K2992" s="1"/>
    </row>
    <row r="2993" ht="14.25" customHeight="1">
      <c r="A2993" s="1" t="s">
        <v>14176</v>
      </c>
      <c r="B2993" s="1">
        <v>4500000.0</v>
      </c>
      <c r="C2993" s="1">
        <v>1.2574715E7</v>
      </c>
      <c r="F2993" s="4">
        <v>8074715.0</v>
      </c>
      <c r="G2993" s="4">
        <f t="array" ref="G2993">IFERROR((C2993-B2993)/C2993*100, "N/A")</f>
        <v>64.21390067</v>
      </c>
      <c r="J2993" s="1"/>
      <c r="K2993" s="1"/>
    </row>
    <row r="2994" ht="14.25" customHeight="1">
      <c r="A2994" s="1" t="s">
        <v>14181</v>
      </c>
      <c r="B2994" s="1">
        <v>7500000.0</v>
      </c>
      <c r="C2994" s="1">
        <v>5100000.0</v>
      </c>
      <c r="F2994" s="4">
        <v>-2400000.0</v>
      </c>
      <c r="G2994" s="4">
        <f t="array" ref="G2994">IFERROR((C2994-B2994)/C2994*100, "N/A")</f>
        <v>-47.05882353</v>
      </c>
      <c r="J2994" s="1"/>
      <c r="K2994" s="1"/>
    </row>
    <row r="2995" ht="14.25" customHeight="1">
      <c r="A2995" s="1" t="s">
        <v>14185</v>
      </c>
      <c r="B2995" s="1">
        <v>7500000.0</v>
      </c>
      <c r="C2995" s="1">
        <v>1.0460089E7</v>
      </c>
      <c r="F2995" s="4">
        <v>2960089.0</v>
      </c>
      <c r="G2995" s="4">
        <f t="array" ref="G2995">IFERROR((C2995-B2995)/C2995*100, "N/A")</f>
        <v>28.29888924</v>
      </c>
      <c r="J2995" s="1"/>
      <c r="K2995" s="1"/>
    </row>
    <row r="2996" ht="14.25" customHeight="1">
      <c r="A2996" s="1" t="s">
        <v>14189</v>
      </c>
      <c r="B2996" s="1">
        <v>7500000.0</v>
      </c>
      <c r="C2996" s="1">
        <v>4239767.0</v>
      </c>
      <c r="F2996" s="4">
        <v>-3260233.0</v>
      </c>
      <c r="G2996" s="4">
        <f t="array" ref="G2996">IFERROR((C2996-B2996)/C2996*100, "N/A")</f>
        <v>-76.89651342</v>
      </c>
      <c r="J2996" s="1"/>
      <c r="K2996" s="1"/>
    </row>
    <row r="2997" ht="14.25" customHeight="1">
      <c r="A2997" s="1" t="s">
        <v>14194</v>
      </c>
      <c r="B2997" s="1">
        <v>7500000.0</v>
      </c>
      <c r="C2997" s="1">
        <v>4131640.0</v>
      </c>
      <c r="F2997" s="4">
        <v>-3368360.0</v>
      </c>
      <c r="G2997" s="4">
        <f t="array" ref="G2997">IFERROR((C2997-B2997)/C2997*100, "N/A")</f>
        <v>-81.52598</v>
      </c>
      <c r="J2997" s="1"/>
      <c r="K2997" s="1"/>
    </row>
    <row r="2998" ht="14.25" customHeight="1">
      <c r="A2998" s="1" t="s">
        <v>14198</v>
      </c>
      <c r="B2998" s="1">
        <v>8000000.0</v>
      </c>
      <c r="C2998" s="1">
        <v>1.0814185E7</v>
      </c>
      <c r="F2998" s="4">
        <v>2814185.0</v>
      </c>
      <c r="G2998" s="4">
        <f t="array" ref="G2998">IFERROR((C2998-B2998)/C2998*100, "N/A")</f>
        <v>26.02308912</v>
      </c>
      <c r="J2998" s="1"/>
      <c r="K2998" s="1"/>
    </row>
    <row r="2999" ht="14.25" customHeight="1">
      <c r="A2999" s="1" t="s">
        <v>14201</v>
      </c>
      <c r="B2999" s="1">
        <v>7500000.0</v>
      </c>
      <c r="C2999" s="1">
        <v>197148.0</v>
      </c>
      <c r="F2999" s="4">
        <v>-7302852.0</v>
      </c>
      <c r="G2999" s="4">
        <f t="array" ref="G2999">IFERROR((C2999-B2999)/C2999*100, "N/A")</f>
        <v>-3704.248585</v>
      </c>
      <c r="J2999" s="1"/>
      <c r="K2999" s="1"/>
    </row>
    <row r="3000" ht="14.25" customHeight="1">
      <c r="A3000" s="1" t="s">
        <v>13494</v>
      </c>
      <c r="B3000" s="1">
        <v>6500000.0</v>
      </c>
      <c r="C3000" s="1">
        <v>5.4557348E7</v>
      </c>
      <c r="F3000" s="4">
        <v>4.8057348E7</v>
      </c>
      <c r="G3000" s="4">
        <f t="array" ref="G3000">IFERROR((C3000-B3000)/C3000*100, "N/A")</f>
        <v>88.08593116</v>
      </c>
      <c r="J3000" s="1"/>
      <c r="K3000" s="1"/>
    </row>
    <row r="3001" ht="14.25" customHeight="1">
      <c r="A3001" s="1" t="s">
        <v>14207</v>
      </c>
      <c r="B3001" s="1">
        <v>8000000.0</v>
      </c>
      <c r="C3001" s="1">
        <v>3014541.0</v>
      </c>
      <c r="F3001" s="4">
        <v>-4985459.0</v>
      </c>
      <c r="G3001" s="4">
        <f t="array" ref="G3001">IFERROR((C3001-B3001)/C3001*100, "N/A")</f>
        <v>-165.380368</v>
      </c>
      <c r="J3001" s="1"/>
      <c r="K3001" s="1"/>
    </row>
    <row r="3002" ht="14.25" customHeight="1">
      <c r="A3002" s="1" t="s">
        <v>14212</v>
      </c>
      <c r="B3002" s="1">
        <v>7300000.0</v>
      </c>
      <c r="C3002" s="1">
        <v>4443403.0</v>
      </c>
      <c r="F3002" s="4">
        <v>-2856597.0</v>
      </c>
      <c r="G3002" s="4">
        <f t="array" ref="G3002">IFERROR((C3002-B3002)/C3002*100, "N/A")</f>
        <v>-64.2884969</v>
      </c>
      <c r="J3002" s="1"/>
      <c r="K3002" s="1"/>
    </row>
    <row r="3003" ht="14.25" customHeight="1">
      <c r="A3003" s="1" t="s">
        <v>14217</v>
      </c>
      <c r="B3003" s="1">
        <v>7000000.0</v>
      </c>
      <c r="C3003" s="1">
        <v>1330827.0</v>
      </c>
      <c r="F3003" s="4">
        <v>-5669173.0</v>
      </c>
      <c r="G3003" s="4">
        <f t="array" ref="G3003">IFERROR((C3003-B3003)/C3003*100, "N/A")</f>
        <v>-425.9887273</v>
      </c>
      <c r="J3003" s="1"/>
      <c r="K3003" s="1"/>
    </row>
    <row r="3004" ht="14.25" customHeight="1">
      <c r="A3004" s="1" t="s">
        <v>14222</v>
      </c>
      <c r="B3004" s="1">
        <v>7300000.0</v>
      </c>
      <c r="C3004" s="1">
        <v>1818681.0</v>
      </c>
      <c r="F3004" s="4">
        <v>-5481319.0</v>
      </c>
      <c r="G3004" s="4">
        <f t="array" ref="G3004">IFERROR((C3004-B3004)/C3004*100, "N/A")</f>
        <v>-301.3897984</v>
      </c>
      <c r="J3004" s="1"/>
      <c r="K3004" s="1"/>
    </row>
    <row r="3005" ht="14.25" customHeight="1">
      <c r="A3005" s="1" t="s">
        <v>72</v>
      </c>
      <c r="B3005" s="1">
        <v>2.58E8</v>
      </c>
      <c r="C3005" s="1">
        <v>3.36530303E8</v>
      </c>
      <c r="F3005" s="4">
        <v>7.8530303E7</v>
      </c>
      <c r="G3005" s="4">
        <f t="array" ref="G3005">IFERROR((C3005-B3005)/C3005*100, "N/A")</f>
        <v>23.33528431</v>
      </c>
      <c r="J3005" s="1"/>
      <c r="K3005" s="1"/>
    </row>
    <row r="3006" ht="14.25" customHeight="1">
      <c r="A3006" s="1" t="s">
        <v>14226</v>
      </c>
      <c r="B3006" s="1">
        <v>7500000.0</v>
      </c>
      <c r="C3006" s="1">
        <v>1.2610552E7</v>
      </c>
      <c r="F3006" s="4">
        <v>5110552.0</v>
      </c>
      <c r="G3006" s="4">
        <f t="array" ref="G3006">IFERROR((C3006-B3006)/C3006*100, "N/A")</f>
        <v>40.52599759</v>
      </c>
      <c r="J3006" s="1"/>
      <c r="K3006" s="1"/>
    </row>
    <row r="3007" ht="14.25" customHeight="1">
      <c r="A3007" s="1" t="s">
        <v>14231</v>
      </c>
      <c r="B3007" s="1">
        <v>7500000.0</v>
      </c>
      <c r="C3007" s="1">
        <v>1.4349284E8</v>
      </c>
      <c r="F3007" s="4">
        <v>1.3599284E8</v>
      </c>
      <c r="G3007" s="4">
        <f t="array" ref="G3007">IFERROR((C3007-B3007)/C3007*100, "N/A")</f>
        <v>94.77325837</v>
      </c>
      <c r="J3007" s="1"/>
      <c r="K3007" s="1"/>
    </row>
    <row r="3008" ht="14.25" customHeight="1">
      <c r="A3008" s="1" t="s">
        <v>14235</v>
      </c>
      <c r="B3008" s="1">
        <v>7200000.0</v>
      </c>
      <c r="C3008" s="1">
        <v>4.38E7</v>
      </c>
      <c r="F3008" s="4">
        <v>3.66E7</v>
      </c>
      <c r="G3008" s="4">
        <f t="array" ref="G3008">IFERROR((C3008-B3008)/C3008*100, "N/A")</f>
        <v>83.56164384</v>
      </c>
      <c r="J3008" s="1"/>
      <c r="K3008" s="1"/>
    </row>
    <row r="3009" ht="14.25" customHeight="1">
      <c r="A3009" s="1" t="s">
        <v>14240</v>
      </c>
      <c r="B3009" s="1">
        <v>6000000.0</v>
      </c>
      <c r="C3009" s="1">
        <v>1.34821952E8</v>
      </c>
      <c r="F3009" s="4">
        <v>1.28821952E8</v>
      </c>
      <c r="G3009" s="4">
        <f t="array" ref="G3009">IFERROR((C3009-B3009)/C3009*100, "N/A")</f>
        <v>95.54968615</v>
      </c>
      <c r="J3009" s="1"/>
      <c r="K3009" s="1"/>
    </row>
    <row r="3010" ht="14.25" customHeight="1">
      <c r="A3010" s="1" t="s">
        <v>14243</v>
      </c>
      <c r="B3010" s="1">
        <v>4000000.0</v>
      </c>
      <c r="C3010" s="1">
        <v>9.49E7</v>
      </c>
      <c r="F3010" s="4">
        <v>9.09E7</v>
      </c>
      <c r="G3010" s="4">
        <f t="array" ref="G3010">IFERROR((C3010-B3010)/C3010*100, "N/A")</f>
        <v>95.78503688</v>
      </c>
      <c r="J3010" s="1"/>
      <c r="K3010" s="1"/>
    </row>
    <row r="3011" ht="14.25" customHeight="1">
      <c r="A3011" s="1" t="s">
        <v>14248</v>
      </c>
      <c r="B3011" s="1">
        <v>7500000.0</v>
      </c>
      <c r="C3011" s="1">
        <v>3.2391374E7</v>
      </c>
      <c r="F3011" s="4">
        <v>2.4891374E7</v>
      </c>
      <c r="G3011" s="4">
        <f t="array" ref="G3011">IFERROR((C3011-B3011)/C3011*100, "N/A")</f>
        <v>76.84568737</v>
      </c>
      <c r="J3011" s="1"/>
      <c r="K3011" s="1"/>
    </row>
    <row r="3012" ht="14.25" customHeight="1">
      <c r="A3012" s="1" t="s">
        <v>14251</v>
      </c>
      <c r="B3012" s="1">
        <v>7000000.0</v>
      </c>
      <c r="C3012" s="1">
        <v>4.0158E7</v>
      </c>
      <c r="F3012" s="4">
        <v>3.3158E7</v>
      </c>
      <c r="G3012" s="4">
        <f t="array" ref="G3012">IFERROR((C3012-B3012)/C3012*100, "N/A")</f>
        <v>82.56885303</v>
      </c>
      <c r="J3012" s="1"/>
      <c r="K3012" s="1"/>
    </row>
    <row r="3013" ht="14.25" customHeight="1">
      <c r="A3013" s="1" t="s">
        <v>14256</v>
      </c>
      <c r="B3013" s="1">
        <v>7000000.0</v>
      </c>
      <c r="C3013" s="1">
        <v>1.13709992E8</v>
      </c>
      <c r="F3013" s="4">
        <v>1.06709992E8</v>
      </c>
      <c r="G3013" s="4">
        <f t="array" ref="G3013">IFERROR((C3013-B3013)/C3013*100, "N/A")</f>
        <v>93.84398866</v>
      </c>
      <c r="J3013" s="1"/>
      <c r="K3013" s="1"/>
    </row>
    <row r="3014" ht="14.25" customHeight="1">
      <c r="A3014" s="1" t="s">
        <v>14259</v>
      </c>
      <c r="B3014" s="1">
        <v>1.1E7</v>
      </c>
      <c r="C3014" s="1">
        <v>3.2131483E7</v>
      </c>
      <c r="F3014" s="4">
        <v>2.1131483E7</v>
      </c>
      <c r="G3014" s="4">
        <f t="array" ref="G3014">IFERROR((C3014-B3014)/C3014*100, "N/A")</f>
        <v>65.76566354</v>
      </c>
      <c r="J3014" s="1"/>
      <c r="K3014" s="1"/>
    </row>
    <row r="3015" ht="14.25" customHeight="1">
      <c r="A3015" s="1" t="s">
        <v>14264</v>
      </c>
      <c r="B3015" s="1">
        <v>7000000.0</v>
      </c>
      <c r="C3015" s="1">
        <v>3.54E7</v>
      </c>
      <c r="F3015" s="4">
        <v>2.84E7</v>
      </c>
      <c r="G3015" s="4">
        <f t="array" ref="G3015">IFERROR((C3015-B3015)/C3015*100, "N/A")</f>
        <v>80.2259887</v>
      </c>
      <c r="J3015" s="1"/>
      <c r="K3015" s="1"/>
    </row>
    <row r="3016" ht="14.25" customHeight="1">
      <c r="A3016" s="1" t="s">
        <v>14268</v>
      </c>
      <c r="B3016" s="1">
        <v>5000000.0</v>
      </c>
      <c r="C3016" s="1">
        <v>3.409964E7</v>
      </c>
      <c r="F3016" s="4">
        <v>2.909964E7</v>
      </c>
      <c r="G3016" s="4">
        <f t="array" ref="G3016">IFERROR((C3016-B3016)/C3016*100, "N/A")</f>
        <v>85.3370886</v>
      </c>
      <c r="J3016" s="1"/>
      <c r="K3016" s="1"/>
    </row>
    <row r="3017" ht="14.25" customHeight="1">
      <c r="A3017" s="1" t="s">
        <v>14272</v>
      </c>
      <c r="B3017" s="1">
        <v>6600000.0</v>
      </c>
      <c r="C3017" s="1">
        <v>3.7295394E7</v>
      </c>
      <c r="F3017" s="4">
        <v>3.0695394E7</v>
      </c>
      <c r="G3017" s="4">
        <f t="array" ref="G3017">IFERROR((C3017-B3017)/C3017*100, "N/A")</f>
        <v>82.30344476</v>
      </c>
      <c r="J3017" s="1"/>
      <c r="K3017" s="1"/>
    </row>
    <row r="3018" ht="14.25" customHeight="1">
      <c r="A3018" s="1" t="s">
        <v>357</v>
      </c>
      <c r="B3018" s="1">
        <v>1.05E8</v>
      </c>
      <c r="C3018" s="1">
        <v>1.44812796E8</v>
      </c>
      <c r="F3018" s="4">
        <v>3.9812796E7</v>
      </c>
      <c r="G3018" s="4">
        <f t="array" ref="G3018">IFERROR((C3018-B3018)/C3018*100, "N/A")</f>
        <v>27.49259534</v>
      </c>
      <c r="J3018" s="1"/>
      <c r="K3018" s="1"/>
    </row>
    <row r="3019" ht="14.25" customHeight="1">
      <c r="A3019" s="1" t="s">
        <v>14275</v>
      </c>
      <c r="B3019" s="1">
        <v>7500000.0</v>
      </c>
      <c r="C3019" s="1">
        <v>3.1501218E7</v>
      </c>
      <c r="F3019" s="4">
        <v>2.4001218E7</v>
      </c>
      <c r="G3019" s="4">
        <f t="array" ref="G3019">IFERROR((C3019-B3019)/C3019*100, "N/A")</f>
        <v>76.19139679</v>
      </c>
      <c r="J3019" s="1"/>
      <c r="K3019" s="1"/>
    </row>
    <row r="3020" ht="14.25" customHeight="1">
      <c r="A3020" s="1" t="s">
        <v>14278</v>
      </c>
      <c r="B3020" s="1">
        <v>7000000.0</v>
      </c>
      <c r="C3020" s="1">
        <v>2.874757E7</v>
      </c>
      <c r="F3020" s="4">
        <v>2.174757E7</v>
      </c>
      <c r="G3020" s="4">
        <f t="array" ref="G3020">IFERROR((C3020-B3020)/C3020*100, "N/A")</f>
        <v>75.65011582</v>
      </c>
      <c r="J3020" s="1"/>
      <c r="K3020" s="1"/>
    </row>
    <row r="3021" ht="14.25" customHeight="1">
      <c r="A3021" s="1" t="s">
        <v>14283</v>
      </c>
      <c r="B3021" s="1">
        <v>7000000.0</v>
      </c>
      <c r="C3021" s="1">
        <v>2.562511E7</v>
      </c>
      <c r="F3021" s="4">
        <v>1.862511E7</v>
      </c>
      <c r="G3021" s="4">
        <f t="array" ref="G3021">IFERROR((C3021-B3021)/C3021*100, "N/A")</f>
        <v>72.68304409</v>
      </c>
      <c r="J3021" s="1"/>
      <c r="K3021" s="1"/>
    </row>
    <row r="3022" ht="14.25" customHeight="1">
      <c r="A3022" s="1" t="s">
        <v>12433</v>
      </c>
      <c r="B3022" s="1">
        <v>2.0E7</v>
      </c>
      <c r="C3022" s="1">
        <v>403932.0</v>
      </c>
      <c r="F3022" s="4">
        <v>-1.9596068E7</v>
      </c>
      <c r="G3022" s="4">
        <f t="array" ref="G3022">IFERROR((C3022-B3022)/C3022*100, "N/A")</f>
        <v>-4851.328441</v>
      </c>
      <c r="J3022" s="1"/>
      <c r="K3022" s="1"/>
    </row>
    <row r="3023" ht="14.25" customHeight="1">
      <c r="A3023" s="1" t="s">
        <v>14287</v>
      </c>
      <c r="B3023" s="1">
        <v>9000000.0</v>
      </c>
      <c r="C3023" s="1">
        <v>2.5E7</v>
      </c>
      <c r="F3023" s="4">
        <v>1.6E7</v>
      </c>
      <c r="G3023" s="4">
        <f t="array" ref="G3023">IFERROR((C3023-B3023)/C3023*100, "N/A")</f>
        <v>64</v>
      </c>
      <c r="J3023" s="1"/>
      <c r="K3023" s="1"/>
    </row>
    <row r="3024" ht="14.25" customHeight="1">
      <c r="A3024" s="1" t="s">
        <v>14292</v>
      </c>
      <c r="B3024" s="1">
        <v>1.3E7</v>
      </c>
      <c r="C3024" s="1">
        <v>2.1E7</v>
      </c>
      <c r="F3024" s="4">
        <v>8000000.0</v>
      </c>
      <c r="G3024" s="4">
        <f t="array" ref="G3024">IFERROR((C3024-B3024)/C3024*100, "N/A")</f>
        <v>38.0952381</v>
      </c>
      <c r="J3024" s="1"/>
      <c r="K3024" s="1"/>
    </row>
    <row r="3025" ht="14.25" customHeight="1">
      <c r="A3025" s="1" t="s">
        <v>14296</v>
      </c>
      <c r="B3025" s="1">
        <v>7000000.0</v>
      </c>
      <c r="C3025" s="1">
        <v>2.0257E7</v>
      </c>
      <c r="F3025" s="4">
        <v>1.3257E7</v>
      </c>
      <c r="G3025" s="4">
        <f t="array" ref="G3025">IFERROR((C3025-B3025)/C3025*100, "N/A")</f>
        <v>65.44404403</v>
      </c>
      <c r="J3025" s="1"/>
      <c r="K3025" s="1"/>
    </row>
    <row r="3026" ht="14.25" customHeight="1">
      <c r="A3026" s="1" t="s">
        <v>14299</v>
      </c>
      <c r="B3026" s="1">
        <v>3500000.0</v>
      </c>
      <c r="C3026" s="1">
        <v>2.6005908E7</v>
      </c>
      <c r="F3026" s="4">
        <v>2.2505908E7</v>
      </c>
      <c r="G3026" s="4">
        <f t="array" ref="G3026">IFERROR((C3026-B3026)/C3026*100, "N/A")</f>
        <v>86.54151972</v>
      </c>
      <c r="J3026" s="1"/>
      <c r="K3026" s="1"/>
    </row>
    <row r="3027" ht="14.25" customHeight="1">
      <c r="A3027" s="1" t="s">
        <v>14306</v>
      </c>
      <c r="B3027" s="1">
        <v>7000000.0</v>
      </c>
      <c r="C3027" s="1">
        <v>1.5818967E7</v>
      </c>
      <c r="F3027" s="4">
        <v>8818967.0</v>
      </c>
      <c r="G3027" s="4">
        <f t="array" ref="G3027">IFERROR((C3027-B3027)/C3027*100, "N/A")</f>
        <v>55.74932295</v>
      </c>
      <c r="J3027" s="1"/>
      <c r="K3027" s="1"/>
    </row>
    <row r="3028" ht="14.25" customHeight="1">
      <c r="A3028" s="1" t="s">
        <v>14311</v>
      </c>
      <c r="B3028" s="1">
        <v>7000000.0</v>
      </c>
      <c r="C3028" s="1">
        <v>1.4891E7</v>
      </c>
      <c r="F3028" s="4">
        <v>7891000.0</v>
      </c>
      <c r="G3028" s="4">
        <f t="array" ref="G3028">IFERROR((C3028-B3028)/C3028*100, "N/A")</f>
        <v>52.99173998</v>
      </c>
      <c r="J3028" s="1"/>
      <c r="K3028" s="1"/>
    </row>
    <row r="3029" ht="14.25" customHeight="1">
      <c r="A3029" s="1" t="s">
        <v>14315</v>
      </c>
      <c r="B3029" s="1">
        <v>7000000.0</v>
      </c>
      <c r="C3029" s="1">
        <v>1.6901126E7</v>
      </c>
      <c r="F3029" s="4">
        <v>9901126.0</v>
      </c>
      <c r="G3029" s="4">
        <f t="array" ref="G3029">IFERROR((C3029-B3029)/C3029*100, "N/A")</f>
        <v>58.58264118</v>
      </c>
      <c r="J3029" s="1"/>
      <c r="K3029" s="1"/>
    </row>
    <row r="3030" ht="14.25" customHeight="1">
      <c r="A3030" s="1" t="s">
        <v>14320</v>
      </c>
      <c r="B3030" s="1">
        <v>7000000.0</v>
      </c>
      <c r="C3030" s="1">
        <v>1.7474107E7</v>
      </c>
      <c r="F3030" s="4">
        <v>1.0474107E7</v>
      </c>
      <c r="G3030" s="4">
        <f t="array" ref="G3030">IFERROR((C3030-B3030)/C3030*100, "N/A")</f>
        <v>59.9407283</v>
      </c>
      <c r="J3030" s="1"/>
      <c r="K3030" s="1"/>
    </row>
    <row r="3031" ht="14.25" customHeight="1">
      <c r="A3031" s="1" t="s">
        <v>14324</v>
      </c>
      <c r="B3031" s="1">
        <v>7000000.0</v>
      </c>
      <c r="C3031" s="1">
        <v>1.4003141E7</v>
      </c>
      <c r="F3031" s="4">
        <v>7003141.0</v>
      </c>
      <c r="G3031" s="4">
        <f t="array" ref="G3031">IFERROR((C3031-B3031)/C3031*100, "N/A")</f>
        <v>50.01121534</v>
      </c>
      <c r="J3031" s="1"/>
      <c r="K3031" s="1"/>
    </row>
    <row r="3032" ht="14.25" customHeight="1">
      <c r="A3032" s="1" t="s">
        <v>232</v>
      </c>
      <c r="B3032" s="1">
        <v>2.0E8</v>
      </c>
      <c r="C3032" s="1">
        <v>3.04360277E8</v>
      </c>
      <c r="F3032" s="4">
        <v>1.04360277E8</v>
      </c>
      <c r="G3032" s="4">
        <f t="array" ref="G3032">IFERROR((C3032-B3032)/C3032*100, "N/A")</f>
        <v>34.28840256</v>
      </c>
      <c r="J3032" s="1"/>
      <c r="K3032" s="1"/>
    </row>
    <row r="3033" ht="14.25" customHeight="1">
      <c r="A3033" s="1" t="s">
        <v>14327</v>
      </c>
      <c r="B3033" s="1">
        <v>7000000.0</v>
      </c>
      <c r="C3033" s="1">
        <v>1.258351E7</v>
      </c>
      <c r="F3033" s="4">
        <v>5583510.0</v>
      </c>
      <c r="G3033" s="4">
        <f t="array" ref="G3033">IFERROR((C3033-B3033)/C3033*100, "N/A")</f>
        <v>44.37164193</v>
      </c>
      <c r="J3033" s="1"/>
      <c r="K3033" s="1"/>
    </row>
    <row r="3034" ht="14.25" customHeight="1">
      <c r="A3034" s="1" t="s">
        <v>14332</v>
      </c>
      <c r="B3034" s="1">
        <v>7000000.0</v>
      </c>
      <c r="C3034" s="1">
        <v>9190525.0</v>
      </c>
      <c r="F3034" s="4">
        <v>2190525.0</v>
      </c>
      <c r="G3034" s="4">
        <f t="array" ref="G3034">IFERROR((C3034-B3034)/C3034*100, "N/A")</f>
        <v>23.8346014</v>
      </c>
      <c r="J3034" s="1"/>
      <c r="K3034" s="1"/>
    </row>
    <row r="3035" ht="14.25" customHeight="1">
      <c r="A3035" s="1" t="s">
        <v>14338</v>
      </c>
      <c r="B3035" s="1">
        <v>7500000.0</v>
      </c>
      <c r="C3035" s="1">
        <v>9176553.0</v>
      </c>
      <c r="F3035" s="4">
        <v>1676553.0</v>
      </c>
      <c r="G3035" s="4">
        <f t="array" ref="G3035">IFERROR((C3035-B3035)/C3035*100, "N/A")</f>
        <v>18.26996477</v>
      </c>
      <c r="J3035" s="1"/>
      <c r="K3035" s="1"/>
    </row>
    <row r="3036" ht="14.25" customHeight="1">
      <c r="A3036" s="1" t="s">
        <v>14341</v>
      </c>
      <c r="B3036" s="1">
        <v>7000000.0</v>
      </c>
      <c r="C3036" s="1">
        <v>9094451.0</v>
      </c>
      <c r="F3036" s="4">
        <v>2094451.0</v>
      </c>
      <c r="G3036" s="4">
        <f t="array" ref="G3036">IFERROR((C3036-B3036)/C3036*100, "N/A")</f>
        <v>23.02998829</v>
      </c>
      <c r="J3036" s="1"/>
      <c r="K3036" s="1"/>
    </row>
    <row r="3037" ht="14.25" customHeight="1">
      <c r="A3037" s="1" t="s">
        <v>14345</v>
      </c>
      <c r="B3037" s="1">
        <v>7000000.0</v>
      </c>
      <c r="C3037" s="1">
        <v>9166863.0</v>
      </c>
      <c r="F3037" s="4">
        <v>2166863.0</v>
      </c>
      <c r="G3037" s="4">
        <f t="array" ref="G3037">IFERROR((C3037-B3037)/C3037*100, "N/A")</f>
        <v>23.63799917</v>
      </c>
      <c r="J3037" s="1"/>
      <c r="K3037" s="1"/>
    </row>
    <row r="3038" ht="14.25" customHeight="1">
      <c r="A3038" s="1" t="s">
        <v>14349</v>
      </c>
      <c r="B3038" s="1">
        <v>7000000.0</v>
      </c>
      <c r="C3038" s="1">
        <v>8373585.0</v>
      </c>
      <c r="F3038" s="4">
        <v>1373585.0</v>
      </c>
      <c r="G3038" s="4">
        <f t="array" ref="G3038">IFERROR((C3038-B3038)/C3038*100, "N/A")</f>
        <v>16.40378643</v>
      </c>
      <c r="J3038" s="1"/>
      <c r="K3038" s="1"/>
    </row>
    <row r="3039" ht="14.25" customHeight="1">
      <c r="A3039" s="1" t="s">
        <v>14353</v>
      </c>
      <c r="B3039" s="1">
        <v>7000000.0</v>
      </c>
      <c r="C3039" s="1">
        <v>7292175.0</v>
      </c>
      <c r="F3039" s="4">
        <v>292175.0</v>
      </c>
      <c r="G3039" s="4">
        <f t="array" ref="G3039">IFERROR((C3039-B3039)/C3039*100, "N/A")</f>
        <v>4.006692105</v>
      </c>
      <c r="J3039" s="1"/>
      <c r="K3039" s="1"/>
    </row>
    <row r="3040" ht="14.25" customHeight="1">
      <c r="A3040" s="1" t="s">
        <v>14359</v>
      </c>
      <c r="B3040" s="1">
        <v>7000000.0</v>
      </c>
      <c r="C3040" s="1">
        <v>6601079.0</v>
      </c>
      <c r="F3040" s="4">
        <v>-398921.0</v>
      </c>
      <c r="G3040" s="4">
        <f t="array" ref="G3040">IFERROR((C3040-B3040)/C3040*100, "N/A")</f>
        <v>-6.043269593</v>
      </c>
      <c r="J3040" s="1"/>
      <c r="K3040" s="1"/>
    </row>
    <row r="3041" ht="14.25" customHeight="1">
      <c r="A3041" s="1" t="s">
        <v>14363</v>
      </c>
      <c r="B3041" s="1">
        <v>6000000.0</v>
      </c>
      <c r="C3041" s="1">
        <v>6165429.0</v>
      </c>
      <c r="F3041" s="4">
        <v>165429.0</v>
      </c>
      <c r="G3041" s="4">
        <f t="array" ref="G3041">IFERROR((C3041-B3041)/C3041*100, "N/A")</f>
        <v>2.683170952</v>
      </c>
      <c r="J3041" s="1"/>
      <c r="K3041" s="1"/>
    </row>
    <row r="3042" ht="14.25" customHeight="1">
      <c r="A3042" s="1" t="s">
        <v>14369</v>
      </c>
      <c r="B3042" s="1">
        <v>7000000.0</v>
      </c>
      <c r="C3042" s="1">
        <v>5694308.0</v>
      </c>
      <c r="F3042" s="4">
        <v>-1305692.0</v>
      </c>
      <c r="G3042" s="4">
        <f t="array" ref="G3042">IFERROR((C3042-B3042)/C3042*100, "N/A")</f>
        <v>-22.92977479</v>
      </c>
      <c r="J3042" s="1"/>
      <c r="K3042" s="1"/>
    </row>
    <row r="3043" ht="14.25" customHeight="1">
      <c r="A3043" s="1" t="s">
        <v>14374</v>
      </c>
      <c r="B3043" s="1">
        <v>7000000.0</v>
      </c>
      <c r="C3043" s="1">
        <v>5430822.0</v>
      </c>
      <c r="F3043" s="4">
        <v>-1569178.0</v>
      </c>
      <c r="G3043" s="4">
        <f t="array" ref="G3043">IFERROR((C3043-B3043)/C3043*100, "N/A")</f>
        <v>-28.89393171</v>
      </c>
      <c r="J3043" s="1"/>
      <c r="K3043" s="1"/>
    </row>
    <row r="3044" ht="14.25" customHeight="1">
      <c r="A3044" s="1" t="s">
        <v>14381</v>
      </c>
      <c r="B3044" s="1">
        <v>7000000.0</v>
      </c>
      <c r="C3044" s="1">
        <v>4720371.0</v>
      </c>
      <c r="F3044" s="4">
        <v>-2279629.0</v>
      </c>
      <c r="G3044" s="4">
        <f t="array" ref="G3044">IFERROR((C3044-B3044)/C3044*100, "N/A")</f>
        <v>-48.29342863</v>
      </c>
      <c r="J3044" s="1"/>
      <c r="K3044" s="1"/>
    </row>
    <row r="3045" ht="14.25" customHeight="1">
      <c r="A3045" s="1" t="s">
        <v>14386</v>
      </c>
      <c r="B3045" s="1">
        <v>7000000.0</v>
      </c>
      <c r="C3045" s="1">
        <v>2344847.0</v>
      </c>
      <c r="F3045" s="4">
        <v>-4655153.0</v>
      </c>
      <c r="G3045" s="4">
        <f t="array" ref="G3045">IFERROR((C3045-B3045)/C3045*100, "N/A")</f>
        <v>-198.5269401</v>
      </c>
      <c r="J3045" s="1"/>
      <c r="K3045" s="1"/>
    </row>
    <row r="3046" ht="14.25" customHeight="1">
      <c r="A3046" s="1" t="s">
        <v>14390</v>
      </c>
      <c r="B3046" s="1">
        <v>7000000.0</v>
      </c>
      <c r="C3046" s="1">
        <v>7455447.0</v>
      </c>
      <c r="F3046" s="4">
        <v>455447.0</v>
      </c>
      <c r="G3046" s="4">
        <f t="array" ref="G3046">IFERROR((C3046-B3046)/C3046*100, "N/A")</f>
        <v>6.108916072</v>
      </c>
      <c r="J3046" s="1"/>
      <c r="K3046" s="1"/>
    </row>
    <row r="3047" ht="14.25" customHeight="1">
      <c r="A3047" s="1" t="s">
        <v>14395</v>
      </c>
      <c r="B3047" s="1">
        <v>7000000.0</v>
      </c>
      <c r="C3047" s="1">
        <v>2148212.0</v>
      </c>
      <c r="F3047" s="4">
        <v>-4851788.0</v>
      </c>
      <c r="G3047" s="4">
        <f t="array" ref="G3047">IFERROR((C3047-B3047)/C3047*100, "N/A")</f>
        <v>-225.8523833</v>
      </c>
      <c r="J3047" s="1"/>
      <c r="K3047" s="1"/>
    </row>
    <row r="3048" ht="14.25" customHeight="1">
      <c r="A3048" s="1" t="s">
        <v>14400</v>
      </c>
      <c r="B3048" s="1">
        <v>7000000.0</v>
      </c>
      <c r="C3048" s="1">
        <v>2062066.0</v>
      </c>
      <c r="F3048" s="4">
        <v>-4937934.0</v>
      </c>
      <c r="G3048" s="4">
        <f t="array" ref="G3048">IFERROR((C3048-B3048)/C3048*100, "N/A")</f>
        <v>-239.4653711</v>
      </c>
      <c r="J3048" s="1"/>
      <c r="K3048" s="1"/>
    </row>
    <row r="3049" ht="14.25" customHeight="1">
      <c r="A3049" s="1" t="s">
        <v>14403</v>
      </c>
      <c r="B3049" s="1">
        <v>7000000.0</v>
      </c>
      <c r="C3049" s="1">
        <v>1654367.0</v>
      </c>
      <c r="F3049" s="4">
        <v>-5345633.0</v>
      </c>
      <c r="G3049" s="4">
        <f t="array" ref="G3049">IFERROR((C3049-B3049)/C3049*100, "N/A")</f>
        <v>-323.1225599</v>
      </c>
      <c r="J3049" s="1"/>
      <c r="K3049" s="1"/>
    </row>
    <row r="3050" ht="14.25" customHeight="1">
      <c r="A3050" s="1" t="s">
        <v>14407</v>
      </c>
      <c r="B3050" s="1">
        <v>7000000.0</v>
      </c>
      <c r="C3050" s="1">
        <v>1738692.0</v>
      </c>
      <c r="F3050" s="4">
        <v>-5261308.0</v>
      </c>
      <c r="G3050" s="4">
        <f t="array" ref="G3050">IFERROR((C3050-B3050)/C3050*100, "N/A")</f>
        <v>-302.6014958</v>
      </c>
      <c r="J3050" s="1"/>
      <c r="K3050" s="1"/>
    </row>
    <row r="3051" ht="14.25" customHeight="1">
      <c r="A3051" s="1" t="s">
        <v>14412</v>
      </c>
      <c r="B3051" s="1">
        <v>7000000.0</v>
      </c>
      <c r="C3051" s="1">
        <v>1889522.0</v>
      </c>
      <c r="F3051" s="4">
        <v>-5110478.0</v>
      </c>
      <c r="G3051" s="4">
        <f t="array" ref="G3051">IFERROR((C3051-B3051)/C3051*100, "N/A")</f>
        <v>-270.4640645</v>
      </c>
      <c r="J3051" s="1"/>
      <c r="K3051" s="1"/>
    </row>
    <row r="3052" ht="14.25" customHeight="1">
      <c r="A3052" s="1" t="s">
        <v>14416</v>
      </c>
      <c r="B3052" s="1">
        <v>4825000.0</v>
      </c>
      <c r="C3052" s="1">
        <v>1110286.0</v>
      </c>
      <c r="F3052" s="4">
        <v>-3714714.0</v>
      </c>
      <c r="G3052" s="4">
        <f t="array" ref="G3052">IFERROR((C3052-B3052)/C3052*100, "N/A")</f>
        <v>-334.5727137</v>
      </c>
      <c r="J3052" s="1"/>
      <c r="K3052" s="1"/>
    </row>
    <row r="3053" ht="14.25" customHeight="1">
      <c r="A3053" s="1" t="s">
        <v>14420</v>
      </c>
      <c r="B3053" s="1">
        <v>9000000.0</v>
      </c>
      <c r="C3053" s="1">
        <v>1000000.0</v>
      </c>
      <c r="F3053" s="4">
        <v>-8000000.0</v>
      </c>
      <c r="G3053" s="4">
        <f t="array" ref="G3053">IFERROR((C3053-B3053)/C3053*100, "N/A")</f>
        <v>-800</v>
      </c>
      <c r="J3053" s="1"/>
      <c r="K3053" s="1"/>
    </row>
    <row r="3054" ht="14.25" customHeight="1">
      <c r="A3054" s="1" t="s">
        <v>14425</v>
      </c>
      <c r="B3054" s="1">
        <v>5.0E7</v>
      </c>
      <c r="C3054" s="1">
        <v>700000.0</v>
      </c>
      <c r="F3054" s="4">
        <v>-4.93E7</v>
      </c>
      <c r="G3054" s="4">
        <f t="array" ref="G3054">IFERROR((C3054-B3054)/C3054*100, "N/A")</f>
        <v>-7042.857143</v>
      </c>
      <c r="J3054" s="1"/>
      <c r="K3054" s="1"/>
    </row>
    <row r="3055" ht="14.25" customHeight="1">
      <c r="A3055" s="1" t="s">
        <v>14430</v>
      </c>
      <c r="B3055" s="1">
        <v>7000000.0</v>
      </c>
      <c r="C3055" s="1">
        <v>1768416.0</v>
      </c>
      <c r="F3055" s="4">
        <v>-5231584.0</v>
      </c>
      <c r="G3055" s="4">
        <f t="array" ref="G3055">IFERROR((C3055-B3055)/C3055*100, "N/A")</f>
        <v>-295.8344643</v>
      </c>
      <c r="J3055" s="1"/>
      <c r="K3055" s="1"/>
    </row>
    <row r="3056" ht="14.25" customHeight="1">
      <c r="A3056" s="1" t="s">
        <v>14436</v>
      </c>
      <c r="B3056" s="1">
        <v>1.0E7</v>
      </c>
      <c r="C3056" s="1">
        <v>306715.0</v>
      </c>
      <c r="F3056" s="4">
        <v>-9693285.0</v>
      </c>
      <c r="G3056" s="4">
        <f t="array" ref="G3056">IFERROR((C3056-B3056)/C3056*100, "N/A")</f>
        <v>-3160.355705</v>
      </c>
      <c r="J3056" s="1"/>
      <c r="K3056" s="1"/>
    </row>
    <row r="3057" ht="14.25" customHeight="1">
      <c r="A3057" s="1" t="s">
        <v>14440</v>
      </c>
      <c r="B3057" s="1">
        <v>7000000.0</v>
      </c>
      <c r="C3057" s="1">
        <v>382946.0</v>
      </c>
      <c r="F3057" s="4">
        <v>-6617054.0</v>
      </c>
      <c r="G3057" s="4">
        <f t="array" ref="G3057">IFERROR((C3057-B3057)/C3057*100, "N/A")</f>
        <v>-1727.933965</v>
      </c>
      <c r="J3057" s="1"/>
      <c r="K3057" s="1"/>
    </row>
    <row r="3058" ht="14.25" customHeight="1">
      <c r="A3058" s="1" t="s">
        <v>14444</v>
      </c>
      <c r="B3058" s="1">
        <v>7000000.0</v>
      </c>
      <c r="C3058" s="1">
        <v>196067.0</v>
      </c>
      <c r="F3058" s="4">
        <v>-6803933.0</v>
      </c>
      <c r="G3058" s="4">
        <f t="array" ref="G3058">IFERROR((C3058-B3058)/C3058*100, "N/A")</f>
        <v>-3470.208143</v>
      </c>
      <c r="J3058" s="1"/>
      <c r="K3058" s="1"/>
    </row>
    <row r="3059" ht="14.25" customHeight="1">
      <c r="A3059" s="1" t="s">
        <v>14448</v>
      </c>
      <c r="B3059" s="1">
        <v>7000000.0</v>
      </c>
      <c r="C3059" s="1">
        <v>532988.0</v>
      </c>
      <c r="F3059" s="4">
        <v>-6467012.0</v>
      </c>
      <c r="G3059" s="4">
        <f t="array" ref="G3059">IFERROR((C3059-B3059)/C3059*100, "N/A")</f>
        <v>-1213.350394</v>
      </c>
      <c r="J3059" s="1"/>
      <c r="K3059" s="1"/>
    </row>
    <row r="3060" ht="14.25" customHeight="1">
      <c r="A3060" s="1" t="s">
        <v>14452</v>
      </c>
      <c r="B3060" s="1">
        <v>7000000.0</v>
      </c>
      <c r="C3060" s="1">
        <v>453079.0</v>
      </c>
      <c r="F3060" s="4">
        <v>-6546921.0</v>
      </c>
      <c r="G3060" s="4">
        <f t="array" ref="G3060">IFERROR((C3060-B3060)/C3060*100, "N/A")</f>
        <v>-1444.984429</v>
      </c>
      <c r="J3060" s="1"/>
      <c r="K3060" s="1"/>
    </row>
    <row r="3061" ht="14.25" customHeight="1">
      <c r="A3061" s="1" t="s">
        <v>14456</v>
      </c>
      <c r="B3061" s="1">
        <v>7000000.0</v>
      </c>
      <c r="C3061" s="1">
        <v>46451.0</v>
      </c>
      <c r="F3061" s="4">
        <v>-6953549.0</v>
      </c>
      <c r="G3061" s="4">
        <f t="array" ref="G3061">IFERROR((C3061-B3061)/C3061*100, "N/A")</f>
        <v>-14969.64328</v>
      </c>
      <c r="J3061" s="1"/>
      <c r="K3061" s="1"/>
    </row>
    <row r="3062" ht="14.25" customHeight="1">
      <c r="A3062" s="1" t="s">
        <v>14459</v>
      </c>
      <c r="B3062" s="1">
        <v>7000000.0</v>
      </c>
      <c r="C3062" s="1">
        <v>233103.0</v>
      </c>
      <c r="F3062" s="4">
        <v>-6766897.0</v>
      </c>
      <c r="G3062" s="4">
        <f t="array" ref="G3062">IFERROR((C3062-B3062)/C3062*100, "N/A")</f>
        <v>-2902.964355</v>
      </c>
      <c r="J3062" s="1"/>
      <c r="K3062" s="1"/>
    </row>
    <row r="3063" ht="14.25" customHeight="1">
      <c r="A3063" s="1" t="s">
        <v>14462</v>
      </c>
      <c r="B3063" s="1">
        <v>6900000.0</v>
      </c>
      <c r="C3063" s="1">
        <v>4.14E7</v>
      </c>
      <c r="F3063" s="4">
        <v>3.45E7</v>
      </c>
      <c r="G3063" s="4">
        <f t="array" ref="G3063">IFERROR((C3063-B3063)/C3063*100, "N/A")</f>
        <v>83.33333333</v>
      </c>
      <c r="J3063" s="1"/>
      <c r="K3063" s="1"/>
    </row>
    <row r="3064" ht="14.25" customHeight="1">
      <c r="A3064" s="1" t="s">
        <v>14467</v>
      </c>
      <c r="B3064" s="1">
        <v>6900000.0</v>
      </c>
      <c r="C3064" s="1">
        <v>7993039.0</v>
      </c>
      <c r="F3064" s="4">
        <v>1093039.0</v>
      </c>
      <c r="G3064" s="4">
        <f t="array" ref="G3064">IFERROR((C3064-B3064)/C3064*100, "N/A")</f>
        <v>13.67488636</v>
      </c>
      <c r="J3064" s="1"/>
      <c r="K3064" s="1"/>
    </row>
    <row r="3065" ht="14.25" customHeight="1">
      <c r="A3065" s="1" t="s">
        <v>14471</v>
      </c>
      <c r="B3065" s="1">
        <v>6800000.0</v>
      </c>
      <c r="C3065" s="1">
        <v>49526.0</v>
      </c>
      <c r="F3065" s="4">
        <v>-6750474.0</v>
      </c>
      <c r="G3065" s="4">
        <f t="array" ref="G3065">IFERROR((C3065-B3065)/C3065*100, "N/A")</f>
        <v>-13630.16194</v>
      </c>
      <c r="J3065" s="1"/>
      <c r="K3065" s="1"/>
    </row>
    <row r="3066" ht="14.25" customHeight="1">
      <c r="A3066" s="1" t="s">
        <v>14475</v>
      </c>
      <c r="B3066" s="1">
        <v>6800000.0</v>
      </c>
      <c r="C3066" s="1">
        <v>10696.0</v>
      </c>
      <c r="F3066" s="4">
        <v>-6789304.0</v>
      </c>
      <c r="G3066" s="4">
        <f t="array" ref="G3066">IFERROR((C3066-B3066)/C3066*100, "N/A")</f>
        <v>-63475.16829</v>
      </c>
      <c r="J3066" s="1"/>
      <c r="K3066" s="1"/>
    </row>
    <row r="3067" ht="14.25" customHeight="1">
      <c r="A3067" s="1" t="s">
        <v>14482</v>
      </c>
      <c r="B3067" s="1">
        <v>6900000.0</v>
      </c>
      <c r="C3067" s="1">
        <v>3.1607598E7</v>
      </c>
      <c r="F3067" s="4">
        <v>2.4707598E7</v>
      </c>
      <c r="G3067" s="4">
        <f t="array" ref="G3067">IFERROR((C3067-B3067)/C3067*100, "N/A")</f>
        <v>78.16980588</v>
      </c>
      <c r="J3067" s="1"/>
      <c r="K3067" s="1"/>
    </row>
    <row r="3068" ht="14.25" customHeight="1">
      <c r="A3068" s="1" t="s">
        <v>14486</v>
      </c>
      <c r="B3068" s="1">
        <v>6800000.0</v>
      </c>
      <c r="C3068" s="1">
        <v>6857096.0</v>
      </c>
      <c r="F3068" s="4">
        <v>57096.0</v>
      </c>
      <c r="G3068" s="4">
        <f t="array" ref="G3068">IFERROR((C3068-B3068)/C3068*100, "N/A")</f>
        <v>0.8326556898</v>
      </c>
      <c r="J3068" s="1"/>
      <c r="K3068" s="1"/>
    </row>
    <row r="3069" ht="14.25" customHeight="1">
      <c r="A3069" s="1" t="s">
        <v>14493</v>
      </c>
      <c r="B3069" s="1">
        <v>5000000.0</v>
      </c>
      <c r="C3069" s="1">
        <v>223878.0</v>
      </c>
      <c r="F3069" s="4">
        <v>-4776122.0</v>
      </c>
      <c r="G3069" s="4">
        <f t="array" ref="G3069">IFERROR((C3069-B3069)/C3069*100, "N/A")</f>
        <v>-2133.35924</v>
      </c>
      <c r="J3069" s="1"/>
      <c r="K3069" s="1"/>
    </row>
    <row r="3070" ht="14.25" customHeight="1">
      <c r="A3070" s="1" t="s">
        <v>14499</v>
      </c>
      <c r="B3070" s="1">
        <v>4000000.0</v>
      </c>
      <c r="C3070" s="1">
        <v>8060.0</v>
      </c>
      <c r="F3070" s="4">
        <v>-3991940.0</v>
      </c>
      <c r="G3070" s="4">
        <f t="array" ref="G3070">IFERROR((C3070-B3070)/C3070*100, "N/A")</f>
        <v>-49527.79156</v>
      </c>
      <c r="J3070" s="1"/>
      <c r="K3070" s="1"/>
    </row>
    <row r="3071" ht="14.25" customHeight="1">
      <c r="A3071" s="1" t="s">
        <v>14506</v>
      </c>
      <c r="B3071" s="1">
        <v>6500000.0</v>
      </c>
      <c r="C3071" s="1">
        <v>8.4263837E7</v>
      </c>
      <c r="F3071" s="4">
        <v>7.7763837E7</v>
      </c>
      <c r="G3071" s="4">
        <f t="array" ref="G3071">IFERROR((C3071-B3071)/C3071*100, "N/A")</f>
        <v>92.28613337</v>
      </c>
      <c r="J3071" s="1"/>
      <c r="K3071" s="1"/>
    </row>
    <row r="3072" ht="14.25" customHeight="1">
      <c r="A3072" s="1" t="s">
        <v>14512</v>
      </c>
      <c r="B3072" s="1">
        <v>6500000.0</v>
      </c>
      <c r="C3072" s="1">
        <v>110029.0</v>
      </c>
      <c r="F3072" s="4">
        <v>-6389971.0</v>
      </c>
      <c r="G3072" s="4">
        <f t="array" ref="G3072">IFERROR((C3072-B3072)/C3072*100, "N/A")</f>
        <v>-5807.533468</v>
      </c>
      <c r="J3072" s="1"/>
      <c r="K3072" s="1"/>
    </row>
    <row r="3073" ht="14.25" customHeight="1">
      <c r="A3073" s="1" t="s">
        <v>14518</v>
      </c>
      <c r="B3073" s="1">
        <v>6000000.0</v>
      </c>
      <c r="C3073" s="1">
        <v>5.7504069E7</v>
      </c>
      <c r="F3073" s="4">
        <v>5.1504069E7</v>
      </c>
      <c r="G3073" s="4">
        <f t="array" ref="G3073">IFERROR((C3073-B3073)/C3073*100, "N/A")</f>
        <v>89.56595576</v>
      </c>
      <c r="J3073" s="1"/>
      <c r="K3073" s="1"/>
    </row>
    <row r="3074" ht="14.25" customHeight="1">
      <c r="A3074" s="1" t="s">
        <v>14525</v>
      </c>
      <c r="B3074" s="1">
        <v>6500000.0</v>
      </c>
      <c r="C3074" s="1">
        <v>5.4215416E7</v>
      </c>
      <c r="F3074" s="4">
        <v>4.7715416E7</v>
      </c>
      <c r="G3074" s="4">
        <f t="array" ref="G3074">IFERROR((C3074-B3074)/C3074*100, "N/A")</f>
        <v>88.01079014</v>
      </c>
      <c r="J3074" s="1"/>
      <c r="K3074" s="1"/>
    </row>
    <row r="3075" ht="14.25" customHeight="1">
      <c r="A3075" s="1" t="s">
        <v>14530</v>
      </c>
      <c r="B3075" s="1">
        <v>6500000.0</v>
      </c>
      <c r="C3075" s="1">
        <v>3.1899E7</v>
      </c>
      <c r="F3075" s="4">
        <v>2.5399E7</v>
      </c>
      <c r="G3075" s="4">
        <f t="array" ref="G3075">IFERROR((C3075-B3075)/C3075*100, "N/A")</f>
        <v>79.62318568</v>
      </c>
      <c r="J3075" s="1"/>
      <c r="K3075" s="1"/>
    </row>
    <row r="3076" ht="14.25" customHeight="1">
      <c r="A3076" s="1" t="s">
        <v>14535</v>
      </c>
      <c r="B3076" s="1">
        <v>6500000.0</v>
      </c>
      <c r="C3076" s="1">
        <v>2.4103594E7</v>
      </c>
      <c r="F3076" s="4">
        <v>1.7603594E7</v>
      </c>
      <c r="G3076" s="4">
        <f t="array" ref="G3076">IFERROR((C3076-B3076)/C3076*100, "N/A")</f>
        <v>73.03306718</v>
      </c>
      <c r="J3076" s="1"/>
      <c r="K3076" s="1"/>
    </row>
    <row r="3077" ht="14.25" customHeight="1">
      <c r="A3077" s="1" t="s">
        <v>14539</v>
      </c>
      <c r="B3077" s="1">
        <v>6500000.0</v>
      </c>
      <c r="C3077" s="1">
        <v>1.6842303E7</v>
      </c>
      <c r="F3077" s="4">
        <v>1.0342303E7</v>
      </c>
      <c r="G3077" s="4">
        <f t="array" ref="G3077">IFERROR((C3077-B3077)/C3077*100, "N/A")</f>
        <v>61.40670311</v>
      </c>
      <c r="J3077" s="1"/>
      <c r="K3077" s="1"/>
    </row>
    <row r="3078" ht="14.25" customHeight="1">
      <c r="A3078" s="1" t="s">
        <v>14543</v>
      </c>
      <c r="B3078" s="1">
        <v>6500000.0</v>
      </c>
      <c r="C3078" s="1">
        <v>1.3367101E7</v>
      </c>
      <c r="F3078" s="4">
        <v>6867101.0</v>
      </c>
      <c r="G3078" s="4">
        <f t="array" ref="G3078">IFERROR((C3078-B3078)/C3078*100, "N/A")</f>
        <v>51.37315114</v>
      </c>
      <c r="J3078" s="1"/>
      <c r="K3078" s="1"/>
    </row>
    <row r="3079" ht="14.25" customHeight="1">
      <c r="A3079" s="1" t="s">
        <v>14549</v>
      </c>
      <c r="B3079" s="1">
        <v>6500000.0</v>
      </c>
      <c r="C3079" s="1">
        <v>1.0149779E7</v>
      </c>
      <c r="F3079" s="4">
        <v>3649779.0</v>
      </c>
      <c r="G3079" s="4">
        <f t="array" ref="G3079">IFERROR((C3079-B3079)/C3079*100, "N/A")</f>
        <v>35.95919675</v>
      </c>
      <c r="J3079" s="1"/>
      <c r="K3079" s="1"/>
    </row>
    <row r="3080" ht="14.25" customHeight="1">
      <c r="A3080" s="1" t="s">
        <v>14553</v>
      </c>
      <c r="B3080" s="1">
        <v>7000000.0</v>
      </c>
      <c r="C3080" s="1">
        <v>6173485.0</v>
      </c>
      <c r="F3080" s="4">
        <v>-826515.0</v>
      </c>
      <c r="G3080" s="4">
        <f t="array" ref="G3080">IFERROR((C3080-B3080)/C3080*100, "N/A")</f>
        <v>-13.388143</v>
      </c>
      <c r="J3080" s="1"/>
      <c r="K3080" s="1"/>
    </row>
    <row r="3081" ht="14.25" customHeight="1">
      <c r="A3081" s="1" t="s">
        <v>14559</v>
      </c>
      <c r="B3081" s="1">
        <v>6500000.0</v>
      </c>
      <c r="C3081" s="1">
        <v>4000304.0</v>
      </c>
      <c r="F3081" s="4">
        <v>-2499696.0</v>
      </c>
      <c r="G3081" s="4">
        <f t="array" ref="G3081">IFERROR((C3081-B3081)/C3081*100, "N/A")</f>
        <v>-62.48765094</v>
      </c>
      <c r="J3081" s="1"/>
      <c r="K3081" s="1"/>
    </row>
    <row r="3082" ht="14.25" customHeight="1">
      <c r="A3082" s="1" t="s">
        <v>14562</v>
      </c>
      <c r="B3082" s="1">
        <v>4000000.0</v>
      </c>
      <c r="C3082" s="1">
        <v>2338695.0</v>
      </c>
      <c r="F3082" s="4">
        <v>-1661305.0</v>
      </c>
      <c r="G3082" s="4">
        <f t="array" ref="G3082">IFERROR((C3082-B3082)/C3082*100, "N/A")</f>
        <v>-71.03555615</v>
      </c>
      <c r="J3082" s="1"/>
      <c r="K3082" s="1"/>
    </row>
    <row r="3083" ht="14.25" customHeight="1">
      <c r="A3083" s="1" t="s">
        <v>14566</v>
      </c>
      <c r="B3083" s="1">
        <v>6500000.0</v>
      </c>
      <c r="C3083" s="1">
        <v>2024854.0</v>
      </c>
      <c r="F3083" s="4">
        <v>-4475146.0</v>
      </c>
      <c r="G3083" s="4">
        <f t="array" ref="G3083">IFERROR((C3083-B3083)/C3083*100, "N/A")</f>
        <v>-221.0107988</v>
      </c>
      <c r="J3083" s="1"/>
      <c r="K3083" s="1"/>
    </row>
    <row r="3084" ht="14.25" customHeight="1">
      <c r="A3084" s="1" t="s">
        <v>14572</v>
      </c>
      <c r="B3084" s="1">
        <v>6500000.0</v>
      </c>
      <c r="C3084" s="1">
        <v>2268296.0</v>
      </c>
      <c r="F3084" s="4">
        <v>-4231704.0</v>
      </c>
      <c r="G3084" s="4">
        <f t="array" ref="G3084">IFERROR((C3084-B3084)/C3084*100, "N/A")</f>
        <v>-186.5587207</v>
      </c>
      <c r="J3084" s="1"/>
      <c r="K3084" s="1"/>
    </row>
    <row r="3085" ht="14.25" customHeight="1">
      <c r="A3085" s="1" t="s">
        <v>14575</v>
      </c>
      <c r="B3085" s="1">
        <v>6500000.0</v>
      </c>
      <c r="C3085" s="1">
        <v>1029017.0</v>
      </c>
      <c r="F3085" s="4">
        <v>-5470983.0</v>
      </c>
      <c r="G3085" s="4">
        <f t="array" ref="G3085">IFERROR((C3085-B3085)/C3085*100, "N/A")</f>
        <v>-531.6708082</v>
      </c>
      <c r="J3085" s="1"/>
      <c r="K3085" s="1"/>
    </row>
    <row r="3086" ht="14.25" customHeight="1">
      <c r="A3086" s="1" t="s">
        <v>14579</v>
      </c>
      <c r="B3086" s="1">
        <v>6500000.0</v>
      </c>
      <c r="C3086" s="1">
        <v>66637.0</v>
      </c>
      <c r="F3086" s="4">
        <v>-6433363.0</v>
      </c>
      <c r="G3086" s="4">
        <f t="array" ref="G3086">IFERROR((C3086-B3086)/C3086*100, "N/A")</f>
        <v>-9654.340682</v>
      </c>
      <c r="J3086" s="1"/>
      <c r="K3086" s="1"/>
    </row>
    <row r="3087" ht="14.25" customHeight="1">
      <c r="A3087" s="1" t="s">
        <v>14582</v>
      </c>
      <c r="B3087" s="1">
        <v>4500000.0</v>
      </c>
      <c r="C3087" s="1">
        <v>871577.0</v>
      </c>
      <c r="F3087" s="4">
        <v>-3628423.0</v>
      </c>
      <c r="G3087" s="4">
        <f t="array" ref="G3087">IFERROR((C3087-B3087)/C3087*100, "N/A")</f>
        <v>-416.3055014</v>
      </c>
      <c r="J3087" s="1"/>
      <c r="K3087" s="1"/>
    </row>
    <row r="3088" ht="14.25" customHeight="1">
      <c r="A3088" s="1" t="s">
        <v>14585</v>
      </c>
      <c r="B3088" s="1">
        <v>6500000.0</v>
      </c>
      <c r="C3088" s="1">
        <v>3.84E7</v>
      </c>
      <c r="F3088" s="4">
        <v>3.19E7</v>
      </c>
      <c r="G3088" s="4">
        <f t="array" ref="G3088">IFERROR((C3088-B3088)/C3088*100, "N/A")</f>
        <v>83.07291667</v>
      </c>
      <c r="J3088" s="1"/>
      <c r="K3088" s="1"/>
    </row>
    <row r="3089" ht="14.25" customHeight="1">
      <c r="A3089" s="1" t="s">
        <v>14590</v>
      </c>
      <c r="B3089" s="1">
        <v>4800000.0</v>
      </c>
      <c r="C3089" s="1">
        <v>4063859.0</v>
      </c>
      <c r="F3089" s="4">
        <v>-736141.0</v>
      </c>
      <c r="G3089" s="4">
        <f t="array" ref="G3089">IFERROR((C3089-B3089)/C3089*100, "N/A")</f>
        <v>-18.11433418</v>
      </c>
      <c r="J3089" s="1"/>
      <c r="K3089" s="1"/>
    </row>
    <row r="3090" ht="14.25" customHeight="1">
      <c r="A3090" s="1" t="s">
        <v>14595</v>
      </c>
      <c r="B3090" s="1">
        <v>1.0E7</v>
      </c>
      <c r="C3090" s="1">
        <v>449558.0</v>
      </c>
      <c r="F3090" s="4">
        <v>-9550442.0</v>
      </c>
      <c r="G3090" s="4">
        <f t="array" ref="G3090">IFERROR((C3090-B3090)/C3090*100, "N/A")</f>
        <v>-2124.407084</v>
      </c>
      <c r="J3090" s="1"/>
      <c r="K3090" s="1"/>
    </row>
    <row r="3091" ht="14.25" customHeight="1">
      <c r="A3091" s="1" t="s">
        <v>14600</v>
      </c>
      <c r="B3091" s="1">
        <v>6000000.0</v>
      </c>
      <c r="C3091" s="1">
        <v>2122561.0</v>
      </c>
      <c r="F3091" s="4">
        <v>-3877439.0</v>
      </c>
      <c r="G3091" s="4">
        <f t="array" ref="G3091">IFERROR((C3091-B3091)/C3091*100, "N/A")</f>
        <v>-182.6773883</v>
      </c>
      <c r="J3091" s="1"/>
      <c r="K3091" s="1"/>
    </row>
    <row r="3092" ht="14.25" customHeight="1">
      <c r="A3092" s="1" t="s">
        <v>14603</v>
      </c>
      <c r="B3092" s="1">
        <v>6000000.0</v>
      </c>
      <c r="C3092" s="1">
        <v>1.8136E8</v>
      </c>
      <c r="F3092" s="4">
        <v>1.7536E8</v>
      </c>
      <c r="G3092" s="4">
        <f t="array" ref="G3092">IFERROR((C3092-B3092)/C3092*100, "N/A")</f>
        <v>96.69166299</v>
      </c>
      <c r="J3092" s="1"/>
      <c r="K3092" s="1"/>
    </row>
    <row r="3093" ht="14.25" customHeight="1">
      <c r="A3093" s="1" t="s">
        <v>14608</v>
      </c>
      <c r="B3093" s="1">
        <v>6000000.0</v>
      </c>
      <c r="C3093" s="1">
        <v>1.37963328E8</v>
      </c>
      <c r="F3093" s="4">
        <v>1.31963328E8</v>
      </c>
      <c r="G3093" s="4">
        <f t="array" ref="G3093">IFERROR((C3093-B3093)/C3093*100, "N/A")</f>
        <v>95.65101822</v>
      </c>
      <c r="J3093" s="1"/>
      <c r="K3093" s="1"/>
    </row>
    <row r="3094" ht="14.25" customHeight="1">
      <c r="A3094" s="1" t="s">
        <v>14611</v>
      </c>
      <c r="B3094" s="1">
        <v>6000000.0</v>
      </c>
      <c r="C3094" s="1">
        <v>1.19078393E8</v>
      </c>
      <c r="F3094" s="4">
        <v>1.13078393E8</v>
      </c>
      <c r="G3094" s="4">
        <f t="array" ref="G3094">IFERROR((C3094-B3094)/C3094*100, "N/A")</f>
        <v>94.96130251</v>
      </c>
      <c r="J3094" s="1"/>
      <c r="K3094" s="1"/>
    </row>
    <row r="3095" ht="14.25" customHeight="1">
      <c r="A3095" s="1" t="s">
        <v>14619</v>
      </c>
      <c r="B3095" s="1">
        <v>6000000.0</v>
      </c>
      <c r="C3095" s="1">
        <v>1.023089E8</v>
      </c>
      <c r="F3095" s="4">
        <v>9.63089E7</v>
      </c>
      <c r="G3095" s="4">
        <f t="array" ref="G3095">IFERROR((C3095-B3095)/C3095*100, "N/A")</f>
        <v>94.13540757</v>
      </c>
      <c r="J3095" s="1"/>
      <c r="K3095" s="1"/>
    </row>
    <row r="3096" ht="14.25" customHeight="1">
      <c r="A3096" s="1" t="s">
        <v>14627</v>
      </c>
      <c r="B3096" s="1">
        <v>6000000.0</v>
      </c>
      <c r="C3096" s="1">
        <v>1.023E8</v>
      </c>
      <c r="F3096" s="4">
        <v>9.63E7</v>
      </c>
      <c r="G3096" s="4">
        <f t="array" ref="G3096">IFERROR((C3096-B3096)/C3096*100, "N/A")</f>
        <v>94.13489736</v>
      </c>
      <c r="J3096" s="1"/>
      <c r="K3096" s="1"/>
    </row>
    <row r="3097" ht="14.25" customHeight="1">
      <c r="A3097" s="1" t="s">
        <v>14634</v>
      </c>
      <c r="B3097" s="1">
        <v>6000000.0</v>
      </c>
      <c r="C3097" s="1">
        <v>5.48E7</v>
      </c>
      <c r="F3097" s="4">
        <v>4.88E7</v>
      </c>
      <c r="G3097" s="4">
        <f t="array" ref="G3097">IFERROR((C3097-B3097)/C3097*100, "N/A")</f>
        <v>89.05109489</v>
      </c>
      <c r="J3097" s="1"/>
      <c r="K3097" s="1"/>
    </row>
    <row r="3098" ht="14.25" customHeight="1">
      <c r="A3098" s="1" t="s">
        <v>1550</v>
      </c>
      <c r="B3098" s="1">
        <v>1.1E8</v>
      </c>
      <c r="C3098" s="1">
        <v>2.4004159E7</v>
      </c>
      <c r="F3098" s="4">
        <v>-8.5995841E7</v>
      </c>
      <c r="G3098" s="4">
        <f t="array" ref="G3098">IFERROR((C3098-B3098)/C3098*100, "N/A")</f>
        <v>-358.2539217</v>
      </c>
      <c r="J3098" s="1"/>
      <c r="K3098" s="1"/>
    </row>
    <row r="3099" ht="14.25" customHeight="1">
      <c r="A3099" s="1" t="s">
        <v>14638</v>
      </c>
      <c r="B3099" s="1">
        <v>6000000.0</v>
      </c>
      <c r="C3099" s="1">
        <v>4.365E7</v>
      </c>
      <c r="F3099" s="4">
        <v>3.765E7</v>
      </c>
      <c r="G3099" s="4">
        <f t="array" ref="G3099">IFERROR((C3099-B3099)/C3099*100, "N/A")</f>
        <v>86.25429553</v>
      </c>
      <c r="J3099" s="1"/>
      <c r="K3099" s="1"/>
    </row>
    <row r="3100" ht="14.25" customHeight="1">
      <c r="A3100" s="1" t="s">
        <v>14645</v>
      </c>
      <c r="B3100" s="1">
        <v>6000000.0</v>
      </c>
      <c r="C3100" s="1">
        <v>3.98E7</v>
      </c>
      <c r="F3100" s="4">
        <v>3.38E7</v>
      </c>
      <c r="G3100" s="4">
        <f t="array" ref="G3100">IFERROR((C3100-B3100)/C3100*100, "N/A")</f>
        <v>84.92462312</v>
      </c>
      <c r="J3100" s="1"/>
      <c r="K3100" s="1"/>
    </row>
    <row r="3101" ht="14.25" customHeight="1">
      <c r="A3101" s="1" t="s">
        <v>14650</v>
      </c>
      <c r="B3101" s="1">
        <v>6000000.0</v>
      </c>
      <c r="C3101" s="1">
        <v>2.7457409E7</v>
      </c>
      <c r="F3101" s="4">
        <v>2.1457409E7</v>
      </c>
      <c r="G3101" s="4">
        <f t="array" ref="G3101">IFERROR((C3101-B3101)/C3101*100, "N/A")</f>
        <v>78.14797456</v>
      </c>
      <c r="J3101" s="1"/>
      <c r="K3101" s="1"/>
    </row>
    <row r="3102" ht="14.25" customHeight="1">
      <c r="A3102" s="1" t="s">
        <v>14653</v>
      </c>
      <c r="B3102" s="1">
        <v>6000000.0</v>
      </c>
      <c r="C3102" s="1">
        <v>2.5047631E7</v>
      </c>
      <c r="F3102" s="4">
        <v>1.9047631E7</v>
      </c>
      <c r="G3102" s="4">
        <f t="array" ref="G3102">IFERROR((C3102-B3102)/C3102*100, "N/A")</f>
        <v>76.04563881</v>
      </c>
      <c r="J3102" s="1"/>
      <c r="K3102" s="1"/>
    </row>
    <row r="3103" ht="14.25" customHeight="1">
      <c r="A3103" s="1" t="s">
        <v>14656</v>
      </c>
      <c r="B3103" s="1">
        <v>6000000.0</v>
      </c>
      <c r="C3103" s="1">
        <v>2.3272306E7</v>
      </c>
      <c r="F3103" s="4">
        <v>1.7272306E7</v>
      </c>
      <c r="G3103" s="4">
        <f t="array" ref="G3103">IFERROR((C3103-B3103)/C3103*100, "N/A")</f>
        <v>74.21828331</v>
      </c>
      <c r="J3103" s="1"/>
      <c r="K3103" s="1"/>
    </row>
    <row r="3104" ht="14.25" customHeight="1">
      <c r="A3104" s="1" t="s">
        <v>14659</v>
      </c>
      <c r="B3104" s="1">
        <v>8000000.0</v>
      </c>
      <c r="C3104" s="1">
        <v>2.2168359E7</v>
      </c>
      <c r="F3104" s="4">
        <v>1.4168359E7</v>
      </c>
      <c r="G3104" s="4">
        <f t="array" ref="G3104">IFERROR((C3104-B3104)/C3104*100, "N/A")</f>
        <v>63.91252957</v>
      </c>
      <c r="J3104" s="1"/>
      <c r="K3104" s="1"/>
    </row>
    <row r="3105" ht="14.25" customHeight="1">
      <c r="A3105" s="1" t="s">
        <v>14666</v>
      </c>
      <c r="B3105" s="1">
        <v>6000000.0</v>
      </c>
      <c r="C3105" s="1">
        <v>2.1005329E7</v>
      </c>
      <c r="F3105" s="4">
        <v>1.5005329E7</v>
      </c>
      <c r="G3105" s="4">
        <f t="array" ref="G3105">IFERROR((C3105-B3105)/C3105*100, "N/A")</f>
        <v>71.43581993</v>
      </c>
      <c r="J3105" s="1"/>
      <c r="K3105" s="1"/>
    </row>
    <row r="3106" ht="14.25" customHeight="1">
      <c r="A3106" s="1" t="s">
        <v>14670</v>
      </c>
      <c r="B3106" s="1">
        <v>6000000.0</v>
      </c>
      <c r="C3106" s="1">
        <v>2.6236603E7</v>
      </c>
      <c r="F3106" s="4">
        <v>2.0236603E7</v>
      </c>
      <c r="G3106" s="4">
        <f t="array" ref="G3106">IFERROR((C3106-B3106)/C3106*100, "N/A")</f>
        <v>77.13118577</v>
      </c>
      <c r="J3106" s="1"/>
      <c r="K3106" s="1"/>
    </row>
    <row r="3107" ht="14.25" customHeight="1">
      <c r="A3107" s="1" t="s">
        <v>14676</v>
      </c>
      <c r="B3107" s="1">
        <v>8000000.0</v>
      </c>
      <c r="C3107" s="1">
        <v>2.04E7</v>
      </c>
      <c r="F3107" s="4">
        <v>1.24E7</v>
      </c>
      <c r="G3107" s="4">
        <f t="array" ref="G3107">IFERROR((C3107-B3107)/C3107*100, "N/A")</f>
        <v>60.78431373</v>
      </c>
      <c r="J3107" s="1"/>
      <c r="K3107" s="1"/>
    </row>
    <row r="3108" ht="14.25" customHeight="1">
      <c r="A3108" s="1" t="s">
        <v>14681</v>
      </c>
      <c r="B3108" s="1">
        <v>6000000.0</v>
      </c>
      <c r="C3108" s="1">
        <v>1.8621249E7</v>
      </c>
      <c r="F3108" s="4">
        <v>1.2621249E7</v>
      </c>
      <c r="G3108" s="4">
        <f t="array" ref="G3108">IFERROR((C3108-B3108)/C3108*100, "N/A")</f>
        <v>67.77874567</v>
      </c>
      <c r="J3108" s="1"/>
      <c r="K3108" s="1"/>
    </row>
    <row r="3109" ht="14.25" customHeight="1">
      <c r="A3109" s="1" t="s">
        <v>14684</v>
      </c>
      <c r="B3109" s="1">
        <v>6000000.0</v>
      </c>
      <c r="C3109" s="1">
        <v>2.52447E7</v>
      </c>
      <c r="F3109" s="4">
        <v>1.92447E7</v>
      </c>
      <c r="G3109" s="4">
        <f t="array" ref="G3109">IFERROR((C3109-B3109)/C3109*100, "N/A")</f>
        <v>76.23263497</v>
      </c>
      <c r="J3109" s="1"/>
      <c r="K3109" s="1"/>
    </row>
    <row r="3110" ht="14.25" customHeight="1">
      <c r="A3110" s="1" t="s">
        <v>14688</v>
      </c>
      <c r="B3110" s="1">
        <v>6500000.0</v>
      </c>
      <c r="C3110" s="1">
        <v>1.4545844E7</v>
      </c>
      <c r="F3110" s="4">
        <v>8045844.0</v>
      </c>
      <c r="G3110" s="4">
        <f t="array" ref="G3110">IFERROR((C3110-B3110)/C3110*100, "N/A")</f>
        <v>55.31369648</v>
      </c>
      <c r="J3110" s="1"/>
      <c r="K3110" s="1"/>
    </row>
    <row r="3111" ht="14.25" customHeight="1">
      <c r="A3111" s="1" t="s">
        <v>14693</v>
      </c>
      <c r="B3111" s="1">
        <v>6000000.0</v>
      </c>
      <c r="C3111" s="1">
        <v>1.3235267E7</v>
      </c>
      <c r="F3111" s="4">
        <v>7235267.0</v>
      </c>
      <c r="G3111" s="4">
        <f t="array" ref="G3111">IFERROR((C3111-B3111)/C3111*100, "N/A")</f>
        <v>54.66657378</v>
      </c>
      <c r="J3111" s="1"/>
      <c r="K3111" s="1"/>
    </row>
    <row r="3112" ht="14.25" customHeight="1">
      <c r="A3112" s="1" t="s">
        <v>14696</v>
      </c>
      <c r="B3112" s="1">
        <v>6000000.0</v>
      </c>
      <c r="C3112" s="1">
        <v>1.2793213E7</v>
      </c>
      <c r="F3112" s="4">
        <v>6793213.0</v>
      </c>
      <c r="G3112" s="4">
        <f t="array" ref="G3112">IFERROR((C3112-B3112)/C3112*100, "N/A")</f>
        <v>53.10013208</v>
      </c>
      <c r="J3112" s="1"/>
      <c r="K3112" s="1"/>
    </row>
    <row r="3113" ht="14.25" customHeight="1">
      <c r="A3113" s="1" t="s">
        <v>14699</v>
      </c>
      <c r="B3113" s="1">
        <v>9000000.0</v>
      </c>
      <c r="C3113" s="1">
        <v>1.1883495E7</v>
      </c>
      <c r="F3113" s="4">
        <v>2883495.0</v>
      </c>
      <c r="G3113" s="4">
        <f t="array" ref="G3113">IFERROR((C3113-B3113)/C3113*100, "N/A")</f>
        <v>24.26470495</v>
      </c>
      <c r="J3113" s="1"/>
      <c r="K3113" s="1"/>
    </row>
    <row r="3114" ht="14.25" customHeight="1">
      <c r="A3114" s="1" t="s">
        <v>14704</v>
      </c>
      <c r="B3114" s="1">
        <v>6000000.0</v>
      </c>
      <c r="C3114" s="1">
        <v>1.1797927E7</v>
      </c>
      <c r="F3114" s="4">
        <v>5797927.0</v>
      </c>
      <c r="G3114" s="4">
        <f t="array" ref="G3114">IFERROR((C3114-B3114)/C3114*100, "N/A")</f>
        <v>49.14360803</v>
      </c>
      <c r="J3114" s="1"/>
      <c r="K3114" s="1"/>
    </row>
    <row r="3115" ht="14.25" customHeight="1">
      <c r="A3115" s="1" t="s">
        <v>14709</v>
      </c>
      <c r="B3115" s="1">
        <v>6000000.0</v>
      </c>
      <c r="C3115" s="1">
        <v>1.7605861E7</v>
      </c>
      <c r="F3115" s="4">
        <v>1.1605861E7</v>
      </c>
      <c r="G3115" s="4">
        <f t="array" ref="G3115">IFERROR((C3115-B3115)/C3115*100, "N/A")</f>
        <v>65.92043979</v>
      </c>
      <c r="J3115" s="1"/>
      <c r="K3115" s="1"/>
    </row>
    <row r="3116" ht="14.25" customHeight="1">
      <c r="A3116" s="1" t="s">
        <v>14714</v>
      </c>
      <c r="B3116" s="1">
        <v>3000000.0</v>
      </c>
      <c r="C3116" s="1">
        <v>1.1642254E7</v>
      </c>
      <c r="F3116" s="4">
        <v>8642254.0</v>
      </c>
      <c r="G3116" s="4">
        <f t="array" ref="G3116">IFERROR((C3116-B3116)/C3116*100, "N/A")</f>
        <v>74.23179395</v>
      </c>
      <c r="J3116" s="1"/>
      <c r="K3116" s="1"/>
    </row>
    <row r="3117" ht="14.25" customHeight="1">
      <c r="A3117" s="1" t="s">
        <v>14718</v>
      </c>
      <c r="B3117" s="1">
        <v>5000000.0</v>
      </c>
      <c r="C3117" s="1">
        <v>9203192.0</v>
      </c>
      <c r="F3117" s="4">
        <v>4203192.0</v>
      </c>
      <c r="G3117" s="4">
        <f t="array" ref="G3117">IFERROR((C3117-B3117)/C3117*100, "N/A")</f>
        <v>45.67102371</v>
      </c>
      <c r="J3117" s="1"/>
      <c r="K3117" s="1"/>
    </row>
    <row r="3118" ht="14.25" customHeight="1">
      <c r="A3118" s="1" t="s">
        <v>14724</v>
      </c>
      <c r="B3118" s="1">
        <v>6000000.0</v>
      </c>
      <c r="C3118" s="1">
        <v>8596914.0</v>
      </c>
      <c r="F3118" s="4">
        <v>2596914.0</v>
      </c>
      <c r="G3118" s="4">
        <f t="array" ref="G3118">IFERROR((C3118-B3118)/C3118*100, "N/A")</f>
        <v>30.207514</v>
      </c>
      <c r="J3118" s="1"/>
      <c r="K3118" s="1"/>
    </row>
    <row r="3119" ht="14.25" customHeight="1">
      <c r="A3119" s="1" t="s">
        <v>14729</v>
      </c>
      <c r="B3119" s="1">
        <v>6000000.0</v>
      </c>
      <c r="C3119" s="1">
        <v>6851636.0</v>
      </c>
      <c r="F3119" s="4">
        <v>851636.0</v>
      </c>
      <c r="G3119" s="4">
        <f t="array" ref="G3119">IFERROR((C3119-B3119)/C3119*100, "N/A")</f>
        <v>12.42967373</v>
      </c>
      <c r="J3119" s="1"/>
      <c r="K3119" s="1"/>
    </row>
    <row r="3120" ht="14.25" customHeight="1">
      <c r="A3120" s="1" t="s">
        <v>14733</v>
      </c>
      <c r="B3120" s="1">
        <v>6000000.0</v>
      </c>
      <c r="C3120" s="1">
        <v>1.1434867E7</v>
      </c>
      <c r="F3120" s="4">
        <v>5434867.0</v>
      </c>
      <c r="G3120" s="4">
        <f t="array" ref="G3120">IFERROR((C3120-B3120)/C3120*100, "N/A")</f>
        <v>47.52890436</v>
      </c>
      <c r="J3120" s="1"/>
      <c r="K3120" s="1"/>
    </row>
    <row r="3121" ht="14.25" customHeight="1">
      <c r="A3121" s="1" t="s">
        <v>14737</v>
      </c>
      <c r="B3121" s="1">
        <v>6000000.0</v>
      </c>
      <c r="C3121" s="1">
        <v>5895238.0</v>
      </c>
      <c r="F3121" s="4">
        <v>-104762.0</v>
      </c>
      <c r="G3121" s="4">
        <f t="array" ref="G3121">IFERROR((C3121-B3121)/C3121*100, "N/A")</f>
        <v>-1.777061418</v>
      </c>
      <c r="J3121" s="1"/>
      <c r="K3121" s="1"/>
    </row>
    <row r="3122" ht="14.25" customHeight="1">
      <c r="A3122" s="1" t="s">
        <v>14742</v>
      </c>
      <c r="B3122" s="1">
        <v>6000000.0</v>
      </c>
      <c r="C3122" s="1">
        <v>6670712.0</v>
      </c>
      <c r="F3122" s="4">
        <v>670712.0</v>
      </c>
      <c r="G3122" s="4">
        <f t="array" ref="G3122">IFERROR((C3122-B3122)/C3122*100, "N/A")</f>
        <v>10.05457888</v>
      </c>
      <c r="J3122" s="1"/>
      <c r="K3122" s="1"/>
    </row>
    <row r="3123" ht="14.25" customHeight="1">
      <c r="A3123" s="1" t="s">
        <v>14747</v>
      </c>
      <c r="B3123" s="1">
        <v>6000000.0</v>
      </c>
      <c r="C3123" s="1">
        <v>5359774.0</v>
      </c>
      <c r="F3123" s="4">
        <v>-640226.0</v>
      </c>
      <c r="G3123" s="4">
        <f t="array" ref="G3123">IFERROR((C3123-B3123)/C3123*100, "N/A")</f>
        <v>-11.94501858</v>
      </c>
      <c r="J3123" s="1"/>
      <c r="K3123" s="1"/>
    </row>
    <row r="3124" ht="14.25" customHeight="1">
      <c r="A3124" s="1" t="s">
        <v>14752</v>
      </c>
      <c r="B3124" s="1">
        <v>6500000.0</v>
      </c>
      <c r="C3124" s="1">
        <v>4693919.0</v>
      </c>
      <c r="F3124" s="4">
        <v>-1806081.0</v>
      </c>
      <c r="G3124" s="4">
        <f t="array" ref="G3124">IFERROR((C3124-B3124)/C3124*100, "N/A")</f>
        <v>-38.47703806</v>
      </c>
      <c r="J3124" s="1"/>
      <c r="K3124" s="1"/>
    </row>
    <row r="3125" ht="14.25" customHeight="1">
      <c r="A3125" s="1" t="s">
        <v>14755</v>
      </c>
      <c r="B3125" s="1">
        <v>6000000.0</v>
      </c>
      <c r="C3125" s="1">
        <v>4859475.0</v>
      </c>
      <c r="F3125" s="4">
        <v>-1140525.0</v>
      </c>
      <c r="G3125" s="4">
        <f t="array" ref="G3125">IFERROR((C3125-B3125)/C3125*100, "N/A")</f>
        <v>-23.47012795</v>
      </c>
      <c r="J3125" s="1"/>
      <c r="K3125" s="1"/>
    </row>
    <row r="3126" ht="14.25" customHeight="1">
      <c r="A3126" s="1" t="s">
        <v>14759</v>
      </c>
      <c r="B3126" s="1">
        <v>6000000.0</v>
      </c>
      <c r="C3126" s="1">
        <v>4542775.0</v>
      </c>
      <c r="F3126" s="4">
        <v>-1457225.0</v>
      </c>
      <c r="G3126" s="4">
        <f t="array" ref="G3126">IFERROR((C3126-B3126)/C3126*100, "N/A")</f>
        <v>-32.0778599</v>
      </c>
      <c r="J3126" s="1"/>
      <c r="K3126" s="1"/>
    </row>
    <row r="3127" ht="14.25" customHeight="1">
      <c r="A3127" s="1" t="s">
        <v>14766</v>
      </c>
      <c r="B3127" s="1">
        <v>6000000.0</v>
      </c>
      <c r="C3127" s="1">
        <v>3588432.0</v>
      </c>
      <c r="F3127" s="4">
        <v>-2411568.0</v>
      </c>
      <c r="G3127" s="4">
        <f t="array" ref="G3127">IFERROR((C3127-B3127)/C3127*100, "N/A")</f>
        <v>-67.20394869</v>
      </c>
      <c r="J3127" s="1"/>
      <c r="K3127" s="1"/>
    </row>
    <row r="3128" ht="14.25" customHeight="1">
      <c r="A3128" s="1" t="s">
        <v>14770</v>
      </c>
      <c r="B3128" s="1">
        <v>6000000.0</v>
      </c>
      <c r="C3128" s="1">
        <v>4394936.0</v>
      </c>
      <c r="F3128" s="4">
        <v>-1605064.0</v>
      </c>
      <c r="G3128" s="4">
        <f t="array" ref="G3128">IFERROR((C3128-B3128)/C3128*100, "N/A")</f>
        <v>-36.52075935</v>
      </c>
      <c r="J3128" s="1"/>
      <c r="K3128" s="1"/>
    </row>
    <row r="3129" ht="14.25" customHeight="1">
      <c r="A3129" s="1" t="s">
        <v>14775</v>
      </c>
      <c r="B3129" s="1">
        <v>6000000.0</v>
      </c>
      <c r="C3129" s="1">
        <v>3029081.0</v>
      </c>
      <c r="F3129" s="4">
        <v>-2970919.0</v>
      </c>
      <c r="G3129" s="4">
        <f t="array" ref="G3129">IFERROR((C3129-B3129)/C3129*100, "N/A")</f>
        <v>-98.07987967</v>
      </c>
      <c r="J3129" s="1"/>
      <c r="K3129" s="1"/>
    </row>
    <row r="3130" ht="14.25" customHeight="1">
      <c r="A3130" s="1" t="s">
        <v>14780</v>
      </c>
      <c r="B3130" s="1">
        <v>6000000.0</v>
      </c>
      <c r="C3130" s="1">
        <v>3273588.0</v>
      </c>
      <c r="F3130" s="4">
        <v>-2726412.0</v>
      </c>
      <c r="G3130" s="4">
        <f t="array" ref="G3130">IFERROR((C3130-B3130)/C3130*100, "N/A")</f>
        <v>-83.28512934</v>
      </c>
      <c r="J3130" s="1"/>
      <c r="K3130" s="1"/>
    </row>
    <row r="3131" ht="14.25" customHeight="1">
      <c r="A3131" s="1" t="s">
        <v>14786</v>
      </c>
      <c r="B3131" s="1">
        <v>6000000.0</v>
      </c>
      <c r="C3131" s="1">
        <v>2207975.0</v>
      </c>
      <c r="F3131" s="4">
        <v>-3792025.0</v>
      </c>
      <c r="G3131" s="4">
        <f t="array" ref="G3131">IFERROR((C3131-B3131)/C3131*100, "N/A")</f>
        <v>-171.7422072</v>
      </c>
      <c r="J3131" s="1"/>
      <c r="K3131" s="1"/>
    </row>
    <row r="3132" ht="14.25" customHeight="1">
      <c r="A3132" s="1" t="s">
        <v>14790</v>
      </c>
      <c r="B3132" s="1">
        <v>6000000.0</v>
      </c>
      <c r="C3132" s="1">
        <v>2025238.0</v>
      </c>
      <c r="F3132" s="4">
        <v>-3974762.0</v>
      </c>
      <c r="G3132" s="4">
        <f t="array" ref="G3132">IFERROR((C3132-B3132)/C3132*100, "N/A")</f>
        <v>-196.2614764</v>
      </c>
      <c r="J3132" s="1"/>
      <c r="K3132" s="1"/>
    </row>
    <row r="3133" ht="14.25" customHeight="1">
      <c r="A3133" s="1" t="s">
        <v>14795</v>
      </c>
      <c r="B3133" s="1">
        <v>6000000.0</v>
      </c>
      <c r="C3133" s="1">
        <v>2077046.0</v>
      </c>
      <c r="F3133" s="4">
        <v>-3922954.0</v>
      </c>
      <c r="G3133" s="4">
        <f t="array" ref="G3133">IFERROR((C3133-B3133)/C3133*100, "N/A")</f>
        <v>-188.871792</v>
      </c>
      <c r="J3133" s="1"/>
      <c r="K3133" s="1"/>
    </row>
    <row r="3134" ht="14.25" customHeight="1">
      <c r="A3134" s="1" t="s">
        <v>14799</v>
      </c>
      <c r="B3134" s="1">
        <v>6000000.0</v>
      </c>
      <c r="C3134" s="1">
        <v>869325.0</v>
      </c>
      <c r="F3134" s="4">
        <v>-5130675.0</v>
      </c>
      <c r="G3134" s="4">
        <f t="array" ref="G3134">IFERROR((C3134-B3134)/C3134*100, "N/A")</f>
        <v>-590.1906652</v>
      </c>
      <c r="J3134" s="1"/>
      <c r="K3134" s="1"/>
    </row>
    <row r="3135" ht="14.25" customHeight="1">
      <c r="A3135" s="1" t="s">
        <v>14805</v>
      </c>
      <c r="B3135" s="1">
        <v>6000000.0</v>
      </c>
      <c r="C3135" s="1">
        <v>399611.0</v>
      </c>
      <c r="F3135" s="4">
        <v>-5600389.0</v>
      </c>
      <c r="G3135" s="4">
        <f t="array" ref="G3135">IFERROR((C3135-B3135)/C3135*100, "N/A")</f>
        <v>-1401.46017</v>
      </c>
      <c r="J3135" s="1"/>
      <c r="K3135" s="1"/>
    </row>
    <row r="3136" ht="14.25" customHeight="1">
      <c r="A3136" s="1" t="s">
        <v>14810</v>
      </c>
      <c r="B3136" s="1">
        <v>6000000.0</v>
      </c>
      <c r="C3136" s="1">
        <v>115862.0</v>
      </c>
      <c r="F3136" s="4">
        <v>-5884138.0</v>
      </c>
      <c r="G3136" s="4">
        <f t="array" ref="G3136">IFERROR((C3136-B3136)/C3136*100, "N/A")</f>
        <v>-5078.574511</v>
      </c>
      <c r="J3136" s="1"/>
      <c r="K3136" s="1"/>
    </row>
    <row r="3137" ht="14.25" customHeight="1">
      <c r="A3137" s="1" t="s">
        <v>14814</v>
      </c>
      <c r="B3137" s="1">
        <v>6000000.0</v>
      </c>
      <c r="C3137" s="1">
        <v>117560.0</v>
      </c>
      <c r="F3137" s="4">
        <v>-5882440.0</v>
      </c>
      <c r="G3137" s="4">
        <f t="array" ref="G3137">IFERROR((C3137-B3137)/C3137*100, "N/A")</f>
        <v>-5003.776795</v>
      </c>
      <c r="J3137" s="1"/>
      <c r="K3137" s="1"/>
    </row>
    <row r="3138" ht="14.25" customHeight="1">
      <c r="A3138" s="1" t="s">
        <v>14819</v>
      </c>
      <c r="B3138" s="1">
        <v>6000000.0</v>
      </c>
      <c r="C3138" s="1">
        <v>54606.0</v>
      </c>
      <c r="F3138" s="4">
        <v>-5945394.0</v>
      </c>
      <c r="G3138" s="4">
        <f t="array" ref="G3138">IFERROR((C3138-B3138)/C3138*100, "N/A")</f>
        <v>-10887.80354</v>
      </c>
      <c r="J3138" s="1"/>
      <c r="K3138" s="1"/>
    </row>
    <row r="3139" ht="14.25" customHeight="1">
      <c r="A3139" s="1" t="s">
        <v>14824</v>
      </c>
      <c r="B3139" s="1">
        <v>6000000.0</v>
      </c>
      <c r="C3139" s="1">
        <v>36497.0</v>
      </c>
      <c r="F3139" s="4">
        <v>-5963503.0</v>
      </c>
      <c r="G3139" s="4">
        <f t="array" ref="G3139">IFERROR((C3139-B3139)/C3139*100, "N/A")</f>
        <v>-16339.70737</v>
      </c>
      <c r="J3139" s="1"/>
      <c r="K3139" s="1"/>
    </row>
    <row r="3140" ht="14.25" customHeight="1">
      <c r="A3140" s="1" t="s">
        <v>14827</v>
      </c>
      <c r="B3140" s="1">
        <v>1.2E7</v>
      </c>
      <c r="C3140" s="1">
        <v>65804.0</v>
      </c>
      <c r="F3140" s="4">
        <v>-1.1934196E7</v>
      </c>
      <c r="G3140" s="4">
        <f t="array" ref="G3140">IFERROR((C3140-B3140)/C3140*100, "N/A")</f>
        <v>-18135.9735</v>
      </c>
      <c r="J3140" s="1"/>
      <c r="K3140" s="1"/>
    </row>
    <row r="3141" ht="14.25" customHeight="1">
      <c r="A3141" s="1" t="s">
        <v>14831</v>
      </c>
      <c r="B3141" s="1">
        <v>5300000.0</v>
      </c>
      <c r="C3141" s="1">
        <v>3895664.0</v>
      </c>
      <c r="F3141" s="4">
        <v>-1404336.0</v>
      </c>
      <c r="G3141" s="4">
        <f t="array" ref="G3141">IFERROR((C3141-B3141)/C3141*100, "N/A")</f>
        <v>-36.04869414</v>
      </c>
      <c r="J3141" s="1"/>
      <c r="K3141" s="1"/>
    </row>
    <row r="3142" ht="14.25" customHeight="1">
      <c r="A3142" s="1" t="s">
        <v>5035</v>
      </c>
      <c r="B3142" s="1">
        <v>5.0E7</v>
      </c>
      <c r="C3142" s="1">
        <v>3.1874869E7</v>
      </c>
      <c r="F3142" s="4">
        <v>-1.8125131E7</v>
      </c>
      <c r="G3142" s="4">
        <f t="array" ref="G3142">IFERROR((C3142-B3142)/C3142*100, "N/A")</f>
        <v>-56.86338978</v>
      </c>
      <c r="J3142" s="1"/>
      <c r="K3142" s="1"/>
    </row>
    <row r="3143" ht="14.25" customHeight="1">
      <c r="A3143" s="1" t="s">
        <v>14836</v>
      </c>
      <c r="B3143" s="1">
        <v>4000000.0</v>
      </c>
      <c r="C3143" s="1">
        <v>542860.0</v>
      </c>
      <c r="F3143" s="4">
        <v>-3457140.0</v>
      </c>
      <c r="G3143" s="4">
        <f t="array" ref="G3143">IFERROR((C3143-B3143)/C3143*100, "N/A")</f>
        <v>-636.8382272</v>
      </c>
      <c r="J3143" s="1"/>
      <c r="K3143" s="1"/>
    </row>
    <row r="3144" ht="14.25" customHeight="1">
      <c r="A3144" s="1" t="s">
        <v>14843</v>
      </c>
      <c r="B3144" s="1">
        <v>2.0E8</v>
      </c>
      <c r="C3144" s="1">
        <v>1.1905519E7</v>
      </c>
      <c r="F3144" s="4">
        <v>-1.88094481E8</v>
      </c>
      <c r="G3144" s="4">
        <f t="array" ref="G3144">IFERROR((C3144-B3144)/C3144*100, "N/A")</f>
        <v>-1579.893166</v>
      </c>
      <c r="J3144" s="1"/>
      <c r="K3144" s="1"/>
    </row>
    <row r="3145" ht="14.25" customHeight="1">
      <c r="A3145" s="1" t="s">
        <v>14849</v>
      </c>
      <c r="B3145" s="1">
        <v>3500159.0</v>
      </c>
      <c r="C3145" s="1">
        <v>3.2541719E7</v>
      </c>
      <c r="F3145" s="4">
        <v>2.904156E7</v>
      </c>
      <c r="G3145" s="4">
        <f t="array" ref="G3145">IFERROR((C3145-B3145)/C3145*100, "N/A")</f>
        <v>89.24408695</v>
      </c>
      <c r="J3145" s="1"/>
      <c r="K3145" s="1"/>
    </row>
    <row r="3146" ht="14.25" customHeight="1">
      <c r="A3146" s="1" t="s">
        <v>14853</v>
      </c>
      <c r="B3146" s="1">
        <v>5600000.0</v>
      </c>
      <c r="C3146" s="1">
        <v>3064356.0</v>
      </c>
      <c r="F3146" s="4">
        <v>-2535644.0</v>
      </c>
      <c r="G3146" s="4">
        <f t="array" ref="G3146">IFERROR((C3146-B3146)/C3146*100, "N/A")</f>
        <v>-82.74639109</v>
      </c>
      <c r="J3146" s="1"/>
      <c r="K3146" s="1"/>
    </row>
    <row r="3147" ht="14.25" customHeight="1">
      <c r="A3147" s="1" t="s">
        <v>14857</v>
      </c>
      <c r="B3147" s="1">
        <v>5600000.0</v>
      </c>
      <c r="C3147" s="1">
        <v>7009668.0</v>
      </c>
      <c r="F3147" s="4">
        <v>1409668.0</v>
      </c>
      <c r="G3147" s="4">
        <f t="array" ref="G3147">IFERROR((C3147-B3147)/C3147*100, "N/A")</f>
        <v>20.11033903</v>
      </c>
      <c r="J3147" s="1"/>
      <c r="K3147" s="1"/>
    </row>
    <row r="3148" ht="14.25" customHeight="1">
      <c r="A3148" s="1" t="s">
        <v>14864</v>
      </c>
      <c r="B3148" s="1">
        <v>5600000.0</v>
      </c>
      <c r="C3148" s="1">
        <v>27024.0</v>
      </c>
      <c r="F3148" s="4">
        <v>-5572976.0</v>
      </c>
      <c r="G3148" s="4">
        <f t="array" ref="G3148">IFERROR((C3148-B3148)/C3148*100, "N/A")</f>
        <v>-20622.3209</v>
      </c>
      <c r="J3148" s="1"/>
      <c r="K3148" s="1"/>
    </row>
    <row r="3149" ht="14.25" customHeight="1">
      <c r="A3149" s="1" t="s">
        <v>14870</v>
      </c>
      <c r="B3149" s="1">
        <v>5500000.0</v>
      </c>
      <c r="C3149" s="1">
        <v>1.596E8</v>
      </c>
      <c r="F3149" s="4">
        <v>1.541E8</v>
      </c>
      <c r="G3149" s="4">
        <f t="array" ref="G3149">IFERROR((C3149-B3149)/C3149*100, "N/A")</f>
        <v>96.55388471</v>
      </c>
      <c r="J3149" s="1"/>
      <c r="K3149" s="1"/>
    </row>
    <row r="3150" ht="14.25" customHeight="1">
      <c r="A3150" s="1" t="s">
        <v>14873</v>
      </c>
      <c r="B3150" s="1">
        <v>5500000.0</v>
      </c>
      <c r="C3150" s="1">
        <v>5.88E7</v>
      </c>
      <c r="F3150" s="4">
        <v>5.33E7</v>
      </c>
      <c r="G3150" s="4">
        <f t="array" ref="G3150">IFERROR((C3150-B3150)/C3150*100, "N/A")</f>
        <v>90.6462585</v>
      </c>
      <c r="J3150" s="1"/>
      <c r="K3150" s="1"/>
    </row>
    <row r="3151" ht="14.25" customHeight="1">
      <c r="A3151" s="1" t="s">
        <v>14877</v>
      </c>
      <c r="B3151" s="1">
        <v>5500000.0</v>
      </c>
      <c r="C3151" s="1">
        <v>5.0382128E7</v>
      </c>
      <c r="F3151" s="4">
        <v>4.4882128E7</v>
      </c>
      <c r="G3151" s="4">
        <f t="array" ref="G3151">IFERROR((C3151-B3151)/C3151*100, "N/A")</f>
        <v>89.08343054</v>
      </c>
      <c r="J3151" s="1"/>
      <c r="K3151" s="1"/>
    </row>
    <row r="3152" ht="14.25" customHeight="1">
      <c r="A3152" s="1" t="s">
        <v>14881</v>
      </c>
      <c r="B3152" s="1">
        <v>5500000.0</v>
      </c>
      <c r="C3152" s="1">
        <v>3.5811509E7</v>
      </c>
      <c r="F3152" s="4">
        <v>3.0311509E7</v>
      </c>
      <c r="G3152" s="4">
        <f t="array" ref="G3152">IFERROR((C3152-B3152)/C3152*100, "N/A")</f>
        <v>84.64180887</v>
      </c>
      <c r="J3152" s="1"/>
      <c r="K3152" s="1"/>
    </row>
    <row r="3153" ht="14.25" customHeight="1">
      <c r="A3153" s="1" t="s">
        <v>14885</v>
      </c>
      <c r="B3153" s="1">
        <v>3000000.0</v>
      </c>
      <c r="C3153" s="1">
        <v>2.4475193E7</v>
      </c>
      <c r="F3153" s="4">
        <v>2.1475193E7</v>
      </c>
      <c r="G3153" s="4">
        <f t="array" ref="G3153">IFERROR((C3153-B3153)/C3153*100, "N/A")</f>
        <v>87.74269114</v>
      </c>
      <c r="J3153" s="1"/>
      <c r="K3153" s="1"/>
    </row>
    <row r="3154" ht="14.25" customHeight="1">
      <c r="A3154" s="1" t="s">
        <v>14889</v>
      </c>
      <c r="B3154" s="1">
        <v>7000000.0</v>
      </c>
      <c r="C3154" s="1">
        <v>6200756.0</v>
      </c>
      <c r="F3154" s="4">
        <v>-799244.0</v>
      </c>
      <c r="G3154" s="4">
        <f t="array" ref="G3154">IFERROR((C3154-B3154)/C3154*100, "N/A")</f>
        <v>-12.88946058</v>
      </c>
      <c r="J3154" s="1"/>
      <c r="K3154" s="1"/>
    </row>
    <row r="3155" ht="14.25" customHeight="1">
      <c r="A3155" s="1" t="s">
        <v>14892</v>
      </c>
      <c r="B3155" s="1">
        <v>5500000.0</v>
      </c>
      <c r="C3155" s="1">
        <v>1292119.0</v>
      </c>
      <c r="F3155" s="4">
        <v>-4207881.0</v>
      </c>
      <c r="G3155" s="4">
        <f t="array" ref="G3155">IFERROR((C3155-B3155)/C3155*100, "N/A")</f>
        <v>-325.6573891</v>
      </c>
      <c r="J3155" s="1"/>
      <c r="K3155" s="1"/>
    </row>
    <row r="3156" ht="14.25" customHeight="1">
      <c r="A3156" s="1" t="s">
        <v>14896</v>
      </c>
      <c r="B3156" s="1">
        <v>5500000.0</v>
      </c>
      <c r="C3156" s="1">
        <v>3629758.0</v>
      </c>
      <c r="F3156" s="4">
        <v>-1870242.0</v>
      </c>
      <c r="G3156" s="4">
        <f t="array" ref="G3156">IFERROR((C3156-B3156)/C3156*100, "N/A")</f>
        <v>-51.5252532</v>
      </c>
      <c r="J3156" s="1"/>
      <c r="K3156" s="1"/>
    </row>
    <row r="3157" ht="14.25" customHeight="1">
      <c r="A3157" s="1" t="s">
        <v>14903</v>
      </c>
      <c r="B3157" s="1">
        <v>5000000.0</v>
      </c>
      <c r="C3157" s="1">
        <v>6239558.0</v>
      </c>
      <c r="F3157" s="4">
        <v>1239558.0</v>
      </c>
      <c r="G3157" s="4">
        <f t="array" ref="G3157">IFERROR((C3157-B3157)/C3157*100, "N/A")</f>
        <v>19.86611872</v>
      </c>
      <c r="J3157" s="1"/>
      <c r="K3157" s="1"/>
    </row>
    <row r="3158" ht="14.25" customHeight="1">
      <c r="A3158" s="1" t="s">
        <v>14909</v>
      </c>
      <c r="B3158" s="1">
        <v>5000000.0</v>
      </c>
      <c r="C3158" s="1">
        <v>1056102.0</v>
      </c>
      <c r="F3158" s="4">
        <v>-3943898.0</v>
      </c>
      <c r="G3158" s="4">
        <f t="array" ref="G3158">IFERROR((C3158-B3158)/C3158*100, "N/A")</f>
        <v>-373.4391186</v>
      </c>
      <c r="J3158" s="1"/>
      <c r="K3158" s="1"/>
    </row>
    <row r="3159" ht="14.25" customHeight="1">
      <c r="A3159" s="1" t="s">
        <v>14913</v>
      </c>
      <c r="B3159" s="1">
        <v>6500000.0</v>
      </c>
      <c r="C3159" s="1">
        <v>2.7545445E7</v>
      </c>
      <c r="F3159" s="4">
        <v>2.1045445E7</v>
      </c>
      <c r="G3159" s="4">
        <f t="array" ref="G3159">IFERROR((C3159-B3159)/C3159*100, "N/A")</f>
        <v>76.40263209</v>
      </c>
      <c r="J3159" s="1"/>
      <c r="K3159" s="1"/>
    </row>
    <row r="3160" ht="14.25" customHeight="1">
      <c r="A3160" s="1" t="s">
        <v>14918</v>
      </c>
      <c r="B3160" s="1">
        <v>5500000.0</v>
      </c>
      <c r="C3160" s="1">
        <v>56007.0</v>
      </c>
      <c r="F3160" s="4">
        <v>-5443993.0</v>
      </c>
      <c r="G3160" s="4">
        <f t="array" ref="G3160">IFERROR((C3160-B3160)/C3160*100, "N/A")</f>
        <v>-9720.201046</v>
      </c>
      <c r="J3160" s="1"/>
      <c r="K3160" s="1"/>
    </row>
    <row r="3161" ht="14.25" customHeight="1">
      <c r="A3161" s="1" t="s">
        <v>14922</v>
      </c>
      <c r="B3161" s="1">
        <v>3850000.0</v>
      </c>
      <c r="C3161" s="1">
        <v>611709.0</v>
      </c>
      <c r="F3161" s="4">
        <v>-3238291.0</v>
      </c>
      <c r="G3161" s="4">
        <f t="array" ref="G3161">IFERROR((C3161-B3161)/C3161*100, "N/A")</f>
        <v>-529.3842334</v>
      </c>
      <c r="J3161" s="1"/>
      <c r="K3161" s="1"/>
    </row>
    <row r="3162" ht="14.25" customHeight="1">
      <c r="A3162" s="1" t="s">
        <v>14930</v>
      </c>
      <c r="B3162" s="1">
        <v>5500000.0</v>
      </c>
      <c r="C3162" s="1">
        <v>22770.0</v>
      </c>
      <c r="F3162" s="4">
        <v>-5477230.0</v>
      </c>
      <c r="G3162" s="4">
        <f t="array" ref="G3162">IFERROR((C3162-B3162)/C3162*100, "N/A")</f>
        <v>-24054.58937</v>
      </c>
      <c r="J3162" s="1"/>
      <c r="K3162" s="1"/>
    </row>
    <row r="3163" ht="14.25" customHeight="1">
      <c r="A3163" s="1" t="s">
        <v>14936</v>
      </c>
      <c r="B3163" s="1">
        <v>9000000.0</v>
      </c>
      <c r="C3163" s="1">
        <v>27445.0</v>
      </c>
      <c r="F3163" s="4">
        <v>-8972555.0</v>
      </c>
      <c r="G3163" s="4">
        <f t="array" ref="G3163">IFERROR((C3163-B3163)/C3163*100, "N/A")</f>
        <v>-32692.85844</v>
      </c>
      <c r="J3163" s="1"/>
      <c r="K3163" s="1"/>
    </row>
    <row r="3164" ht="14.25" customHeight="1">
      <c r="A3164" s="1" t="s">
        <v>14942</v>
      </c>
      <c r="B3164" s="1">
        <v>5250000.0</v>
      </c>
      <c r="C3164" s="1">
        <v>766487.0</v>
      </c>
      <c r="F3164" s="4">
        <v>-4483513.0</v>
      </c>
      <c r="G3164" s="4">
        <f t="array" ref="G3164">IFERROR((C3164-B3164)/C3164*100, "N/A")</f>
        <v>-584.9431236</v>
      </c>
      <c r="J3164" s="1"/>
      <c r="K3164" s="1"/>
    </row>
    <row r="3165" ht="14.25" customHeight="1">
      <c r="A3165" s="1" t="s">
        <v>14946</v>
      </c>
      <c r="B3165" s="1">
        <v>3.03E7</v>
      </c>
      <c r="C3165" s="1">
        <v>1196752.0</v>
      </c>
      <c r="F3165" s="4">
        <v>-2.9103248E7</v>
      </c>
      <c r="G3165" s="4">
        <f t="array" ref="G3165">IFERROR((C3165-B3165)/C3165*100, "N/A")</f>
        <v>-2431.852882</v>
      </c>
      <c r="J3165" s="1"/>
      <c r="K3165" s="1"/>
    </row>
    <row r="3166" ht="14.25" customHeight="1">
      <c r="A3166" s="1" t="s">
        <v>14955</v>
      </c>
      <c r="B3166" s="1">
        <v>6000000.0</v>
      </c>
      <c r="C3166" s="1">
        <v>795126.0</v>
      </c>
      <c r="F3166" s="4">
        <v>-5204874.0</v>
      </c>
      <c r="G3166" s="4">
        <f t="array" ref="G3166">IFERROR((C3166-B3166)/C3166*100, "N/A")</f>
        <v>-654.5973846</v>
      </c>
      <c r="J3166" s="1"/>
      <c r="K3166" s="1"/>
    </row>
    <row r="3167" ht="14.25" customHeight="1">
      <c r="A3167" s="1" t="s">
        <v>14960</v>
      </c>
      <c r="B3167" s="1">
        <v>5000000.0</v>
      </c>
      <c r="C3167" s="1">
        <v>8.3574831E7</v>
      </c>
      <c r="F3167" s="4">
        <v>7.8574831E7</v>
      </c>
      <c r="G3167" s="4">
        <f t="array" ref="G3167">IFERROR((C3167-B3167)/C3167*100, "N/A")</f>
        <v>94.01733759</v>
      </c>
      <c r="J3167" s="1"/>
      <c r="K3167" s="1"/>
    </row>
    <row r="3168" ht="14.25" customHeight="1">
      <c r="A3168" s="1" t="s">
        <v>14963</v>
      </c>
      <c r="B3168" s="1">
        <v>4000000.0</v>
      </c>
      <c r="C3168" s="1">
        <v>8.7025093E7</v>
      </c>
      <c r="F3168" s="4">
        <v>8.3025093E7</v>
      </c>
      <c r="G3168" s="4">
        <f t="array" ref="G3168">IFERROR((C3168-B3168)/C3168*100, "N/A")</f>
        <v>95.40362456</v>
      </c>
      <c r="J3168" s="1"/>
      <c r="K3168" s="1"/>
    </row>
    <row r="3169" ht="14.25" customHeight="1">
      <c r="A3169" s="1" t="s">
        <v>14967</v>
      </c>
      <c r="B3169" s="1">
        <v>1.5E7</v>
      </c>
      <c r="C3169" s="1">
        <v>7.1897215E7</v>
      </c>
      <c r="F3169" s="4">
        <v>5.6897215E7</v>
      </c>
      <c r="G3169" s="4">
        <f t="array" ref="G3169">IFERROR((C3169-B3169)/C3169*100, "N/A")</f>
        <v>79.13688312</v>
      </c>
      <c r="J3169" s="1"/>
      <c r="K3169" s="1"/>
    </row>
    <row r="3170" ht="14.25" customHeight="1">
      <c r="A3170" s="1" t="s">
        <v>14972</v>
      </c>
      <c r="B3170" s="1">
        <v>5000000.0</v>
      </c>
      <c r="C3170" s="1">
        <v>6.4267897E7</v>
      </c>
      <c r="F3170" s="4">
        <v>5.9267897E7</v>
      </c>
      <c r="G3170" s="4">
        <f t="array" ref="G3170">IFERROR((C3170-B3170)/C3170*100, "N/A")</f>
        <v>92.22006595</v>
      </c>
      <c r="J3170" s="1"/>
      <c r="K3170" s="1"/>
    </row>
    <row r="3171" ht="14.25" customHeight="1">
      <c r="A3171" s="1" t="s">
        <v>14977</v>
      </c>
      <c r="B3171" s="1">
        <v>4900000.0</v>
      </c>
      <c r="C3171" s="1">
        <v>5.6536016E7</v>
      </c>
      <c r="F3171" s="4">
        <v>5.1636016E7</v>
      </c>
      <c r="G3171" s="4">
        <f t="array" ref="G3171">IFERROR((C3171-B3171)/C3171*100, "N/A")</f>
        <v>91.33295845</v>
      </c>
      <c r="J3171" s="1"/>
      <c r="K3171" s="1"/>
    </row>
    <row r="3172" ht="14.25" customHeight="1">
      <c r="A3172" s="1" t="s">
        <v>14982</v>
      </c>
      <c r="B3172" s="1">
        <v>5000000.0</v>
      </c>
      <c r="C3172" s="1">
        <v>1.04007828E8</v>
      </c>
      <c r="F3172" s="4">
        <v>9.9007828E7</v>
      </c>
      <c r="G3172" s="4">
        <f t="array" ref="G3172">IFERROR((C3172-B3172)/C3172*100, "N/A")</f>
        <v>95.19266954</v>
      </c>
      <c r="J3172" s="1"/>
      <c r="K3172" s="1"/>
    </row>
    <row r="3173" ht="14.25" customHeight="1">
      <c r="A3173" s="1" t="s">
        <v>14987</v>
      </c>
      <c r="B3173" s="1">
        <v>5000000.0</v>
      </c>
      <c r="C3173" s="1">
        <v>5.082094E7</v>
      </c>
      <c r="F3173" s="4">
        <v>4.582094E7</v>
      </c>
      <c r="G3173" s="4">
        <f t="array" ref="G3173">IFERROR((C3173-B3173)/C3173*100, "N/A")</f>
        <v>90.16153578</v>
      </c>
      <c r="J3173" s="1"/>
      <c r="K3173" s="1"/>
    </row>
    <row r="3174" ht="14.25" customHeight="1">
      <c r="A3174" s="1" t="s">
        <v>14992</v>
      </c>
      <c r="B3174" s="1">
        <v>4500000.0</v>
      </c>
      <c r="C3174" s="1">
        <v>4.47932E7</v>
      </c>
      <c r="F3174" s="4">
        <v>4.02932E7</v>
      </c>
      <c r="G3174" s="4">
        <f t="array" ref="G3174">IFERROR((C3174-B3174)/C3174*100, "N/A")</f>
        <v>89.95383228</v>
      </c>
      <c r="J3174" s="1"/>
      <c r="K3174" s="1"/>
    </row>
    <row r="3175" ht="14.25" customHeight="1">
      <c r="A3175" s="1" t="s">
        <v>13369</v>
      </c>
      <c r="B3175" s="1">
        <v>5000000.0</v>
      </c>
      <c r="C3175" s="1">
        <v>4.3771291E7</v>
      </c>
      <c r="F3175" s="4">
        <v>3.8771291E7</v>
      </c>
      <c r="G3175" s="4">
        <f t="array" ref="G3175">IFERROR((C3175-B3175)/C3175*100, "N/A")</f>
        <v>88.5769876</v>
      </c>
      <c r="J3175" s="1"/>
      <c r="K3175" s="1"/>
    </row>
    <row r="3176" ht="14.25" customHeight="1">
      <c r="A3176" s="1" t="s">
        <v>14998</v>
      </c>
      <c r="B3176" s="1">
        <v>5000000.0</v>
      </c>
      <c r="C3176" s="1">
        <v>4.4456509E7</v>
      </c>
      <c r="F3176" s="4">
        <v>3.9456509E7</v>
      </c>
      <c r="G3176" s="4">
        <f t="array" ref="G3176">IFERROR((C3176-B3176)/C3176*100, "N/A")</f>
        <v>88.75305301</v>
      </c>
      <c r="J3176" s="1"/>
      <c r="K3176" s="1"/>
    </row>
    <row r="3177" ht="14.25" customHeight="1">
      <c r="A3177" s="1" t="s">
        <v>15003</v>
      </c>
      <c r="B3177" s="1">
        <v>5000000.0</v>
      </c>
      <c r="C3177" s="1">
        <v>5.3884821E7</v>
      </c>
      <c r="F3177" s="4">
        <v>4.8884821E7</v>
      </c>
      <c r="G3177" s="4">
        <f t="array" ref="G3177">IFERROR((C3177-B3177)/C3177*100, "N/A")</f>
        <v>90.72094904</v>
      </c>
      <c r="J3177" s="1"/>
      <c r="K3177" s="1"/>
    </row>
    <row r="3178" ht="14.25" customHeight="1">
      <c r="A3178" s="1" t="s">
        <v>15010</v>
      </c>
      <c r="B3178" s="1">
        <v>5000000.0</v>
      </c>
      <c r="C3178" s="1">
        <v>3.6E7</v>
      </c>
      <c r="F3178" s="4">
        <v>3.1E7</v>
      </c>
      <c r="G3178" s="4">
        <f t="array" ref="G3178">IFERROR((C3178-B3178)/C3178*100, "N/A")</f>
        <v>86.11111111</v>
      </c>
      <c r="J3178" s="1"/>
      <c r="K3178" s="1"/>
    </row>
    <row r="3179" ht="14.25" customHeight="1">
      <c r="A3179" s="1" t="s">
        <v>15014</v>
      </c>
      <c r="B3179" s="1">
        <v>8500000.0</v>
      </c>
      <c r="C3179" s="1">
        <v>3.4872293E7</v>
      </c>
      <c r="F3179" s="4">
        <v>2.6372293E7</v>
      </c>
      <c r="G3179" s="4">
        <f t="array" ref="G3179">IFERROR((C3179-B3179)/C3179*100, "N/A")</f>
        <v>75.62534818</v>
      </c>
      <c r="J3179" s="1"/>
      <c r="K3179" s="1"/>
    </row>
    <row r="3180" ht="14.25" customHeight="1">
      <c r="A3180" s="1" t="s">
        <v>15018</v>
      </c>
      <c r="B3180" s="1">
        <v>4500000.0</v>
      </c>
      <c r="C3180" s="1">
        <v>3.4468224E7</v>
      </c>
      <c r="F3180" s="4">
        <v>2.9968224E7</v>
      </c>
      <c r="G3180" s="4">
        <f t="array" ref="G3180">IFERROR((C3180-B3180)/C3180*100, "N/A")</f>
        <v>86.94449705</v>
      </c>
      <c r="J3180" s="1"/>
      <c r="K3180" s="1"/>
    </row>
    <row r="3181" ht="14.25" customHeight="1">
      <c r="A3181" s="1" t="s">
        <v>15022</v>
      </c>
      <c r="B3181" s="1">
        <v>5000000.0</v>
      </c>
      <c r="C3181" s="1">
        <v>3.2453345E7</v>
      </c>
      <c r="F3181" s="4">
        <v>2.7453345E7</v>
      </c>
      <c r="G3181" s="4">
        <f t="array" ref="G3181">IFERROR((C3181-B3181)/C3181*100, "N/A")</f>
        <v>84.59326766</v>
      </c>
      <c r="J3181" s="1"/>
      <c r="K3181" s="1"/>
    </row>
    <row r="3182" ht="14.25" customHeight="1">
      <c r="A3182" s="1" t="s">
        <v>15028</v>
      </c>
      <c r="B3182" s="1">
        <v>5000000.0</v>
      </c>
      <c r="C3182" s="1">
        <v>2.7296514E7</v>
      </c>
      <c r="F3182" s="4">
        <v>2.2296514E7</v>
      </c>
      <c r="G3182" s="4">
        <f t="array" ref="G3182">IFERROR((C3182-B3182)/C3182*100, "N/A")</f>
        <v>81.6826427</v>
      </c>
      <c r="J3182" s="1"/>
      <c r="K3182" s="1"/>
    </row>
    <row r="3183" ht="14.25" customHeight="1">
      <c r="A3183" s="1" t="s">
        <v>15032</v>
      </c>
      <c r="B3183" s="1">
        <v>3300000.0</v>
      </c>
      <c r="C3183" s="1">
        <v>2.5799043E7</v>
      </c>
      <c r="F3183" s="4">
        <v>2.2499043E7</v>
      </c>
      <c r="G3183" s="4">
        <f t="array" ref="G3183">IFERROR((C3183-B3183)/C3183*100, "N/A")</f>
        <v>87.20882786</v>
      </c>
      <c r="J3183" s="1"/>
      <c r="K3183" s="1"/>
    </row>
    <row r="3184" ht="14.25" customHeight="1">
      <c r="A3184" s="1" t="s">
        <v>15035</v>
      </c>
      <c r="B3184" s="1">
        <v>9000000.0</v>
      </c>
      <c r="C3184" s="1">
        <v>2.5530884E7</v>
      </c>
      <c r="F3184" s="4">
        <v>1.6530884E7</v>
      </c>
      <c r="G3184" s="4">
        <f t="array" ref="G3184">IFERROR((C3184-B3184)/C3184*100, "N/A")</f>
        <v>64.74857667</v>
      </c>
      <c r="J3184" s="1"/>
      <c r="K3184" s="1"/>
    </row>
    <row r="3185" ht="14.25" customHeight="1">
      <c r="A3185" s="1" t="s">
        <v>15040</v>
      </c>
      <c r="B3185" s="1">
        <v>5000000.0</v>
      </c>
      <c r="C3185" s="1">
        <v>2.7689474E7</v>
      </c>
      <c r="F3185" s="4">
        <v>2.2689474E7</v>
      </c>
      <c r="G3185" s="4">
        <f t="array" ref="G3185">IFERROR((C3185-B3185)/C3185*100, "N/A")</f>
        <v>81.94259667</v>
      </c>
      <c r="J3185" s="1"/>
      <c r="K3185" s="1"/>
    </row>
    <row r="3186" ht="14.25" customHeight="1">
      <c r="A3186" s="1" t="s">
        <v>15045</v>
      </c>
      <c r="B3186" s="1">
        <v>5000000.0</v>
      </c>
      <c r="C3186" s="1">
        <v>2.4138847E7</v>
      </c>
      <c r="F3186" s="4">
        <v>1.9138847E7</v>
      </c>
      <c r="G3186" s="4">
        <f t="array" ref="G3186">IFERROR((C3186-B3186)/C3186*100, "N/A")</f>
        <v>79.2865003</v>
      </c>
      <c r="J3186" s="1"/>
      <c r="K3186" s="1"/>
    </row>
    <row r="3187" ht="14.25" customHeight="1">
      <c r="A3187" s="1" t="s">
        <v>15049</v>
      </c>
      <c r="B3187" s="1">
        <v>5000000.0</v>
      </c>
      <c r="C3187" s="1">
        <v>2.1994911E7</v>
      </c>
      <c r="F3187" s="4">
        <v>1.6994911E7</v>
      </c>
      <c r="G3187" s="4">
        <f t="array" ref="G3187">IFERROR((C3187-B3187)/C3187*100, "N/A")</f>
        <v>77.26746882</v>
      </c>
      <c r="J3187" s="1"/>
      <c r="K3187" s="1"/>
    </row>
    <row r="3188" ht="14.25" customHeight="1">
      <c r="A3188" s="1" t="s">
        <v>15053</v>
      </c>
      <c r="B3188" s="1">
        <v>5000000.0</v>
      </c>
      <c r="C3188" s="1">
        <v>2.1501098E7</v>
      </c>
      <c r="F3188" s="4">
        <v>1.6501098E7</v>
      </c>
      <c r="G3188" s="4">
        <f t="array" ref="G3188">IFERROR((C3188-B3188)/C3188*100, "N/A")</f>
        <v>76.74537365</v>
      </c>
      <c r="J3188" s="1"/>
      <c r="K3188" s="1"/>
    </row>
    <row r="3189" ht="14.25" customHeight="1">
      <c r="A3189" s="1" t="s">
        <v>15057</v>
      </c>
      <c r="B3189" s="1">
        <v>5000000.0</v>
      </c>
      <c r="C3189" s="1">
        <v>1.9281235E7</v>
      </c>
      <c r="F3189" s="4">
        <v>1.4281235E7</v>
      </c>
      <c r="G3189" s="4">
        <f t="array" ref="G3189">IFERROR((C3189-B3189)/C3189*100, "N/A")</f>
        <v>74.06805114</v>
      </c>
      <c r="J3189" s="1"/>
      <c r="K3189" s="1"/>
    </row>
    <row r="3190" ht="14.25" customHeight="1">
      <c r="A3190" s="1" t="s">
        <v>15063</v>
      </c>
      <c r="B3190" s="1">
        <v>5000000.0</v>
      </c>
      <c r="C3190" s="1">
        <v>1.9421271E7</v>
      </c>
      <c r="F3190" s="4">
        <v>1.4421271E7</v>
      </c>
      <c r="G3190" s="4">
        <f t="array" ref="G3190">IFERROR((C3190-B3190)/C3190*100, "N/A")</f>
        <v>74.25503202</v>
      </c>
      <c r="J3190" s="1"/>
      <c r="K3190" s="1"/>
    </row>
    <row r="3191" ht="14.25" customHeight="1">
      <c r="A3191" s="1" t="s">
        <v>15068</v>
      </c>
      <c r="B3191" s="1">
        <v>5000000.0</v>
      </c>
      <c r="C3191" s="1">
        <v>2.0733485E7</v>
      </c>
      <c r="F3191" s="4">
        <v>1.5733485E7</v>
      </c>
      <c r="G3191" s="4">
        <f t="array" ref="G3191">IFERROR((C3191-B3191)/C3191*100, "N/A")</f>
        <v>75.88442078</v>
      </c>
      <c r="J3191" s="1"/>
      <c r="K3191" s="1"/>
    </row>
    <row r="3192" ht="14.25" customHeight="1">
      <c r="A3192" s="1" t="s">
        <v>15074</v>
      </c>
      <c r="B3192" s="1">
        <v>5000000.0</v>
      </c>
      <c r="C3192" s="1">
        <v>2.4809547E7</v>
      </c>
      <c r="F3192" s="4">
        <v>1.9809547E7</v>
      </c>
      <c r="G3192" s="4">
        <f t="array" ref="G3192">IFERROR((C3192-B3192)/C3192*100, "N/A")</f>
        <v>79.84646797</v>
      </c>
      <c r="J3192" s="1"/>
      <c r="K3192" s="1"/>
    </row>
    <row r="3193" ht="14.25" customHeight="1">
      <c r="A3193" s="1" t="s">
        <v>15078</v>
      </c>
      <c r="B3193" s="1">
        <v>4500000.0</v>
      </c>
      <c r="C3193" s="1">
        <v>2.303139E7</v>
      </c>
      <c r="F3193" s="4">
        <v>1.853139E7</v>
      </c>
      <c r="G3193" s="4">
        <f t="array" ref="G3193">IFERROR((C3193-B3193)/C3193*100, "N/A")</f>
        <v>80.46144848</v>
      </c>
      <c r="J3193" s="1"/>
      <c r="K3193" s="1"/>
    </row>
    <row r="3194" ht="14.25" customHeight="1">
      <c r="A3194" s="1" t="s">
        <v>13057</v>
      </c>
      <c r="B3194" s="1">
        <v>5000000.0</v>
      </c>
      <c r="C3194" s="1">
        <v>1.6017403E7</v>
      </c>
      <c r="F3194" s="4">
        <v>1.1017403E7</v>
      </c>
      <c r="G3194" s="4">
        <f t="array" ref="G3194">IFERROR((C3194-B3194)/C3194*100, "N/A")</f>
        <v>68.7839533</v>
      </c>
      <c r="J3194" s="1"/>
      <c r="K3194" s="1"/>
    </row>
    <row r="3195" ht="14.25" customHeight="1">
      <c r="A3195" s="1" t="s">
        <v>15083</v>
      </c>
      <c r="B3195" s="1">
        <v>5000000.0</v>
      </c>
      <c r="C3195" s="1">
        <v>2.1197315E7</v>
      </c>
      <c r="F3195" s="4">
        <v>1.6197315E7</v>
      </c>
      <c r="G3195" s="4">
        <f t="array" ref="G3195">IFERROR((C3195-B3195)/C3195*100, "N/A")</f>
        <v>76.41210691</v>
      </c>
      <c r="J3195" s="1"/>
      <c r="K3195" s="1"/>
    </row>
    <row r="3196" ht="14.25" customHeight="1">
      <c r="A3196" s="1" t="s">
        <v>15088</v>
      </c>
      <c r="B3196" s="1">
        <v>5000000.0</v>
      </c>
      <c r="C3196" s="1">
        <v>1.7382982E7</v>
      </c>
      <c r="F3196" s="4">
        <v>1.2382982E7</v>
      </c>
      <c r="G3196" s="4">
        <f t="array" ref="G3196">IFERROR((C3196-B3196)/C3196*100, "N/A")</f>
        <v>71.23623553</v>
      </c>
      <c r="J3196" s="1"/>
      <c r="K3196" s="1"/>
    </row>
    <row r="3197" ht="14.25" customHeight="1">
      <c r="A3197" s="1" t="s">
        <v>15093</v>
      </c>
      <c r="B3197" s="1">
        <v>6000000.0</v>
      </c>
      <c r="C3197" s="1">
        <v>1.4821531E7</v>
      </c>
      <c r="F3197" s="4">
        <v>8821531.0</v>
      </c>
      <c r="G3197" s="4">
        <f t="array" ref="G3197">IFERROR((C3197-B3197)/C3197*100, "N/A")</f>
        <v>59.51835205</v>
      </c>
      <c r="J3197" s="1"/>
      <c r="K3197" s="1"/>
    </row>
    <row r="3198" ht="14.25" customHeight="1">
      <c r="A3198" s="1" t="s">
        <v>15097</v>
      </c>
      <c r="B3198" s="1">
        <v>5000000.0</v>
      </c>
      <c r="C3198" s="1">
        <v>1.86564E7</v>
      </c>
      <c r="F3198" s="4">
        <v>1.36564E7</v>
      </c>
      <c r="G3198" s="4">
        <f t="array" ref="G3198">IFERROR((C3198-B3198)/C3198*100, "N/A")</f>
        <v>73.19954546</v>
      </c>
      <c r="J3198" s="1"/>
      <c r="K3198" s="1"/>
    </row>
    <row r="3199" ht="14.25" customHeight="1">
      <c r="A3199" s="1" t="s">
        <v>15101</v>
      </c>
      <c r="B3199" s="1">
        <v>5000000.0</v>
      </c>
      <c r="C3199" s="1">
        <v>1.4343976E7</v>
      </c>
      <c r="F3199" s="4">
        <v>9343976.0</v>
      </c>
      <c r="G3199" s="4">
        <f t="array" ref="G3199">IFERROR((C3199-B3199)/C3199*100, "N/A")</f>
        <v>65.14216142</v>
      </c>
      <c r="J3199" s="1"/>
      <c r="K3199" s="1"/>
    </row>
    <row r="3200" ht="14.25" customHeight="1">
      <c r="A3200" s="1" t="s">
        <v>15107</v>
      </c>
      <c r="B3200" s="1">
        <v>5000000.0</v>
      </c>
      <c r="C3200" s="1">
        <v>2.41437427E8</v>
      </c>
      <c r="F3200" s="4">
        <v>2.36437427E8</v>
      </c>
      <c r="G3200" s="4">
        <f t="array" ref="G3200">IFERROR((C3200-B3200)/C3200*100, "N/A")</f>
        <v>97.92907004</v>
      </c>
      <c r="J3200" s="1"/>
      <c r="K3200" s="1"/>
    </row>
    <row r="3201" ht="14.25" customHeight="1">
      <c r="A3201" s="1" t="s">
        <v>15110</v>
      </c>
      <c r="B3201" s="1">
        <v>5000000.0</v>
      </c>
      <c r="C3201" s="1">
        <v>1.4123773E7</v>
      </c>
      <c r="F3201" s="4">
        <v>9123773.0</v>
      </c>
      <c r="G3201" s="4">
        <f t="array" ref="G3201">IFERROR((C3201-B3201)/C3201*100, "N/A")</f>
        <v>64.5986947</v>
      </c>
      <c r="J3201" s="1"/>
      <c r="K3201" s="1"/>
    </row>
    <row r="3202" ht="14.25" customHeight="1">
      <c r="A3202" s="1" t="s">
        <v>15115</v>
      </c>
      <c r="B3202" s="1">
        <v>5000000.0</v>
      </c>
      <c r="C3202" s="1">
        <v>1.5126948E7</v>
      </c>
      <c r="F3202" s="4">
        <v>1.0126948E7</v>
      </c>
      <c r="G3202" s="4">
        <f t="array" ref="G3202">IFERROR((C3202-B3202)/C3202*100, "N/A")</f>
        <v>66.94640584</v>
      </c>
      <c r="J3202" s="1"/>
      <c r="K3202" s="1"/>
    </row>
    <row r="3203" ht="14.25" customHeight="1">
      <c r="A3203" s="1" t="s">
        <v>15119</v>
      </c>
      <c r="B3203" s="1">
        <v>2000000.0</v>
      </c>
      <c r="C3203" s="1">
        <v>1.3622333E7</v>
      </c>
      <c r="F3203" s="4">
        <v>1.1622333E7</v>
      </c>
      <c r="G3203" s="4">
        <f t="array" ref="G3203">IFERROR((C3203-B3203)/C3203*100, "N/A")</f>
        <v>85.31822706</v>
      </c>
      <c r="J3203" s="1"/>
      <c r="K3203" s="1"/>
    </row>
    <row r="3204" ht="14.25" customHeight="1">
      <c r="A3204" s="1" t="s">
        <v>15124</v>
      </c>
      <c r="B3204" s="1">
        <v>4000000.0</v>
      </c>
      <c r="C3204" s="1">
        <v>1.3464388E7</v>
      </c>
      <c r="F3204" s="4">
        <v>9464388.0</v>
      </c>
      <c r="G3204" s="4">
        <f t="array" ref="G3204">IFERROR((C3204-B3204)/C3204*100, "N/A")</f>
        <v>70.29200287</v>
      </c>
      <c r="J3204" s="1"/>
      <c r="K3204" s="1"/>
    </row>
    <row r="3205" ht="14.25" customHeight="1">
      <c r="A3205" s="1" t="s">
        <v>15129</v>
      </c>
      <c r="B3205" s="1">
        <v>5000000.0</v>
      </c>
      <c r="C3205" s="1">
        <v>1.3350177E7</v>
      </c>
      <c r="F3205" s="4">
        <v>8350177.0</v>
      </c>
      <c r="G3205" s="4">
        <f t="array" ref="G3205">IFERROR((C3205-B3205)/C3205*100, "N/A")</f>
        <v>62.54731304</v>
      </c>
      <c r="J3205" s="1"/>
      <c r="K3205" s="1"/>
    </row>
    <row r="3206" ht="14.25" customHeight="1">
      <c r="A3206" s="1" t="s">
        <v>15134</v>
      </c>
      <c r="B3206" s="1">
        <v>5000000.0</v>
      </c>
      <c r="C3206" s="1">
        <v>1.3269963E7</v>
      </c>
      <c r="F3206" s="4">
        <v>8269963.0</v>
      </c>
      <c r="G3206" s="4">
        <f t="array" ref="G3206">IFERROR((C3206-B3206)/C3206*100, "N/A")</f>
        <v>62.32091981</v>
      </c>
      <c r="J3206" s="1"/>
      <c r="K3206" s="1"/>
    </row>
    <row r="3207" ht="14.25" customHeight="1">
      <c r="A3207" s="1" t="s">
        <v>15138</v>
      </c>
      <c r="B3207" s="1">
        <v>5000000.0</v>
      </c>
      <c r="C3207" s="1">
        <v>1.7768E7</v>
      </c>
      <c r="F3207" s="4">
        <v>1.2768E7</v>
      </c>
      <c r="G3207" s="4">
        <f t="array" ref="G3207">IFERROR((C3207-B3207)/C3207*100, "N/A")</f>
        <v>71.85952274</v>
      </c>
      <c r="J3207" s="1"/>
      <c r="K3207" s="1"/>
    </row>
    <row r="3208" ht="14.25" customHeight="1">
      <c r="A3208" s="1" t="s">
        <v>15144</v>
      </c>
      <c r="B3208" s="1">
        <v>5000000.0</v>
      </c>
      <c r="C3208" s="1">
        <v>1.2947763E7</v>
      </c>
      <c r="F3208" s="4">
        <v>7947763.0</v>
      </c>
      <c r="G3208" s="4">
        <f t="array" ref="G3208">IFERROR((C3208-B3208)/C3208*100, "N/A")</f>
        <v>61.38329069</v>
      </c>
      <c r="J3208" s="1"/>
      <c r="K3208" s="1"/>
    </row>
    <row r="3209" ht="14.25" customHeight="1">
      <c r="A3209" s="1" t="s">
        <v>15149</v>
      </c>
      <c r="B3209" s="1">
        <v>5000000.0</v>
      </c>
      <c r="C3209" s="1">
        <v>1.41E7</v>
      </c>
      <c r="F3209" s="4">
        <v>9100000.0</v>
      </c>
      <c r="G3209" s="4">
        <f t="array" ref="G3209">IFERROR((C3209-B3209)/C3209*100, "N/A")</f>
        <v>64.53900709</v>
      </c>
      <c r="J3209" s="1"/>
      <c r="K3209" s="1"/>
    </row>
    <row r="3210" ht="14.25" customHeight="1">
      <c r="A3210" s="1" t="s">
        <v>15153</v>
      </c>
      <c r="B3210" s="1">
        <v>5000000.0</v>
      </c>
      <c r="C3210" s="1">
        <v>1.22E7</v>
      </c>
      <c r="F3210" s="4">
        <v>7200000.0</v>
      </c>
      <c r="G3210" s="4">
        <f t="array" ref="G3210">IFERROR((C3210-B3210)/C3210*100, "N/A")</f>
        <v>59.01639344</v>
      </c>
      <c r="J3210" s="1"/>
      <c r="K3210" s="1"/>
    </row>
    <row r="3211" ht="14.25" customHeight="1">
      <c r="A3211" s="1" t="s">
        <v>15159</v>
      </c>
      <c r="B3211" s="1">
        <v>5000000.0</v>
      </c>
      <c r="C3211" s="1">
        <v>1.768367E7</v>
      </c>
      <c r="F3211" s="4">
        <v>1.268367E7</v>
      </c>
      <c r="G3211" s="4">
        <f t="array" ref="G3211">IFERROR((C3211-B3211)/C3211*100, "N/A")</f>
        <v>71.72532625</v>
      </c>
      <c r="J3211" s="1"/>
      <c r="K3211" s="1"/>
    </row>
    <row r="3212" ht="14.25" customHeight="1">
      <c r="A3212" s="1" t="s">
        <v>15165</v>
      </c>
      <c r="B3212" s="1">
        <v>8000000.0</v>
      </c>
      <c r="C3212" s="1">
        <v>1.2055108E7</v>
      </c>
      <c r="F3212" s="4">
        <v>4055108.0</v>
      </c>
      <c r="G3212" s="4">
        <f t="array" ref="G3212">IFERROR((C3212-B3212)/C3212*100, "N/A")</f>
        <v>33.63808935</v>
      </c>
      <c r="J3212" s="1"/>
      <c r="K3212" s="1"/>
    </row>
    <row r="3213" ht="14.25" customHeight="1">
      <c r="A3213" s="1" t="s">
        <v>15168</v>
      </c>
      <c r="B3213" s="1">
        <v>5000000.0</v>
      </c>
      <c r="C3213" s="1">
        <v>2.7285953E7</v>
      </c>
      <c r="F3213" s="4">
        <v>2.2285953E7</v>
      </c>
      <c r="G3213" s="4">
        <f t="array" ref="G3213">IFERROR((C3213-B3213)/C3213*100, "N/A")</f>
        <v>81.67555299</v>
      </c>
      <c r="J3213" s="1"/>
      <c r="K3213" s="1"/>
    </row>
    <row r="3214" ht="14.25" customHeight="1">
      <c r="A3214" s="1" t="s">
        <v>15174</v>
      </c>
      <c r="B3214" s="1">
        <v>8000000.0</v>
      </c>
      <c r="C3214" s="1">
        <v>1.0572742E7</v>
      </c>
      <c r="F3214" s="4">
        <v>2572742.0</v>
      </c>
      <c r="G3214" s="4">
        <f t="array" ref="G3214">IFERROR((C3214-B3214)/C3214*100, "N/A")</f>
        <v>24.33372535</v>
      </c>
      <c r="J3214" s="1"/>
      <c r="K3214" s="1"/>
    </row>
    <row r="3215" ht="14.25" customHeight="1">
      <c r="A3215" s="1" t="s">
        <v>15178</v>
      </c>
      <c r="B3215" s="1">
        <v>5000000.0</v>
      </c>
      <c r="C3215" s="1">
        <v>9628751.0</v>
      </c>
      <c r="F3215" s="4">
        <v>4628751.0</v>
      </c>
      <c r="G3215" s="4">
        <f t="array" ref="G3215">IFERROR((C3215-B3215)/C3215*100, "N/A")</f>
        <v>48.07218506</v>
      </c>
      <c r="J3215" s="1"/>
      <c r="K3215" s="1"/>
    </row>
    <row r="3216" ht="14.25" customHeight="1">
      <c r="A3216" s="1" t="s">
        <v>15185</v>
      </c>
      <c r="B3216" s="1">
        <v>5000000.0</v>
      </c>
      <c r="C3216" s="1">
        <v>8786715.0</v>
      </c>
      <c r="F3216" s="4">
        <v>3786715.0</v>
      </c>
      <c r="G3216" s="4">
        <f t="array" ref="G3216">IFERROR((C3216-B3216)/C3216*100, "N/A")</f>
        <v>43.09591241</v>
      </c>
      <c r="J3216" s="1"/>
      <c r="K3216" s="1"/>
    </row>
    <row r="3217" ht="14.25" customHeight="1">
      <c r="A3217" s="1" t="s">
        <v>15189</v>
      </c>
      <c r="B3217" s="1">
        <v>6000000.0</v>
      </c>
      <c r="C3217" s="1">
        <v>3432342.0</v>
      </c>
      <c r="F3217" s="4">
        <v>-2567658.0</v>
      </c>
      <c r="G3217" s="4">
        <f t="array" ref="G3217">IFERROR((C3217-B3217)/C3217*100, "N/A")</f>
        <v>-74.80775517</v>
      </c>
      <c r="J3217" s="1"/>
      <c r="K3217" s="1"/>
    </row>
    <row r="3218" ht="14.25" customHeight="1">
      <c r="A3218" s="1" t="s">
        <v>15196</v>
      </c>
      <c r="B3218" s="1">
        <v>5000000.0</v>
      </c>
      <c r="C3218" s="1">
        <v>6755271.0</v>
      </c>
      <c r="F3218" s="4">
        <v>1755271.0</v>
      </c>
      <c r="G3218" s="4">
        <f t="array" ref="G3218">IFERROR((C3218-B3218)/C3218*100, "N/A")</f>
        <v>25.98372441</v>
      </c>
      <c r="J3218" s="1"/>
      <c r="K3218" s="1"/>
    </row>
    <row r="3219" ht="14.25" customHeight="1">
      <c r="A3219" s="1" t="s">
        <v>15200</v>
      </c>
      <c r="B3219" s="1">
        <v>5000000.0</v>
      </c>
      <c r="C3219" s="1">
        <v>6157157.0</v>
      </c>
      <c r="F3219" s="4">
        <v>1157157.0</v>
      </c>
      <c r="G3219" s="4">
        <f t="array" ref="G3219">IFERROR((C3219-B3219)/C3219*100, "N/A")</f>
        <v>18.79369001</v>
      </c>
      <c r="J3219" s="1"/>
      <c r="K3219" s="1"/>
    </row>
    <row r="3220" ht="14.25" customHeight="1">
      <c r="A3220" s="1" t="s">
        <v>15205</v>
      </c>
      <c r="B3220" s="1">
        <v>5000000.0</v>
      </c>
      <c r="C3220" s="1">
        <v>5480318.0</v>
      </c>
      <c r="F3220" s="4">
        <v>480318.0</v>
      </c>
      <c r="G3220" s="4">
        <f t="array" ref="G3220">IFERROR((C3220-B3220)/C3220*100, "N/A")</f>
        <v>8.764418415</v>
      </c>
      <c r="J3220" s="1"/>
      <c r="K3220" s="1"/>
    </row>
    <row r="3221" ht="14.25" customHeight="1">
      <c r="A3221" s="1" t="s">
        <v>15209</v>
      </c>
      <c r="B3221" s="1">
        <v>5000000.0</v>
      </c>
      <c r="C3221" s="1">
        <v>5308707.0</v>
      </c>
      <c r="F3221" s="4">
        <v>308707.0</v>
      </c>
      <c r="G3221" s="4">
        <f t="array" ref="G3221">IFERROR((C3221-B3221)/C3221*100, "N/A")</f>
        <v>5.815107144</v>
      </c>
      <c r="J3221" s="1"/>
      <c r="K3221" s="1"/>
    </row>
    <row r="3222" ht="14.25" customHeight="1">
      <c r="A3222" s="1" t="s">
        <v>15213</v>
      </c>
      <c r="B3222" s="1">
        <v>5000000.0</v>
      </c>
      <c r="C3222" s="1">
        <v>5009677.0</v>
      </c>
      <c r="F3222" s="4">
        <v>9677.0</v>
      </c>
      <c r="G3222" s="4">
        <f t="array" ref="G3222">IFERROR((C3222-B3222)/C3222*100, "N/A")</f>
        <v>0.1931661462</v>
      </c>
      <c r="J3222" s="1"/>
      <c r="K3222" s="1"/>
    </row>
    <row r="3223" ht="14.25" customHeight="1">
      <c r="A3223" s="1" t="s">
        <v>15217</v>
      </c>
      <c r="B3223" s="1">
        <v>5000000.0</v>
      </c>
      <c r="C3223" s="1">
        <v>4306697.0</v>
      </c>
      <c r="F3223" s="4">
        <v>-693303.0</v>
      </c>
      <c r="G3223" s="4">
        <f t="array" ref="G3223">IFERROR((C3223-B3223)/C3223*100, "N/A")</f>
        <v>-16.09825349</v>
      </c>
      <c r="J3223" s="1"/>
      <c r="K3223" s="1"/>
    </row>
    <row r="3224" ht="14.25" customHeight="1">
      <c r="A3224" s="1" t="s">
        <v>15222</v>
      </c>
      <c r="B3224" s="1">
        <v>4000000.0</v>
      </c>
      <c r="C3224" s="1">
        <v>3950029.0</v>
      </c>
      <c r="F3224" s="4">
        <v>-49971.0</v>
      </c>
      <c r="G3224" s="4">
        <f t="array" ref="G3224">IFERROR((C3224-B3224)/C3224*100, "N/A")</f>
        <v>-1.26507932</v>
      </c>
      <c r="J3224" s="1"/>
      <c r="K3224" s="1"/>
    </row>
    <row r="3225" ht="14.25" customHeight="1">
      <c r="A3225" s="1" t="s">
        <v>15227</v>
      </c>
      <c r="B3225" s="1">
        <v>5000000.0</v>
      </c>
      <c r="C3225" s="1">
        <v>4040588.0</v>
      </c>
      <c r="F3225" s="4">
        <v>-959412.0</v>
      </c>
      <c r="G3225" s="4">
        <f t="array" ref="G3225">IFERROR((C3225-B3225)/C3225*100, "N/A")</f>
        <v>-23.74436592</v>
      </c>
      <c r="J3225" s="1"/>
      <c r="K3225" s="1"/>
    </row>
    <row r="3226" ht="14.25" customHeight="1">
      <c r="A3226" s="1" t="s">
        <v>15230</v>
      </c>
      <c r="B3226" s="1">
        <v>5000000.0</v>
      </c>
      <c r="C3226" s="1">
        <v>3049135.0</v>
      </c>
      <c r="F3226" s="4">
        <v>-1950865.0</v>
      </c>
      <c r="G3226" s="4">
        <f t="array" ref="G3226">IFERROR((C3226-B3226)/C3226*100, "N/A")</f>
        <v>-63.9809323</v>
      </c>
      <c r="J3226" s="1"/>
      <c r="K3226" s="1"/>
    </row>
    <row r="3227" ht="14.25" customHeight="1">
      <c r="A3227" s="1" t="s">
        <v>15235</v>
      </c>
      <c r="B3227" s="1">
        <v>5000000.0</v>
      </c>
      <c r="C3227" s="1">
        <v>4700361.0</v>
      </c>
      <c r="F3227" s="4">
        <v>-299639.0</v>
      </c>
      <c r="G3227" s="4">
        <f t="array" ref="G3227">IFERROR((C3227-B3227)/C3227*100, "N/A")</f>
        <v>-6.374808233</v>
      </c>
      <c r="J3227" s="1"/>
      <c r="K3227" s="1"/>
    </row>
    <row r="3228" ht="14.25" customHeight="1">
      <c r="A3228" s="1" t="s">
        <v>15241</v>
      </c>
      <c r="B3228" s="1">
        <v>5000000.0</v>
      </c>
      <c r="C3228" s="1">
        <v>2711210.0</v>
      </c>
      <c r="F3228" s="4">
        <v>-2288790.0</v>
      </c>
      <c r="G3228" s="4">
        <f t="array" ref="G3228">IFERROR((C3228-B3228)/C3228*100, "N/A")</f>
        <v>-84.41950273</v>
      </c>
      <c r="J3228" s="1"/>
      <c r="K3228" s="1"/>
    </row>
    <row r="3229" ht="14.25" customHeight="1">
      <c r="A3229" s="1" t="s">
        <v>15245</v>
      </c>
      <c r="B3229" s="1">
        <v>5000000.0</v>
      </c>
      <c r="C3229" s="1">
        <v>1980338.0</v>
      </c>
      <c r="F3229" s="4">
        <v>-3019662.0</v>
      </c>
      <c r="G3229" s="4">
        <f t="array" ref="G3229">IFERROR((C3229-B3229)/C3229*100, "N/A")</f>
        <v>-152.482152</v>
      </c>
      <c r="J3229" s="1"/>
      <c r="K3229" s="1"/>
    </row>
    <row r="3230" ht="14.25" customHeight="1">
      <c r="A3230" s="1" t="s">
        <v>15249</v>
      </c>
      <c r="B3230" s="1">
        <v>5000000.0</v>
      </c>
      <c r="C3230" s="1">
        <v>1082044.0</v>
      </c>
      <c r="F3230" s="4">
        <v>-3917956.0</v>
      </c>
      <c r="G3230" s="4">
        <f t="array" ref="G3230">IFERROR((C3230-B3230)/C3230*100, "N/A")</f>
        <v>-362.0884178</v>
      </c>
      <c r="J3230" s="1"/>
      <c r="K3230" s="1"/>
    </row>
    <row r="3231" ht="14.25" customHeight="1">
      <c r="A3231" s="1" t="s">
        <v>15252</v>
      </c>
      <c r="B3231" s="1">
        <v>5000000.0</v>
      </c>
      <c r="C3231" s="1">
        <v>1100000.0</v>
      </c>
      <c r="F3231" s="4">
        <v>-3900000.0</v>
      </c>
      <c r="G3231" s="4">
        <f t="array" ref="G3231">IFERROR((C3231-B3231)/C3231*100, "N/A")</f>
        <v>-354.5454545</v>
      </c>
      <c r="J3231" s="1"/>
      <c r="K3231" s="1"/>
    </row>
    <row r="3232" ht="14.25" customHeight="1">
      <c r="A3232" s="1" t="s">
        <v>15256</v>
      </c>
      <c r="B3232" s="1">
        <v>5000000.0</v>
      </c>
      <c r="C3232" s="1">
        <v>2445646.0</v>
      </c>
      <c r="F3232" s="4">
        <v>-2554354.0</v>
      </c>
      <c r="G3232" s="4">
        <f t="array" ref="G3232">IFERROR((C3232-B3232)/C3232*100, "N/A")</f>
        <v>-104.4449606</v>
      </c>
      <c r="J3232" s="1"/>
      <c r="K3232" s="1"/>
    </row>
    <row r="3233" ht="14.25" customHeight="1">
      <c r="A3233" s="1" t="s">
        <v>15260</v>
      </c>
      <c r="B3233" s="1">
        <v>5000000.0</v>
      </c>
      <c r="C3233" s="1">
        <v>2221809.0</v>
      </c>
      <c r="F3233" s="4">
        <v>-2778191.0</v>
      </c>
      <c r="G3233" s="4">
        <f t="array" ref="G3233">IFERROR((C3233-B3233)/C3233*100, "N/A")</f>
        <v>-125.0418465</v>
      </c>
      <c r="J3233" s="1"/>
      <c r="K3233" s="1"/>
    </row>
    <row r="3234" ht="14.25" customHeight="1">
      <c r="A3234" s="1" t="s">
        <v>15264</v>
      </c>
      <c r="B3234" s="1">
        <v>5000000.0</v>
      </c>
      <c r="C3234" s="1">
        <v>296665.0</v>
      </c>
      <c r="F3234" s="4">
        <v>-4703335.0</v>
      </c>
      <c r="G3234" s="4">
        <f t="array" ref="G3234">IFERROR((C3234-B3234)/C3234*100, "N/A")</f>
        <v>-1585.402727</v>
      </c>
      <c r="J3234" s="1"/>
      <c r="K3234" s="1"/>
    </row>
    <row r="3235" ht="14.25" customHeight="1">
      <c r="A3235" s="1" t="s">
        <v>15269</v>
      </c>
      <c r="B3235" s="1">
        <v>5000000.0</v>
      </c>
      <c r="C3235" s="1">
        <v>3219029.0</v>
      </c>
      <c r="F3235" s="4">
        <v>-1780971.0</v>
      </c>
      <c r="G3235" s="4">
        <f t="array" ref="G3235">IFERROR((C3235-B3235)/C3235*100, "N/A")</f>
        <v>-55.3263422</v>
      </c>
      <c r="J3235" s="1"/>
      <c r="K3235" s="1"/>
    </row>
    <row r="3236" ht="14.25" customHeight="1">
      <c r="A3236" s="1" t="s">
        <v>15274</v>
      </c>
      <c r="B3236" s="1">
        <v>7000000.0</v>
      </c>
      <c r="C3236" s="1">
        <v>1040879.0</v>
      </c>
      <c r="F3236" s="4">
        <v>-5959121.0</v>
      </c>
      <c r="G3236" s="4">
        <f t="array" ref="G3236">IFERROR((C3236-B3236)/C3236*100, "N/A")</f>
        <v>-572.508524</v>
      </c>
      <c r="J3236" s="1"/>
      <c r="K3236" s="1"/>
    </row>
    <row r="3237" ht="14.25" customHeight="1">
      <c r="A3237" s="1" t="s">
        <v>15279</v>
      </c>
      <c r="B3237" s="1">
        <v>5000000.0</v>
      </c>
      <c r="C3237" s="1">
        <v>326308.0</v>
      </c>
      <c r="F3237" s="4">
        <v>-4673692.0</v>
      </c>
      <c r="G3237" s="4">
        <f t="array" ref="G3237">IFERROR((C3237-B3237)/C3237*100, "N/A")</f>
        <v>-1432.294642</v>
      </c>
      <c r="J3237" s="1"/>
      <c r="K3237" s="1"/>
    </row>
    <row r="3238" ht="14.25" customHeight="1">
      <c r="A3238" s="1" t="s">
        <v>15283</v>
      </c>
      <c r="B3238" s="1">
        <v>5000000.0</v>
      </c>
      <c r="C3238" s="1">
        <v>124720.0</v>
      </c>
      <c r="F3238" s="4">
        <v>-4875280.0</v>
      </c>
      <c r="G3238" s="4">
        <f t="array" ref="G3238">IFERROR((C3238-B3238)/C3238*100, "N/A")</f>
        <v>-3908.980115</v>
      </c>
      <c r="J3238" s="1"/>
      <c r="K3238" s="1"/>
    </row>
    <row r="3239" ht="14.25" customHeight="1">
      <c r="A3239" s="1" t="s">
        <v>15287</v>
      </c>
      <c r="B3239" s="1">
        <v>2000000.0</v>
      </c>
      <c r="C3239" s="1">
        <v>99147.0</v>
      </c>
      <c r="F3239" s="4">
        <v>-1900853.0</v>
      </c>
      <c r="G3239" s="4">
        <f t="array" ref="G3239">IFERROR((C3239-B3239)/C3239*100, "N/A")</f>
        <v>-1917.206774</v>
      </c>
      <c r="J3239" s="1"/>
      <c r="K3239" s="1"/>
    </row>
    <row r="3240" ht="14.25" customHeight="1">
      <c r="A3240" s="1" t="s">
        <v>15291</v>
      </c>
      <c r="B3240" s="1">
        <v>5000000.0</v>
      </c>
      <c r="C3240" s="1">
        <v>65087.0</v>
      </c>
      <c r="F3240" s="4">
        <v>-4934913.0</v>
      </c>
      <c r="G3240" s="4">
        <f t="array" ref="G3240">IFERROR((C3240-B3240)/C3240*100, "N/A")</f>
        <v>-7582.025597</v>
      </c>
      <c r="J3240" s="1"/>
      <c r="K3240" s="1"/>
    </row>
    <row r="3241" ht="14.25" customHeight="1">
      <c r="A3241" s="1" t="s">
        <v>15299</v>
      </c>
      <c r="B3241" s="1">
        <v>5000000.0</v>
      </c>
      <c r="C3241" s="1">
        <v>16066.0</v>
      </c>
      <c r="F3241" s="4">
        <v>-4983934.0</v>
      </c>
      <c r="G3241" s="4">
        <f t="array" ref="G3241">IFERROR((C3241-B3241)/C3241*100, "N/A")</f>
        <v>-31021.6233</v>
      </c>
      <c r="J3241" s="1"/>
      <c r="K3241" s="1"/>
    </row>
    <row r="3242" ht="14.25" customHeight="1">
      <c r="A3242" s="1" t="s">
        <v>15305</v>
      </c>
      <c r="B3242" s="1">
        <v>8.445E7</v>
      </c>
      <c r="C3242" s="1">
        <v>617228.0</v>
      </c>
      <c r="F3242" s="4">
        <v>-8.3832772E7</v>
      </c>
      <c r="G3242" s="4">
        <f t="array" ref="G3242">IFERROR((C3242-B3242)/C3242*100, "N/A")</f>
        <v>-13582.14015</v>
      </c>
      <c r="J3242" s="1"/>
      <c r="K3242" s="1"/>
    </row>
    <row r="3243" ht="14.25" customHeight="1">
      <c r="A3243" s="1" t="s">
        <v>15313</v>
      </c>
      <c r="B3243" s="1">
        <v>890000.0</v>
      </c>
      <c r="C3243" s="1">
        <v>2.4475416E7</v>
      </c>
      <c r="F3243" s="4">
        <v>2.3585416E7</v>
      </c>
      <c r="G3243" s="4">
        <f t="array" ref="G3243">IFERROR((C3243-B3243)/C3243*100, "N/A")</f>
        <v>96.36369817</v>
      </c>
      <c r="J3243" s="1"/>
      <c r="K3243" s="1"/>
    </row>
    <row r="3244" ht="14.25" customHeight="1">
      <c r="A3244" s="1" t="s">
        <v>15316</v>
      </c>
      <c r="B3244" s="1">
        <v>4800000.0</v>
      </c>
      <c r="C3244" s="1">
        <v>4.7277326E7</v>
      </c>
      <c r="F3244" s="4">
        <v>4.2477326E7</v>
      </c>
      <c r="G3244" s="4">
        <f t="array" ref="G3244">IFERROR((C3244-B3244)/C3244*100, "N/A")</f>
        <v>89.84714152</v>
      </c>
      <c r="J3244" s="1"/>
      <c r="K3244" s="1"/>
    </row>
    <row r="3245" ht="14.25" customHeight="1">
      <c r="A3245" s="1" t="s">
        <v>15320</v>
      </c>
      <c r="B3245" s="1">
        <v>2800000.0</v>
      </c>
      <c r="C3245" s="1">
        <v>1247453.0</v>
      </c>
      <c r="F3245" s="4">
        <v>-1552547.0</v>
      </c>
      <c r="G3245" s="4">
        <f t="array" ref="G3245">IFERROR((C3245-B3245)/C3245*100, "N/A")</f>
        <v>-124.4573543</v>
      </c>
      <c r="J3245" s="1"/>
      <c r="K3245" s="1"/>
    </row>
    <row r="3246" ht="14.25" customHeight="1">
      <c r="A3246" s="1" t="s">
        <v>15323</v>
      </c>
      <c r="B3246" s="1">
        <v>5000000.0</v>
      </c>
      <c r="C3246" s="1">
        <v>1729969.0</v>
      </c>
      <c r="F3246" s="4">
        <v>-3270031.0</v>
      </c>
      <c r="G3246" s="4">
        <f t="array" ref="G3246">IFERROR((C3246-B3246)/C3246*100, "N/A")</f>
        <v>-189.0225201</v>
      </c>
      <c r="J3246" s="1"/>
      <c r="K3246" s="1"/>
    </row>
    <row r="3247" ht="14.25" customHeight="1">
      <c r="A3247" s="1" t="s">
        <v>15328</v>
      </c>
      <c r="B3247" s="1">
        <v>4700000.0</v>
      </c>
      <c r="C3247" s="1">
        <v>1705139.0</v>
      </c>
      <c r="F3247" s="4">
        <v>-2994861.0</v>
      </c>
      <c r="G3247" s="4">
        <f t="array" ref="G3247">IFERROR((C3247-B3247)/C3247*100, "N/A")</f>
        <v>-175.6373527</v>
      </c>
      <c r="J3247" s="1"/>
      <c r="K3247" s="1"/>
    </row>
    <row r="3248" ht="14.25" customHeight="1">
      <c r="A3248" s="1" t="s">
        <v>15332</v>
      </c>
      <c r="B3248" s="1">
        <v>4700000.0</v>
      </c>
      <c r="C3248" s="1">
        <v>8025872.0</v>
      </c>
      <c r="F3248" s="4">
        <v>3325872.0</v>
      </c>
      <c r="G3248" s="4">
        <f t="array" ref="G3248">IFERROR((C3248-B3248)/C3248*100, "N/A")</f>
        <v>41.43938503</v>
      </c>
      <c r="J3248" s="1"/>
      <c r="K3248" s="1"/>
    </row>
    <row r="3249" ht="14.25" customHeight="1">
      <c r="A3249" s="1" t="s">
        <v>15338</v>
      </c>
      <c r="B3249" s="1">
        <v>4800000.0</v>
      </c>
      <c r="C3249" s="1">
        <v>778565.0</v>
      </c>
      <c r="F3249" s="4">
        <v>-4021435.0</v>
      </c>
      <c r="G3249" s="4">
        <f t="array" ref="G3249">IFERROR((C3249-B3249)/C3249*100, "N/A")</f>
        <v>-516.518852</v>
      </c>
      <c r="J3249" s="1"/>
      <c r="K3249" s="1"/>
    </row>
    <row r="3250" ht="14.25" customHeight="1">
      <c r="A3250" s="1" t="s">
        <v>15343</v>
      </c>
      <c r="B3250" s="1">
        <v>4600000.0</v>
      </c>
      <c r="C3250" s="1">
        <v>513836.0</v>
      </c>
      <c r="F3250" s="4">
        <v>-4086164.0</v>
      </c>
      <c r="G3250" s="4">
        <f t="array" ref="G3250">IFERROR((C3250-B3250)/C3250*100, "N/A")</f>
        <v>-795.227271</v>
      </c>
      <c r="J3250" s="1"/>
      <c r="K3250" s="1"/>
    </row>
    <row r="3251" ht="14.25" customHeight="1">
      <c r="A3251" s="1" t="s">
        <v>15350</v>
      </c>
      <c r="B3251" s="1">
        <v>4600000.0</v>
      </c>
      <c r="C3251" s="1">
        <v>434417.0</v>
      </c>
      <c r="F3251" s="4">
        <v>-4165583.0</v>
      </c>
      <c r="G3251" s="4">
        <f t="array" ref="G3251">IFERROR((C3251-B3251)/C3251*100, "N/A")</f>
        <v>-958.890421</v>
      </c>
      <c r="J3251" s="1"/>
      <c r="K3251" s="1"/>
    </row>
    <row r="3252" ht="14.25" customHeight="1">
      <c r="A3252" s="1" t="s">
        <v>15353</v>
      </c>
      <c r="B3252" s="1">
        <v>4500000.0</v>
      </c>
      <c r="C3252" s="1">
        <v>8.12E7</v>
      </c>
      <c r="F3252" s="4">
        <v>7.67E7</v>
      </c>
      <c r="G3252" s="4">
        <f t="array" ref="G3252">IFERROR((C3252-B3252)/C3252*100, "N/A")</f>
        <v>94.45812808</v>
      </c>
      <c r="J3252" s="1"/>
      <c r="K3252" s="1"/>
    </row>
    <row r="3253" ht="14.25" customHeight="1">
      <c r="A3253" s="1" t="s">
        <v>15357</v>
      </c>
      <c r="B3253" s="1">
        <v>4500000.0</v>
      </c>
      <c r="C3253" s="1">
        <v>5.2700832E7</v>
      </c>
      <c r="F3253" s="4">
        <v>4.8200832E7</v>
      </c>
      <c r="G3253" s="4">
        <f t="array" ref="G3253">IFERROR((C3253-B3253)/C3253*100, "N/A")</f>
        <v>91.46123537</v>
      </c>
      <c r="J3253" s="1"/>
      <c r="K3253" s="1"/>
    </row>
    <row r="3254" ht="14.25" customHeight="1">
      <c r="A3254" s="1" t="s">
        <v>15361</v>
      </c>
      <c r="B3254" s="1">
        <v>1.5E7</v>
      </c>
      <c r="C3254" s="1">
        <v>1.3060843E7</v>
      </c>
      <c r="F3254" s="4">
        <v>-1939157.0</v>
      </c>
      <c r="G3254" s="4">
        <f t="array" ref="G3254">IFERROR((C3254-B3254)/C3254*100, "N/A")</f>
        <v>-14.84710443</v>
      </c>
      <c r="J3254" s="1"/>
      <c r="K3254" s="1"/>
    </row>
    <row r="3255" ht="14.25" customHeight="1">
      <c r="A3255" s="1" t="s">
        <v>15364</v>
      </c>
      <c r="B3255" s="1">
        <v>4500000.0</v>
      </c>
      <c r="C3255" s="1">
        <v>3798532.0</v>
      </c>
      <c r="F3255" s="4">
        <v>-701468.0</v>
      </c>
      <c r="G3255" s="4">
        <f t="array" ref="G3255">IFERROR((C3255-B3255)/C3255*100, "N/A")</f>
        <v>-18.46681823</v>
      </c>
      <c r="J3255" s="1"/>
      <c r="K3255" s="1"/>
    </row>
    <row r="3256" ht="14.25" customHeight="1">
      <c r="A3256" s="1" t="s">
        <v>15369</v>
      </c>
      <c r="B3256" s="1">
        <v>4500000.0</v>
      </c>
      <c r="C3256" s="1">
        <v>3609278.0</v>
      </c>
      <c r="F3256" s="4">
        <v>-890722.0</v>
      </c>
      <c r="G3256" s="4">
        <f t="array" ref="G3256">IFERROR((C3256-B3256)/C3256*100, "N/A")</f>
        <v>-24.67867535</v>
      </c>
      <c r="J3256" s="1"/>
      <c r="K3256" s="1"/>
    </row>
    <row r="3257" ht="14.25" customHeight="1">
      <c r="A3257" s="1" t="s">
        <v>15374</v>
      </c>
      <c r="B3257" s="1">
        <v>7.0E8</v>
      </c>
      <c r="C3257" s="1">
        <v>1687311.0</v>
      </c>
      <c r="F3257" s="4">
        <v>-6.98312689E8</v>
      </c>
      <c r="G3257" s="4">
        <f t="array" ref="G3257">IFERROR((C3257-B3257)/C3257*100, "N/A")</f>
        <v>-41386.12793</v>
      </c>
      <c r="J3257" s="1"/>
      <c r="K3257" s="1"/>
    </row>
    <row r="3258" ht="14.25" customHeight="1">
      <c r="A3258" s="1" t="s">
        <v>15381</v>
      </c>
      <c r="B3258" s="1">
        <v>4500000.0</v>
      </c>
      <c r="C3258" s="1">
        <v>727883.0</v>
      </c>
      <c r="F3258" s="4">
        <v>-3772117.0</v>
      </c>
      <c r="G3258" s="4">
        <f t="array" ref="G3258">IFERROR((C3258-B3258)/C3258*100, "N/A")</f>
        <v>-518.2312267</v>
      </c>
      <c r="J3258" s="1"/>
      <c r="K3258" s="1"/>
    </row>
    <row r="3259" ht="14.25" customHeight="1">
      <c r="A3259" s="1" t="s">
        <v>15386</v>
      </c>
      <c r="B3259" s="1">
        <v>4500000.0</v>
      </c>
      <c r="C3259" s="1">
        <v>713413.0</v>
      </c>
      <c r="F3259" s="4">
        <v>-3786587.0</v>
      </c>
      <c r="G3259" s="4">
        <f t="array" ref="G3259">IFERROR((C3259-B3259)/C3259*100, "N/A")</f>
        <v>-530.7706756</v>
      </c>
      <c r="J3259" s="1"/>
      <c r="K3259" s="1"/>
    </row>
    <row r="3260" ht="14.25" customHeight="1">
      <c r="A3260" s="1" t="s">
        <v>15393</v>
      </c>
      <c r="B3260" s="1">
        <v>2000000.0</v>
      </c>
      <c r="C3260" s="1">
        <v>410241.0</v>
      </c>
      <c r="F3260" s="4">
        <v>-1589759.0</v>
      </c>
      <c r="G3260" s="4">
        <f t="array" ref="G3260">IFERROR((C3260-B3260)/C3260*100, "N/A")</f>
        <v>-387.5183124</v>
      </c>
      <c r="J3260" s="1"/>
      <c r="K3260" s="1"/>
    </row>
    <row r="3261" ht="14.25" customHeight="1">
      <c r="A3261" s="1" t="s">
        <v>15397</v>
      </c>
      <c r="B3261" s="1">
        <v>4.2E9</v>
      </c>
      <c r="C3261" s="1">
        <v>211667.0</v>
      </c>
      <c r="F3261" s="4">
        <v>-4.199788333E9</v>
      </c>
      <c r="G3261" s="4">
        <f t="array" ref="G3261">IFERROR((C3261-B3261)/C3261*100, "N/A")</f>
        <v>-1984148.844</v>
      </c>
      <c r="J3261" s="1"/>
      <c r="K3261" s="1"/>
    </row>
    <row r="3262" ht="14.25" customHeight="1">
      <c r="A3262" s="1" t="s">
        <v>15403</v>
      </c>
      <c r="B3262" s="1">
        <v>2500000.0</v>
      </c>
      <c r="C3262" s="1">
        <v>92191.0</v>
      </c>
      <c r="F3262" s="4">
        <v>-2407809.0</v>
      </c>
      <c r="G3262" s="4">
        <f t="array" ref="G3262">IFERROR((C3262-B3262)/C3262*100, "N/A")</f>
        <v>-2611.761452</v>
      </c>
      <c r="J3262" s="1"/>
      <c r="K3262" s="1"/>
    </row>
    <row r="3263" ht="14.25" customHeight="1">
      <c r="A3263" s="1" t="s">
        <v>15407</v>
      </c>
      <c r="B3263" s="1">
        <v>3.5E7</v>
      </c>
      <c r="C3263" s="1">
        <v>49413.0</v>
      </c>
      <c r="F3263" s="4">
        <v>-3.4950587E7</v>
      </c>
      <c r="G3263" s="4">
        <f t="array" ref="G3263">IFERROR((C3263-B3263)/C3263*100, "N/A")</f>
        <v>-70731.56254</v>
      </c>
      <c r="J3263" s="1"/>
      <c r="K3263" s="1"/>
    </row>
    <row r="3264" ht="14.25" customHeight="1">
      <c r="A3264" s="1" t="s">
        <v>15412</v>
      </c>
      <c r="B3264" s="1">
        <v>4500000.0</v>
      </c>
      <c r="C3264" s="1">
        <v>108229.0</v>
      </c>
      <c r="F3264" s="4">
        <v>-4391771.0</v>
      </c>
      <c r="G3264" s="4">
        <f t="array" ref="G3264">IFERROR((C3264-B3264)/C3264*100, "N/A")</f>
        <v>-4057.850484</v>
      </c>
      <c r="J3264" s="1"/>
      <c r="K3264" s="1"/>
    </row>
    <row r="3265" ht="14.25" customHeight="1">
      <c r="A3265" s="1" t="s">
        <v>15415</v>
      </c>
      <c r="B3265" s="1">
        <v>4400000.0</v>
      </c>
      <c r="C3265" s="1">
        <v>1.12E8</v>
      </c>
      <c r="F3265" s="4">
        <v>1.076E8</v>
      </c>
      <c r="G3265" s="4">
        <f t="array" ref="G3265">IFERROR((C3265-B3265)/C3265*100, "N/A")</f>
        <v>96.07142857</v>
      </c>
      <c r="J3265" s="1"/>
      <c r="K3265" s="1"/>
    </row>
    <row r="3266" ht="14.25" customHeight="1">
      <c r="A3266" s="1" t="s">
        <v>15420</v>
      </c>
      <c r="B3266" s="1">
        <v>3000000.0</v>
      </c>
      <c r="C3266" s="1">
        <v>26345.0</v>
      </c>
      <c r="F3266" s="4">
        <v>-2973655.0</v>
      </c>
      <c r="G3266" s="4">
        <f t="array" ref="G3266">IFERROR((C3266-B3266)/C3266*100, "N/A")</f>
        <v>-11287.36003</v>
      </c>
      <c r="J3266" s="1"/>
      <c r="K3266" s="1"/>
    </row>
    <row r="3267" ht="14.25" customHeight="1">
      <c r="A3267" s="1" t="s">
        <v>15423</v>
      </c>
      <c r="B3267" s="1">
        <v>6000000.0</v>
      </c>
      <c r="C3267" s="1">
        <v>2.0772796E7</v>
      </c>
      <c r="F3267" s="4">
        <v>1.4772796E7</v>
      </c>
      <c r="G3267" s="4">
        <f t="array" ref="G3267">IFERROR((C3267-B3267)/C3267*100, "N/A")</f>
        <v>71.11606931</v>
      </c>
      <c r="J3267" s="1"/>
      <c r="K3267" s="1"/>
    </row>
    <row r="3268" ht="14.25" customHeight="1">
      <c r="A3268" s="1" t="s">
        <v>904</v>
      </c>
      <c r="B3268" s="1">
        <v>1.5E8</v>
      </c>
      <c r="C3268" s="1">
        <v>3.4964818E7</v>
      </c>
      <c r="F3268" s="4">
        <v>-1.15035182E8</v>
      </c>
      <c r="G3268" s="4">
        <f t="array" ref="G3268">IFERROR((C3268-B3268)/C3268*100, "N/A")</f>
        <v>-329.002662</v>
      </c>
      <c r="J3268" s="1"/>
      <c r="K3268" s="1"/>
    </row>
    <row r="3269" ht="14.25" customHeight="1">
      <c r="A3269" s="1" t="s">
        <v>15428</v>
      </c>
      <c r="B3269" s="1">
        <v>4200000.0</v>
      </c>
      <c r="C3269" s="1">
        <v>1487477.0</v>
      </c>
      <c r="F3269" s="4">
        <v>-2712523.0</v>
      </c>
      <c r="G3269" s="4">
        <f t="array" ref="G3269">IFERROR((C3269-B3269)/C3269*100, "N/A")</f>
        <v>-182.357307</v>
      </c>
      <c r="J3269" s="1"/>
      <c r="K3269" s="1"/>
    </row>
    <row r="3270" ht="14.25" customHeight="1">
      <c r="A3270" s="1" t="s">
        <v>15436</v>
      </c>
      <c r="B3270" s="1">
        <v>2300000.0</v>
      </c>
      <c r="C3270" s="1">
        <v>6.2549E7</v>
      </c>
      <c r="F3270" s="4">
        <v>6.0249E7</v>
      </c>
      <c r="G3270" s="4">
        <f t="array" ref="G3270">IFERROR((C3270-B3270)/C3270*100, "N/A")</f>
        <v>96.32288286</v>
      </c>
      <c r="J3270" s="1"/>
      <c r="K3270" s="1"/>
    </row>
    <row r="3271" ht="14.25" customHeight="1">
      <c r="A3271" s="1" t="s">
        <v>15439</v>
      </c>
      <c r="B3271" s="1">
        <v>4000000.0</v>
      </c>
      <c r="C3271" s="1">
        <v>1.055E8</v>
      </c>
      <c r="F3271" s="4">
        <v>1.015E8</v>
      </c>
      <c r="G3271" s="4">
        <f t="array" ref="G3271">IFERROR((C3271-B3271)/C3271*100, "N/A")</f>
        <v>96.20853081</v>
      </c>
      <c r="J3271" s="1"/>
      <c r="K3271" s="1"/>
    </row>
    <row r="3272" ht="14.25" customHeight="1">
      <c r="A3272" s="1" t="s">
        <v>15445</v>
      </c>
      <c r="B3272" s="1">
        <v>4000000.0</v>
      </c>
      <c r="C3272" s="1">
        <v>101055.0</v>
      </c>
      <c r="F3272" s="4">
        <v>-3898945.0</v>
      </c>
      <c r="G3272" s="4">
        <f t="array" ref="G3272">IFERROR((C3272-B3272)/C3272*100, "N/A")</f>
        <v>-3858.240562</v>
      </c>
      <c r="J3272" s="1"/>
      <c r="K3272" s="1"/>
    </row>
    <row r="3273" ht="14.25" customHeight="1">
      <c r="A3273" s="1" t="s">
        <v>15449</v>
      </c>
      <c r="B3273" s="1">
        <v>4000000.0</v>
      </c>
      <c r="C3273" s="1">
        <v>4.4566004E7</v>
      </c>
      <c r="F3273" s="4">
        <v>4.0566004E7</v>
      </c>
      <c r="G3273" s="4">
        <f t="array" ref="G3273">IFERROR((C3273-B3273)/C3273*100, "N/A")</f>
        <v>91.02454867</v>
      </c>
      <c r="J3273" s="1"/>
      <c r="K3273" s="1"/>
    </row>
    <row r="3274" ht="14.25" customHeight="1">
      <c r="A3274" s="1" t="s">
        <v>15453</v>
      </c>
      <c r="B3274" s="1">
        <v>4000000.0</v>
      </c>
      <c r="C3274" s="1">
        <v>3.92E7</v>
      </c>
      <c r="F3274" s="4">
        <v>3.52E7</v>
      </c>
      <c r="G3274" s="4">
        <f t="array" ref="G3274">IFERROR((C3274-B3274)/C3274*100, "N/A")</f>
        <v>89.79591837</v>
      </c>
      <c r="J3274" s="1"/>
      <c r="K3274" s="1"/>
    </row>
    <row r="3275" ht="14.25" customHeight="1">
      <c r="A3275" s="1" t="s">
        <v>15457</v>
      </c>
      <c r="B3275" s="1">
        <v>4000000.0</v>
      </c>
      <c r="C3275" s="1">
        <v>3.6E7</v>
      </c>
      <c r="F3275" s="4">
        <v>3.2E7</v>
      </c>
      <c r="G3275" s="4">
        <f t="array" ref="G3275">IFERROR((C3275-B3275)/C3275*100, "N/A")</f>
        <v>88.88888889</v>
      </c>
      <c r="J3275" s="1"/>
      <c r="K3275" s="1"/>
    </row>
    <row r="3276" ht="14.25" customHeight="1">
      <c r="A3276" s="1" t="s">
        <v>985</v>
      </c>
      <c r="B3276" s="1">
        <v>1.4E8</v>
      </c>
      <c r="C3276" s="1">
        <v>6.5007045E7</v>
      </c>
      <c r="F3276" s="4">
        <v>-7.4992955E7</v>
      </c>
      <c r="G3276" s="4">
        <f t="array" ref="G3276">IFERROR((C3276-B3276)/C3276*100, "N/A")</f>
        <v>-115.3612735</v>
      </c>
      <c r="J3276" s="1"/>
      <c r="K3276" s="1"/>
    </row>
    <row r="3277" ht="14.25" customHeight="1">
      <c r="A3277" s="1" t="s">
        <v>15463</v>
      </c>
      <c r="B3277" s="1">
        <v>4000000.0</v>
      </c>
      <c r="C3277" s="1">
        <v>3.1252964E7</v>
      </c>
      <c r="F3277" s="4">
        <v>2.7252964E7</v>
      </c>
      <c r="G3277" s="4">
        <f t="array" ref="G3277">IFERROR((C3277-B3277)/C3277*100, "N/A")</f>
        <v>87.20121394</v>
      </c>
      <c r="J3277" s="1"/>
      <c r="K3277" s="1"/>
    </row>
    <row r="3278" ht="14.25" customHeight="1">
      <c r="A3278" s="1" t="s">
        <v>15468</v>
      </c>
      <c r="B3278" s="1">
        <v>8500000.0</v>
      </c>
      <c r="C3278" s="1">
        <v>131175.0</v>
      </c>
      <c r="F3278" s="4">
        <v>-8368825.0</v>
      </c>
      <c r="G3278" s="4">
        <f t="array" ref="G3278">IFERROR((C3278-B3278)/C3278*100, "N/A")</f>
        <v>-6379.893272</v>
      </c>
      <c r="J3278" s="1"/>
      <c r="K3278" s="1"/>
    </row>
    <row r="3279" ht="14.25" customHeight="1">
      <c r="A3279" s="1" t="s">
        <v>15473</v>
      </c>
      <c r="B3279" s="1">
        <v>3600000.0</v>
      </c>
      <c r="C3279" s="1">
        <v>3.1968347E7</v>
      </c>
      <c r="F3279" s="4">
        <v>2.8368347E7</v>
      </c>
      <c r="G3279" s="4">
        <f t="array" ref="G3279">IFERROR((C3279-B3279)/C3279*100, "N/A")</f>
        <v>88.73886097</v>
      </c>
      <c r="J3279" s="1"/>
      <c r="K3279" s="1"/>
    </row>
    <row r="3280" ht="14.25" customHeight="1">
      <c r="A3280" s="1" t="s">
        <v>15476</v>
      </c>
      <c r="B3280" s="1">
        <v>4000000.0</v>
      </c>
      <c r="C3280" s="1">
        <v>3.538556E7</v>
      </c>
      <c r="F3280" s="4">
        <v>3.138556E7</v>
      </c>
      <c r="G3280" s="4">
        <f t="array" ref="G3280">IFERROR((C3280-B3280)/C3280*100, "N/A")</f>
        <v>88.69595394</v>
      </c>
      <c r="J3280" s="1"/>
      <c r="K3280" s="1"/>
    </row>
    <row r="3281" ht="14.25" customHeight="1">
      <c r="A3281" s="1" t="s">
        <v>15481</v>
      </c>
      <c r="B3281" s="1">
        <v>3500000.0</v>
      </c>
      <c r="C3281" s="1">
        <v>2.0803237E7</v>
      </c>
      <c r="F3281" s="4">
        <v>1.7303237E7</v>
      </c>
      <c r="G3281" s="4">
        <f t="array" ref="G3281">IFERROR((C3281-B3281)/C3281*100, "N/A")</f>
        <v>83.17569521</v>
      </c>
      <c r="J3281" s="1"/>
      <c r="K3281" s="1"/>
    </row>
    <row r="3282" ht="14.25" customHeight="1">
      <c r="A3282" s="1" t="s">
        <v>15484</v>
      </c>
      <c r="B3282" s="1">
        <v>4000000.0</v>
      </c>
      <c r="C3282" s="1">
        <v>1.3008928E7</v>
      </c>
      <c r="F3282" s="4">
        <v>9008928.0</v>
      </c>
      <c r="G3282" s="4">
        <f t="array" ref="G3282">IFERROR((C3282-B3282)/C3282*100, "N/A")</f>
        <v>69.25188609</v>
      </c>
      <c r="J3282" s="1"/>
      <c r="K3282" s="1"/>
    </row>
    <row r="3283" ht="14.25" customHeight="1">
      <c r="A3283" s="1" t="s">
        <v>15490</v>
      </c>
      <c r="B3283" s="1">
        <v>5000000.0</v>
      </c>
      <c r="C3283" s="1">
        <v>1.5152879E7</v>
      </c>
      <c r="F3283" s="4">
        <v>1.0152879E7</v>
      </c>
      <c r="G3283" s="4">
        <f t="array" ref="G3283">IFERROR((C3283-B3283)/C3283*100, "N/A")</f>
        <v>67.00297019</v>
      </c>
      <c r="J3283" s="1"/>
      <c r="K3283" s="1"/>
    </row>
    <row r="3284" ht="14.25" customHeight="1">
      <c r="A3284" s="1" t="s">
        <v>15494</v>
      </c>
      <c r="B3284" s="1">
        <v>4000000.0</v>
      </c>
      <c r="C3284" s="1">
        <v>2.53592E7</v>
      </c>
      <c r="F3284" s="4">
        <v>2.13592E7</v>
      </c>
      <c r="G3284" s="4">
        <f t="array" ref="G3284">IFERROR((C3284-B3284)/C3284*100, "N/A")</f>
        <v>84.22663175</v>
      </c>
      <c r="J3284" s="1"/>
      <c r="K3284" s="1"/>
    </row>
    <row r="3285" ht="14.25" customHeight="1">
      <c r="A3285" s="1" t="s">
        <v>15500</v>
      </c>
      <c r="B3285" s="1">
        <v>4000000.0</v>
      </c>
      <c r="C3285" s="1">
        <v>1.0515579E7</v>
      </c>
      <c r="F3285" s="4">
        <v>6515579.0</v>
      </c>
      <c r="G3285" s="4">
        <f t="array" ref="G3285">IFERROR((C3285-B3285)/C3285*100, "N/A")</f>
        <v>61.96120061</v>
      </c>
      <c r="J3285" s="1"/>
      <c r="K3285" s="1"/>
    </row>
    <row r="3286" ht="14.25" customHeight="1">
      <c r="A3286" s="1" t="s">
        <v>1628</v>
      </c>
      <c r="B3286" s="1">
        <v>1.0E8</v>
      </c>
      <c r="C3286" s="1">
        <v>1.8001174E8</v>
      </c>
      <c r="F3286" s="4">
        <v>8.001174E7</v>
      </c>
      <c r="G3286" s="4">
        <f t="array" ref="G3286">IFERROR((C3286-B3286)/C3286*100, "N/A")</f>
        <v>44.44806766</v>
      </c>
      <c r="J3286" s="1"/>
      <c r="K3286" s="1"/>
    </row>
    <row r="3287" ht="14.25" customHeight="1">
      <c r="A3287" s="1" t="s">
        <v>15504</v>
      </c>
      <c r="B3287" s="1">
        <v>4000000.0</v>
      </c>
      <c r="C3287" s="1">
        <v>1.0097096E7</v>
      </c>
      <c r="F3287" s="4">
        <v>6097096.0</v>
      </c>
      <c r="G3287" s="4">
        <f t="array" ref="G3287">IFERROR((C3287-B3287)/C3287*100, "N/A")</f>
        <v>60.38464921</v>
      </c>
      <c r="J3287" s="1"/>
      <c r="K3287" s="1"/>
    </row>
    <row r="3288" ht="14.25" customHeight="1">
      <c r="A3288" s="1" t="s">
        <v>15508</v>
      </c>
      <c r="B3288" s="1">
        <v>6000000.0</v>
      </c>
      <c r="C3288" s="1">
        <v>9821335.0</v>
      </c>
      <c r="F3288" s="4">
        <v>3821335.0</v>
      </c>
      <c r="G3288" s="4">
        <f t="array" ref="G3288">IFERROR((C3288-B3288)/C3288*100, "N/A")</f>
        <v>38.90850887</v>
      </c>
      <c r="J3288" s="1"/>
      <c r="K3288" s="1"/>
    </row>
    <row r="3289" ht="14.25" customHeight="1">
      <c r="A3289" s="1" t="s">
        <v>15511</v>
      </c>
      <c r="B3289" s="1">
        <v>3200000.0</v>
      </c>
      <c r="C3289" s="1">
        <v>8243880.0</v>
      </c>
      <c r="F3289" s="4">
        <v>5043880.0</v>
      </c>
      <c r="G3289" s="4">
        <f t="array" ref="G3289">IFERROR((C3289-B3289)/C3289*100, "N/A")</f>
        <v>61.1833263</v>
      </c>
      <c r="J3289" s="1"/>
      <c r="K3289" s="1"/>
    </row>
    <row r="3290" ht="14.25" customHeight="1">
      <c r="A3290" s="1" t="s">
        <v>15516</v>
      </c>
      <c r="B3290" s="1">
        <v>4000000.0</v>
      </c>
      <c r="C3290" s="1">
        <v>7825820.0</v>
      </c>
      <c r="F3290" s="4">
        <v>3825820.0</v>
      </c>
      <c r="G3290" s="4">
        <f t="array" ref="G3290">IFERROR((C3290-B3290)/C3290*100, "N/A")</f>
        <v>48.88714537</v>
      </c>
      <c r="J3290" s="1"/>
      <c r="K3290" s="1"/>
    </row>
    <row r="3291" ht="14.25" customHeight="1">
      <c r="A3291" s="1" t="s">
        <v>9077</v>
      </c>
      <c r="B3291" s="1">
        <v>2.5E7</v>
      </c>
      <c r="C3291" s="1">
        <v>1.463749E7</v>
      </c>
      <c r="F3291" s="4">
        <v>-1.036251E7</v>
      </c>
      <c r="G3291" s="4">
        <f t="array" ref="G3291">IFERROR((C3291-B3291)/C3291*100, "N/A")</f>
        <v>-70.79430968</v>
      </c>
      <c r="J3291" s="1"/>
      <c r="K3291" s="1"/>
    </row>
    <row r="3292" ht="14.25" customHeight="1">
      <c r="A3292" s="1" t="s">
        <v>15519</v>
      </c>
      <c r="B3292" s="1">
        <v>3400000.0</v>
      </c>
      <c r="C3292" s="1">
        <v>7159147.0</v>
      </c>
      <c r="F3292" s="4">
        <v>3759147.0</v>
      </c>
      <c r="G3292" s="4">
        <f t="array" ref="G3292">IFERROR((C3292-B3292)/C3292*100, "N/A")</f>
        <v>52.5083086</v>
      </c>
      <c r="J3292" s="1"/>
      <c r="K3292" s="1"/>
    </row>
    <row r="3293" ht="14.25" customHeight="1">
      <c r="A3293" s="1" t="s">
        <v>15524</v>
      </c>
      <c r="B3293" s="1">
        <v>4000000.0</v>
      </c>
      <c r="C3293" s="1">
        <v>1.7314483E7</v>
      </c>
      <c r="F3293" s="4">
        <v>1.3314483E7</v>
      </c>
      <c r="G3293" s="4">
        <f t="array" ref="G3293">IFERROR((C3293-B3293)/C3293*100, "N/A")</f>
        <v>76.897953</v>
      </c>
      <c r="J3293" s="1"/>
      <c r="K3293" s="1"/>
    </row>
    <row r="3294" ht="14.25" customHeight="1">
      <c r="A3294" s="1" t="s">
        <v>15530</v>
      </c>
      <c r="B3294" s="1">
        <v>4000000.0</v>
      </c>
      <c r="C3294" s="1">
        <v>6525762.0</v>
      </c>
      <c r="F3294" s="4">
        <v>2525762.0</v>
      </c>
      <c r="G3294" s="4">
        <f t="array" ref="G3294">IFERROR((C3294-B3294)/C3294*100, "N/A")</f>
        <v>38.7044762</v>
      </c>
      <c r="J3294" s="1"/>
      <c r="K3294" s="1"/>
    </row>
    <row r="3295" ht="14.25" customHeight="1">
      <c r="A3295" s="1" t="s">
        <v>15534</v>
      </c>
      <c r="B3295" s="1">
        <v>4000000.0</v>
      </c>
      <c r="C3295" s="1">
        <v>4301331.0</v>
      </c>
      <c r="F3295" s="4">
        <v>301331.0</v>
      </c>
      <c r="G3295" s="4">
        <f t="array" ref="G3295">IFERROR((C3295-B3295)/C3295*100, "N/A")</f>
        <v>7.005529219</v>
      </c>
      <c r="J3295" s="1"/>
      <c r="K3295" s="1"/>
    </row>
    <row r="3296" ht="14.25" customHeight="1">
      <c r="A3296" s="1" t="s">
        <v>15537</v>
      </c>
      <c r="B3296" s="1">
        <v>4000000.0</v>
      </c>
      <c r="C3296" s="1">
        <v>4046737.0</v>
      </c>
      <c r="F3296" s="4">
        <v>46737.0</v>
      </c>
      <c r="G3296" s="4">
        <f t="array" ref="G3296">IFERROR((C3296-B3296)/C3296*100, "N/A")</f>
        <v>1.154930503</v>
      </c>
      <c r="J3296" s="1"/>
      <c r="K3296" s="1"/>
    </row>
    <row r="3297" ht="14.25" customHeight="1">
      <c r="A3297" s="1" t="s">
        <v>15541</v>
      </c>
      <c r="B3297" s="1">
        <v>8000000.0</v>
      </c>
      <c r="C3297" s="1">
        <v>3713002.0</v>
      </c>
      <c r="F3297" s="4">
        <v>-4286998.0</v>
      </c>
      <c r="G3297" s="4">
        <f t="array" ref="G3297">IFERROR((C3297-B3297)/C3297*100, "N/A")</f>
        <v>-115.4590814</v>
      </c>
      <c r="J3297" s="1"/>
      <c r="K3297" s="1"/>
    </row>
    <row r="3298" ht="14.25" customHeight="1">
      <c r="A3298" s="1" t="s">
        <v>15546</v>
      </c>
      <c r="B3298" s="1">
        <v>4000000.0</v>
      </c>
      <c r="C3298" s="1">
        <v>3468572.0</v>
      </c>
      <c r="F3298" s="4">
        <v>-531428.0</v>
      </c>
      <c r="G3298" s="4">
        <f t="array" ref="G3298">IFERROR((C3298-B3298)/C3298*100, "N/A")</f>
        <v>-15.32123306</v>
      </c>
      <c r="J3298" s="1"/>
      <c r="K3298" s="1"/>
    </row>
    <row r="3299" ht="14.25" customHeight="1">
      <c r="A3299" s="1" t="s">
        <v>15549</v>
      </c>
      <c r="B3299" s="1">
        <v>4000000.0</v>
      </c>
      <c r="C3299" s="1">
        <v>2892582.0</v>
      </c>
      <c r="F3299" s="4">
        <v>-1107418.0</v>
      </c>
      <c r="G3299" s="4">
        <f t="array" ref="G3299">IFERROR((C3299-B3299)/C3299*100, "N/A")</f>
        <v>-38.28475736</v>
      </c>
      <c r="J3299" s="1"/>
      <c r="K3299" s="1"/>
    </row>
    <row r="3300" ht="14.25" customHeight="1">
      <c r="A3300" s="1" t="s">
        <v>15553</v>
      </c>
      <c r="B3300" s="1">
        <v>4000000.0</v>
      </c>
      <c r="C3300" s="1">
        <v>2800000.0</v>
      </c>
      <c r="F3300" s="4">
        <v>-1200000.0</v>
      </c>
      <c r="G3300" s="4">
        <f t="array" ref="G3300">IFERROR((C3300-B3300)/C3300*100, "N/A")</f>
        <v>-42.85714286</v>
      </c>
      <c r="J3300" s="1"/>
      <c r="K3300" s="1"/>
    </row>
    <row r="3301" ht="14.25" customHeight="1">
      <c r="A3301" s="1" t="s">
        <v>15556</v>
      </c>
      <c r="B3301" s="1">
        <v>4000000.0</v>
      </c>
      <c r="C3301" s="1">
        <v>2426851.0</v>
      </c>
      <c r="F3301" s="4">
        <v>-1573149.0</v>
      </c>
      <c r="G3301" s="4">
        <f t="array" ref="G3301">IFERROR((C3301-B3301)/C3301*100, "N/A")</f>
        <v>-64.82264465</v>
      </c>
      <c r="J3301" s="1"/>
      <c r="K3301" s="1"/>
    </row>
    <row r="3302" ht="14.25" customHeight="1">
      <c r="A3302" s="1" t="s">
        <v>15561</v>
      </c>
      <c r="B3302" s="1">
        <v>4000000.0</v>
      </c>
      <c r="C3302" s="1">
        <v>1325073.0</v>
      </c>
      <c r="F3302" s="4">
        <v>-2674927.0</v>
      </c>
      <c r="G3302" s="4">
        <f t="array" ref="G3302">IFERROR((C3302-B3302)/C3302*100, "N/A")</f>
        <v>-201.8701611</v>
      </c>
      <c r="J3302" s="1"/>
      <c r="K3302" s="1"/>
    </row>
    <row r="3303" ht="14.25" customHeight="1">
      <c r="A3303" s="1" t="s">
        <v>15565</v>
      </c>
      <c r="B3303" s="1">
        <v>4000000.0</v>
      </c>
      <c r="C3303" s="1">
        <v>864959.0</v>
      </c>
      <c r="F3303" s="4">
        <v>-3135041.0</v>
      </c>
      <c r="G3303" s="4">
        <f t="array" ref="G3303">IFERROR((C3303-B3303)/C3303*100, "N/A")</f>
        <v>-362.4496652</v>
      </c>
      <c r="J3303" s="1"/>
      <c r="K3303" s="1"/>
    </row>
    <row r="3304" ht="14.25" customHeight="1">
      <c r="A3304" s="1" t="s">
        <v>15571</v>
      </c>
      <c r="B3304" s="1">
        <v>4000000.0</v>
      </c>
      <c r="C3304" s="1">
        <v>2601847.0</v>
      </c>
      <c r="F3304" s="4">
        <v>-1398153.0</v>
      </c>
      <c r="G3304" s="4">
        <f t="array" ref="G3304">IFERROR((C3304-B3304)/C3304*100, "N/A")</f>
        <v>-53.73694149</v>
      </c>
      <c r="J3304" s="1"/>
      <c r="K3304" s="1"/>
    </row>
    <row r="3305" ht="14.25" customHeight="1">
      <c r="A3305" s="1" t="s">
        <v>15579</v>
      </c>
      <c r="B3305" s="1">
        <v>4000000.0</v>
      </c>
      <c r="C3305" s="1">
        <v>800000.0</v>
      </c>
      <c r="F3305" s="4">
        <v>-3200000.0</v>
      </c>
      <c r="G3305" s="4">
        <f t="array" ref="G3305">IFERROR((C3305-B3305)/C3305*100, "N/A")</f>
        <v>-400</v>
      </c>
      <c r="J3305" s="1"/>
      <c r="K3305" s="1"/>
    </row>
    <row r="3306" ht="14.25" customHeight="1">
      <c r="A3306" s="1" t="s">
        <v>15585</v>
      </c>
      <c r="B3306" s="1">
        <v>4000000.0</v>
      </c>
      <c r="C3306" s="1">
        <v>562059.0</v>
      </c>
      <c r="F3306" s="4">
        <v>-3437941.0</v>
      </c>
      <c r="G3306" s="4">
        <f t="array" ref="G3306">IFERROR((C3306-B3306)/C3306*100, "N/A")</f>
        <v>-611.6690597</v>
      </c>
      <c r="J3306" s="1"/>
      <c r="K3306" s="1"/>
    </row>
    <row r="3307" ht="14.25" customHeight="1">
      <c r="A3307" s="1" t="s">
        <v>15588</v>
      </c>
      <c r="B3307" s="1">
        <v>4000000.0</v>
      </c>
      <c r="C3307" s="1">
        <v>399793.0</v>
      </c>
      <c r="F3307" s="4">
        <v>-3600207.0</v>
      </c>
      <c r="G3307" s="4">
        <f t="array" ref="G3307">IFERROR((C3307-B3307)/C3307*100, "N/A")</f>
        <v>-900.5177679</v>
      </c>
      <c r="J3307" s="1"/>
      <c r="K3307" s="1"/>
    </row>
    <row r="3308" ht="14.25" customHeight="1">
      <c r="A3308" s="1" t="s">
        <v>15591</v>
      </c>
      <c r="B3308" s="1">
        <v>4000000.0</v>
      </c>
      <c r="C3308" s="1">
        <v>371897.0</v>
      </c>
      <c r="F3308" s="4">
        <v>-3628103.0</v>
      </c>
      <c r="G3308" s="4">
        <f t="array" ref="G3308">IFERROR((C3308-B3308)/C3308*100, "N/A")</f>
        <v>-975.5666219</v>
      </c>
      <c r="J3308" s="1"/>
      <c r="K3308" s="1"/>
    </row>
    <row r="3309" ht="14.25" customHeight="1">
      <c r="A3309" s="1" t="s">
        <v>15596</v>
      </c>
      <c r="B3309" s="1">
        <v>3000000.0</v>
      </c>
      <c r="C3309" s="1">
        <v>302204.0</v>
      </c>
      <c r="F3309" s="4">
        <v>-2697796.0</v>
      </c>
      <c r="G3309" s="4">
        <f t="array" ref="G3309">IFERROR((C3309-B3309)/C3309*100, "N/A")</f>
        <v>-892.7069132</v>
      </c>
      <c r="J3309" s="1"/>
      <c r="K3309" s="1"/>
    </row>
    <row r="3310" ht="14.25" customHeight="1">
      <c r="A3310" s="1" t="s">
        <v>15600</v>
      </c>
      <c r="B3310" s="1">
        <v>1300000.0</v>
      </c>
      <c r="C3310" s="1">
        <v>354704.0</v>
      </c>
      <c r="F3310" s="4">
        <v>-945296.0</v>
      </c>
      <c r="G3310" s="4">
        <f t="array" ref="G3310">IFERROR((C3310-B3310)/C3310*100, "N/A")</f>
        <v>-266.5027741</v>
      </c>
      <c r="J3310" s="1"/>
      <c r="K3310" s="1"/>
    </row>
    <row r="3311" ht="14.25" customHeight="1">
      <c r="A3311" s="1" t="s">
        <v>15605</v>
      </c>
      <c r="B3311" s="1">
        <v>1500000.0</v>
      </c>
      <c r="C3311" s="1">
        <v>265107.0</v>
      </c>
      <c r="F3311" s="4">
        <v>-1234893.0</v>
      </c>
      <c r="G3311" s="4">
        <f t="array" ref="G3311">IFERROR((C3311-B3311)/C3311*100, "N/A")</f>
        <v>-465.809277</v>
      </c>
      <c r="J3311" s="1"/>
      <c r="K3311" s="1"/>
    </row>
    <row r="3312" ht="14.25" customHeight="1">
      <c r="A3312" s="1" t="s">
        <v>15611</v>
      </c>
      <c r="B3312" s="1">
        <v>4000000.0</v>
      </c>
      <c r="C3312" s="1">
        <v>185577.0</v>
      </c>
      <c r="F3312" s="4">
        <v>-3814423.0</v>
      </c>
      <c r="G3312" s="4">
        <f t="array" ref="G3312">IFERROR((C3312-B3312)/C3312*100, "N/A")</f>
        <v>-2055.439521</v>
      </c>
      <c r="J3312" s="1"/>
      <c r="K3312" s="1"/>
    </row>
    <row r="3313" ht="14.25" customHeight="1">
      <c r="A3313" s="1" t="s">
        <v>15615</v>
      </c>
      <c r="B3313" s="1">
        <v>9500000.0</v>
      </c>
      <c r="C3313" s="1">
        <v>58214.0</v>
      </c>
      <c r="F3313" s="4">
        <v>-9441786.0</v>
      </c>
      <c r="G3313" s="4">
        <f t="array" ref="G3313">IFERROR((C3313-B3313)/C3313*100, "N/A")</f>
        <v>-16219.0985</v>
      </c>
      <c r="J3313" s="1"/>
      <c r="K3313" s="1"/>
    </row>
    <row r="3314" ht="14.25" customHeight="1">
      <c r="A3314" s="1" t="s">
        <v>15620</v>
      </c>
      <c r="B3314" s="1">
        <v>1.4E7</v>
      </c>
      <c r="C3314" s="1">
        <v>75078.0</v>
      </c>
      <c r="F3314" s="4">
        <v>-1.3924922E7</v>
      </c>
      <c r="G3314" s="4">
        <f t="array" ref="G3314">IFERROR((C3314-B3314)/C3314*100, "N/A")</f>
        <v>-18547.2735</v>
      </c>
      <c r="J3314" s="1"/>
      <c r="K3314" s="1"/>
    </row>
    <row r="3315" ht="14.25" customHeight="1">
      <c r="A3315" s="1" t="s">
        <v>15623</v>
      </c>
      <c r="B3315" s="1">
        <v>1.6E7</v>
      </c>
      <c r="C3315" s="1">
        <v>317125.0</v>
      </c>
      <c r="F3315" s="4">
        <v>-1.5682875E7</v>
      </c>
      <c r="G3315" s="4">
        <f t="array" ref="G3315">IFERROR((C3315-B3315)/C3315*100, "N/A")</f>
        <v>-4945.329129</v>
      </c>
      <c r="J3315" s="1"/>
      <c r="K3315" s="1"/>
    </row>
    <row r="3316" ht="14.25" customHeight="1">
      <c r="A3316" s="1" t="s">
        <v>15627</v>
      </c>
      <c r="B3316" s="1">
        <v>4000000.0</v>
      </c>
      <c r="C3316" s="1">
        <v>146402.0</v>
      </c>
      <c r="F3316" s="4">
        <v>-3853598.0</v>
      </c>
      <c r="G3316" s="4">
        <f t="array" ref="G3316">IFERROR((C3316-B3316)/C3316*100, "N/A")</f>
        <v>-2632.203112</v>
      </c>
      <c r="J3316" s="1"/>
      <c r="K3316" s="1"/>
    </row>
    <row r="3317" ht="14.25" customHeight="1">
      <c r="A3317" s="1" t="s">
        <v>15634</v>
      </c>
      <c r="B3317" s="1">
        <v>650000.0</v>
      </c>
      <c r="C3317" s="1">
        <v>18469.0</v>
      </c>
      <c r="F3317" s="4">
        <v>-631531.0</v>
      </c>
      <c r="G3317" s="4">
        <f t="array" ref="G3317">IFERROR((C3317-B3317)/C3317*100, "N/A")</f>
        <v>-3419.410905</v>
      </c>
      <c r="J3317" s="1"/>
      <c r="K3317" s="1"/>
    </row>
    <row r="3318" ht="14.25" customHeight="1">
      <c r="A3318" s="1" t="s">
        <v>15639</v>
      </c>
      <c r="B3318" s="1">
        <v>4000000.0</v>
      </c>
      <c r="C3318" s="1">
        <v>12836.0</v>
      </c>
      <c r="F3318" s="4">
        <v>-3987164.0</v>
      </c>
      <c r="G3318" s="4">
        <f t="array" ref="G3318">IFERROR((C3318-B3318)/C3318*100, "N/A")</f>
        <v>-31062.35587</v>
      </c>
      <c r="J3318" s="1"/>
      <c r="K3318" s="1"/>
    </row>
    <row r="3319" ht="14.25" customHeight="1">
      <c r="A3319" s="1" t="s">
        <v>15643</v>
      </c>
      <c r="B3319" s="1">
        <v>4000000.0</v>
      </c>
      <c r="C3319" s="1">
        <v>20262.0</v>
      </c>
      <c r="F3319" s="4">
        <v>-3979738.0</v>
      </c>
      <c r="G3319" s="4">
        <f t="array" ref="G3319">IFERROR((C3319-B3319)/C3319*100, "N/A")</f>
        <v>-19641.38782</v>
      </c>
      <c r="J3319" s="1"/>
      <c r="K3319" s="1"/>
    </row>
    <row r="3320" ht="14.25" customHeight="1">
      <c r="A3320" s="1" t="s">
        <v>15648</v>
      </c>
      <c r="B3320" s="1">
        <v>3977000.0</v>
      </c>
      <c r="C3320" s="1">
        <v>1.98655278E8</v>
      </c>
      <c r="F3320" s="4">
        <v>1.94678278E8</v>
      </c>
      <c r="G3320" s="4">
        <f t="array" ref="G3320">IFERROR((C3320-B3320)/C3320*100, "N/A")</f>
        <v>97.9980396</v>
      </c>
      <c r="J3320" s="1"/>
      <c r="K3320" s="1"/>
    </row>
    <row r="3321" ht="14.25" customHeight="1">
      <c r="A3321" s="1" t="s">
        <v>15655</v>
      </c>
      <c r="B3321" s="1">
        <v>4000000.0</v>
      </c>
      <c r="C3321" s="1">
        <v>143653.0</v>
      </c>
      <c r="F3321" s="4">
        <v>-3856347.0</v>
      </c>
      <c r="G3321" s="4">
        <f t="array" ref="G3321">IFERROR((C3321-B3321)/C3321*100, "N/A")</f>
        <v>-2684.487619</v>
      </c>
      <c r="J3321" s="1"/>
      <c r="K3321" s="1"/>
    </row>
    <row r="3322" ht="14.25" customHeight="1">
      <c r="A3322" s="1" t="s">
        <v>15660</v>
      </c>
      <c r="B3322" s="1">
        <v>3800000.0</v>
      </c>
      <c r="C3322" s="1">
        <v>14873.0</v>
      </c>
      <c r="F3322" s="4">
        <v>-3785127.0</v>
      </c>
      <c r="G3322" s="4">
        <f t="array" ref="G3322">IFERROR((C3322-B3322)/C3322*100, "N/A")</f>
        <v>-25449.65373</v>
      </c>
      <c r="J3322" s="1"/>
      <c r="K3322" s="1"/>
    </row>
    <row r="3323" ht="14.25" customHeight="1">
      <c r="A3323" s="1" t="s">
        <v>15667</v>
      </c>
      <c r="B3323" s="1">
        <v>3768785.0</v>
      </c>
      <c r="C3323" s="1">
        <v>8000000.0</v>
      </c>
      <c r="F3323" s="4">
        <v>4231215.0</v>
      </c>
      <c r="G3323" s="4">
        <f t="array" ref="G3323">IFERROR((C3323-B3323)/C3323*100, "N/A")</f>
        <v>52.8901875</v>
      </c>
      <c r="J3323" s="1"/>
      <c r="K3323" s="1"/>
    </row>
    <row r="3324" ht="14.25" customHeight="1">
      <c r="A3324" s="1" t="s">
        <v>15676</v>
      </c>
      <c r="B3324" s="1">
        <v>3500000.0</v>
      </c>
      <c r="C3324" s="1">
        <v>37606.0</v>
      </c>
      <c r="F3324" s="4">
        <v>-3462394.0</v>
      </c>
      <c r="G3324" s="4">
        <f t="array" ref="G3324">IFERROR((C3324-B3324)/C3324*100, "N/A")</f>
        <v>-9207.025475</v>
      </c>
      <c r="J3324" s="1"/>
      <c r="K3324" s="1"/>
    </row>
    <row r="3325" ht="14.25" customHeight="1">
      <c r="A3325" s="1" t="s">
        <v>15680</v>
      </c>
      <c r="B3325" s="1">
        <v>3700000.0</v>
      </c>
      <c r="C3325" s="1">
        <v>2956000.0</v>
      </c>
      <c r="F3325" s="4">
        <v>-744000.0</v>
      </c>
      <c r="G3325" s="4">
        <f t="array" ref="G3325">IFERROR((C3325-B3325)/C3325*100, "N/A")</f>
        <v>-25.1691475</v>
      </c>
      <c r="J3325" s="1"/>
      <c r="K3325" s="1"/>
    </row>
    <row r="3326" ht="14.25" customHeight="1">
      <c r="A3326" s="1" t="s">
        <v>15688</v>
      </c>
      <c r="B3326" s="1">
        <v>3800000.0</v>
      </c>
      <c r="C3326" s="1">
        <v>19959.0</v>
      </c>
      <c r="F3326" s="4">
        <v>-3780041.0</v>
      </c>
      <c r="G3326" s="4">
        <f t="array" ref="G3326">IFERROR((C3326-B3326)/C3326*100, "N/A")</f>
        <v>-18939.03001</v>
      </c>
      <c r="J3326" s="1"/>
      <c r="K3326" s="1"/>
    </row>
    <row r="3327" ht="14.25" customHeight="1">
      <c r="A3327" s="1" t="s">
        <v>15693</v>
      </c>
      <c r="B3327" s="1">
        <v>2000000.0</v>
      </c>
      <c r="C3327" s="1">
        <v>2706659.0</v>
      </c>
      <c r="F3327" s="4">
        <v>706659.0</v>
      </c>
      <c r="G3327" s="4">
        <f t="array" ref="G3327">IFERROR((C3327-B3327)/C3327*100, "N/A")</f>
        <v>26.10816508</v>
      </c>
      <c r="J3327" s="1"/>
      <c r="K3327" s="1"/>
    </row>
    <row r="3328" ht="14.25" customHeight="1">
      <c r="A3328" s="1" t="s">
        <v>6055</v>
      </c>
      <c r="B3328" s="1">
        <v>3.0E7</v>
      </c>
      <c r="C3328" s="1">
        <v>6.1094903E7</v>
      </c>
      <c r="F3328" s="4">
        <v>3.1094903E7</v>
      </c>
      <c r="G3328" s="4">
        <f t="array" ref="G3328">IFERROR((C3328-B3328)/C3328*100, "N/A")</f>
        <v>50.89606739</v>
      </c>
      <c r="J3328" s="1"/>
      <c r="K3328" s="1"/>
    </row>
    <row r="3329" ht="14.25" customHeight="1">
      <c r="A3329" s="1" t="s">
        <v>15696</v>
      </c>
      <c r="B3329" s="1">
        <v>3500000.0</v>
      </c>
      <c r="C3329" s="1">
        <v>4.5857453E7</v>
      </c>
      <c r="F3329" s="4">
        <v>4.2357453E7</v>
      </c>
      <c r="G3329" s="4">
        <f t="array" ref="G3329">IFERROR((C3329-B3329)/C3329*100, "N/A")</f>
        <v>92.36765287</v>
      </c>
      <c r="J3329" s="1"/>
      <c r="K3329" s="1"/>
    </row>
    <row r="3330" ht="14.25" customHeight="1">
      <c r="A3330" s="1" t="s">
        <v>15701</v>
      </c>
      <c r="B3330" s="1">
        <v>3500000.0</v>
      </c>
      <c r="C3330" s="1">
        <v>8.34E7</v>
      </c>
      <c r="F3330" s="4">
        <v>7.99E7</v>
      </c>
      <c r="G3330" s="4">
        <f t="array" ref="G3330">IFERROR((C3330-B3330)/C3330*100, "N/A")</f>
        <v>95.80335731</v>
      </c>
      <c r="J3330" s="1"/>
      <c r="K3330" s="1"/>
    </row>
    <row r="3331" ht="14.25" customHeight="1">
      <c r="A3331" s="1" t="s">
        <v>15707</v>
      </c>
      <c r="B3331" s="1">
        <v>3500000.0</v>
      </c>
      <c r="C3331" s="1">
        <v>2.79E7</v>
      </c>
      <c r="F3331" s="4">
        <v>2.44E7</v>
      </c>
      <c r="G3331" s="4">
        <f t="array" ref="G3331">IFERROR((C3331-B3331)/C3331*100, "N/A")</f>
        <v>87.45519713</v>
      </c>
      <c r="J3331" s="1"/>
      <c r="K3331" s="1"/>
    </row>
    <row r="3332" ht="14.25" customHeight="1">
      <c r="A3332" s="1" t="s">
        <v>15710</v>
      </c>
      <c r="B3332" s="1">
        <v>3500000.0</v>
      </c>
      <c r="C3332" s="1">
        <v>2.79E7</v>
      </c>
      <c r="F3332" s="4">
        <v>2.44E7</v>
      </c>
      <c r="G3332" s="4">
        <f t="array" ref="G3332">IFERROR((C3332-B3332)/C3332*100, "N/A")</f>
        <v>87.45519713</v>
      </c>
      <c r="J3332" s="1"/>
      <c r="K3332" s="1"/>
    </row>
    <row r="3333" ht="14.25" customHeight="1">
      <c r="A3333" s="1" t="s">
        <v>15714</v>
      </c>
      <c r="B3333" s="1">
        <v>3500000.0</v>
      </c>
      <c r="C3333" s="1">
        <v>1.4E7</v>
      </c>
      <c r="F3333" s="4">
        <v>1.05E7</v>
      </c>
      <c r="G3333" s="4">
        <f t="array" ref="G3333">IFERROR((C3333-B3333)/C3333*100, "N/A")</f>
        <v>75</v>
      </c>
      <c r="J3333" s="1"/>
      <c r="K3333" s="1"/>
    </row>
    <row r="3334" ht="14.25" customHeight="1">
      <c r="A3334" s="1" t="s">
        <v>15718</v>
      </c>
      <c r="B3334" s="1">
        <v>3500000.0</v>
      </c>
      <c r="C3334" s="1">
        <v>2.5138292E7</v>
      </c>
      <c r="F3334" s="4">
        <v>2.1638292E7</v>
      </c>
      <c r="G3334" s="4">
        <f t="array" ref="G3334">IFERROR((C3334-B3334)/C3334*100, "N/A")</f>
        <v>86.07701748</v>
      </c>
      <c r="J3334" s="1"/>
      <c r="K3334" s="1"/>
    </row>
    <row r="3335" ht="14.25" customHeight="1">
      <c r="A3335" s="1" t="s">
        <v>15723</v>
      </c>
      <c r="B3335" s="1">
        <v>3500000.0</v>
      </c>
      <c r="C3335" s="1">
        <v>1.0305534E7</v>
      </c>
      <c r="F3335" s="4">
        <v>6805534.0</v>
      </c>
      <c r="G3335" s="4">
        <f t="array" ref="G3335">IFERROR((C3335-B3335)/C3335*100, "N/A")</f>
        <v>66.03766481</v>
      </c>
      <c r="J3335" s="1"/>
      <c r="K3335" s="1"/>
    </row>
    <row r="3336" ht="14.25" customHeight="1">
      <c r="A3336" s="1" t="s">
        <v>15730</v>
      </c>
      <c r="B3336" s="1">
        <v>3500000.0</v>
      </c>
      <c r="C3336" s="1">
        <v>9449219.0</v>
      </c>
      <c r="F3336" s="4">
        <v>5949219.0</v>
      </c>
      <c r="G3336" s="4">
        <f t="array" ref="G3336">IFERROR((C3336-B3336)/C3336*100, "N/A")</f>
        <v>62.95990177</v>
      </c>
      <c r="J3336" s="1"/>
      <c r="K3336" s="1"/>
    </row>
    <row r="3337" ht="14.25" customHeight="1">
      <c r="A3337" s="1" t="s">
        <v>15734</v>
      </c>
      <c r="B3337" s="1">
        <v>3500000.0</v>
      </c>
      <c r="C3337" s="1">
        <v>6390032.0</v>
      </c>
      <c r="F3337" s="4">
        <v>2890032.0</v>
      </c>
      <c r="G3337" s="4">
        <f t="array" ref="G3337">IFERROR((C3337-B3337)/C3337*100, "N/A")</f>
        <v>45.22719135</v>
      </c>
      <c r="J3337" s="1"/>
      <c r="K3337" s="1"/>
    </row>
    <row r="3338" ht="14.25" customHeight="1">
      <c r="A3338" s="1" t="s">
        <v>15738</v>
      </c>
      <c r="B3338" s="1">
        <v>2000000.0</v>
      </c>
      <c r="C3338" s="1">
        <v>2.0167424E7</v>
      </c>
      <c r="F3338" s="4">
        <v>1.8167424E7</v>
      </c>
      <c r="G3338" s="4">
        <f t="array" ref="G3338">IFERROR((C3338-B3338)/C3338*100, "N/A")</f>
        <v>90.08301705</v>
      </c>
      <c r="J3338" s="1"/>
      <c r="K3338" s="1"/>
    </row>
    <row r="3339" ht="14.25" customHeight="1">
      <c r="A3339" s="1" t="s">
        <v>15745</v>
      </c>
      <c r="B3339" s="1">
        <v>3600000.0</v>
      </c>
      <c r="C3339" s="1">
        <v>5923044.0</v>
      </c>
      <c r="F3339" s="4">
        <v>2323044.0</v>
      </c>
      <c r="G3339" s="4">
        <f t="array" ref="G3339">IFERROR((C3339-B3339)/C3339*100, "N/A")</f>
        <v>39.22044138</v>
      </c>
      <c r="J3339" s="1"/>
      <c r="K3339" s="1"/>
    </row>
    <row r="3340" ht="14.25" customHeight="1">
      <c r="A3340" s="1" t="s">
        <v>15751</v>
      </c>
      <c r="B3340" s="1">
        <v>3000000.0</v>
      </c>
      <c r="C3340" s="1">
        <v>3293258.0</v>
      </c>
      <c r="F3340" s="4">
        <v>293258.0</v>
      </c>
      <c r="G3340" s="4">
        <f t="array" ref="G3340">IFERROR((C3340-B3340)/C3340*100, "N/A")</f>
        <v>8.904798834</v>
      </c>
      <c r="J3340" s="1"/>
      <c r="K3340" s="1"/>
    </row>
    <row r="3341" ht="14.25" customHeight="1">
      <c r="A3341" s="1" t="s">
        <v>15756</v>
      </c>
      <c r="B3341" s="1">
        <v>3500000.0</v>
      </c>
      <c r="C3341" s="1">
        <v>886410.0</v>
      </c>
      <c r="F3341" s="4">
        <v>-2613590.0</v>
      </c>
      <c r="G3341" s="4">
        <f t="array" ref="G3341">IFERROR((C3341-B3341)/C3341*100, "N/A")</f>
        <v>-294.8511411</v>
      </c>
      <c r="J3341" s="1"/>
      <c r="K3341" s="1"/>
    </row>
    <row r="3342" ht="14.25" customHeight="1">
      <c r="A3342" s="1" t="s">
        <v>15763</v>
      </c>
      <c r="B3342" s="1">
        <v>1.99E7</v>
      </c>
      <c r="C3342" s="1">
        <v>252652.0</v>
      </c>
      <c r="F3342" s="4">
        <v>-1.9647348E7</v>
      </c>
      <c r="G3342" s="4">
        <f t="array" ref="G3342">IFERROR((C3342-B3342)/C3342*100, "N/A")</f>
        <v>-7776.446654</v>
      </c>
      <c r="J3342" s="1"/>
      <c r="K3342" s="1"/>
    </row>
    <row r="3343" ht="14.25" customHeight="1">
      <c r="A3343" s="1" t="s">
        <v>15771</v>
      </c>
      <c r="B3343" s="1">
        <v>3500000.0</v>
      </c>
      <c r="C3343" s="1">
        <v>220234.0</v>
      </c>
      <c r="F3343" s="4">
        <v>-3279766.0</v>
      </c>
      <c r="G3343" s="4">
        <f t="array" ref="G3343">IFERROR((C3343-B3343)/C3343*100, "N/A")</f>
        <v>-1489.21874</v>
      </c>
      <c r="J3343" s="1"/>
      <c r="K3343" s="1"/>
    </row>
    <row r="3344" ht="14.25" customHeight="1">
      <c r="A3344" s="1" t="s">
        <v>4471</v>
      </c>
      <c r="B3344" s="1">
        <v>6.8E7</v>
      </c>
      <c r="C3344" s="1">
        <v>3.4350553E7</v>
      </c>
      <c r="F3344" s="4">
        <v>-3.3649447E7</v>
      </c>
      <c r="G3344" s="4">
        <f t="array" ref="G3344">IFERROR((C3344-B3344)/C3344*100, "N/A")</f>
        <v>-97.95896736</v>
      </c>
      <c r="J3344" s="1"/>
      <c r="K3344" s="1"/>
    </row>
    <row r="3345" ht="14.25" customHeight="1">
      <c r="A3345" s="1" t="s">
        <v>15775</v>
      </c>
      <c r="B3345" s="1">
        <v>3500000.0</v>
      </c>
      <c r="C3345" s="1">
        <v>101228.0</v>
      </c>
      <c r="F3345" s="4">
        <v>-3398772.0</v>
      </c>
      <c r="G3345" s="4">
        <f t="array" ref="G3345">IFERROR((C3345-B3345)/C3345*100, "N/A")</f>
        <v>-3357.541392</v>
      </c>
      <c r="J3345" s="1"/>
      <c r="K3345" s="1"/>
    </row>
    <row r="3346" ht="14.25" customHeight="1">
      <c r="A3346" s="1" t="s">
        <v>15778</v>
      </c>
      <c r="B3346" s="1">
        <v>3500000.0</v>
      </c>
      <c r="C3346" s="1">
        <v>96793.0</v>
      </c>
      <c r="F3346" s="4">
        <v>-3403207.0</v>
      </c>
      <c r="G3346" s="4">
        <f t="array" ref="G3346">IFERROR((C3346-B3346)/C3346*100, "N/A")</f>
        <v>-3515.963964</v>
      </c>
      <c r="J3346" s="1"/>
      <c r="K3346" s="1"/>
    </row>
    <row r="3347" ht="14.25" customHeight="1">
      <c r="A3347" s="1" t="s">
        <v>15782</v>
      </c>
      <c r="B3347" s="1">
        <v>8000000.0</v>
      </c>
      <c r="C3347" s="1">
        <v>7.7413017E7</v>
      </c>
      <c r="F3347" s="4">
        <v>6.9413017E7</v>
      </c>
      <c r="G3347" s="4">
        <f t="array" ref="G3347">IFERROR((C3347-B3347)/C3347*100, "N/A")</f>
        <v>89.66582067</v>
      </c>
      <c r="J3347" s="1"/>
      <c r="K3347" s="1"/>
    </row>
    <row r="3348" ht="14.25" customHeight="1">
      <c r="A3348" s="1" t="s">
        <v>15787</v>
      </c>
      <c r="B3348" s="1">
        <v>3500000.0</v>
      </c>
      <c r="C3348" s="1">
        <v>5354039.0</v>
      </c>
      <c r="F3348" s="4">
        <v>1854039.0</v>
      </c>
      <c r="G3348" s="4">
        <f t="array" ref="G3348">IFERROR((C3348-B3348)/C3348*100, "N/A")</f>
        <v>34.62879146</v>
      </c>
      <c r="J3348" s="1"/>
      <c r="K3348" s="1"/>
    </row>
    <row r="3349" ht="14.25" customHeight="1">
      <c r="A3349" s="1" t="s">
        <v>15791</v>
      </c>
      <c r="B3349" s="1">
        <v>3000000.0</v>
      </c>
      <c r="C3349" s="1">
        <v>2926565.0</v>
      </c>
      <c r="F3349" s="4">
        <v>-73435.0</v>
      </c>
      <c r="G3349" s="4">
        <f t="array" ref="G3349">IFERROR((C3349-B3349)/C3349*100, "N/A")</f>
        <v>-2.509255732</v>
      </c>
      <c r="J3349" s="1"/>
      <c r="K3349" s="1"/>
    </row>
    <row r="3350" ht="14.25" customHeight="1">
      <c r="A3350" s="1" t="s">
        <v>15795</v>
      </c>
      <c r="B3350" s="1">
        <v>3300000.0</v>
      </c>
      <c r="C3350" s="1">
        <v>1.3092E7</v>
      </c>
      <c r="F3350" s="4">
        <v>9792000.0</v>
      </c>
      <c r="G3350" s="4">
        <f t="array" ref="G3350">IFERROR((C3350-B3350)/C3350*100, "N/A")</f>
        <v>74.79376719</v>
      </c>
      <c r="J3350" s="1"/>
      <c r="K3350" s="1"/>
    </row>
    <row r="3351" ht="14.25" customHeight="1">
      <c r="A3351" s="1" t="s">
        <v>15798</v>
      </c>
      <c r="B3351" s="1">
        <v>3300000.0</v>
      </c>
      <c r="C3351" s="1">
        <v>7563397.0</v>
      </c>
      <c r="F3351" s="4">
        <v>4263397.0</v>
      </c>
      <c r="G3351" s="4">
        <f t="array" ref="G3351">IFERROR((C3351-B3351)/C3351*100, "N/A")</f>
        <v>56.36881153</v>
      </c>
      <c r="J3351" s="1"/>
      <c r="K3351" s="1"/>
    </row>
    <row r="3352" ht="14.25" customHeight="1">
      <c r="A3352" s="1" t="s">
        <v>15804</v>
      </c>
      <c r="B3352" s="1">
        <v>2200000.0</v>
      </c>
      <c r="C3352" s="1">
        <v>104257.0</v>
      </c>
      <c r="F3352" s="4">
        <v>-2095743.0</v>
      </c>
      <c r="G3352" s="4">
        <f t="array" ref="G3352">IFERROR((C3352-B3352)/C3352*100, "N/A")</f>
        <v>-2010.170061</v>
      </c>
      <c r="J3352" s="1"/>
      <c r="K3352" s="1"/>
    </row>
    <row r="3353" ht="14.25" customHeight="1">
      <c r="A3353" s="1" t="s">
        <v>15808</v>
      </c>
      <c r="B3353" s="1">
        <v>3800000.0</v>
      </c>
      <c r="C3353" s="1">
        <v>610968.0</v>
      </c>
      <c r="F3353" s="4">
        <v>-3189032.0</v>
      </c>
      <c r="G3353" s="4">
        <f t="array" ref="G3353">IFERROR((C3353-B3353)/C3353*100, "N/A")</f>
        <v>-521.9638344</v>
      </c>
      <c r="J3353" s="1"/>
      <c r="K3353" s="1"/>
    </row>
    <row r="3354" ht="14.25" customHeight="1">
      <c r="A3354" s="1" t="s">
        <v>15815</v>
      </c>
      <c r="B3354" s="1">
        <v>3300000.0</v>
      </c>
      <c r="C3354" s="1">
        <v>8108247.0</v>
      </c>
      <c r="F3354" s="4">
        <v>4808247.0</v>
      </c>
      <c r="G3354" s="4">
        <f t="array" ref="G3354">IFERROR((C3354-B3354)/C3354*100, "N/A")</f>
        <v>59.30069718</v>
      </c>
      <c r="J3354" s="1"/>
      <c r="K3354" s="1"/>
    </row>
    <row r="3355" ht="14.25" customHeight="1">
      <c r="A3355" s="1" t="s">
        <v>15819</v>
      </c>
      <c r="B3355" s="1">
        <v>3000000.0</v>
      </c>
      <c r="C3355" s="1">
        <v>6517198.0</v>
      </c>
      <c r="F3355" s="4">
        <v>3517198.0</v>
      </c>
      <c r="G3355" s="4">
        <f t="array" ref="G3355">IFERROR((C3355-B3355)/C3355*100, "N/A")</f>
        <v>53.96794758</v>
      </c>
      <c r="J3355" s="1"/>
      <c r="K3355" s="1"/>
    </row>
    <row r="3356" ht="14.25" customHeight="1">
      <c r="A3356" s="1" t="s">
        <v>15825</v>
      </c>
      <c r="B3356" s="1">
        <v>3200000.0</v>
      </c>
      <c r="C3356" s="1">
        <v>5776314.0</v>
      </c>
      <c r="F3356" s="4">
        <v>2576314.0</v>
      </c>
      <c r="G3356" s="4">
        <f t="array" ref="G3356">IFERROR((C3356-B3356)/C3356*100, "N/A")</f>
        <v>44.60134958</v>
      </c>
      <c r="J3356" s="1"/>
      <c r="K3356" s="1"/>
    </row>
    <row r="3357" ht="14.25" customHeight="1">
      <c r="A3357" s="1" t="s">
        <v>15829</v>
      </c>
      <c r="B3357" s="1">
        <v>3000000.0</v>
      </c>
      <c r="C3357" s="1">
        <v>1.416E8</v>
      </c>
      <c r="F3357" s="4">
        <v>1.386E8</v>
      </c>
      <c r="G3357" s="4">
        <f t="array" ref="G3357">IFERROR((C3357-B3357)/C3357*100, "N/A")</f>
        <v>97.88135593</v>
      </c>
      <c r="J3357" s="1"/>
      <c r="K3357" s="1"/>
    </row>
    <row r="3358" ht="14.25" customHeight="1">
      <c r="A3358" s="1" t="s">
        <v>15832</v>
      </c>
      <c r="B3358" s="1">
        <v>3000000.0</v>
      </c>
      <c r="C3358" s="1">
        <v>5.11E7</v>
      </c>
      <c r="F3358" s="4">
        <v>4.81E7</v>
      </c>
      <c r="G3358" s="4">
        <f t="array" ref="G3358">IFERROR((C3358-B3358)/C3358*100, "N/A")</f>
        <v>94.12915851</v>
      </c>
      <c r="J3358" s="1"/>
      <c r="K3358" s="1"/>
    </row>
    <row r="3359" ht="14.25" customHeight="1">
      <c r="A3359" s="1" t="s">
        <v>15837</v>
      </c>
      <c r="B3359" s="1">
        <v>3500000.0</v>
      </c>
      <c r="C3359" s="1">
        <v>1.6501785E7</v>
      </c>
      <c r="F3359" s="4">
        <v>1.3001785E7</v>
      </c>
      <c r="G3359" s="4">
        <f t="array" ref="G3359">IFERROR((C3359-B3359)/C3359*100, "N/A")</f>
        <v>78.79017331</v>
      </c>
      <c r="J3359" s="1"/>
      <c r="K3359" s="1"/>
    </row>
    <row r="3360" ht="14.25" customHeight="1">
      <c r="A3360" s="1" t="s">
        <v>15840</v>
      </c>
      <c r="B3360" s="1">
        <v>3000000.0</v>
      </c>
      <c r="C3360" s="1">
        <v>3.8168022E7</v>
      </c>
      <c r="F3360" s="4">
        <v>3.5168022E7</v>
      </c>
      <c r="G3360" s="4">
        <f t="array" ref="G3360">IFERROR((C3360-B3360)/C3360*100, "N/A")</f>
        <v>92.14001711</v>
      </c>
      <c r="J3360" s="1"/>
      <c r="K3360" s="1"/>
    </row>
    <row r="3361" ht="14.25" customHeight="1">
      <c r="A3361" s="1" t="s">
        <v>15844</v>
      </c>
      <c r="B3361" s="1">
        <v>3000000.0</v>
      </c>
      <c r="C3361" s="1">
        <v>8.4749884E7</v>
      </c>
      <c r="F3361" s="4">
        <v>8.1749884E7</v>
      </c>
      <c r="G3361" s="4">
        <f t="array" ref="G3361">IFERROR((C3361-B3361)/C3361*100, "N/A")</f>
        <v>96.46017215</v>
      </c>
      <c r="J3361" s="1"/>
      <c r="K3361" s="1"/>
    </row>
    <row r="3362" ht="14.25" customHeight="1">
      <c r="A3362" s="1" t="s">
        <v>15848</v>
      </c>
      <c r="B3362" s="1">
        <v>3000000.0</v>
      </c>
      <c r="C3362" s="1">
        <v>2.4788807E7</v>
      </c>
      <c r="F3362" s="4">
        <v>2.1788807E7</v>
      </c>
      <c r="G3362" s="4">
        <f t="array" ref="G3362">IFERROR((C3362-B3362)/C3362*100, "N/A")</f>
        <v>87.8977637</v>
      </c>
      <c r="J3362" s="1"/>
      <c r="K3362" s="1"/>
    </row>
    <row r="3363" ht="14.25" customHeight="1">
      <c r="A3363" s="1" t="s">
        <v>15851</v>
      </c>
      <c r="B3363" s="1">
        <v>4000000.0</v>
      </c>
      <c r="C3363" s="1">
        <v>2.1244913E7</v>
      </c>
      <c r="F3363" s="4">
        <v>1.7244913E7</v>
      </c>
      <c r="G3363" s="4">
        <f t="array" ref="G3363">IFERROR((C3363-B3363)/C3363*100, "N/A")</f>
        <v>81.17196338</v>
      </c>
      <c r="J3363" s="1"/>
      <c r="K3363" s="1"/>
    </row>
    <row r="3364" ht="14.25" customHeight="1">
      <c r="A3364" s="1" t="s">
        <v>15857</v>
      </c>
      <c r="B3364" s="1">
        <v>2200000.0</v>
      </c>
      <c r="C3364" s="1">
        <v>3.0E7</v>
      </c>
      <c r="F3364" s="4">
        <v>2.78E7</v>
      </c>
      <c r="G3364" s="4">
        <f t="array" ref="G3364">IFERROR((C3364-B3364)/C3364*100, "N/A")</f>
        <v>92.66666667</v>
      </c>
      <c r="J3364" s="1"/>
      <c r="K3364" s="1"/>
    </row>
    <row r="3365" ht="14.25" customHeight="1">
      <c r="A3365" s="1" t="s">
        <v>15862</v>
      </c>
      <c r="B3365" s="1">
        <v>3000000.0</v>
      </c>
      <c r="C3365" s="1">
        <v>2.0966644E7</v>
      </c>
      <c r="F3365" s="4">
        <v>1.7966644E7</v>
      </c>
      <c r="G3365" s="4">
        <f t="array" ref="G3365">IFERROR((C3365-B3365)/C3365*100, "N/A")</f>
        <v>85.69155846</v>
      </c>
      <c r="J3365" s="1"/>
      <c r="K3365" s="1"/>
    </row>
    <row r="3366" ht="14.25" customHeight="1">
      <c r="A3366" s="1" t="s">
        <v>15866</v>
      </c>
      <c r="B3366" s="1">
        <v>3000000.0</v>
      </c>
      <c r="C3366" s="1">
        <v>6.442365E7</v>
      </c>
      <c r="F3366" s="4">
        <v>6.142365E7</v>
      </c>
      <c r="G3366" s="4">
        <f t="array" ref="G3366">IFERROR((C3366-B3366)/C3366*100, "N/A")</f>
        <v>95.34332501</v>
      </c>
      <c r="J3366" s="1"/>
      <c r="K3366" s="1"/>
    </row>
    <row r="3367" ht="14.25" customHeight="1">
      <c r="A3367" s="1" t="s">
        <v>15870</v>
      </c>
      <c r="B3367" s="1">
        <v>3000000.0</v>
      </c>
      <c r="C3367" s="1">
        <v>4.805694E7</v>
      </c>
      <c r="F3367" s="4">
        <v>4.505694E7</v>
      </c>
      <c r="G3367" s="4">
        <f t="array" ref="G3367">IFERROR((C3367-B3367)/C3367*100, "N/A")</f>
        <v>93.75740528</v>
      </c>
      <c r="J3367" s="1"/>
      <c r="K3367" s="1"/>
    </row>
    <row r="3368" ht="14.25" customHeight="1">
      <c r="A3368" s="1" t="s">
        <v>15875</v>
      </c>
      <c r="B3368" s="1">
        <v>3000000.0</v>
      </c>
      <c r="C3368" s="1">
        <v>1.9184015E7</v>
      </c>
      <c r="F3368" s="4">
        <v>1.6184015E7</v>
      </c>
      <c r="G3368" s="4">
        <f t="array" ref="G3368">IFERROR((C3368-B3368)/C3368*100, "N/A")</f>
        <v>84.36198053</v>
      </c>
      <c r="J3368" s="1"/>
      <c r="K3368" s="1"/>
    </row>
    <row r="3369" ht="14.25" customHeight="1">
      <c r="A3369" s="1" t="s">
        <v>15881</v>
      </c>
      <c r="B3369" s="1">
        <v>3000000.0</v>
      </c>
      <c r="C3369" s="1">
        <v>2.4629916E7</v>
      </c>
      <c r="F3369" s="4">
        <v>2.1629916E7</v>
      </c>
      <c r="G3369" s="4">
        <f t="array" ref="G3369">IFERROR((C3369-B3369)/C3369*100, "N/A")</f>
        <v>87.81969049</v>
      </c>
      <c r="J3369" s="1"/>
      <c r="K3369" s="1"/>
    </row>
    <row r="3370" ht="14.25" customHeight="1">
      <c r="A3370" s="1" t="s">
        <v>15885</v>
      </c>
      <c r="B3370" s="1">
        <v>3000000.0</v>
      </c>
      <c r="C3370" s="1">
        <v>1.9472057E7</v>
      </c>
      <c r="F3370" s="4">
        <v>1.6472057E7</v>
      </c>
      <c r="G3370" s="4">
        <f t="array" ref="G3370">IFERROR((C3370-B3370)/C3370*100, "N/A")</f>
        <v>84.59330722</v>
      </c>
      <c r="J3370" s="1"/>
      <c r="K3370" s="1"/>
    </row>
    <row r="3371" ht="14.25" customHeight="1">
      <c r="A3371" s="1" t="s">
        <v>15890</v>
      </c>
      <c r="B3371" s="1">
        <v>3000000.0</v>
      </c>
      <c r="C3371" s="1">
        <v>2.72E7</v>
      </c>
      <c r="F3371" s="4">
        <v>2.42E7</v>
      </c>
      <c r="G3371" s="4">
        <f t="array" ref="G3371">IFERROR((C3371-B3371)/C3371*100, "N/A")</f>
        <v>88.97058824</v>
      </c>
      <c r="J3371" s="1"/>
      <c r="K3371" s="1"/>
    </row>
    <row r="3372" ht="14.25" customHeight="1">
      <c r="A3372" s="1" t="s">
        <v>15895</v>
      </c>
      <c r="B3372" s="1">
        <v>3000000.0</v>
      </c>
      <c r="C3372" s="1">
        <v>1.5369573E7</v>
      </c>
      <c r="F3372" s="4">
        <v>1.2369573E7</v>
      </c>
      <c r="G3372" s="4">
        <f t="array" ref="G3372">IFERROR((C3372-B3372)/C3372*100, "N/A")</f>
        <v>80.48091512</v>
      </c>
      <c r="J3372" s="1"/>
      <c r="K3372" s="1"/>
    </row>
    <row r="3373" ht="14.25" customHeight="1">
      <c r="A3373" s="1" t="s">
        <v>15901</v>
      </c>
      <c r="B3373" s="1">
        <v>2500000.0</v>
      </c>
      <c r="C3373" s="1">
        <v>1.5935068E7</v>
      </c>
      <c r="F3373" s="4">
        <v>1.3435068E7</v>
      </c>
      <c r="G3373" s="4">
        <f t="array" ref="G3373">IFERROR((C3373-B3373)/C3373*100, "N/A")</f>
        <v>84.31133146</v>
      </c>
      <c r="J3373" s="1"/>
      <c r="K3373" s="1"/>
    </row>
    <row r="3374" ht="14.25" customHeight="1">
      <c r="A3374" s="1" t="s">
        <v>15906</v>
      </c>
      <c r="B3374" s="1">
        <v>3000000.0</v>
      </c>
      <c r="C3374" s="1">
        <v>1.1694528E7</v>
      </c>
      <c r="F3374" s="4">
        <v>8694528.0</v>
      </c>
      <c r="G3374" s="4">
        <f t="array" ref="G3374">IFERROR((C3374-B3374)/C3374*100, "N/A")</f>
        <v>74.34697664</v>
      </c>
      <c r="J3374" s="1"/>
      <c r="K3374" s="1"/>
    </row>
    <row r="3375" ht="14.25" customHeight="1">
      <c r="A3375" s="1" t="s">
        <v>15912</v>
      </c>
      <c r="B3375" s="1">
        <v>3000000.0</v>
      </c>
      <c r="C3375" s="1">
        <v>1.0017041E7</v>
      </c>
      <c r="F3375" s="4">
        <v>7017041.0</v>
      </c>
      <c r="G3375" s="4">
        <f t="array" ref="G3375">IFERROR((C3375-B3375)/C3375*100, "N/A")</f>
        <v>70.05103603</v>
      </c>
      <c r="J3375" s="1"/>
      <c r="K3375" s="1"/>
    </row>
    <row r="3376" ht="14.25" customHeight="1">
      <c r="A3376" s="1" t="s">
        <v>15916</v>
      </c>
      <c r="B3376" s="1">
        <v>3000000.0</v>
      </c>
      <c r="C3376" s="1">
        <v>7059537.0</v>
      </c>
      <c r="F3376" s="4">
        <v>4059537.0</v>
      </c>
      <c r="G3376" s="4">
        <f t="array" ref="G3376">IFERROR((C3376-B3376)/C3376*100, "N/A")</f>
        <v>57.50429525</v>
      </c>
      <c r="J3376" s="1"/>
      <c r="K3376" s="1"/>
    </row>
    <row r="3377" ht="14.25" customHeight="1">
      <c r="A3377" s="1" t="s">
        <v>15920</v>
      </c>
      <c r="B3377" s="1">
        <v>3000000.0</v>
      </c>
      <c r="C3377" s="1">
        <v>8114507.0</v>
      </c>
      <c r="F3377" s="4">
        <v>5114507.0</v>
      </c>
      <c r="G3377" s="4">
        <f t="array" ref="G3377">IFERROR((C3377-B3377)/C3377*100, "N/A")</f>
        <v>63.02917725</v>
      </c>
      <c r="J3377" s="1"/>
      <c r="K3377" s="1"/>
    </row>
    <row r="3378" ht="14.25" customHeight="1">
      <c r="A3378" s="1" t="s">
        <v>15927</v>
      </c>
      <c r="B3378" s="1">
        <v>3000000.0</v>
      </c>
      <c r="C3378" s="1">
        <v>7888703.0</v>
      </c>
      <c r="F3378" s="4">
        <v>4888703.0</v>
      </c>
      <c r="G3378" s="4">
        <f t="array" ref="G3378">IFERROR((C3378-B3378)/C3378*100, "N/A")</f>
        <v>61.97093489</v>
      </c>
      <c r="J3378" s="1"/>
      <c r="K3378" s="1"/>
    </row>
    <row r="3379" ht="14.25" customHeight="1">
      <c r="A3379" s="1" t="s">
        <v>15933</v>
      </c>
      <c r="B3379" s="1">
        <v>3000000.0</v>
      </c>
      <c r="C3379" s="1">
        <v>7282851.0</v>
      </c>
      <c r="F3379" s="4">
        <v>4282851.0</v>
      </c>
      <c r="G3379" s="4">
        <f t="array" ref="G3379">IFERROR((C3379-B3379)/C3379*100, "N/A")</f>
        <v>58.8073407</v>
      </c>
      <c r="J3379" s="1"/>
      <c r="K3379" s="1"/>
    </row>
    <row r="3380" ht="14.25" customHeight="1">
      <c r="A3380" s="1" t="s">
        <v>15940</v>
      </c>
      <c r="B3380" s="1">
        <v>3000000.0</v>
      </c>
      <c r="C3380" s="1">
        <v>5844929.0</v>
      </c>
      <c r="F3380" s="4">
        <v>2844929.0</v>
      </c>
      <c r="G3380" s="4">
        <f t="array" ref="G3380">IFERROR((C3380-B3380)/C3380*100, "N/A")</f>
        <v>48.67345694</v>
      </c>
      <c r="J3380" s="1"/>
      <c r="K3380" s="1"/>
    </row>
    <row r="3381" ht="14.25" customHeight="1">
      <c r="A3381" s="1" t="s">
        <v>15944</v>
      </c>
      <c r="B3381" s="1">
        <v>1900000.0</v>
      </c>
      <c r="C3381" s="1">
        <v>4170647.0</v>
      </c>
      <c r="F3381" s="4">
        <v>2270647.0</v>
      </c>
      <c r="G3381" s="4">
        <f t="array" ref="G3381">IFERROR((C3381-B3381)/C3381*100, "N/A")</f>
        <v>54.44351919</v>
      </c>
      <c r="J3381" s="1"/>
      <c r="K3381" s="1"/>
    </row>
    <row r="3382" ht="14.25" customHeight="1">
      <c r="A3382" s="1" t="s">
        <v>15948</v>
      </c>
      <c r="B3382" s="1">
        <v>3000000.0</v>
      </c>
      <c r="C3382" s="1">
        <v>4142507.0</v>
      </c>
      <c r="F3382" s="4">
        <v>1142507.0</v>
      </c>
      <c r="G3382" s="4">
        <f t="array" ref="G3382">IFERROR((C3382-B3382)/C3382*100, "N/A")</f>
        <v>27.58008617</v>
      </c>
      <c r="J3382" s="1"/>
      <c r="K3382" s="1"/>
    </row>
    <row r="3383" ht="14.25" customHeight="1">
      <c r="A3383" s="1" t="s">
        <v>15953</v>
      </c>
      <c r="B3383" s="1">
        <v>3000000.0</v>
      </c>
      <c r="C3383" s="1">
        <v>4109095.0</v>
      </c>
      <c r="F3383" s="4">
        <v>1109095.0</v>
      </c>
      <c r="G3383" s="4">
        <f t="array" ref="G3383">IFERROR((C3383-B3383)/C3383*100, "N/A")</f>
        <v>26.99122313</v>
      </c>
      <c r="J3383" s="1"/>
      <c r="K3383" s="1"/>
    </row>
    <row r="3384" ht="14.25" customHeight="1">
      <c r="A3384" s="1" t="s">
        <v>15959</v>
      </c>
      <c r="B3384" s="1">
        <v>3000000.0</v>
      </c>
      <c r="C3384" s="1">
        <v>3902679.0</v>
      </c>
      <c r="F3384" s="4">
        <v>902679.0</v>
      </c>
      <c r="G3384" s="4">
        <f t="array" ref="G3384">IFERROR((C3384-B3384)/C3384*100, "N/A")</f>
        <v>23.12972704</v>
      </c>
      <c r="J3384" s="1"/>
      <c r="K3384" s="1"/>
    </row>
    <row r="3385" ht="14.25" customHeight="1">
      <c r="A3385" s="1" t="s">
        <v>15964</v>
      </c>
      <c r="B3385" s="1">
        <v>3000000.0</v>
      </c>
      <c r="C3385" s="1">
        <v>3559990.0</v>
      </c>
      <c r="F3385" s="4">
        <v>559990.0</v>
      </c>
      <c r="G3385" s="4">
        <f t="array" ref="G3385">IFERROR((C3385-B3385)/C3385*100, "N/A")</f>
        <v>15.73010037</v>
      </c>
      <c r="J3385" s="1"/>
      <c r="K3385" s="1"/>
    </row>
    <row r="3386" ht="14.25" customHeight="1">
      <c r="A3386" s="1" t="s">
        <v>15969</v>
      </c>
      <c r="B3386" s="1">
        <v>4500000.0</v>
      </c>
      <c r="C3386" s="1">
        <v>3287435.0</v>
      </c>
      <c r="F3386" s="4">
        <v>-1212565.0</v>
      </c>
      <c r="G3386" s="4">
        <f t="array" ref="G3386">IFERROR((C3386-B3386)/C3386*100, "N/A")</f>
        <v>-36.88483575</v>
      </c>
      <c r="J3386" s="1"/>
      <c r="K3386" s="1"/>
    </row>
    <row r="3387" ht="14.25" customHeight="1">
      <c r="A3387" s="1" t="s">
        <v>15974</v>
      </c>
      <c r="B3387" s="1">
        <v>3500000.0</v>
      </c>
      <c r="C3387" s="1">
        <v>3071947.0</v>
      </c>
      <c r="F3387" s="4">
        <v>-428053.0</v>
      </c>
      <c r="G3387" s="4">
        <f t="array" ref="G3387">IFERROR((C3387-B3387)/C3387*100, "N/A")</f>
        <v>-13.93425733</v>
      </c>
      <c r="J3387" s="1"/>
      <c r="K3387" s="1"/>
    </row>
    <row r="3388" ht="14.25" customHeight="1">
      <c r="A3388" s="1" t="s">
        <v>15979</v>
      </c>
      <c r="B3388" s="1">
        <v>3300000.0</v>
      </c>
      <c r="C3388" s="1">
        <v>2961991.0</v>
      </c>
      <c r="F3388" s="4">
        <v>-338009.0</v>
      </c>
      <c r="G3388" s="4">
        <f t="array" ref="G3388">IFERROR((C3388-B3388)/C3388*100, "N/A")</f>
        <v>-11.41154717</v>
      </c>
      <c r="J3388" s="1"/>
      <c r="K3388" s="1"/>
    </row>
    <row r="3389" ht="14.25" customHeight="1">
      <c r="A3389" s="1" t="s">
        <v>15983</v>
      </c>
      <c r="B3389" s="1">
        <v>3000000.0</v>
      </c>
      <c r="C3389" s="1">
        <v>2912363.0</v>
      </c>
      <c r="F3389" s="4">
        <v>-87637.0</v>
      </c>
      <c r="G3389" s="4">
        <f t="array" ref="G3389">IFERROR((C3389-B3389)/C3389*100, "N/A")</f>
        <v>-3.009137254</v>
      </c>
      <c r="J3389" s="1"/>
      <c r="K3389" s="1"/>
    </row>
    <row r="3390" ht="14.25" customHeight="1">
      <c r="A3390" s="1" t="s">
        <v>15989</v>
      </c>
      <c r="B3390" s="1">
        <v>3000000.0</v>
      </c>
      <c r="C3390" s="1">
        <v>2223990.0</v>
      </c>
      <c r="F3390" s="4">
        <v>-776010.0</v>
      </c>
      <c r="G3390" s="4">
        <f t="array" ref="G3390">IFERROR((C3390-B3390)/C3390*100, "N/A")</f>
        <v>-34.89269286</v>
      </c>
      <c r="J3390" s="1"/>
      <c r="K3390" s="1"/>
    </row>
    <row r="3391" ht="14.25" customHeight="1">
      <c r="A3391" s="1" t="s">
        <v>15994</v>
      </c>
      <c r="B3391" s="1">
        <v>3000000.0</v>
      </c>
      <c r="C3391" s="1">
        <v>1821983.0</v>
      </c>
      <c r="F3391" s="4">
        <v>-1178017.0</v>
      </c>
      <c r="G3391" s="4">
        <f t="array" ref="G3391">IFERROR((C3391-B3391)/C3391*100, "N/A")</f>
        <v>-64.65576243</v>
      </c>
      <c r="J3391" s="1"/>
      <c r="K3391" s="1"/>
    </row>
    <row r="3392" ht="14.25" customHeight="1">
      <c r="A3392" s="1" t="s">
        <v>15998</v>
      </c>
      <c r="B3392" s="1">
        <v>3000000.0</v>
      </c>
      <c r="C3392" s="1">
        <v>2181290.0</v>
      </c>
      <c r="F3392" s="4">
        <v>-818710.0</v>
      </c>
      <c r="G3392" s="4">
        <f t="array" ref="G3392">IFERROR((C3392-B3392)/C3392*100, "N/A")</f>
        <v>-37.53329452</v>
      </c>
      <c r="J3392" s="1"/>
      <c r="K3392" s="1"/>
    </row>
    <row r="3393" ht="14.25" customHeight="1">
      <c r="A3393" s="1" t="s">
        <v>16003</v>
      </c>
      <c r="B3393" s="1">
        <v>3500000.0</v>
      </c>
      <c r="C3393" s="1">
        <v>2848578.0</v>
      </c>
      <c r="F3393" s="4">
        <v>-651422.0</v>
      </c>
      <c r="G3393" s="4">
        <f t="array" ref="G3393">IFERROR((C3393-B3393)/C3393*100, "N/A")</f>
        <v>-22.86832237</v>
      </c>
      <c r="J3393" s="1"/>
      <c r="K3393" s="1"/>
    </row>
    <row r="3394" ht="14.25" customHeight="1">
      <c r="A3394" s="1" t="s">
        <v>16010</v>
      </c>
      <c r="B3394" s="1">
        <v>3000000.0</v>
      </c>
      <c r="C3394" s="1">
        <v>703002.0</v>
      </c>
      <c r="F3394" s="4">
        <v>-2296998.0</v>
      </c>
      <c r="G3394" s="4">
        <f t="array" ref="G3394">IFERROR((C3394-B3394)/C3394*100, "N/A")</f>
        <v>-326.7413179</v>
      </c>
      <c r="J3394" s="1"/>
      <c r="K3394" s="1"/>
    </row>
    <row r="3395" ht="14.25" customHeight="1">
      <c r="A3395" s="1" t="s">
        <v>16016</v>
      </c>
      <c r="B3395" s="1">
        <v>3000000.0</v>
      </c>
      <c r="C3395" s="1">
        <v>418268.0</v>
      </c>
      <c r="F3395" s="4">
        <v>-2581732.0</v>
      </c>
      <c r="G3395" s="4">
        <f t="array" ref="G3395">IFERROR((C3395-B3395)/C3395*100, "N/A")</f>
        <v>-617.2434898</v>
      </c>
      <c r="J3395" s="1"/>
      <c r="K3395" s="1"/>
    </row>
    <row r="3396" ht="14.25" customHeight="1">
      <c r="A3396" s="1" t="s">
        <v>16020</v>
      </c>
      <c r="B3396" s="1">
        <v>3000000.0</v>
      </c>
      <c r="C3396" s="1">
        <v>200803.0</v>
      </c>
      <c r="F3396" s="4">
        <v>-2799197.0</v>
      </c>
      <c r="G3396" s="4">
        <f t="array" ref="G3396">IFERROR((C3396-B3396)/C3396*100, "N/A")</f>
        <v>-1394.001584</v>
      </c>
      <c r="J3396" s="1"/>
      <c r="K3396" s="1"/>
    </row>
    <row r="3397" ht="14.25" customHeight="1">
      <c r="A3397" s="1" t="s">
        <v>8987</v>
      </c>
      <c r="B3397" s="1">
        <v>2.5E7</v>
      </c>
      <c r="C3397" s="1">
        <v>3.3631221E7</v>
      </c>
      <c r="F3397" s="4">
        <v>8631221.0</v>
      </c>
      <c r="G3397" s="4">
        <f t="array" ref="G3397">IFERROR((C3397-B3397)/C3397*100, "N/A")</f>
        <v>25.66431055</v>
      </c>
      <c r="J3397" s="1"/>
      <c r="K3397" s="1"/>
    </row>
    <row r="3398" ht="14.25" customHeight="1">
      <c r="A3398" s="1" t="s">
        <v>16024</v>
      </c>
      <c r="B3398" s="1">
        <v>2700000.0</v>
      </c>
      <c r="C3398" s="1">
        <v>95016.0</v>
      </c>
      <c r="F3398" s="4">
        <v>-2604984.0</v>
      </c>
      <c r="G3398" s="4">
        <f t="array" ref="G3398">IFERROR((C3398-B3398)/C3398*100, "N/A")</f>
        <v>-2741.626673</v>
      </c>
      <c r="J3398" s="1"/>
      <c r="K3398" s="1"/>
    </row>
    <row r="3399" ht="14.25" customHeight="1">
      <c r="A3399" s="1" t="s">
        <v>16030</v>
      </c>
      <c r="B3399" s="1">
        <v>5000000.0</v>
      </c>
      <c r="C3399" s="1">
        <v>143000.0</v>
      </c>
      <c r="F3399" s="4">
        <v>-4857000.0</v>
      </c>
      <c r="G3399" s="4">
        <f t="array" ref="G3399">IFERROR((C3399-B3399)/C3399*100, "N/A")</f>
        <v>-3396.503497</v>
      </c>
      <c r="J3399" s="1"/>
      <c r="K3399" s="1"/>
    </row>
    <row r="3400" ht="14.25" customHeight="1">
      <c r="A3400" s="1" t="s">
        <v>16035</v>
      </c>
      <c r="B3400" s="1">
        <v>3000000.0</v>
      </c>
      <c r="C3400" s="1">
        <v>39852.0</v>
      </c>
      <c r="F3400" s="4">
        <v>-2960148.0</v>
      </c>
      <c r="G3400" s="4">
        <f t="array" ref="G3400">IFERROR((C3400-B3400)/C3400*100, "N/A")</f>
        <v>-7427.853056</v>
      </c>
      <c r="J3400" s="1"/>
      <c r="K3400" s="1"/>
    </row>
    <row r="3401" ht="14.25" customHeight="1">
      <c r="A3401" s="1" t="s">
        <v>16039</v>
      </c>
      <c r="B3401" s="1">
        <v>3000000.0</v>
      </c>
      <c r="C3401" s="1">
        <v>22000.0</v>
      </c>
      <c r="F3401" s="4">
        <v>-2978000.0</v>
      </c>
      <c r="G3401" s="4">
        <f t="array" ref="G3401">IFERROR((C3401-B3401)/C3401*100, "N/A")</f>
        <v>-13536.36364</v>
      </c>
      <c r="J3401" s="1"/>
      <c r="K3401" s="1"/>
    </row>
    <row r="3402" ht="14.25" customHeight="1">
      <c r="A3402" s="1" t="s">
        <v>248</v>
      </c>
      <c r="B3402" s="1">
        <v>2.0E8</v>
      </c>
      <c r="C3402" s="1">
        <v>3.34185206E8</v>
      </c>
      <c r="F3402" s="4">
        <v>1.34185206E8</v>
      </c>
      <c r="G3402" s="4">
        <f t="array" ref="G3402">IFERROR((C3402-B3402)/C3402*100, "N/A")</f>
        <v>40.15294621</v>
      </c>
      <c r="J3402" s="1"/>
      <c r="K3402" s="1"/>
    </row>
    <row r="3403" ht="14.25" customHeight="1">
      <c r="A3403" s="1" t="s">
        <v>1914</v>
      </c>
      <c r="B3403" s="1">
        <v>9.5E7</v>
      </c>
      <c r="C3403" s="1">
        <v>2.01148159E8</v>
      </c>
      <c r="F3403" s="4">
        <v>1.06148159E8</v>
      </c>
      <c r="G3403" s="4">
        <f t="array" ref="G3403">IFERROR((C3403-B3403)/C3403*100, "N/A")</f>
        <v>52.77113125</v>
      </c>
      <c r="J3403" s="1"/>
      <c r="K3403" s="1"/>
    </row>
    <row r="3404" ht="14.25" customHeight="1">
      <c r="A3404" s="1" t="s">
        <v>16042</v>
      </c>
      <c r="B3404" s="1">
        <v>2900000.0</v>
      </c>
      <c r="C3404" s="1">
        <v>5595428.0</v>
      </c>
      <c r="F3404" s="4">
        <v>2695428.0</v>
      </c>
      <c r="G3404" s="4">
        <f t="array" ref="G3404">IFERROR((C3404-B3404)/C3404*100, "N/A")</f>
        <v>48.17197183</v>
      </c>
      <c r="J3404" s="1"/>
      <c r="K3404" s="1"/>
    </row>
    <row r="3405" ht="14.25" customHeight="1">
      <c r="A3405" s="1" t="s">
        <v>16049</v>
      </c>
      <c r="B3405" s="1">
        <v>1500000.0</v>
      </c>
      <c r="C3405" s="1">
        <v>3123749.0</v>
      </c>
      <c r="F3405" s="4">
        <v>1623749.0</v>
      </c>
      <c r="G3405" s="4">
        <f t="array" ref="G3405">IFERROR((C3405-B3405)/C3405*100, "N/A")</f>
        <v>51.98077694</v>
      </c>
      <c r="J3405" s="1"/>
      <c r="K3405" s="1"/>
    </row>
    <row r="3406" ht="14.25" customHeight="1">
      <c r="A3406" s="1" t="s">
        <v>16053</v>
      </c>
      <c r="B3406" s="1">
        <v>2200000.0</v>
      </c>
      <c r="C3406" s="1">
        <v>3645438.0</v>
      </c>
      <c r="F3406" s="4">
        <v>1445438.0</v>
      </c>
      <c r="G3406" s="4">
        <f t="array" ref="G3406">IFERROR((C3406-B3406)/C3406*100, "N/A")</f>
        <v>39.65059891</v>
      </c>
      <c r="J3406" s="1"/>
      <c r="K3406" s="1"/>
    </row>
    <row r="3407" ht="14.25" customHeight="1">
      <c r="A3407" s="1" t="s">
        <v>16058</v>
      </c>
      <c r="B3407" s="1">
        <v>8000000.0</v>
      </c>
      <c r="C3407" s="1">
        <v>2.2201636E7</v>
      </c>
      <c r="F3407" s="4">
        <v>1.4201636E7</v>
      </c>
      <c r="G3407" s="4">
        <f t="array" ref="G3407">IFERROR((C3407-B3407)/C3407*100, "N/A")</f>
        <v>63.9666194</v>
      </c>
      <c r="J3407" s="1"/>
      <c r="K3407" s="1"/>
    </row>
    <row r="3408" ht="14.25" customHeight="1">
      <c r="A3408" s="1" t="s">
        <v>16065</v>
      </c>
      <c r="B3408" s="1">
        <v>2883848.0</v>
      </c>
      <c r="C3408" s="1">
        <v>2.5E7</v>
      </c>
      <c r="F3408" s="4">
        <v>2.2116152E7</v>
      </c>
      <c r="G3408" s="4">
        <f t="array" ref="G3408">IFERROR((C3408-B3408)/C3408*100, "N/A")</f>
        <v>88.464608</v>
      </c>
      <c r="J3408" s="1"/>
      <c r="K3408" s="1"/>
    </row>
    <row r="3409" ht="14.25" customHeight="1">
      <c r="A3409" s="1" t="s">
        <v>16072</v>
      </c>
      <c r="B3409" s="1">
        <v>2800000.0</v>
      </c>
      <c r="C3409" s="1">
        <v>1.9170001E7</v>
      </c>
      <c r="F3409" s="4">
        <v>1.6370001E7</v>
      </c>
      <c r="G3409" s="4">
        <f t="array" ref="G3409">IFERROR((C3409-B3409)/C3409*100, "N/A")</f>
        <v>85.39384531</v>
      </c>
      <c r="J3409" s="1"/>
      <c r="K3409" s="1"/>
    </row>
    <row r="3410" ht="14.25" customHeight="1">
      <c r="A3410" s="1" t="s">
        <v>16077</v>
      </c>
      <c r="B3410" s="1">
        <v>2800000.0</v>
      </c>
      <c r="C3410" s="1">
        <v>2.2202612E7</v>
      </c>
      <c r="F3410" s="4">
        <v>1.9402612E7</v>
      </c>
      <c r="G3410" s="4">
        <f t="array" ref="G3410">IFERROR((C3410-B3410)/C3410*100, "N/A")</f>
        <v>87.38887118</v>
      </c>
      <c r="J3410" s="1"/>
      <c r="K3410" s="1"/>
    </row>
    <row r="3411" ht="14.25" customHeight="1">
      <c r="A3411" s="1" t="s">
        <v>16083</v>
      </c>
      <c r="B3411" s="1">
        <v>2800000.0</v>
      </c>
      <c r="C3411" s="1">
        <v>8.63E7</v>
      </c>
      <c r="F3411" s="4">
        <v>8.35E7</v>
      </c>
      <c r="G3411" s="4">
        <f t="array" ref="G3411">IFERROR((C3411-B3411)/C3411*100, "N/A")</f>
        <v>96.75550406</v>
      </c>
      <c r="J3411" s="1"/>
      <c r="K3411" s="1"/>
    </row>
    <row r="3412" ht="14.25" customHeight="1">
      <c r="A3412" s="1" t="s">
        <v>16086</v>
      </c>
      <c r="B3412" s="1">
        <v>2000000.0</v>
      </c>
      <c r="C3412" s="1">
        <v>952620.0</v>
      </c>
      <c r="F3412" s="4">
        <v>-1047380.0</v>
      </c>
      <c r="G3412" s="4">
        <f t="array" ref="G3412">IFERROR((C3412-B3412)/C3412*100, "N/A")</f>
        <v>-109.9473032</v>
      </c>
      <c r="J3412" s="1"/>
      <c r="K3412" s="1"/>
    </row>
    <row r="3413" ht="14.25" customHeight="1">
      <c r="A3413" s="1" t="s">
        <v>16091</v>
      </c>
      <c r="B3413" s="1">
        <v>2700000.0</v>
      </c>
      <c r="C3413" s="1">
        <v>9054736.0</v>
      </c>
      <c r="F3413" s="4">
        <v>6354736.0</v>
      </c>
      <c r="G3413" s="4">
        <f t="array" ref="G3413">IFERROR((C3413-B3413)/C3413*100, "N/A")</f>
        <v>70.1813504</v>
      </c>
      <c r="J3413" s="1"/>
      <c r="K3413" s="1"/>
    </row>
    <row r="3414" ht="14.25" customHeight="1">
      <c r="A3414" s="1" t="s">
        <v>16096</v>
      </c>
      <c r="B3414" s="1">
        <v>2600000.0</v>
      </c>
      <c r="C3414" s="1">
        <v>1.195E8</v>
      </c>
      <c r="F3414" s="4">
        <v>1.169E8</v>
      </c>
      <c r="G3414" s="4">
        <f t="array" ref="G3414">IFERROR((C3414-B3414)/C3414*100, "N/A")</f>
        <v>97.82426778</v>
      </c>
      <c r="J3414" s="1"/>
      <c r="K3414" s="1"/>
    </row>
    <row r="3415" ht="14.25" customHeight="1">
      <c r="A3415" s="1" t="s">
        <v>16101</v>
      </c>
      <c r="B3415" s="1">
        <v>1800000.0</v>
      </c>
      <c r="C3415" s="1">
        <v>3.26E7</v>
      </c>
      <c r="F3415" s="4">
        <v>3.08E7</v>
      </c>
      <c r="G3415" s="4">
        <f t="array" ref="G3415">IFERROR((C3415-B3415)/C3415*100, "N/A")</f>
        <v>94.47852761</v>
      </c>
      <c r="J3415" s="1"/>
      <c r="K3415" s="1"/>
    </row>
    <row r="3416" ht="14.25" customHeight="1">
      <c r="A3416" s="1" t="s">
        <v>16107</v>
      </c>
      <c r="B3416" s="1">
        <v>2600000.0</v>
      </c>
      <c r="C3416" s="1">
        <v>3130592.0</v>
      </c>
      <c r="F3416" s="4">
        <v>530592.0</v>
      </c>
      <c r="G3416" s="4">
        <f t="array" ref="G3416">IFERROR((C3416-B3416)/C3416*100, "N/A")</f>
        <v>16.94861547</v>
      </c>
      <c r="J3416" s="1"/>
      <c r="K3416" s="1"/>
    </row>
    <row r="3417" ht="14.25" customHeight="1">
      <c r="A3417" s="1" t="s">
        <v>7290</v>
      </c>
      <c r="B3417" s="1">
        <v>3.4E7</v>
      </c>
      <c r="C3417" s="1">
        <v>1.0654581E7</v>
      </c>
      <c r="F3417" s="4">
        <v>-2.3345419E7</v>
      </c>
      <c r="G3417" s="4">
        <f t="array" ref="G3417">IFERROR((C3417-B3417)/C3417*100, "N/A")</f>
        <v>-219.1115634</v>
      </c>
      <c r="J3417" s="1"/>
      <c r="K3417" s="1"/>
    </row>
    <row r="3418" ht="14.25" customHeight="1">
      <c r="A3418" s="1" t="s">
        <v>16111</v>
      </c>
      <c r="B3418" s="1">
        <v>2600000.0</v>
      </c>
      <c r="C3418" s="1">
        <v>38108.0</v>
      </c>
      <c r="F3418" s="4">
        <v>-2561892.0</v>
      </c>
      <c r="G3418" s="4">
        <f t="array" ref="G3418">IFERROR((C3418-B3418)/C3418*100, "N/A")</f>
        <v>-6722.714391</v>
      </c>
      <c r="J3418" s="1"/>
      <c r="K3418" s="1"/>
    </row>
    <row r="3419" ht="14.25" customHeight="1">
      <c r="A3419" s="1" t="s">
        <v>16116</v>
      </c>
      <c r="B3419" s="1">
        <v>2500000.0</v>
      </c>
      <c r="C3419" s="1">
        <v>4.0041683E7</v>
      </c>
      <c r="F3419" s="4">
        <v>3.7541683E7</v>
      </c>
      <c r="G3419" s="4">
        <f t="array" ref="G3419">IFERROR((C3419-B3419)/C3419*100, "N/A")</f>
        <v>93.75650619</v>
      </c>
      <c r="J3419" s="1"/>
      <c r="K3419" s="1"/>
    </row>
    <row r="3420" ht="14.25" customHeight="1">
      <c r="A3420" s="1" t="s">
        <v>16120</v>
      </c>
      <c r="B3420" s="1">
        <v>2500000.0</v>
      </c>
      <c r="C3420" s="1">
        <v>3.3349949E7</v>
      </c>
      <c r="F3420" s="4">
        <v>3.0849949E7</v>
      </c>
      <c r="G3420" s="4">
        <f t="array" ref="G3420">IFERROR((C3420-B3420)/C3420*100, "N/A")</f>
        <v>92.50373666</v>
      </c>
      <c r="J3420" s="1"/>
      <c r="K3420" s="1"/>
    </row>
    <row r="3421" ht="14.25" customHeight="1">
      <c r="A3421" s="1" t="s">
        <v>11562</v>
      </c>
      <c r="B3421" s="1">
        <v>1.5E7</v>
      </c>
      <c r="C3421" s="1">
        <v>3.3386128E7</v>
      </c>
      <c r="F3421" s="4">
        <v>1.8386128E7</v>
      </c>
      <c r="G3421" s="4">
        <f t="array" ref="G3421">IFERROR((C3421-B3421)/C3421*100, "N/A")</f>
        <v>55.07116009</v>
      </c>
      <c r="J3421" s="1"/>
      <c r="K3421" s="1"/>
    </row>
    <row r="3422" ht="14.25" customHeight="1">
      <c r="A3422" s="1" t="s">
        <v>16125</v>
      </c>
      <c r="B3422" s="1">
        <v>2.6E7</v>
      </c>
      <c r="C3422" s="1">
        <v>2.5809813E7</v>
      </c>
      <c r="F3422" s="4">
        <v>-190187.0</v>
      </c>
      <c r="G3422" s="4">
        <f t="array" ref="G3422">IFERROR((C3422-B3422)/C3422*100, "N/A")</f>
        <v>-0.7368786438</v>
      </c>
      <c r="J3422" s="1"/>
      <c r="K3422" s="1"/>
    </row>
    <row r="3423" ht="14.25" customHeight="1">
      <c r="A3423" s="1" t="s">
        <v>16129</v>
      </c>
      <c r="B3423" s="1">
        <v>2500000.0</v>
      </c>
      <c r="C3423" s="1">
        <v>1.44E7</v>
      </c>
      <c r="F3423" s="4">
        <v>1.19E7</v>
      </c>
      <c r="G3423" s="4">
        <f t="array" ref="G3423">IFERROR((C3423-B3423)/C3423*100, "N/A")</f>
        <v>82.63888889</v>
      </c>
      <c r="J3423" s="1"/>
      <c r="K3423" s="1"/>
    </row>
    <row r="3424" ht="14.25" customHeight="1">
      <c r="A3424" s="1" t="s">
        <v>16135</v>
      </c>
      <c r="B3424" s="1">
        <v>2500000.0</v>
      </c>
      <c r="C3424" s="1">
        <v>3.2230907E7</v>
      </c>
      <c r="F3424" s="4">
        <v>2.9730907E7</v>
      </c>
      <c r="G3424" s="4">
        <f t="array" ref="G3424">IFERROR((C3424-B3424)/C3424*100, "N/A")</f>
        <v>92.24346991</v>
      </c>
      <c r="J3424" s="1"/>
      <c r="K3424" s="1"/>
    </row>
    <row r="3425" ht="14.25" customHeight="1">
      <c r="A3425" s="1" t="s">
        <v>16141</v>
      </c>
      <c r="B3425" s="1">
        <v>2500000.0</v>
      </c>
      <c r="C3425" s="1">
        <v>6401336.0</v>
      </c>
      <c r="F3425" s="4">
        <v>3901336.0</v>
      </c>
      <c r="G3425" s="4">
        <f t="array" ref="G3425">IFERROR((C3425-B3425)/C3425*100, "N/A")</f>
        <v>60.9456526</v>
      </c>
      <c r="J3425" s="1"/>
      <c r="K3425" s="1"/>
    </row>
    <row r="3426" ht="14.25" customHeight="1">
      <c r="A3426" s="1" t="s">
        <v>16144</v>
      </c>
      <c r="B3426" s="1">
        <v>2500000.0</v>
      </c>
      <c r="C3426" s="1">
        <v>2.6781723E7</v>
      </c>
      <c r="F3426" s="4">
        <v>2.4281723E7</v>
      </c>
      <c r="G3426" s="4">
        <f t="array" ref="G3426">IFERROR((C3426-B3426)/C3426*100, "N/A")</f>
        <v>90.66527572</v>
      </c>
      <c r="J3426" s="1"/>
      <c r="K3426" s="1"/>
    </row>
    <row r="3427" ht="14.25" customHeight="1">
      <c r="A3427" s="1" t="s">
        <v>16148</v>
      </c>
      <c r="B3427" s="1">
        <v>2500000.0</v>
      </c>
      <c r="C3427" s="1">
        <v>5400000.0</v>
      </c>
      <c r="F3427" s="4">
        <v>2900000.0</v>
      </c>
      <c r="G3427" s="4">
        <f t="array" ref="G3427">IFERROR((C3427-B3427)/C3427*100, "N/A")</f>
        <v>53.7037037</v>
      </c>
      <c r="J3427" s="1"/>
      <c r="K3427" s="1"/>
    </row>
    <row r="3428" ht="14.25" customHeight="1">
      <c r="A3428" s="1" t="s">
        <v>16155</v>
      </c>
      <c r="B3428" s="1">
        <v>2500000.0</v>
      </c>
      <c r="C3428" s="1">
        <v>1282084.0</v>
      </c>
      <c r="F3428" s="4">
        <v>-1217916.0</v>
      </c>
      <c r="G3428" s="4">
        <f t="array" ref="G3428">IFERROR((C3428-B3428)/C3428*100, "N/A")</f>
        <v>-94.99502373</v>
      </c>
      <c r="J3428" s="1"/>
      <c r="K3428" s="1"/>
    </row>
    <row r="3429" ht="14.25" customHeight="1">
      <c r="A3429" s="1" t="s">
        <v>16158</v>
      </c>
      <c r="B3429" s="1">
        <v>2500000.0</v>
      </c>
      <c r="C3429" s="1">
        <v>3325638.0</v>
      </c>
      <c r="F3429" s="4">
        <v>825638.0</v>
      </c>
      <c r="G3429" s="4">
        <f t="array" ref="G3429">IFERROR((C3429-B3429)/C3429*100, "N/A")</f>
        <v>24.82645435</v>
      </c>
      <c r="J3429" s="1"/>
      <c r="K3429" s="1"/>
    </row>
    <row r="3430" ht="14.25" customHeight="1">
      <c r="A3430" s="1" t="s">
        <v>16165</v>
      </c>
      <c r="B3430" s="1">
        <v>2000000.0</v>
      </c>
      <c r="C3430" s="1">
        <v>395592.0</v>
      </c>
      <c r="F3430" s="4">
        <v>-1604408.0</v>
      </c>
      <c r="G3430" s="4">
        <f t="array" ref="G3430">IFERROR((C3430-B3430)/C3430*100, "N/A")</f>
        <v>-405.5713968</v>
      </c>
      <c r="J3430" s="1"/>
      <c r="K3430" s="1"/>
    </row>
    <row r="3431" ht="14.25" customHeight="1">
      <c r="A3431" s="1" t="s">
        <v>16170</v>
      </c>
      <c r="B3431" s="1">
        <v>2500000.0</v>
      </c>
      <c r="C3431" s="1">
        <v>6851969.0</v>
      </c>
      <c r="F3431" s="4">
        <v>4351969.0</v>
      </c>
      <c r="G3431" s="4">
        <f t="array" ref="G3431">IFERROR((C3431-B3431)/C3431*100, "N/A")</f>
        <v>63.51413732</v>
      </c>
      <c r="J3431" s="1"/>
      <c r="K3431" s="1"/>
    </row>
    <row r="3432" ht="14.25" customHeight="1">
      <c r="A3432" s="1" t="s">
        <v>16174</v>
      </c>
      <c r="B3432" s="1">
        <v>2500000.0</v>
      </c>
      <c r="C3432" s="1">
        <v>1.2995673E7</v>
      </c>
      <c r="F3432" s="4">
        <v>1.0495673E7</v>
      </c>
      <c r="G3432" s="4">
        <f t="array" ref="G3432">IFERROR((C3432-B3432)/C3432*100, "N/A")</f>
        <v>80.76282775</v>
      </c>
      <c r="J3432" s="1"/>
      <c r="K3432" s="1"/>
    </row>
    <row r="3433" ht="14.25" customHeight="1">
      <c r="A3433" s="1" t="s">
        <v>16182</v>
      </c>
      <c r="B3433" s="1">
        <v>2500000.0</v>
      </c>
      <c r="C3433" s="1">
        <v>173783.0</v>
      </c>
      <c r="F3433" s="4">
        <v>-2326217.0</v>
      </c>
      <c r="G3433" s="4">
        <f t="array" ref="G3433">IFERROR((C3433-B3433)/C3433*100, "N/A")</f>
        <v>-1338.575695</v>
      </c>
      <c r="J3433" s="1"/>
      <c r="K3433" s="1"/>
    </row>
    <row r="3434" ht="14.25" customHeight="1">
      <c r="A3434" s="1" t="s">
        <v>7601</v>
      </c>
      <c r="B3434" s="1">
        <v>2.0E7</v>
      </c>
      <c r="C3434" s="1">
        <v>1.14324072E8</v>
      </c>
      <c r="F3434" s="4">
        <v>9.4324072E7</v>
      </c>
      <c r="G3434" s="4">
        <f t="array" ref="G3434">IFERROR((C3434-B3434)/C3434*100, "N/A")</f>
        <v>82.50587155</v>
      </c>
      <c r="J3434" s="1"/>
      <c r="K3434" s="1"/>
    </row>
    <row r="3435" ht="14.25" customHeight="1">
      <c r="A3435" s="1" t="s">
        <v>16188</v>
      </c>
      <c r="B3435" s="1">
        <v>2500000.0</v>
      </c>
      <c r="C3435" s="1">
        <v>71904.0</v>
      </c>
      <c r="F3435" s="4">
        <v>-2428096.0</v>
      </c>
      <c r="G3435" s="4">
        <f t="array" ref="G3435">IFERROR((C3435-B3435)/C3435*100, "N/A")</f>
        <v>-3376.858033</v>
      </c>
      <c r="J3435" s="1"/>
      <c r="K3435" s="1"/>
    </row>
    <row r="3436" ht="14.25" customHeight="1">
      <c r="A3436" s="1" t="s">
        <v>16192</v>
      </c>
      <c r="B3436" s="1">
        <v>2500000.0</v>
      </c>
      <c r="C3436" s="1">
        <v>99851.0</v>
      </c>
      <c r="F3436" s="4">
        <v>-2400149.0</v>
      </c>
      <c r="G3436" s="4">
        <f t="array" ref="G3436">IFERROR((C3436-B3436)/C3436*100, "N/A")</f>
        <v>-2403.730559</v>
      </c>
      <c r="J3436" s="1"/>
      <c r="K3436" s="1"/>
    </row>
    <row r="3437" ht="14.25" customHeight="1">
      <c r="A3437" s="1" t="s">
        <v>16199</v>
      </c>
      <c r="B3437" s="1">
        <v>1.4E7</v>
      </c>
      <c r="C3437" s="1">
        <v>115504.0</v>
      </c>
      <c r="F3437" s="4">
        <v>-1.3884496E7</v>
      </c>
      <c r="G3437" s="4">
        <f t="array" ref="G3437">IFERROR((C3437-B3437)/C3437*100, "N/A")</f>
        <v>-12020.79235</v>
      </c>
      <c r="J3437" s="1"/>
      <c r="K3437" s="1"/>
    </row>
    <row r="3438" ht="14.25" customHeight="1">
      <c r="A3438" s="1" t="s">
        <v>16203</v>
      </c>
      <c r="B3438" s="1">
        <v>8400000.0</v>
      </c>
      <c r="C3438" s="1">
        <v>5725.0</v>
      </c>
      <c r="F3438" s="4">
        <v>-8394275.0</v>
      </c>
      <c r="G3438" s="4">
        <f t="array" ref="G3438">IFERROR((C3438-B3438)/C3438*100, "N/A")</f>
        <v>-146624.8908</v>
      </c>
      <c r="J3438" s="1"/>
      <c r="K3438" s="1"/>
    </row>
    <row r="3439" ht="14.25" customHeight="1">
      <c r="A3439" s="1" t="s">
        <v>16209</v>
      </c>
      <c r="B3439" s="1">
        <v>2500000.0</v>
      </c>
      <c r="C3439" s="1">
        <v>75727.0</v>
      </c>
      <c r="F3439" s="4">
        <v>-2424273.0</v>
      </c>
      <c r="G3439" s="4">
        <f t="array" ref="G3439">IFERROR((C3439-B3439)/C3439*100, "N/A")</f>
        <v>-3201.332418</v>
      </c>
      <c r="J3439" s="1"/>
      <c r="K3439" s="1"/>
    </row>
    <row r="3440" ht="14.25" customHeight="1">
      <c r="A3440" s="1" t="s">
        <v>16213</v>
      </c>
      <c r="B3440" s="1">
        <v>2500000.0</v>
      </c>
      <c r="C3440" s="1">
        <v>322157.0</v>
      </c>
      <c r="F3440" s="4">
        <v>-2177843.0</v>
      </c>
      <c r="G3440" s="4">
        <f t="array" ref="G3440">IFERROR((C3440-B3440)/C3440*100, "N/A")</f>
        <v>-676.0191459</v>
      </c>
      <c r="J3440" s="1"/>
      <c r="K3440" s="1"/>
    </row>
    <row r="3441" ht="14.25" customHeight="1">
      <c r="A3441" s="1" t="s">
        <v>16217</v>
      </c>
      <c r="B3441" s="1">
        <v>2400000.0</v>
      </c>
      <c r="C3441" s="1">
        <v>5731103.0</v>
      </c>
      <c r="F3441" s="4">
        <v>3331103.0</v>
      </c>
      <c r="G3441" s="4">
        <f t="array" ref="G3441">IFERROR((C3441-B3441)/C3441*100, "N/A")</f>
        <v>58.12324434</v>
      </c>
      <c r="J3441" s="1"/>
      <c r="K3441" s="1"/>
    </row>
    <row r="3442" ht="14.25" customHeight="1">
      <c r="A3442" s="1" t="s">
        <v>16221</v>
      </c>
      <c r="B3442" s="1">
        <v>2400000.0</v>
      </c>
      <c r="C3442" s="1">
        <v>978908.0</v>
      </c>
      <c r="F3442" s="4">
        <v>-1421092.0</v>
      </c>
      <c r="G3442" s="4">
        <f t="array" ref="G3442">IFERROR((C3442-B3442)/C3442*100, "N/A")</f>
        <v>-145.1711499</v>
      </c>
      <c r="J3442" s="1"/>
      <c r="K3442" s="1"/>
    </row>
    <row r="3443" ht="14.25" customHeight="1">
      <c r="A3443" s="1" t="s">
        <v>16227</v>
      </c>
      <c r="B3443" s="1">
        <v>1500000.0</v>
      </c>
      <c r="C3443" s="1">
        <v>327919.0</v>
      </c>
      <c r="F3443" s="4">
        <v>-1172081.0</v>
      </c>
      <c r="G3443" s="4">
        <f t="array" ref="G3443">IFERROR((C3443-B3443)/C3443*100, "N/A")</f>
        <v>-357.4300361</v>
      </c>
      <c r="J3443" s="1"/>
      <c r="K3443" s="1"/>
    </row>
    <row r="3444" ht="14.25" customHeight="1">
      <c r="A3444" s="1" t="s">
        <v>16231</v>
      </c>
      <c r="B3444" s="1">
        <v>2450000.0</v>
      </c>
      <c r="C3444" s="1">
        <v>178739.0</v>
      </c>
      <c r="F3444" s="4">
        <v>-2271261.0</v>
      </c>
      <c r="G3444" s="4">
        <f t="array" ref="G3444">IFERROR((C3444-B3444)/C3444*100, "N/A")</f>
        <v>-1270.713722</v>
      </c>
      <c r="J3444" s="1"/>
      <c r="K3444" s="1"/>
    </row>
    <row r="3445" ht="14.25" customHeight="1">
      <c r="A3445" s="1" t="s">
        <v>16236</v>
      </c>
      <c r="B3445" s="1">
        <v>4000000.0</v>
      </c>
      <c r="C3445" s="1">
        <v>3.62E7</v>
      </c>
      <c r="F3445" s="4">
        <v>3.22E7</v>
      </c>
      <c r="G3445" s="4">
        <f t="array" ref="G3445">IFERROR((C3445-B3445)/C3445*100, "N/A")</f>
        <v>88.95027624</v>
      </c>
      <c r="J3445" s="1"/>
      <c r="K3445" s="1"/>
    </row>
    <row r="3446" ht="14.25" customHeight="1">
      <c r="A3446" s="1" t="s">
        <v>16243</v>
      </c>
      <c r="B3446" s="1">
        <v>2200000.0</v>
      </c>
      <c r="C3446" s="1">
        <v>2.13E7</v>
      </c>
      <c r="F3446" s="4">
        <v>1.91E7</v>
      </c>
      <c r="G3446" s="4">
        <f t="array" ref="G3446">IFERROR((C3446-B3446)/C3446*100, "N/A")</f>
        <v>89.6713615</v>
      </c>
      <c r="J3446" s="1"/>
      <c r="K3446" s="1"/>
    </row>
    <row r="3447" ht="14.25" customHeight="1">
      <c r="A3447" s="1" t="s">
        <v>16250</v>
      </c>
      <c r="B3447" s="1">
        <v>2200000.0</v>
      </c>
      <c r="C3447" s="1">
        <v>379643.0</v>
      </c>
      <c r="F3447" s="4">
        <v>-1820357.0</v>
      </c>
      <c r="G3447" s="4">
        <f t="array" ref="G3447">IFERROR((C3447-B3447)/C3447*100, "N/A")</f>
        <v>-479.4917857</v>
      </c>
      <c r="J3447" s="1"/>
      <c r="K3447" s="1"/>
    </row>
    <row r="3448" ht="14.25" customHeight="1">
      <c r="A3448" s="1" t="s">
        <v>16254</v>
      </c>
      <c r="B3448" s="1">
        <v>2100000.0</v>
      </c>
      <c r="C3448" s="1">
        <v>2.365E7</v>
      </c>
      <c r="F3448" s="4">
        <v>2.155E7</v>
      </c>
      <c r="G3448" s="4">
        <f t="array" ref="G3448">IFERROR((C3448-B3448)/C3448*100, "N/A")</f>
        <v>91.1205074</v>
      </c>
      <c r="J3448" s="1"/>
      <c r="K3448" s="1"/>
    </row>
    <row r="3449" ht="14.25" customHeight="1">
      <c r="A3449" s="1" t="s">
        <v>16261</v>
      </c>
      <c r="B3449" s="1">
        <v>1.55E7</v>
      </c>
      <c r="C3449" s="1">
        <v>313436.0</v>
      </c>
      <c r="F3449" s="4">
        <v>-1.5186564E7</v>
      </c>
      <c r="G3449" s="4">
        <f t="array" ref="G3449">IFERROR((C3449-B3449)/C3449*100, "N/A")</f>
        <v>-4845.188172</v>
      </c>
      <c r="J3449" s="1"/>
      <c r="K3449" s="1"/>
    </row>
    <row r="3450" ht="14.25" customHeight="1">
      <c r="A3450" s="1" t="s">
        <v>16267</v>
      </c>
      <c r="B3450" s="1">
        <v>2000000.0</v>
      </c>
      <c r="C3450" s="1">
        <v>2.48E7</v>
      </c>
      <c r="F3450" s="4">
        <v>2.28E7</v>
      </c>
      <c r="G3450" s="4">
        <f t="array" ref="G3450">IFERROR((C3450-B3450)/C3450*100, "N/A")</f>
        <v>91.93548387</v>
      </c>
      <c r="J3450" s="1"/>
      <c r="K3450" s="1"/>
    </row>
    <row r="3451" ht="14.25" customHeight="1">
      <c r="A3451" s="1" t="s">
        <v>16272</v>
      </c>
      <c r="B3451" s="1">
        <v>2300000.0</v>
      </c>
      <c r="C3451" s="1">
        <v>792966.0</v>
      </c>
      <c r="F3451" s="4">
        <v>-1507034.0</v>
      </c>
      <c r="G3451" s="4">
        <f t="array" ref="G3451">IFERROR((C3451-B3451)/C3451*100, "N/A")</f>
        <v>-190.050267</v>
      </c>
      <c r="J3451" s="1"/>
      <c r="K3451" s="1"/>
    </row>
    <row r="3452" ht="14.25" customHeight="1">
      <c r="A3452" s="1" t="s">
        <v>16280</v>
      </c>
      <c r="B3452" s="1">
        <v>2000000.0</v>
      </c>
      <c r="C3452" s="1">
        <v>1.4673301E7</v>
      </c>
      <c r="F3452" s="4">
        <v>1.2673301E7</v>
      </c>
      <c r="G3452" s="4">
        <f t="array" ref="G3452">IFERROR((C3452-B3452)/C3452*100, "N/A")</f>
        <v>86.36980186</v>
      </c>
      <c r="J3452" s="1"/>
      <c r="K3452" s="1"/>
    </row>
    <row r="3453" ht="14.25" customHeight="1">
      <c r="A3453" s="1" t="s">
        <v>16286</v>
      </c>
      <c r="B3453" s="1">
        <v>2000000.0</v>
      </c>
      <c r="C3453" s="1">
        <v>9003011.0</v>
      </c>
      <c r="F3453" s="4">
        <v>7003011.0</v>
      </c>
      <c r="G3453" s="4">
        <f t="array" ref="G3453">IFERROR((C3453-B3453)/C3453*100, "N/A")</f>
        <v>77.78520986</v>
      </c>
      <c r="J3453" s="1"/>
      <c r="K3453" s="1"/>
    </row>
    <row r="3454" ht="14.25" customHeight="1">
      <c r="A3454" s="1" t="s">
        <v>16292</v>
      </c>
      <c r="B3454" s="1">
        <v>2000000.0</v>
      </c>
      <c r="C3454" s="1">
        <v>1.1546543E7</v>
      </c>
      <c r="F3454" s="4">
        <v>9546543.0</v>
      </c>
      <c r="G3454" s="4">
        <f t="array" ref="G3454">IFERROR((C3454-B3454)/C3454*100, "N/A")</f>
        <v>82.67879832</v>
      </c>
      <c r="J3454" s="1"/>
      <c r="K3454" s="1"/>
    </row>
    <row r="3455" ht="14.25" customHeight="1">
      <c r="A3455" s="1" t="s">
        <v>16296</v>
      </c>
      <c r="B3455" s="1">
        <v>2000000.0</v>
      </c>
      <c r="C3455" s="1">
        <v>1.1533945E7</v>
      </c>
      <c r="F3455" s="4">
        <v>9533945.0</v>
      </c>
      <c r="G3455" s="4">
        <f t="array" ref="G3455">IFERROR((C3455-B3455)/C3455*100, "N/A")</f>
        <v>82.65987917</v>
      </c>
      <c r="J3455" s="1"/>
      <c r="K3455" s="1"/>
    </row>
    <row r="3456" ht="14.25" customHeight="1">
      <c r="A3456" s="1" t="s">
        <v>16302</v>
      </c>
      <c r="B3456" s="1">
        <v>2000000.0</v>
      </c>
      <c r="C3456" s="1">
        <v>1.255523E7</v>
      </c>
      <c r="F3456" s="4">
        <v>1.055523E7</v>
      </c>
      <c r="G3456" s="4">
        <f t="array" ref="G3456">IFERROR((C3456-B3456)/C3456*100, "N/A")</f>
        <v>84.07038342</v>
      </c>
      <c r="J3456" s="1"/>
      <c r="K3456" s="1"/>
    </row>
    <row r="3457" ht="14.25" customHeight="1">
      <c r="A3457" s="1" t="s">
        <v>16308</v>
      </c>
      <c r="B3457" s="1">
        <v>2000000.0</v>
      </c>
      <c r="C3457" s="1">
        <v>1.1284657E7</v>
      </c>
      <c r="F3457" s="4">
        <v>9284657.0</v>
      </c>
      <c r="G3457" s="4">
        <f t="array" ref="G3457">IFERROR((C3457-B3457)/C3457*100, "N/A")</f>
        <v>82.27682064</v>
      </c>
      <c r="J3457" s="1"/>
      <c r="K3457" s="1"/>
    </row>
    <row r="3458" ht="14.25" customHeight="1">
      <c r="A3458" s="1" t="s">
        <v>16312</v>
      </c>
      <c r="B3458" s="1">
        <v>2000000.0</v>
      </c>
      <c r="C3458" s="1">
        <v>3.4522221E7</v>
      </c>
      <c r="F3458" s="4">
        <v>3.2522221E7</v>
      </c>
      <c r="G3458" s="4">
        <f t="array" ref="G3458">IFERROR((C3458-B3458)/C3458*100, "N/A")</f>
        <v>94.20662998</v>
      </c>
      <c r="J3458" s="1"/>
      <c r="K3458" s="1"/>
    </row>
    <row r="3459" ht="14.25" customHeight="1">
      <c r="A3459" s="1" t="s">
        <v>16318</v>
      </c>
      <c r="B3459" s="1">
        <v>9500000.0</v>
      </c>
      <c r="C3459" s="1">
        <v>7002255.0</v>
      </c>
      <c r="F3459" s="4">
        <v>-2497745.0</v>
      </c>
      <c r="G3459" s="4">
        <f t="array" ref="G3459">IFERROR((C3459-B3459)/C3459*100, "N/A")</f>
        <v>-35.67058041</v>
      </c>
      <c r="J3459" s="1"/>
      <c r="K3459" s="1"/>
    </row>
    <row r="3460" ht="14.25" customHeight="1">
      <c r="A3460" s="1" t="s">
        <v>16326</v>
      </c>
      <c r="B3460" s="1">
        <v>2000000.0</v>
      </c>
      <c r="C3460" s="1">
        <v>6719300.0</v>
      </c>
      <c r="F3460" s="4">
        <v>4719300.0</v>
      </c>
      <c r="G3460" s="4">
        <f t="array" ref="G3460">IFERROR((C3460-B3460)/C3460*100, "N/A")</f>
        <v>70.23499472</v>
      </c>
      <c r="J3460" s="1"/>
      <c r="K3460" s="1"/>
    </row>
    <row r="3461" ht="14.25" customHeight="1">
      <c r="A3461" s="1" t="s">
        <v>16329</v>
      </c>
      <c r="B3461" s="1">
        <v>2700000.0</v>
      </c>
      <c r="C3461" s="1">
        <v>5792822.0</v>
      </c>
      <c r="F3461" s="4">
        <v>3092822.0</v>
      </c>
      <c r="G3461" s="4">
        <f t="array" ref="G3461">IFERROR((C3461-B3461)/C3461*100, "N/A")</f>
        <v>53.3905927</v>
      </c>
      <c r="J3461" s="1"/>
      <c r="K3461" s="1"/>
    </row>
    <row r="3462" ht="14.25" customHeight="1">
      <c r="A3462" s="1" t="s">
        <v>16334</v>
      </c>
      <c r="B3462" s="1">
        <v>2000000.0</v>
      </c>
      <c r="C3462" s="1">
        <v>5383834.0</v>
      </c>
      <c r="F3462" s="4">
        <v>3383834.0</v>
      </c>
      <c r="G3462" s="4">
        <f t="array" ref="G3462">IFERROR((C3462-B3462)/C3462*100, "N/A")</f>
        <v>62.85175212</v>
      </c>
      <c r="J3462" s="1"/>
      <c r="K3462" s="1"/>
    </row>
    <row r="3463" ht="14.25" customHeight="1">
      <c r="A3463" s="1" t="s">
        <v>16340</v>
      </c>
      <c r="B3463" s="1">
        <v>1500000.0</v>
      </c>
      <c r="C3463" s="1">
        <v>4599680.0</v>
      </c>
      <c r="F3463" s="4">
        <v>3099680.0</v>
      </c>
      <c r="G3463" s="4">
        <f t="array" ref="G3463">IFERROR((C3463-B3463)/C3463*100, "N/A")</f>
        <v>67.38903576</v>
      </c>
      <c r="J3463" s="1"/>
      <c r="K3463" s="1"/>
    </row>
    <row r="3464" ht="14.25" customHeight="1">
      <c r="A3464" s="1" t="s">
        <v>16345</v>
      </c>
      <c r="B3464" s="1">
        <v>2000000.0</v>
      </c>
      <c r="C3464" s="1">
        <v>6531491.0</v>
      </c>
      <c r="F3464" s="4">
        <v>4531491.0</v>
      </c>
      <c r="G3464" s="4">
        <f t="array" ref="G3464">IFERROR((C3464-B3464)/C3464*100, "N/A")</f>
        <v>69.37912033</v>
      </c>
      <c r="J3464" s="1"/>
      <c r="K3464" s="1"/>
    </row>
    <row r="3465" ht="14.25" customHeight="1">
      <c r="A3465" s="1" t="s">
        <v>16351</v>
      </c>
      <c r="B3465" s="1">
        <v>2000000.0</v>
      </c>
      <c r="C3465" s="1">
        <v>3885134.0</v>
      </c>
      <c r="F3465" s="4">
        <v>1885134.0</v>
      </c>
      <c r="G3465" s="4">
        <f t="array" ref="G3465">IFERROR((C3465-B3465)/C3465*100, "N/A")</f>
        <v>48.52172409</v>
      </c>
      <c r="J3465" s="1"/>
      <c r="K3465" s="1"/>
    </row>
    <row r="3466" ht="14.25" customHeight="1">
      <c r="A3466" s="1" t="s">
        <v>16356</v>
      </c>
      <c r="B3466" s="1">
        <v>2000000.0</v>
      </c>
      <c r="C3466" s="1">
        <v>3590010.0</v>
      </c>
      <c r="F3466" s="4">
        <v>1590010.0</v>
      </c>
      <c r="G3466" s="4">
        <f t="array" ref="G3466">IFERROR((C3466-B3466)/C3466*100, "N/A")</f>
        <v>44.28984877</v>
      </c>
      <c r="J3466" s="1"/>
      <c r="K3466" s="1"/>
    </row>
    <row r="3467" ht="14.25" customHeight="1">
      <c r="A3467" s="1" t="s">
        <v>16359</v>
      </c>
      <c r="B3467" s="1">
        <v>2000000.0</v>
      </c>
      <c r="C3467" s="1">
        <v>3335839.0</v>
      </c>
      <c r="F3467" s="4">
        <v>1335839.0</v>
      </c>
      <c r="G3467" s="4">
        <f t="array" ref="G3467">IFERROR((C3467-B3467)/C3467*100, "N/A")</f>
        <v>40.04506812</v>
      </c>
      <c r="J3467" s="1"/>
      <c r="K3467" s="1"/>
    </row>
    <row r="3468" ht="14.25" customHeight="1">
      <c r="A3468" s="1" t="s">
        <v>16362</v>
      </c>
      <c r="B3468" s="1">
        <v>2000000.0</v>
      </c>
      <c r="C3468" s="1">
        <v>2557668.0</v>
      </c>
      <c r="F3468" s="4">
        <v>557668.0</v>
      </c>
      <c r="G3468" s="4">
        <f t="array" ref="G3468">IFERROR((C3468-B3468)/C3468*100, "N/A")</f>
        <v>21.80376812</v>
      </c>
      <c r="J3468" s="1"/>
      <c r="K3468" s="1"/>
    </row>
    <row r="3469" ht="14.25" customHeight="1">
      <c r="A3469" s="1" t="s">
        <v>16366</v>
      </c>
      <c r="B3469" s="1">
        <v>2000000.0</v>
      </c>
      <c r="C3469" s="1">
        <v>2506446.0</v>
      </c>
      <c r="F3469" s="4">
        <v>506446.0</v>
      </c>
      <c r="G3469" s="4">
        <f t="array" ref="G3469">IFERROR((C3469-B3469)/C3469*100, "N/A")</f>
        <v>20.20574152</v>
      </c>
      <c r="J3469" s="1"/>
      <c r="K3469" s="1"/>
    </row>
    <row r="3470" ht="14.25" customHeight="1">
      <c r="A3470" s="1" t="s">
        <v>16370</v>
      </c>
      <c r="B3470" s="1">
        <v>2000000.0</v>
      </c>
      <c r="C3470" s="1">
        <v>7369373.0</v>
      </c>
      <c r="F3470" s="4">
        <v>5369373.0</v>
      </c>
      <c r="G3470" s="4">
        <f t="array" ref="G3470">IFERROR((C3470-B3470)/C3470*100, "N/A")</f>
        <v>72.86064907</v>
      </c>
      <c r="J3470" s="1"/>
      <c r="K3470" s="1"/>
    </row>
    <row r="3471" ht="14.25" customHeight="1">
      <c r="A3471" s="1" t="s">
        <v>10909</v>
      </c>
      <c r="B3471" s="1">
        <v>1.8E7</v>
      </c>
      <c r="C3471" s="1">
        <v>4414535.0</v>
      </c>
      <c r="F3471" s="4">
        <v>-1.3585465E7</v>
      </c>
      <c r="G3471" s="4">
        <f t="array" ref="G3471">IFERROR((C3471-B3471)/C3471*100, "N/A")</f>
        <v>-307.743964</v>
      </c>
      <c r="J3471" s="1"/>
      <c r="K3471" s="1"/>
    </row>
    <row r="3472" ht="14.25" customHeight="1">
      <c r="A3472" s="1" t="s">
        <v>16375</v>
      </c>
      <c r="B3472" s="1">
        <v>2000000.0</v>
      </c>
      <c r="C3472" s="1">
        <v>1984378.0</v>
      </c>
      <c r="F3472" s="4">
        <v>-15622.0</v>
      </c>
      <c r="G3472" s="4">
        <f t="array" ref="G3472">IFERROR((C3472-B3472)/C3472*100, "N/A")</f>
        <v>-0.7872492035</v>
      </c>
      <c r="J3472" s="1"/>
      <c r="K3472" s="1"/>
    </row>
    <row r="3473" ht="14.25" customHeight="1">
      <c r="A3473" s="1" t="s">
        <v>16382</v>
      </c>
      <c r="B3473" s="1">
        <v>1500000.0</v>
      </c>
      <c r="C3473" s="1">
        <v>2283276.0</v>
      </c>
      <c r="F3473" s="4">
        <v>783276.0</v>
      </c>
      <c r="G3473" s="4">
        <f t="array" ref="G3473">IFERROR((C3473-B3473)/C3473*100, "N/A")</f>
        <v>34.30491977</v>
      </c>
      <c r="J3473" s="1"/>
      <c r="K3473" s="1"/>
    </row>
    <row r="3474" ht="14.25" customHeight="1">
      <c r="A3474" s="1" t="s">
        <v>16391</v>
      </c>
      <c r="B3474" s="1">
        <v>2000000.0</v>
      </c>
      <c r="C3474" s="1">
        <v>1098224.0</v>
      </c>
      <c r="F3474" s="4">
        <v>-901776.0</v>
      </c>
      <c r="G3474" s="4">
        <f t="array" ref="G3474">IFERROR((C3474-B3474)/C3474*100, "N/A")</f>
        <v>-82.11221026</v>
      </c>
      <c r="J3474" s="1"/>
      <c r="K3474" s="1"/>
    </row>
    <row r="3475" ht="14.25" customHeight="1">
      <c r="A3475" s="1" t="s">
        <v>16398</v>
      </c>
      <c r="B3475" s="1">
        <v>2000000.0</v>
      </c>
      <c r="C3475" s="1">
        <v>1477002.0</v>
      </c>
      <c r="F3475" s="4">
        <v>-522998.0</v>
      </c>
      <c r="G3475" s="4">
        <f t="array" ref="G3475">IFERROR((C3475-B3475)/C3475*100, "N/A")</f>
        <v>-35.40943073</v>
      </c>
      <c r="J3475" s="1"/>
      <c r="K3475" s="1"/>
    </row>
    <row r="3476" ht="14.25" customHeight="1">
      <c r="A3476" s="1" t="s">
        <v>16403</v>
      </c>
      <c r="B3476" s="1">
        <v>2000000.0</v>
      </c>
      <c r="C3476" s="1">
        <v>1134049.0</v>
      </c>
      <c r="F3476" s="4">
        <v>-865951.0</v>
      </c>
      <c r="G3476" s="4">
        <f t="array" ref="G3476">IFERROR((C3476-B3476)/C3476*100, "N/A")</f>
        <v>-76.35922257</v>
      </c>
      <c r="J3476" s="1"/>
      <c r="K3476" s="1"/>
    </row>
    <row r="3477" ht="14.25" customHeight="1">
      <c r="A3477" s="1" t="s">
        <v>16410</v>
      </c>
      <c r="B3477" s="1">
        <v>2000000.0</v>
      </c>
      <c r="C3477" s="1">
        <v>653621.0</v>
      </c>
      <c r="F3477" s="4">
        <v>-1346379.0</v>
      </c>
      <c r="G3477" s="4">
        <f t="array" ref="G3477">IFERROR((C3477-B3477)/C3477*100, "N/A")</f>
        <v>-205.9877207</v>
      </c>
      <c r="J3477" s="1"/>
      <c r="K3477" s="1"/>
    </row>
    <row r="3478" ht="14.25" customHeight="1">
      <c r="A3478" s="1" t="s">
        <v>16416</v>
      </c>
      <c r="B3478" s="1">
        <v>3400000.0</v>
      </c>
      <c r="C3478" s="1">
        <v>535249.0</v>
      </c>
      <c r="F3478" s="4">
        <v>-2864751.0</v>
      </c>
      <c r="G3478" s="4">
        <f t="array" ref="G3478">IFERROR((C3478-B3478)/C3478*100, "N/A")</f>
        <v>-535.218375</v>
      </c>
      <c r="J3478" s="1"/>
      <c r="K3478" s="1"/>
    </row>
    <row r="3479" ht="14.25" customHeight="1">
      <c r="A3479" s="1" t="s">
        <v>16423</v>
      </c>
      <c r="B3479" s="1">
        <v>6000000.0</v>
      </c>
      <c r="C3479" s="1">
        <v>371081.0</v>
      </c>
      <c r="F3479" s="4">
        <v>-5628919.0</v>
      </c>
      <c r="G3479" s="4">
        <f t="array" ref="G3479">IFERROR((C3479-B3479)/C3479*100, "N/A")</f>
        <v>-1516.897658</v>
      </c>
      <c r="J3479" s="1"/>
      <c r="K3479" s="1"/>
    </row>
    <row r="3480" ht="14.25" customHeight="1">
      <c r="A3480" s="1" t="s">
        <v>16427</v>
      </c>
      <c r="B3480" s="1">
        <v>2000000.0</v>
      </c>
      <c r="C3480" s="1">
        <v>124494.0</v>
      </c>
      <c r="F3480" s="4">
        <v>-1875506.0</v>
      </c>
      <c r="G3480" s="4">
        <f t="array" ref="G3480">IFERROR((C3480-B3480)/C3480*100, "N/A")</f>
        <v>-1506.503125</v>
      </c>
      <c r="J3480" s="1"/>
      <c r="K3480" s="1"/>
    </row>
    <row r="3481" ht="14.25" customHeight="1">
      <c r="A3481" s="1" t="s">
        <v>16435</v>
      </c>
      <c r="B3481" s="1">
        <v>3800000.0</v>
      </c>
      <c r="C3481" s="1">
        <v>100669.0</v>
      </c>
      <c r="F3481" s="4">
        <v>-3699331.0</v>
      </c>
      <c r="G3481" s="4">
        <f t="array" ref="G3481">IFERROR((C3481-B3481)/C3481*100, "N/A")</f>
        <v>-3674.746943</v>
      </c>
      <c r="J3481" s="1"/>
      <c r="K3481" s="1"/>
    </row>
    <row r="3482" ht="14.25" customHeight="1">
      <c r="A3482" s="1" t="s">
        <v>16438</v>
      </c>
      <c r="B3482" s="1">
        <v>1.35E7</v>
      </c>
      <c r="C3482" s="1">
        <v>186354.0</v>
      </c>
      <c r="F3482" s="4">
        <v>-1.3313646E7</v>
      </c>
      <c r="G3482" s="4">
        <f t="array" ref="G3482">IFERROR((C3482-B3482)/C3482*100, "N/A")</f>
        <v>-7144.277021</v>
      </c>
      <c r="J3482" s="1"/>
      <c r="K3482" s="1"/>
    </row>
    <row r="3483" ht="14.25" customHeight="1">
      <c r="A3483" s="1" t="s">
        <v>16443</v>
      </c>
      <c r="B3483" s="1">
        <v>14000.0</v>
      </c>
      <c r="C3483" s="1">
        <v>12667.0</v>
      </c>
      <c r="F3483" s="4">
        <v>-1333.0</v>
      </c>
      <c r="G3483" s="4">
        <f t="array" ref="G3483">IFERROR((C3483-B3483)/C3483*100, "N/A")</f>
        <v>-10.52340728</v>
      </c>
      <c r="J3483" s="1"/>
      <c r="K3483" s="1"/>
    </row>
    <row r="3484" ht="14.25" customHeight="1">
      <c r="A3484" s="1" t="s">
        <v>16447</v>
      </c>
      <c r="B3484" s="1">
        <v>2000000.0</v>
      </c>
      <c r="C3484" s="1">
        <v>198407.0</v>
      </c>
      <c r="F3484" s="4">
        <v>-1801593.0</v>
      </c>
      <c r="G3484" s="4">
        <f t="array" ref="G3484">IFERROR((C3484-B3484)/C3484*100, "N/A")</f>
        <v>-908.0289506</v>
      </c>
      <c r="J3484" s="1"/>
      <c r="K3484" s="1"/>
    </row>
    <row r="3485" ht="14.25" customHeight="1">
      <c r="A3485" s="1" t="s">
        <v>9095</v>
      </c>
      <c r="B3485" s="1">
        <v>2.5E7</v>
      </c>
      <c r="C3485" s="1">
        <v>1.3973532E7</v>
      </c>
      <c r="F3485" s="4">
        <v>-1.1026468E7</v>
      </c>
      <c r="G3485" s="4">
        <f t="array" ref="G3485">IFERROR((C3485-B3485)/C3485*100, "N/A")</f>
        <v>-78.90967008</v>
      </c>
      <c r="J3485" s="1"/>
      <c r="K3485" s="1"/>
    </row>
    <row r="3486" ht="14.25" customHeight="1">
      <c r="A3486" s="1" t="s">
        <v>16452</v>
      </c>
      <c r="B3486" s="1">
        <v>2000000.0</v>
      </c>
      <c r="C3486" s="1">
        <v>4958.0</v>
      </c>
      <c r="F3486" s="4">
        <v>-1995042.0</v>
      </c>
      <c r="G3486" s="4">
        <f t="array" ref="G3486">IFERROR((C3486-B3486)/C3486*100, "N/A")</f>
        <v>-40238.84631</v>
      </c>
      <c r="J3486" s="1"/>
      <c r="K3486" s="1"/>
    </row>
    <row r="3487" ht="14.25" customHeight="1">
      <c r="A3487" s="1" t="s">
        <v>16458</v>
      </c>
      <c r="B3487" s="1">
        <v>2300000.0</v>
      </c>
      <c r="C3487" s="1">
        <v>7927.0</v>
      </c>
      <c r="F3487" s="4">
        <v>-2292073.0</v>
      </c>
      <c r="G3487" s="4">
        <f t="array" ref="G3487">IFERROR((C3487-B3487)/C3487*100, "N/A")</f>
        <v>-28914.75968</v>
      </c>
      <c r="J3487" s="1"/>
      <c r="K3487" s="1"/>
    </row>
    <row r="3488" ht="14.25" customHeight="1">
      <c r="A3488" s="1" t="s">
        <v>16466</v>
      </c>
      <c r="B3488" s="1">
        <v>2000000.0</v>
      </c>
      <c r="C3488" s="1">
        <v>2436.0</v>
      </c>
      <c r="F3488" s="4">
        <v>-1997564.0</v>
      </c>
      <c r="G3488" s="4">
        <f t="array" ref="G3488">IFERROR((C3488-B3488)/C3488*100, "N/A")</f>
        <v>-82001.80624</v>
      </c>
      <c r="J3488" s="1"/>
      <c r="K3488" s="1"/>
    </row>
    <row r="3489" ht="14.25" customHeight="1">
      <c r="A3489" s="1" t="s">
        <v>16474</v>
      </c>
      <c r="B3489" s="1">
        <v>1900000.0</v>
      </c>
      <c r="C3489" s="1">
        <v>4600000.0</v>
      </c>
      <c r="F3489" s="4">
        <v>2700000.0</v>
      </c>
      <c r="G3489" s="4">
        <f t="array" ref="G3489">IFERROR((C3489-B3489)/C3489*100, "N/A")</f>
        <v>58.69565217</v>
      </c>
      <c r="J3489" s="1"/>
      <c r="K3489" s="1"/>
    </row>
    <row r="3490" ht="14.25" customHeight="1">
      <c r="A3490" s="1" t="s">
        <v>16477</v>
      </c>
      <c r="B3490" s="1">
        <v>1900000.0</v>
      </c>
      <c r="C3490" s="1">
        <v>1420578.0</v>
      </c>
      <c r="F3490" s="4">
        <v>-479422.0</v>
      </c>
      <c r="G3490" s="4">
        <f t="array" ref="G3490">IFERROR((C3490-B3490)/C3490*100, "N/A")</f>
        <v>-33.74837566</v>
      </c>
      <c r="J3490" s="1"/>
      <c r="K3490" s="1"/>
    </row>
    <row r="3491" ht="14.25" customHeight="1">
      <c r="A3491" s="1" t="s">
        <v>16481</v>
      </c>
      <c r="B3491" s="1">
        <v>3000000.0</v>
      </c>
      <c r="C3491" s="1">
        <v>1028658.0</v>
      </c>
      <c r="F3491" s="4">
        <v>-1971342.0</v>
      </c>
      <c r="G3491" s="4">
        <f t="array" ref="G3491">IFERROR((C3491-B3491)/C3491*100, "N/A")</f>
        <v>-191.6421201</v>
      </c>
      <c r="J3491" s="1"/>
      <c r="K3491" s="1"/>
    </row>
    <row r="3492" ht="14.25" customHeight="1">
      <c r="A3492" s="1" t="s">
        <v>16486</v>
      </c>
      <c r="B3492" s="1">
        <v>1400000.0</v>
      </c>
      <c r="C3492" s="1">
        <v>18435.0</v>
      </c>
      <c r="F3492" s="4">
        <v>-1381565.0</v>
      </c>
      <c r="G3492" s="4">
        <f t="array" ref="G3492">IFERROR((C3492-B3492)/C3492*100, "N/A")</f>
        <v>-7494.250068</v>
      </c>
      <c r="J3492" s="1"/>
      <c r="K3492" s="1"/>
    </row>
    <row r="3493" ht="14.25" customHeight="1">
      <c r="A3493" s="1" t="s">
        <v>7877</v>
      </c>
      <c r="B3493" s="1">
        <v>3.0E7</v>
      </c>
      <c r="C3493" s="1">
        <v>3.5266619E7</v>
      </c>
      <c r="F3493" s="4">
        <v>5266619.0</v>
      </c>
      <c r="G3493" s="4">
        <f t="array" ref="G3493">IFERROR((C3493-B3493)/C3493*100, "N/A")</f>
        <v>14.93372245</v>
      </c>
      <c r="J3493" s="1"/>
      <c r="K3493" s="1"/>
    </row>
    <row r="3494" ht="14.25" customHeight="1">
      <c r="A3494" s="1" t="s">
        <v>6881</v>
      </c>
      <c r="B3494" s="1">
        <v>1800000.0</v>
      </c>
      <c r="C3494" s="1">
        <v>2.6505E7</v>
      </c>
      <c r="F3494" s="4">
        <v>2.4705E7</v>
      </c>
      <c r="G3494" s="4">
        <f t="array" ref="G3494">IFERROR((C3494-B3494)/C3494*100, "N/A")</f>
        <v>93.20882852</v>
      </c>
      <c r="J3494" s="1"/>
      <c r="K3494" s="1"/>
    </row>
    <row r="3495" ht="14.25" customHeight="1">
      <c r="A3495" s="1" t="s">
        <v>16492</v>
      </c>
      <c r="B3495" s="1">
        <v>1000000.0</v>
      </c>
      <c r="C3495" s="1">
        <v>2957978.0</v>
      </c>
      <c r="F3495" s="4">
        <v>1957978.0</v>
      </c>
      <c r="G3495" s="4">
        <f t="array" ref="G3495">IFERROR((C3495-B3495)/C3495*100, "N/A")</f>
        <v>66.19312246</v>
      </c>
      <c r="J3495" s="1"/>
      <c r="K3495" s="1"/>
    </row>
    <row r="3496" ht="14.25" customHeight="1">
      <c r="A3496" s="1" t="s">
        <v>16500</v>
      </c>
      <c r="B3496" s="1">
        <v>1900000.0</v>
      </c>
      <c r="C3496" s="1">
        <v>444044.0</v>
      </c>
      <c r="F3496" s="4">
        <v>-1455956.0</v>
      </c>
      <c r="G3496" s="4">
        <f t="array" ref="G3496">IFERROR((C3496-B3496)/C3496*100, "N/A")</f>
        <v>-327.8855249</v>
      </c>
      <c r="J3496" s="1"/>
      <c r="K3496" s="1"/>
    </row>
    <row r="3497" ht="14.25" customHeight="1">
      <c r="A3497" s="1" t="s">
        <v>16506</v>
      </c>
      <c r="B3497" s="1">
        <v>1800000.0</v>
      </c>
      <c r="C3497" s="1">
        <v>4.0990055E7</v>
      </c>
      <c r="F3497" s="4">
        <v>3.9190055E7</v>
      </c>
      <c r="G3497" s="4">
        <f t="array" ref="G3497">IFERROR((C3497-B3497)/C3497*100, "N/A")</f>
        <v>95.60869094</v>
      </c>
      <c r="J3497" s="1"/>
      <c r="K3497" s="1"/>
    </row>
    <row r="3498" ht="14.25" customHeight="1">
      <c r="A3498" s="1" t="s">
        <v>16511</v>
      </c>
      <c r="B3498" s="1">
        <v>1800000.0</v>
      </c>
      <c r="C3498" s="1">
        <v>5709616.0</v>
      </c>
      <c r="F3498" s="4">
        <v>3909616.0</v>
      </c>
      <c r="G3498" s="4">
        <f t="array" ref="G3498">IFERROR((C3498-B3498)/C3498*100, "N/A")</f>
        <v>68.47423715</v>
      </c>
      <c r="J3498" s="1"/>
      <c r="K3498" s="1"/>
    </row>
    <row r="3499" ht="14.25" customHeight="1">
      <c r="A3499" s="1" t="s">
        <v>16516</v>
      </c>
      <c r="B3499" s="1">
        <v>1800000.0</v>
      </c>
      <c r="C3499" s="1">
        <v>1.2784397E7</v>
      </c>
      <c r="F3499" s="4">
        <v>1.0984397E7</v>
      </c>
      <c r="G3499" s="4">
        <f t="array" ref="G3499">IFERROR((C3499-B3499)/C3499*100, "N/A")</f>
        <v>85.92033711</v>
      </c>
      <c r="J3499" s="1"/>
      <c r="K3499" s="1"/>
    </row>
    <row r="3500" ht="14.25" customHeight="1">
      <c r="A3500" s="1" t="s">
        <v>16522</v>
      </c>
      <c r="B3500" s="1">
        <v>1800000.0</v>
      </c>
      <c r="C3500" s="1">
        <v>3050934.0</v>
      </c>
      <c r="F3500" s="4">
        <v>1250934.0</v>
      </c>
      <c r="G3500" s="4">
        <f t="array" ref="G3500">IFERROR((C3500-B3500)/C3500*100, "N/A")</f>
        <v>41.00167359</v>
      </c>
      <c r="J3500" s="1"/>
      <c r="K3500" s="1"/>
    </row>
    <row r="3501" ht="14.25" customHeight="1">
      <c r="A3501" s="1" t="s">
        <v>16525</v>
      </c>
      <c r="B3501" s="1">
        <v>3500000.0</v>
      </c>
      <c r="C3501" s="1">
        <v>7267324.0</v>
      </c>
      <c r="F3501" s="4">
        <v>3767324.0</v>
      </c>
      <c r="G3501" s="4">
        <f t="array" ref="G3501">IFERROR((C3501-B3501)/C3501*100, "N/A")</f>
        <v>51.83921895</v>
      </c>
      <c r="J3501" s="1"/>
      <c r="K3501" s="1"/>
    </row>
    <row r="3502" ht="14.25" customHeight="1">
      <c r="A3502" s="1" t="s">
        <v>16531</v>
      </c>
      <c r="B3502" s="1">
        <v>500000.0</v>
      </c>
      <c r="C3502" s="1">
        <v>145540.0</v>
      </c>
      <c r="F3502" s="4">
        <v>-354460.0</v>
      </c>
      <c r="G3502" s="4">
        <f t="array" ref="G3502">IFERROR((C3502-B3502)/C3502*100, "N/A")</f>
        <v>-243.5481655</v>
      </c>
      <c r="J3502" s="1"/>
      <c r="K3502" s="1"/>
    </row>
    <row r="3503" ht="14.25" customHeight="1">
      <c r="A3503" s="1" t="s">
        <v>16535</v>
      </c>
      <c r="B3503" s="1">
        <v>1700000.0</v>
      </c>
      <c r="C3503" s="1">
        <v>3.5918429E7</v>
      </c>
      <c r="F3503" s="4">
        <v>3.4218429E7</v>
      </c>
      <c r="G3503" s="4">
        <f t="array" ref="G3503">IFERROR((C3503-B3503)/C3503*100, "N/A")</f>
        <v>95.26705358</v>
      </c>
      <c r="J3503" s="1"/>
      <c r="K3503" s="1"/>
    </row>
    <row r="3504" ht="14.25" customHeight="1">
      <c r="A3504" s="1" t="s">
        <v>16539</v>
      </c>
      <c r="B3504" s="1">
        <v>2000000.0</v>
      </c>
      <c r="C3504" s="1">
        <v>92401.0</v>
      </c>
      <c r="F3504" s="4">
        <v>-1907599.0</v>
      </c>
      <c r="G3504" s="4">
        <f t="array" ref="G3504">IFERROR((C3504-B3504)/C3504*100, "N/A")</f>
        <v>-2064.478739</v>
      </c>
      <c r="J3504" s="1"/>
      <c r="K3504" s="1"/>
    </row>
    <row r="3505" ht="14.25" customHeight="1">
      <c r="A3505" s="1" t="s">
        <v>16545</v>
      </c>
      <c r="B3505" s="1">
        <v>1700000.0</v>
      </c>
      <c r="C3505" s="1">
        <v>1943649.0</v>
      </c>
      <c r="F3505" s="4">
        <v>243649.0</v>
      </c>
      <c r="G3505" s="4">
        <f t="array" ref="G3505">IFERROR((C3505-B3505)/C3505*100, "N/A")</f>
        <v>12.53564815</v>
      </c>
      <c r="J3505" s="1"/>
      <c r="K3505" s="1"/>
    </row>
    <row r="3506" ht="14.25" customHeight="1">
      <c r="A3506" s="1" t="s">
        <v>16550</v>
      </c>
      <c r="B3506" s="1">
        <v>1700000.0</v>
      </c>
      <c r="C3506" s="1">
        <v>992238.0</v>
      </c>
      <c r="F3506" s="4">
        <v>-707762.0</v>
      </c>
      <c r="G3506" s="4">
        <f t="array" ref="G3506">IFERROR((C3506-B3506)/C3506*100, "N/A")</f>
        <v>-71.32986239</v>
      </c>
      <c r="J3506" s="1"/>
      <c r="K3506" s="1"/>
    </row>
    <row r="3507" ht="14.25" customHeight="1">
      <c r="A3507" s="1" t="s">
        <v>16556</v>
      </c>
      <c r="B3507" s="1">
        <v>1000000.0</v>
      </c>
      <c r="C3507" s="1">
        <v>4231500.0</v>
      </c>
      <c r="F3507" s="4">
        <v>3231500.0</v>
      </c>
      <c r="G3507" s="4">
        <f t="array" ref="G3507">IFERROR((C3507-B3507)/C3507*100, "N/A")</f>
        <v>76.3677183</v>
      </c>
      <c r="J3507" s="1"/>
      <c r="K3507" s="1"/>
    </row>
    <row r="3508" ht="14.25" customHeight="1">
      <c r="A3508" s="1" t="s">
        <v>16561</v>
      </c>
      <c r="B3508" s="1">
        <v>1000000.0</v>
      </c>
      <c r="C3508" s="1">
        <v>396035.0</v>
      </c>
      <c r="F3508" s="4">
        <v>-603965.0</v>
      </c>
      <c r="G3508" s="4">
        <f t="array" ref="G3508">IFERROR((C3508-B3508)/C3508*100, "N/A")</f>
        <v>-152.5029353</v>
      </c>
      <c r="J3508" s="1"/>
      <c r="K3508" s="1"/>
    </row>
    <row r="3509" ht="14.25" customHeight="1">
      <c r="A3509" s="1" t="s">
        <v>16565</v>
      </c>
      <c r="B3509" s="1">
        <v>1300000.0</v>
      </c>
      <c r="C3509" s="1">
        <v>1060591.0</v>
      </c>
      <c r="F3509" s="4">
        <v>-239409.0</v>
      </c>
      <c r="G3509" s="4">
        <f t="array" ref="G3509">IFERROR((C3509-B3509)/C3509*100, "N/A")</f>
        <v>-22.57316911</v>
      </c>
      <c r="J3509" s="1"/>
      <c r="K3509" s="1"/>
    </row>
    <row r="3510" ht="14.25" customHeight="1">
      <c r="A3510" s="1" t="s">
        <v>16572</v>
      </c>
      <c r="B3510" s="1">
        <v>1600000.0</v>
      </c>
      <c r="C3510" s="1">
        <v>26893.0</v>
      </c>
      <c r="F3510" s="4">
        <v>-1573107.0</v>
      </c>
      <c r="G3510" s="4">
        <f t="array" ref="G3510">IFERROR((C3510-B3510)/C3510*100, "N/A")</f>
        <v>-5849.503588</v>
      </c>
      <c r="J3510" s="1"/>
      <c r="K3510" s="1"/>
    </row>
    <row r="3511" ht="14.25" customHeight="1">
      <c r="A3511" s="1" t="s">
        <v>16577</v>
      </c>
      <c r="B3511" s="1">
        <v>1650000.0</v>
      </c>
      <c r="C3511" s="1">
        <v>2580.0</v>
      </c>
      <c r="F3511" s="4">
        <v>-1647420.0</v>
      </c>
      <c r="G3511" s="4">
        <f t="array" ref="G3511">IFERROR((C3511-B3511)/C3511*100, "N/A")</f>
        <v>-63853.48837</v>
      </c>
      <c r="J3511" s="1"/>
      <c r="K3511" s="1"/>
    </row>
    <row r="3512" ht="14.25" customHeight="1">
      <c r="A3512" s="1" t="s">
        <v>8249</v>
      </c>
      <c r="B3512" s="1">
        <v>2.6E7</v>
      </c>
      <c r="C3512" s="1">
        <v>5.8885635E7</v>
      </c>
      <c r="F3512" s="4">
        <v>3.2885635E7</v>
      </c>
      <c r="G3512" s="4">
        <f t="array" ref="G3512">IFERROR((C3512-B3512)/C3512*100, "N/A")</f>
        <v>55.84661692</v>
      </c>
      <c r="J3512" s="1"/>
      <c r="K3512" s="1"/>
    </row>
    <row r="3513" ht="14.25" customHeight="1">
      <c r="A3513" s="1" t="s">
        <v>16582</v>
      </c>
      <c r="B3513" s="1">
        <v>2000000.0</v>
      </c>
      <c r="C3513" s="1">
        <v>1.9067631E7</v>
      </c>
      <c r="F3513" s="4">
        <v>1.7067631E7</v>
      </c>
      <c r="G3513" s="4">
        <f t="array" ref="G3513">IFERROR((C3513-B3513)/C3513*100, "N/A")</f>
        <v>89.51102001</v>
      </c>
      <c r="J3513" s="1"/>
      <c r="K3513" s="1"/>
    </row>
    <row r="3514" ht="14.25" customHeight="1">
      <c r="A3514" s="1" t="s">
        <v>16586</v>
      </c>
      <c r="B3514" s="1">
        <v>1100000.0</v>
      </c>
      <c r="C3514" s="1">
        <v>1.1806119E7</v>
      </c>
      <c r="F3514" s="4">
        <v>1.0706119E7</v>
      </c>
      <c r="G3514" s="4">
        <f t="array" ref="G3514">IFERROR((C3514-B3514)/C3514*100, "N/A")</f>
        <v>90.68279762</v>
      </c>
      <c r="J3514" s="1"/>
      <c r="K3514" s="1"/>
    </row>
    <row r="3515" ht="14.25" customHeight="1">
      <c r="A3515" s="1" t="s">
        <v>16591</v>
      </c>
      <c r="B3515" s="1">
        <v>1500000.0</v>
      </c>
      <c r="C3515" s="1">
        <v>7362100.0</v>
      </c>
      <c r="F3515" s="4">
        <v>5862100.0</v>
      </c>
      <c r="G3515" s="4">
        <f t="array" ref="G3515">IFERROR((C3515-B3515)/C3515*100, "N/A")</f>
        <v>79.62537863</v>
      </c>
      <c r="J3515" s="1"/>
      <c r="K3515" s="1"/>
    </row>
    <row r="3516" ht="14.25" customHeight="1">
      <c r="A3516" s="1" t="s">
        <v>16597</v>
      </c>
      <c r="B3516" s="1">
        <v>1000000.0</v>
      </c>
      <c r="C3516" s="1">
        <v>7022940.0</v>
      </c>
      <c r="F3516" s="4">
        <v>6022940.0</v>
      </c>
      <c r="G3516" s="4">
        <f t="array" ref="G3516">IFERROR((C3516-B3516)/C3516*100, "N/A")</f>
        <v>85.76094912</v>
      </c>
      <c r="J3516" s="1"/>
      <c r="K3516" s="1"/>
    </row>
    <row r="3517" ht="14.25" customHeight="1">
      <c r="A3517" s="1" t="s">
        <v>16603</v>
      </c>
      <c r="B3517" s="1">
        <v>2000000.0</v>
      </c>
      <c r="C3517" s="1">
        <v>5132222.0</v>
      </c>
      <c r="F3517" s="4">
        <v>3132222.0</v>
      </c>
      <c r="G3517" s="4">
        <f t="array" ref="G3517">IFERROR((C3517-B3517)/C3517*100, "N/A")</f>
        <v>61.0305244</v>
      </c>
      <c r="J3517" s="1"/>
      <c r="K3517" s="1"/>
    </row>
    <row r="3518" ht="14.25" customHeight="1">
      <c r="A3518" s="1" t="s">
        <v>16606</v>
      </c>
      <c r="B3518" s="1">
        <v>1500000.0</v>
      </c>
      <c r="C3518" s="1">
        <v>2365931.0</v>
      </c>
      <c r="F3518" s="4">
        <v>865931.0</v>
      </c>
      <c r="G3518" s="4">
        <f t="array" ref="G3518">IFERROR((C3518-B3518)/C3518*100, "N/A")</f>
        <v>36.60001074</v>
      </c>
      <c r="J3518" s="1"/>
      <c r="K3518" s="1"/>
    </row>
    <row r="3519" ht="14.25" customHeight="1">
      <c r="A3519" s="1" t="s">
        <v>16610</v>
      </c>
      <c r="B3519" s="1">
        <v>1500000.0</v>
      </c>
      <c r="C3519" s="1">
        <v>5.3991137E7</v>
      </c>
      <c r="F3519" s="4">
        <v>5.2491137E7</v>
      </c>
      <c r="G3519" s="4">
        <f t="array" ref="G3519">IFERROR((C3519-B3519)/C3519*100, "N/A")</f>
        <v>97.22176623</v>
      </c>
      <c r="J3519" s="1"/>
      <c r="K3519" s="1"/>
    </row>
    <row r="3520" ht="14.25" customHeight="1">
      <c r="A3520" s="1" t="s">
        <v>16615</v>
      </c>
      <c r="B3520" s="1">
        <v>1500000.0</v>
      </c>
      <c r="C3520" s="1">
        <v>1221261.0</v>
      </c>
      <c r="F3520" s="4">
        <v>-278739.0</v>
      </c>
      <c r="G3520" s="4">
        <f t="array" ref="G3520">IFERROR((C3520-B3520)/C3520*100, "N/A")</f>
        <v>-22.82386812</v>
      </c>
      <c r="J3520" s="1"/>
      <c r="K3520" s="1"/>
    </row>
    <row r="3521" ht="14.25" customHeight="1">
      <c r="A3521" s="1" t="s">
        <v>16621</v>
      </c>
      <c r="B3521" s="1">
        <v>1500000.0</v>
      </c>
      <c r="C3521" s="1">
        <v>712294.0</v>
      </c>
      <c r="F3521" s="4">
        <v>-787706.0</v>
      </c>
      <c r="G3521" s="4">
        <f t="array" ref="G3521">IFERROR((C3521-B3521)/C3521*100, "N/A")</f>
        <v>-110.5872014</v>
      </c>
      <c r="J3521" s="1"/>
      <c r="K3521" s="1"/>
    </row>
    <row r="3522" ht="14.25" customHeight="1">
      <c r="A3522" s="1" t="s">
        <v>16626</v>
      </c>
      <c r="B3522" s="1">
        <v>1500000.0</v>
      </c>
      <c r="C3522" s="1">
        <v>3447339.0</v>
      </c>
      <c r="F3522" s="4">
        <v>1947339.0</v>
      </c>
      <c r="G3522" s="4">
        <f t="array" ref="G3522">IFERROR((C3522-B3522)/C3522*100, "N/A")</f>
        <v>56.48817827</v>
      </c>
      <c r="J3522" s="1"/>
      <c r="K3522" s="1"/>
    </row>
    <row r="3523" ht="14.25" customHeight="1">
      <c r="A3523" s="1" t="s">
        <v>16629</v>
      </c>
      <c r="B3523" s="1">
        <v>1500000.0</v>
      </c>
      <c r="C3523" s="1">
        <v>418953.0</v>
      </c>
      <c r="F3523" s="4">
        <v>-1081047.0</v>
      </c>
      <c r="G3523" s="4">
        <f t="array" ref="G3523">IFERROR((C3523-B3523)/C3523*100, "N/A")</f>
        <v>-258.0353882</v>
      </c>
      <c r="J3523" s="1"/>
      <c r="K3523" s="1"/>
    </row>
    <row r="3524" ht="14.25" customHeight="1">
      <c r="A3524" s="1" t="s">
        <v>16635</v>
      </c>
      <c r="B3524" s="1">
        <v>1500000.0</v>
      </c>
      <c r="C3524" s="1">
        <v>406035.0</v>
      </c>
      <c r="F3524" s="4">
        <v>-1093965.0</v>
      </c>
      <c r="G3524" s="4">
        <f t="array" ref="G3524">IFERROR((C3524-B3524)/C3524*100, "N/A")</f>
        <v>-269.426281</v>
      </c>
      <c r="J3524" s="1"/>
      <c r="K3524" s="1"/>
    </row>
    <row r="3525" ht="14.25" customHeight="1">
      <c r="A3525" s="1" t="s">
        <v>16640</v>
      </c>
      <c r="B3525" s="1">
        <v>1500000.0</v>
      </c>
      <c r="C3525" s="1">
        <v>373967.0</v>
      </c>
      <c r="F3525" s="4">
        <v>-1126033.0</v>
      </c>
      <c r="G3525" s="4">
        <f t="array" ref="G3525">IFERROR((C3525-B3525)/C3525*100, "N/A")</f>
        <v>-301.1049103</v>
      </c>
      <c r="J3525" s="1"/>
      <c r="K3525" s="1"/>
    </row>
    <row r="3526" ht="14.25" customHeight="1">
      <c r="A3526" s="1" t="s">
        <v>16643</v>
      </c>
      <c r="B3526" s="1">
        <v>1500000.0</v>
      </c>
      <c r="C3526" s="1">
        <v>194568.0</v>
      </c>
      <c r="F3526" s="4">
        <v>-1305432.0</v>
      </c>
      <c r="G3526" s="4">
        <f t="array" ref="G3526">IFERROR((C3526-B3526)/C3526*100, "N/A")</f>
        <v>-670.938695</v>
      </c>
      <c r="J3526" s="1"/>
      <c r="K3526" s="1"/>
    </row>
    <row r="3527" ht="14.25" customHeight="1">
      <c r="A3527" s="1" t="s">
        <v>16648</v>
      </c>
      <c r="B3527" s="1">
        <v>1500000.0</v>
      </c>
      <c r="C3527" s="1">
        <v>163245.0</v>
      </c>
      <c r="F3527" s="4">
        <v>-1336755.0</v>
      </c>
      <c r="G3527" s="4">
        <f t="array" ref="G3527">IFERROR((C3527-B3527)/C3527*100, "N/A")</f>
        <v>-818.8642837</v>
      </c>
      <c r="J3527" s="1"/>
      <c r="K3527" s="1"/>
    </row>
    <row r="3528" ht="14.25" customHeight="1">
      <c r="A3528" s="1" t="s">
        <v>16655</v>
      </c>
      <c r="B3528" s="1">
        <v>1500000.0</v>
      </c>
      <c r="C3528" s="1">
        <v>119841.0</v>
      </c>
      <c r="F3528" s="4">
        <v>-1380159.0</v>
      </c>
      <c r="G3528" s="4">
        <f t="array" ref="G3528">IFERROR((C3528-B3528)/C3528*100, "N/A")</f>
        <v>-1151.658447</v>
      </c>
      <c r="J3528" s="1"/>
      <c r="K3528" s="1"/>
    </row>
    <row r="3529" ht="14.25" customHeight="1">
      <c r="A3529" s="1" t="s">
        <v>16658</v>
      </c>
      <c r="B3529" s="1">
        <v>1500000.0</v>
      </c>
      <c r="C3529" s="1">
        <v>173066.0</v>
      </c>
      <c r="F3529" s="4">
        <v>-1326934.0</v>
      </c>
      <c r="G3529" s="4">
        <f t="array" ref="G3529">IFERROR((C3529-B3529)/C3529*100, "N/A")</f>
        <v>-766.7213664</v>
      </c>
      <c r="J3529" s="1"/>
      <c r="K3529" s="1"/>
    </row>
    <row r="3530" ht="14.25" customHeight="1">
      <c r="A3530" s="1" t="s">
        <v>16663</v>
      </c>
      <c r="B3530" s="1">
        <v>1500000.0</v>
      </c>
      <c r="C3530" s="1">
        <v>3478.0</v>
      </c>
      <c r="F3530" s="4">
        <v>-1496522.0</v>
      </c>
      <c r="G3530" s="4">
        <f t="array" ref="G3530">IFERROR((C3530-B3530)/C3530*100, "N/A")</f>
        <v>-43028.23462</v>
      </c>
      <c r="J3530" s="1"/>
      <c r="K3530" s="1"/>
    </row>
    <row r="3531" ht="14.25" customHeight="1">
      <c r="A3531" s="1" t="s">
        <v>16669</v>
      </c>
      <c r="B3531" s="1">
        <v>2000000.0</v>
      </c>
      <c r="C3531" s="1">
        <v>52166.0</v>
      </c>
      <c r="F3531" s="4">
        <v>-1947834.0</v>
      </c>
      <c r="G3531" s="4">
        <f t="array" ref="G3531">IFERROR((C3531-B3531)/C3531*100, "N/A")</f>
        <v>-3733.91481</v>
      </c>
      <c r="J3531" s="1"/>
      <c r="K3531" s="1"/>
    </row>
    <row r="3532" ht="14.25" customHeight="1">
      <c r="A3532" s="1" t="s">
        <v>16672</v>
      </c>
      <c r="B3532" s="1">
        <v>2500000.0</v>
      </c>
      <c r="C3532" s="1">
        <v>1163508.0</v>
      </c>
      <c r="F3532" s="4">
        <v>-1336492.0</v>
      </c>
      <c r="G3532" s="4">
        <f t="array" ref="G3532">IFERROR((C3532-B3532)/C3532*100, "N/A")</f>
        <v>-114.8674526</v>
      </c>
      <c r="J3532" s="1"/>
      <c r="K3532" s="1"/>
    </row>
    <row r="3533" ht="14.25" customHeight="1">
      <c r="A3533" s="1" t="s">
        <v>3852</v>
      </c>
      <c r="B3533" s="1">
        <v>6.0E7</v>
      </c>
      <c r="C3533" s="1">
        <v>8.0033643E7</v>
      </c>
      <c r="F3533" s="4">
        <v>2.0033643E7</v>
      </c>
      <c r="G3533" s="4">
        <f t="array" ref="G3533">IFERROR((C3533-B3533)/C3533*100, "N/A")</f>
        <v>25.03152705</v>
      </c>
      <c r="J3533" s="1"/>
      <c r="K3533" s="1"/>
    </row>
    <row r="3534" ht="14.25" customHeight="1">
      <c r="A3534" s="1" t="s">
        <v>16676</v>
      </c>
      <c r="B3534" s="1">
        <v>2000000.0</v>
      </c>
      <c r="C3534" s="1">
        <v>1.84925485E8</v>
      </c>
      <c r="F3534" s="4">
        <v>1.82925485E8</v>
      </c>
      <c r="G3534" s="4">
        <f t="array" ref="G3534">IFERROR((C3534-B3534)/C3534*100, "N/A")</f>
        <v>98.9184833</v>
      </c>
      <c r="J3534" s="1"/>
      <c r="K3534" s="1"/>
    </row>
    <row r="3535" ht="14.25" customHeight="1">
      <c r="A3535" s="1" t="s">
        <v>16683</v>
      </c>
      <c r="B3535" s="1">
        <v>1400000.0</v>
      </c>
      <c r="C3535" s="1">
        <v>304124.0</v>
      </c>
      <c r="F3535" s="4">
        <v>-1095876.0</v>
      </c>
      <c r="G3535" s="4">
        <f t="array" ref="G3535">IFERROR((C3535-B3535)/C3535*100, "N/A")</f>
        <v>-360.3385461</v>
      </c>
      <c r="J3535" s="1"/>
      <c r="K3535" s="1"/>
    </row>
    <row r="3536" ht="14.25" customHeight="1">
      <c r="A3536" s="1" t="s">
        <v>16689</v>
      </c>
      <c r="B3536" s="1">
        <v>1400000.0</v>
      </c>
      <c r="C3536" s="1">
        <v>36830.0</v>
      </c>
      <c r="F3536" s="4">
        <v>-1363170.0</v>
      </c>
      <c r="G3536" s="4">
        <f t="array" ref="G3536">IFERROR((C3536-B3536)/C3536*100, "N/A")</f>
        <v>-3701.248982</v>
      </c>
      <c r="J3536" s="1"/>
      <c r="K3536" s="1"/>
    </row>
    <row r="3537" ht="14.25" customHeight="1">
      <c r="A3537" s="1" t="s">
        <v>16695</v>
      </c>
      <c r="B3537" s="1">
        <v>960000.0</v>
      </c>
      <c r="C3537" s="1">
        <v>3650677.0</v>
      </c>
      <c r="F3537" s="4">
        <v>2690677.0</v>
      </c>
      <c r="G3537" s="4">
        <f t="array" ref="G3537">IFERROR((C3537-B3537)/C3537*100, "N/A")</f>
        <v>73.7035076</v>
      </c>
      <c r="J3537" s="1"/>
      <c r="K3537" s="1"/>
    </row>
    <row r="3538" ht="14.25" customHeight="1">
      <c r="A3538" s="1" t="s">
        <v>16698</v>
      </c>
      <c r="B3538" s="1">
        <v>1300000.0</v>
      </c>
      <c r="C3538" s="1">
        <v>1647780.0</v>
      </c>
      <c r="F3538" s="4">
        <v>347780.0</v>
      </c>
      <c r="G3538" s="4">
        <f t="array" ref="G3538">IFERROR((C3538-B3538)/C3538*100, "N/A")</f>
        <v>21.10597288</v>
      </c>
      <c r="J3538" s="1"/>
      <c r="K3538" s="1"/>
    </row>
    <row r="3539" ht="14.25" customHeight="1">
      <c r="A3539" s="1" t="s">
        <v>16703</v>
      </c>
      <c r="B3539" s="1">
        <v>1300000.0</v>
      </c>
      <c r="C3539" s="1">
        <v>695229.0</v>
      </c>
      <c r="F3539" s="4">
        <v>-604771.0</v>
      </c>
      <c r="G3539" s="4">
        <f t="array" ref="G3539">IFERROR((C3539-B3539)/C3539*100, "N/A")</f>
        <v>-86.98874759</v>
      </c>
      <c r="J3539" s="1"/>
      <c r="K3539" s="1"/>
    </row>
    <row r="3540" ht="14.25" customHeight="1">
      <c r="A3540" s="1" t="s">
        <v>16707</v>
      </c>
      <c r="B3540" s="1">
        <v>1592000.0</v>
      </c>
      <c r="C3540" s="1">
        <v>638951.0</v>
      </c>
      <c r="F3540" s="4">
        <v>-953049.0</v>
      </c>
      <c r="G3540" s="4">
        <f t="array" ref="G3540">IFERROR((C3540-B3540)/C3540*100, "N/A")</f>
        <v>-149.1583862</v>
      </c>
      <c r="J3540" s="1"/>
      <c r="K3540" s="1"/>
    </row>
    <row r="3541" ht="14.25" customHeight="1">
      <c r="A3541" s="1" t="s">
        <v>16715</v>
      </c>
      <c r="B3541" s="1">
        <v>1300000.0</v>
      </c>
      <c r="C3541" s="1">
        <v>609042.0</v>
      </c>
      <c r="F3541" s="4">
        <v>-690958.0</v>
      </c>
      <c r="G3541" s="4">
        <f t="array" ref="G3541">IFERROR((C3541-B3541)/C3541*100, "N/A")</f>
        <v>-113.4499755</v>
      </c>
      <c r="J3541" s="1"/>
      <c r="K3541" s="1"/>
    </row>
    <row r="3542" ht="14.25" customHeight="1">
      <c r="A3542" s="1" t="s">
        <v>4070</v>
      </c>
      <c r="B3542" s="1">
        <v>6.0E7</v>
      </c>
      <c r="C3542" s="1">
        <v>3.2940507E7</v>
      </c>
      <c r="F3542" s="4">
        <v>-2.7059493E7</v>
      </c>
      <c r="G3542" s="4">
        <f t="array" ref="G3542">IFERROR((C3542-B3542)/C3542*100, "N/A")</f>
        <v>-82.14655895</v>
      </c>
      <c r="J3542" s="1"/>
      <c r="K3542" s="1"/>
    </row>
    <row r="3543" ht="14.25" customHeight="1">
      <c r="A3543" s="1" t="s">
        <v>16719</v>
      </c>
      <c r="B3543" s="1">
        <v>1000000.0</v>
      </c>
      <c r="C3543" s="1">
        <v>19539.0</v>
      </c>
      <c r="F3543" s="4">
        <v>-980461.0</v>
      </c>
      <c r="G3543" s="4">
        <f t="array" ref="G3543">IFERROR((C3543-B3543)/C3543*100, "N/A")</f>
        <v>-5017.96919</v>
      </c>
      <c r="J3543" s="1"/>
      <c r="K3543" s="1"/>
    </row>
    <row r="3544" ht="14.25" customHeight="1">
      <c r="A3544" s="1" t="s">
        <v>16722</v>
      </c>
      <c r="B3544" s="1">
        <v>1250000.0</v>
      </c>
      <c r="C3544" s="1">
        <v>1.91E7</v>
      </c>
      <c r="F3544" s="4">
        <v>1.785E7</v>
      </c>
      <c r="G3544" s="4">
        <f t="array" ref="G3544">IFERROR((C3544-B3544)/C3544*100, "N/A")</f>
        <v>93.45549738</v>
      </c>
      <c r="J3544" s="1"/>
      <c r="K3544" s="1"/>
    </row>
    <row r="3545" ht="14.25" customHeight="1">
      <c r="A3545" s="1" t="s">
        <v>16728</v>
      </c>
      <c r="B3545" s="1">
        <v>1200000.0</v>
      </c>
      <c r="C3545" s="1">
        <v>2.47417E7</v>
      </c>
      <c r="F3545" s="4">
        <v>2.35417E7</v>
      </c>
      <c r="G3545" s="4">
        <f t="array" ref="G3545">IFERROR((C3545-B3545)/C3545*100, "N/A")</f>
        <v>95.14988865</v>
      </c>
      <c r="J3545" s="1"/>
      <c r="K3545" s="1"/>
    </row>
    <row r="3546" ht="14.25" customHeight="1">
      <c r="A3546" s="1" t="s">
        <v>16732</v>
      </c>
      <c r="B3546" s="1">
        <v>1200000.0</v>
      </c>
      <c r="C3546" s="1">
        <v>5.5153403E7</v>
      </c>
      <c r="F3546" s="4">
        <v>5.3953403E7</v>
      </c>
      <c r="G3546" s="4">
        <f t="array" ref="G3546">IFERROR((C3546-B3546)/C3546*100, "N/A")</f>
        <v>97.8242503</v>
      </c>
      <c r="J3546" s="1"/>
      <c r="K3546" s="1"/>
    </row>
    <row r="3547" ht="14.25" customHeight="1">
      <c r="A3547" s="1" t="s">
        <v>16735</v>
      </c>
      <c r="B3547" s="1">
        <v>1200000.0</v>
      </c>
      <c r="C3547" s="1">
        <v>1.8488314E7</v>
      </c>
      <c r="F3547" s="4">
        <v>1.7288314E7</v>
      </c>
      <c r="G3547" s="4">
        <f t="array" ref="G3547">IFERROR((C3547-B3547)/C3547*100, "N/A")</f>
        <v>93.50941357</v>
      </c>
      <c r="J3547" s="1"/>
      <c r="K3547" s="1"/>
    </row>
    <row r="3548" ht="14.25" customHeight="1">
      <c r="A3548" s="1" t="s">
        <v>2565</v>
      </c>
      <c r="B3548" s="1">
        <v>8.0E7</v>
      </c>
      <c r="C3548" s="1">
        <v>7.9363785E7</v>
      </c>
      <c r="F3548" s="4">
        <v>-636215.0</v>
      </c>
      <c r="G3548" s="4">
        <f t="array" ref="G3548">IFERROR((C3548-B3548)/C3548*100, "N/A")</f>
        <v>-0.801643974</v>
      </c>
      <c r="J3548" s="1"/>
      <c r="K3548" s="1"/>
    </row>
    <row r="3549" ht="14.25" customHeight="1">
      <c r="A3549" s="1" t="s">
        <v>16738</v>
      </c>
      <c r="B3549" s="1">
        <v>7000000.0</v>
      </c>
      <c r="C3549" s="1">
        <v>1.3876974E7</v>
      </c>
      <c r="F3549" s="4">
        <v>6876974.0</v>
      </c>
      <c r="G3549" s="4">
        <f t="array" ref="G3549">IFERROR((C3549-B3549)/C3549*100, "N/A")</f>
        <v>49.55672613</v>
      </c>
      <c r="J3549" s="1"/>
      <c r="K3549" s="1"/>
    </row>
    <row r="3550" ht="14.25" customHeight="1">
      <c r="A3550" s="1" t="s">
        <v>16743</v>
      </c>
      <c r="B3550" s="1">
        <v>1200000.0</v>
      </c>
      <c r="C3550" s="1">
        <v>9180275.0</v>
      </c>
      <c r="F3550" s="4">
        <v>7980275.0</v>
      </c>
      <c r="G3550" s="4">
        <f t="array" ref="G3550">IFERROR((C3550-B3550)/C3550*100, "N/A")</f>
        <v>86.92849615</v>
      </c>
      <c r="J3550" s="1"/>
      <c r="K3550" s="1"/>
    </row>
    <row r="3551" ht="14.25" customHeight="1">
      <c r="A3551" s="1" t="s">
        <v>8471</v>
      </c>
      <c r="B3551" s="1">
        <v>2.7E7</v>
      </c>
      <c r="C3551" s="1">
        <v>2.2494487E7</v>
      </c>
      <c r="F3551" s="4">
        <v>-4505513.0</v>
      </c>
      <c r="G3551" s="4">
        <f t="array" ref="G3551">IFERROR((C3551-B3551)/C3551*100, "N/A")</f>
        <v>-20.02940987</v>
      </c>
      <c r="J3551" s="1"/>
      <c r="K3551" s="1"/>
    </row>
    <row r="3552" ht="14.25" customHeight="1">
      <c r="A3552" s="1" t="s">
        <v>16747</v>
      </c>
      <c r="B3552" s="1">
        <v>1200000.0</v>
      </c>
      <c r="C3552" s="1">
        <v>2199853.0</v>
      </c>
      <c r="F3552" s="4">
        <v>999853.0</v>
      </c>
      <c r="G3552" s="4">
        <f t="array" ref="G3552">IFERROR((C3552-B3552)/C3552*100, "N/A")</f>
        <v>45.45090058</v>
      </c>
      <c r="J3552" s="1"/>
      <c r="K3552" s="1"/>
    </row>
    <row r="3553" ht="14.25" customHeight="1">
      <c r="A3553" s="1" t="s">
        <v>16751</v>
      </c>
      <c r="B3553" s="1">
        <v>1200000.0</v>
      </c>
      <c r="C3553" s="1">
        <v>2859955.0</v>
      </c>
      <c r="F3553" s="4">
        <v>1659955.0</v>
      </c>
      <c r="G3553" s="4">
        <f t="array" ref="G3553">IFERROR((C3553-B3553)/C3553*100, "N/A")</f>
        <v>58.04129785</v>
      </c>
      <c r="J3553" s="1"/>
      <c r="K3553" s="1"/>
    </row>
    <row r="3554" ht="14.25" customHeight="1">
      <c r="A3554" s="1" t="s">
        <v>16754</v>
      </c>
      <c r="B3554" s="1">
        <v>1200000.0</v>
      </c>
      <c r="C3554" s="1">
        <v>2812029.0</v>
      </c>
      <c r="F3554" s="4">
        <v>1612029.0</v>
      </c>
      <c r="G3554" s="4">
        <f t="array" ref="G3554">IFERROR((C3554-B3554)/C3554*100, "N/A")</f>
        <v>57.32618689</v>
      </c>
      <c r="J3554" s="1"/>
      <c r="K3554" s="1"/>
    </row>
    <row r="3555" ht="14.25" customHeight="1">
      <c r="A3555" s="1" t="s">
        <v>16757</v>
      </c>
      <c r="B3555" s="1">
        <v>1200000.0</v>
      </c>
      <c r="C3555" s="1">
        <v>6100000.0</v>
      </c>
      <c r="F3555" s="4">
        <v>4900000.0</v>
      </c>
      <c r="G3555" s="4">
        <f t="array" ref="G3555">IFERROR((C3555-B3555)/C3555*100, "N/A")</f>
        <v>80.32786885</v>
      </c>
      <c r="J3555" s="1"/>
      <c r="K3555" s="1"/>
    </row>
    <row r="3556" ht="14.25" customHeight="1">
      <c r="A3556" s="1" t="s">
        <v>16763</v>
      </c>
      <c r="B3556" s="1">
        <v>4000000.0</v>
      </c>
      <c r="C3556" s="1">
        <v>375723.0</v>
      </c>
      <c r="F3556" s="4">
        <v>-3624277.0</v>
      </c>
      <c r="G3556" s="4">
        <f t="array" ref="G3556">IFERROR((C3556-B3556)/C3556*100, "N/A")</f>
        <v>-964.6140907</v>
      </c>
      <c r="J3556" s="1"/>
      <c r="K3556" s="1"/>
    </row>
    <row r="3557" ht="14.25" customHeight="1">
      <c r="A3557" s="1" t="s">
        <v>16770</v>
      </c>
      <c r="B3557" s="1">
        <v>1200000.0</v>
      </c>
      <c r="C3557" s="1">
        <v>594904.0</v>
      </c>
      <c r="F3557" s="4">
        <v>-605096.0</v>
      </c>
      <c r="G3557" s="4">
        <f t="array" ref="G3557">IFERROR((C3557-B3557)/C3557*100, "N/A")</f>
        <v>-101.7132176</v>
      </c>
      <c r="J3557" s="1"/>
      <c r="K3557" s="1"/>
    </row>
    <row r="3558" ht="14.25" customHeight="1">
      <c r="A3558" s="1" t="s">
        <v>16776</v>
      </c>
      <c r="B3558" s="1">
        <v>1200000.0</v>
      </c>
      <c r="C3558" s="1">
        <v>58936.0</v>
      </c>
      <c r="F3558" s="4">
        <v>-1141064.0</v>
      </c>
      <c r="G3558" s="4">
        <f t="array" ref="G3558">IFERROR((C3558-B3558)/C3558*100, "N/A")</f>
        <v>-1936.106963</v>
      </c>
      <c r="J3558" s="1"/>
      <c r="K3558" s="1"/>
    </row>
    <row r="3559" ht="14.25" customHeight="1">
      <c r="A3559" s="1" t="s">
        <v>16782</v>
      </c>
      <c r="B3559" s="1">
        <v>2600000.0</v>
      </c>
      <c r="C3559" s="1">
        <v>2850263.0</v>
      </c>
      <c r="F3559" s="4">
        <v>250263.0</v>
      </c>
      <c r="G3559" s="4">
        <f t="array" ref="G3559">IFERROR((C3559-B3559)/C3559*100, "N/A")</f>
        <v>8.780347638</v>
      </c>
      <c r="J3559" s="1"/>
      <c r="K3559" s="1"/>
    </row>
    <row r="3560" ht="14.25" customHeight="1">
      <c r="A3560" s="1" t="s">
        <v>16788</v>
      </c>
      <c r="B3560" s="1">
        <v>3000000.0</v>
      </c>
      <c r="C3560" s="1">
        <v>1.6101109E7</v>
      </c>
      <c r="F3560" s="4">
        <v>1.3101109E7</v>
      </c>
      <c r="G3560" s="4">
        <f t="array" ref="G3560">IFERROR((C3560-B3560)/C3560*100, "N/A")</f>
        <v>81.36774305</v>
      </c>
      <c r="J3560" s="1"/>
      <c r="K3560" s="1"/>
    </row>
    <row r="3561" ht="14.25" customHeight="1">
      <c r="A3561" s="1" t="s">
        <v>16792</v>
      </c>
      <c r="B3561" s="1">
        <v>1100000.0</v>
      </c>
      <c r="C3561" s="1">
        <v>1400000.0</v>
      </c>
      <c r="F3561" s="4">
        <v>300000.0</v>
      </c>
      <c r="G3561" s="4">
        <f t="array" ref="G3561">IFERROR((C3561-B3561)/C3561*100, "N/A")</f>
        <v>21.42857143</v>
      </c>
      <c r="J3561" s="1"/>
      <c r="K3561" s="1"/>
    </row>
    <row r="3562" ht="14.25" customHeight="1">
      <c r="A3562" s="1" t="s">
        <v>16798</v>
      </c>
      <c r="B3562" s="1">
        <v>1100000.0</v>
      </c>
      <c r="C3562" s="1">
        <v>56129.0</v>
      </c>
      <c r="F3562" s="4">
        <v>-1043871.0</v>
      </c>
      <c r="G3562" s="4">
        <f t="array" ref="G3562">IFERROR((C3562-B3562)/C3562*100, "N/A")</f>
        <v>-1859.771241</v>
      </c>
      <c r="J3562" s="1"/>
      <c r="K3562" s="1"/>
    </row>
    <row r="3563" ht="14.25" customHeight="1">
      <c r="A3563" s="1" t="s">
        <v>16804</v>
      </c>
      <c r="B3563" s="1">
        <v>1100000.0</v>
      </c>
      <c r="C3563" s="1">
        <v>4105123.0</v>
      </c>
      <c r="F3563" s="4">
        <v>3005123.0</v>
      </c>
      <c r="G3563" s="4">
        <f t="array" ref="G3563">IFERROR((C3563-B3563)/C3563*100, "N/A")</f>
        <v>73.20421337</v>
      </c>
      <c r="J3563" s="1"/>
      <c r="K3563" s="1"/>
    </row>
    <row r="3564" ht="14.25" customHeight="1">
      <c r="A3564" s="1" t="s">
        <v>16812</v>
      </c>
      <c r="B3564" s="1">
        <v>960000.0</v>
      </c>
      <c r="C3564" s="1">
        <v>1.17235247E8</v>
      </c>
      <c r="F3564" s="4">
        <v>1.16275247E8</v>
      </c>
      <c r="G3564" s="4">
        <f t="array" ref="G3564">IFERROR((C3564-B3564)/C3564*100, "N/A")</f>
        <v>99.18113364</v>
      </c>
      <c r="J3564" s="1"/>
      <c r="K3564" s="1"/>
    </row>
    <row r="3565" ht="14.25" customHeight="1">
      <c r="A3565" s="1" t="s">
        <v>10761</v>
      </c>
      <c r="B3565" s="1">
        <v>1000000.0</v>
      </c>
      <c r="C3565" s="1">
        <v>2.1378E7</v>
      </c>
      <c r="F3565" s="4">
        <v>2.0378E7</v>
      </c>
      <c r="G3565" s="4">
        <f t="array" ref="G3565">IFERROR((C3565-B3565)/C3565*100, "N/A")</f>
        <v>95.32229395</v>
      </c>
      <c r="J3565" s="1"/>
      <c r="K3565" s="1"/>
    </row>
    <row r="3566" ht="14.25" customHeight="1">
      <c r="A3566" s="1" t="s">
        <v>16817</v>
      </c>
      <c r="B3566" s="1">
        <v>1000000.0</v>
      </c>
      <c r="C3566" s="1">
        <v>3.153732E7</v>
      </c>
      <c r="F3566" s="4">
        <v>3.053732E7</v>
      </c>
      <c r="G3566" s="4">
        <f t="array" ref="G3566">IFERROR((C3566-B3566)/C3566*100, "N/A")</f>
        <v>96.82915352</v>
      </c>
      <c r="J3566" s="1"/>
      <c r="K3566" s="1"/>
    </row>
    <row r="3567" ht="14.25" customHeight="1">
      <c r="A3567" s="1" t="s">
        <v>16822</v>
      </c>
      <c r="B3567" s="1">
        <v>1000000.0</v>
      </c>
      <c r="C3567" s="1">
        <v>1.7986E7</v>
      </c>
      <c r="F3567" s="4">
        <v>1.6986E7</v>
      </c>
      <c r="G3567" s="4">
        <f t="array" ref="G3567">IFERROR((C3567-B3567)/C3567*100, "N/A")</f>
        <v>94.44012009</v>
      </c>
      <c r="J3567" s="1"/>
      <c r="K3567" s="1"/>
    </row>
    <row r="3568" ht="14.25" customHeight="1">
      <c r="A3568" s="1" t="s">
        <v>16825</v>
      </c>
      <c r="B3568" s="1">
        <v>1100000.0</v>
      </c>
      <c r="C3568" s="1">
        <v>1.6067035E7</v>
      </c>
      <c r="F3568" s="4">
        <v>1.4967035E7</v>
      </c>
      <c r="G3568" s="4">
        <f t="array" ref="G3568">IFERROR((C3568-B3568)/C3568*100, "N/A")</f>
        <v>93.15368392</v>
      </c>
      <c r="J3568" s="1"/>
      <c r="K3568" s="1"/>
    </row>
    <row r="3569" ht="14.25" customHeight="1">
      <c r="A3569" s="1" t="s">
        <v>16831</v>
      </c>
      <c r="B3569" s="1">
        <v>1000000.0</v>
      </c>
      <c r="C3569" s="1">
        <v>1.8112929E7</v>
      </c>
      <c r="F3569" s="4">
        <v>1.7112929E7</v>
      </c>
      <c r="G3569" s="4">
        <f t="array" ref="G3569">IFERROR((C3569-B3569)/C3569*100, "N/A")</f>
        <v>94.47908177</v>
      </c>
      <c r="J3569" s="1"/>
      <c r="K3569" s="1"/>
    </row>
    <row r="3570" ht="14.25" customHeight="1">
      <c r="A3570" s="1" t="s">
        <v>16835</v>
      </c>
      <c r="B3570" s="1">
        <v>1000000.0</v>
      </c>
      <c r="C3570" s="1">
        <v>1.4564027E7</v>
      </c>
      <c r="F3570" s="4">
        <v>1.3564027E7</v>
      </c>
      <c r="G3570" s="4">
        <f t="array" ref="G3570">IFERROR((C3570-B3570)/C3570*100, "N/A")</f>
        <v>93.13376719</v>
      </c>
      <c r="J3570" s="1"/>
      <c r="K3570" s="1"/>
    </row>
    <row r="3571" ht="14.25" customHeight="1">
      <c r="A3571" s="1" t="s">
        <v>16842</v>
      </c>
      <c r="B3571" s="1">
        <v>5000000.0</v>
      </c>
      <c r="C3571" s="1">
        <v>2.077307E7</v>
      </c>
      <c r="F3571" s="4">
        <v>1.577307E7</v>
      </c>
      <c r="G3571" s="4">
        <f t="array" ref="G3571">IFERROR((C3571-B3571)/C3571*100, "N/A")</f>
        <v>75.93037524</v>
      </c>
      <c r="J3571" s="1"/>
      <c r="K3571" s="1"/>
    </row>
    <row r="3572" ht="14.25" customHeight="1">
      <c r="A3572" s="1" t="s">
        <v>16848</v>
      </c>
      <c r="B3572" s="1">
        <v>1000000.0</v>
      </c>
      <c r="C3572" s="1">
        <v>1.0042266E7</v>
      </c>
      <c r="F3572" s="4">
        <v>9042266.0</v>
      </c>
      <c r="G3572" s="4">
        <f t="array" ref="G3572">IFERROR((C3572-B3572)/C3572*100, "N/A")</f>
        <v>90.04208811</v>
      </c>
      <c r="J3572" s="1"/>
      <c r="K3572" s="1"/>
    </row>
    <row r="3573" ht="14.25" customHeight="1">
      <c r="A3573" s="1" t="s">
        <v>16852</v>
      </c>
      <c r="B3573" s="1">
        <v>1.0E9</v>
      </c>
      <c r="C3573" s="1">
        <v>1.003739E7</v>
      </c>
      <c r="F3573" s="4">
        <v>-9.8996261E8</v>
      </c>
      <c r="G3573" s="4">
        <f t="array" ref="G3573">IFERROR((C3573-B3573)/C3573*100, "N/A")</f>
        <v>-9862.74928</v>
      </c>
      <c r="J3573" s="1"/>
      <c r="K3573" s="1"/>
    </row>
    <row r="3574" ht="14.25" customHeight="1">
      <c r="A3574" s="1" t="s">
        <v>16858</v>
      </c>
      <c r="B3574" s="1">
        <v>3500000.0</v>
      </c>
      <c r="C3574" s="1">
        <v>9701559.0</v>
      </c>
      <c r="F3574" s="4">
        <v>6201559.0</v>
      </c>
      <c r="G3574" s="4">
        <f t="array" ref="G3574">IFERROR((C3574-B3574)/C3574*100, "N/A")</f>
        <v>63.92332408</v>
      </c>
      <c r="J3574" s="1"/>
      <c r="K3574" s="1"/>
    </row>
    <row r="3575" ht="14.25" customHeight="1">
      <c r="A3575" s="1" t="s">
        <v>16862</v>
      </c>
      <c r="B3575" s="1">
        <v>1000000.0</v>
      </c>
      <c r="C3575" s="1">
        <v>9013113.0</v>
      </c>
      <c r="F3575" s="4">
        <v>8013113.0</v>
      </c>
      <c r="G3575" s="4">
        <f t="array" ref="G3575">IFERROR((C3575-B3575)/C3575*100, "N/A")</f>
        <v>88.90505422</v>
      </c>
      <c r="J3575" s="1"/>
      <c r="K3575" s="1"/>
    </row>
    <row r="3576" ht="14.25" customHeight="1">
      <c r="A3576" s="1" t="s">
        <v>16866</v>
      </c>
      <c r="B3576" s="1">
        <v>1000000.0</v>
      </c>
      <c r="C3576" s="1">
        <v>5.3245055E7</v>
      </c>
      <c r="F3576" s="4">
        <v>5.2245055E7</v>
      </c>
      <c r="G3576" s="4">
        <f t="array" ref="G3576">IFERROR((C3576-B3576)/C3576*100, "N/A")</f>
        <v>98.12189132</v>
      </c>
      <c r="J3576" s="1"/>
      <c r="K3576" s="1"/>
    </row>
    <row r="3577" ht="14.25" customHeight="1">
      <c r="A3577" s="1" t="s">
        <v>16872</v>
      </c>
      <c r="B3577" s="1">
        <v>900000.0</v>
      </c>
      <c r="C3577" s="1">
        <v>9000000.0</v>
      </c>
      <c r="F3577" s="4">
        <v>8100000.0</v>
      </c>
      <c r="G3577" s="4">
        <f t="array" ref="G3577">IFERROR((C3577-B3577)/C3577*100, "N/A")</f>
        <v>90</v>
      </c>
      <c r="J3577" s="1"/>
      <c r="K3577" s="1"/>
    </row>
    <row r="3578" ht="14.25" customHeight="1">
      <c r="A3578" s="1" t="s">
        <v>16877</v>
      </c>
      <c r="B3578" s="1">
        <v>6000000.0</v>
      </c>
      <c r="C3578" s="1">
        <v>7186670.0</v>
      </c>
      <c r="F3578" s="4">
        <v>1186670.0</v>
      </c>
      <c r="G3578" s="4">
        <f t="array" ref="G3578">IFERROR((C3578-B3578)/C3578*100, "N/A")</f>
        <v>16.51209809</v>
      </c>
      <c r="J3578" s="1"/>
      <c r="K3578" s="1"/>
    </row>
    <row r="3579" ht="14.25" customHeight="1">
      <c r="A3579" s="1" t="s">
        <v>16882</v>
      </c>
      <c r="B3579" s="1">
        <v>1000000.0</v>
      </c>
      <c r="C3579" s="1">
        <v>5997134.0</v>
      </c>
      <c r="F3579" s="4">
        <v>4997134.0</v>
      </c>
      <c r="G3579" s="4">
        <f t="array" ref="G3579">IFERROR((C3579-B3579)/C3579*100, "N/A")</f>
        <v>83.32536842</v>
      </c>
      <c r="J3579" s="1"/>
      <c r="K3579" s="1"/>
    </row>
    <row r="3580" ht="14.25" customHeight="1">
      <c r="A3580" s="1" t="s">
        <v>16886</v>
      </c>
      <c r="B3580" s="1">
        <v>1000000.0</v>
      </c>
      <c r="C3580" s="1">
        <v>3386698.0</v>
      </c>
      <c r="F3580" s="4">
        <v>2386698.0</v>
      </c>
      <c r="G3580" s="4">
        <f t="array" ref="G3580">IFERROR((C3580-B3580)/C3580*100, "N/A")</f>
        <v>70.47271413</v>
      </c>
      <c r="J3580" s="1"/>
      <c r="K3580" s="1"/>
    </row>
    <row r="3581" ht="14.25" customHeight="1">
      <c r="A3581" s="1" t="s">
        <v>14231</v>
      </c>
      <c r="B3581" s="1">
        <v>7500000.0</v>
      </c>
      <c r="C3581" s="1">
        <v>1.4349284E8</v>
      </c>
      <c r="F3581" s="4">
        <v>1.3599284E8</v>
      </c>
      <c r="G3581" s="4">
        <f t="array" ref="G3581">IFERROR((C3581-B3581)/C3581*100, "N/A")</f>
        <v>94.77325837</v>
      </c>
      <c r="J3581" s="1"/>
      <c r="K3581" s="1"/>
    </row>
    <row r="3582" ht="14.25" customHeight="1">
      <c r="A3582" s="1" t="s">
        <v>16890</v>
      </c>
      <c r="B3582" s="1">
        <v>1000000.0</v>
      </c>
      <c r="C3582" s="1">
        <v>2508841.0</v>
      </c>
      <c r="F3582" s="4">
        <v>1508841.0</v>
      </c>
      <c r="G3582" s="4">
        <f t="array" ref="G3582">IFERROR((C3582-B3582)/C3582*100, "N/A")</f>
        <v>60.14095752</v>
      </c>
      <c r="J3582" s="1"/>
      <c r="K3582" s="1"/>
    </row>
    <row r="3583" ht="14.25" customHeight="1">
      <c r="A3583" s="1" t="s">
        <v>16896</v>
      </c>
      <c r="B3583" s="1">
        <v>1000000.0</v>
      </c>
      <c r="C3583" s="1">
        <v>4946250.0</v>
      </c>
      <c r="F3583" s="4">
        <v>3946250.0</v>
      </c>
      <c r="G3583" s="4">
        <f t="array" ref="G3583">IFERROR((C3583-B3583)/C3583*100, "N/A")</f>
        <v>79.78266363</v>
      </c>
      <c r="J3583" s="1"/>
      <c r="K3583" s="1"/>
    </row>
    <row r="3584" ht="14.25" customHeight="1">
      <c r="A3584" s="1" t="s">
        <v>16901</v>
      </c>
      <c r="B3584" s="1">
        <v>1000000.0</v>
      </c>
      <c r="C3584" s="1">
        <v>1950218.0</v>
      </c>
      <c r="F3584" s="4">
        <v>950218.0</v>
      </c>
      <c r="G3584" s="4">
        <f t="array" ref="G3584">IFERROR((C3584-B3584)/C3584*100, "N/A")</f>
        <v>48.72368115</v>
      </c>
      <c r="J3584" s="1"/>
      <c r="K3584" s="1"/>
    </row>
    <row r="3585" ht="14.25" customHeight="1">
      <c r="A3585" s="1" t="s">
        <v>16906</v>
      </c>
      <c r="B3585" s="1">
        <v>1000000.0</v>
      </c>
      <c r="C3585" s="1">
        <v>1277257.0</v>
      </c>
      <c r="F3585" s="4">
        <v>277257.0</v>
      </c>
      <c r="G3585" s="4">
        <f t="array" ref="G3585">IFERROR((C3585-B3585)/C3585*100, "N/A")</f>
        <v>21.70722102</v>
      </c>
      <c r="J3585" s="1"/>
      <c r="K3585" s="1"/>
    </row>
    <row r="3586" ht="14.25" customHeight="1">
      <c r="A3586" s="1" t="s">
        <v>15696</v>
      </c>
      <c r="B3586" s="1">
        <v>3500000.0</v>
      </c>
      <c r="C3586" s="1">
        <v>4.5857453E7</v>
      </c>
      <c r="F3586" s="4">
        <v>4.2357453E7</v>
      </c>
      <c r="G3586" s="4">
        <f t="array" ref="G3586">IFERROR((C3586-B3586)/C3586*100, "N/A")</f>
        <v>92.36765287</v>
      </c>
      <c r="J3586" s="1"/>
      <c r="K3586" s="1"/>
    </row>
    <row r="3587" ht="14.25" customHeight="1">
      <c r="A3587" s="1" t="s">
        <v>16910</v>
      </c>
      <c r="B3587" s="1">
        <v>1000000.0</v>
      </c>
      <c r="C3587" s="1">
        <v>1677838.0</v>
      </c>
      <c r="F3587" s="4">
        <v>677838.0</v>
      </c>
      <c r="G3587" s="4">
        <f t="array" ref="G3587">IFERROR((C3587-B3587)/C3587*100, "N/A")</f>
        <v>40.3994903</v>
      </c>
      <c r="J3587" s="1"/>
      <c r="K3587" s="1"/>
    </row>
    <row r="3588" ht="14.25" customHeight="1">
      <c r="A3588" s="1" t="s">
        <v>16916</v>
      </c>
      <c r="B3588" s="1">
        <v>1000000.0</v>
      </c>
      <c r="C3588" s="1">
        <v>1744858.0</v>
      </c>
      <c r="F3588" s="4">
        <v>744858.0</v>
      </c>
      <c r="G3588" s="4">
        <f t="array" ref="G3588">IFERROR((C3588-B3588)/C3588*100, "N/A")</f>
        <v>42.68874602</v>
      </c>
      <c r="J3588" s="1"/>
      <c r="K3588" s="1"/>
    </row>
    <row r="3589" ht="14.25" customHeight="1">
      <c r="A3589" s="1" t="s">
        <v>4217</v>
      </c>
      <c r="B3589" s="1">
        <v>5.8E7</v>
      </c>
      <c r="C3589" s="1">
        <v>8.002174E7</v>
      </c>
      <c r="F3589" s="4">
        <v>2.202174E7</v>
      </c>
      <c r="G3589" s="4">
        <f t="array" ref="G3589">IFERROR((C3589-B3589)/C3589*100, "N/A")</f>
        <v>27.51969652</v>
      </c>
      <c r="J3589" s="1"/>
      <c r="K3589" s="1"/>
    </row>
    <row r="3590" ht="14.25" customHeight="1">
      <c r="A3590" s="1" t="s">
        <v>16920</v>
      </c>
      <c r="B3590" s="1">
        <v>1000000.0</v>
      </c>
      <c r="C3590" s="1">
        <v>982214.0</v>
      </c>
      <c r="F3590" s="4">
        <v>-17786.0</v>
      </c>
      <c r="G3590" s="4">
        <f t="array" ref="G3590">IFERROR((C3590-B3590)/C3590*100, "N/A")</f>
        <v>-1.810807014</v>
      </c>
      <c r="J3590" s="1"/>
      <c r="K3590" s="1"/>
    </row>
    <row r="3591" ht="14.25" customHeight="1">
      <c r="A3591" s="1" t="s">
        <v>16926</v>
      </c>
      <c r="B3591" s="1">
        <v>1000000.0</v>
      </c>
      <c r="C3591" s="1">
        <v>798341.0</v>
      </c>
      <c r="F3591" s="4">
        <v>-201659.0</v>
      </c>
      <c r="G3591" s="4">
        <f t="array" ref="G3591">IFERROR((C3591-B3591)/C3591*100, "N/A")</f>
        <v>-25.25975742</v>
      </c>
      <c r="J3591" s="1"/>
      <c r="K3591" s="1"/>
    </row>
    <row r="3592" ht="14.25" customHeight="1">
      <c r="A3592" s="1" t="s">
        <v>16931</v>
      </c>
      <c r="B3592" s="1">
        <v>1000000.0</v>
      </c>
      <c r="C3592" s="1">
        <v>582024.0</v>
      </c>
      <c r="F3592" s="4">
        <v>-417976.0</v>
      </c>
      <c r="G3592" s="4">
        <f t="array" ref="G3592">IFERROR((C3592-B3592)/C3592*100, "N/A")</f>
        <v>-71.81422072</v>
      </c>
      <c r="J3592" s="1"/>
      <c r="K3592" s="1"/>
    </row>
    <row r="3593" ht="14.25" customHeight="1">
      <c r="A3593" s="1" t="s">
        <v>16936</v>
      </c>
      <c r="B3593" s="1">
        <v>2500000.0</v>
      </c>
      <c r="C3593" s="1">
        <v>548712.0</v>
      </c>
      <c r="F3593" s="4">
        <v>-1951288.0</v>
      </c>
      <c r="G3593" s="4">
        <f t="array" ref="G3593">IFERROR((C3593-B3593)/C3593*100, "N/A")</f>
        <v>-355.612416</v>
      </c>
      <c r="J3593" s="1"/>
      <c r="K3593" s="1"/>
    </row>
    <row r="3594" ht="14.25" customHeight="1">
      <c r="A3594" s="1" t="s">
        <v>16940</v>
      </c>
      <c r="B3594" s="1">
        <v>1000000.0</v>
      </c>
      <c r="C3594" s="1">
        <v>464655.0</v>
      </c>
      <c r="F3594" s="4">
        <v>-535345.0</v>
      </c>
      <c r="G3594" s="4">
        <f t="array" ref="G3594">IFERROR((C3594-B3594)/C3594*100, "N/A")</f>
        <v>-115.2134379</v>
      </c>
      <c r="J3594" s="1"/>
      <c r="K3594" s="1"/>
    </row>
    <row r="3595" ht="14.25" customHeight="1">
      <c r="A3595" s="1" t="s">
        <v>16944</v>
      </c>
      <c r="B3595" s="1">
        <v>1000000.0</v>
      </c>
      <c r="C3595" s="1">
        <v>464126.0</v>
      </c>
      <c r="F3595" s="4">
        <v>-535874.0</v>
      </c>
      <c r="G3595" s="4">
        <f t="array" ref="G3595">IFERROR((C3595-B3595)/C3595*100, "N/A")</f>
        <v>-115.4587332</v>
      </c>
      <c r="J3595" s="1"/>
      <c r="K3595" s="1"/>
    </row>
    <row r="3596" ht="14.25" customHeight="1">
      <c r="A3596" s="1" t="s">
        <v>16948</v>
      </c>
      <c r="B3596" s="1">
        <v>1000000.0</v>
      </c>
      <c r="C3596" s="1">
        <v>104077.0</v>
      </c>
      <c r="F3596" s="4">
        <v>-895923.0</v>
      </c>
      <c r="G3596" s="4">
        <f t="array" ref="G3596">IFERROR((C3596-B3596)/C3596*100, "N/A")</f>
        <v>-860.82708</v>
      </c>
      <c r="J3596" s="1"/>
      <c r="K3596" s="1"/>
    </row>
    <row r="3597" ht="14.25" customHeight="1">
      <c r="A3597" s="1" t="s">
        <v>16952</v>
      </c>
      <c r="B3597" s="1">
        <v>1000000.0</v>
      </c>
      <c r="C3597" s="1">
        <v>279282.0</v>
      </c>
      <c r="F3597" s="4">
        <v>-720718.0</v>
      </c>
      <c r="G3597" s="4">
        <f t="array" ref="G3597">IFERROR((C3597-B3597)/C3597*100, "N/A")</f>
        <v>-258.0610279</v>
      </c>
      <c r="J3597" s="1"/>
      <c r="K3597" s="1"/>
    </row>
    <row r="3598" ht="14.25" customHeight="1">
      <c r="A3598" s="1" t="s">
        <v>1919</v>
      </c>
      <c r="B3598" s="1">
        <v>6.5E7</v>
      </c>
      <c r="C3598" s="1">
        <v>4.3982842E7</v>
      </c>
      <c r="F3598" s="4">
        <v>-2.1017158E7</v>
      </c>
      <c r="G3598" s="4">
        <f t="array" ref="G3598">IFERROR((C3598-B3598)/C3598*100, "N/A")</f>
        <v>-47.78490212</v>
      </c>
      <c r="J3598" s="1"/>
      <c r="K3598" s="1"/>
    </row>
    <row r="3599" ht="14.25" customHeight="1">
      <c r="A3599" s="1" t="s">
        <v>16956</v>
      </c>
      <c r="B3599" s="1">
        <v>1000000.0</v>
      </c>
      <c r="C3599" s="1">
        <v>484221.0</v>
      </c>
      <c r="F3599" s="4">
        <v>-515779.0</v>
      </c>
      <c r="G3599" s="4">
        <f t="array" ref="G3599">IFERROR((C3599-B3599)/C3599*100, "N/A")</f>
        <v>-106.5172721</v>
      </c>
      <c r="J3599" s="1"/>
      <c r="K3599" s="1"/>
    </row>
    <row r="3600" ht="14.25" customHeight="1">
      <c r="A3600" s="1" t="s">
        <v>16964</v>
      </c>
      <c r="B3600" s="1">
        <v>1000000.0</v>
      </c>
      <c r="C3600" s="1">
        <v>274661.0</v>
      </c>
      <c r="F3600" s="4">
        <v>-725339.0</v>
      </c>
      <c r="G3600" s="4">
        <f t="array" ref="G3600">IFERROR((C3600-B3600)/C3600*100, "N/A")</f>
        <v>-264.0851814</v>
      </c>
      <c r="J3600" s="1"/>
      <c r="K3600" s="1"/>
    </row>
    <row r="3601" ht="14.25" customHeight="1">
      <c r="A3601" s="1" t="s">
        <v>16970</v>
      </c>
      <c r="B3601" s="1">
        <v>1000000.0</v>
      </c>
      <c r="C3601" s="1">
        <v>144431.0</v>
      </c>
      <c r="F3601" s="4">
        <v>-855569.0</v>
      </c>
      <c r="G3601" s="4">
        <f t="array" ref="G3601">IFERROR((C3601-B3601)/C3601*100, "N/A")</f>
        <v>-592.3721362</v>
      </c>
      <c r="J3601" s="1"/>
      <c r="K3601" s="1"/>
    </row>
    <row r="3602" ht="14.25" customHeight="1">
      <c r="A3602" s="1" t="s">
        <v>16978</v>
      </c>
      <c r="B3602" s="1">
        <v>1000000.0</v>
      </c>
      <c r="C3602" s="1">
        <v>287761.0</v>
      </c>
      <c r="F3602" s="4">
        <v>-712239.0</v>
      </c>
      <c r="G3602" s="4">
        <f t="array" ref="G3602">IFERROR((C3602-B3602)/C3602*100, "N/A")</f>
        <v>-247.5106078</v>
      </c>
      <c r="J3602" s="1"/>
      <c r="K3602" s="1"/>
    </row>
    <row r="3603" ht="14.25" customHeight="1">
      <c r="A3603" s="1" t="s">
        <v>16985</v>
      </c>
      <c r="B3603" s="1">
        <v>1000000.0</v>
      </c>
      <c r="C3603" s="1">
        <v>96734.0</v>
      </c>
      <c r="F3603" s="4">
        <v>-903266.0</v>
      </c>
      <c r="G3603" s="4">
        <f t="array" ref="G3603">IFERROR((C3603-B3603)/C3603*100, "N/A")</f>
        <v>-933.7626894</v>
      </c>
      <c r="J3603" s="1"/>
      <c r="K3603" s="1"/>
    </row>
    <row r="3604" ht="14.25" customHeight="1">
      <c r="A3604" s="1" t="s">
        <v>16991</v>
      </c>
      <c r="B3604" s="1">
        <v>900000.0</v>
      </c>
      <c r="C3604" s="1">
        <v>100659.0</v>
      </c>
      <c r="F3604" s="4">
        <v>-799341.0</v>
      </c>
      <c r="G3604" s="4">
        <f t="array" ref="G3604">IFERROR((C3604-B3604)/C3604*100, "N/A")</f>
        <v>-794.1078294</v>
      </c>
      <c r="J3604" s="1"/>
      <c r="K3604" s="1"/>
    </row>
    <row r="3605" ht="14.25" customHeight="1">
      <c r="A3605" s="1" t="s">
        <v>16996</v>
      </c>
      <c r="B3605" s="1">
        <v>500000.0</v>
      </c>
      <c r="C3605" s="1">
        <v>48430.0</v>
      </c>
      <c r="F3605" s="4">
        <v>-451570.0</v>
      </c>
      <c r="G3605" s="4">
        <f t="array" ref="G3605">IFERROR((C3605-B3605)/C3605*100, "N/A")</f>
        <v>-932.4179228</v>
      </c>
      <c r="J3605" s="1"/>
      <c r="K3605" s="1"/>
    </row>
    <row r="3606" ht="14.25" customHeight="1">
      <c r="A3606" s="1" t="s">
        <v>16999</v>
      </c>
      <c r="B3606" s="1">
        <v>1000000.0</v>
      </c>
      <c r="C3606" s="1">
        <v>21210.0</v>
      </c>
      <c r="F3606" s="4">
        <v>-978790.0</v>
      </c>
      <c r="G3606" s="4">
        <f t="array" ref="G3606">IFERROR((C3606-B3606)/C3606*100, "N/A")</f>
        <v>-4614.75719</v>
      </c>
      <c r="J3606" s="1"/>
      <c r="K3606" s="1"/>
    </row>
    <row r="3607" ht="14.25" customHeight="1">
      <c r="A3607" s="1" t="s">
        <v>17002</v>
      </c>
      <c r="B3607" s="1">
        <v>1000000.0</v>
      </c>
      <c r="C3607" s="1">
        <v>12996.0</v>
      </c>
      <c r="F3607" s="4">
        <v>-987004.0</v>
      </c>
      <c r="G3607" s="4">
        <f t="array" ref="G3607">IFERROR((C3607-B3607)/C3607*100, "N/A")</f>
        <v>-7594.675285</v>
      </c>
      <c r="J3607" s="1"/>
      <c r="K3607" s="1"/>
    </row>
    <row r="3608" ht="14.25" customHeight="1">
      <c r="A3608" s="1" t="s">
        <v>17006</v>
      </c>
      <c r="B3608" s="1">
        <v>1000000.0</v>
      </c>
      <c r="C3608" s="1">
        <v>10018.0</v>
      </c>
      <c r="F3608" s="4">
        <v>-989982.0</v>
      </c>
      <c r="G3608" s="4">
        <f t="array" ref="G3608">IFERROR((C3608-B3608)/C3608*100, "N/A")</f>
        <v>-9882.032342</v>
      </c>
      <c r="J3608" s="1"/>
      <c r="K3608" s="1"/>
    </row>
    <row r="3609" ht="14.25" customHeight="1">
      <c r="A3609" s="1" t="s">
        <v>17012</v>
      </c>
      <c r="B3609" s="1">
        <v>1000000.0</v>
      </c>
      <c r="C3609" s="1">
        <v>62480.0</v>
      </c>
      <c r="F3609" s="4">
        <v>-937520.0</v>
      </c>
      <c r="G3609" s="4">
        <f t="array" ref="G3609">IFERROR((C3609-B3609)/C3609*100, "N/A")</f>
        <v>-1500.512164</v>
      </c>
      <c r="J3609" s="1"/>
      <c r="K3609" s="1"/>
    </row>
    <row r="3610" ht="14.25" customHeight="1">
      <c r="A3610" s="1" t="s">
        <v>17018</v>
      </c>
      <c r="B3610" s="1">
        <v>1000000.0</v>
      </c>
      <c r="C3610" s="1">
        <v>6387.0</v>
      </c>
      <c r="F3610" s="4">
        <v>-993613.0</v>
      </c>
      <c r="G3610" s="4">
        <f t="array" ref="G3610">IFERROR((C3610-B3610)/C3610*100, "N/A")</f>
        <v>-15556.80288</v>
      </c>
      <c r="J3610" s="1"/>
      <c r="K3610" s="1"/>
    </row>
    <row r="3611" ht="14.25" customHeight="1">
      <c r="A3611" s="1" t="s">
        <v>17023</v>
      </c>
      <c r="B3611" s="1">
        <v>1000000.0</v>
      </c>
      <c r="C3611" s="1">
        <v>721.0</v>
      </c>
      <c r="F3611" s="4">
        <v>-999279.0</v>
      </c>
      <c r="G3611" s="4">
        <f t="array" ref="G3611">IFERROR((C3611-B3611)/C3611*100, "N/A")</f>
        <v>-138596.2552</v>
      </c>
      <c r="J3611" s="1"/>
      <c r="K3611" s="1"/>
    </row>
    <row r="3612" ht="14.25" customHeight="1">
      <c r="A3612" s="1" t="s">
        <v>17028</v>
      </c>
      <c r="B3612" s="1">
        <v>1500000.0</v>
      </c>
      <c r="C3612" s="1">
        <v>703.0</v>
      </c>
      <c r="F3612" s="4">
        <v>-1499297.0</v>
      </c>
      <c r="G3612" s="4">
        <f t="array" ref="G3612">IFERROR((C3612-B3612)/C3612*100, "N/A")</f>
        <v>-213271.266</v>
      </c>
      <c r="J3612" s="1"/>
      <c r="K3612" s="1"/>
    </row>
    <row r="3613" ht="14.25" customHeight="1">
      <c r="A3613" s="1" t="s">
        <v>11362</v>
      </c>
      <c r="B3613" s="1">
        <v>2.0E7</v>
      </c>
      <c r="C3613" s="1">
        <v>2319187.0</v>
      </c>
      <c r="F3613" s="4">
        <v>-1.7680813E7</v>
      </c>
      <c r="G3613" s="4">
        <f t="array" ref="G3613">IFERROR((C3613-B3613)/C3613*100, "N/A")</f>
        <v>-762.3711671</v>
      </c>
      <c r="J3613" s="1"/>
      <c r="K3613" s="1"/>
    </row>
    <row r="3614" ht="14.25" customHeight="1">
      <c r="A3614" s="1" t="s">
        <v>17033</v>
      </c>
      <c r="B3614" s="1">
        <v>910000.0</v>
      </c>
      <c r="C3614" s="1">
        <v>9600000.0</v>
      </c>
      <c r="F3614" s="4">
        <v>8690000.0</v>
      </c>
      <c r="G3614" s="4">
        <f t="array" ref="G3614">IFERROR((C3614-B3614)/C3614*100, "N/A")</f>
        <v>90.52083333</v>
      </c>
      <c r="J3614" s="1"/>
      <c r="K3614" s="1"/>
    </row>
    <row r="3615" ht="14.25" customHeight="1">
      <c r="A3615" s="1" t="s">
        <v>17038</v>
      </c>
      <c r="B3615" s="1">
        <v>930000.0</v>
      </c>
      <c r="C3615" s="1">
        <v>20186.0</v>
      </c>
      <c r="F3615" s="4">
        <v>-909814.0</v>
      </c>
      <c r="G3615" s="4">
        <f t="array" ref="G3615">IFERROR((C3615-B3615)/C3615*100, "N/A")</f>
        <v>-4507.153473</v>
      </c>
      <c r="J3615" s="1"/>
      <c r="K3615" s="1"/>
    </row>
    <row r="3616" ht="14.25" customHeight="1">
      <c r="A3616" s="1" t="s">
        <v>17043</v>
      </c>
      <c r="B3616" s="1">
        <v>590000.0</v>
      </c>
      <c r="C3616" s="1">
        <v>1185783.0</v>
      </c>
      <c r="F3616" s="4">
        <v>595783.0</v>
      </c>
      <c r="G3616" s="4">
        <f t="array" ref="G3616">IFERROR((C3616-B3616)/C3616*100, "N/A")</f>
        <v>50.24384731</v>
      </c>
      <c r="J3616" s="1"/>
      <c r="K3616" s="1"/>
    </row>
    <row r="3617" ht="14.25" customHeight="1">
      <c r="A3617" s="1" t="s">
        <v>17050</v>
      </c>
      <c r="B3617" s="1">
        <v>950000.0</v>
      </c>
      <c r="C3617" s="1">
        <v>1007962.0</v>
      </c>
      <c r="F3617" s="4">
        <v>57962.0</v>
      </c>
      <c r="G3617" s="4">
        <f t="array" ref="G3617">IFERROR((C3617-B3617)/C3617*100, "N/A")</f>
        <v>5.750415194</v>
      </c>
      <c r="J3617" s="1"/>
      <c r="K3617" s="1"/>
    </row>
    <row r="3618" ht="14.25" customHeight="1">
      <c r="A3618" s="1" t="s">
        <v>17056</v>
      </c>
      <c r="B3618" s="1">
        <v>900000.0</v>
      </c>
      <c r="C3618" s="1">
        <v>381186.0</v>
      </c>
      <c r="F3618" s="4">
        <v>-518814.0</v>
      </c>
      <c r="G3618" s="4">
        <f t="array" ref="G3618">IFERROR((C3618-B3618)/C3618*100, "N/A")</f>
        <v>-136.1052085</v>
      </c>
      <c r="J3618" s="1"/>
      <c r="K3618" s="1"/>
    </row>
    <row r="3619" ht="14.25" customHeight="1">
      <c r="A3619" s="1" t="s">
        <v>17059</v>
      </c>
      <c r="B3619" s="1">
        <v>900000.0</v>
      </c>
      <c r="C3619" s="1">
        <v>1.6097842E7</v>
      </c>
      <c r="F3619" s="4">
        <v>1.5197842E7</v>
      </c>
      <c r="G3619" s="4">
        <f t="array" ref="G3619">IFERROR((C3619-B3619)/C3619*100, "N/A")</f>
        <v>94.40918851</v>
      </c>
      <c r="J3619" s="1"/>
      <c r="K3619" s="1"/>
    </row>
    <row r="3620" ht="14.25" customHeight="1">
      <c r="A3620" s="1" t="s">
        <v>17065</v>
      </c>
      <c r="B3620" s="1">
        <v>900000.0</v>
      </c>
      <c r="C3620" s="1">
        <v>6643.0</v>
      </c>
      <c r="F3620" s="4">
        <v>-893357.0</v>
      </c>
      <c r="G3620" s="4">
        <f t="array" ref="G3620">IFERROR((C3620-B3620)/C3620*100, "N/A")</f>
        <v>-13448.09574</v>
      </c>
      <c r="J3620" s="1"/>
      <c r="K3620" s="1"/>
    </row>
    <row r="3621" ht="14.25" customHeight="1">
      <c r="A3621" s="1" t="s">
        <v>11519</v>
      </c>
      <c r="B3621" s="1">
        <v>1.5E7</v>
      </c>
      <c r="C3621" s="1">
        <v>4.2919096E7</v>
      </c>
      <c r="F3621" s="4">
        <v>2.7919096E7</v>
      </c>
      <c r="G3621" s="4">
        <f t="array" ref="G3621">IFERROR((C3621-B3621)/C3621*100, "N/A")</f>
        <v>65.05052203</v>
      </c>
      <c r="J3621" s="1"/>
      <c r="K3621" s="1"/>
    </row>
    <row r="3622" ht="14.25" customHeight="1">
      <c r="A3622" s="1" t="s">
        <v>17070</v>
      </c>
      <c r="B3622" s="1">
        <v>850000.0</v>
      </c>
      <c r="C3622" s="1">
        <v>819939.0</v>
      </c>
      <c r="F3622" s="4">
        <v>-30061.0</v>
      </c>
      <c r="G3622" s="4">
        <f t="array" ref="G3622">IFERROR((C3622-B3622)/C3622*100, "N/A")</f>
        <v>-3.666248343</v>
      </c>
      <c r="J3622" s="1"/>
      <c r="K3622" s="1"/>
    </row>
    <row r="3623" ht="14.25" customHeight="1">
      <c r="A3623" s="1" t="s">
        <v>17074</v>
      </c>
      <c r="B3623" s="1">
        <v>850000.0</v>
      </c>
      <c r="C3623" s="1">
        <v>1243961.0</v>
      </c>
      <c r="F3623" s="4">
        <v>393961.0</v>
      </c>
      <c r="G3623" s="4">
        <f t="array" ref="G3623">IFERROR((C3623-B3623)/C3623*100, "N/A")</f>
        <v>31.66988354</v>
      </c>
      <c r="J3623" s="1"/>
      <c r="K3623" s="1"/>
    </row>
    <row r="3624" ht="14.25" customHeight="1">
      <c r="A3624" s="1" t="s">
        <v>17078</v>
      </c>
      <c r="B3624" s="1">
        <v>825000.0</v>
      </c>
      <c r="C3624" s="1">
        <v>15278.0</v>
      </c>
      <c r="F3624" s="4">
        <v>-809722.0</v>
      </c>
      <c r="G3624" s="4">
        <f t="array" ref="G3624">IFERROR((C3624-B3624)/C3624*100, "N/A")</f>
        <v>-5299.921456</v>
      </c>
      <c r="J3624" s="1"/>
      <c r="K3624" s="1"/>
    </row>
    <row r="3625" ht="14.25" customHeight="1">
      <c r="A3625" s="1" t="s">
        <v>17086</v>
      </c>
      <c r="B3625" s="1">
        <v>500000.0</v>
      </c>
      <c r="C3625" s="1">
        <v>7098492.0</v>
      </c>
      <c r="F3625" s="4">
        <v>6598492.0</v>
      </c>
      <c r="G3625" s="4">
        <f t="array" ref="G3625">IFERROR((C3625-B3625)/C3625*100, "N/A")</f>
        <v>92.95625043</v>
      </c>
      <c r="J3625" s="1"/>
      <c r="K3625" s="1"/>
    </row>
    <row r="3626" ht="14.25" customHeight="1">
      <c r="A3626" s="1" t="s">
        <v>17094</v>
      </c>
      <c r="B3626" s="1">
        <v>800000.0</v>
      </c>
      <c r="C3626" s="1">
        <v>4771000.0</v>
      </c>
      <c r="F3626" s="4">
        <v>3971000.0</v>
      </c>
      <c r="G3626" s="4">
        <f t="array" ref="G3626">IFERROR((C3626-B3626)/C3626*100, "N/A")</f>
        <v>83.23202683</v>
      </c>
      <c r="J3626" s="1"/>
      <c r="K3626" s="1"/>
    </row>
    <row r="3627" ht="14.25" customHeight="1">
      <c r="A3627" s="1" t="s">
        <v>17099</v>
      </c>
      <c r="B3627" s="1">
        <v>800000.0</v>
      </c>
      <c r="C3627" s="1">
        <v>1001437.0</v>
      </c>
      <c r="F3627" s="4">
        <v>201437.0</v>
      </c>
      <c r="G3627" s="4">
        <f t="array" ref="G3627">IFERROR((C3627-B3627)/C3627*100, "N/A")</f>
        <v>20.11479504</v>
      </c>
      <c r="J3627" s="1"/>
      <c r="K3627" s="1"/>
    </row>
    <row r="3628" ht="14.25" customHeight="1">
      <c r="A3628" s="1" t="s">
        <v>17104</v>
      </c>
      <c r="B3628" s="1">
        <v>800000.0</v>
      </c>
      <c r="C3628" s="1">
        <v>2073984.0</v>
      </c>
      <c r="F3628" s="4">
        <v>1273984.0</v>
      </c>
      <c r="G3628" s="4">
        <f t="array" ref="G3628">IFERROR((C3628-B3628)/C3628*100, "N/A")</f>
        <v>61.42689625</v>
      </c>
      <c r="J3628" s="1"/>
      <c r="K3628" s="1"/>
    </row>
    <row r="3629" ht="14.25" customHeight="1">
      <c r="A3629" s="1" t="s">
        <v>17109</v>
      </c>
      <c r="B3629" s="1">
        <v>800000.0</v>
      </c>
      <c r="C3629" s="1">
        <v>144583.0</v>
      </c>
      <c r="F3629" s="4">
        <v>-655417.0</v>
      </c>
      <c r="G3629" s="4">
        <f t="array" ref="G3629">IFERROR((C3629-B3629)/C3629*100, "N/A")</f>
        <v>-453.3153967</v>
      </c>
      <c r="J3629" s="1"/>
      <c r="K3629" s="1"/>
    </row>
    <row r="3630" ht="14.25" customHeight="1">
      <c r="A3630" s="1" t="s">
        <v>17112</v>
      </c>
      <c r="B3630" s="1">
        <v>800000.0</v>
      </c>
      <c r="C3630" s="1">
        <v>41709.0</v>
      </c>
      <c r="F3630" s="4">
        <v>-758291.0</v>
      </c>
      <c r="G3630" s="4">
        <f t="array" ref="G3630">IFERROR((C3630-B3630)/C3630*100, "N/A")</f>
        <v>-1818.05126</v>
      </c>
      <c r="J3630" s="1"/>
      <c r="K3630" s="1"/>
    </row>
    <row r="3631" ht="14.25" customHeight="1">
      <c r="A3631" s="1" t="s">
        <v>17118</v>
      </c>
      <c r="B3631" s="1">
        <v>777000.0</v>
      </c>
      <c r="C3631" s="1">
        <v>1.15E8</v>
      </c>
      <c r="F3631" s="4">
        <v>1.14223E8</v>
      </c>
      <c r="G3631" s="4">
        <f t="array" ref="G3631">IFERROR((C3631-B3631)/C3631*100, "N/A")</f>
        <v>99.32434783</v>
      </c>
      <c r="J3631" s="1"/>
      <c r="K3631" s="1"/>
    </row>
    <row r="3632" ht="14.25" customHeight="1">
      <c r="A3632" s="1" t="s">
        <v>17123</v>
      </c>
      <c r="B3632" s="1">
        <v>750000.0</v>
      </c>
      <c r="C3632" s="1">
        <v>5518918.0</v>
      </c>
      <c r="F3632" s="4">
        <v>4768918.0</v>
      </c>
      <c r="G3632" s="4">
        <f t="array" ref="G3632">IFERROR((C3632-B3632)/C3632*100, "N/A")</f>
        <v>86.41037972</v>
      </c>
      <c r="J3632" s="1"/>
      <c r="K3632" s="1"/>
    </row>
    <row r="3633" ht="14.25" customHeight="1">
      <c r="A3633" s="1" t="s">
        <v>17127</v>
      </c>
      <c r="B3633" s="1">
        <v>750000.0</v>
      </c>
      <c r="C3633" s="1">
        <v>4007792.0</v>
      </c>
      <c r="F3633" s="4">
        <v>3257792.0</v>
      </c>
      <c r="G3633" s="4">
        <f t="array" ref="G3633">IFERROR((C3633-B3633)/C3633*100, "N/A")</f>
        <v>81.28645399</v>
      </c>
      <c r="J3633" s="1"/>
      <c r="K3633" s="1"/>
    </row>
    <row r="3634" ht="14.25" customHeight="1">
      <c r="A3634" s="1" t="s">
        <v>17131</v>
      </c>
      <c r="B3634" s="1">
        <v>500000.0</v>
      </c>
      <c r="C3634" s="1">
        <v>26297.0</v>
      </c>
      <c r="F3634" s="4">
        <v>-473703.0</v>
      </c>
      <c r="G3634" s="4">
        <f t="array" ref="G3634">IFERROR((C3634-B3634)/C3634*100, "N/A")</f>
        <v>-1801.357569</v>
      </c>
      <c r="J3634" s="1"/>
      <c r="K3634" s="1"/>
    </row>
    <row r="3635" ht="14.25" customHeight="1">
      <c r="A3635" s="1" t="s">
        <v>17134</v>
      </c>
      <c r="B3635" s="1">
        <v>750000.0</v>
      </c>
      <c r="C3635" s="1">
        <v>77501.0</v>
      </c>
      <c r="F3635" s="4">
        <v>-672499.0</v>
      </c>
      <c r="G3635" s="4">
        <f t="array" ref="G3635">IFERROR((C3635-B3635)/C3635*100, "N/A")</f>
        <v>-867.7294487</v>
      </c>
      <c r="J3635" s="1"/>
      <c r="K3635" s="1"/>
    </row>
    <row r="3636" ht="14.25" customHeight="1">
      <c r="A3636" s="1" t="s">
        <v>11220</v>
      </c>
      <c r="B3636" s="1">
        <v>1.6E7</v>
      </c>
      <c r="C3636" s="1">
        <v>4.2638165E7</v>
      </c>
      <c r="F3636" s="4">
        <v>2.6638165E7</v>
      </c>
      <c r="G3636" s="4">
        <f t="array" ref="G3636">IFERROR((C3636-B3636)/C3636*100, "N/A")</f>
        <v>62.47493296</v>
      </c>
      <c r="J3636" s="1"/>
      <c r="K3636" s="1"/>
    </row>
    <row r="3637" ht="14.25" customHeight="1">
      <c r="A3637" s="1" t="s">
        <v>17139</v>
      </c>
      <c r="B3637" s="1">
        <v>750000.0</v>
      </c>
      <c r="C3637" s="1">
        <v>47329.0</v>
      </c>
      <c r="F3637" s="4">
        <v>-702671.0</v>
      </c>
      <c r="G3637" s="4">
        <f t="array" ref="G3637">IFERROR((C3637-B3637)/C3637*100, "N/A")</f>
        <v>-1484.652116</v>
      </c>
      <c r="J3637" s="1"/>
      <c r="K3637" s="1"/>
    </row>
    <row r="3638" ht="14.25" customHeight="1">
      <c r="A3638" s="1" t="s">
        <v>17146</v>
      </c>
      <c r="B3638" s="1">
        <v>900000.0</v>
      </c>
      <c r="C3638" s="1">
        <v>18378.0</v>
      </c>
      <c r="F3638" s="4">
        <v>-881622.0</v>
      </c>
      <c r="G3638" s="4">
        <f t="array" ref="G3638">IFERROR((C3638-B3638)/C3638*100, "N/A")</f>
        <v>-4797.159647</v>
      </c>
      <c r="J3638" s="1"/>
      <c r="K3638" s="1"/>
    </row>
    <row r="3639" ht="14.25" customHeight="1">
      <c r="A3639" s="1" t="s">
        <v>17150</v>
      </c>
      <c r="B3639" s="1">
        <v>700000.0</v>
      </c>
      <c r="C3639" s="1">
        <v>7830611.0</v>
      </c>
      <c r="F3639" s="4">
        <v>7130611.0</v>
      </c>
      <c r="G3639" s="4">
        <f t="array" ref="G3639">IFERROR((C3639-B3639)/C3639*100, "N/A")</f>
        <v>91.0607231</v>
      </c>
      <c r="J3639" s="1"/>
      <c r="K3639" s="1"/>
    </row>
    <row r="3640" ht="14.25" customHeight="1">
      <c r="A3640" s="1" t="s">
        <v>17157</v>
      </c>
      <c r="B3640" s="1">
        <v>700000.0</v>
      </c>
      <c r="C3640" s="1">
        <v>1141829.0</v>
      </c>
      <c r="F3640" s="4">
        <v>441829.0</v>
      </c>
      <c r="G3640" s="4">
        <f t="array" ref="G3640">IFERROR((C3640-B3640)/C3640*100, "N/A")</f>
        <v>38.69484835</v>
      </c>
      <c r="J3640" s="1"/>
      <c r="K3640" s="1"/>
    </row>
    <row r="3641" ht="14.25" customHeight="1">
      <c r="A3641" s="1" t="s">
        <v>198</v>
      </c>
      <c r="B3641" s="1">
        <v>2.07E8</v>
      </c>
      <c r="C3641" s="1">
        <v>2.1805126E8</v>
      </c>
      <c r="F3641" s="4">
        <v>1.105126E7</v>
      </c>
      <c r="G3641" s="4">
        <f t="array" ref="G3641">IFERROR((C3641-B3641)/C3641*100, "N/A")</f>
        <v>5.068193598</v>
      </c>
      <c r="J3641" s="1"/>
      <c r="K3641" s="1"/>
    </row>
    <row r="3642" ht="14.25" customHeight="1">
      <c r="A3642" s="1" t="s">
        <v>7010</v>
      </c>
      <c r="B3642" s="1">
        <v>3.0E7</v>
      </c>
      <c r="C3642" s="1">
        <v>3.2048809E7</v>
      </c>
      <c r="F3642" s="4">
        <v>2048809.0</v>
      </c>
      <c r="G3642" s="4">
        <f t="array" ref="G3642">IFERROR((C3642-B3642)/C3642*100, "N/A")</f>
        <v>6.392777342</v>
      </c>
      <c r="J3642" s="1"/>
      <c r="K3642" s="1"/>
    </row>
    <row r="3643" ht="14.25" customHeight="1">
      <c r="A3643" s="1" t="s">
        <v>17162</v>
      </c>
      <c r="B3643" s="1">
        <v>700000.0</v>
      </c>
      <c r="C3643" s="1">
        <v>2694973.0</v>
      </c>
      <c r="F3643" s="4">
        <v>1994973.0</v>
      </c>
      <c r="G3643" s="4">
        <f t="array" ref="G3643">IFERROR((C3643-B3643)/C3643*100, "N/A")</f>
        <v>74.0257138</v>
      </c>
      <c r="J3643" s="1"/>
      <c r="K3643" s="1"/>
    </row>
    <row r="3644" ht="14.25" customHeight="1">
      <c r="A3644" s="1" t="s">
        <v>17167</v>
      </c>
      <c r="B3644" s="1">
        <v>609000.0</v>
      </c>
      <c r="C3644" s="1">
        <v>3000000.0</v>
      </c>
      <c r="F3644" s="4">
        <v>2391000.0</v>
      </c>
      <c r="G3644" s="4">
        <f t="array" ref="G3644">IFERROR((C3644-B3644)/C3644*100, "N/A")</f>
        <v>79.7</v>
      </c>
      <c r="J3644" s="1"/>
      <c r="K3644" s="1"/>
    </row>
    <row r="3645" ht="14.25" customHeight="1">
      <c r="A3645" s="1" t="s">
        <v>17174</v>
      </c>
      <c r="B3645" s="1">
        <v>60000.0</v>
      </c>
      <c r="C3645" s="1">
        <v>1.40530114E8</v>
      </c>
      <c r="F3645" s="4">
        <v>1.40470114E8</v>
      </c>
      <c r="G3645" s="4">
        <f t="array" ref="G3645">IFERROR((C3645-B3645)/C3645*100, "N/A")</f>
        <v>99.95730452</v>
      </c>
      <c r="J3645" s="1"/>
      <c r="K3645" s="1"/>
    </row>
    <row r="3646" ht="14.25" customHeight="1">
      <c r="A3646" s="1" t="s">
        <v>17181</v>
      </c>
      <c r="B3646" s="1">
        <v>600000.0</v>
      </c>
      <c r="C3646" s="1">
        <v>1.33E7</v>
      </c>
      <c r="F3646" s="4">
        <v>1.27E7</v>
      </c>
      <c r="G3646" s="4">
        <f t="array" ref="G3646">IFERROR((C3646-B3646)/C3646*100, "N/A")</f>
        <v>95.4887218</v>
      </c>
      <c r="J3646" s="1"/>
      <c r="K3646" s="1"/>
    </row>
    <row r="3647" ht="14.25" customHeight="1">
      <c r="A3647" s="1" t="s">
        <v>17189</v>
      </c>
      <c r="B3647" s="1">
        <v>600000.0</v>
      </c>
      <c r="C3647" s="1">
        <v>171988.0</v>
      </c>
      <c r="F3647" s="4">
        <v>-428012.0</v>
      </c>
      <c r="G3647" s="4">
        <f t="array" ref="G3647">IFERROR((C3647-B3647)/C3647*100, "N/A")</f>
        <v>-248.8615485</v>
      </c>
      <c r="J3647" s="1"/>
      <c r="K3647" s="1"/>
    </row>
    <row r="3648" ht="14.25" customHeight="1">
      <c r="A3648" s="1" t="s">
        <v>17195</v>
      </c>
      <c r="B3648" s="1">
        <v>600000.0</v>
      </c>
      <c r="C3648" s="1">
        <v>13493.0</v>
      </c>
      <c r="F3648" s="4">
        <v>-586507.0</v>
      </c>
      <c r="G3648" s="4">
        <f t="array" ref="G3648">IFERROR((C3648-B3648)/C3648*100, "N/A")</f>
        <v>-4346.750167</v>
      </c>
      <c r="J3648" s="1"/>
      <c r="K3648" s="1"/>
    </row>
    <row r="3649" ht="14.25" customHeight="1">
      <c r="A3649" s="1" t="s">
        <v>17199</v>
      </c>
      <c r="B3649" s="1">
        <v>560000.0</v>
      </c>
      <c r="C3649" s="1">
        <v>515005.0</v>
      </c>
      <c r="F3649" s="4">
        <v>-44995.0</v>
      </c>
      <c r="G3649" s="4">
        <f t="array" ref="G3649">IFERROR((C3649-B3649)/C3649*100, "N/A")</f>
        <v>-8.736808381</v>
      </c>
      <c r="J3649" s="1"/>
      <c r="K3649" s="1"/>
    </row>
    <row r="3650" ht="14.25" customHeight="1">
      <c r="A3650" s="1" t="s">
        <v>17205</v>
      </c>
      <c r="B3650" s="1">
        <v>500000.0</v>
      </c>
      <c r="C3650" s="1">
        <v>3.3451479E7</v>
      </c>
      <c r="F3650" s="4">
        <v>3.2951479E7</v>
      </c>
      <c r="G3650" s="4">
        <f t="array" ref="G3650">IFERROR((C3650-B3650)/C3650*100, "N/A")</f>
        <v>98.50529778</v>
      </c>
      <c r="J3650" s="1"/>
      <c r="K3650" s="1"/>
    </row>
    <row r="3651" ht="14.25" customHeight="1">
      <c r="A3651" s="1" t="s">
        <v>17212</v>
      </c>
      <c r="B3651" s="1">
        <v>500000.0</v>
      </c>
      <c r="C3651" s="1">
        <v>3.95526E7</v>
      </c>
      <c r="F3651" s="4">
        <v>3.90526E7</v>
      </c>
      <c r="G3651" s="4">
        <f t="array" ref="G3651">IFERROR((C3651-B3651)/C3651*100, "N/A")</f>
        <v>98.7358606</v>
      </c>
      <c r="J3651" s="1"/>
      <c r="K3651" s="1"/>
    </row>
    <row r="3652" ht="14.25" customHeight="1">
      <c r="A3652" s="1" t="s">
        <v>17219</v>
      </c>
      <c r="B3652" s="1">
        <v>500000.0</v>
      </c>
      <c r="C3652" s="1">
        <v>3.0500882E7</v>
      </c>
      <c r="F3652" s="4">
        <v>3.0000882E7</v>
      </c>
      <c r="G3652" s="4">
        <f t="array" ref="G3652">IFERROR((C3652-B3652)/C3652*100, "N/A")</f>
        <v>98.36070314</v>
      </c>
      <c r="J3652" s="1"/>
      <c r="K3652" s="1"/>
    </row>
    <row r="3653" ht="14.25" customHeight="1">
      <c r="A3653" s="1" t="s">
        <v>17227</v>
      </c>
      <c r="B3653" s="1">
        <v>500000.0</v>
      </c>
      <c r="C3653" s="1">
        <v>1.7E7</v>
      </c>
      <c r="F3653" s="4">
        <v>1.65E7</v>
      </c>
      <c r="G3653" s="4">
        <f t="array" ref="G3653">IFERROR((C3653-B3653)/C3653*100, "N/A")</f>
        <v>97.05882353</v>
      </c>
      <c r="J3653" s="1"/>
      <c r="K3653" s="1"/>
    </row>
    <row r="3654" ht="14.25" customHeight="1">
      <c r="A3654" s="1" t="s">
        <v>17233</v>
      </c>
      <c r="B3654" s="1">
        <v>500000.0</v>
      </c>
      <c r="C3654" s="1">
        <v>5739376.0</v>
      </c>
      <c r="F3654" s="4">
        <v>5239376.0</v>
      </c>
      <c r="G3654" s="4">
        <f t="array" ref="G3654">IFERROR((C3654-B3654)/C3654*100, "N/A")</f>
        <v>91.28825155</v>
      </c>
      <c r="J3654" s="1"/>
      <c r="K3654" s="1"/>
    </row>
    <row r="3655" ht="14.25" customHeight="1">
      <c r="A3655" s="1" t="s">
        <v>17237</v>
      </c>
      <c r="B3655" s="1">
        <v>1000000.0</v>
      </c>
      <c r="C3655" s="1">
        <v>3773863.0</v>
      </c>
      <c r="F3655" s="4">
        <v>2773863.0</v>
      </c>
      <c r="G3655" s="4">
        <f t="array" ref="G3655">IFERROR((C3655-B3655)/C3655*100, "N/A")</f>
        <v>73.50195277</v>
      </c>
      <c r="J3655" s="1"/>
      <c r="K3655" s="1"/>
    </row>
    <row r="3656" ht="14.25" customHeight="1">
      <c r="A3656" s="1" t="s">
        <v>17242</v>
      </c>
      <c r="B3656" s="1">
        <v>500000.0</v>
      </c>
      <c r="C3656" s="1">
        <v>2047570.0</v>
      </c>
      <c r="F3656" s="4">
        <v>1547570.0</v>
      </c>
      <c r="G3656" s="4">
        <f t="array" ref="G3656">IFERROR((C3656-B3656)/C3656*100, "N/A")</f>
        <v>75.58081042</v>
      </c>
      <c r="J3656" s="1"/>
      <c r="K3656" s="1"/>
    </row>
    <row r="3657" ht="14.25" customHeight="1">
      <c r="A3657" s="1" t="s">
        <v>17250</v>
      </c>
      <c r="B3657" s="1">
        <v>46000.0</v>
      </c>
      <c r="C3657" s="1">
        <v>1127331.0</v>
      </c>
      <c r="F3657" s="4">
        <v>1081331.0</v>
      </c>
      <c r="G3657" s="4">
        <f t="array" ref="G3657">IFERROR((C3657-B3657)/C3657*100, "N/A")</f>
        <v>95.91956577</v>
      </c>
      <c r="J3657" s="1"/>
      <c r="K3657" s="1"/>
    </row>
    <row r="3658" ht="14.25" customHeight="1">
      <c r="A3658" s="1" t="s">
        <v>17258</v>
      </c>
      <c r="B3658" s="1">
        <v>500000.0</v>
      </c>
      <c r="C3658" s="1">
        <v>906666.0</v>
      </c>
      <c r="F3658" s="4">
        <v>406666.0</v>
      </c>
      <c r="G3658" s="4">
        <f t="array" ref="G3658">IFERROR((C3658-B3658)/C3658*100, "N/A")</f>
        <v>44.85290063</v>
      </c>
      <c r="J3658" s="1"/>
      <c r="K3658" s="1"/>
    </row>
    <row r="3659" ht="14.25" customHeight="1">
      <c r="A3659" s="1" t="s">
        <v>17264</v>
      </c>
      <c r="B3659" s="1">
        <v>500000.0</v>
      </c>
      <c r="C3659" s="1">
        <v>1114943.0</v>
      </c>
      <c r="F3659" s="4">
        <v>614943.0</v>
      </c>
      <c r="G3659" s="4">
        <f t="array" ref="G3659">IFERROR((C3659-B3659)/C3659*100, "N/A")</f>
        <v>55.15465813</v>
      </c>
      <c r="J3659" s="1"/>
      <c r="K3659" s="1"/>
    </row>
    <row r="3660" ht="14.25" customHeight="1">
      <c r="A3660" s="1" t="s">
        <v>17269</v>
      </c>
      <c r="B3660" s="1">
        <v>500000.0</v>
      </c>
      <c r="C3660" s="1">
        <v>985341.0</v>
      </c>
      <c r="F3660" s="4">
        <v>485341.0</v>
      </c>
      <c r="G3660" s="4">
        <f t="array" ref="G3660">IFERROR((C3660-B3660)/C3660*100, "N/A")</f>
        <v>49.25614584</v>
      </c>
      <c r="J3660" s="1"/>
      <c r="K3660" s="1"/>
    </row>
    <row r="3661" ht="14.25" customHeight="1">
      <c r="A3661" s="1" t="s">
        <v>17274</v>
      </c>
      <c r="B3661" s="1">
        <v>500000.0</v>
      </c>
      <c r="C3661" s="1">
        <v>603943.0</v>
      </c>
      <c r="F3661" s="4">
        <v>103943.0</v>
      </c>
      <c r="G3661" s="4">
        <f t="array" ref="G3661">IFERROR((C3661-B3661)/C3661*100, "N/A")</f>
        <v>17.21073015</v>
      </c>
      <c r="J3661" s="1"/>
      <c r="K3661" s="1"/>
    </row>
    <row r="3662" ht="14.25" customHeight="1">
      <c r="A3662" s="1" t="s">
        <v>17277</v>
      </c>
      <c r="B3662" s="1">
        <v>500000.0</v>
      </c>
      <c r="C3662" s="1">
        <v>334041.0</v>
      </c>
      <c r="F3662" s="4">
        <v>-165959.0</v>
      </c>
      <c r="G3662" s="4">
        <f t="array" ref="G3662">IFERROR((C3662-B3662)/C3662*100, "N/A")</f>
        <v>-49.68222464</v>
      </c>
      <c r="J3662" s="1"/>
      <c r="K3662" s="1"/>
    </row>
    <row r="3663" ht="14.25" customHeight="1">
      <c r="A3663" s="1" t="s">
        <v>17281</v>
      </c>
      <c r="B3663" s="1">
        <v>500000.0</v>
      </c>
      <c r="C3663" s="1">
        <v>295468.0</v>
      </c>
      <c r="F3663" s="4">
        <v>-204532.0</v>
      </c>
      <c r="G3663" s="4">
        <f t="array" ref="G3663">IFERROR((C3663-B3663)/C3663*100, "N/A")</f>
        <v>-69.22306307</v>
      </c>
      <c r="J3663" s="1"/>
      <c r="K3663" s="1"/>
    </row>
    <row r="3664" ht="14.25" customHeight="1">
      <c r="A3664" s="1" t="s">
        <v>17285</v>
      </c>
      <c r="B3664" s="1">
        <v>500000.0</v>
      </c>
      <c r="C3664" s="1">
        <v>243347.0</v>
      </c>
      <c r="F3664" s="4">
        <v>-256653.0</v>
      </c>
      <c r="G3664" s="4">
        <f t="array" ref="G3664">IFERROR((C3664-B3664)/C3664*100, "N/A")</f>
        <v>-105.4679121</v>
      </c>
      <c r="J3664" s="1"/>
      <c r="K3664" s="1"/>
    </row>
    <row r="3665" ht="14.25" customHeight="1">
      <c r="A3665" s="1" t="s">
        <v>17290</v>
      </c>
      <c r="B3665" s="1">
        <v>500000.0</v>
      </c>
      <c r="C3665" s="1">
        <v>154077.0</v>
      </c>
      <c r="F3665" s="4">
        <v>-345923.0</v>
      </c>
      <c r="G3665" s="4">
        <f t="array" ref="G3665">IFERROR((C3665-B3665)/C3665*100, "N/A")</f>
        <v>-224.5130681</v>
      </c>
      <c r="J3665" s="1"/>
      <c r="K3665" s="1"/>
    </row>
    <row r="3666" ht="14.25" customHeight="1">
      <c r="A3666" s="1" t="s">
        <v>17294</v>
      </c>
      <c r="B3666" s="1">
        <v>2000000.0</v>
      </c>
      <c r="C3666" s="1">
        <v>269061.0</v>
      </c>
      <c r="F3666" s="4">
        <v>-1730939.0</v>
      </c>
      <c r="G3666" s="4">
        <f t="array" ref="G3666">IFERROR((C3666-B3666)/C3666*100, "N/A")</f>
        <v>-643.3258629</v>
      </c>
      <c r="J3666" s="1"/>
      <c r="K3666" s="1"/>
    </row>
    <row r="3667" ht="14.25" customHeight="1">
      <c r="A3667" s="1" t="s">
        <v>17300</v>
      </c>
      <c r="B3667" s="1">
        <v>500000.0</v>
      </c>
      <c r="C3667" s="1">
        <v>52850.0</v>
      </c>
      <c r="F3667" s="4">
        <v>-447150.0</v>
      </c>
      <c r="G3667" s="4">
        <f t="array" ref="G3667">IFERROR((C3667-B3667)/C3667*100, "N/A")</f>
        <v>-846.0737938</v>
      </c>
      <c r="J3667" s="1"/>
      <c r="K3667" s="1"/>
    </row>
    <row r="3668" ht="14.25" customHeight="1">
      <c r="A3668" s="1" t="s">
        <v>17306</v>
      </c>
      <c r="B3668" s="1">
        <v>500000.0</v>
      </c>
      <c r="C3668" s="1">
        <v>98017.0</v>
      </c>
      <c r="F3668" s="4">
        <v>-401983.0</v>
      </c>
      <c r="G3668" s="4">
        <f t="array" ref="G3668">IFERROR((C3668-B3668)/C3668*100, "N/A")</f>
        <v>-410.1155922</v>
      </c>
      <c r="J3668" s="1"/>
      <c r="K3668" s="1"/>
    </row>
    <row r="3669" ht="14.25" customHeight="1">
      <c r="A3669" s="1" t="s">
        <v>1131</v>
      </c>
      <c r="B3669" s="1">
        <v>1.35E8</v>
      </c>
      <c r="C3669" s="1">
        <v>1.77343675E8</v>
      </c>
      <c r="F3669" s="4">
        <v>4.2343675E7</v>
      </c>
      <c r="G3669" s="4">
        <f t="array" ref="G3669">IFERROR((C3669-B3669)/C3669*100, "N/A")</f>
        <v>23.87661979</v>
      </c>
      <c r="J3669" s="1"/>
      <c r="K3669" s="1"/>
    </row>
    <row r="3670" ht="14.25" customHeight="1">
      <c r="A3670" s="1" t="s">
        <v>17310</v>
      </c>
      <c r="B3670" s="1">
        <v>500000.0</v>
      </c>
      <c r="C3670" s="1">
        <v>31937.0</v>
      </c>
      <c r="F3670" s="4">
        <v>-468063.0</v>
      </c>
      <c r="G3670" s="4">
        <f t="array" ref="G3670">IFERROR((C3670-B3670)/C3670*100, "N/A")</f>
        <v>-1465.58224</v>
      </c>
      <c r="J3670" s="1"/>
      <c r="K3670" s="1"/>
    </row>
    <row r="3671" ht="14.25" customHeight="1">
      <c r="A3671" s="1" t="s">
        <v>17317</v>
      </c>
      <c r="B3671" s="1">
        <v>500000.0</v>
      </c>
      <c r="C3671" s="1">
        <v>13134.0</v>
      </c>
      <c r="F3671" s="4">
        <v>-486866.0</v>
      </c>
      <c r="G3671" s="4">
        <f t="array" ref="G3671">IFERROR((C3671-B3671)/C3671*100, "N/A")</f>
        <v>-3706.913355</v>
      </c>
      <c r="J3671" s="1"/>
      <c r="K3671" s="1"/>
    </row>
    <row r="3672" ht="14.25" customHeight="1">
      <c r="A3672" s="1" t="s">
        <v>17322</v>
      </c>
      <c r="B3672" s="1">
        <v>500000.0</v>
      </c>
      <c r="C3672" s="1">
        <v>237301.0</v>
      </c>
      <c r="F3672" s="4">
        <v>-262699.0</v>
      </c>
      <c r="G3672" s="4">
        <f t="array" ref="G3672">IFERROR((C3672-B3672)/C3672*100, "N/A")</f>
        <v>-110.7028626</v>
      </c>
      <c r="J3672" s="1"/>
      <c r="K3672" s="1"/>
    </row>
    <row r="3673" ht="14.25" customHeight="1">
      <c r="A3673" s="1" t="s">
        <v>17328</v>
      </c>
      <c r="B3673" s="1">
        <v>500000.0</v>
      </c>
      <c r="C3673" s="1">
        <v>1332.0</v>
      </c>
      <c r="F3673" s="4">
        <v>-498668.0</v>
      </c>
      <c r="G3673" s="4">
        <f t="array" ref="G3673">IFERROR((C3673-B3673)/C3673*100, "N/A")</f>
        <v>-37437.53754</v>
      </c>
      <c r="J3673" s="1"/>
      <c r="K3673" s="1"/>
    </row>
    <row r="3674" ht="14.25" customHeight="1">
      <c r="A3674" s="1" t="s">
        <v>12629</v>
      </c>
      <c r="B3674" s="1">
        <v>1.2E7</v>
      </c>
      <c r="C3674" s="1">
        <v>3.7188667E7</v>
      </c>
      <c r="F3674" s="4">
        <v>2.5188667E7</v>
      </c>
      <c r="G3674" s="4">
        <f t="array" ref="G3674">IFERROR((C3674-B3674)/C3674*100, "N/A")</f>
        <v>67.73210505</v>
      </c>
      <c r="J3674" s="1"/>
      <c r="K3674" s="1"/>
    </row>
    <row r="3675" ht="14.25" customHeight="1">
      <c r="A3675" s="1" t="s">
        <v>282</v>
      </c>
      <c r="B3675" s="1">
        <v>2.15E8</v>
      </c>
      <c r="C3675" s="1">
        <v>2.34903076E8</v>
      </c>
      <c r="F3675" s="4">
        <v>1.9903076E7</v>
      </c>
      <c r="G3675" s="4">
        <f t="array" ref="G3675">IFERROR((C3675-B3675)/C3675*100, "N/A")</f>
        <v>8.472888622</v>
      </c>
      <c r="J3675" s="1"/>
      <c r="K3675" s="1"/>
    </row>
    <row r="3676" ht="14.25" customHeight="1">
      <c r="A3676" s="1" t="s">
        <v>17333</v>
      </c>
      <c r="B3676" s="1">
        <v>450000.0</v>
      </c>
      <c r="C3676" s="1">
        <v>2712293.0</v>
      </c>
      <c r="F3676" s="4">
        <v>2262293.0</v>
      </c>
      <c r="G3676" s="4">
        <f t="array" ref="G3676">IFERROR((C3676-B3676)/C3676*100, "N/A")</f>
        <v>83.40887212</v>
      </c>
      <c r="J3676" s="1"/>
      <c r="K3676" s="1"/>
    </row>
    <row r="3677" ht="14.25" customHeight="1">
      <c r="A3677" s="1" t="s">
        <v>17337</v>
      </c>
      <c r="B3677" s="1">
        <v>2000000.0</v>
      </c>
      <c r="C3677" s="1">
        <v>768045.0</v>
      </c>
      <c r="F3677" s="4">
        <v>-1231955.0</v>
      </c>
      <c r="G3677" s="4">
        <f t="array" ref="G3677">IFERROR((C3677-B3677)/C3677*100, "N/A")</f>
        <v>-160.4014088</v>
      </c>
      <c r="J3677" s="1"/>
      <c r="K3677" s="1"/>
    </row>
    <row r="3678" ht="14.25" customHeight="1">
      <c r="A3678" s="1" t="s">
        <v>17343</v>
      </c>
      <c r="B3678" s="1">
        <v>450000.0</v>
      </c>
      <c r="C3678" s="1">
        <v>379122.0</v>
      </c>
      <c r="F3678" s="4">
        <v>-70878.0</v>
      </c>
      <c r="G3678" s="4">
        <f t="array" ref="G3678">IFERROR((C3678-B3678)/C3678*100, "N/A")</f>
        <v>-18.69530125</v>
      </c>
      <c r="J3678" s="1"/>
      <c r="K3678" s="1"/>
    </row>
    <row r="3679" ht="14.25" customHeight="1">
      <c r="A3679" s="1" t="s">
        <v>17347</v>
      </c>
      <c r="B3679" s="1">
        <v>500000.0</v>
      </c>
      <c r="C3679" s="1">
        <v>23000.0</v>
      </c>
      <c r="F3679" s="4">
        <v>-477000.0</v>
      </c>
      <c r="G3679" s="4">
        <f t="array" ref="G3679">IFERROR((C3679-B3679)/C3679*100, "N/A")</f>
        <v>-2073.913043</v>
      </c>
      <c r="J3679" s="1"/>
      <c r="K3679" s="1"/>
    </row>
    <row r="3680" ht="14.25" customHeight="1">
      <c r="A3680" s="1" t="s">
        <v>17354</v>
      </c>
      <c r="B3680" s="1">
        <v>439000.0</v>
      </c>
      <c r="C3680" s="1">
        <v>2300000.0</v>
      </c>
      <c r="F3680" s="4">
        <v>1861000.0</v>
      </c>
      <c r="G3680" s="4">
        <f t="array" ref="G3680">IFERROR((C3680-B3680)/C3680*100, "N/A")</f>
        <v>80.91304348</v>
      </c>
      <c r="J3680" s="1"/>
      <c r="K3680" s="1"/>
    </row>
    <row r="3681" ht="14.25" customHeight="1">
      <c r="A3681" s="1" t="s">
        <v>17360</v>
      </c>
      <c r="B3681" s="1">
        <v>225000.0</v>
      </c>
      <c r="C3681" s="1">
        <v>2938208.0</v>
      </c>
      <c r="F3681" s="4">
        <v>2713208.0</v>
      </c>
      <c r="G3681" s="4">
        <f t="array" ref="G3681">IFERROR((C3681-B3681)/C3681*100, "N/A")</f>
        <v>92.34227121</v>
      </c>
      <c r="J3681" s="1"/>
      <c r="K3681" s="1"/>
    </row>
    <row r="3682" ht="14.25" customHeight="1">
      <c r="A3682" s="1" t="s">
        <v>17366</v>
      </c>
      <c r="B3682" s="1">
        <v>400000.0</v>
      </c>
      <c r="C3682" s="1">
        <v>4.4540956E7</v>
      </c>
      <c r="F3682" s="4">
        <v>4.4140956E7</v>
      </c>
      <c r="G3682" s="4">
        <f t="array" ref="G3682">IFERROR((C3682-B3682)/C3682*100, "N/A")</f>
        <v>99.10195012</v>
      </c>
      <c r="J3682" s="1"/>
      <c r="K3682" s="1"/>
    </row>
    <row r="3683" ht="14.25" customHeight="1">
      <c r="A3683" s="1" t="s">
        <v>17369</v>
      </c>
      <c r="B3683" s="1">
        <v>1066167.0</v>
      </c>
      <c r="C3683" s="1">
        <v>258113.0</v>
      </c>
      <c r="F3683" s="4">
        <v>-808054.0</v>
      </c>
      <c r="G3683" s="4">
        <f t="array" ref="G3683">IFERROR((C3683-B3683)/C3683*100, "N/A")</f>
        <v>-313.0621085</v>
      </c>
      <c r="J3683" s="1"/>
      <c r="K3683" s="1"/>
    </row>
    <row r="3684" ht="14.25" customHeight="1">
      <c r="A3684" s="1" t="s">
        <v>17375</v>
      </c>
      <c r="B3684" s="1">
        <v>15000.0</v>
      </c>
      <c r="C3684" s="1">
        <v>1.07917283E8</v>
      </c>
      <c r="F3684" s="4">
        <v>1.07902283E8</v>
      </c>
      <c r="G3684" s="4">
        <f t="array" ref="G3684">IFERROR((C3684-B3684)/C3684*100, "N/A")</f>
        <v>99.98610047</v>
      </c>
      <c r="J3684" s="1"/>
      <c r="K3684" s="1"/>
    </row>
    <row r="3685" ht="14.25" customHeight="1">
      <c r="A3685" s="1" t="s">
        <v>17380</v>
      </c>
      <c r="B3685" s="1">
        <v>229575.0</v>
      </c>
      <c r="C3685" s="1">
        <v>1229197.0</v>
      </c>
      <c r="F3685" s="4">
        <v>999622.0</v>
      </c>
      <c r="G3685" s="4">
        <f t="array" ref="G3685">IFERROR((C3685-B3685)/C3685*100, "N/A")</f>
        <v>81.32317277</v>
      </c>
      <c r="J3685" s="1"/>
      <c r="K3685" s="1"/>
    </row>
    <row r="3686" ht="14.25" customHeight="1">
      <c r="A3686" s="1" t="s">
        <v>17384</v>
      </c>
      <c r="B3686" s="1">
        <v>400000.0</v>
      </c>
      <c r="C3686" s="1">
        <v>1689999.0</v>
      </c>
      <c r="F3686" s="4">
        <v>1289999.0</v>
      </c>
      <c r="G3686" s="4">
        <f t="array" ref="G3686">IFERROR((C3686-B3686)/C3686*100, "N/A")</f>
        <v>76.33134694</v>
      </c>
      <c r="J3686" s="1"/>
      <c r="K3686" s="1"/>
    </row>
    <row r="3687" ht="14.25" customHeight="1">
      <c r="A3687" s="1" t="s">
        <v>17391</v>
      </c>
      <c r="B3687" s="1">
        <v>218.0</v>
      </c>
      <c r="C3687" s="1">
        <v>592014.0</v>
      </c>
      <c r="F3687" s="4">
        <v>591796.0</v>
      </c>
      <c r="G3687" s="4">
        <f t="array" ref="G3687">IFERROR((C3687-B3687)/C3687*100, "N/A")</f>
        <v>99.96317655</v>
      </c>
      <c r="J3687" s="1"/>
      <c r="K3687" s="1"/>
    </row>
    <row r="3688" ht="14.25" customHeight="1">
      <c r="A3688" s="1" t="s">
        <v>17398</v>
      </c>
      <c r="B3688" s="1">
        <v>400000.0</v>
      </c>
      <c r="C3688" s="1">
        <v>126387.0</v>
      </c>
      <c r="F3688" s="4">
        <v>-273613.0</v>
      </c>
      <c r="G3688" s="4">
        <f t="array" ref="G3688">IFERROR((C3688-B3688)/C3688*100, "N/A")</f>
        <v>-216.4882464</v>
      </c>
      <c r="J3688" s="1"/>
      <c r="K3688" s="1"/>
    </row>
    <row r="3689" ht="14.25" customHeight="1">
      <c r="A3689" s="1" t="s">
        <v>17404</v>
      </c>
      <c r="B3689" s="1">
        <v>3.5E7</v>
      </c>
      <c r="C3689" s="1">
        <v>8.0276912E7</v>
      </c>
      <c r="F3689" s="4">
        <v>4.5276912E7</v>
      </c>
      <c r="G3689" s="4">
        <f t="array" ref="G3689">IFERROR((C3689-B3689)/C3689*100, "N/A")</f>
        <v>56.40091388</v>
      </c>
      <c r="J3689" s="1"/>
      <c r="K3689" s="1"/>
    </row>
    <row r="3690" ht="14.25" customHeight="1">
      <c r="A3690" s="1" t="s">
        <v>17409</v>
      </c>
      <c r="B3690" s="1">
        <v>379000.0</v>
      </c>
      <c r="C3690" s="1">
        <v>2808000.0</v>
      </c>
      <c r="F3690" s="4">
        <v>2429000.0</v>
      </c>
      <c r="G3690" s="4">
        <f t="array" ref="G3690">IFERROR((C3690-B3690)/C3690*100, "N/A")</f>
        <v>86.502849</v>
      </c>
      <c r="J3690" s="1"/>
      <c r="K3690" s="1"/>
    </row>
    <row r="3691" ht="14.25" customHeight="1">
      <c r="A3691" s="1" t="s">
        <v>17416</v>
      </c>
      <c r="B3691" s="1">
        <v>6000000.0</v>
      </c>
      <c r="C3691" s="1">
        <v>12843.0</v>
      </c>
      <c r="F3691" s="4">
        <v>-5987157.0</v>
      </c>
      <c r="G3691" s="4">
        <f t="array" ref="G3691">IFERROR((C3691-B3691)/C3691*100, "N/A")</f>
        <v>-46618.05653</v>
      </c>
      <c r="J3691" s="1"/>
      <c r="K3691" s="1"/>
    </row>
    <row r="3692" ht="14.25" customHeight="1">
      <c r="A3692" s="1" t="s">
        <v>17423</v>
      </c>
      <c r="B3692" s="1">
        <v>1750211.0</v>
      </c>
      <c r="C3692" s="1">
        <v>1523883.0</v>
      </c>
      <c r="F3692" s="4">
        <v>-226328.0</v>
      </c>
      <c r="G3692" s="4">
        <f t="array" ref="G3692">IFERROR((C3692-B3692)/C3692*100, "N/A")</f>
        <v>-14.85205885</v>
      </c>
      <c r="J3692" s="1"/>
      <c r="K3692" s="1"/>
    </row>
    <row r="3693" ht="14.25" customHeight="1">
      <c r="A3693" s="1" t="s">
        <v>17430</v>
      </c>
      <c r="B3693" s="1">
        <v>350000.0</v>
      </c>
      <c r="C3693" s="1">
        <v>4000000.0</v>
      </c>
      <c r="F3693" s="4">
        <v>3650000.0</v>
      </c>
      <c r="G3693" s="4">
        <f t="array" ref="G3693">IFERROR((C3693-B3693)/C3693*100, "N/A")</f>
        <v>91.25</v>
      </c>
      <c r="J3693" s="1"/>
      <c r="K3693" s="1"/>
    </row>
    <row r="3694" ht="14.25" customHeight="1">
      <c r="A3694" s="1" t="s">
        <v>11025</v>
      </c>
      <c r="B3694" s="1">
        <v>300000.0</v>
      </c>
      <c r="C3694" s="1">
        <v>4.7E7</v>
      </c>
      <c r="F3694" s="4">
        <v>4.67E7</v>
      </c>
      <c r="G3694" s="4">
        <f t="array" ref="G3694">IFERROR((C3694-B3694)/C3694*100, "N/A")</f>
        <v>99.36170213</v>
      </c>
      <c r="J3694" s="1"/>
      <c r="K3694" s="1"/>
    </row>
    <row r="3695" ht="14.25" customHeight="1">
      <c r="A3695" s="1" t="s">
        <v>17435</v>
      </c>
      <c r="B3695" s="1">
        <v>312000.0</v>
      </c>
      <c r="C3695" s="1">
        <v>1281176.0</v>
      </c>
      <c r="F3695" s="4">
        <v>969176.0</v>
      </c>
      <c r="G3695" s="4">
        <f t="array" ref="G3695">IFERROR((C3695-B3695)/C3695*100, "N/A")</f>
        <v>75.64737398</v>
      </c>
      <c r="J3695" s="1"/>
      <c r="K3695" s="1"/>
    </row>
    <row r="3696" ht="14.25" customHeight="1">
      <c r="A3696" s="1" t="s">
        <v>17440</v>
      </c>
      <c r="B3696" s="1">
        <v>8000000.0</v>
      </c>
      <c r="C3696" s="1">
        <v>1.6115878E7</v>
      </c>
      <c r="F3696" s="4">
        <v>8115878.0</v>
      </c>
      <c r="G3696" s="4">
        <f t="array" ref="G3696">IFERROR((C3696-B3696)/C3696*100, "N/A")</f>
        <v>50.35951501</v>
      </c>
      <c r="J3696" s="1"/>
      <c r="K3696" s="1"/>
    </row>
    <row r="3697" ht="14.25" customHeight="1">
      <c r="A3697" s="1" t="s">
        <v>17444</v>
      </c>
      <c r="B3697" s="1">
        <v>300000.0</v>
      </c>
      <c r="C3697" s="1">
        <v>1652472.0</v>
      </c>
      <c r="F3697" s="4">
        <v>1352472.0</v>
      </c>
      <c r="G3697" s="4">
        <f t="array" ref="G3697">IFERROR((C3697-B3697)/C3697*100, "N/A")</f>
        <v>81.84538074</v>
      </c>
      <c r="J3697" s="1"/>
      <c r="K3697" s="1"/>
    </row>
    <row r="3698" ht="14.25" customHeight="1">
      <c r="A3698" s="1" t="s">
        <v>17449</v>
      </c>
      <c r="B3698" s="1">
        <v>300000.0</v>
      </c>
      <c r="C3698" s="1">
        <v>2360184.0</v>
      </c>
      <c r="F3698" s="4">
        <v>2060184.0</v>
      </c>
      <c r="G3698" s="4">
        <f t="array" ref="G3698">IFERROR((C3698-B3698)/C3698*100, "N/A")</f>
        <v>87.28912661</v>
      </c>
      <c r="J3698" s="1"/>
      <c r="K3698" s="1"/>
    </row>
    <row r="3699" ht="14.25" customHeight="1">
      <c r="A3699" s="1" t="s">
        <v>17453</v>
      </c>
      <c r="B3699" s="1">
        <v>300000.0</v>
      </c>
      <c r="C3699" s="1">
        <v>255352.0</v>
      </c>
      <c r="F3699" s="4">
        <v>-44648.0</v>
      </c>
      <c r="G3699" s="4">
        <f t="array" ref="G3699">IFERROR((C3699-B3699)/C3699*100, "N/A")</f>
        <v>-17.48488361</v>
      </c>
      <c r="J3699" s="1"/>
      <c r="K3699" s="1"/>
    </row>
    <row r="3700" ht="14.25" customHeight="1">
      <c r="A3700" s="1" t="s">
        <v>17458</v>
      </c>
      <c r="B3700" s="1">
        <v>200000.0</v>
      </c>
      <c r="C3700" s="1">
        <v>856942.0</v>
      </c>
      <c r="F3700" s="4">
        <v>656942.0</v>
      </c>
      <c r="G3700" s="4">
        <f t="array" ref="G3700">IFERROR((C3700-B3700)/C3700*100, "N/A")</f>
        <v>76.66119761</v>
      </c>
      <c r="J3700" s="1"/>
      <c r="K3700" s="1"/>
    </row>
    <row r="3701" ht="14.25" customHeight="1">
      <c r="A3701" s="1" t="s">
        <v>17463</v>
      </c>
      <c r="B3701" s="1">
        <v>200000.0</v>
      </c>
      <c r="C3701" s="1">
        <v>5199.0</v>
      </c>
      <c r="F3701" s="4">
        <v>-194801.0</v>
      </c>
      <c r="G3701" s="4">
        <f t="array" ref="G3701">IFERROR((C3701-B3701)/C3701*100, "N/A")</f>
        <v>-3746.893633</v>
      </c>
      <c r="J3701" s="1"/>
      <c r="K3701" s="1"/>
    </row>
    <row r="3702" ht="14.25" customHeight="1">
      <c r="A3702" s="1" t="s">
        <v>5520</v>
      </c>
      <c r="B3702" s="1">
        <v>4.5E7</v>
      </c>
      <c r="C3702" s="1">
        <v>2.4343673E7</v>
      </c>
      <c r="F3702" s="4">
        <v>-2.0656327E7</v>
      </c>
      <c r="G3702" s="4">
        <f t="array" ref="G3702">IFERROR((C3702-B3702)/C3702*100, "N/A")</f>
        <v>-84.85295953</v>
      </c>
      <c r="J3702" s="1"/>
      <c r="K3702" s="1"/>
    </row>
    <row r="3703" ht="14.25" customHeight="1">
      <c r="A3703" s="1" t="s">
        <v>17470</v>
      </c>
      <c r="B3703" s="1">
        <v>300000.0</v>
      </c>
      <c r="C3703" s="1">
        <v>2468.0</v>
      </c>
      <c r="F3703" s="4">
        <v>-297532.0</v>
      </c>
      <c r="G3703" s="4">
        <f t="array" ref="G3703">IFERROR((C3703-B3703)/C3703*100, "N/A")</f>
        <v>-12055.59157</v>
      </c>
      <c r="J3703" s="1"/>
      <c r="K3703" s="1"/>
    </row>
    <row r="3704" ht="14.25" customHeight="1">
      <c r="A3704" s="1" t="s">
        <v>17475</v>
      </c>
      <c r="B3704" s="1">
        <v>270000.0</v>
      </c>
      <c r="C3704" s="1">
        <v>318622.0</v>
      </c>
      <c r="F3704" s="4">
        <v>48622.0</v>
      </c>
      <c r="G3704" s="4">
        <f t="array" ref="G3704">IFERROR((C3704-B3704)/C3704*100, "N/A")</f>
        <v>15.26008876</v>
      </c>
      <c r="J3704" s="1"/>
      <c r="K3704" s="1"/>
    </row>
    <row r="3705" ht="14.25" customHeight="1">
      <c r="A3705" s="1" t="s">
        <v>17479</v>
      </c>
      <c r="B3705" s="1">
        <v>250000.0</v>
      </c>
      <c r="C3705" s="1">
        <v>1.2006514E7</v>
      </c>
      <c r="F3705" s="4">
        <v>1.1756514E7</v>
      </c>
      <c r="G3705" s="4">
        <f t="array" ref="G3705">IFERROR((C3705-B3705)/C3705*100, "N/A")</f>
        <v>97.91779696</v>
      </c>
      <c r="J3705" s="1"/>
      <c r="K3705" s="1"/>
    </row>
    <row r="3706" ht="14.25" customHeight="1">
      <c r="A3706" s="1" t="s">
        <v>17482</v>
      </c>
      <c r="B3706" s="1">
        <v>250000.0</v>
      </c>
      <c r="C3706" s="1">
        <v>4186931.0</v>
      </c>
      <c r="F3706" s="4">
        <v>3936931.0</v>
      </c>
      <c r="G3706" s="4">
        <f t="array" ref="G3706">IFERROR((C3706-B3706)/C3706*100, "N/A")</f>
        <v>94.02903941</v>
      </c>
      <c r="J3706" s="1"/>
      <c r="K3706" s="1"/>
    </row>
    <row r="3707" ht="14.25" customHeight="1">
      <c r="A3707" s="1" t="s">
        <v>17486</v>
      </c>
      <c r="B3707" s="1">
        <v>250000.0</v>
      </c>
      <c r="C3707" s="1">
        <v>3799339.0</v>
      </c>
      <c r="F3707" s="4">
        <v>3549339.0</v>
      </c>
      <c r="G3707" s="4">
        <f t="array" ref="G3707">IFERROR((C3707-B3707)/C3707*100, "N/A")</f>
        <v>93.41990804</v>
      </c>
      <c r="J3707" s="1"/>
      <c r="K3707" s="1"/>
    </row>
    <row r="3708" ht="14.25" customHeight="1">
      <c r="A3708" s="1" t="s">
        <v>17493</v>
      </c>
      <c r="B3708" s="1">
        <v>250000.0</v>
      </c>
      <c r="C3708" s="1">
        <v>1977544.0</v>
      </c>
      <c r="F3708" s="4">
        <v>1727544.0</v>
      </c>
      <c r="G3708" s="4">
        <f t="array" ref="G3708">IFERROR((C3708-B3708)/C3708*100, "N/A")</f>
        <v>87.35805626</v>
      </c>
      <c r="J3708" s="1"/>
      <c r="K3708" s="1"/>
    </row>
    <row r="3709" ht="14.25" customHeight="1">
      <c r="A3709" s="1" t="s">
        <v>17497</v>
      </c>
      <c r="B3709" s="1">
        <v>250000.0</v>
      </c>
      <c r="C3709" s="1">
        <v>1050600.0</v>
      </c>
      <c r="F3709" s="4">
        <v>800600.0</v>
      </c>
      <c r="G3709" s="4">
        <f t="array" ref="G3709">IFERROR((C3709-B3709)/C3709*100, "N/A")</f>
        <v>76.20407386</v>
      </c>
      <c r="J3709" s="1"/>
      <c r="K3709" s="1"/>
    </row>
    <row r="3710" ht="14.25" customHeight="1">
      <c r="A3710" s="1" t="s">
        <v>17501</v>
      </c>
      <c r="B3710" s="1">
        <v>250000.0</v>
      </c>
      <c r="C3710" s="1">
        <v>902835.0</v>
      </c>
      <c r="F3710" s="4">
        <v>652835.0</v>
      </c>
      <c r="G3710" s="4">
        <f t="array" ref="G3710">IFERROR((C3710-B3710)/C3710*100, "N/A")</f>
        <v>72.30944746</v>
      </c>
      <c r="J3710" s="1"/>
      <c r="K3710" s="1"/>
    </row>
    <row r="3711" ht="14.25" customHeight="1">
      <c r="A3711" s="1" t="s">
        <v>17507</v>
      </c>
      <c r="B3711" s="1">
        <v>365000.0</v>
      </c>
      <c r="C3711" s="1">
        <v>489220.0</v>
      </c>
      <c r="F3711" s="4">
        <v>124220.0</v>
      </c>
      <c r="G3711" s="4">
        <f t="array" ref="G3711">IFERROR((C3711-B3711)/C3711*100, "N/A")</f>
        <v>25.39143943</v>
      </c>
      <c r="J3711" s="1"/>
      <c r="K3711" s="1"/>
    </row>
    <row r="3712" ht="14.25" customHeight="1">
      <c r="A3712" s="1" t="s">
        <v>17512</v>
      </c>
      <c r="B3712" s="1">
        <v>250000.0</v>
      </c>
      <c r="C3712" s="1">
        <v>203134.0</v>
      </c>
      <c r="F3712" s="4">
        <v>-46866.0</v>
      </c>
      <c r="G3712" s="4">
        <f t="array" ref="G3712">IFERROR((C3712-B3712)/C3712*100, "N/A")</f>
        <v>-23.07147006</v>
      </c>
      <c r="J3712" s="1"/>
      <c r="K3712" s="1"/>
    </row>
    <row r="3713" ht="14.25" customHeight="1">
      <c r="A3713" s="1" t="s">
        <v>17519</v>
      </c>
      <c r="B3713" s="1">
        <v>150000.0</v>
      </c>
      <c r="C3713" s="1">
        <v>191309.0</v>
      </c>
      <c r="F3713" s="4">
        <v>41309.0</v>
      </c>
      <c r="G3713" s="4">
        <f t="array" ref="G3713">IFERROR((C3713-B3713)/C3713*100, "N/A")</f>
        <v>21.59281581</v>
      </c>
      <c r="J3713" s="1"/>
      <c r="K3713" s="1"/>
    </row>
    <row r="3714" ht="14.25" customHeight="1">
      <c r="A3714" s="1" t="s">
        <v>17524</v>
      </c>
      <c r="B3714" s="1">
        <v>250000.0</v>
      </c>
      <c r="C3714" s="1">
        <v>3388210.0</v>
      </c>
      <c r="F3714" s="4">
        <v>3138210.0</v>
      </c>
      <c r="G3714" s="4">
        <f t="array" ref="G3714">IFERROR((C3714-B3714)/C3714*100, "N/A")</f>
        <v>92.6214727</v>
      </c>
      <c r="J3714" s="1"/>
      <c r="K3714" s="1"/>
    </row>
    <row r="3715" ht="14.25" customHeight="1">
      <c r="A3715" s="1" t="s">
        <v>17529</v>
      </c>
      <c r="B3715" s="1">
        <v>250000.0</v>
      </c>
      <c r="C3715" s="1">
        <v>49494.0</v>
      </c>
      <c r="F3715" s="4">
        <v>-200506.0</v>
      </c>
      <c r="G3715" s="4">
        <f t="array" ref="G3715">IFERROR((C3715-B3715)/C3715*100, "N/A")</f>
        <v>-405.1117307</v>
      </c>
      <c r="J3715" s="1"/>
      <c r="K3715" s="1"/>
    </row>
    <row r="3716" ht="14.25" customHeight="1">
      <c r="A3716" s="1" t="s">
        <v>17534</v>
      </c>
      <c r="B3716" s="1">
        <v>225000.0</v>
      </c>
      <c r="C3716" s="1">
        <v>111300.0</v>
      </c>
      <c r="F3716" s="4">
        <v>-113700.0</v>
      </c>
      <c r="G3716" s="4">
        <f t="array" ref="G3716">IFERROR((C3716-B3716)/C3716*100, "N/A")</f>
        <v>-102.1563342</v>
      </c>
      <c r="J3716" s="1"/>
      <c r="K3716" s="1"/>
    </row>
    <row r="3717" ht="14.25" customHeight="1">
      <c r="A3717" s="1" t="s">
        <v>17541</v>
      </c>
      <c r="B3717" s="1">
        <v>225000.0</v>
      </c>
      <c r="C3717" s="1">
        <v>1027119.0</v>
      </c>
      <c r="F3717" s="4">
        <v>802119.0</v>
      </c>
      <c r="G3717" s="4">
        <f t="array" ref="G3717">IFERROR((C3717-B3717)/C3717*100, "N/A")</f>
        <v>78.094067</v>
      </c>
      <c r="J3717" s="1"/>
      <c r="K3717" s="1"/>
    </row>
    <row r="3718" ht="14.25" customHeight="1">
      <c r="A3718" s="1" t="s">
        <v>17546</v>
      </c>
      <c r="B3718" s="1">
        <v>210000.0</v>
      </c>
      <c r="C3718" s="1">
        <v>5000000.0</v>
      </c>
      <c r="F3718" s="4">
        <v>4790000.0</v>
      </c>
      <c r="G3718" s="4">
        <f t="array" ref="G3718">IFERROR((C3718-B3718)/C3718*100, "N/A")</f>
        <v>95.8</v>
      </c>
      <c r="J3718" s="1"/>
      <c r="K3718" s="1"/>
    </row>
    <row r="3719" ht="14.25" customHeight="1">
      <c r="A3719" s="1" t="s">
        <v>17553</v>
      </c>
      <c r="B3719" s="1">
        <v>200000.0</v>
      </c>
      <c r="C3719" s="1">
        <v>4505922.0</v>
      </c>
      <c r="F3719" s="4">
        <v>4305922.0</v>
      </c>
      <c r="G3719" s="4">
        <f t="array" ref="G3719">IFERROR((C3719-B3719)/C3719*100, "N/A")</f>
        <v>95.56139676</v>
      </c>
      <c r="J3719" s="1"/>
      <c r="K3719" s="1"/>
    </row>
    <row r="3720" ht="14.25" customHeight="1">
      <c r="A3720" s="1" t="s">
        <v>17558</v>
      </c>
      <c r="B3720" s="1">
        <v>200000.0</v>
      </c>
      <c r="C3720" s="1">
        <v>3500000.0</v>
      </c>
      <c r="F3720" s="4">
        <v>3300000.0</v>
      </c>
      <c r="G3720" s="4">
        <f t="array" ref="G3720">IFERROR((C3720-B3720)/C3720*100, "N/A")</f>
        <v>94.28571429</v>
      </c>
      <c r="J3720" s="1"/>
      <c r="K3720" s="1"/>
    </row>
    <row r="3721" ht="14.25" customHeight="1">
      <c r="A3721" s="1" t="s">
        <v>7901</v>
      </c>
      <c r="B3721" s="1">
        <v>3.0E7</v>
      </c>
      <c r="C3721" s="1">
        <v>3.215441E7</v>
      </c>
      <c r="F3721" s="4">
        <v>2154410.0</v>
      </c>
      <c r="G3721" s="4">
        <f t="array" ref="G3721">IFERROR((C3721-B3721)/C3721*100, "N/A")</f>
        <v>6.700200688</v>
      </c>
      <c r="J3721" s="1"/>
      <c r="K3721" s="1"/>
    </row>
    <row r="3722" ht="14.25" customHeight="1">
      <c r="A3722" s="1" t="s">
        <v>17564</v>
      </c>
      <c r="B3722" s="1">
        <v>200000.0</v>
      </c>
      <c r="C3722" s="1">
        <v>1111.0</v>
      </c>
      <c r="F3722" s="4">
        <v>-198889.0</v>
      </c>
      <c r="G3722" s="4">
        <f t="array" ref="G3722">IFERROR((C3722-B3722)/C3722*100, "N/A")</f>
        <v>-17901.80018</v>
      </c>
      <c r="J3722" s="1"/>
      <c r="K3722" s="1"/>
    </row>
    <row r="3723" ht="14.25" customHeight="1">
      <c r="A3723" s="1" t="s">
        <v>17572</v>
      </c>
      <c r="B3723" s="1">
        <v>180000.0</v>
      </c>
      <c r="C3723" s="1">
        <v>925402.0</v>
      </c>
      <c r="F3723" s="4">
        <v>745402.0</v>
      </c>
      <c r="G3723" s="4">
        <f t="array" ref="G3723">IFERROR((C3723-B3723)/C3723*100, "N/A")</f>
        <v>80.54899384</v>
      </c>
      <c r="J3723" s="1"/>
      <c r="K3723" s="1"/>
    </row>
    <row r="3724" ht="14.25" customHeight="1">
      <c r="A3724" s="1" t="s">
        <v>17579</v>
      </c>
      <c r="B3724" s="1">
        <v>120000.0</v>
      </c>
      <c r="C3724" s="1">
        <v>469947.0</v>
      </c>
      <c r="F3724" s="4">
        <v>349947.0</v>
      </c>
      <c r="G3724" s="4">
        <f t="array" ref="G3724">IFERROR((C3724-B3724)/C3724*100, "N/A")</f>
        <v>74.46520565</v>
      </c>
      <c r="J3724" s="1"/>
      <c r="K3724" s="1"/>
    </row>
    <row r="3725" ht="14.25" customHeight="1">
      <c r="A3725" s="1" t="s">
        <v>17584</v>
      </c>
      <c r="B3725" s="1">
        <v>175000.0</v>
      </c>
      <c r="C3725" s="1">
        <v>7137502.0</v>
      </c>
      <c r="F3725" s="4">
        <v>6962502.0</v>
      </c>
      <c r="G3725" s="4">
        <f t="array" ref="G3725">IFERROR((C3725-B3725)/C3725*100, "N/A")</f>
        <v>97.54816181</v>
      </c>
      <c r="J3725" s="1"/>
      <c r="K3725" s="1"/>
    </row>
    <row r="3726" ht="14.25" customHeight="1">
      <c r="A3726" s="1" t="s">
        <v>17590</v>
      </c>
      <c r="B3726" s="1">
        <v>100000.0</v>
      </c>
      <c r="C3726" s="1">
        <v>1316074.0</v>
      </c>
      <c r="F3726" s="4">
        <v>1216074.0</v>
      </c>
      <c r="G3726" s="4">
        <f t="array" ref="G3726">IFERROR((C3726-B3726)/C3726*100, "N/A")</f>
        <v>92.40164307</v>
      </c>
      <c r="J3726" s="1"/>
      <c r="K3726" s="1"/>
    </row>
    <row r="3727" ht="14.25" customHeight="1">
      <c r="A3727" s="1" t="s">
        <v>17596</v>
      </c>
      <c r="B3727" s="1">
        <v>500000.0</v>
      </c>
      <c r="C3727" s="1">
        <v>1.518E7</v>
      </c>
      <c r="F3727" s="4">
        <v>1.468E7</v>
      </c>
      <c r="G3727" s="4">
        <f t="array" ref="G3727">IFERROR((C3727-B3727)/C3727*100, "N/A")</f>
        <v>96.70619236</v>
      </c>
      <c r="J3727" s="1"/>
      <c r="K3727" s="1"/>
    </row>
    <row r="3728" ht="14.25" customHeight="1">
      <c r="A3728" s="1" t="s">
        <v>17599</v>
      </c>
      <c r="B3728" s="1">
        <v>150000.0</v>
      </c>
      <c r="C3728" s="1">
        <v>2882062.0</v>
      </c>
      <c r="F3728" s="4">
        <v>2732062.0</v>
      </c>
      <c r="G3728" s="4">
        <f t="array" ref="G3728">IFERROR((C3728-B3728)/C3728*100, "N/A")</f>
        <v>94.79539302</v>
      </c>
      <c r="J3728" s="1"/>
      <c r="K3728" s="1"/>
    </row>
    <row r="3729" ht="14.25" customHeight="1">
      <c r="A3729" s="1" t="s">
        <v>17602</v>
      </c>
      <c r="B3729" s="1">
        <v>180000.0</v>
      </c>
      <c r="C3729" s="1">
        <v>9437933.0</v>
      </c>
      <c r="F3729" s="4">
        <v>9257933.0</v>
      </c>
      <c r="G3729" s="4">
        <f t="array" ref="G3729">IFERROR((C3729-B3729)/C3729*100, "N/A")</f>
        <v>98.09280274</v>
      </c>
      <c r="J3729" s="1"/>
      <c r="K3729" s="1"/>
    </row>
    <row r="3730" ht="14.25" customHeight="1">
      <c r="A3730" s="1" t="s">
        <v>17609</v>
      </c>
      <c r="B3730" s="1">
        <v>160000.0</v>
      </c>
      <c r="C3730" s="1">
        <v>155984.0</v>
      </c>
      <c r="F3730" s="4">
        <v>-4016.0</v>
      </c>
      <c r="G3730" s="4">
        <f t="array" ref="G3730">IFERROR((C3730-B3730)/C3730*100, "N/A")</f>
        <v>-2.574623038</v>
      </c>
      <c r="J3730" s="1"/>
      <c r="K3730" s="1"/>
    </row>
    <row r="3731" ht="14.25" customHeight="1">
      <c r="A3731" s="1" t="s">
        <v>13709</v>
      </c>
      <c r="B3731" s="1">
        <v>83532.0</v>
      </c>
      <c r="C3731" s="1">
        <v>3.0859E7</v>
      </c>
      <c r="F3731" s="4">
        <v>3.0775468E7</v>
      </c>
      <c r="G3731" s="4">
        <f t="array" ref="G3731">IFERROR((C3731-B3731)/C3731*100, "N/A")</f>
        <v>99.72931074</v>
      </c>
      <c r="J3731" s="1"/>
      <c r="K3731" s="1"/>
    </row>
    <row r="3732" ht="14.25" customHeight="1">
      <c r="A3732" s="1" t="s">
        <v>17615</v>
      </c>
      <c r="B3732" s="1">
        <v>160000.0</v>
      </c>
      <c r="C3732" s="1">
        <v>6706368.0</v>
      </c>
      <c r="F3732" s="4">
        <v>6546368.0</v>
      </c>
      <c r="G3732" s="4">
        <f t="array" ref="G3732">IFERROR((C3732-B3732)/C3732*100, "N/A")</f>
        <v>97.61420787</v>
      </c>
      <c r="J3732" s="1"/>
      <c r="K3732" s="1"/>
    </row>
    <row r="3733" ht="14.25" customHeight="1">
      <c r="A3733" s="1" t="s">
        <v>17620</v>
      </c>
      <c r="B3733" s="1">
        <v>100000.0</v>
      </c>
      <c r="C3733" s="1">
        <v>1.0174663E7</v>
      </c>
      <c r="F3733" s="4">
        <v>1.0074663E7</v>
      </c>
      <c r="G3733" s="4">
        <f t="array" ref="G3733">IFERROR((C3733-B3733)/C3733*100, "N/A")</f>
        <v>99.01716647</v>
      </c>
      <c r="J3733" s="1"/>
      <c r="K3733" s="1"/>
    </row>
    <row r="3734" ht="14.25" customHeight="1">
      <c r="A3734" s="1" t="s">
        <v>17625</v>
      </c>
      <c r="B3734" s="1">
        <v>100000.0</v>
      </c>
      <c r="C3734" s="1">
        <v>2.2757819E7</v>
      </c>
      <c r="F3734" s="4">
        <v>2.2657819E7</v>
      </c>
      <c r="G3734" s="4">
        <f t="array" ref="G3734">IFERROR((C3734-B3734)/C3734*100, "N/A")</f>
        <v>99.56059058</v>
      </c>
      <c r="J3734" s="1"/>
      <c r="K3734" s="1"/>
    </row>
    <row r="3735" ht="14.25" customHeight="1">
      <c r="A3735" s="1" t="s">
        <v>17632</v>
      </c>
      <c r="B3735" s="1">
        <v>100000.0</v>
      </c>
      <c r="C3735" s="1">
        <v>5228617.0</v>
      </c>
      <c r="F3735" s="4">
        <v>5128617.0</v>
      </c>
      <c r="G3735" s="4">
        <f t="array" ref="G3735">IFERROR((C3735-B3735)/C3735*100, "N/A")</f>
        <v>98.08744836</v>
      </c>
      <c r="J3735" s="1"/>
      <c r="K3735" s="1"/>
    </row>
    <row r="3736" ht="14.25" customHeight="1">
      <c r="A3736" s="1" t="s">
        <v>17636</v>
      </c>
      <c r="B3736" s="1">
        <v>40000.0</v>
      </c>
      <c r="C3736" s="1">
        <v>110536.0</v>
      </c>
      <c r="F3736" s="4">
        <v>70536.0</v>
      </c>
      <c r="G3736" s="4">
        <f t="array" ref="G3736">IFERROR((C3736-B3736)/C3736*100, "N/A")</f>
        <v>63.81269451</v>
      </c>
      <c r="J3736" s="1"/>
      <c r="K3736" s="1"/>
    </row>
    <row r="3737" ht="14.25" customHeight="1">
      <c r="A3737" s="1" t="s">
        <v>17642</v>
      </c>
      <c r="B3737" s="1">
        <v>200000.0</v>
      </c>
      <c r="C3737" s="1">
        <v>59379.0</v>
      </c>
      <c r="F3737" s="4">
        <v>-140621.0</v>
      </c>
      <c r="G3737" s="4">
        <f t="array" ref="G3737">IFERROR((C3737-B3737)/C3737*100, "N/A")</f>
        <v>-236.8194143</v>
      </c>
      <c r="J3737" s="1"/>
      <c r="K3737" s="1"/>
    </row>
    <row r="3738" ht="14.25" customHeight="1">
      <c r="A3738" s="1" t="s">
        <v>11569</v>
      </c>
      <c r="B3738" s="1">
        <v>1.5E7</v>
      </c>
      <c r="C3738" s="1">
        <v>3.2721635E7</v>
      </c>
      <c r="F3738" s="4">
        <v>1.7721635E7</v>
      </c>
      <c r="G3738" s="4">
        <f t="array" ref="G3738">IFERROR((C3738-B3738)/C3738*100, "N/A")</f>
        <v>54.15876988</v>
      </c>
      <c r="J3738" s="1"/>
      <c r="K3738" s="1"/>
    </row>
    <row r="3739" ht="14.25" customHeight="1">
      <c r="A3739" s="1" t="s">
        <v>17647</v>
      </c>
      <c r="B3739" s="1">
        <v>60000.0</v>
      </c>
      <c r="C3739" s="1">
        <v>3216970.0</v>
      </c>
      <c r="F3739" s="4">
        <v>3156970.0</v>
      </c>
      <c r="G3739" s="4">
        <f t="array" ref="G3739">IFERROR((C3739-B3739)/C3739*100, "N/A")</f>
        <v>98.13489091</v>
      </c>
      <c r="J3739" s="1"/>
      <c r="K3739" s="1"/>
    </row>
    <row r="3740" ht="14.25" customHeight="1">
      <c r="A3740" s="1" t="s">
        <v>17653</v>
      </c>
      <c r="B3740" s="1">
        <v>60000.0</v>
      </c>
      <c r="C3740" s="1">
        <v>536767.0</v>
      </c>
      <c r="F3740" s="4">
        <v>476767.0</v>
      </c>
      <c r="G3740" s="4">
        <f t="array" ref="G3740">IFERROR((C3740-B3740)/C3740*100, "N/A")</f>
        <v>88.82196558</v>
      </c>
      <c r="J3740" s="1"/>
      <c r="K3740" s="1"/>
    </row>
    <row r="3741" ht="14.25" customHeight="1">
      <c r="A3741" s="1" t="s">
        <v>17658</v>
      </c>
      <c r="B3741" s="1">
        <v>65000.0</v>
      </c>
      <c r="C3741" s="1">
        <v>1.1529368E7</v>
      </c>
      <c r="F3741" s="4">
        <v>1.1464368E7</v>
      </c>
      <c r="G3741" s="4">
        <f t="array" ref="G3741">IFERROR((C3741-B3741)/C3741*100, "N/A")</f>
        <v>99.43622235</v>
      </c>
      <c r="J3741" s="1"/>
      <c r="K3741" s="1"/>
    </row>
    <row r="3742" ht="14.25" customHeight="1">
      <c r="A3742" s="1" t="s">
        <v>17666</v>
      </c>
      <c r="B3742" s="1">
        <v>60000.0</v>
      </c>
      <c r="C3742" s="1">
        <v>40557.0</v>
      </c>
      <c r="F3742" s="4">
        <v>-19443.0</v>
      </c>
      <c r="G3742" s="4">
        <f t="array" ref="G3742">IFERROR((C3742-B3742)/C3742*100, "N/A")</f>
        <v>-47.93993639</v>
      </c>
      <c r="J3742" s="1"/>
      <c r="K3742" s="1"/>
    </row>
    <row r="3743" ht="14.25" customHeight="1">
      <c r="A3743" s="1" t="s">
        <v>17672</v>
      </c>
      <c r="B3743" s="1">
        <v>70000.0</v>
      </c>
      <c r="C3743" s="1">
        <v>30084.0</v>
      </c>
      <c r="F3743" s="4">
        <v>-39916.0</v>
      </c>
      <c r="G3743" s="4">
        <f t="array" ref="G3743">IFERROR((C3743-B3743)/C3743*100, "N/A")</f>
        <v>-132.6818242</v>
      </c>
      <c r="J3743" s="1"/>
      <c r="K3743" s="1"/>
    </row>
    <row r="3744" ht="14.25" customHeight="1">
      <c r="A3744" s="1" t="s">
        <v>17675</v>
      </c>
      <c r="B3744" s="1">
        <v>25000.0</v>
      </c>
      <c r="C3744" s="1">
        <v>1.02466E7</v>
      </c>
      <c r="F3744" s="4">
        <v>1.02216E7</v>
      </c>
      <c r="G3744" s="4">
        <f t="array" ref="G3744">IFERROR((C3744-B3744)/C3744*100, "N/A")</f>
        <v>99.75601663</v>
      </c>
      <c r="J3744" s="1"/>
      <c r="K3744" s="1"/>
    </row>
    <row r="3745" ht="14.25" customHeight="1">
      <c r="A3745" s="1" t="s">
        <v>17680</v>
      </c>
      <c r="B3745" s="1">
        <v>65000.0</v>
      </c>
      <c r="C3745" s="1">
        <v>389804.0</v>
      </c>
      <c r="F3745" s="4">
        <v>324804.0</v>
      </c>
      <c r="G3745" s="4">
        <f t="array" ref="G3745">IFERROR((C3745-B3745)/C3745*100, "N/A")</f>
        <v>83.32495305</v>
      </c>
      <c r="J3745" s="1"/>
      <c r="K3745" s="1"/>
    </row>
    <row r="3746" ht="14.25" customHeight="1">
      <c r="A3746" s="1" t="s">
        <v>17684</v>
      </c>
      <c r="B3746" s="1">
        <v>42000.0</v>
      </c>
      <c r="C3746" s="1">
        <v>241816.0</v>
      </c>
      <c r="F3746" s="4">
        <v>199816.0</v>
      </c>
      <c r="G3746" s="4">
        <f t="array" ref="G3746">IFERROR((C3746-B3746)/C3746*100, "N/A")</f>
        <v>82.63142224</v>
      </c>
      <c r="J3746" s="1"/>
      <c r="K3746" s="1"/>
    </row>
    <row r="3747" ht="14.25" customHeight="1">
      <c r="A3747" s="1" t="s">
        <v>17689</v>
      </c>
      <c r="B3747" s="1">
        <v>40000.0</v>
      </c>
      <c r="C3747" s="1">
        <v>277233.0</v>
      </c>
      <c r="F3747" s="4">
        <v>237233.0</v>
      </c>
      <c r="G3747" s="4">
        <f t="array" ref="G3747">IFERROR((C3747-B3747)/C3747*100, "N/A")</f>
        <v>85.57170322</v>
      </c>
      <c r="J3747" s="1"/>
      <c r="K3747" s="1"/>
    </row>
    <row r="3748" ht="14.25" customHeight="1">
      <c r="A3748" s="1" t="s">
        <v>17695</v>
      </c>
      <c r="B3748" s="1">
        <v>230000.0</v>
      </c>
      <c r="C3748" s="1">
        <v>3151130.0</v>
      </c>
      <c r="F3748" s="4">
        <v>2921130.0</v>
      </c>
      <c r="G3748" s="4">
        <f t="array" ref="G3748">IFERROR((C3748-B3748)/C3748*100, "N/A")</f>
        <v>92.70103106</v>
      </c>
      <c r="J3748" s="1"/>
      <c r="K3748" s="1"/>
    </row>
    <row r="3749" ht="14.25" customHeight="1">
      <c r="A3749" s="1" t="s">
        <v>17698</v>
      </c>
      <c r="B3749" s="1">
        <v>25000.0</v>
      </c>
      <c r="C3749" s="1">
        <v>2856622.0</v>
      </c>
      <c r="F3749" s="4">
        <v>2831622.0</v>
      </c>
      <c r="G3749" s="4">
        <f t="array" ref="G3749">IFERROR((C3749-B3749)/C3749*100, "N/A")</f>
        <v>99.12484046</v>
      </c>
      <c r="J3749" s="1"/>
      <c r="K3749" s="1"/>
    </row>
    <row r="3750" ht="14.25" customHeight="1">
      <c r="A3750" s="1" t="s">
        <v>7190</v>
      </c>
      <c r="B3750" s="1">
        <v>3.5E7</v>
      </c>
      <c r="C3750" s="1">
        <v>1.0499968E7</v>
      </c>
      <c r="F3750" s="4">
        <v>-2.4500032E7</v>
      </c>
      <c r="G3750" s="4">
        <f t="array" ref="G3750">IFERROR((C3750-B3750)/C3750*100, "N/A")</f>
        <v>-233.3343492</v>
      </c>
      <c r="J3750" s="1"/>
      <c r="K3750" s="1"/>
    </row>
    <row r="3751" ht="14.25" customHeight="1">
      <c r="A3751" s="1" t="s">
        <v>17703</v>
      </c>
      <c r="B3751" s="1">
        <v>23000.0</v>
      </c>
      <c r="C3751" s="1">
        <v>1227508.0</v>
      </c>
      <c r="F3751" s="4">
        <v>1204508.0</v>
      </c>
      <c r="G3751" s="4">
        <f t="array" ref="G3751">IFERROR((C3751-B3751)/C3751*100, "N/A")</f>
        <v>98.12628512</v>
      </c>
      <c r="J3751" s="1"/>
      <c r="K3751" s="1"/>
    </row>
    <row r="3752" ht="14.25" customHeight="1">
      <c r="A3752" s="1" t="s">
        <v>17708</v>
      </c>
      <c r="B3752" s="1">
        <v>10000.0</v>
      </c>
      <c r="C3752" s="1">
        <v>180483.0</v>
      </c>
      <c r="F3752" s="4">
        <v>170483.0</v>
      </c>
      <c r="G3752" s="4">
        <f t="array" ref="G3752">IFERROR((C3752-B3752)/C3752*100, "N/A")</f>
        <v>94.45931196</v>
      </c>
      <c r="J3752" s="1"/>
      <c r="K3752" s="1"/>
    </row>
    <row r="3753" ht="14.25" customHeight="1">
      <c r="A3753" s="1" t="s">
        <v>17715</v>
      </c>
      <c r="B3753" s="1">
        <v>4500.0</v>
      </c>
      <c r="C3753" s="1">
        <v>136007.0</v>
      </c>
      <c r="F3753" s="4">
        <v>131507.0</v>
      </c>
      <c r="G3753" s="4">
        <f t="array" ref="G3753">IFERROR((C3753-B3753)/C3753*100, "N/A")</f>
        <v>96.69134677</v>
      </c>
      <c r="J3753" s="1"/>
      <c r="K3753" s="1"/>
    </row>
    <row r="3754" ht="14.25" customHeight="1">
      <c r="A3754" s="1" t="s">
        <v>17720</v>
      </c>
      <c r="B3754" s="1">
        <v>10000.0</v>
      </c>
      <c r="C3754" s="1">
        <v>673780.0</v>
      </c>
      <c r="F3754" s="4">
        <v>663780.0</v>
      </c>
      <c r="G3754" s="4">
        <f t="array" ref="G3754">IFERROR((C3754-B3754)/C3754*100, "N/A")</f>
        <v>98.51583603</v>
      </c>
      <c r="J3754" s="1"/>
      <c r="K3754" s="1"/>
    </row>
    <row r="3755" ht="14.25" customHeight="1">
      <c r="A3755" s="1" t="s">
        <v>17727</v>
      </c>
      <c r="B3755" s="1">
        <v>7000.0</v>
      </c>
      <c r="C3755" s="1">
        <v>424760.0</v>
      </c>
      <c r="F3755" s="4">
        <v>417760.0</v>
      </c>
      <c r="G3755" s="4">
        <f t="array" ref="G3755">IFERROR((C3755-B3755)/C3755*100, "N/A")</f>
        <v>98.35201055</v>
      </c>
      <c r="J3755" s="1"/>
      <c r="K3755" s="1"/>
    </row>
    <row r="3756" ht="14.25" customHeight="1">
      <c r="A3756" s="1" t="s">
        <v>17732</v>
      </c>
      <c r="B3756" s="1">
        <v>7000.0</v>
      </c>
      <c r="C3756" s="1">
        <v>2040920.0</v>
      </c>
      <c r="F3756" s="4">
        <v>2033920.0</v>
      </c>
      <c r="G3756" s="4">
        <f t="array" ref="G3756">IFERROR((C3756-B3756)/C3756*100, "N/A")</f>
        <v>99.65701742</v>
      </c>
      <c r="J3756" s="1"/>
      <c r="K3756" s="1"/>
    </row>
    <row r="3757" ht="14.25" customHeight="1">
      <c r="A3757" s="1" t="s">
        <v>17738</v>
      </c>
      <c r="B3757" s="1">
        <v>1100.0</v>
      </c>
      <c r="C3757" s="1">
        <v>85222.0</v>
      </c>
      <c r="F3757" s="4">
        <v>84122.0</v>
      </c>
      <c r="G3757" s="4">
        <f t="array" ref="G3757">IFERROR((C3757-B3757)/C3757*100, "N/A")</f>
        <v>98.70925348</v>
      </c>
      <c r="J3757" s="1"/>
      <c r="K3757" s="1"/>
    </row>
  </sheetData>
  <printOptions/>
  <pageMargins bottom="0.75" footer="0.0" header="0.0" left="0.7" right="0.7" top="0.75"/>
  <pageSetup orientation="landscape"/>
  <drawing r:id="rId1"/>
  <tableParts count="3">
    <tablePart r:id="rId5"/>
    <tablePart r:id="rId6"/>
    <tablePart r:id="rId7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2024-02-13T15:09:50Z</dcterms:created>
  <dc:creator>Havilah Bodde</dc:creator>
</cp:coreProperties>
</file>